
<file path=[Content_Types].xml><?xml version="1.0" encoding="utf-8"?>
<Types xmlns="http://schemas.openxmlformats.org/package/2006/content-types">
  <Default Extension="bin" ContentType="application/vnd.openxmlformats-officedocument.spreadsheetml.printerSettings"/>
  <Default Extension="tmp"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8.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defaultThemeVersion="124226"/>
  <mc:AlternateContent xmlns:mc="http://schemas.openxmlformats.org/markup-compatibility/2006">
    <mc:Choice Requires="x15">
      <x15ac:absPath xmlns:x15ac="http://schemas.microsoft.com/office/spreadsheetml/2010/11/ac" url="C:\Code\BLUEPRINT\Surrogates\"/>
    </mc:Choice>
  </mc:AlternateContent>
  <bookViews>
    <workbookView xWindow="0" yWindow="0" windowWidth="24240" windowHeight="11923" tabRatio="934" activeTab="2"/>
  </bookViews>
  <sheets>
    <sheet name="Cover Sheet" sheetId="146" r:id="rId1"/>
    <sheet name="Reactor Design Inputs" sheetId="97" r:id="rId2"/>
    <sheet name="BLUEPRINT_output" sheetId="154" r:id="rId3"/>
    <sheet name="Generic Vertical Port Tasks" sheetId="99" state="hidden" r:id="rId4"/>
    <sheet name="Generic Divertor Port Tasks" sheetId="98" state="hidden" r:id="rId5"/>
    <sheet name="Duration of maint. intervals" sheetId="152" state="hidden" r:id="rId6"/>
    <sheet name="Plant Availibility Calculator" sheetId="100" state="hidden" r:id="rId7"/>
    <sheet name="Lower Cask Summary" sheetId="125" r:id="rId8"/>
    <sheet name="Lower Cask Critical Path" sheetId="126" state="hidden" r:id="rId9"/>
    <sheet name="Lower Cask Dependencies" sheetId="128" state="hidden" r:id="rId10"/>
    <sheet name="Lower Cask Movement &amp; Logistics" sheetId="129" state="hidden" r:id="rId11"/>
    <sheet name="Lower Cask Recovery Scenarios" sheetId="130" state="hidden" r:id="rId12"/>
    <sheet name="Lower Cask Weld Failures" sheetId="131" state="hidden" r:id="rId13"/>
    <sheet name="LowerCask Recovery Dependencies" sheetId="132" state="hidden" r:id="rId14"/>
    <sheet name="Lower Hot Cell Summary" sheetId="133" r:id="rId15"/>
    <sheet name="Lower Hot Cell Critical Path" sheetId="134" state="hidden" r:id="rId16"/>
    <sheet name="Lower Hot Cell Logistics" sheetId="137" state="hidden" r:id="rId17"/>
    <sheet name="Lower Hot Cell Hardware Failure" sheetId="138" state="hidden" r:id="rId18"/>
    <sheet name="Lower Hot Cell Weld Failure" sheetId="139" state="hidden" r:id="rId19"/>
    <sheet name="Lower HotCell RecoveryLogistics" sheetId="140" state="hidden" r:id="rId20"/>
    <sheet name="Lower Hot Cell Dependencies" sheetId="136" state="hidden" r:id="rId21"/>
    <sheet name="Upper Cask Summary" sheetId="117" r:id="rId22"/>
    <sheet name="Upper Cask Critical Path" sheetId="119" state="hidden" r:id="rId23"/>
    <sheet name="Upper Cask Dependencies" sheetId="120" state="hidden" r:id="rId24"/>
    <sheet name="Upper Cask Movement &amp; Logistics" sheetId="121" state="hidden" r:id="rId25"/>
    <sheet name="Upper Cask Welding failures" sheetId="123" state="hidden" r:id="rId26"/>
    <sheet name="Upper Cask Recovery Scenarios" sheetId="122" state="hidden" r:id="rId27"/>
    <sheet name="Upper Cask Recovery Logistics" sheetId="124" state="hidden" r:id="rId28"/>
    <sheet name="Upper Hot Cell Summary" sheetId="108" r:id="rId29"/>
    <sheet name="Upper Hot Cell Critical Path" sheetId="110" state="hidden" r:id="rId30"/>
    <sheet name="Upper Hot Cell Dependencies" sheetId="111" state="hidden" r:id="rId31"/>
    <sheet name="Upper Hot Cell Logistics" sheetId="112" state="hidden" r:id="rId32"/>
    <sheet name="Upper Hot Cell Welding failures" sheetId="113" state="hidden" r:id="rId33"/>
    <sheet name="Upper HotCell HardwareRecovery" sheetId="114" state="hidden" r:id="rId34"/>
    <sheet name="Upper HotCell RecoveryLogisitcs" sheetId="115" state="hidden" r:id="rId35"/>
    <sheet name="Radiation Dose Rates" sheetId="60" r:id="rId36"/>
  </sheets>
  <externalReferences>
    <externalReference r:id="rId37"/>
  </externalReferences>
  <definedNames>
    <definedName name="_xlnm._FilterDatabase" localSheetId="8" hidden="1">'Lower Cask Critical Path'!$C$6:$P$87</definedName>
    <definedName name="_xlnm._FilterDatabase" localSheetId="9" hidden="1">'Lower Cask Dependencies'!$B$5:$P$5</definedName>
    <definedName name="_xlnm._FilterDatabase" localSheetId="11" hidden="1">'Lower Cask Recovery Scenarios'!#REF!</definedName>
    <definedName name="_xlnm._FilterDatabase" localSheetId="12" hidden="1">'Lower Cask Weld Failures'!#REF!</definedName>
    <definedName name="_xlnm._FilterDatabase" localSheetId="15" hidden="1">'Lower Hot Cell Critical Path'!$C$6:$P$70</definedName>
    <definedName name="_xlnm._FilterDatabase" localSheetId="20" hidden="1">'Lower Hot Cell Dependencies'!$B$5:$P$5</definedName>
    <definedName name="_xlnm._FilterDatabase" localSheetId="17" hidden="1">'Lower Hot Cell Hardware Failure'!#REF!</definedName>
    <definedName name="_xlnm._FilterDatabase" localSheetId="18" hidden="1">'Lower Hot Cell Weld Failure'!#REF!</definedName>
    <definedName name="_xlnm._FilterDatabase" localSheetId="19" hidden="1">'Lower HotCell RecoveryLogistics'!$B$3:$P$3</definedName>
    <definedName name="_xlnm._FilterDatabase" localSheetId="13" hidden="1">'LowerCask Recovery Dependencies'!$B$3:$P$3</definedName>
    <definedName name="_xlnm._FilterDatabase" localSheetId="1" hidden="1">'Reactor Design Inputs'!$B$1:$F$233</definedName>
    <definedName name="_xlnm._FilterDatabase" localSheetId="22" hidden="1">'Upper Cask Critical Path'!$B$6:$S$268</definedName>
    <definedName name="_xlnm._FilterDatabase" localSheetId="23" hidden="1">'Upper Cask Dependencies'!$B$3:$P$135</definedName>
    <definedName name="_xlnm._FilterDatabase" localSheetId="27" hidden="1">'Upper Cask Recovery Logistics'!$B$3:$P$3</definedName>
    <definedName name="_xlnm._FilterDatabase" localSheetId="26" hidden="1">'Upper Cask Recovery Scenarios'!#REF!</definedName>
    <definedName name="_xlnm._FilterDatabase" localSheetId="25" hidden="1">'Upper Cask Welding failures'!#REF!</definedName>
    <definedName name="_xlnm._FilterDatabase" localSheetId="29" hidden="1">'Upper Hot Cell Critical Path'!$C$3:$P$82</definedName>
    <definedName name="_xlnm._FilterDatabase" localSheetId="30" hidden="1">'Upper Hot Cell Dependencies'!$B$5:$P$113</definedName>
    <definedName name="_xlnm._FilterDatabase" localSheetId="32" hidden="1">'Upper Hot Cell Welding failures'!#REF!</definedName>
    <definedName name="_xlnm._FilterDatabase" localSheetId="33" hidden="1">'Upper HotCell HardwareRecovery'!#REF!</definedName>
    <definedName name="_xlnm._FilterDatabase" localSheetId="34" hidden="1">'Upper HotCell RecoveryLogisitcs'!$B$3:$P$3</definedName>
    <definedName name="_Ref493863299" localSheetId="6">'Plant Availibility Calculator'!$O$2</definedName>
    <definedName name="Auto_Operations_Productivity_Factor">'Reactor Design Inputs'!$D$124</definedName>
    <definedName name="Av._cask_displacement">'Reactor Design Inputs'!$D$196</definedName>
    <definedName name="blanket_cask_days_2">'Upper Cask Summary'!$M$38</definedName>
    <definedName name="blanket_cask_days_3">'Upper Cask Summary'!$M$50</definedName>
    <definedName name="blanket_cask_days_4">'Upper Cask Summary'!$M$62</definedName>
    <definedName name="blanket_cask_days_6">'Upper Cask Summary'!$M$74</definedName>
    <definedName name="blanket_cask_days_series">'Upper Cask Summary'!$M$26</definedName>
    <definedName name="Blanket_coolant_circumference">'Reactor Design Inputs'!$D$25</definedName>
    <definedName name="Blanket_coolant_diameter">'Reactor Design Inputs'!$D$24</definedName>
    <definedName name="Blanket_coolant_thickness">'Reactor Design Inputs'!$D$26</definedName>
    <definedName name="Blanket_Cooling_Cut_Time">'Reactor Design Inputs'!$D$70</definedName>
    <definedName name="Blanket_Cooling_Cutting_Passes">'Reactor Design Inputs'!$D$69</definedName>
    <definedName name="Blanket_Cooling_Weld_Passes">'Reactor Design Inputs'!$D$91</definedName>
    <definedName name="Blanket_Cooling_Weld_Time">'Reactor Design Inputs'!$D$92</definedName>
    <definedName name="Blanket_drain_circumference">'Reactor Design Inputs'!$D$33</definedName>
    <definedName name="Blanket_Drain_Cut_Time">'Reactor Design Inputs'!$D$76</definedName>
    <definedName name="Blanket_Drain_Cutting_Passes">'Reactor Design Inputs'!$D$75</definedName>
    <definedName name="Blanket_Drain_diameter">'Reactor Design Inputs'!$D$32</definedName>
    <definedName name="Blanket_drain_Thickness">'Reactor Design Inputs'!$D$34</definedName>
    <definedName name="Blanket_Drain_Weld_Passes">'Reactor Design Inputs'!$D$97</definedName>
    <definedName name="Blanket_Drain_Weld_Time">'Reactor Design Inputs'!$D$98</definedName>
    <definedName name="blanket_hc_days_2">'Upper Hot Cell Summary'!$M$38</definedName>
    <definedName name="blanket_hc_days_3">'Upper Hot Cell Summary'!$M$50</definedName>
    <definedName name="blanket_hc_days_4">'Upper Hot Cell Summary'!$M$62</definedName>
    <definedName name="blanket_hc_days_6">'Upper Hot Cell Summary'!$M$74</definedName>
    <definedName name="blanket_hc_days_series">'Upper Hot Cell Summary'!$M$26</definedName>
    <definedName name="blanket_kinamatic_duration">'Reactor Design Inputs'!$D$232</definedName>
    <definedName name="blanket_lift_duration">'Reactor Design Inputs'!$D$231</definedName>
    <definedName name="Blanket_LiPb_circumference">'Reactor Design Inputs'!$D$29</definedName>
    <definedName name="Blanket_LiPb_Cut_Time">'Reactor Design Inputs'!$D$73</definedName>
    <definedName name="Blanket_LiPb_Cutting_Passes">'Reactor Design Inputs'!$D$72</definedName>
    <definedName name="Blanket_LiPb_diameter">'Reactor Design Inputs'!$D$28</definedName>
    <definedName name="Blanket_LiPb_thickness">'Reactor Design Inputs'!$D$30</definedName>
    <definedName name="Blanket_LiPb_Weld_Passes">'Reactor Design Inputs'!$D$94</definedName>
    <definedName name="Blanket_LiPb_Weld_Time">'Reactor Design Inputs'!$D$95</definedName>
    <definedName name="Blankets_per_segmt">'Reactor Design Inputs'!$D$18</definedName>
    <definedName name="BT_drive_failure">'Reactor Design Inputs'!$D$245</definedName>
    <definedName name="BT_fine_positioning_failure">'Reactor Design Inputs'!$D$246</definedName>
    <definedName name="campaign_duration">'Reactor Design Inputs'!$D$287</definedName>
    <definedName name="campaign_fpy">'Reactor Design Inputs'!$D$289</definedName>
    <definedName name="Cask_CCD_Seal_failure">'Reactor Design Inputs'!$D$240</definedName>
    <definedName name="Cask_Controller_Failure">'Reactor Design Inputs'!$D$241</definedName>
    <definedName name="Cask_move_spd">'Reactor Design Inputs'!$D$195</definedName>
    <definedName name="Cask_move_time">'Reactor Design Inputs'!$D$195</definedName>
    <definedName name="cassette_deployment_system_failure">'Reactor Design Inputs'!$D$269</definedName>
    <definedName name="cassette_handling_location_sensor">'Reactor Design Inputs'!$D$270</definedName>
    <definedName name="cassette_handling_mechanical_fixation_failure">'Reactor Design Inputs'!$D$268</definedName>
    <definedName name="Cassettes_per_segmt">'Reactor Design Inputs'!$D$19</definedName>
    <definedName name="Check_time">'Reactor Design Inputs'!$D$126</definedName>
    <definedName name="connect_divertor_piepwork">'Generic Divertor Port Tasks'!$D$181</definedName>
    <definedName name="connect_inner_pipwork">'Generic Divertor Port Tasks'!$D$209</definedName>
    <definedName name="connect_lower_blanket_pipework">'Generic Divertor Port Tasks'!$D$205</definedName>
    <definedName name="Connect_vertical_pipework">'Generic Vertical Port Tasks'!$D$130</definedName>
    <definedName name="contour_table">#REF!</definedName>
    <definedName name="Crane_ops_per_prt">'Reactor Design Inputs'!#REF!</definedName>
    <definedName name="crane_recovery_spd">'Reactor Design Inputs'!$D$206</definedName>
    <definedName name="cutting_depth">'Reactor Design Inputs'!$D$67</definedName>
    <definedName name="cutting_speed">'Reactor Design Inputs'!$D$66</definedName>
    <definedName name="DEMO_cy_lifetime">'Reactor Design Inputs'!$D$5</definedName>
    <definedName name="DEMO_fpy_Lifetime">'Reactor Design Inputs'!$D$4</definedName>
    <definedName name="DEMO_Major_Radius">'Reactor Design Inputs'!$D$7</definedName>
    <definedName name="DEMO_Minor_Radius">'Reactor Design Inputs'!$D$8</definedName>
    <definedName name="demo_pumpdown">'Reactor Design Inputs'!$D$294</definedName>
    <definedName name="Design_Inputs">'Reactor Design Inputs'!$B$3:$B$301</definedName>
    <definedName name="disconnect_divertor_pipework">'Generic Divertor Port Tasks'!$D$68</definedName>
    <definedName name="disconnect_inner_Pipework">'Generic Divertor Port Tasks'!$D$80</definedName>
    <definedName name="disconnect_lower_blanket_pipework">'Generic Divertor Port Tasks'!$D$76</definedName>
    <definedName name="disconnect_vertical_pipework">'Generic Vertical Port Tasks'!$D$79</definedName>
    <definedName name="divertor_blanket_cooling_pipes">'Reactor Design Inputs'!$D$55</definedName>
    <definedName name="divertor_blanket_drain_pipes">'Reactor Design Inputs'!$D$57</definedName>
    <definedName name="divertor_blanket_LiPb_pipes">'Reactor Design Inputs'!$D$56</definedName>
    <definedName name="Divertor_campaigns">'Reactor Design Inputs'!$D$138</definedName>
    <definedName name="divertor_cassette_lifetime">'Reactor Design Inputs'!$D$137</definedName>
    <definedName name="divertor_coolant_circumference">'Reactor Design Inputs'!$D$38</definedName>
    <definedName name="Divertor_Coolant_Cut_Time">'Reactor Design Inputs'!$D$79</definedName>
    <definedName name="Divertor_Coolant_diameter">'Reactor Design Inputs'!$D$37</definedName>
    <definedName name="divertor_coolant_thickness">'Reactor Design Inputs'!$D$39</definedName>
    <definedName name="Divertor_Coolant_Weld_Time">'Reactor Design Inputs'!$D$101</definedName>
    <definedName name="Divertor_Cooling_Cutting_Passes">'Reactor Design Inputs'!$D$78</definedName>
    <definedName name="divertor_drain_circumference">'Reactor Design Inputs'!$D$46</definedName>
    <definedName name="Divertor_Drain_Cut_Time">'Reactor Design Inputs'!$D$85</definedName>
    <definedName name="Divertor_Drain_Cutting_Passes">'Reactor Design Inputs'!$D$84</definedName>
    <definedName name="Divertor_Drain_diameter">'Reactor Design Inputs'!$D$45</definedName>
    <definedName name="divertor_drain_thickness">'Reactor Design Inputs'!$D$47</definedName>
    <definedName name="Divertor_Drain_Weld_Passes">'Reactor Design Inputs'!$D$106</definedName>
    <definedName name="Divertor_Drain_Weld_Time">'Reactor Design Inputs'!$D$107</definedName>
    <definedName name="Divertor_LiPb_circumference">'Reactor Design Inputs'!$D$42</definedName>
    <definedName name="Divertor_LiPb_Cut_Time">'Reactor Design Inputs'!$D$82</definedName>
    <definedName name="Divertor_LiPb_Cutting_Passes">'Reactor Design Inputs'!$D$81</definedName>
    <definedName name="Divertor_LiPb_diameter">'Reactor Design Inputs'!$D$41</definedName>
    <definedName name="Divertor_LiPb_thickness">'Reactor Design Inputs'!$D$43</definedName>
    <definedName name="Divertor_LiPb_Weld_Passes">'Reactor Design Inputs'!$D$103</definedName>
    <definedName name="Divertor_LiPb_Weld_Time">'Reactor Design Inputs'!$D$104</definedName>
    <definedName name="divertor_module_cooling_pipes">'Reactor Design Inputs'!$D$60</definedName>
    <definedName name="divertor_module_drain_pipes">'Reactor Design Inputs'!$D$62</definedName>
    <definedName name="divertor_module_LiPb_pipes">'Reactor Design Inputs'!$D$61</definedName>
    <definedName name="Divertor_Port_Length">'Reactor Design Inputs'!$D$14</definedName>
    <definedName name="Divertor_port_pipes_per_blanket">'Reactor Design Inputs'!$D$58</definedName>
    <definedName name="divertor_port_strategy">'Plant Availibility Calculator'!$P$23:$T$23</definedName>
    <definedName name="dwell_period">'Reactor Design Inputs'!$D$276</definedName>
    <definedName name="dwell_time">'Reactor Design Inputs'!$D$277</definedName>
    <definedName name="ECH_cooling_connection_time">'Reactor Design Inputs'!$D$153</definedName>
    <definedName name="ECH_cooling_connections">'Reactor Design Inputs'!#REF!</definedName>
    <definedName name="ECH_cooling_disconnection_time">'Reactor Design Inputs'!$D$152</definedName>
    <definedName name="ECH_cooling_pipes">'Reactor Design Inputs'!$D$151</definedName>
    <definedName name="ECH_fixation_bolts">'Reactor Design Inputs'!$D$156</definedName>
    <definedName name="ECH_fixation_deployment">'Reactor Design Inputs'!$D$163</definedName>
    <definedName name="ECH_fixation_disconnection_ops">'Reactor Design Inputs'!$D$158</definedName>
    <definedName name="ECH_fixation_recovery">'Reactor Design Inputs'!$D$160</definedName>
    <definedName name="ECH_fixation_systems">'Reactor Design Inputs'!$D$155</definedName>
    <definedName name="ECH_fixation_tightening_ops">'Reactor Design Inputs'!$D$162</definedName>
    <definedName name="ECH_fixations_connection_time">'Reactor Design Inputs'!$D$165</definedName>
    <definedName name="ECH_fixations_disconnection_time">'Reactor Design Inputs'!$D$159</definedName>
    <definedName name="ECH_Pipe_grouping">'Reactor Design Inputs'!#REF!</definedName>
    <definedName name="ECH_pretensioning_duration">'Reactor Design Inputs'!$D$164</definedName>
    <definedName name="empty_cask_transporter_spd">'Reactor Design Inputs'!$D$214</definedName>
    <definedName name="empty_hardware_transporter_spd">'Reactor Design Inputs'!$D$210</definedName>
    <definedName name="Fine_location_time">'Reactor Design Inputs'!$D$199</definedName>
    <definedName name="fpy_to_cy">'Reactor Design Inputs'!$D$281</definedName>
    <definedName name="Full_Div_cask_days_2">'Lower Cask Summary'!$M$38</definedName>
    <definedName name="Full_Div_cask_days_3">'Lower Cask Summary'!$M$50</definedName>
    <definedName name="Full_Div_cask_days_4">'Lower Cask Summary'!$M$62</definedName>
    <definedName name="Full_Div_cask_days_6">'Lower Cask Summary'!$M$74</definedName>
    <definedName name="Full_Div_cask_days_series">'Lower Cask Summary'!$M$26</definedName>
    <definedName name="Full_Div_hc_days_2">'Lower Hot Cell Summary'!$M$38</definedName>
    <definedName name="Full_Div_hc_days_3">'Lower Hot Cell Summary'!$M$50</definedName>
    <definedName name="Full_Div_hc_days_4">'Lower Hot Cell Summary'!$M$62</definedName>
    <definedName name="Full_Div_hc_days_6">'Lower Hot Cell Summary'!$M$74</definedName>
    <definedName name="Full_Div_hc_days_series">'Lower Hot Cell Summary'!$M$26</definedName>
    <definedName name="Full_Div_hc_days_single">'Lower Hot Cell Summary'!$M$14</definedName>
    <definedName name="Hardware_transport_failure">'Reactor Design Inputs'!$D$266</definedName>
    <definedName name="He_Leak_test">'Reactor Design Inputs'!$D$116</definedName>
    <definedName name="IB_blankets_per_segmt">'Reactor Design Inputs'!$D$17</definedName>
    <definedName name="interim_maintenace_period">'Reactor Design Inputs'!$D$285</definedName>
    <definedName name="IPD_recovery_speed">'Reactor Design Inputs'!$D$222</definedName>
    <definedName name="IVM_arm_spd">'Reactor Design Inputs'!$D$202</definedName>
    <definedName name="IVM_Failure_Rate">'Reactor Design Inputs'!$D$238</definedName>
    <definedName name="Lift_check">'Reactor Design Inputs'!$D$127</definedName>
    <definedName name="loaded_cask_transporter_spd">'Reactor Design Inputs'!$D$212</definedName>
    <definedName name="loaded_crane_spd">'Reactor Design Inputs'!$D$204</definedName>
    <definedName name="loaded_hardware_transporter_spd">'Reactor Design Inputs'!$D$208</definedName>
    <definedName name="loaded_IPD_speed">'Reactor Design Inputs'!$D$220</definedName>
    <definedName name="loaded_VDS_speed">'Reactor Design Inputs'!$D$224</definedName>
    <definedName name="long_campaign_duration">'Reactor Design Inputs'!$D$288</definedName>
    <definedName name="Lower_VV_Contribution">'Reactor Design Inputs'!#REF!</definedName>
    <definedName name="LPT_ops_per_port">'Reactor Design Inputs'!#REF!</definedName>
    <definedName name="maintenance_sequence">'Reactor Design Inputs'!$D$292</definedName>
    <definedName name="Manual_Operations_Productivity_Factor">'Reactor Design Inputs'!$D$125</definedName>
    <definedName name="mfm_actuator_failure">'Reactor Design Inputs'!$D$250</definedName>
    <definedName name="MFM_deployment_spd">'Reactor Design Inputs'!$D$216</definedName>
    <definedName name="MFM_fine_mvmt_spd">'Reactor Design Inputs'!$D$217</definedName>
    <definedName name="mfm_fine_positioning_failure">'Reactor Design Inputs'!$D$251</definedName>
    <definedName name="MFM_recovery_spd">'Reactor Design Inputs'!$D$218</definedName>
    <definedName name="minor_maintenance_duration">'Reactor Design Inputs'!$D$291</definedName>
    <definedName name="minor_maintenance_intervals">'Reactor Design Inputs'!$D$293</definedName>
    <definedName name="NDT_Testing_time">'Reactor Design Inputs'!$D$117</definedName>
    <definedName name="Num_of_systems">'Reactor Design Inputs'!#REF!</definedName>
    <definedName name="OB_blankets_per_segmt">'Reactor Design Inputs'!$D$16</definedName>
    <definedName name="Only_Div_cask_days_2">'Lower Cask Summary'!$S$38</definedName>
    <definedName name="Only_Div_cask_days_3">'Lower Cask Summary'!$S$50</definedName>
    <definedName name="Only_Div_cask_days_4">'Lower Cask Summary'!$S$62</definedName>
    <definedName name="Only_Div_cask_days_6">'Lower Cask Summary'!$S$74</definedName>
    <definedName name="Only_Div_cask_days_series">'Lower Cask Summary'!$S$26</definedName>
    <definedName name="Only_Div_cask_days_single">'Lower Cask Summary'!$S$14</definedName>
    <definedName name="Only_Div_hc_days_2">'Lower Hot Cell Summary'!$S$38</definedName>
    <definedName name="Only_Div_hc_days_3">'Lower Hot Cell Summary'!$S$50</definedName>
    <definedName name="Only_Div_hc_days_4">'Lower Hot Cell Summary'!$S$62</definedName>
    <definedName name="Only_Div_hc_days_6">'Lower Hot Cell Summary'!$S$74</definedName>
    <definedName name="Only_Div_hc_days_series">'Lower Hot Cell Summary'!$S$26</definedName>
    <definedName name="Only_Div_hc_days_single">'Lower Hot Cell Summary'!$S$14</definedName>
    <definedName name="overhead_crane_failure">'Reactor Design Inputs'!$D$256</definedName>
    <definedName name="Overhead_gantry_failure">'Reactor Design Inputs'!$D$255</definedName>
    <definedName name="Overhead_hoist_failure">'Reactor Design Inputs'!$D$254</definedName>
    <definedName name="Part_movement_spd">'Reactor Design Inputs'!$D$197</definedName>
    <definedName name="Part_rotational_spd">'Reactor Design Inputs'!$D$198</definedName>
    <definedName name="PCP_fixation_bolts">'Reactor Design Inputs'!$D$168</definedName>
    <definedName name="PCP_fixation_deployment">'Reactor Design Inputs'!$D$175</definedName>
    <definedName name="PCP_fixation_disconnection_ops">'Reactor Design Inputs'!$D$170</definedName>
    <definedName name="PCP_fixation_recovery">'Reactor Design Inputs'!$D$172</definedName>
    <definedName name="PCP_fixation_tightening_ops">'Reactor Design Inputs'!$D$174</definedName>
    <definedName name="PCP_fixations_connection_time">'Reactor Design Inputs'!$D$177</definedName>
    <definedName name="PCP_fixations_disconnection_time">'Reactor Design Inputs'!$D$171</definedName>
    <definedName name="PCP_fixations_RM_systems">'Reactor Design Inputs'!$D$167</definedName>
    <definedName name="PCP_pretensioning_duration">'Reactor Design Inputs'!$D$176</definedName>
    <definedName name="Pipe_Cooldown_time">'Reactor Design Inputs'!$D$111</definedName>
    <definedName name="pipes_per_cassette">'Reactor Design Inputs'!$D$63</definedName>
    <definedName name="Plug_fixation_bolts">'Reactor Design Inputs'!$D$180</definedName>
    <definedName name="Plug_fixation_deployment">'Reactor Design Inputs'!$D$189</definedName>
    <definedName name="Plug_fixation_disconnection_ops">'Reactor Design Inputs'!$D$184</definedName>
    <definedName name="Plug_fixation_recovery">'Reactor Design Inputs'!$D$186</definedName>
    <definedName name="Plug_fixation_tightening_ops">'Reactor Design Inputs'!$D$188</definedName>
    <definedName name="Plug_fixations_connection_time">'Reactor Design Inputs'!$D$191</definedName>
    <definedName name="Plug_fixations_disconnection_time">'Reactor Design Inputs'!$D$185</definedName>
    <definedName name="Plug_flange_bolts">'Reactor Design Inputs'!$D$182</definedName>
    <definedName name="Plug_pretensioning_duration">'Reactor Design Inputs'!$D$190</definedName>
    <definedName name="Plug_RM_systems">'Reactor Design Inputs'!$D$179</definedName>
    <definedName name="power_cycle_duration">'Reactor Design Inputs'!$D$278</definedName>
    <definedName name="power_generation_period">'Reactor Design Inputs'!$D$284</definedName>
    <definedName name="Pulse_per_day">'Reactor Design Inputs'!$D$279</definedName>
    <definedName name="pulse_time">'Reactor Design Inputs'!$D$275</definedName>
    <definedName name="Pulses_per_campaign">'Reactor Design Inputs'!$D$280</definedName>
    <definedName name="pumping_pipe_connection_time">'Reactor Design Inputs'!$D$146</definedName>
    <definedName name="pumping_pipe_disconnection_time">'Reactor Design Inputs'!$D$145</definedName>
    <definedName name="pumping_pipework_connections">'Reactor Design Inputs'!$D$144</definedName>
    <definedName name="pumping_power_connection">'Reactor Design Inputs'!$D$142</definedName>
    <definedName name="pumping_power_connections">'Reactor Design Inputs'!$D$140</definedName>
    <definedName name="pumping_power_disconnection">'Reactor Design Inputs'!$D$141</definedName>
    <definedName name="PWHT_time">'Reactor Design Inputs'!$D$110</definedName>
    <definedName name="RHE_failure_rate">'Reactor Design Inputs'!#REF!</definedName>
    <definedName name="RM_cooldown_period">'Reactor Design Inputs'!$D$283</definedName>
    <definedName name="RM_task_type">'Reactor Design Inputs'!$B$324:$B$325</definedName>
    <definedName name="second_blanket_campaigns">'Reactor Design Inputs'!$D$135</definedName>
    <definedName name="second_blanket_lifetime">'Reactor Design Inputs'!$D$134</definedName>
    <definedName name="sequence_duration">'Reactor Design Inputs'!$D$286</definedName>
    <definedName name="SJS_deployment_spd">'Reactor Design Inputs'!$D$228</definedName>
    <definedName name="SJS_inserting_welding_gas">'Reactor Design Inputs'!$D$109</definedName>
    <definedName name="SJS_pipe_clamp">'Reactor Design Inputs'!$D$119</definedName>
    <definedName name="SJS_recovery_spd">'Reactor Design Inputs'!$D$229</definedName>
    <definedName name="SJS_tension_pipe">'Reactor Design Inputs'!$D$120</definedName>
    <definedName name="SJS_Tool_Change">'Reactor Design Inputs'!$D$112</definedName>
    <definedName name="SJS_unclamp_pipe">'Reactor Design Inputs'!$D$121</definedName>
    <definedName name="SJS_visual_check">'Reactor Design Inputs'!$D$114</definedName>
    <definedName name="SJS_volumetric_testing">'Reactor Design Inputs'!$D$115</definedName>
    <definedName name="SJS_welder_failure">'Reactor Design Inputs'!$D$261</definedName>
    <definedName name="starter_blanket_campaigns">'Reactor Design Inputs'!$D$132</definedName>
    <definedName name="starter_blanket_lifetime">'Reactor Design Inputs'!$D$131</definedName>
    <definedName name="Tokamak_Segmts">'Reactor Design Inputs'!$D$11</definedName>
    <definedName name="Tool_Failure_Rate">'Reactor Design Inputs'!$D$236</definedName>
    <definedName name="Tool_movement_spd">'Reactor Design Inputs'!$D$200</definedName>
    <definedName name="Tool_rotation_spd">'Reactor Design Inputs'!$D$201</definedName>
    <definedName name="total_blanket_lift_time">'Reactor Design Inputs'!$D$233</definedName>
    <definedName name="total_BT_failure">'Reactor Design Inputs'!$D$248</definedName>
    <definedName name="Total_Cask_Failure_Rate">'Reactor Design Inputs'!$D$243</definedName>
    <definedName name="Total_Cassette_Handling_Failure">'Reactor Design Inputs'!$D$272</definedName>
    <definedName name="total_mfm_failure">'Reactor Design Inputs'!$D$252</definedName>
    <definedName name="two_shift_productivity_ratio">'Reactor Design Inputs'!$D$123</definedName>
    <definedName name="unloaded_cask_transporter_spd">'Reactor Design Inputs'!$D$213</definedName>
    <definedName name="unloaded_crane_spd">'Reactor Design Inputs'!$D$205</definedName>
    <definedName name="unloaded_hardware_transporter_spd">'Reactor Design Inputs'!$D$209</definedName>
    <definedName name="unloaded_IPD_speed">'Reactor Design Inputs'!$D$221</definedName>
    <definedName name="unloaded_VDS_speed">'Reactor Design Inputs'!$D$225</definedName>
    <definedName name="Upper_VV_Contribution">'Reactor Design Inputs'!#REF!</definedName>
    <definedName name="vacuum_transport_connection_time">'Reactor Design Inputs'!$D$148</definedName>
    <definedName name="vacuum_transport_release_time">'Reactor Design Inputs'!$D$149</definedName>
    <definedName name="vertical_blanket_cooling_pipes">'Reactor Design Inputs'!$D$50</definedName>
    <definedName name="vertical_blanket_drain_pipes">'Reactor Design Inputs'!$D$52</definedName>
    <definedName name="vertical_blanket_LiPb_pipes">'Reactor Design Inputs'!$D$51</definedName>
    <definedName name="Vertical_Port_Length">'Reactor Design Inputs'!$D$13</definedName>
    <definedName name="Vertical_port_pipes_per_blanket">'Reactor Design Inputs'!$D$53</definedName>
    <definedName name="Vertical_port_strategy">'Plant Availibility Calculator'!$P$18:$T$18</definedName>
    <definedName name="VMC_Failure_Rate">'Reactor Design Inputs'!$D$237</definedName>
    <definedName name="warmup_campaigns">'Reactor Design Inputs'!$D$290</definedName>
    <definedName name="weld_depth">'Reactor Design Inputs'!$D$89</definedName>
    <definedName name="Weld_Failure_Rate">'Reactor Design Inputs'!$D$235</definedName>
    <definedName name="welding_speed">'Reactor Design Inputs'!$D$88</definedName>
    <definedName name="Z_9C0AA20B_B2A2_4A2C_B279_4A5988F4E71A_.wvu.Cols" localSheetId="8" hidden="1">'Lower Cask Critical Path'!$I:$M,'Lower Cask Critical Path'!$O:$O,'Lower Cask Critical Path'!$Q:$R</definedName>
    <definedName name="Z_9C0AA20B_B2A2_4A2C_B279_4A5988F4E71A_.wvu.Cols" localSheetId="11" hidden="1">'Lower Cask Recovery Scenarios'!$O:$O</definedName>
    <definedName name="Z_9C0AA20B_B2A2_4A2C_B279_4A5988F4E71A_.wvu.Cols" localSheetId="12" hidden="1">'Lower Cask Weld Failures'!$J:$N,'Lower Cask Weld Failures'!$P:$P</definedName>
    <definedName name="Z_9C0AA20B_B2A2_4A2C_B279_4A5988F4E71A_.wvu.Cols" localSheetId="15" hidden="1">'Lower Hot Cell Critical Path'!$I:$M,'Lower Hot Cell Critical Path'!$O:$O</definedName>
    <definedName name="Z_9C0AA20B_B2A2_4A2C_B279_4A5988F4E71A_.wvu.Cols" localSheetId="17" hidden="1">'Lower Hot Cell Hardware Failure'!$O:$O</definedName>
    <definedName name="Z_9C0AA20B_B2A2_4A2C_B279_4A5988F4E71A_.wvu.Cols" localSheetId="18" hidden="1">'Lower Hot Cell Weld Failure'!$J:$N,'Lower Hot Cell Weld Failure'!$P:$P</definedName>
    <definedName name="Z_9C0AA20B_B2A2_4A2C_B279_4A5988F4E71A_.wvu.Cols" localSheetId="19" hidden="1">'Lower HotCell RecoveryLogistics'!$G:$G,'Lower HotCell RecoveryLogistics'!$I:$M,'Lower HotCell RecoveryLogistics'!$O:$O</definedName>
    <definedName name="Z_9C0AA20B_B2A2_4A2C_B279_4A5988F4E71A_.wvu.Cols" localSheetId="13" hidden="1">'LowerCask Recovery Dependencies'!$I:$M,'LowerCask Recovery Dependencies'!$O:$O</definedName>
    <definedName name="Z_9C0AA20B_B2A2_4A2C_B279_4A5988F4E71A_.wvu.Cols" localSheetId="22" hidden="1">'Upper Cask Critical Path'!$G:$G,'Upper Cask Critical Path'!$I:$M,'Upper Cask Critical Path'!$O:$O,'Upper Cask Critical Path'!$Q:$R</definedName>
    <definedName name="Z_9C0AA20B_B2A2_4A2C_B279_4A5988F4E71A_.wvu.Cols" localSheetId="23" hidden="1">'Upper Cask Dependencies'!$G:$G</definedName>
    <definedName name="Z_9C0AA20B_B2A2_4A2C_B279_4A5988F4E71A_.wvu.Cols" localSheetId="27" hidden="1">'Upper Cask Recovery Logistics'!$O:$O</definedName>
    <definedName name="Z_9C0AA20B_B2A2_4A2C_B279_4A5988F4E71A_.wvu.Cols" localSheetId="26" hidden="1">'Upper Cask Recovery Scenarios'!$H:$H,'Upper Cask Recovery Scenarios'!$J:$N,'Upper Cask Recovery Scenarios'!$P:$P,'Upper Cask Recovery Scenarios'!$R:$S</definedName>
    <definedName name="Z_9C0AA20B_B2A2_4A2C_B279_4A5988F4E71A_.wvu.Cols" localSheetId="25" hidden="1">'Upper Cask Welding failures'!$K:$O,'Upper Cask Welding failures'!$Q:$Q</definedName>
    <definedName name="Z_9C0AA20B_B2A2_4A2C_B279_4A5988F4E71A_.wvu.Cols" localSheetId="29" hidden="1">'Upper Hot Cell Critical Path'!$O:$O,'Upper Hot Cell Critical Path'!$Q:$R</definedName>
    <definedName name="Z_9C0AA20B_B2A2_4A2C_B279_4A5988F4E71A_.wvu.Cols" localSheetId="33" hidden="1">'Upper HotCell HardwareRecovery'!$H:$H,'Upper HotCell HardwareRecovery'!$J:$N,'Upper HotCell HardwareRecovery'!$P:$P,'Upper HotCell HardwareRecovery'!$R:$S</definedName>
    <definedName name="Z_9C0AA20B_B2A2_4A2C_B279_4A5988F4E71A_.wvu.FilterData" localSheetId="8" hidden="1">'Lower Cask Critical Path'!$C$6:$P$87</definedName>
    <definedName name="Z_9C0AA20B_B2A2_4A2C_B279_4A5988F4E71A_.wvu.FilterData" localSheetId="9" hidden="1">'Lower Cask Dependencies'!$B$5:$P$5</definedName>
    <definedName name="Z_9C0AA20B_B2A2_4A2C_B279_4A5988F4E71A_.wvu.FilterData" localSheetId="15" hidden="1">'Lower Hot Cell Critical Path'!$C$6:$P$70</definedName>
    <definedName name="Z_9C0AA20B_B2A2_4A2C_B279_4A5988F4E71A_.wvu.FilterData" localSheetId="20" hidden="1">'Lower Hot Cell Dependencies'!$B$5:$P$5</definedName>
    <definedName name="Z_9C0AA20B_B2A2_4A2C_B279_4A5988F4E71A_.wvu.FilterData" localSheetId="19" hidden="1">'Lower HotCell RecoveryLogistics'!$B$3:$P$3</definedName>
    <definedName name="Z_9C0AA20B_B2A2_4A2C_B279_4A5988F4E71A_.wvu.FilterData" localSheetId="13" hidden="1">'LowerCask Recovery Dependencies'!$B$3:$P$3</definedName>
    <definedName name="Z_9C0AA20B_B2A2_4A2C_B279_4A5988F4E71A_.wvu.FilterData" localSheetId="1" hidden="1">'Reactor Design Inputs'!$B$1:$F$233</definedName>
    <definedName name="Z_9C0AA20B_B2A2_4A2C_B279_4A5988F4E71A_.wvu.FilterData" localSheetId="22" hidden="1">'Upper Cask Critical Path'!$B$6:$S$268</definedName>
    <definedName name="Z_9C0AA20B_B2A2_4A2C_B279_4A5988F4E71A_.wvu.FilterData" localSheetId="23" hidden="1">'Upper Cask Dependencies'!$B$3:$P$135</definedName>
    <definedName name="Z_9C0AA20B_B2A2_4A2C_B279_4A5988F4E71A_.wvu.FilterData" localSheetId="27" hidden="1">'Upper Cask Recovery Logistics'!$B$3:$P$3</definedName>
    <definedName name="Z_9C0AA20B_B2A2_4A2C_B279_4A5988F4E71A_.wvu.FilterData" localSheetId="29" hidden="1">'Upper Hot Cell Critical Path'!$C$3:$P$82</definedName>
    <definedName name="Z_9C0AA20B_B2A2_4A2C_B279_4A5988F4E71A_.wvu.FilterData" localSheetId="30" hidden="1">'Upper Hot Cell Dependencies'!$B$5:$P$113</definedName>
    <definedName name="Z_9C0AA20B_B2A2_4A2C_B279_4A5988F4E71A_.wvu.FilterData" localSheetId="34" hidden="1">'Upper HotCell RecoveryLogisitcs'!$B$3:$P$3</definedName>
    <definedName name="Z_9C0AA20B_B2A2_4A2C_B279_4A5988F4E71A_.wvu.Rows" localSheetId="12" hidden="1">'Lower Cask Weld Failures'!$36:$121,'Lower Cask Weld Failures'!$125:$194,'Lower Cask Weld Failures'!$198:$259,'Lower Cask Weld Failures'!$263:$314,'Lower Cask Weld Failures'!$318:$352,'Lower Cask Weld Failures'!$356:$383,'Lower Cask Weld Failures'!$387:$413,'Lower Cask Weld Failures'!$417:$490,'Lower Cask Weld Failures'!$494:$561,'Lower Cask Weld Failures'!$565:$625</definedName>
    <definedName name="Z_9C0AA20B_B2A2_4A2C_B279_4A5988F4E71A_.wvu.Rows" localSheetId="18" hidden="1">'Lower Hot Cell Weld Failure'!$49:$104,'Lower Hot Cell Weld Failure'!$124:$165,'Lower Hot Cell Weld Failure'!$185:$219,'Lower Hot Cell Weld Failure'!$239:$254,'Lower Hot Cell Weld Failure'!$274:$302,'Lower Hot Cell Weld Failure'!$322:$331,'Lower Hot Cell Weld Failure'!$351:$373,'Lower Hot Cell Weld Failure'!$393:$434,'Lower Hot Cell Weld Failure'!$454:$490,'Lower Hot Cell Weld Failure'!$510:$540</definedName>
    <definedName name="Z_9C0AA20B_B2A2_4A2C_B279_4A5988F4E71A_.wvu.Rows" localSheetId="19" hidden="1">'Lower HotCell RecoveryLogistics'!$5:$109,'Lower HotCell RecoveryLogistics'!$112:$193,'Lower HotCell RecoveryLogistics'!$196:$261,'Lower HotCell RecoveryLogistics'!$264:$313,'Lower HotCell RecoveryLogistics'!$316:$355,'Lower HotCell RecoveryLogistics'!$358:$392,'Lower HotCell RecoveryLogistics'!$395:$406,'Lower HotCell RecoveryLogistics'!$409:$486,'Lower HotCell RecoveryLogistics'!$489:$556,'Lower HotCell RecoveryLogistics'!$559:$607,'Lower HotCell RecoveryLogistics'!$610:$615,'Lower HotCell RecoveryLogistics'!$618:$624,'Lower HotCell RecoveryLogistics'!$627:$633</definedName>
    <definedName name="Z_9C0AA20B_B2A2_4A2C_B279_4A5988F4E71A_.wvu.Rows" localSheetId="25" hidden="1">'Upper Cask Welding failures'!$31:$173,'Upper Cask Welding failures'!$177:$299,'Upper Cask Welding failures'!$303:$405,'Upper Cask Welding failures'!$409:$497,'Upper Cask Welding failures'!$501:$563</definedName>
    <definedName name="Z_9C0AA20B_B2A2_4A2C_B279_4A5988F4E71A_.wvu.Rows" localSheetId="34" hidden="1">'Upper HotCell RecoveryLogisitcs'!$274:$333</definedName>
  </definedNames>
  <calcPr calcId="171027"/>
  <customWorkbookViews>
    <customWorkbookView name="All_visable" guid="{9C0AA20B-B2A2-4A2C-B279-4A5988F4E71A}" maximized="1" xWindow="-8" yWindow="-8" windowWidth="1936" windowHeight="1056" tabRatio="901" activeSheetId="98"/>
  </customWorkbookViews>
  <fileRecoveryPr autoRecover="0"/>
</workbook>
</file>

<file path=xl/calcChain.xml><?xml version="1.0" encoding="utf-8"?>
<calcChain xmlns="http://schemas.openxmlformats.org/spreadsheetml/2006/main">
  <c r="C16" i="154" l="1"/>
  <c r="C19" i="154"/>
  <c r="B19" i="154"/>
  <c r="M72" i="133"/>
  <c r="M60" i="133"/>
  <c r="M48" i="133"/>
  <c r="M36" i="133"/>
  <c r="M24" i="133"/>
  <c r="M12" i="133"/>
  <c r="B16" i="154"/>
  <c r="B13" i="154"/>
  <c r="B12" i="154"/>
  <c r="B11" i="154"/>
  <c r="B10" i="154"/>
  <c r="B9" i="154"/>
  <c r="C13" i="154"/>
  <c r="C12" i="154"/>
  <c r="C11" i="154"/>
  <c r="C10" i="154"/>
  <c r="C9" i="154"/>
  <c r="C6" i="154"/>
  <c r="C5" i="154"/>
  <c r="C4" i="154"/>
  <c r="C3" i="154"/>
  <c r="C2" i="154"/>
  <c r="H34" i="108" l="1"/>
  <c r="H32" i="108"/>
  <c r="H30" i="108"/>
  <c r="P34" i="133"/>
  <c r="O34" i="133"/>
  <c r="P32" i="133"/>
  <c r="O32" i="133"/>
  <c r="P30" i="133"/>
  <c r="O30" i="133"/>
  <c r="P46" i="133"/>
  <c r="O46" i="133"/>
  <c r="P44" i="133"/>
  <c r="O44" i="133"/>
  <c r="P42" i="133"/>
  <c r="O42" i="133"/>
  <c r="P58" i="133"/>
  <c r="O58" i="133"/>
  <c r="P56" i="133"/>
  <c r="O56" i="133"/>
  <c r="P54" i="133"/>
  <c r="O54" i="133"/>
  <c r="P70" i="133"/>
  <c r="O70" i="133"/>
  <c r="P68" i="133"/>
  <c r="O68" i="133"/>
  <c r="P66" i="133"/>
  <c r="O66" i="133"/>
  <c r="P70" i="125"/>
  <c r="O70" i="125"/>
  <c r="F70" i="125"/>
  <c r="E70" i="125"/>
  <c r="P68" i="125"/>
  <c r="O68" i="125"/>
  <c r="F68" i="125"/>
  <c r="E68" i="125"/>
  <c r="P66" i="125"/>
  <c r="O66" i="125"/>
  <c r="F66" i="125"/>
  <c r="E66" i="125"/>
  <c r="P58" i="125"/>
  <c r="O58" i="125"/>
  <c r="F58" i="125"/>
  <c r="E58" i="125"/>
  <c r="P56" i="125"/>
  <c r="O56" i="125"/>
  <c r="F56" i="125"/>
  <c r="E56" i="125"/>
  <c r="P54" i="125"/>
  <c r="O54" i="125"/>
  <c r="F54" i="125"/>
  <c r="E54" i="125"/>
  <c r="P46" i="125"/>
  <c r="O46" i="125"/>
  <c r="F46" i="125"/>
  <c r="E46" i="125"/>
  <c r="P44" i="125"/>
  <c r="O44" i="125"/>
  <c r="F44" i="125"/>
  <c r="E44" i="125"/>
  <c r="P42" i="125"/>
  <c r="O42" i="125"/>
  <c r="F42" i="125"/>
  <c r="E42" i="125"/>
  <c r="P34" i="125"/>
  <c r="O34" i="125"/>
  <c r="F34" i="125"/>
  <c r="E34" i="125"/>
  <c r="P32" i="125"/>
  <c r="O32" i="125"/>
  <c r="F32" i="125"/>
  <c r="E32" i="125"/>
  <c r="P30" i="125"/>
  <c r="O30" i="125"/>
  <c r="F30" i="125"/>
  <c r="E30" i="125"/>
  <c r="Y4" i="100"/>
  <c r="X4" i="100"/>
  <c r="W4" i="100"/>
  <c r="V4" i="100"/>
  <c r="U4" i="100"/>
  <c r="T4" i="100"/>
  <c r="S4" i="100"/>
  <c r="R4" i="100"/>
  <c r="Q4" i="100"/>
  <c r="P4" i="100"/>
  <c r="I14" i="108" l="1"/>
  <c r="I14" i="117"/>
  <c r="I14" i="133"/>
  <c r="I14" i="125"/>
  <c r="I14" i="100"/>
  <c r="K41" i="117"/>
  <c r="C37" i="98" l="1"/>
  <c r="D37" i="98"/>
  <c r="D38" i="98"/>
  <c r="D39" i="98"/>
  <c r="D40" i="98"/>
  <c r="D41" i="98"/>
  <c r="C42" i="98"/>
  <c r="D43" i="98"/>
  <c r="D46" i="98"/>
  <c r="C47" i="98"/>
  <c r="C51" i="98"/>
  <c r="D51" i="98"/>
  <c r="D53" i="98"/>
  <c r="D54" i="98"/>
  <c r="C56" i="98"/>
  <c r="D57" i="98"/>
  <c r="K4" i="125"/>
  <c r="K4" i="133"/>
  <c r="K4" i="117"/>
  <c r="K4" i="108"/>
  <c r="D42" i="98" l="1"/>
  <c r="D56" i="98"/>
  <c r="D47" i="98"/>
  <c r="J79" i="60"/>
  <c r="J78" i="60"/>
  <c r="J77" i="60"/>
  <c r="J76" i="60"/>
  <c r="J75" i="60"/>
  <c r="J74" i="60"/>
  <c r="J73" i="60"/>
  <c r="J68" i="60"/>
  <c r="J67" i="60"/>
  <c r="J66" i="60"/>
  <c r="J65" i="60"/>
  <c r="J64" i="60"/>
  <c r="J63" i="60"/>
  <c r="J62" i="60"/>
  <c r="J57" i="60"/>
  <c r="J56" i="60"/>
  <c r="J55" i="60"/>
  <c r="J54" i="60"/>
  <c r="J53" i="60"/>
  <c r="J52" i="60"/>
  <c r="J51" i="60"/>
  <c r="J50" i="60"/>
  <c r="J49" i="60"/>
  <c r="J48" i="60"/>
  <c r="J47" i="60"/>
  <c r="J46" i="60"/>
  <c r="J45" i="60"/>
  <c r="J44" i="60"/>
  <c r="J43" i="60"/>
  <c r="J42" i="60"/>
  <c r="J41" i="60"/>
  <c r="J40" i="60"/>
  <c r="J39" i="60"/>
  <c r="J38" i="60"/>
  <c r="J37" i="60"/>
  <c r="J32" i="60"/>
  <c r="J31" i="60"/>
  <c r="J30" i="60"/>
  <c r="J29" i="60"/>
  <c r="J28" i="60"/>
  <c r="J27" i="60"/>
  <c r="J26" i="60"/>
  <c r="J25" i="60"/>
  <c r="J24" i="60"/>
  <c r="J23" i="60"/>
  <c r="J22" i="60"/>
  <c r="J21" i="60"/>
  <c r="J20" i="60"/>
  <c r="J19" i="60"/>
  <c r="J18" i="60"/>
  <c r="J17" i="60"/>
  <c r="J16" i="60"/>
  <c r="J15" i="60"/>
  <c r="J14" i="60"/>
  <c r="J13" i="60"/>
  <c r="J12" i="60"/>
  <c r="J11" i="60"/>
  <c r="J10" i="60"/>
  <c r="J9" i="60"/>
  <c r="J8" i="60"/>
  <c r="J7" i="60"/>
  <c r="J6" i="60"/>
  <c r="J5" i="60"/>
  <c r="P489" i="115"/>
  <c r="N489" i="115"/>
  <c r="M489" i="115"/>
  <c r="L489" i="115"/>
  <c r="H489" i="115"/>
  <c r="E489" i="115"/>
  <c r="C489" i="115"/>
  <c r="P488" i="115"/>
  <c r="N488" i="115"/>
  <c r="M488" i="115"/>
  <c r="L488" i="115"/>
  <c r="H488" i="115"/>
  <c r="E488" i="115"/>
  <c r="P487" i="115"/>
  <c r="N487" i="115"/>
  <c r="M487" i="115"/>
  <c r="L487" i="115"/>
  <c r="H487" i="115"/>
  <c r="F487" i="115"/>
  <c r="P486" i="115"/>
  <c r="N486" i="115"/>
  <c r="M486" i="115"/>
  <c r="L486" i="115"/>
  <c r="H486" i="115"/>
  <c r="C486" i="115"/>
  <c r="P485" i="115"/>
  <c r="N485" i="115"/>
  <c r="M485" i="115"/>
  <c r="L485" i="115"/>
  <c r="H485" i="115"/>
  <c r="P484" i="115"/>
  <c r="N484" i="115"/>
  <c r="M484" i="115"/>
  <c r="L484" i="115"/>
  <c r="H484" i="115"/>
  <c r="F484" i="115"/>
  <c r="P483" i="115"/>
  <c r="N483" i="115"/>
  <c r="M483" i="115"/>
  <c r="L483" i="115"/>
  <c r="H483" i="115"/>
  <c r="E483" i="115" s="1"/>
  <c r="C483" i="115"/>
  <c r="P482" i="115"/>
  <c r="N482" i="115"/>
  <c r="M482" i="115"/>
  <c r="L482" i="115"/>
  <c r="H482" i="115"/>
  <c r="P481" i="115"/>
  <c r="M481" i="115"/>
  <c r="L481" i="115"/>
  <c r="N481" i="115" s="1"/>
  <c r="H481" i="115"/>
  <c r="P480" i="115"/>
  <c r="N480" i="115"/>
  <c r="M480" i="115"/>
  <c r="L480" i="115"/>
  <c r="H480" i="115"/>
  <c r="E480" i="115" s="1"/>
  <c r="P479" i="115"/>
  <c r="N479" i="115"/>
  <c r="M479" i="115"/>
  <c r="L479" i="115"/>
  <c r="H479" i="115"/>
  <c r="P478" i="115"/>
  <c r="N478" i="115"/>
  <c r="M478" i="115"/>
  <c r="L478" i="115"/>
  <c r="H478" i="115"/>
  <c r="E478" i="115" s="1"/>
  <c r="C478" i="115"/>
  <c r="P477" i="115"/>
  <c r="N477" i="115"/>
  <c r="M477" i="115"/>
  <c r="L477" i="115"/>
  <c r="H477" i="115"/>
  <c r="E477" i="115" s="1"/>
  <c r="C477" i="115"/>
  <c r="P476" i="115"/>
  <c r="N476" i="115"/>
  <c r="M476" i="115"/>
  <c r="L476" i="115"/>
  <c r="H476" i="115"/>
  <c r="P475" i="115"/>
  <c r="M475" i="115"/>
  <c r="L475" i="115"/>
  <c r="N475" i="115" s="1"/>
  <c r="H475" i="115"/>
  <c r="P474" i="115"/>
  <c r="N474" i="115"/>
  <c r="M474" i="115"/>
  <c r="L474" i="115"/>
  <c r="H474" i="115"/>
  <c r="E474" i="115" s="1"/>
  <c r="P473" i="115"/>
  <c r="N473" i="115"/>
  <c r="M473" i="115"/>
  <c r="L473" i="115"/>
  <c r="H473" i="115"/>
  <c r="P472" i="115"/>
  <c r="N472" i="115"/>
  <c r="M472" i="115"/>
  <c r="L472" i="115"/>
  <c r="H472" i="115"/>
  <c r="E472" i="115" s="1"/>
  <c r="P471" i="115"/>
  <c r="M471" i="115"/>
  <c r="N471" i="115" s="1"/>
  <c r="L471" i="115"/>
  <c r="H471" i="115"/>
  <c r="P470" i="115"/>
  <c r="N470" i="115"/>
  <c r="M470" i="115"/>
  <c r="L470" i="115"/>
  <c r="H470" i="115"/>
  <c r="C470" i="115"/>
  <c r="P469" i="115"/>
  <c r="E469" i="115" s="1"/>
  <c r="N469" i="115"/>
  <c r="M469" i="115"/>
  <c r="L469" i="115"/>
  <c r="H469" i="115"/>
  <c r="C469" i="115"/>
  <c r="P468" i="115"/>
  <c r="N468" i="115"/>
  <c r="M468" i="115"/>
  <c r="L468" i="115"/>
  <c r="H468" i="115"/>
  <c r="E468" i="115" s="1"/>
  <c r="P467" i="115"/>
  <c r="M467" i="115"/>
  <c r="L467" i="115"/>
  <c r="N467" i="115" s="1"/>
  <c r="H467" i="115"/>
  <c r="P466" i="115"/>
  <c r="N466" i="115"/>
  <c r="M466" i="115"/>
  <c r="L466" i="115"/>
  <c r="H466" i="115"/>
  <c r="C466" i="115"/>
  <c r="P465" i="115"/>
  <c r="N465" i="115"/>
  <c r="M465" i="115"/>
  <c r="L465" i="115"/>
  <c r="H465" i="115"/>
  <c r="E465" i="115" s="1"/>
  <c r="C465" i="115"/>
  <c r="P464" i="115"/>
  <c r="N464" i="115"/>
  <c r="M464" i="115"/>
  <c r="L464" i="115"/>
  <c r="H464" i="115"/>
  <c r="E464" i="115" s="1"/>
  <c r="P463" i="115"/>
  <c r="N463" i="115"/>
  <c r="M463" i="115"/>
  <c r="L463" i="115"/>
  <c r="H463" i="115"/>
  <c r="P462" i="115"/>
  <c r="N462" i="115"/>
  <c r="M462" i="115"/>
  <c r="L462" i="115"/>
  <c r="H462" i="115"/>
  <c r="E462" i="115" s="1"/>
  <c r="C462" i="115"/>
  <c r="P461" i="115"/>
  <c r="N461" i="115"/>
  <c r="M461" i="115"/>
  <c r="L461" i="115"/>
  <c r="H461" i="115"/>
  <c r="E461" i="115" s="1"/>
  <c r="C461" i="115"/>
  <c r="P460" i="115"/>
  <c r="N460" i="115"/>
  <c r="M460" i="115"/>
  <c r="L460" i="115"/>
  <c r="H460" i="115"/>
  <c r="P459" i="115"/>
  <c r="M459" i="115"/>
  <c r="L459" i="115"/>
  <c r="N459" i="115" s="1"/>
  <c r="E459" i="115" s="1"/>
  <c r="H459" i="115"/>
  <c r="P458" i="115"/>
  <c r="N458" i="115"/>
  <c r="M458" i="115"/>
  <c r="L458" i="115"/>
  <c r="H458" i="115"/>
  <c r="E458" i="115" s="1"/>
  <c r="C458" i="115"/>
  <c r="P457" i="115"/>
  <c r="N457" i="115"/>
  <c r="M457" i="115"/>
  <c r="L457" i="115"/>
  <c r="H457" i="115"/>
  <c r="C457" i="115"/>
  <c r="P456" i="115"/>
  <c r="N456" i="115"/>
  <c r="M456" i="115"/>
  <c r="L456" i="115"/>
  <c r="H456" i="115"/>
  <c r="P455" i="115"/>
  <c r="M455" i="115"/>
  <c r="L455" i="115"/>
  <c r="N455" i="115" s="1"/>
  <c r="H455" i="115"/>
  <c r="E455" i="115" s="1"/>
  <c r="P454" i="115"/>
  <c r="N454" i="115"/>
  <c r="M454" i="115"/>
  <c r="L454" i="115"/>
  <c r="H454" i="115"/>
  <c r="P453" i="115"/>
  <c r="M453" i="115"/>
  <c r="L453" i="115"/>
  <c r="N453" i="115" s="1"/>
  <c r="H453" i="115"/>
  <c r="P452" i="115"/>
  <c r="N452" i="115"/>
  <c r="M452" i="115"/>
  <c r="L452" i="115"/>
  <c r="H452" i="115"/>
  <c r="E452" i="115" s="1"/>
  <c r="C452" i="115"/>
  <c r="P451" i="115"/>
  <c r="N451" i="115"/>
  <c r="M451" i="115"/>
  <c r="L451" i="115"/>
  <c r="H451" i="115"/>
  <c r="C451" i="115"/>
  <c r="P450" i="115"/>
  <c r="N450" i="115"/>
  <c r="M450" i="115"/>
  <c r="L450" i="115"/>
  <c r="H450" i="115"/>
  <c r="P449" i="115"/>
  <c r="M449" i="115"/>
  <c r="L449" i="115"/>
  <c r="N449" i="115" s="1"/>
  <c r="H449" i="115"/>
  <c r="E449" i="115" s="1"/>
  <c r="P448" i="115"/>
  <c r="N448" i="115"/>
  <c r="M448" i="115"/>
  <c r="L448" i="115"/>
  <c r="H448" i="115"/>
  <c r="C448" i="115"/>
  <c r="P447" i="115"/>
  <c r="N447" i="115"/>
  <c r="M447" i="115"/>
  <c r="L447" i="115"/>
  <c r="H447" i="115"/>
  <c r="C447" i="115"/>
  <c r="P446" i="115"/>
  <c r="N446" i="115"/>
  <c r="M446" i="115"/>
  <c r="L446" i="115"/>
  <c r="H446" i="115"/>
  <c r="E446" i="115" s="1"/>
  <c r="P445" i="115"/>
  <c r="M445" i="115"/>
  <c r="N445" i="115" s="1"/>
  <c r="L445" i="115"/>
  <c r="H445" i="115"/>
  <c r="P444" i="115"/>
  <c r="N444" i="115"/>
  <c r="M444" i="115"/>
  <c r="L444" i="115"/>
  <c r="H444" i="115"/>
  <c r="C444" i="115"/>
  <c r="P443" i="115"/>
  <c r="N443" i="115"/>
  <c r="M443" i="115"/>
  <c r="L443" i="115"/>
  <c r="H443" i="115"/>
  <c r="E443" i="115" s="1"/>
  <c r="C443" i="115"/>
  <c r="P442" i="115"/>
  <c r="N442" i="115"/>
  <c r="M442" i="115"/>
  <c r="L442" i="115"/>
  <c r="H442" i="115"/>
  <c r="E442" i="115" s="1"/>
  <c r="P441" i="115"/>
  <c r="N441" i="115"/>
  <c r="M441" i="115"/>
  <c r="L441" i="115"/>
  <c r="H441" i="115"/>
  <c r="P440" i="115"/>
  <c r="N440" i="115"/>
  <c r="M440" i="115"/>
  <c r="L440" i="115"/>
  <c r="H440" i="115"/>
  <c r="E440" i="115" s="1"/>
  <c r="C440" i="115"/>
  <c r="P439" i="115"/>
  <c r="N439" i="115"/>
  <c r="M439" i="115"/>
  <c r="L439" i="115"/>
  <c r="H439" i="115"/>
  <c r="E439" i="115" s="1"/>
  <c r="C439" i="115"/>
  <c r="P438" i="115"/>
  <c r="N438" i="115"/>
  <c r="M438" i="115"/>
  <c r="L438" i="115"/>
  <c r="H438" i="115"/>
  <c r="P437" i="115"/>
  <c r="M437" i="115"/>
  <c r="L437" i="115"/>
  <c r="N437" i="115" s="1"/>
  <c r="H437" i="115"/>
  <c r="P436" i="115"/>
  <c r="N436" i="115"/>
  <c r="M436" i="115"/>
  <c r="L436" i="115"/>
  <c r="H436" i="115"/>
  <c r="E436" i="115" s="1"/>
  <c r="C436" i="115"/>
  <c r="P435" i="115"/>
  <c r="N435" i="115"/>
  <c r="M435" i="115"/>
  <c r="L435" i="115"/>
  <c r="H435" i="115"/>
  <c r="C435" i="115"/>
  <c r="P434" i="115"/>
  <c r="M434" i="115"/>
  <c r="N434" i="115" s="1"/>
  <c r="L434" i="115"/>
  <c r="H434" i="115"/>
  <c r="P433" i="115"/>
  <c r="N433" i="115"/>
  <c r="M433" i="115"/>
  <c r="L433" i="115"/>
  <c r="H433" i="115"/>
  <c r="E433" i="115" s="1"/>
  <c r="P432" i="115"/>
  <c r="M432" i="115"/>
  <c r="L432" i="115"/>
  <c r="N432" i="115" s="1"/>
  <c r="H432" i="115"/>
  <c r="P431" i="115"/>
  <c r="N431" i="115"/>
  <c r="M431" i="115"/>
  <c r="L431" i="115"/>
  <c r="H431" i="115"/>
  <c r="P430" i="115"/>
  <c r="M430" i="115"/>
  <c r="L430" i="115"/>
  <c r="N430" i="115" s="1"/>
  <c r="H430" i="115"/>
  <c r="P429" i="115"/>
  <c r="N429" i="115"/>
  <c r="M429" i="115"/>
  <c r="L429" i="115"/>
  <c r="H429" i="115"/>
  <c r="P428" i="115"/>
  <c r="N428" i="115"/>
  <c r="M428" i="115"/>
  <c r="L428" i="115"/>
  <c r="H428" i="115"/>
  <c r="P427" i="115"/>
  <c r="N427" i="115"/>
  <c r="M427" i="115"/>
  <c r="L427" i="115"/>
  <c r="H427" i="115"/>
  <c r="E427" i="115" s="1"/>
  <c r="C427" i="115"/>
  <c r="P426" i="115"/>
  <c r="N426" i="115"/>
  <c r="M426" i="115"/>
  <c r="L426" i="115"/>
  <c r="H426" i="115"/>
  <c r="C426" i="115"/>
  <c r="P425" i="115"/>
  <c r="N425" i="115"/>
  <c r="M425" i="115"/>
  <c r="L425" i="115"/>
  <c r="H425" i="115"/>
  <c r="P424" i="115"/>
  <c r="M424" i="115"/>
  <c r="L424" i="115"/>
  <c r="N424" i="115" s="1"/>
  <c r="H424" i="115"/>
  <c r="E424" i="115" s="1"/>
  <c r="P423" i="115"/>
  <c r="N423" i="115"/>
  <c r="M423" i="115"/>
  <c r="L423" i="115"/>
  <c r="H423" i="115"/>
  <c r="P422" i="115"/>
  <c r="M422" i="115"/>
  <c r="N422" i="115" s="1"/>
  <c r="L422" i="115"/>
  <c r="H422" i="115"/>
  <c r="P421" i="115"/>
  <c r="N421" i="115"/>
  <c r="M421" i="115"/>
  <c r="L421" i="115"/>
  <c r="H421" i="115"/>
  <c r="E421" i="115" s="1"/>
  <c r="C421" i="115"/>
  <c r="P417" i="115"/>
  <c r="E417" i="115" s="1"/>
  <c r="N417" i="115"/>
  <c r="M417" i="115"/>
  <c r="L417" i="115"/>
  <c r="H417" i="115"/>
  <c r="C417" i="115"/>
  <c r="P416" i="115"/>
  <c r="N416" i="115"/>
  <c r="M416" i="115"/>
  <c r="L416" i="115"/>
  <c r="H416" i="115"/>
  <c r="P415" i="115"/>
  <c r="N415" i="115"/>
  <c r="M415" i="115"/>
  <c r="L415" i="115"/>
  <c r="H415" i="115"/>
  <c r="E415" i="115" s="1"/>
  <c r="F415" i="115"/>
  <c r="P414" i="115"/>
  <c r="N414" i="115"/>
  <c r="M414" i="115"/>
  <c r="L414" i="115"/>
  <c r="H414" i="115"/>
  <c r="E414" i="115" s="1"/>
  <c r="C414" i="115"/>
  <c r="P413" i="115"/>
  <c r="N413" i="115"/>
  <c r="M413" i="115"/>
  <c r="L413" i="115"/>
  <c r="H413" i="115"/>
  <c r="P412" i="115"/>
  <c r="N412" i="115"/>
  <c r="M412" i="115"/>
  <c r="L412" i="115"/>
  <c r="H412" i="115"/>
  <c r="F412" i="115"/>
  <c r="P411" i="115"/>
  <c r="N411" i="115"/>
  <c r="M411" i="115"/>
  <c r="L411" i="115"/>
  <c r="H411" i="115"/>
  <c r="E411" i="115" s="1"/>
  <c r="C411" i="115"/>
  <c r="P410" i="115"/>
  <c r="N410" i="115"/>
  <c r="M410" i="115"/>
  <c r="L410" i="115"/>
  <c r="H410" i="115"/>
  <c r="E410" i="115" s="1"/>
  <c r="P409" i="115"/>
  <c r="M409" i="115"/>
  <c r="N409" i="115" s="1"/>
  <c r="L409" i="115"/>
  <c r="H409" i="115"/>
  <c r="P408" i="115"/>
  <c r="N408" i="115"/>
  <c r="M408" i="115"/>
  <c r="L408" i="115"/>
  <c r="H408" i="115"/>
  <c r="E408" i="115" s="1"/>
  <c r="C408" i="115"/>
  <c r="P407" i="115"/>
  <c r="N407" i="115"/>
  <c r="M407" i="115"/>
  <c r="L407" i="115"/>
  <c r="H407" i="115"/>
  <c r="E407" i="115" s="1"/>
  <c r="C407" i="115"/>
  <c r="P406" i="115"/>
  <c r="N406" i="115"/>
  <c r="M406" i="115"/>
  <c r="L406" i="115"/>
  <c r="H406" i="115"/>
  <c r="P405" i="115"/>
  <c r="M405" i="115"/>
  <c r="L405" i="115"/>
  <c r="N405" i="115" s="1"/>
  <c r="H405" i="115"/>
  <c r="P404" i="115"/>
  <c r="N404" i="115"/>
  <c r="M404" i="115"/>
  <c r="L404" i="115"/>
  <c r="H404" i="115"/>
  <c r="E404" i="115" s="1"/>
  <c r="P403" i="115"/>
  <c r="M403" i="115"/>
  <c r="N403" i="115" s="1"/>
  <c r="L403" i="115"/>
  <c r="H403" i="115"/>
  <c r="P402" i="115"/>
  <c r="N402" i="115"/>
  <c r="M402" i="115"/>
  <c r="L402" i="115"/>
  <c r="H402" i="115"/>
  <c r="E402" i="115" s="1"/>
  <c r="C402" i="115"/>
  <c r="P401" i="115"/>
  <c r="N401" i="115"/>
  <c r="M401" i="115"/>
  <c r="L401" i="115"/>
  <c r="H401" i="115"/>
  <c r="E401" i="115" s="1"/>
  <c r="C401" i="115"/>
  <c r="P400" i="115"/>
  <c r="N400" i="115"/>
  <c r="M400" i="115"/>
  <c r="L400" i="115"/>
  <c r="H400" i="115"/>
  <c r="P399" i="115"/>
  <c r="M399" i="115"/>
  <c r="L399" i="115"/>
  <c r="N399" i="115" s="1"/>
  <c r="H399" i="115"/>
  <c r="P398" i="115"/>
  <c r="N398" i="115"/>
  <c r="M398" i="115"/>
  <c r="L398" i="115"/>
  <c r="H398" i="115"/>
  <c r="E398" i="115" s="1"/>
  <c r="P397" i="115"/>
  <c r="M397" i="115"/>
  <c r="N397" i="115" s="1"/>
  <c r="L397" i="115"/>
  <c r="H397" i="115"/>
  <c r="P396" i="115"/>
  <c r="N396" i="115"/>
  <c r="M396" i="115"/>
  <c r="L396" i="115"/>
  <c r="H396" i="115"/>
  <c r="E396" i="115" s="1"/>
  <c r="P395" i="115"/>
  <c r="M395" i="115"/>
  <c r="L395" i="115"/>
  <c r="N395" i="115" s="1"/>
  <c r="H395" i="115"/>
  <c r="P394" i="115"/>
  <c r="N394" i="115"/>
  <c r="M394" i="115"/>
  <c r="L394" i="115"/>
  <c r="H394" i="115"/>
  <c r="C394" i="115"/>
  <c r="P393" i="115"/>
  <c r="N393" i="115"/>
  <c r="M393" i="115"/>
  <c r="L393" i="115"/>
  <c r="H393" i="115"/>
  <c r="E393" i="115" s="1"/>
  <c r="C393" i="115"/>
  <c r="P392" i="115"/>
  <c r="N392" i="115"/>
  <c r="M392" i="115"/>
  <c r="L392" i="115"/>
  <c r="H392" i="115"/>
  <c r="E392" i="115" s="1"/>
  <c r="P391" i="115"/>
  <c r="M391" i="115"/>
  <c r="N391" i="115" s="1"/>
  <c r="L391" i="115"/>
  <c r="H391" i="115"/>
  <c r="P390" i="115"/>
  <c r="N390" i="115"/>
  <c r="M390" i="115"/>
  <c r="L390" i="115"/>
  <c r="H390" i="115"/>
  <c r="E390" i="115" s="1"/>
  <c r="C390" i="115"/>
  <c r="P389" i="115"/>
  <c r="N389" i="115"/>
  <c r="M389" i="115"/>
  <c r="L389" i="115"/>
  <c r="H389" i="115"/>
  <c r="E389" i="115" s="1"/>
  <c r="C389" i="115"/>
  <c r="P388" i="115"/>
  <c r="N388" i="115"/>
  <c r="M388" i="115"/>
  <c r="L388" i="115"/>
  <c r="H388" i="115"/>
  <c r="P387" i="115"/>
  <c r="M387" i="115"/>
  <c r="L387" i="115"/>
  <c r="N387" i="115" s="1"/>
  <c r="H387" i="115"/>
  <c r="P386" i="115"/>
  <c r="N386" i="115"/>
  <c r="M386" i="115"/>
  <c r="L386" i="115"/>
  <c r="H386" i="115"/>
  <c r="E386" i="115" s="1"/>
  <c r="C386" i="115"/>
  <c r="P385" i="115"/>
  <c r="N385" i="115"/>
  <c r="M385" i="115"/>
  <c r="L385" i="115"/>
  <c r="H385" i="115"/>
  <c r="C385" i="115"/>
  <c r="P384" i="115"/>
  <c r="N384" i="115"/>
  <c r="M384" i="115"/>
  <c r="L384" i="115"/>
  <c r="H384" i="115"/>
  <c r="P383" i="115"/>
  <c r="M383" i="115"/>
  <c r="L383" i="115"/>
  <c r="N383" i="115" s="1"/>
  <c r="H383" i="115"/>
  <c r="P382" i="115"/>
  <c r="N382" i="115"/>
  <c r="M382" i="115"/>
  <c r="L382" i="115"/>
  <c r="H382" i="115"/>
  <c r="C382" i="115"/>
  <c r="P381" i="115"/>
  <c r="N381" i="115"/>
  <c r="M381" i="115"/>
  <c r="L381" i="115"/>
  <c r="H381" i="115"/>
  <c r="C381" i="115"/>
  <c r="P380" i="115"/>
  <c r="N380" i="115"/>
  <c r="M380" i="115"/>
  <c r="L380" i="115"/>
  <c r="H380" i="115"/>
  <c r="E380" i="115" s="1"/>
  <c r="P379" i="115"/>
  <c r="M379" i="115"/>
  <c r="L379" i="115"/>
  <c r="N379" i="115" s="1"/>
  <c r="H379" i="115"/>
  <c r="P378" i="115"/>
  <c r="N378" i="115"/>
  <c r="M378" i="115"/>
  <c r="L378" i="115"/>
  <c r="H378" i="115"/>
  <c r="P377" i="115"/>
  <c r="M377" i="115"/>
  <c r="L377" i="115"/>
  <c r="N377" i="115" s="1"/>
  <c r="H377" i="115"/>
  <c r="P376" i="115"/>
  <c r="N376" i="115"/>
  <c r="M376" i="115"/>
  <c r="L376" i="115"/>
  <c r="H376" i="115"/>
  <c r="C376" i="115"/>
  <c r="P375" i="115"/>
  <c r="N375" i="115"/>
  <c r="M375" i="115"/>
  <c r="L375" i="115"/>
  <c r="H375" i="115"/>
  <c r="C375" i="115"/>
  <c r="P374" i="115"/>
  <c r="N374" i="115"/>
  <c r="M374" i="115"/>
  <c r="L374" i="115"/>
  <c r="H374" i="115"/>
  <c r="E374" i="115" s="1"/>
  <c r="P373" i="115"/>
  <c r="M373" i="115"/>
  <c r="L373" i="115"/>
  <c r="N373" i="115" s="1"/>
  <c r="H373" i="115"/>
  <c r="P372" i="115"/>
  <c r="N372" i="115"/>
  <c r="M372" i="115"/>
  <c r="L372" i="115"/>
  <c r="H372" i="115"/>
  <c r="C372" i="115"/>
  <c r="P371" i="115"/>
  <c r="N371" i="115"/>
  <c r="M371" i="115"/>
  <c r="L371" i="115"/>
  <c r="H371" i="115"/>
  <c r="E371" i="115" s="1"/>
  <c r="C371" i="115"/>
  <c r="P370" i="115"/>
  <c r="N370" i="115"/>
  <c r="M370" i="115"/>
  <c r="L370" i="115"/>
  <c r="H370" i="115"/>
  <c r="E370" i="115" s="1"/>
  <c r="P369" i="115"/>
  <c r="M369" i="115"/>
  <c r="N369" i="115" s="1"/>
  <c r="L369" i="115"/>
  <c r="H369" i="115"/>
  <c r="P368" i="115"/>
  <c r="N368" i="115"/>
  <c r="M368" i="115"/>
  <c r="L368" i="115"/>
  <c r="H368" i="115"/>
  <c r="E368" i="115" s="1"/>
  <c r="C368" i="115"/>
  <c r="P367" i="115"/>
  <c r="N367" i="115"/>
  <c r="M367" i="115"/>
  <c r="L367" i="115"/>
  <c r="H367" i="115"/>
  <c r="E367" i="115" s="1"/>
  <c r="C367" i="115"/>
  <c r="P366" i="115"/>
  <c r="N366" i="115"/>
  <c r="M366" i="115"/>
  <c r="L366" i="115"/>
  <c r="H366" i="115"/>
  <c r="P365" i="115"/>
  <c r="N365" i="115"/>
  <c r="M365" i="115"/>
  <c r="L365" i="115"/>
  <c r="H365" i="115"/>
  <c r="P364" i="115"/>
  <c r="N364" i="115"/>
  <c r="M364" i="115"/>
  <c r="L364" i="115"/>
  <c r="H364" i="115"/>
  <c r="E364" i="115" s="1"/>
  <c r="C364" i="115"/>
  <c r="P363" i="115"/>
  <c r="N363" i="115"/>
  <c r="M363" i="115"/>
  <c r="L363" i="115"/>
  <c r="H363" i="115"/>
  <c r="C363" i="115"/>
  <c r="P362" i="115"/>
  <c r="N362" i="115"/>
  <c r="M362" i="115"/>
  <c r="L362" i="115"/>
  <c r="H362" i="115"/>
  <c r="P361" i="115"/>
  <c r="M361" i="115"/>
  <c r="L361" i="115"/>
  <c r="N361" i="115" s="1"/>
  <c r="H361" i="115"/>
  <c r="E361" i="115" s="1"/>
  <c r="P360" i="115"/>
  <c r="N360" i="115"/>
  <c r="M360" i="115"/>
  <c r="L360" i="115"/>
  <c r="H360" i="115"/>
  <c r="E360" i="115" s="1"/>
  <c r="C360" i="115"/>
  <c r="P359" i="115"/>
  <c r="N359" i="115"/>
  <c r="M359" i="115"/>
  <c r="L359" i="115"/>
  <c r="H359" i="115"/>
  <c r="C359" i="115"/>
  <c r="P358" i="115"/>
  <c r="M358" i="115"/>
  <c r="L358" i="115"/>
  <c r="N358" i="115" s="1"/>
  <c r="H358" i="115"/>
  <c r="E358" i="115" s="1"/>
  <c r="P357" i="115"/>
  <c r="N357" i="115"/>
  <c r="M357" i="115"/>
  <c r="L357" i="115"/>
  <c r="H357" i="115"/>
  <c r="P356" i="115"/>
  <c r="M356" i="115"/>
  <c r="N356" i="115" s="1"/>
  <c r="L356" i="115"/>
  <c r="H356" i="115"/>
  <c r="P355" i="115"/>
  <c r="N355" i="115"/>
  <c r="M355" i="115"/>
  <c r="L355" i="115"/>
  <c r="H355" i="115"/>
  <c r="E355" i="115" s="1"/>
  <c r="P354" i="115"/>
  <c r="N354" i="115"/>
  <c r="M354" i="115"/>
  <c r="L354" i="115"/>
  <c r="H354" i="115"/>
  <c r="P353" i="115"/>
  <c r="N353" i="115"/>
  <c r="M353" i="115"/>
  <c r="L353" i="115"/>
  <c r="H353" i="115"/>
  <c r="P352" i="115"/>
  <c r="M352" i="115"/>
  <c r="N352" i="115" s="1"/>
  <c r="L352" i="115"/>
  <c r="H352" i="115"/>
  <c r="E352" i="115" s="1"/>
  <c r="P351" i="115"/>
  <c r="N351" i="115"/>
  <c r="M351" i="115"/>
  <c r="L351" i="115"/>
  <c r="H351" i="115"/>
  <c r="C351" i="115"/>
  <c r="P350" i="115"/>
  <c r="N350" i="115"/>
  <c r="M350" i="115"/>
  <c r="L350" i="115"/>
  <c r="H350" i="115"/>
  <c r="E350" i="115" s="1"/>
  <c r="C350" i="115"/>
  <c r="P349" i="115"/>
  <c r="N349" i="115"/>
  <c r="M349" i="115"/>
  <c r="L349" i="115"/>
  <c r="H349" i="115"/>
  <c r="E349" i="115" s="1"/>
  <c r="P348" i="115"/>
  <c r="N348" i="115"/>
  <c r="M348" i="115"/>
  <c r="L348" i="115"/>
  <c r="H348" i="115"/>
  <c r="P347" i="115"/>
  <c r="N347" i="115"/>
  <c r="M347" i="115"/>
  <c r="L347" i="115"/>
  <c r="H347" i="115"/>
  <c r="E347" i="115" s="1"/>
  <c r="P346" i="115"/>
  <c r="M346" i="115"/>
  <c r="L346" i="115"/>
  <c r="N346" i="115" s="1"/>
  <c r="H346" i="115"/>
  <c r="P345" i="115"/>
  <c r="N345" i="115"/>
  <c r="M345" i="115"/>
  <c r="L345" i="115"/>
  <c r="H345" i="115"/>
  <c r="C345" i="115"/>
  <c r="P344" i="115"/>
  <c r="N344" i="115"/>
  <c r="M344" i="115"/>
  <c r="L344" i="115"/>
  <c r="H344" i="115"/>
  <c r="E344" i="115" s="1"/>
  <c r="C344" i="115"/>
  <c r="P343" i="115"/>
  <c r="M343" i="115"/>
  <c r="L343" i="115"/>
  <c r="N343" i="115" s="1"/>
  <c r="H343" i="115"/>
  <c r="P342" i="115"/>
  <c r="N342" i="115"/>
  <c r="M342" i="115"/>
  <c r="L342" i="115"/>
  <c r="H342" i="115"/>
  <c r="P341" i="115"/>
  <c r="M341" i="115"/>
  <c r="L341" i="115"/>
  <c r="N341" i="115" s="1"/>
  <c r="H341" i="115"/>
  <c r="P340" i="115"/>
  <c r="N340" i="115"/>
  <c r="M340" i="115"/>
  <c r="L340" i="115"/>
  <c r="H340" i="115"/>
  <c r="E340" i="115" s="1"/>
  <c r="C340" i="115"/>
  <c r="P336" i="115"/>
  <c r="N336" i="115"/>
  <c r="M336" i="115"/>
  <c r="L336" i="115"/>
  <c r="H336" i="115"/>
  <c r="C336" i="115"/>
  <c r="P335" i="115"/>
  <c r="N335" i="115"/>
  <c r="E335" i="115" s="1"/>
  <c r="M335" i="115"/>
  <c r="L335" i="115"/>
  <c r="H335" i="115"/>
  <c r="P334" i="115"/>
  <c r="N334" i="115"/>
  <c r="M334" i="115"/>
  <c r="L334" i="115"/>
  <c r="H334" i="115"/>
  <c r="E334" i="115" s="1"/>
  <c r="F334" i="115"/>
  <c r="P333" i="115"/>
  <c r="N333" i="115"/>
  <c r="M333" i="115"/>
  <c r="L333" i="115"/>
  <c r="H333" i="115"/>
  <c r="C333" i="115"/>
  <c r="P332" i="115"/>
  <c r="N332" i="115"/>
  <c r="M332" i="115"/>
  <c r="L332" i="115"/>
  <c r="H332" i="115"/>
  <c r="P331" i="115"/>
  <c r="M331" i="115"/>
  <c r="L331" i="115"/>
  <c r="N331" i="115" s="1"/>
  <c r="H331" i="115"/>
  <c r="P330" i="115"/>
  <c r="N330" i="115"/>
  <c r="M330" i="115"/>
  <c r="L330" i="115"/>
  <c r="H330" i="115"/>
  <c r="C330" i="115"/>
  <c r="P329" i="115"/>
  <c r="N329" i="115"/>
  <c r="M329" i="115"/>
  <c r="L329" i="115"/>
  <c r="H329" i="115"/>
  <c r="C329" i="115"/>
  <c r="P328" i="115"/>
  <c r="N328" i="115"/>
  <c r="M328" i="115"/>
  <c r="L328" i="115"/>
  <c r="H328" i="115"/>
  <c r="P327" i="115"/>
  <c r="M327" i="115"/>
  <c r="L327" i="115"/>
  <c r="N327" i="115" s="1"/>
  <c r="H327" i="115"/>
  <c r="P326" i="115"/>
  <c r="N326" i="115"/>
  <c r="M326" i="115"/>
  <c r="L326" i="115"/>
  <c r="H326" i="115"/>
  <c r="C326" i="115"/>
  <c r="P325" i="115"/>
  <c r="N325" i="115"/>
  <c r="M325" i="115"/>
  <c r="L325" i="115"/>
  <c r="H325" i="115"/>
  <c r="C325" i="115"/>
  <c r="P324" i="115"/>
  <c r="N324" i="115"/>
  <c r="M324" i="115"/>
  <c r="L324" i="115"/>
  <c r="H324" i="115"/>
  <c r="P323" i="115"/>
  <c r="M323" i="115"/>
  <c r="L323" i="115"/>
  <c r="H323" i="115"/>
  <c r="P322" i="115"/>
  <c r="N322" i="115"/>
  <c r="M322" i="115"/>
  <c r="L322" i="115"/>
  <c r="H322" i="115"/>
  <c r="C322" i="115"/>
  <c r="P321" i="115"/>
  <c r="N321" i="115"/>
  <c r="M321" i="115"/>
  <c r="L321" i="115"/>
  <c r="H321" i="115"/>
  <c r="C321" i="115"/>
  <c r="P320" i="115"/>
  <c r="N320" i="115"/>
  <c r="M320" i="115"/>
  <c r="L320" i="115"/>
  <c r="H320" i="115"/>
  <c r="P319" i="115"/>
  <c r="M319" i="115"/>
  <c r="L319" i="115"/>
  <c r="N319" i="115" s="1"/>
  <c r="H319" i="115"/>
  <c r="P318" i="115"/>
  <c r="N318" i="115"/>
  <c r="M318" i="115"/>
  <c r="L318" i="115"/>
  <c r="H318" i="115"/>
  <c r="P317" i="115"/>
  <c r="M317" i="115"/>
  <c r="L317" i="115"/>
  <c r="N317" i="115" s="1"/>
  <c r="H317" i="115"/>
  <c r="P316" i="115"/>
  <c r="N316" i="115"/>
  <c r="M316" i="115"/>
  <c r="L316" i="115"/>
  <c r="H316" i="115"/>
  <c r="C316" i="115"/>
  <c r="P315" i="115"/>
  <c r="N315" i="115"/>
  <c r="M315" i="115"/>
  <c r="L315" i="115"/>
  <c r="H315" i="115"/>
  <c r="C315" i="115"/>
  <c r="P314" i="115"/>
  <c r="N314" i="115"/>
  <c r="M314" i="115"/>
  <c r="L314" i="115"/>
  <c r="H314" i="115"/>
  <c r="P313" i="115"/>
  <c r="N313" i="115"/>
  <c r="M313" i="115"/>
  <c r="L313" i="115"/>
  <c r="H313" i="115"/>
  <c r="P312" i="115"/>
  <c r="N312" i="115"/>
  <c r="M312" i="115"/>
  <c r="L312" i="115"/>
  <c r="H312" i="115"/>
  <c r="P311" i="115"/>
  <c r="M311" i="115"/>
  <c r="L311" i="115"/>
  <c r="N311" i="115" s="1"/>
  <c r="H311" i="115"/>
  <c r="E311" i="115" s="1"/>
  <c r="P310" i="115"/>
  <c r="N310" i="115"/>
  <c r="M310" i="115"/>
  <c r="L310" i="115"/>
  <c r="H310" i="115"/>
  <c r="P309" i="115"/>
  <c r="M309" i="115"/>
  <c r="L309" i="115"/>
  <c r="N309" i="115" s="1"/>
  <c r="H309" i="115"/>
  <c r="P308" i="115"/>
  <c r="N308" i="115"/>
  <c r="M308" i="115"/>
  <c r="L308" i="115"/>
  <c r="H308" i="115"/>
  <c r="C308" i="115"/>
  <c r="P307" i="115"/>
  <c r="N307" i="115"/>
  <c r="M307" i="115"/>
  <c r="L307" i="115"/>
  <c r="H307" i="115"/>
  <c r="C307" i="115"/>
  <c r="P306" i="115"/>
  <c r="N306" i="115"/>
  <c r="M306" i="115"/>
  <c r="L306" i="115"/>
  <c r="H306" i="115"/>
  <c r="P305" i="115"/>
  <c r="M305" i="115"/>
  <c r="L305" i="115"/>
  <c r="H305" i="115"/>
  <c r="P304" i="115"/>
  <c r="N304" i="115"/>
  <c r="M304" i="115"/>
  <c r="L304" i="115"/>
  <c r="H304" i="115"/>
  <c r="C304" i="115"/>
  <c r="P303" i="115"/>
  <c r="N303" i="115"/>
  <c r="M303" i="115"/>
  <c r="L303" i="115"/>
  <c r="H303" i="115"/>
  <c r="E303" i="115" s="1"/>
  <c r="C303" i="115"/>
  <c r="P302" i="115"/>
  <c r="N302" i="115"/>
  <c r="M302" i="115"/>
  <c r="L302" i="115"/>
  <c r="H302" i="115"/>
  <c r="P301" i="115"/>
  <c r="M301" i="115"/>
  <c r="L301" i="115"/>
  <c r="N301" i="115" s="1"/>
  <c r="H301" i="115"/>
  <c r="P300" i="115"/>
  <c r="N300" i="115"/>
  <c r="M300" i="115"/>
  <c r="L300" i="115"/>
  <c r="H300" i="115"/>
  <c r="E300" i="115" s="1"/>
  <c r="C300" i="115"/>
  <c r="P299" i="115"/>
  <c r="N299" i="115"/>
  <c r="M299" i="115"/>
  <c r="L299" i="115"/>
  <c r="H299" i="115"/>
  <c r="C299" i="115"/>
  <c r="P298" i="115"/>
  <c r="N298" i="115"/>
  <c r="M298" i="115"/>
  <c r="L298" i="115"/>
  <c r="H298" i="115"/>
  <c r="P297" i="115"/>
  <c r="M297" i="115"/>
  <c r="L297" i="115"/>
  <c r="N297" i="115" s="1"/>
  <c r="H297" i="115"/>
  <c r="P296" i="115"/>
  <c r="N296" i="115"/>
  <c r="M296" i="115"/>
  <c r="L296" i="115"/>
  <c r="H296" i="115"/>
  <c r="C296" i="115"/>
  <c r="P295" i="115"/>
  <c r="N295" i="115"/>
  <c r="M295" i="115"/>
  <c r="L295" i="115"/>
  <c r="H295" i="115"/>
  <c r="C295" i="115"/>
  <c r="P294" i="115"/>
  <c r="N294" i="115"/>
  <c r="M294" i="115"/>
  <c r="L294" i="115"/>
  <c r="H294" i="115"/>
  <c r="P293" i="115"/>
  <c r="M293" i="115"/>
  <c r="L293" i="115"/>
  <c r="H293" i="115"/>
  <c r="P292" i="115"/>
  <c r="N292" i="115"/>
  <c r="M292" i="115"/>
  <c r="L292" i="115"/>
  <c r="H292" i="115"/>
  <c r="P291" i="115"/>
  <c r="M291" i="115"/>
  <c r="L291" i="115"/>
  <c r="H291" i="115"/>
  <c r="P290" i="115"/>
  <c r="N290" i="115"/>
  <c r="M290" i="115"/>
  <c r="L290" i="115"/>
  <c r="H290" i="115"/>
  <c r="E290" i="115" s="1"/>
  <c r="C290" i="115"/>
  <c r="P289" i="115"/>
  <c r="N289" i="115"/>
  <c r="M289" i="115"/>
  <c r="L289" i="115"/>
  <c r="H289" i="115"/>
  <c r="C289" i="115"/>
  <c r="P288" i="115"/>
  <c r="N288" i="115"/>
  <c r="M288" i="115"/>
  <c r="L288" i="115"/>
  <c r="H288" i="115"/>
  <c r="P287" i="115"/>
  <c r="M287" i="115"/>
  <c r="L287" i="115"/>
  <c r="H287" i="115"/>
  <c r="P286" i="115"/>
  <c r="N286" i="115"/>
  <c r="M286" i="115"/>
  <c r="L286" i="115"/>
  <c r="H286" i="115"/>
  <c r="C286" i="115"/>
  <c r="P285" i="115"/>
  <c r="N285" i="115"/>
  <c r="M285" i="115"/>
  <c r="L285" i="115"/>
  <c r="H285" i="115"/>
  <c r="C285" i="115"/>
  <c r="P284" i="115"/>
  <c r="N284" i="115"/>
  <c r="M284" i="115"/>
  <c r="L284" i="115"/>
  <c r="H284" i="115"/>
  <c r="P283" i="115"/>
  <c r="M283" i="115"/>
  <c r="L283" i="115"/>
  <c r="H283" i="115"/>
  <c r="P282" i="115"/>
  <c r="N282" i="115"/>
  <c r="M282" i="115"/>
  <c r="L282" i="115"/>
  <c r="H282" i="115"/>
  <c r="C282" i="115"/>
  <c r="P281" i="115"/>
  <c r="N281" i="115"/>
  <c r="M281" i="115"/>
  <c r="L281" i="115"/>
  <c r="H281" i="115"/>
  <c r="E281" i="115" s="1"/>
  <c r="C281" i="115"/>
  <c r="P280" i="115"/>
  <c r="N280" i="115"/>
  <c r="M280" i="115"/>
  <c r="L280" i="115"/>
  <c r="H280" i="115"/>
  <c r="P279" i="115"/>
  <c r="N279" i="115"/>
  <c r="M279" i="115"/>
  <c r="L279" i="115"/>
  <c r="H279" i="115"/>
  <c r="P278" i="115"/>
  <c r="N278" i="115"/>
  <c r="M278" i="115"/>
  <c r="L278" i="115"/>
  <c r="H278" i="115"/>
  <c r="E278" i="115" s="1"/>
  <c r="C278" i="115"/>
  <c r="P277" i="115"/>
  <c r="N277" i="115"/>
  <c r="M277" i="115"/>
  <c r="L277" i="115"/>
  <c r="H277" i="115"/>
  <c r="C277" i="115"/>
  <c r="P276" i="115"/>
  <c r="N276" i="115"/>
  <c r="M276" i="115"/>
  <c r="L276" i="115"/>
  <c r="H276" i="115"/>
  <c r="P275" i="115"/>
  <c r="M275" i="115"/>
  <c r="L275" i="115"/>
  <c r="N275" i="115" s="1"/>
  <c r="H275" i="115"/>
  <c r="P274" i="115"/>
  <c r="N274" i="115"/>
  <c r="M274" i="115"/>
  <c r="L274" i="115"/>
  <c r="H274" i="115"/>
  <c r="C274" i="115"/>
  <c r="P273" i="115"/>
  <c r="N273" i="115"/>
  <c r="M273" i="115"/>
  <c r="L273" i="115"/>
  <c r="H273" i="115"/>
  <c r="C273" i="115"/>
  <c r="P272" i="115"/>
  <c r="M272" i="115"/>
  <c r="N272" i="115" s="1"/>
  <c r="L272" i="115"/>
  <c r="H272" i="115"/>
  <c r="P271" i="115"/>
  <c r="N271" i="115"/>
  <c r="M271" i="115"/>
  <c r="L271" i="115"/>
  <c r="H271" i="115"/>
  <c r="P270" i="115"/>
  <c r="M270" i="115"/>
  <c r="L270" i="115"/>
  <c r="N270" i="115" s="1"/>
  <c r="H270" i="115"/>
  <c r="P269" i="115"/>
  <c r="N269" i="115"/>
  <c r="M269" i="115"/>
  <c r="L269" i="115"/>
  <c r="H269" i="115"/>
  <c r="P268" i="115"/>
  <c r="N268" i="115"/>
  <c r="M268" i="115"/>
  <c r="L268" i="115"/>
  <c r="H268" i="115"/>
  <c r="P267" i="115"/>
  <c r="N267" i="115"/>
  <c r="M267" i="115"/>
  <c r="L267" i="115"/>
  <c r="H267" i="115"/>
  <c r="E267" i="115" s="1"/>
  <c r="P266" i="115"/>
  <c r="M266" i="115"/>
  <c r="L266" i="115"/>
  <c r="N266" i="115" s="1"/>
  <c r="H266" i="115"/>
  <c r="P265" i="115"/>
  <c r="N265" i="115"/>
  <c r="M265" i="115"/>
  <c r="L265" i="115"/>
  <c r="H265" i="115"/>
  <c r="C265" i="115"/>
  <c r="P264" i="115"/>
  <c r="N264" i="115"/>
  <c r="M264" i="115"/>
  <c r="L264" i="115"/>
  <c r="H264" i="115"/>
  <c r="E264" i="115" s="1"/>
  <c r="C264" i="115"/>
  <c r="P263" i="115"/>
  <c r="N263" i="115"/>
  <c r="M263" i="115"/>
  <c r="L263" i="115"/>
  <c r="H263" i="115"/>
  <c r="P262" i="115"/>
  <c r="N262" i="115"/>
  <c r="M262" i="115"/>
  <c r="L262" i="115"/>
  <c r="H262" i="115"/>
  <c r="P261" i="115"/>
  <c r="N261" i="115"/>
  <c r="M261" i="115"/>
  <c r="L261" i="115"/>
  <c r="H261" i="115"/>
  <c r="E261" i="115" s="1"/>
  <c r="P260" i="115"/>
  <c r="M260" i="115"/>
  <c r="L260" i="115"/>
  <c r="N260" i="115" s="1"/>
  <c r="H260" i="115"/>
  <c r="P259" i="115"/>
  <c r="N259" i="115"/>
  <c r="M259" i="115"/>
  <c r="L259" i="115"/>
  <c r="H259" i="115"/>
  <c r="E259" i="115" s="1"/>
  <c r="C259" i="115"/>
  <c r="P258" i="115"/>
  <c r="N258" i="115"/>
  <c r="M258" i="115"/>
  <c r="L258" i="115"/>
  <c r="H258" i="115"/>
  <c r="E258" i="115" s="1"/>
  <c r="C258" i="115"/>
  <c r="P257" i="115"/>
  <c r="M257" i="115"/>
  <c r="L257" i="115"/>
  <c r="N257" i="115" s="1"/>
  <c r="H257" i="115"/>
  <c r="P256" i="115"/>
  <c r="N256" i="115"/>
  <c r="M256" i="115"/>
  <c r="L256" i="115"/>
  <c r="H256" i="115"/>
  <c r="P255" i="115"/>
  <c r="N255" i="115"/>
  <c r="M255" i="115"/>
  <c r="L255" i="115"/>
  <c r="H255" i="115"/>
  <c r="P254" i="115"/>
  <c r="N254" i="115"/>
  <c r="M254" i="115"/>
  <c r="L254" i="115"/>
  <c r="H254" i="115"/>
  <c r="C254" i="115"/>
  <c r="P253" i="115"/>
  <c r="N253" i="115"/>
  <c r="M253" i="115"/>
  <c r="L253" i="115"/>
  <c r="H253" i="115"/>
  <c r="C253" i="115"/>
  <c r="P252" i="115"/>
  <c r="M252" i="115"/>
  <c r="L252" i="115"/>
  <c r="N252" i="115" s="1"/>
  <c r="H252" i="115"/>
  <c r="P251" i="115"/>
  <c r="N251" i="115"/>
  <c r="M251" i="115"/>
  <c r="L251" i="115"/>
  <c r="H251" i="115"/>
  <c r="P250" i="115"/>
  <c r="M250" i="115"/>
  <c r="L250" i="115"/>
  <c r="N250" i="115" s="1"/>
  <c r="H250" i="115"/>
  <c r="P249" i="115"/>
  <c r="N249" i="115"/>
  <c r="M249" i="115"/>
  <c r="L249" i="115"/>
  <c r="H249" i="115"/>
  <c r="C249" i="115"/>
  <c r="P248" i="115"/>
  <c r="N248" i="115"/>
  <c r="M248" i="115"/>
  <c r="L248" i="115"/>
  <c r="H248" i="115"/>
  <c r="C248" i="115"/>
  <c r="P247" i="115"/>
  <c r="M247" i="115"/>
  <c r="L247" i="115"/>
  <c r="N247" i="115" s="1"/>
  <c r="H247" i="115"/>
  <c r="P246" i="115"/>
  <c r="N246" i="115"/>
  <c r="M246" i="115"/>
  <c r="L246" i="115"/>
  <c r="H246" i="115"/>
  <c r="P245" i="115"/>
  <c r="N245" i="115"/>
  <c r="M245" i="115"/>
  <c r="L245" i="115"/>
  <c r="H245" i="115"/>
  <c r="P244" i="115"/>
  <c r="N244" i="115"/>
  <c r="M244" i="115"/>
  <c r="L244" i="115"/>
  <c r="H244" i="115"/>
  <c r="E244" i="115" s="1"/>
  <c r="P243" i="115"/>
  <c r="N243" i="115"/>
  <c r="M243" i="115"/>
  <c r="L243" i="115"/>
  <c r="H243" i="115"/>
  <c r="P242" i="115"/>
  <c r="N242" i="115"/>
  <c r="M242" i="115"/>
  <c r="L242" i="115"/>
  <c r="H242" i="115"/>
  <c r="C242" i="115"/>
  <c r="P238" i="115"/>
  <c r="N238" i="115"/>
  <c r="M238" i="115"/>
  <c r="L238" i="115"/>
  <c r="H238" i="115"/>
  <c r="E238" i="115" s="1"/>
  <c r="C238" i="115"/>
  <c r="P237" i="115"/>
  <c r="N237" i="115"/>
  <c r="M237" i="115"/>
  <c r="L237" i="115"/>
  <c r="P236" i="115"/>
  <c r="N236" i="115"/>
  <c r="M236" i="115"/>
  <c r="L236" i="115"/>
  <c r="H236" i="115"/>
  <c r="P235" i="115"/>
  <c r="N235" i="115"/>
  <c r="M235" i="115"/>
  <c r="L235" i="115"/>
  <c r="H235" i="115"/>
  <c r="E235" i="115" s="1"/>
  <c r="C235" i="115"/>
  <c r="P234" i="115"/>
  <c r="N234" i="115"/>
  <c r="M234" i="115"/>
  <c r="L234" i="115"/>
  <c r="P233" i="115"/>
  <c r="N233" i="115"/>
  <c r="M233" i="115"/>
  <c r="L233" i="115"/>
  <c r="H233" i="115"/>
  <c r="P232" i="115"/>
  <c r="N232" i="115"/>
  <c r="M232" i="115"/>
  <c r="L232" i="115"/>
  <c r="H232" i="115"/>
  <c r="C232" i="115"/>
  <c r="P231" i="115"/>
  <c r="N231" i="115"/>
  <c r="M231" i="115"/>
  <c r="L231" i="115"/>
  <c r="P230" i="115"/>
  <c r="N230" i="115"/>
  <c r="M230" i="115"/>
  <c r="L230" i="115"/>
  <c r="H230" i="115"/>
  <c r="E230" i="115" s="1"/>
  <c r="P229" i="115"/>
  <c r="N229" i="115"/>
  <c r="M229" i="115"/>
  <c r="L229" i="115"/>
  <c r="H229" i="115"/>
  <c r="E229" i="115" s="1"/>
  <c r="C229" i="115"/>
  <c r="P228" i="115"/>
  <c r="N228" i="115"/>
  <c r="M228" i="115"/>
  <c r="L228" i="115"/>
  <c r="P227" i="115"/>
  <c r="N227" i="115"/>
  <c r="M227" i="115"/>
  <c r="L227" i="115"/>
  <c r="H227" i="115"/>
  <c r="E227" i="115" s="1"/>
  <c r="P226" i="115"/>
  <c r="N226" i="115"/>
  <c r="M226" i="115"/>
  <c r="L226" i="115"/>
  <c r="H226" i="115"/>
  <c r="C226" i="115"/>
  <c r="P225" i="115"/>
  <c r="N225" i="115"/>
  <c r="M225" i="115"/>
  <c r="L225" i="115"/>
  <c r="H225" i="115"/>
  <c r="P224" i="115"/>
  <c r="M224" i="115"/>
  <c r="N224" i="115" s="1"/>
  <c r="L224" i="115"/>
  <c r="H224" i="115"/>
  <c r="E224" i="115" s="1"/>
  <c r="P223" i="115"/>
  <c r="N223" i="115"/>
  <c r="M223" i="115"/>
  <c r="L223" i="115"/>
  <c r="H223" i="115"/>
  <c r="C223" i="115"/>
  <c r="P222" i="115"/>
  <c r="N222" i="115"/>
  <c r="M222" i="115"/>
  <c r="L222" i="115"/>
  <c r="H222" i="115"/>
  <c r="C222" i="115"/>
  <c r="P221" i="115"/>
  <c r="N221" i="115"/>
  <c r="M221" i="115"/>
  <c r="L221" i="115"/>
  <c r="H221" i="115"/>
  <c r="E221" i="115" s="1"/>
  <c r="P220" i="115"/>
  <c r="N220" i="115"/>
  <c r="M220" i="115"/>
  <c r="L220" i="115"/>
  <c r="H220" i="115"/>
  <c r="P219" i="115"/>
  <c r="N219" i="115"/>
  <c r="M219" i="115"/>
  <c r="L219" i="115"/>
  <c r="H219" i="115"/>
  <c r="C219" i="115"/>
  <c r="P218" i="115"/>
  <c r="N218" i="115"/>
  <c r="M218" i="115"/>
  <c r="L218" i="115"/>
  <c r="H218" i="115"/>
  <c r="E218" i="115" s="1"/>
  <c r="C218" i="115"/>
  <c r="P217" i="115"/>
  <c r="N217" i="115"/>
  <c r="M217" i="115"/>
  <c r="L217" i="115"/>
  <c r="H217" i="115"/>
  <c r="P216" i="115"/>
  <c r="M216" i="115"/>
  <c r="N216" i="115" s="1"/>
  <c r="L216" i="115"/>
  <c r="H216" i="115"/>
  <c r="P215" i="115"/>
  <c r="N215" i="115"/>
  <c r="M215" i="115"/>
  <c r="L215" i="115"/>
  <c r="H215" i="115"/>
  <c r="E215" i="115" s="1"/>
  <c r="C215" i="115"/>
  <c r="P214" i="115"/>
  <c r="N214" i="115"/>
  <c r="M214" i="115"/>
  <c r="L214" i="115"/>
  <c r="H214" i="115"/>
  <c r="C214" i="115"/>
  <c r="P213" i="115"/>
  <c r="N213" i="115"/>
  <c r="M213" i="115"/>
  <c r="L213" i="115"/>
  <c r="H213" i="115"/>
  <c r="P212" i="115"/>
  <c r="M212" i="115"/>
  <c r="L212" i="115"/>
  <c r="N212" i="115" s="1"/>
  <c r="H212" i="115"/>
  <c r="E212" i="115" s="1"/>
  <c r="P211" i="115"/>
  <c r="N211" i="115"/>
  <c r="M211" i="115"/>
  <c r="L211" i="115"/>
  <c r="H211" i="115"/>
  <c r="P210" i="115"/>
  <c r="M210" i="115"/>
  <c r="L210" i="115"/>
  <c r="N210" i="115" s="1"/>
  <c r="H210" i="115"/>
  <c r="P209" i="115"/>
  <c r="N209" i="115"/>
  <c r="M209" i="115"/>
  <c r="L209" i="115"/>
  <c r="H209" i="115"/>
  <c r="E209" i="115" s="1"/>
  <c r="C209" i="115"/>
  <c r="P208" i="115"/>
  <c r="N208" i="115"/>
  <c r="M208" i="115"/>
  <c r="L208" i="115"/>
  <c r="H208" i="115"/>
  <c r="C208" i="115"/>
  <c r="P207" i="115"/>
  <c r="N207" i="115"/>
  <c r="M207" i="115"/>
  <c r="L207" i="115"/>
  <c r="H207" i="115"/>
  <c r="P206" i="115"/>
  <c r="M206" i="115"/>
  <c r="L206" i="115"/>
  <c r="N206" i="115" s="1"/>
  <c r="H206" i="115"/>
  <c r="E206" i="115" s="1"/>
  <c r="P205" i="115"/>
  <c r="N205" i="115"/>
  <c r="M205" i="115"/>
  <c r="L205" i="115"/>
  <c r="H205" i="115"/>
  <c r="P204" i="115"/>
  <c r="M204" i="115"/>
  <c r="L204" i="115"/>
  <c r="N204" i="115" s="1"/>
  <c r="H204" i="115"/>
  <c r="P203" i="115"/>
  <c r="N203" i="115"/>
  <c r="M203" i="115"/>
  <c r="L203" i="115"/>
  <c r="H203" i="115"/>
  <c r="E203" i="115" s="1"/>
  <c r="P202" i="115"/>
  <c r="N202" i="115"/>
  <c r="M202" i="115"/>
  <c r="L202" i="115"/>
  <c r="H202" i="115"/>
  <c r="P201" i="115"/>
  <c r="N201" i="115"/>
  <c r="M201" i="115"/>
  <c r="L201" i="115"/>
  <c r="H201" i="115"/>
  <c r="E201" i="115" s="1"/>
  <c r="C201" i="115"/>
  <c r="P200" i="115"/>
  <c r="N200" i="115"/>
  <c r="M200" i="115"/>
  <c r="L200" i="115"/>
  <c r="H200" i="115"/>
  <c r="E200" i="115" s="1"/>
  <c r="C200" i="115"/>
  <c r="P199" i="115"/>
  <c r="N199" i="115"/>
  <c r="M199" i="115"/>
  <c r="L199" i="115"/>
  <c r="H199" i="115"/>
  <c r="P198" i="115"/>
  <c r="M198" i="115"/>
  <c r="L198" i="115"/>
  <c r="N198" i="115" s="1"/>
  <c r="H198" i="115"/>
  <c r="P197" i="115"/>
  <c r="N197" i="115"/>
  <c r="M197" i="115"/>
  <c r="L197" i="115"/>
  <c r="H197" i="115"/>
  <c r="E197" i="115" s="1"/>
  <c r="C197" i="115"/>
  <c r="P196" i="115"/>
  <c r="N196" i="115"/>
  <c r="M196" i="115"/>
  <c r="L196" i="115"/>
  <c r="H196" i="115"/>
  <c r="C196" i="115"/>
  <c r="P195" i="115"/>
  <c r="N195" i="115"/>
  <c r="M195" i="115"/>
  <c r="L195" i="115"/>
  <c r="H195" i="115"/>
  <c r="P194" i="115"/>
  <c r="M194" i="115"/>
  <c r="L194" i="115"/>
  <c r="H194" i="115"/>
  <c r="P193" i="115"/>
  <c r="N193" i="115"/>
  <c r="M193" i="115"/>
  <c r="L193" i="115"/>
  <c r="H193" i="115"/>
  <c r="C193" i="115"/>
  <c r="P192" i="115"/>
  <c r="N192" i="115"/>
  <c r="M192" i="115"/>
  <c r="L192" i="115"/>
  <c r="H192" i="115"/>
  <c r="C192" i="115"/>
  <c r="P191" i="115"/>
  <c r="N191" i="115"/>
  <c r="M191" i="115"/>
  <c r="L191" i="115"/>
  <c r="H191" i="115"/>
  <c r="E191" i="115" s="1"/>
  <c r="P190" i="115"/>
  <c r="M190" i="115"/>
  <c r="N190" i="115" s="1"/>
  <c r="L190" i="115"/>
  <c r="H190" i="115"/>
  <c r="P189" i="115"/>
  <c r="N189" i="115"/>
  <c r="M189" i="115"/>
  <c r="L189" i="115"/>
  <c r="H189" i="115"/>
  <c r="C189" i="115"/>
  <c r="P188" i="115"/>
  <c r="N188" i="115"/>
  <c r="M188" i="115"/>
  <c r="L188" i="115"/>
  <c r="H188" i="115"/>
  <c r="E188" i="115" s="1"/>
  <c r="C188" i="115"/>
  <c r="P187" i="115"/>
  <c r="N187" i="115"/>
  <c r="M187" i="115"/>
  <c r="L187" i="115"/>
  <c r="H187" i="115"/>
  <c r="P186" i="115"/>
  <c r="N186" i="115"/>
  <c r="M186" i="115"/>
  <c r="L186" i="115"/>
  <c r="H186" i="115"/>
  <c r="E186" i="115" s="1"/>
  <c r="P185" i="115"/>
  <c r="N185" i="115"/>
  <c r="M185" i="115"/>
  <c r="L185" i="115"/>
  <c r="H185" i="115"/>
  <c r="E185" i="115" s="1"/>
  <c r="P184" i="115"/>
  <c r="M184" i="115"/>
  <c r="N184" i="115" s="1"/>
  <c r="L184" i="115"/>
  <c r="H184" i="115"/>
  <c r="P183" i="115"/>
  <c r="N183" i="115"/>
  <c r="M183" i="115"/>
  <c r="L183" i="115"/>
  <c r="H183" i="115"/>
  <c r="C183" i="115"/>
  <c r="P182" i="115"/>
  <c r="N182" i="115"/>
  <c r="M182" i="115"/>
  <c r="L182" i="115"/>
  <c r="H182" i="115"/>
  <c r="C182" i="115"/>
  <c r="P181" i="115"/>
  <c r="N181" i="115"/>
  <c r="M181" i="115"/>
  <c r="L181" i="115"/>
  <c r="H181" i="115"/>
  <c r="P180" i="115"/>
  <c r="N180" i="115"/>
  <c r="M180" i="115"/>
  <c r="L180" i="115"/>
  <c r="H180" i="115"/>
  <c r="E180" i="115" s="1"/>
  <c r="P179" i="115"/>
  <c r="N179" i="115"/>
  <c r="M179" i="115"/>
  <c r="L179" i="115"/>
  <c r="H179" i="115"/>
  <c r="C179" i="115"/>
  <c r="P178" i="115"/>
  <c r="N178" i="115"/>
  <c r="M178" i="115"/>
  <c r="L178" i="115"/>
  <c r="H178" i="115"/>
  <c r="C178" i="115"/>
  <c r="P177" i="115"/>
  <c r="N177" i="115"/>
  <c r="M177" i="115"/>
  <c r="L177" i="115"/>
  <c r="H177" i="115"/>
  <c r="P176" i="115"/>
  <c r="M176" i="115"/>
  <c r="L176" i="115"/>
  <c r="N176" i="115" s="1"/>
  <c r="H176" i="115"/>
  <c r="P175" i="115"/>
  <c r="N175" i="115"/>
  <c r="M175" i="115"/>
  <c r="L175" i="115"/>
  <c r="H175" i="115"/>
  <c r="C175" i="115"/>
  <c r="P174" i="115"/>
  <c r="N174" i="115"/>
  <c r="M174" i="115"/>
  <c r="L174" i="115"/>
  <c r="H174" i="115"/>
  <c r="C174" i="115"/>
  <c r="P173" i="115"/>
  <c r="N173" i="115"/>
  <c r="M173" i="115"/>
  <c r="L173" i="115"/>
  <c r="H173" i="115"/>
  <c r="P172" i="115"/>
  <c r="M172" i="115"/>
  <c r="L172" i="115"/>
  <c r="H172" i="115"/>
  <c r="P171" i="115"/>
  <c r="N171" i="115"/>
  <c r="M171" i="115"/>
  <c r="L171" i="115"/>
  <c r="H171" i="115"/>
  <c r="C171" i="115"/>
  <c r="P170" i="115"/>
  <c r="N170" i="115"/>
  <c r="M170" i="115"/>
  <c r="L170" i="115"/>
  <c r="H170" i="115"/>
  <c r="C170" i="115"/>
  <c r="P169" i="115"/>
  <c r="N169" i="115"/>
  <c r="M169" i="115"/>
  <c r="L169" i="115"/>
  <c r="H169" i="115"/>
  <c r="P168" i="115"/>
  <c r="M168" i="115"/>
  <c r="N168" i="115" s="1"/>
  <c r="L168" i="115"/>
  <c r="H168" i="115"/>
  <c r="E168" i="115" s="1"/>
  <c r="P167" i="115"/>
  <c r="N167" i="115"/>
  <c r="M167" i="115"/>
  <c r="L167" i="115"/>
  <c r="H167" i="115"/>
  <c r="C167" i="115"/>
  <c r="P166" i="115"/>
  <c r="N166" i="115"/>
  <c r="M166" i="115"/>
  <c r="L166" i="115"/>
  <c r="H166" i="115"/>
  <c r="C166" i="115"/>
  <c r="P165" i="115"/>
  <c r="M165" i="115"/>
  <c r="L165" i="115"/>
  <c r="N165" i="115" s="1"/>
  <c r="H165" i="115"/>
  <c r="P164" i="115"/>
  <c r="N164" i="115"/>
  <c r="M164" i="115"/>
  <c r="L164" i="115"/>
  <c r="H164" i="115"/>
  <c r="E164" i="115" s="1"/>
  <c r="P163" i="115"/>
  <c r="M163" i="115"/>
  <c r="N163" i="115" s="1"/>
  <c r="L163" i="115"/>
  <c r="H163" i="115"/>
  <c r="P162" i="115"/>
  <c r="N162" i="115"/>
  <c r="M162" i="115"/>
  <c r="L162" i="115"/>
  <c r="H162" i="115"/>
  <c r="E162" i="115" s="1"/>
  <c r="P161" i="115"/>
  <c r="N161" i="115"/>
  <c r="M161" i="115"/>
  <c r="L161" i="115"/>
  <c r="H161" i="115"/>
  <c r="P160" i="115"/>
  <c r="N160" i="115"/>
  <c r="M160" i="115"/>
  <c r="L160" i="115"/>
  <c r="H160" i="115"/>
  <c r="P159" i="115"/>
  <c r="M159" i="115"/>
  <c r="L159" i="115"/>
  <c r="N159" i="115" s="1"/>
  <c r="H159" i="115"/>
  <c r="P158" i="115"/>
  <c r="N158" i="115"/>
  <c r="M158" i="115"/>
  <c r="L158" i="115"/>
  <c r="H158" i="115"/>
  <c r="C158" i="115"/>
  <c r="P157" i="115"/>
  <c r="N157" i="115"/>
  <c r="M157" i="115"/>
  <c r="L157" i="115"/>
  <c r="H157" i="115"/>
  <c r="E157" i="115" s="1"/>
  <c r="C157" i="115"/>
  <c r="P156" i="115"/>
  <c r="N156" i="115"/>
  <c r="M156" i="115"/>
  <c r="L156" i="115"/>
  <c r="H156" i="115"/>
  <c r="E156" i="115" s="1"/>
  <c r="P155" i="115"/>
  <c r="N155" i="115"/>
  <c r="M155" i="115"/>
  <c r="L155" i="115"/>
  <c r="H155" i="115"/>
  <c r="P154" i="115"/>
  <c r="N154" i="115"/>
  <c r="M154" i="115"/>
  <c r="L154" i="115"/>
  <c r="H154" i="115"/>
  <c r="E154" i="115" s="1"/>
  <c r="P153" i="115"/>
  <c r="M153" i="115"/>
  <c r="L153" i="115"/>
  <c r="N153" i="115" s="1"/>
  <c r="H153" i="115"/>
  <c r="P152" i="115"/>
  <c r="N152" i="115"/>
  <c r="M152" i="115"/>
  <c r="L152" i="115"/>
  <c r="H152" i="115"/>
  <c r="C152" i="115"/>
  <c r="P151" i="115"/>
  <c r="N151" i="115"/>
  <c r="M151" i="115"/>
  <c r="L151" i="115"/>
  <c r="H151" i="115"/>
  <c r="E151" i="115" s="1"/>
  <c r="C151" i="115"/>
  <c r="P150" i="115"/>
  <c r="M150" i="115"/>
  <c r="L150" i="115"/>
  <c r="N150" i="115" s="1"/>
  <c r="H150" i="115"/>
  <c r="P149" i="115"/>
  <c r="N149" i="115"/>
  <c r="M149" i="115"/>
  <c r="L149" i="115"/>
  <c r="H149" i="115"/>
  <c r="P148" i="115"/>
  <c r="M148" i="115"/>
  <c r="L148" i="115"/>
  <c r="H148" i="115"/>
  <c r="P147" i="115"/>
  <c r="N147" i="115"/>
  <c r="M147" i="115"/>
  <c r="L147" i="115"/>
  <c r="H147" i="115"/>
  <c r="C147" i="115"/>
  <c r="P146" i="115"/>
  <c r="N146" i="115"/>
  <c r="M146" i="115"/>
  <c r="L146" i="115"/>
  <c r="H146" i="115"/>
  <c r="C146" i="115"/>
  <c r="P145" i="115"/>
  <c r="M145" i="115"/>
  <c r="L145" i="115"/>
  <c r="N145" i="115" s="1"/>
  <c r="H145" i="115"/>
  <c r="P144" i="115"/>
  <c r="N144" i="115"/>
  <c r="M144" i="115"/>
  <c r="L144" i="115"/>
  <c r="H144" i="115"/>
  <c r="E144" i="115" s="1"/>
  <c r="P143" i="115"/>
  <c r="M143" i="115"/>
  <c r="N143" i="115" s="1"/>
  <c r="L143" i="115"/>
  <c r="H143" i="115"/>
  <c r="P142" i="115"/>
  <c r="N142" i="115"/>
  <c r="M142" i="115"/>
  <c r="L142" i="115"/>
  <c r="H142" i="115"/>
  <c r="E142" i="115" s="1"/>
  <c r="C142" i="115"/>
  <c r="P141" i="115"/>
  <c r="N141" i="115"/>
  <c r="M141" i="115"/>
  <c r="L141" i="115"/>
  <c r="H141" i="115"/>
  <c r="E141" i="115" s="1"/>
  <c r="C141" i="115"/>
  <c r="P140" i="115"/>
  <c r="N140" i="115"/>
  <c r="M140" i="115"/>
  <c r="L140" i="115"/>
  <c r="H140" i="115"/>
  <c r="P139" i="115"/>
  <c r="N139" i="115"/>
  <c r="M139" i="115"/>
  <c r="L139" i="115"/>
  <c r="H139" i="115"/>
  <c r="E139" i="115" s="1"/>
  <c r="P138" i="115"/>
  <c r="M138" i="115"/>
  <c r="L138" i="115"/>
  <c r="H138" i="115"/>
  <c r="P137" i="115"/>
  <c r="N137" i="115"/>
  <c r="M137" i="115"/>
  <c r="L137" i="115"/>
  <c r="H137" i="115"/>
  <c r="C137" i="115"/>
  <c r="P136" i="115"/>
  <c r="N136" i="115"/>
  <c r="M136" i="115"/>
  <c r="L136" i="115"/>
  <c r="H136" i="115"/>
  <c r="E136" i="115" s="1"/>
  <c r="C136" i="115"/>
  <c r="P135" i="115"/>
  <c r="N135" i="115"/>
  <c r="M135" i="115"/>
  <c r="L135" i="115"/>
  <c r="H135" i="115"/>
  <c r="P134" i="115"/>
  <c r="N134" i="115"/>
  <c r="M134" i="115"/>
  <c r="L134" i="115"/>
  <c r="H134" i="115"/>
  <c r="E134" i="115" s="1"/>
  <c r="P133" i="115"/>
  <c r="M133" i="115"/>
  <c r="L133" i="115"/>
  <c r="N133" i="115" s="1"/>
  <c r="H133" i="115"/>
  <c r="P132" i="115"/>
  <c r="N132" i="115"/>
  <c r="M132" i="115"/>
  <c r="L132" i="115"/>
  <c r="H132" i="115"/>
  <c r="E132" i="115" s="1"/>
  <c r="P131" i="115"/>
  <c r="M131" i="115"/>
  <c r="N131" i="115" s="1"/>
  <c r="L131" i="115"/>
  <c r="H131" i="115"/>
  <c r="P130" i="115"/>
  <c r="N130" i="115"/>
  <c r="M130" i="115"/>
  <c r="L130" i="115"/>
  <c r="H130" i="115"/>
  <c r="C130" i="115"/>
  <c r="P126" i="115"/>
  <c r="N126" i="115"/>
  <c r="M126" i="115"/>
  <c r="L126" i="115"/>
  <c r="H126" i="115"/>
  <c r="E126" i="115"/>
  <c r="C126" i="115"/>
  <c r="P125" i="115"/>
  <c r="N125" i="115"/>
  <c r="M125" i="115"/>
  <c r="L125" i="115"/>
  <c r="P124" i="115"/>
  <c r="N124" i="115"/>
  <c r="M124" i="115"/>
  <c r="L124" i="115"/>
  <c r="H124" i="115"/>
  <c r="C124" i="115"/>
  <c r="P123" i="115"/>
  <c r="N123" i="115"/>
  <c r="M123" i="115"/>
  <c r="L123" i="115"/>
  <c r="H123" i="115"/>
  <c r="C123" i="115"/>
  <c r="P122" i="115"/>
  <c r="N122" i="115"/>
  <c r="M122" i="115"/>
  <c r="L122" i="115"/>
  <c r="P121" i="115"/>
  <c r="N121" i="115"/>
  <c r="M121" i="115"/>
  <c r="L121" i="115"/>
  <c r="H121" i="115"/>
  <c r="C121" i="115"/>
  <c r="P120" i="115"/>
  <c r="N120" i="115"/>
  <c r="M120" i="115"/>
  <c r="L120" i="115"/>
  <c r="H120" i="115"/>
  <c r="C120" i="115"/>
  <c r="P119" i="115"/>
  <c r="N119" i="115"/>
  <c r="M119" i="115"/>
  <c r="L119" i="115"/>
  <c r="P118" i="115"/>
  <c r="N118" i="115"/>
  <c r="M118" i="115"/>
  <c r="L118" i="115"/>
  <c r="H118" i="115"/>
  <c r="C118" i="115"/>
  <c r="P117" i="115"/>
  <c r="E117" i="115" s="1"/>
  <c r="N117" i="115"/>
  <c r="M117" i="115"/>
  <c r="L117" i="115"/>
  <c r="H117" i="115"/>
  <c r="C117" i="115"/>
  <c r="P116" i="115"/>
  <c r="N116" i="115"/>
  <c r="M116" i="115"/>
  <c r="L116" i="115"/>
  <c r="P115" i="115"/>
  <c r="N115" i="115"/>
  <c r="M115" i="115"/>
  <c r="L115" i="115"/>
  <c r="H115" i="115"/>
  <c r="C115" i="115"/>
  <c r="P114" i="115"/>
  <c r="N114" i="115"/>
  <c r="M114" i="115"/>
  <c r="L114" i="115"/>
  <c r="H114" i="115"/>
  <c r="C114" i="115"/>
  <c r="P113" i="115"/>
  <c r="N113" i="115"/>
  <c r="M113" i="115"/>
  <c r="L113" i="115"/>
  <c r="P112" i="115"/>
  <c r="N112" i="115"/>
  <c r="M112" i="115"/>
  <c r="L112" i="115"/>
  <c r="H112" i="115"/>
  <c r="E112" i="115"/>
  <c r="C112" i="115"/>
  <c r="P111" i="115"/>
  <c r="N111" i="115"/>
  <c r="M111" i="115"/>
  <c r="L111" i="115"/>
  <c r="H111" i="115"/>
  <c r="C111" i="115"/>
  <c r="P110" i="115"/>
  <c r="N110" i="115"/>
  <c r="M110" i="115"/>
  <c r="L110" i="115"/>
  <c r="H110" i="115"/>
  <c r="P109" i="115"/>
  <c r="M109" i="115"/>
  <c r="L109" i="115"/>
  <c r="N109" i="115" s="1"/>
  <c r="H109" i="115"/>
  <c r="P108" i="115"/>
  <c r="N108" i="115"/>
  <c r="M108" i="115"/>
  <c r="L108" i="115"/>
  <c r="H108" i="115"/>
  <c r="C108" i="115"/>
  <c r="P107" i="115"/>
  <c r="N107" i="115"/>
  <c r="M107" i="115"/>
  <c r="L107" i="115"/>
  <c r="H107" i="115"/>
  <c r="C107" i="115"/>
  <c r="P106" i="115"/>
  <c r="N106" i="115"/>
  <c r="M106" i="115"/>
  <c r="L106" i="115"/>
  <c r="H106" i="115"/>
  <c r="E106" i="115" s="1"/>
  <c r="P105" i="115"/>
  <c r="M105" i="115"/>
  <c r="N105" i="115" s="1"/>
  <c r="L105" i="115"/>
  <c r="H105" i="115"/>
  <c r="P104" i="115"/>
  <c r="N104" i="115"/>
  <c r="M104" i="115"/>
  <c r="L104" i="115"/>
  <c r="H104" i="115"/>
  <c r="C104" i="115"/>
  <c r="P103" i="115"/>
  <c r="N103" i="115"/>
  <c r="M103" i="115"/>
  <c r="L103" i="115"/>
  <c r="H103" i="115"/>
  <c r="E103" i="115" s="1"/>
  <c r="C103" i="115"/>
  <c r="P102" i="115"/>
  <c r="N102" i="115"/>
  <c r="M102" i="115"/>
  <c r="L102" i="115"/>
  <c r="H102" i="115"/>
  <c r="E102" i="115" s="1"/>
  <c r="P101" i="115"/>
  <c r="N101" i="115"/>
  <c r="M101" i="115"/>
  <c r="L101" i="115"/>
  <c r="H101" i="115"/>
  <c r="P100" i="115"/>
  <c r="N100" i="115"/>
  <c r="M100" i="115"/>
  <c r="L100" i="115"/>
  <c r="H100" i="115"/>
  <c r="E100" i="115" s="1"/>
  <c r="C100" i="115"/>
  <c r="P99" i="115"/>
  <c r="N99" i="115"/>
  <c r="M99" i="115"/>
  <c r="L99" i="115"/>
  <c r="H99" i="115"/>
  <c r="E99" i="115" s="1"/>
  <c r="C99" i="115"/>
  <c r="P98" i="115"/>
  <c r="N98" i="115"/>
  <c r="M98" i="115"/>
  <c r="L98" i="115"/>
  <c r="H98" i="115"/>
  <c r="P97" i="115"/>
  <c r="M97" i="115"/>
  <c r="L97" i="115"/>
  <c r="N97" i="115" s="1"/>
  <c r="H97" i="115"/>
  <c r="P96" i="115"/>
  <c r="N96" i="115"/>
  <c r="M96" i="115"/>
  <c r="L96" i="115"/>
  <c r="H96" i="115"/>
  <c r="E96" i="115" s="1"/>
  <c r="C96" i="115"/>
  <c r="P95" i="115"/>
  <c r="N95" i="115"/>
  <c r="M95" i="115"/>
  <c r="L95" i="115"/>
  <c r="H95" i="115"/>
  <c r="C95" i="115"/>
  <c r="P94" i="115"/>
  <c r="N94" i="115"/>
  <c r="M94" i="115"/>
  <c r="L94" i="115"/>
  <c r="H94" i="115"/>
  <c r="P93" i="115"/>
  <c r="M93" i="115"/>
  <c r="L93" i="115"/>
  <c r="N93" i="115" s="1"/>
  <c r="H93" i="115"/>
  <c r="P92" i="115"/>
  <c r="N92" i="115"/>
  <c r="M92" i="115"/>
  <c r="L92" i="115"/>
  <c r="H92" i="115"/>
  <c r="P91" i="115"/>
  <c r="M91" i="115"/>
  <c r="L91" i="115"/>
  <c r="N91" i="115" s="1"/>
  <c r="H91" i="115"/>
  <c r="P90" i="115"/>
  <c r="N90" i="115"/>
  <c r="M90" i="115"/>
  <c r="L90" i="115"/>
  <c r="H90" i="115"/>
  <c r="E90" i="115" s="1"/>
  <c r="C90" i="115"/>
  <c r="P89" i="115"/>
  <c r="N89" i="115"/>
  <c r="M89" i="115"/>
  <c r="L89" i="115"/>
  <c r="H89" i="115"/>
  <c r="C89" i="115"/>
  <c r="P88" i="115"/>
  <c r="N88" i="115"/>
  <c r="M88" i="115"/>
  <c r="L88" i="115"/>
  <c r="H88" i="115"/>
  <c r="P87" i="115"/>
  <c r="M87" i="115"/>
  <c r="L87" i="115"/>
  <c r="N87" i="115" s="1"/>
  <c r="H87" i="115"/>
  <c r="P86" i="115"/>
  <c r="N86" i="115"/>
  <c r="M86" i="115"/>
  <c r="L86" i="115"/>
  <c r="H86" i="115"/>
  <c r="P85" i="115"/>
  <c r="M85" i="115"/>
  <c r="L85" i="115"/>
  <c r="N85" i="115" s="1"/>
  <c r="H85" i="115"/>
  <c r="P84" i="115"/>
  <c r="N84" i="115"/>
  <c r="M84" i="115"/>
  <c r="L84" i="115"/>
  <c r="H84" i="115"/>
  <c r="P83" i="115"/>
  <c r="M83" i="115"/>
  <c r="L83" i="115"/>
  <c r="N83" i="115" s="1"/>
  <c r="H83" i="115"/>
  <c r="P82" i="115"/>
  <c r="N82" i="115"/>
  <c r="M82" i="115"/>
  <c r="L82" i="115"/>
  <c r="H82" i="115"/>
  <c r="E82" i="115" s="1"/>
  <c r="C82" i="115"/>
  <c r="P81" i="115"/>
  <c r="N81" i="115"/>
  <c r="M81" i="115"/>
  <c r="L81" i="115"/>
  <c r="H81" i="115"/>
  <c r="C81" i="115"/>
  <c r="P80" i="115"/>
  <c r="N80" i="115"/>
  <c r="M80" i="115"/>
  <c r="L80" i="115"/>
  <c r="H80" i="115"/>
  <c r="P79" i="115"/>
  <c r="M79" i="115"/>
  <c r="L79" i="115"/>
  <c r="N79" i="115" s="1"/>
  <c r="H79" i="115"/>
  <c r="P78" i="115"/>
  <c r="N78" i="115"/>
  <c r="M78" i="115"/>
  <c r="L78" i="115"/>
  <c r="H78" i="115"/>
  <c r="C78" i="115"/>
  <c r="P77" i="115"/>
  <c r="N77" i="115"/>
  <c r="M77" i="115"/>
  <c r="L77" i="115"/>
  <c r="H77" i="115"/>
  <c r="C77" i="115"/>
  <c r="P76" i="115"/>
  <c r="N76" i="115"/>
  <c r="M76" i="115"/>
  <c r="L76" i="115"/>
  <c r="H76" i="115"/>
  <c r="E76" i="115" s="1"/>
  <c r="P75" i="115"/>
  <c r="M75" i="115"/>
  <c r="L75" i="115"/>
  <c r="N75" i="115" s="1"/>
  <c r="H75" i="115"/>
  <c r="P74" i="115"/>
  <c r="N74" i="115"/>
  <c r="M74" i="115"/>
  <c r="L74" i="115"/>
  <c r="H74" i="115"/>
  <c r="C74" i="115"/>
  <c r="P73" i="115"/>
  <c r="N73" i="115"/>
  <c r="M73" i="115"/>
  <c r="L73" i="115"/>
  <c r="H73" i="115"/>
  <c r="E73" i="115" s="1"/>
  <c r="C73" i="115"/>
  <c r="P72" i="115"/>
  <c r="N72" i="115"/>
  <c r="M72" i="115"/>
  <c r="L72" i="115"/>
  <c r="H72" i="115"/>
  <c r="E72" i="115" s="1"/>
  <c r="P71" i="115"/>
  <c r="M71" i="115"/>
  <c r="N71" i="115" s="1"/>
  <c r="L71" i="115"/>
  <c r="H71" i="115"/>
  <c r="P70" i="115"/>
  <c r="N70" i="115"/>
  <c r="M70" i="115"/>
  <c r="L70" i="115"/>
  <c r="H70" i="115"/>
  <c r="E70" i="115" s="1"/>
  <c r="C70" i="115"/>
  <c r="P69" i="115"/>
  <c r="N69" i="115"/>
  <c r="M69" i="115"/>
  <c r="L69" i="115"/>
  <c r="H69" i="115"/>
  <c r="E69" i="115" s="1"/>
  <c r="C69" i="115"/>
  <c r="P68" i="115"/>
  <c r="N68" i="115"/>
  <c r="M68" i="115"/>
  <c r="L68" i="115"/>
  <c r="H68" i="115"/>
  <c r="P67" i="115"/>
  <c r="M67" i="115"/>
  <c r="L67" i="115"/>
  <c r="N67" i="115" s="1"/>
  <c r="H67" i="115"/>
  <c r="P66" i="115"/>
  <c r="N66" i="115"/>
  <c r="M66" i="115"/>
  <c r="L66" i="115"/>
  <c r="H66" i="115"/>
  <c r="E66" i="115" s="1"/>
  <c r="P65" i="115"/>
  <c r="M65" i="115"/>
  <c r="N65" i="115" s="1"/>
  <c r="L65" i="115"/>
  <c r="H65" i="115"/>
  <c r="P64" i="115"/>
  <c r="N64" i="115"/>
  <c r="M64" i="115"/>
  <c r="L64" i="115"/>
  <c r="H64" i="115"/>
  <c r="E64" i="115" s="1"/>
  <c r="C64" i="115"/>
  <c r="P63" i="115"/>
  <c r="N63" i="115"/>
  <c r="M63" i="115"/>
  <c r="L63" i="115"/>
  <c r="H63" i="115"/>
  <c r="E63" i="115" s="1"/>
  <c r="C63" i="115"/>
  <c r="P62" i="115"/>
  <c r="N62" i="115"/>
  <c r="M62" i="115"/>
  <c r="L62" i="115"/>
  <c r="H62" i="115"/>
  <c r="P61" i="115"/>
  <c r="M61" i="115"/>
  <c r="L61" i="115"/>
  <c r="N61" i="115" s="1"/>
  <c r="E61" i="115" s="1"/>
  <c r="H61" i="115"/>
  <c r="P60" i="115"/>
  <c r="N60" i="115"/>
  <c r="M60" i="115"/>
  <c r="L60" i="115"/>
  <c r="H60" i="115"/>
  <c r="E60" i="115" s="1"/>
  <c r="C60" i="115"/>
  <c r="P59" i="115"/>
  <c r="N59" i="115"/>
  <c r="M59" i="115"/>
  <c r="L59" i="115"/>
  <c r="H59" i="115"/>
  <c r="C59" i="115"/>
  <c r="P58" i="115"/>
  <c r="N58" i="115"/>
  <c r="M58" i="115"/>
  <c r="L58" i="115"/>
  <c r="H58" i="115"/>
  <c r="P57" i="115"/>
  <c r="M57" i="115"/>
  <c r="L57" i="115"/>
  <c r="H57" i="115"/>
  <c r="P56" i="115"/>
  <c r="N56" i="115"/>
  <c r="M56" i="115"/>
  <c r="L56" i="115"/>
  <c r="H56" i="115"/>
  <c r="C56" i="115"/>
  <c r="P55" i="115"/>
  <c r="N55" i="115"/>
  <c r="M55" i="115"/>
  <c r="L55" i="115"/>
  <c r="H55" i="115"/>
  <c r="C55" i="115"/>
  <c r="P54" i="115"/>
  <c r="N54" i="115"/>
  <c r="M54" i="115"/>
  <c r="L54" i="115"/>
  <c r="H54" i="115"/>
  <c r="E54" i="115" s="1"/>
  <c r="P53" i="115"/>
  <c r="M53" i="115"/>
  <c r="L53" i="115"/>
  <c r="H53" i="115"/>
  <c r="P52" i="115"/>
  <c r="N52" i="115"/>
  <c r="M52" i="115"/>
  <c r="L52" i="115"/>
  <c r="H52" i="115"/>
  <c r="C52" i="115"/>
  <c r="P51" i="115"/>
  <c r="N51" i="115"/>
  <c r="M51" i="115"/>
  <c r="L51" i="115"/>
  <c r="H51" i="115"/>
  <c r="E51" i="115" s="1"/>
  <c r="C51" i="115"/>
  <c r="P50" i="115"/>
  <c r="N50" i="115"/>
  <c r="M50" i="115"/>
  <c r="L50" i="115"/>
  <c r="H50" i="115"/>
  <c r="P49" i="115"/>
  <c r="N49" i="115"/>
  <c r="M49" i="115"/>
  <c r="L49" i="115"/>
  <c r="H49" i="115"/>
  <c r="E49" i="115" s="1"/>
  <c r="P48" i="115"/>
  <c r="N48" i="115"/>
  <c r="M48" i="115"/>
  <c r="L48" i="115"/>
  <c r="H48" i="115"/>
  <c r="E48" i="115" s="1"/>
  <c r="C48" i="115"/>
  <c r="P47" i="115"/>
  <c r="N47" i="115"/>
  <c r="M47" i="115"/>
  <c r="L47" i="115"/>
  <c r="H47" i="115"/>
  <c r="C47" i="115"/>
  <c r="P46" i="115"/>
  <c r="M46" i="115"/>
  <c r="L46" i="115"/>
  <c r="N46" i="115" s="1"/>
  <c r="H46" i="115"/>
  <c r="P45" i="115"/>
  <c r="N45" i="115"/>
  <c r="M45" i="115"/>
  <c r="L45" i="115"/>
  <c r="H45" i="115"/>
  <c r="P44" i="115"/>
  <c r="N44" i="115"/>
  <c r="M44" i="115"/>
  <c r="L44" i="115"/>
  <c r="H44" i="115"/>
  <c r="P43" i="115"/>
  <c r="N43" i="115"/>
  <c r="M43" i="115"/>
  <c r="L43" i="115"/>
  <c r="H43" i="115"/>
  <c r="E43" i="115" s="1"/>
  <c r="P42" i="115"/>
  <c r="M42" i="115"/>
  <c r="L42" i="115"/>
  <c r="N42" i="115" s="1"/>
  <c r="H42" i="115"/>
  <c r="P41" i="115"/>
  <c r="N41" i="115"/>
  <c r="M41" i="115"/>
  <c r="L41" i="115"/>
  <c r="H41" i="115"/>
  <c r="E41" i="115" s="1"/>
  <c r="P40" i="115"/>
  <c r="N40" i="115"/>
  <c r="M40" i="115"/>
  <c r="L40" i="115"/>
  <c r="H40" i="115"/>
  <c r="P39" i="115"/>
  <c r="N39" i="115"/>
  <c r="M39" i="115"/>
  <c r="L39" i="115"/>
  <c r="H39" i="115"/>
  <c r="C39" i="115"/>
  <c r="P38" i="115"/>
  <c r="N38" i="115"/>
  <c r="M38" i="115"/>
  <c r="L38" i="115"/>
  <c r="H38" i="115"/>
  <c r="E38" i="115" s="1"/>
  <c r="C38" i="115"/>
  <c r="P37" i="115"/>
  <c r="N37" i="115"/>
  <c r="M37" i="115"/>
  <c r="L37" i="115"/>
  <c r="H37" i="115"/>
  <c r="E37" i="115" s="1"/>
  <c r="P36" i="115"/>
  <c r="M36" i="115"/>
  <c r="L36" i="115"/>
  <c r="N36" i="115" s="1"/>
  <c r="H36" i="115"/>
  <c r="P35" i="115"/>
  <c r="N35" i="115"/>
  <c r="M35" i="115"/>
  <c r="L35" i="115"/>
  <c r="H35" i="115"/>
  <c r="E35" i="115" s="1"/>
  <c r="P34" i="115"/>
  <c r="N34" i="115"/>
  <c r="M34" i="115"/>
  <c r="L34" i="115"/>
  <c r="H34" i="115"/>
  <c r="P33" i="115"/>
  <c r="N33" i="115"/>
  <c r="M33" i="115"/>
  <c r="L33" i="115"/>
  <c r="H33" i="115"/>
  <c r="C33" i="115"/>
  <c r="P32" i="115"/>
  <c r="N32" i="115"/>
  <c r="M32" i="115"/>
  <c r="L32" i="115"/>
  <c r="H32" i="115"/>
  <c r="E32" i="115" s="1"/>
  <c r="C32" i="115"/>
  <c r="P31" i="115"/>
  <c r="N31" i="115"/>
  <c r="M31" i="115"/>
  <c r="L31" i="115"/>
  <c r="H31" i="115"/>
  <c r="E31" i="115" s="1"/>
  <c r="P30" i="115"/>
  <c r="N30" i="115"/>
  <c r="M30" i="115"/>
  <c r="L30" i="115"/>
  <c r="H30" i="115"/>
  <c r="P29" i="115"/>
  <c r="M29" i="115"/>
  <c r="L29" i="115"/>
  <c r="N29" i="115" s="1"/>
  <c r="H29" i="115"/>
  <c r="E29" i="115" s="1"/>
  <c r="P28" i="115"/>
  <c r="N28" i="115"/>
  <c r="M28" i="115"/>
  <c r="L28" i="115"/>
  <c r="H28" i="115"/>
  <c r="C28" i="115"/>
  <c r="P27" i="115"/>
  <c r="N27" i="115"/>
  <c r="M27" i="115"/>
  <c r="L27" i="115"/>
  <c r="H27" i="115"/>
  <c r="C27" i="115"/>
  <c r="P26" i="115"/>
  <c r="M26" i="115"/>
  <c r="L26" i="115"/>
  <c r="N26" i="115" s="1"/>
  <c r="H26" i="115"/>
  <c r="P25" i="115"/>
  <c r="N25" i="115"/>
  <c r="M25" i="115"/>
  <c r="L25" i="115"/>
  <c r="H25" i="115"/>
  <c r="E25" i="115" s="1"/>
  <c r="P24" i="115"/>
  <c r="N24" i="115"/>
  <c r="M24" i="115"/>
  <c r="L24" i="115"/>
  <c r="H24" i="115"/>
  <c r="P23" i="115"/>
  <c r="N23" i="115"/>
  <c r="M23" i="115"/>
  <c r="L23" i="115"/>
  <c r="H23" i="115"/>
  <c r="E23" i="115" s="1"/>
  <c r="C23" i="115"/>
  <c r="P22" i="115"/>
  <c r="N22" i="115"/>
  <c r="M22" i="115"/>
  <c r="L22" i="115"/>
  <c r="H22" i="115"/>
  <c r="E22" i="115" s="1"/>
  <c r="C22" i="115"/>
  <c r="P21" i="115"/>
  <c r="M21" i="115"/>
  <c r="L21" i="115"/>
  <c r="N21" i="115" s="1"/>
  <c r="H21" i="115"/>
  <c r="P20" i="115"/>
  <c r="N20" i="115"/>
  <c r="M20" i="115"/>
  <c r="L20" i="115"/>
  <c r="H20" i="115"/>
  <c r="P19" i="115"/>
  <c r="N19" i="115"/>
  <c r="M19" i="115"/>
  <c r="L19" i="115"/>
  <c r="H19" i="115"/>
  <c r="E19" i="115" s="1"/>
  <c r="P18" i="115"/>
  <c r="N18" i="115"/>
  <c r="M18" i="115"/>
  <c r="L18" i="115"/>
  <c r="H18" i="115"/>
  <c r="C18" i="115"/>
  <c r="P17" i="115"/>
  <c r="N17" i="115"/>
  <c r="M17" i="115"/>
  <c r="L17" i="115"/>
  <c r="H17" i="115"/>
  <c r="C17" i="115"/>
  <c r="P16" i="115"/>
  <c r="M16" i="115"/>
  <c r="L16" i="115"/>
  <c r="N16" i="115" s="1"/>
  <c r="H16" i="115"/>
  <c r="P15" i="115"/>
  <c r="N15" i="115"/>
  <c r="M15" i="115"/>
  <c r="L15" i="115"/>
  <c r="H15" i="115"/>
  <c r="P14" i="115"/>
  <c r="M14" i="115"/>
  <c r="L14" i="115"/>
  <c r="N14" i="115" s="1"/>
  <c r="H14" i="115"/>
  <c r="P13" i="115"/>
  <c r="N13" i="115"/>
  <c r="M13" i="115"/>
  <c r="L13" i="115"/>
  <c r="H13" i="115"/>
  <c r="E13" i="115" s="1"/>
  <c r="C13" i="115"/>
  <c r="P12" i="115"/>
  <c r="N12" i="115"/>
  <c r="M12" i="115"/>
  <c r="L12" i="115"/>
  <c r="H12" i="115"/>
  <c r="C12" i="115"/>
  <c r="P11" i="115"/>
  <c r="M11" i="115"/>
  <c r="L11" i="115"/>
  <c r="N11" i="115" s="1"/>
  <c r="H11" i="115"/>
  <c r="E11" i="115" s="1"/>
  <c r="P10" i="115"/>
  <c r="N10" i="115"/>
  <c r="M10" i="115"/>
  <c r="L10" i="115"/>
  <c r="H10" i="115"/>
  <c r="P9" i="115"/>
  <c r="M9" i="115"/>
  <c r="N9" i="115" s="1"/>
  <c r="L9" i="115"/>
  <c r="H9" i="115"/>
  <c r="P8" i="115"/>
  <c r="N8" i="115"/>
  <c r="M8" i="115"/>
  <c r="L8" i="115"/>
  <c r="H8" i="115"/>
  <c r="E8" i="115" s="1"/>
  <c r="P7" i="115"/>
  <c r="N7" i="115"/>
  <c r="M7" i="115"/>
  <c r="L7" i="115"/>
  <c r="H7" i="115"/>
  <c r="P6" i="115"/>
  <c r="N6" i="115"/>
  <c r="M6" i="115"/>
  <c r="L6" i="115"/>
  <c r="H6" i="115"/>
  <c r="C6" i="115"/>
  <c r="Q80" i="114"/>
  <c r="O80" i="114"/>
  <c r="N80" i="114"/>
  <c r="M80" i="114"/>
  <c r="I80" i="114"/>
  <c r="F80" i="114" s="1"/>
  <c r="Q79" i="114"/>
  <c r="O79" i="114"/>
  <c r="N79" i="114"/>
  <c r="M79" i="114"/>
  <c r="Q78" i="114"/>
  <c r="O78" i="114"/>
  <c r="N78" i="114"/>
  <c r="M78" i="114"/>
  <c r="I78" i="114"/>
  <c r="F78" i="114" s="1"/>
  <c r="Q77" i="114"/>
  <c r="O77" i="114"/>
  <c r="N77" i="114"/>
  <c r="M77" i="114"/>
  <c r="F77" i="114"/>
  <c r="O76" i="114"/>
  <c r="N76" i="114"/>
  <c r="M76" i="114"/>
  <c r="I76" i="114"/>
  <c r="F76" i="114" s="1"/>
  <c r="Q75" i="114"/>
  <c r="O75" i="114"/>
  <c r="N75" i="114"/>
  <c r="M75" i="114"/>
  <c r="I75" i="114"/>
  <c r="F75" i="114" s="1"/>
  <c r="G75" i="114" s="1"/>
  <c r="D71" i="114"/>
  <c r="D70" i="114"/>
  <c r="Q57" i="114"/>
  <c r="O57" i="114"/>
  <c r="N57" i="114"/>
  <c r="M57" i="114"/>
  <c r="I57" i="114"/>
  <c r="F57" i="114" s="1"/>
  <c r="Q56" i="114"/>
  <c r="O56" i="114"/>
  <c r="N56" i="114"/>
  <c r="M56" i="114"/>
  <c r="Q55" i="114"/>
  <c r="O55" i="114"/>
  <c r="N55" i="114"/>
  <c r="M55" i="114"/>
  <c r="I55" i="114"/>
  <c r="F55" i="114" s="1"/>
  <c r="Q54" i="114"/>
  <c r="O54" i="114"/>
  <c r="N54" i="114"/>
  <c r="M54" i="114"/>
  <c r="Q53" i="114"/>
  <c r="O53" i="114"/>
  <c r="N53" i="114"/>
  <c r="M53" i="114"/>
  <c r="I53" i="114"/>
  <c r="F53" i="114" s="1"/>
  <c r="Q52" i="114"/>
  <c r="O52" i="114"/>
  <c r="N52" i="114"/>
  <c r="M52" i="114"/>
  <c r="I52" i="114"/>
  <c r="F52" i="114" s="1"/>
  <c r="G52" i="114" s="1"/>
  <c r="D48" i="114"/>
  <c r="D47" i="114"/>
  <c r="Q36" i="114"/>
  <c r="O36" i="114"/>
  <c r="N36" i="114"/>
  <c r="M36" i="114"/>
  <c r="I36" i="114"/>
  <c r="F36" i="114" s="1"/>
  <c r="Q35" i="114"/>
  <c r="O35" i="114"/>
  <c r="N35" i="114"/>
  <c r="M35" i="114"/>
  <c r="I35" i="114"/>
  <c r="F35" i="114" s="1"/>
  <c r="Q34" i="114"/>
  <c r="O34" i="114"/>
  <c r="N34" i="114"/>
  <c r="M34" i="114"/>
  <c r="I34" i="114"/>
  <c r="F34" i="114" s="1"/>
  <c r="Q33" i="114"/>
  <c r="O33" i="114"/>
  <c r="N33" i="114"/>
  <c r="M33" i="114"/>
  <c r="F33" i="114"/>
  <c r="Q32" i="114"/>
  <c r="O32" i="114"/>
  <c r="N32" i="114"/>
  <c r="M32" i="114"/>
  <c r="I32" i="114"/>
  <c r="F32" i="114" s="1"/>
  <c r="Q31" i="114"/>
  <c r="O31" i="114"/>
  <c r="N31" i="114"/>
  <c r="M31" i="114"/>
  <c r="F31" i="114"/>
  <c r="Q30" i="114"/>
  <c r="O30" i="114"/>
  <c r="N30" i="114"/>
  <c r="M30" i="114"/>
  <c r="I30" i="114"/>
  <c r="F30" i="114" s="1"/>
  <c r="Q29" i="114"/>
  <c r="O29" i="114"/>
  <c r="N29" i="114"/>
  <c r="M29" i="114"/>
  <c r="I29" i="114"/>
  <c r="F29" i="114" s="1"/>
  <c r="D25" i="114"/>
  <c r="D24" i="114"/>
  <c r="S395" i="113"/>
  <c r="Q395" i="113"/>
  <c r="P395" i="113"/>
  <c r="O395" i="113"/>
  <c r="S394" i="113"/>
  <c r="P394" i="113"/>
  <c r="O394" i="113"/>
  <c r="K394" i="113"/>
  <c r="S393" i="113"/>
  <c r="Q393" i="113"/>
  <c r="P393" i="113"/>
  <c r="O393" i="113"/>
  <c r="S392" i="113"/>
  <c r="P392" i="113"/>
  <c r="O392" i="113"/>
  <c r="K392" i="113"/>
  <c r="S391" i="113"/>
  <c r="Q391" i="113"/>
  <c r="P391" i="113"/>
  <c r="O391" i="113"/>
  <c r="S390" i="113"/>
  <c r="P390" i="113"/>
  <c r="Q390" i="113" s="1"/>
  <c r="O390" i="113"/>
  <c r="K390" i="113"/>
  <c r="S389" i="113"/>
  <c r="Q389" i="113"/>
  <c r="P389" i="113"/>
  <c r="O389" i="113"/>
  <c r="S388" i="113"/>
  <c r="P388" i="113"/>
  <c r="O388" i="113"/>
  <c r="K388" i="113"/>
  <c r="S387" i="113"/>
  <c r="Q387" i="113"/>
  <c r="P387" i="113"/>
  <c r="O387" i="113"/>
  <c r="S386" i="113"/>
  <c r="Q386" i="113"/>
  <c r="P386" i="113"/>
  <c r="O386" i="113"/>
  <c r="K386" i="113"/>
  <c r="S385" i="113"/>
  <c r="Q385" i="113"/>
  <c r="P385" i="113"/>
  <c r="O385" i="113"/>
  <c r="S384" i="113"/>
  <c r="P384" i="113"/>
  <c r="Q384" i="113" s="1"/>
  <c r="O384" i="113"/>
  <c r="K384" i="113"/>
  <c r="S383" i="113"/>
  <c r="Q383" i="113"/>
  <c r="P383" i="113"/>
  <c r="O383" i="113"/>
  <c r="S382" i="113"/>
  <c r="Q382" i="113"/>
  <c r="P382" i="113"/>
  <c r="O382" i="113"/>
  <c r="K382" i="113"/>
  <c r="S381" i="113"/>
  <c r="Q381" i="113"/>
  <c r="P381" i="113"/>
  <c r="O381" i="113"/>
  <c r="S380" i="113"/>
  <c r="P380" i="113"/>
  <c r="O380" i="113"/>
  <c r="K380" i="113"/>
  <c r="S379" i="113"/>
  <c r="Q379" i="113"/>
  <c r="P379" i="113"/>
  <c r="O379" i="113"/>
  <c r="S378" i="113"/>
  <c r="P378" i="113"/>
  <c r="O378" i="113"/>
  <c r="Q378" i="113" s="1"/>
  <c r="K378" i="113"/>
  <c r="S377" i="113"/>
  <c r="Q377" i="113"/>
  <c r="P377" i="113"/>
  <c r="O377" i="113"/>
  <c r="S376" i="113"/>
  <c r="P376" i="113"/>
  <c r="O376" i="113"/>
  <c r="Q376" i="113" s="1"/>
  <c r="K376" i="113"/>
  <c r="S375" i="113"/>
  <c r="Q375" i="113"/>
  <c r="P375" i="113"/>
  <c r="O375" i="113"/>
  <c r="S374" i="113"/>
  <c r="P374" i="113"/>
  <c r="O374" i="113"/>
  <c r="Q374" i="113" s="1"/>
  <c r="K374" i="113"/>
  <c r="H374" i="113" s="1"/>
  <c r="S373" i="113"/>
  <c r="Q373" i="113"/>
  <c r="P373" i="113"/>
  <c r="O373" i="113"/>
  <c r="S372" i="113"/>
  <c r="P372" i="113"/>
  <c r="O372" i="113"/>
  <c r="Q372" i="113" s="1"/>
  <c r="K372" i="113"/>
  <c r="S371" i="113"/>
  <c r="Q371" i="113"/>
  <c r="P371" i="113"/>
  <c r="O371" i="113"/>
  <c r="S370" i="113"/>
  <c r="P370" i="113"/>
  <c r="O370" i="113"/>
  <c r="Q370" i="113" s="1"/>
  <c r="K370" i="113"/>
  <c r="Q369" i="113"/>
  <c r="P369" i="113"/>
  <c r="O369" i="113"/>
  <c r="P368" i="113"/>
  <c r="O368" i="113"/>
  <c r="K368" i="113"/>
  <c r="Q367" i="113"/>
  <c r="P367" i="113"/>
  <c r="O367" i="113"/>
  <c r="S366" i="113"/>
  <c r="Q366" i="113"/>
  <c r="P366" i="113"/>
  <c r="O366" i="113"/>
  <c r="F360" i="113"/>
  <c r="F359" i="113"/>
  <c r="F358" i="113"/>
  <c r="F361" i="113" s="1"/>
  <c r="S345" i="113"/>
  <c r="Q345" i="113"/>
  <c r="P345" i="113"/>
  <c r="O345" i="113"/>
  <c r="S344" i="113"/>
  <c r="P344" i="113"/>
  <c r="O344" i="113"/>
  <c r="Q344" i="113" s="1"/>
  <c r="K344" i="113"/>
  <c r="S343" i="113"/>
  <c r="Q343" i="113"/>
  <c r="P343" i="113"/>
  <c r="O343" i="113"/>
  <c r="S342" i="113"/>
  <c r="P342" i="113"/>
  <c r="O342" i="113"/>
  <c r="Q342" i="113" s="1"/>
  <c r="K342" i="113"/>
  <c r="S341" i="113"/>
  <c r="Q341" i="113"/>
  <c r="P341" i="113"/>
  <c r="O341" i="113"/>
  <c r="S340" i="113"/>
  <c r="P340" i="113"/>
  <c r="O340" i="113"/>
  <c r="Q340" i="113" s="1"/>
  <c r="K340" i="113"/>
  <c r="S339" i="113"/>
  <c r="Q339" i="113"/>
  <c r="P339" i="113"/>
  <c r="O339" i="113"/>
  <c r="S338" i="113"/>
  <c r="P338" i="113"/>
  <c r="O338" i="113"/>
  <c r="K338" i="113"/>
  <c r="S337" i="113"/>
  <c r="Q337" i="113"/>
  <c r="P337" i="113"/>
  <c r="O337" i="113"/>
  <c r="S336" i="113"/>
  <c r="P336" i="113"/>
  <c r="O336" i="113"/>
  <c r="Q336" i="113" s="1"/>
  <c r="K336" i="113"/>
  <c r="H336" i="113" s="1"/>
  <c r="S335" i="113"/>
  <c r="Q335" i="113"/>
  <c r="P335" i="113"/>
  <c r="O335" i="113"/>
  <c r="S334" i="113"/>
  <c r="P334" i="113"/>
  <c r="O334" i="113"/>
  <c r="Q334" i="113" s="1"/>
  <c r="K334" i="113"/>
  <c r="S333" i="113"/>
  <c r="Q333" i="113"/>
  <c r="P333" i="113"/>
  <c r="O333" i="113"/>
  <c r="S332" i="113"/>
  <c r="P332" i="113"/>
  <c r="O332" i="113"/>
  <c r="Q332" i="113" s="1"/>
  <c r="K332" i="113"/>
  <c r="H332" i="113" s="1"/>
  <c r="S331" i="113"/>
  <c r="Q331" i="113"/>
  <c r="P331" i="113"/>
  <c r="O331" i="113"/>
  <c r="S330" i="113"/>
  <c r="P330" i="113"/>
  <c r="O330" i="113"/>
  <c r="Q330" i="113" s="1"/>
  <c r="K330" i="113"/>
  <c r="S329" i="113"/>
  <c r="Q329" i="113"/>
  <c r="P329" i="113"/>
  <c r="O329" i="113"/>
  <c r="S328" i="113"/>
  <c r="P328" i="113"/>
  <c r="O328" i="113"/>
  <c r="Q328" i="113" s="1"/>
  <c r="K328" i="113"/>
  <c r="S327" i="113"/>
  <c r="Q327" i="113"/>
  <c r="P327" i="113"/>
  <c r="O327" i="113"/>
  <c r="S326" i="113"/>
  <c r="P326" i="113"/>
  <c r="O326" i="113"/>
  <c r="K326" i="113"/>
  <c r="S325" i="113"/>
  <c r="Q325" i="113"/>
  <c r="P325" i="113"/>
  <c r="O325" i="113"/>
  <c r="S324" i="113"/>
  <c r="P324" i="113"/>
  <c r="O324" i="113"/>
  <c r="Q324" i="113" s="1"/>
  <c r="K324" i="113"/>
  <c r="S323" i="113"/>
  <c r="Q323" i="113"/>
  <c r="P323" i="113"/>
  <c r="O323" i="113"/>
  <c r="S322" i="113"/>
  <c r="P322" i="113"/>
  <c r="O322" i="113"/>
  <c r="K322" i="113"/>
  <c r="S321" i="113"/>
  <c r="Q321" i="113"/>
  <c r="P321" i="113"/>
  <c r="O321" i="113"/>
  <c r="S320" i="113"/>
  <c r="P320" i="113"/>
  <c r="O320" i="113"/>
  <c r="Q320" i="113" s="1"/>
  <c r="K320" i="113"/>
  <c r="H320" i="113" s="1"/>
  <c r="S319" i="113"/>
  <c r="Q319" i="113"/>
  <c r="P319" i="113"/>
  <c r="O319" i="113"/>
  <c r="S318" i="113"/>
  <c r="P318" i="113"/>
  <c r="O318" i="113"/>
  <c r="K318" i="113"/>
  <c r="S317" i="113"/>
  <c r="Q317" i="113"/>
  <c r="P317" i="113"/>
  <c r="O317" i="113"/>
  <c r="S316" i="113"/>
  <c r="P316" i="113"/>
  <c r="O316" i="113"/>
  <c r="Q316" i="113" s="1"/>
  <c r="K316" i="113"/>
  <c r="S315" i="113"/>
  <c r="Q315" i="113"/>
  <c r="P315" i="113"/>
  <c r="O315" i="113"/>
  <c r="S314" i="113"/>
  <c r="P314" i="113"/>
  <c r="O314" i="113"/>
  <c r="K314" i="113"/>
  <c r="Q313" i="113"/>
  <c r="P313" i="113"/>
  <c r="O313" i="113"/>
  <c r="P312" i="113"/>
  <c r="O312" i="113"/>
  <c r="Q312" i="113" s="1"/>
  <c r="K312" i="113"/>
  <c r="H312" i="113" s="1"/>
  <c r="Q311" i="113"/>
  <c r="P311" i="113"/>
  <c r="O311" i="113"/>
  <c r="P310" i="113"/>
  <c r="O310" i="113"/>
  <c r="K310" i="113"/>
  <c r="Q309" i="113"/>
  <c r="P309" i="113"/>
  <c r="O309" i="113"/>
  <c r="P308" i="113"/>
  <c r="O308" i="113"/>
  <c r="K308" i="113"/>
  <c r="Q307" i="113"/>
  <c r="P307" i="113"/>
  <c r="O307" i="113"/>
  <c r="P306" i="113"/>
  <c r="O306" i="113"/>
  <c r="K306" i="113"/>
  <c r="Q305" i="113"/>
  <c r="P305" i="113"/>
  <c r="O305" i="113"/>
  <c r="S304" i="113"/>
  <c r="Q304" i="113"/>
  <c r="P304" i="113"/>
  <c r="O304" i="113"/>
  <c r="F299" i="113"/>
  <c r="F298" i="113"/>
  <c r="F297" i="113"/>
  <c r="F296" i="113"/>
  <c r="Q283" i="113"/>
  <c r="P283" i="113"/>
  <c r="O283" i="113"/>
  <c r="P282" i="113"/>
  <c r="O282" i="113"/>
  <c r="Q282" i="113" s="1"/>
  <c r="K282" i="113"/>
  <c r="Q281" i="113"/>
  <c r="P281" i="113"/>
  <c r="O281" i="113"/>
  <c r="P280" i="113"/>
  <c r="O280" i="113"/>
  <c r="Q280" i="113" s="1"/>
  <c r="K280" i="113"/>
  <c r="Q279" i="113"/>
  <c r="P279" i="113"/>
  <c r="O279" i="113"/>
  <c r="P278" i="113"/>
  <c r="O278" i="113"/>
  <c r="K278" i="113"/>
  <c r="S277" i="113"/>
  <c r="Q277" i="113"/>
  <c r="P277" i="113"/>
  <c r="O277" i="113"/>
  <c r="S276" i="113"/>
  <c r="P276" i="113"/>
  <c r="O276" i="113"/>
  <c r="Q276" i="113" s="1"/>
  <c r="K276" i="113"/>
  <c r="S275" i="113"/>
  <c r="Q275" i="113"/>
  <c r="P275" i="113"/>
  <c r="O275" i="113"/>
  <c r="S274" i="113"/>
  <c r="P274" i="113"/>
  <c r="O274" i="113"/>
  <c r="K274" i="113"/>
  <c r="S273" i="113"/>
  <c r="Q273" i="113"/>
  <c r="P273" i="113"/>
  <c r="O273" i="113"/>
  <c r="S272" i="113"/>
  <c r="P272" i="113"/>
  <c r="O272" i="113"/>
  <c r="K272" i="113"/>
  <c r="S271" i="113"/>
  <c r="Q271" i="113"/>
  <c r="P271" i="113"/>
  <c r="O271" i="113"/>
  <c r="S270" i="113"/>
  <c r="P270" i="113"/>
  <c r="O270" i="113"/>
  <c r="K270" i="113"/>
  <c r="S269" i="113"/>
  <c r="Q269" i="113"/>
  <c r="P269" i="113"/>
  <c r="O269" i="113"/>
  <c r="S268" i="113"/>
  <c r="P268" i="113"/>
  <c r="O268" i="113"/>
  <c r="K268" i="113"/>
  <c r="S267" i="113"/>
  <c r="Q267" i="113"/>
  <c r="P267" i="113"/>
  <c r="O267" i="113"/>
  <c r="S266" i="113"/>
  <c r="P266" i="113"/>
  <c r="O266" i="113"/>
  <c r="Q266" i="113" s="1"/>
  <c r="K266" i="113"/>
  <c r="S265" i="113"/>
  <c r="Q265" i="113"/>
  <c r="P265" i="113"/>
  <c r="O265" i="113"/>
  <c r="S264" i="113"/>
  <c r="P264" i="113"/>
  <c r="O264" i="113"/>
  <c r="Q264" i="113" s="1"/>
  <c r="K264" i="113"/>
  <c r="H264" i="113" s="1"/>
  <c r="S263" i="113"/>
  <c r="Q263" i="113"/>
  <c r="P263" i="113"/>
  <c r="O263" i="113"/>
  <c r="S262" i="113"/>
  <c r="P262" i="113"/>
  <c r="O262" i="113"/>
  <c r="Q262" i="113" s="1"/>
  <c r="K262" i="113"/>
  <c r="S261" i="113"/>
  <c r="Q261" i="113"/>
  <c r="P261" i="113"/>
  <c r="O261" i="113"/>
  <c r="S260" i="113"/>
  <c r="P260" i="113"/>
  <c r="O260" i="113"/>
  <c r="Q260" i="113" s="1"/>
  <c r="K260" i="113"/>
  <c r="S259" i="113"/>
  <c r="Q259" i="113"/>
  <c r="P259" i="113"/>
  <c r="O259" i="113"/>
  <c r="S258" i="113"/>
  <c r="P258" i="113"/>
  <c r="O258" i="113"/>
  <c r="K258" i="113"/>
  <c r="S257" i="113"/>
  <c r="Q257" i="113"/>
  <c r="P257" i="113"/>
  <c r="O257" i="113"/>
  <c r="S256" i="113"/>
  <c r="P256" i="113"/>
  <c r="O256" i="113"/>
  <c r="Q256" i="113" s="1"/>
  <c r="K256" i="113"/>
  <c r="S255" i="113"/>
  <c r="Q255" i="113"/>
  <c r="P255" i="113"/>
  <c r="O255" i="113"/>
  <c r="S254" i="113"/>
  <c r="P254" i="113"/>
  <c r="O254" i="113"/>
  <c r="K254" i="113"/>
  <c r="S253" i="113"/>
  <c r="Q253" i="113"/>
  <c r="P253" i="113"/>
  <c r="O253" i="113"/>
  <c r="S252" i="113"/>
  <c r="P252" i="113"/>
  <c r="O252" i="113"/>
  <c r="Q252" i="113" s="1"/>
  <c r="K252" i="113"/>
  <c r="H252" i="113" s="1"/>
  <c r="S251" i="113"/>
  <c r="Q251" i="113"/>
  <c r="P251" i="113"/>
  <c r="O251" i="113"/>
  <c r="S250" i="113"/>
  <c r="P250" i="113"/>
  <c r="O250" i="113"/>
  <c r="K250" i="113"/>
  <c r="S249" i="113"/>
  <c r="Q249" i="113"/>
  <c r="P249" i="113"/>
  <c r="O249" i="113"/>
  <c r="S248" i="113"/>
  <c r="P248" i="113"/>
  <c r="O248" i="113"/>
  <c r="Q248" i="113" s="1"/>
  <c r="K248" i="113"/>
  <c r="S247" i="113"/>
  <c r="Q247" i="113"/>
  <c r="P247" i="113"/>
  <c r="O247" i="113"/>
  <c r="S246" i="113"/>
  <c r="P246" i="113"/>
  <c r="O246" i="113"/>
  <c r="Q246" i="113" s="1"/>
  <c r="K246" i="113"/>
  <c r="Q245" i="113"/>
  <c r="P245" i="113"/>
  <c r="O245" i="113"/>
  <c r="P244" i="113"/>
  <c r="O244" i="113"/>
  <c r="Q244" i="113" s="1"/>
  <c r="K244" i="113"/>
  <c r="H244" i="113" s="1"/>
  <c r="Q243" i="113"/>
  <c r="P243" i="113"/>
  <c r="O243" i="113"/>
  <c r="P242" i="113"/>
  <c r="O242" i="113"/>
  <c r="Q242" i="113" s="1"/>
  <c r="K242" i="113"/>
  <c r="Q241" i="113"/>
  <c r="P241" i="113"/>
  <c r="O241" i="113"/>
  <c r="P240" i="113"/>
  <c r="O240" i="113"/>
  <c r="K240" i="113"/>
  <c r="Q239" i="113"/>
  <c r="P239" i="113"/>
  <c r="O239" i="113"/>
  <c r="P238" i="113"/>
  <c r="Q238" i="113" s="1"/>
  <c r="O238" i="113"/>
  <c r="K238" i="113"/>
  <c r="Q237" i="113"/>
  <c r="P237" i="113"/>
  <c r="O237" i="113"/>
  <c r="P236" i="113"/>
  <c r="O236" i="113"/>
  <c r="Q236" i="113" s="1"/>
  <c r="K236" i="113"/>
  <c r="Q235" i="113"/>
  <c r="P235" i="113"/>
  <c r="O235" i="113"/>
  <c r="P234" i="113"/>
  <c r="O234" i="113"/>
  <c r="K234" i="113"/>
  <c r="S233" i="113"/>
  <c r="Q233" i="113"/>
  <c r="P233" i="113"/>
  <c r="O233" i="113"/>
  <c r="S232" i="113"/>
  <c r="P232" i="113"/>
  <c r="O232" i="113"/>
  <c r="K232" i="113"/>
  <c r="Q231" i="113"/>
  <c r="P231" i="113"/>
  <c r="O231" i="113"/>
  <c r="S230" i="113"/>
  <c r="Q230" i="113"/>
  <c r="P230" i="113"/>
  <c r="O230" i="113"/>
  <c r="F225" i="113"/>
  <c r="F224" i="113"/>
  <c r="F223" i="113"/>
  <c r="F222" i="113"/>
  <c r="Q209" i="113"/>
  <c r="P209" i="113"/>
  <c r="O209" i="113"/>
  <c r="P208" i="113"/>
  <c r="O208" i="113"/>
  <c r="K208" i="113"/>
  <c r="Q207" i="113"/>
  <c r="P207" i="113"/>
  <c r="O207" i="113"/>
  <c r="P206" i="113"/>
  <c r="O206" i="113"/>
  <c r="Q206" i="113" s="1"/>
  <c r="K206" i="113"/>
  <c r="Q205" i="113"/>
  <c r="P205" i="113"/>
  <c r="O205" i="113"/>
  <c r="P204" i="113"/>
  <c r="O204" i="113"/>
  <c r="Q204" i="113" s="1"/>
  <c r="K204" i="113"/>
  <c r="Q203" i="113"/>
  <c r="P203" i="113"/>
  <c r="O203" i="113"/>
  <c r="P202" i="113"/>
  <c r="O202" i="113"/>
  <c r="Q202" i="113" s="1"/>
  <c r="K202" i="113"/>
  <c r="Q201" i="113"/>
  <c r="P201" i="113"/>
  <c r="O201" i="113"/>
  <c r="P200" i="113"/>
  <c r="O200" i="113"/>
  <c r="Q200" i="113" s="1"/>
  <c r="K200" i="113"/>
  <c r="Q199" i="113"/>
  <c r="P199" i="113"/>
  <c r="O199" i="113"/>
  <c r="P198" i="113"/>
  <c r="O198" i="113"/>
  <c r="Q198" i="113" s="1"/>
  <c r="K198" i="113"/>
  <c r="S197" i="113"/>
  <c r="Q197" i="113"/>
  <c r="P197" i="113"/>
  <c r="O197" i="113"/>
  <c r="S196" i="113"/>
  <c r="P196" i="113"/>
  <c r="O196" i="113"/>
  <c r="Q196" i="113" s="1"/>
  <c r="K196" i="113"/>
  <c r="S195" i="113"/>
  <c r="Q195" i="113"/>
  <c r="P195" i="113"/>
  <c r="O195" i="113"/>
  <c r="S194" i="113"/>
  <c r="P194" i="113"/>
  <c r="O194" i="113"/>
  <c r="Q194" i="113" s="1"/>
  <c r="K194" i="113"/>
  <c r="S193" i="113"/>
  <c r="Q193" i="113"/>
  <c r="P193" i="113"/>
  <c r="O193" i="113"/>
  <c r="S192" i="113"/>
  <c r="P192" i="113"/>
  <c r="O192" i="113"/>
  <c r="K192" i="113"/>
  <c r="S191" i="113"/>
  <c r="Q191" i="113"/>
  <c r="P191" i="113"/>
  <c r="O191" i="113"/>
  <c r="S190" i="113"/>
  <c r="P190" i="113"/>
  <c r="O190" i="113"/>
  <c r="K190" i="113"/>
  <c r="S189" i="113"/>
  <c r="Q189" i="113"/>
  <c r="P189" i="113"/>
  <c r="O189" i="113"/>
  <c r="S188" i="113"/>
  <c r="P188" i="113"/>
  <c r="O188" i="113"/>
  <c r="Q188" i="113" s="1"/>
  <c r="K188" i="113"/>
  <c r="S187" i="113"/>
  <c r="Q187" i="113"/>
  <c r="P187" i="113"/>
  <c r="O187" i="113"/>
  <c r="S186" i="113"/>
  <c r="P186" i="113"/>
  <c r="O186" i="113"/>
  <c r="K186" i="113"/>
  <c r="S185" i="113"/>
  <c r="Q185" i="113"/>
  <c r="P185" i="113"/>
  <c r="O185" i="113"/>
  <c r="S184" i="113"/>
  <c r="P184" i="113"/>
  <c r="O184" i="113"/>
  <c r="Q184" i="113" s="1"/>
  <c r="K184" i="113"/>
  <c r="S183" i="113"/>
  <c r="Q183" i="113"/>
  <c r="P183" i="113"/>
  <c r="O183" i="113"/>
  <c r="S182" i="113"/>
  <c r="P182" i="113"/>
  <c r="O182" i="113"/>
  <c r="Q182" i="113" s="1"/>
  <c r="K182" i="113"/>
  <c r="S181" i="113"/>
  <c r="Q181" i="113"/>
  <c r="P181" i="113"/>
  <c r="O181" i="113"/>
  <c r="S180" i="113"/>
  <c r="P180" i="113"/>
  <c r="O180" i="113"/>
  <c r="K180" i="113"/>
  <c r="S179" i="113"/>
  <c r="Q179" i="113"/>
  <c r="P179" i="113"/>
  <c r="O179" i="113"/>
  <c r="S178" i="113"/>
  <c r="P178" i="113"/>
  <c r="O178" i="113"/>
  <c r="Q178" i="113" s="1"/>
  <c r="K178" i="113"/>
  <c r="S177" i="113"/>
  <c r="Q177" i="113"/>
  <c r="P177" i="113"/>
  <c r="O177" i="113"/>
  <c r="S176" i="113"/>
  <c r="P176" i="113"/>
  <c r="O176" i="113"/>
  <c r="K176" i="113"/>
  <c r="S175" i="113"/>
  <c r="Q175" i="113"/>
  <c r="P175" i="113"/>
  <c r="O175" i="113"/>
  <c r="S174" i="113"/>
  <c r="P174" i="113"/>
  <c r="O174" i="113"/>
  <c r="Q174" i="113" s="1"/>
  <c r="K174" i="113"/>
  <c r="S173" i="113"/>
  <c r="Q173" i="113"/>
  <c r="P173" i="113"/>
  <c r="O173" i="113"/>
  <c r="S172" i="113"/>
  <c r="P172" i="113"/>
  <c r="O172" i="113"/>
  <c r="Q172" i="113" s="1"/>
  <c r="K172" i="113"/>
  <c r="S171" i="113"/>
  <c r="Q171" i="113"/>
  <c r="P171" i="113"/>
  <c r="O171" i="113"/>
  <c r="S170" i="113"/>
  <c r="P170" i="113"/>
  <c r="O170" i="113"/>
  <c r="K170" i="113"/>
  <c r="S169" i="113"/>
  <c r="Q169" i="113"/>
  <c r="P169" i="113"/>
  <c r="O169" i="113"/>
  <c r="S168" i="113"/>
  <c r="P168" i="113"/>
  <c r="O168" i="113"/>
  <c r="K168" i="113"/>
  <c r="S167" i="113"/>
  <c r="Q167" i="113"/>
  <c r="P167" i="113"/>
  <c r="O167" i="113"/>
  <c r="S166" i="113"/>
  <c r="P166" i="113"/>
  <c r="O166" i="113"/>
  <c r="Q166" i="113" s="1"/>
  <c r="K166" i="113"/>
  <c r="Q165" i="113"/>
  <c r="P165" i="113"/>
  <c r="O165" i="113"/>
  <c r="P164" i="113"/>
  <c r="O164" i="113"/>
  <c r="Q164" i="113" s="1"/>
  <c r="K164" i="113"/>
  <c r="Q163" i="113"/>
  <c r="P163" i="113"/>
  <c r="O163" i="113"/>
  <c r="P162" i="113"/>
  <c r="O162" i="113"/>
  <c r="Q162" i="113" s="1"/>
  <c r="K162" i="113"/>
  <c r="Q161" i="113"/>
  <c r="P161" i="113"/>
  <c r="O161" i="113"/>
  <c r="P160" i="113"/>
  <c r="O160" i="113"/>
  <c r="Q160" i="113" s="1"/>
  <c r="K160" i="113"/>
  <c r="Q159" i="113"/>
  <c r="P159" i="113"/>
  <c r="O159" i="113"/>
  <c r="P158" i="113"/>
  <c r="O158" i="113"/>
  <c r="K158" i="113"/>
  <c r="Q157" i="113"/>
  <c r="P157" i="113"/>
  <c r="O157" i="113"/>
  <c r="P156" i="113"/>
  <c r="O156" i="113"/>
  <c r="K156" i="113"/>
  <c r="Q155" i="113"/>
  <c r="P155" i="113"/>
  <c r="O155" i="113"/>
  <c r="P154" i="113"/>
  <c r="O154" i="113"/>
  <c r="K154" i="113"/>
  <c r="Q153" i="113"/>
  <c r="P153" i="113"/>
  <c r="O153" i="113"/>
  <c r="P152" i="113"/>
  <c r="O152" i="113"/>
  <c r="Q152" i="113" s="1"/>
  <c r="K152" i="113"/>
  <c r="Q151" i="113"/>
  <c r="P151" i="113"/>
  <c r="O151" i="113"/>
  <c r="P150" i="113"/>
  <c r="O150" i="113"/>
  <c r="K150" i="113"/>
  <c r="Q149" i="113"/>
  <c r="P149" i="113"/>
  <c r="O149" i="113"/>
  <c r="P148" i="113"/>
  <c r="O148" i="113"/>
  <c r="K148" i="113"/>
  <c r="S147" i="113"/>
  <c r="Q147" i="113"/>
  <c r="P147" i="113"/>
  <c r="O147" i="113"/>
  <c r="S146" i="113"/>
  <c r="P146" i="113"/>
  <c r="O146" i="113"/>
  <c r="K146" i="113"/>
  <c r="Q145" i="113"/>
  <c r="P145" i="113"/>
  <c r="O145" i="113"/>
  <c r="S144" i="113"/>
  <c r="Q144" i="113"/>
  <c r="P144" i="113"/>
  <c r="O144" i="113"/>
  <c r="F138" i="113"/>
  <c r="F137" i="113"/>
  <c r="F136" i="113"/>
  <c r="F139" i="113" s="1"/>
  <c r="Q123" i="113"/>
  <c r="P123" i="113"/>
  <c r="O123" i="113"/>
  <c r="P122" i="113"/>
  <c r="O122" i="113"/>
  <c r="Q122" i="113" s="1"/>
  <c r="K122" i="113"/>
  <c r="Q121" i="113"/>
  <c r="P121" i="113"/>
  <c r="O121" i="113"/>
  <c r="Q120" i="113"/>
  <c r="P120" i="113"/>
  <c r="O120" i="113"/>
  <c r="K120" i="113"/>
  <c r="Q119" i="113"/>
  <c r="P119" i="113"/>
  <c r="O119" i="113"/>
  <c r="P118" i="113"/>
  <c r="O118" i="113"/>
  <c r="Q118" i="113" s="1"/>
  <c r="K118" i="113"/>
  <c r="Q117" i="113"/>
  <c r="P117" i="113"/>
  <c r="O117" i="113"/>
  <c r="P116" i="113"/>
  <c r="Q116" i="113" s="1"/>
  <c r="O116" i="113"/>
  <c r="K116" i="113"/>
  <c r="Q115" i="113"/>
  <c r="P115" i="113"/>
  <c r="O115" i="113"/>
  <c r="P114" i="113"/>
  <c r="O114" i="113"/>
  <c r="Q114" i="113" s="1"/>
  <c r="K114" i="113"/>
  <c r="Q113" i="113"/>
  <c r="P113" i="113"/>
  <c r="O113" i="113"/>
  <c r="P112" i="113"/>
  <c r="O112" i="113"/>
  <c r="Q112" i="113" s="1"/>
  <c r="K112" i="113"/>
  <c r="Q111" i="113"/>
  <c r="P111" i="113"/>
  <c r="O111" i="113"/>
  <c r="P110" i="113"/>
  <c r="O110" i="113"/>
  <c r="Q110" i="113" s="1"/>
  <c r="K110" i="113"/>
  <c r="Q109" i="113"/>
  <c r="P109" i="113"/>
  <c r="O109" i="113"/>
  <c r="P108" i="113"/>
  <c r="Q108" i="113" s="1"/>
  <c r="O108" i="113"/>
  <c r="K108" i="113"/>
  <c r="Q107" i="113"/>
  <c r="P107" i="113"/>
  <c r="O107" i="113"/>
  <c r="P106" i="113"/>
  <c r="Q106" i="113" s="1"/>
  <c r="O106" i="113"/>
  <c r="K106" i="113"/>
  <c r="S105" i="113"/>
  <c r="Q105" i="113"/>
  <c r="P105" i="113"/>
  <c r="O105" i="113"/>
  <c r="S104" i="113"/>
  <c r="P104" i="113"/>
  <c r="O104" i="113"/>
  <c r="K104" i="113"/>
  <c r="S103" i="113"/>
  <c r="Q103" i="113"/>
  <c r="P103" i="113"/>
  <c r="O103" i="113"/>
  <c r="S102" i="113"/>
  <c r="Q102" i="113"/>
  <c r="P102" i="113"/>
  <c r="O102" i="113"/>
  <c r="K102" i="113"/>
  <c r="S101" i="113"/>
  <c r="Q101" i="113"/>
  <c r="P101" i="113"/>
  <c r="O101" i="113"/>
  <c r="S100" i="113"/>
  <c r="P100" i="113"/>
  <c r="Q100" i="113" s="1"/>
  <c r="O100" i="113"/>
  <c r="K100" i="113"/>
  <c r="S99" i="113"/>
  <c r="Q99" i="113"/>
  <c r="P99" i="113"/>
  <c r="O99" i="113"/>
  <c r="S98" i="113"/>
  <c r="P98" i="113"/>
  <c r="Q98" i="113" s="1"/>
  <c r="O98" i="113"/>
  <c r="K98" i="113"/>
  <c r="S97" i="113"/>
  <c r="Q97" i="113"/>
  <c r="P97" i="113"/>
  <c r="O97" i="113"/>
  <c r="S96" i="113"/>
  <c r="P96" i="113"/>
  <c r="Q96" i="113" s="1"/>
  <c r="O96" i="113"/>
  <c r="K96" i="113"/>
  <c r="S95" i="113"/>
  <c r="Q95" i="113"/>
  <c r="P95" i="113"/>
  <c r="O95" i="113"/>
  <c r="S94" i="113"/>
  <c r="P94" i="113"/>
  <c r="Q94" i="113" s="1"/>
  <c r="O94" i="113"/>
  <c r="K94" i="113"/>
  <c r="S93" i="113"/>
  <c r="Q93" i="113"/>
  <c r="P93" i="113"/>
  <c r="O93" i="113"/>
  <c r="S92" i="113"/>
  <c r="P92" i="113"/>
  <c r="O92" i="113"/>
  <c r="K92" i="113"/>
  <c r="S91" i="113"/>
  <c r="Q91" i="113"/>
  <c r="P91" i="113"/>
  <c r="O91" i="113"/>
  <c r="S90" i="113"/>
  <c r="P90" i="113"/>
  <c r="Q90" i="113" s="1"/>
  <c r="O90" i="113"/>
  <c r="K90" i="113"/>
  <c r="S89" i="113"/>
  <c r="Q89" i="113"/>
  <c r="P89" i="113"/>
  <c r="O89" i="113"/>
  <c r="S88" i="113"/>
  <c r="Q88" i="113"/>
  <c r="P88" i="113"/>
  <c r="O88" i="113"/>
  <c r="K88" i="113"/>
  <c r="S87" i="113"/>
  <c r="Q87" i="113"/>
  <c r="P87" i="113"/>
  <c r="O87" i="113"/>
  <c r="S86" i="113"/>
  <c r="P86" i="113"/>
  <c r="O86" i="113"/>
  <c r="Q86" i="113" s="1"/>
  <c r="K86" i="113"/>
  <c r="S85" i="113"/>
  <c r="Q85" i="113"/>
  <c r="P85" i="113"/>
  <c r="O85" i="113"/>
  <c r="S84" i="113"/>
  <c r="P84" i="113"/>
  <c r="O84" i="113"/>
  <c r="K84" i="113"/>
  <c r="S83" i="113"/>
  <c r="Q83" i="113"/>
  <c r="P83" i="113"/>
  <c r="O83" i="113"/>
  <c r="S82" i="113"/>
  <c r="P82" i="113"/>
  <c r="O82" i="113"/>
  <c r="Q82" i="113" s="1"/>
  <c r="K82" i="113"/>
  <c r="S81" i="113"/>
  <c r="Q81" i="113"/>
  <c r="P81" i="113"/>
  <c r="O81" i="113"/>
  <c r="S80" i="113"/>
  <c r="P80" i="113"/>
  <c r="O80" i="113"/>
  <c r="Q80" i="113" s="1"/>
  <c r="K80" i="113"/>
  <c r="S79" i="113"/>
  <c r="Q79" i="113"/>
  <c r="P79" i="113"/>
  <c r="O79" i="113"/>
  <c r="S78" i="113"/>
  <c r="P78" i="113"/>
  <c r="O78" i="113"/>
  <c r="K78" i="113"/>
  <c r="S77" i="113"/>
  <c r="Q77" i="113"/>
  <c r="P77" i="113"/>
  <c r="O77" i="113"/>
  <c r="S76" i="113"/>
  <c r="P76" i="113"/>
  <c r="O76" i="113"/>
  <c r="K76" i="113"/>
  <c r="S75" i="113"/>
  <c r="Q75" i="113"/>
  <c r="P75" i="113"/>
  <c r="O75" i="113"/>
  <c r="S74" i="113"/>
  <c r="P74" i="113"/>
  <c r="O74" i="113"/>
  <c r="Q74" i="113" s="1"/>
  <c r="K74" i="113"/>
  <c r="Q73" i="113"/>
  <c r="P73" i="113"/>
  <c r="O73" i="113"/>
  <c r="P72" i="113"/>
  <c r="O72" i="113"/>
  <c r="Q72" i="113" s="1"/>
  <c r="K72" i="113"/>
  <c r="Q71" i="113"/>
  <c r="P71" i="113"/>
  <c r="O71" i="113"/>
  <c r="P70" i="113"/>
  <c r="O70" i="113"/>
  <c r="Q70" i="113" s="1"/>
  <c r="K70" i="113"/>
  <c r="Q69" i="113"/>
  <c r="P69" i="113"/>
  <c r="O69" i="113"/>
  <c r="Q68" i="113"/>
  <c r="P68" i="113"/>
  <c r="O68" i="113"/>
  <c r="K68" i="113"/>
  <c r="Q67" i="113"/>
  <c r="P67" i="113"/>
  <c r="O67" i="113"/>
  <c r="P66" i="113"/>
  <c r="Q66" i="113" s="1"/>
  <c r="O66" i="113"/>
  <c r="K66" i="113"/>
  <c r="Q65" i="113"/>
  <c r="P65" i="113"/>
  <c r="O65" i="113"/>
  <c r="Q64" i="113"/>
  <c r="P64" i="113"/>
  <c r="O64" i="113"/>
  <c r="K64" i="113"/>
  <c r="Q63" i="113"/>
  <c r="P63" i="113"/>
  <c r="O63" i="113"/>
  <c r="P62" i="113"/>
  <c r="Q62" i="113" s="1"/>
  <c r="O62" i="113"/>
  <c r="K62" i="113"/>
  <c r="Q61" i="113"/>
  <c r="P61" i="113"/>
  <c r="O61" i="113"/>
  <c r="P60" i="113"/>
  <c r="O60" i="113"/>
  <c r="Q60" i="113" s="1"/>
  <c r="K60" i="113"/>
  <c r="Q59" i="113"/>
  <c r="P59" i="113"/>
  <c r="O59" i="113"/>
  <c r="P58" i="113"/>
  <c r="O58" i="113"/>
  <c r="Q58" i="113" s="1"/>
  <c r="K58" i="113"/>
  <c r="Q57" i="113"/>
  <c r="P57" i="113"/>
  <c r="O57" i="113"/>
  <c r="P56" i="113"/>
  <c r="O56" i="113"/>
  <c r="Q56" i="113" s="1"/>
  <c r="K56" i="113"/>
  <c r="Q55" i="113"/>
  <c r="P55" i="113"/>
  <c r="O55" i="113"/>
  <c r="P54" i="113"/>
  <c r="O54" i="113"/>
  <c r="K54" i="113"/>
  <c r="Q53" i="113"/>
  <c r="P53" i="113"/>
  <c r="O53" i="113"/>
  <c r="P52" i="113"/>
  <c r="O52" i="113"/>
  <c r="Q52" i="113" s="1"/>
  <c r="K52" i="113"/>
  <c r="Q51" i="113"/>
  <c r="P51" i="113"/>
  <c r="O51" i="113"/>
  <c r="P50" i="113"/>
  <c r="O50" i="113"/>
  <c r="Q50" i="113" s="1"/>
  <c r="K50" i="113"/>
  <c r="S49" i="113"/>
  <c r="Q49" i="113"/>
  <c r="P49" i="113"/>
  <c r="H49" i="113" s="1"/>
  <c r="O49" i="113"/>
  <c r="S48" i="113"/>
  <c r="P48" i="113"/>
  <c r="O48" i="113"/>
  <c r="K48" i="113"/>
  <c r="Q47" i="113"/>
  <c r="P47" i="113"/>
  <c r="O47" i="113"/>
  <c r="S46" i="113"/>
  <c r="Q46" i="113"/>
  <c r="P46" i="113"/>
  <c r="O46" i="113"/>
  <c r="F41" i="113"/>
  <c r="F40" i="113"/>
  <c r="F39" i="113"/>
  <c r="F38" i="113"/>
  <c r="J22" i="113"/>
  <c r="I22" i="113"/>
  <c r="H22" i="113"/>
  <c r="G22" i="113"/>
  <c r="F22" i="113"/>
  <c r="B58" i="112"/>
  <c r="B57" i="112"/>
  <c r="B56" i="112"/>
  <c r="B55" i="112"/>
  <c r="B54" i="112"/>
  <c r="D49" i="112"/>
  <c r="C49" i="112"/>
  <c r="D44" i="112"/>
  <c r="C44" i="112"/>
  <c r="O40" i="112"/>
  <c r="D40" i="112"/>
  <c r="C40" i="112"/>
  <c r="O39" i="112"/>
  <c r="N39" i="112"/>
  <c r="O38" i="112"/>
  <c r="N38" i="112"/>
  <c r="M38" i="112"/>
  <c r="O37" i="112"/>
  <c r="N37" i="112"/>
  <c r="M37" i="112"/>
  <c r="L37" i="112"/>
  <c r="O36" i="112"/>
  <c r="N36" i="112"/>
  <c r="M36" i="112"/>
  <c r="L36" i="112"/>
  <c r="K36" i="112"/>
  <c r="D36" i="112"/>
  <c r="C36" i="112"/>
  <c r="O35" i="112"/>
  <c r="N35" i="112"/>
  <c r="M35" i="112"/>
  <c r="L35" i="112"/>
  <c r="K35" i="112"/>
  <c r="J35" i="112"/>
  <c r="O34" i="112"/>
  <c r="N34" i="112"/>
  <c r="M34" i="112"/>
  <c r="L34" i="112"/>
  <c r="K34" i="112"/>
  <c r="I34" i="112"/>
  <c r="D32" i="112"/>
  <c r="C32" i="112"/>
  <c r="D27" i="112"/>
  <c r="C27" i="112"/>
  <c r="D21" i="112"/>
  <c r="C21" i="112"/>
  <c r="D14" i="112"/>
  <c r="C14" i="112"/>
  <c r="I9" i="112"/>
  <c r="I8" i="112"/>
  <c r="D8" i="112"/>
  <c r="C8" i="112"/>
  <c r="I7" i="112"/>
  <c r="I6" i="112"/>
  <c r="I5" i="112"/>
  <c r="I4" i="112"/>
  <c r="C4" i="112"/>
  <c r="P225" i="111"/>
  <c r="N225" i="111"/>
  <c r="M225" i="111"/>
  <c r="L225" i="111"/>
  <c r="H225" i="111"/>
  <c r="E225" i="111" s="1"/>
  <c r="C225" i="111"/>
  <c r="P224" i="111"/>
  <c r="N224" i="111"/>
  <c r="M224" i="111"/>
  <c r="L224" i="111"/>
  <c r="H224" i="111"/>
  <c r="E224" i="111" s="1"/>
  <c r="P223" i="111"/>
  <c r="N223" i="111"/>
  <c r="M223" i="111"/>
  <c r="L223" i="111"/>
  <c r="H223" i="111"/>
  <c r="E223" i="111" s="1"/>
  <c r="P222" i="111"/>
  <c r="N222" i="111"/>
  <c r="M222" i="111"/>
  <c r="L222" i="111"/>
  <c r="H222" i="111"/>
  <c r="E222" i="111" s="1"/>
  <c r="P221" i="111"/>
  <c r="N221" i="111"/>
  <c r="M221" i="111"/>
  <c r="L221" i="111"/>
  <c r="H221" i="111"/>
  <c r="E221" i="111" s="1"/>
  <c r="C221" i="111"/>
  <c r="P220" i="111"/>
  <c r="N220" i="111"/>
  <c r="M220" i="111"/>
  <c r="L220" i="111"/>
  <c r="H220" i="111"/>
  <c r="E220" i="111" s="1"/>
  <c r="C220" i="111"/>
  <c r="P219" i="111"/>
  <c r="N219" i="111"/>
  <c r="M219" i="111"/>
  <c r="L219" i="111"/>
  <c r="H219" i="111"/>
  <c r="E219" i="111" s="1"/>
  <c r="P218" i="111"/>
  <c r="N218" i="111"/>
  <c r="M218" i="111"/>
  <c r="L218" i="111"/>
  <c r="H218" i="111"/>
  <c r="E218" i="111" s="1"/>
  <c r="P217" i="111"/>
  <c r="N217" i="111"/>
  <c r="M217" i="111"/>
  <c r="L217" i="111"/>
  <c r="H217" i="111"/>
  <c r="E217" i="111" s="1"/>
  <c r="P216" i="111"/>
  <c r="N216" i="111"/>
  <c r="M216" i="111"/>
  <c r="L216" i="111"/>
  <c r="H216" i="111"/>
  <c r="E216" i="111" s="1"/>
  <c r="C216" i="111"/>
  <c r="P215" i="111"/>
  <c r="N215" i="111"/>
  <c r="M215" i="111"/>
  <c r="L215" i="111"/>
  <c r="H215" i="111"/>
  <c r="E215" i="111" s="1"/>
  <c r="C215" i="111"/>
  <c r="P214" i="111"/>
  <c r="N214" i="111"/>
  <c r="M214" i="111"/>
  <c r="L214" i="111"/>
  <c r="H214" i="111"/>
  <c r="E214" i="111" s="1"/>
  <c r="P213" i="111"/>
  <c r="N213" i="111"/>
  <c r="M213" i="111"/>
  <c r="L213" i="111"/>
  <c r="H213" i="111"/>
  <c r="E213" i="111" s="1"/>
  <c r="P212" i="111"/>
  <c r="N212" i="111"/>
  <c r="M212" i="111"/>
  <c r="L212" i="111"/>
  <c r="H212" i="111"/>
  <c r="E212" i="111" s="1"/>
  <c r="P211" i="111"/>
  <c r="N211" i="111"/>
  <c r="M211" i="111"/>
  <c r="L211" i="111"/>
  <c r="H211" i="111"/>
  <c r="E211" i="111" s="1"/>
  <c r="P210" i="111"/>
  <c r="N210" i="111"/>
  <c r="M210" i="111"/>
  <c r="L210" i="111"/>
  <c r="H210" i="111"/>
  <c r="E210" i="111" s="1"/>
  <c r="C210" i="111"/>
  <c r="P209" i="111"/>
  <c r="N209" i="111"/>
  <c r="M209" i="111"/>
  <c r="L209" i="111"/>
  <c r="H209" i="111"/>
  <c r="E209" i="111" s="1"/>
  <c r="C209" i="111"/>
  <c r="P208" i="111"/>
  <c r="N208" i="111"/>
  <c r="M208" i="111"/>
  <c r="L208" i="111"/>
  <c r="H208" i="111"/>
  <c r="E208" i="111" s="1"/>
  <c r="P207" i="111"/>
  <c r="N207" i="111"/>
  <c r="M207" i="111"/>
  <c r="L207" i="111"/>
  <c r="H207" i="111"/>
  <c r="E207" i="111" s="1"/>
  <c r="P206" i="111"/>
  <c r="N206" i="111"/>
  <c r="M206" i="111"/>
  <c r="L206" i="111"/>
  <c r="H206" i="111"/>
  <c r="E206" i="111" s="1"/>
  <c r="P205" i="111"/>
  <c r="N205" i="111"/>
  <c r="M205" i="111"/>
  <c r="L205" i="111"/>
  <c r="H205" i="111"/>
  <c r="E205" i="111" s="1"/>
  <c r="P204" i="111"/>
  <c r="N204" i="111"/>
  <c r="M204" i="111"/>
  <c r="L204" i="111"/>
  <c r="H204" i="111"/>
  <c r="E204" i="111" s="1"/>
  <c r="P203" i="111"/>
  <c r="N203" i="111"/>
  <c r="M203" i="111"/>
  <c r="L203" i="111"/>
  <c r="H203" i="111"/>
  <c r="E203" i="111" s="1"/>
  <c r="P202" i="111"/>
  <c r="N202" i="111"/>
  <c r="M202" i="111"/>
  <c r="L202" i="111"/>
  <c r="H202" i="111"/>
  <c r="E202" i="111" s="1"/>
  <c r="C202" i="111"/>
  <c r="P201" i="111"/>
  <c r="N201" i="111"/>
  <c r="M201" i="111"/>
  <c r="L201" i="111"/>
  <c r="H201" i="111"/>
  <c r="E201" i="111" s="1"/>
  <c r="C201" i="111"/>
  <c r="P200" i="111"/>
  <c r="N200" i="111"/>
  <c r="M200" i="111"/>
  <c r="L200" i="111"/>
  <c r="H200" i="111"/>
  <c r="E200" i="111" s="1"/>
  <c r="P199" i="111"/>
  <c r="N199" i="111"/>
  <c r="M199" i="111"/>
  <c r="L199" i="111"/>
  <c r="H199" i="111"/>
  <c r="E199" i="111" s="1"/>
  <c r="P198" i="111"/>
  <c r="N198" i="111"/>
  <c r="M198" i="111"/>
  <c r="L198" i="111"/>
  <c r="H198" i="111"/>
  <c r="E198" i="111" s="1"/>
  <c r="P197" i="111"/>
  <c r="N197" i="111"/>
  <c r="M197" i="111"/>
  <c r="L197" i="111"/>
  <c r="H197" i="111"/>
  <c r="E197" i="111" s="1"/>
  <c r="P196" i="111"/>
  <c r="N196" i="111"/>
  <c r="M196" i="111"/>
  <c r="L196" i="111"/>
  <c r="H196" i="111"/>
  <c r="E196" i="111" s="1"/>
  <c r="P195" i="111"/>
  <c r="N195" i="111"/>
  <c r="M195" i="111"/>
  <c r="L195" i="111"/>
  <c r="H195" i="111"/>
  <c r="E195" i="111" s="1"/>
  <c r="P194" i="111"/>
  <c r="N194" i="111"/>
  <c r="M194" i="111"/>
  <c r="L194" i="111"/>
  <c r="H194" i="111"/>
  <c r="E194" i="111" s="1"/>
  <c r="C194" i="111"/>
  <c r="P193" i="111"/>
  <c r="N193" i="111"/>
  <c r="M193" i="111"/>
  <c r="L193" i="111"/>
  <c r="H193" i="111"/>
  <c r="E193" i="111" s="1"/>
  <c r="C193" i="111"/>
  <c r="P192" i="111"/>
  <c r="N192" i="111"/>
  <c r="M192" i="111"/>
  <c r="L192" i="111"/>
  <c r="H192" i="111"/>
  <c r="E192" i="111" s="1"/>
  <c r="P191" i="111"/>
  <c r="N191" i="111"/>
  <c r="M191" i="111"/>
  <c r="L191" i="111"/>
  <c r="H191" i="111"/>
  <c r="E191" i="111" s="1"/>
  <c r="P190" i="111"/>
  <c r="N190" i="111"/>
  <c r="M190" i="111"/>
  <c r="L190" i="111"/>
  <c r="H190" i="111"/>
  <c r="E190" i="111" s="1"/>
  <c r="P189" i="111"/>
  <c r="N189" i="111"/>
  <c r="M189" i="111"/>
  <c r="L189" i="111"/>
  <c r="H189" i="111"/>
  <c r="E189" i="111" s="1"/>
  <c r="P188" i="111"/>
  <c r="N188" i="111"/>
  <c r="M188" i="111"/>
  <c r="L188" i="111"/>
  <c r="H188" i="111"/>
  <c r="E188" i="111" s="1"/>
  <c r="P187" i="111"/>
  <c r="N187" i="111"/>
  <c r="M187" i="111"/>
  <c r="L187" i="111"/>
  <c r="H187" i="111"/>
  <c r="E187" i="111" s="1"/>
  <c r="P186" i="111"/>
  <c r="N186" i="111"/>
  <c r="M186" i="111"/>
  <c r="L186" i="111"/>
  <c r="H186" i="111"/>
  <c r="E186" i="111" s="1"/>
  <c r="C186" i="111"/>
  <c r="P185" i="111"/>
  <c r="N185" i="111"/>
  <c r="M185" i="111"/>
  <c r="L185" i="111"/>
  <c r="H185" i="111"/>
  <c r="E185" i="111" s="1"/>
  <c r="C185" i="111"/>
  <c r="P184" i="111"/>
  <c r="N184" i="111"/>
  <c r="M184" i="111"/>
  <c r="L184" i="111"/>
  <c r="H184" i="111"/>
  <c r="E184" i="111" s="1"/>
  <c r="P183" i="111"/>
  <c r="N183" i="111"/>
  <c r="M183" i="111"/>
  <c r="L183" i="111"/>
  <c r="H183" i="111"/>
  <c r="E183" i="111" s="1"/>
  <c r="P182" i="111"/>
  <c r="N182" i="111"/>
  <c r="M182" i="111"/>
  <c r="L182" i="111"/>
  <c r="H182" i="111"/>
  <c r="E182" i="111" s="1"/>
  <c r="P181" i="111"/>
  <c r="N181" i="111"/>
  <c r="M181" i="111"/>
  <c r="L181" i="111"/>
  <c r="H181" i="111"/>
  <c r="E181" i="111" s="1"/>
  <c r="P180" i="111"/>
  <c r="N180" i="111"/>
  <c r="M180" i="111"/>
  <c r="L180" i="111"/>
  <c r="H180" i="111"/>
  <c r="E180" i="111" s="1"/>
  <c r="C180" i="111"/>
  <c r="P179" i="111"/>
  <c r="N179" i="111"/>
  <c r="M179" i="111"/>
  <c r="L179" i="111"/>
  <c r="H179" i="111"/>
  <c r="E179" i="111" s="1"/>
  <c r="C179" i="111"/>
  <c r="P178" i="111"/>
  <c r="N178" i="111"/>
  <c r="M178" i="111"/>
  <c r="L178" i="111"/>
  <c r="H178" i="111"/>
  <c r="E178" i="111" s="1"/>
  <c r="P177" i="111"/>
  <c r="N177" i="111"/>
  <c r="M177" i="111"/>
  <c r="L177" i="111"/>
  <c r="H177" i="111"/>
  <c r="E177" i="111" s="1"/>
  <c r="P176" i="111"/>
  <c r="N176" i="111"/>
  <c r="M176" i="111"/>
  <c r="L176" i="111"/>
  <c r="H176" i="111"/>
  <c r="E176" i="111" s="1"/>
  <c r="C176" i="111"/>
  <c r="P175" i="111"/>
  <c r="N175" i="111"/>
  <c r="M175" i="111"/>
  <c r="L175" i="111"/>
  <c r="H175" i="111"/>
  <c r="E175" i="111" s="1"/>
  <c r="C175" i="111"/>
  <c r="P174" i="111"/>
  <c r="N174" i="111"/>
  <c r="M174" i="111"/>
  <c r="L174" i="111"/>
  <c r="H174" i="111"/>
  <c r="E174" i="111" s="1"/>
  <c r="P173" i="111"/>
  <c r="N173" i="111"/>
  <c r="M173" i="111"/>
  <c r="L173" i="111"/>
  <c r="H173" i="111"/>
  <c r="E173" i="111" s="1"/>
  <c r="P172" i="111"/>
  <c r="N172" i="111"/>
  <c r="M172" i="111"/>
  <c r="L172" i="111"/>
  <c r="H172" i="111"/>
  <c r="E172" i="111" s="1"/>
  <c r="C172" i="111"/>
  <c r="P171" i="111"/>
  <c r="N171" i="111"/>
  <c r="M171" i="111"/>
  <c r="L171" i="111"/>
  <c r="H171" i="111"/>
  <c r="E171" i="111" s="1"/>
  <c r="C171" i="111"/>
  <c r="P170" i="111"/>
  <c r="N170" i="111"/>
  <c r="M170" i="111"/>
  <c r="L170" i="111"/>
  <c r="H170" i="111"/>
  <c r="E170" i="111" s="1"/>
  <c r="P169" i="111"/>
  <c r="N169" i="111"/>
  <c r="M169" i="111"/>
  <c r="L169" i="111"/>
  <c r="H169" i="111"/>
  <c r="E169" i="111" s="1"/>
  <c r="P168" i="111"/>
  <c r="N168" i="111"/>
  <c r="M168" i="111"/>
  <c r="L168" i="111"/>
  <c r="H168" i="111"/>
  <c r="E168" i="111" s="1"/>
  <c r="C168" i="111"/>
  <c r="P167" i="111"/>
  <c r="N167" i="111"/>
  <c r="M167" i="111"/>
  <c r="L167" i="111"/>
  <c r="H167" i="111"/>
  <c r="E167" i="111" s="1"/>
  <c r="C167" i="111"/>
  <c r="P166" i="111"/>
  <c r="N166" i="111"/>
  <c r="M166" i="111"/>
  <c r="L166" i="111"/>
  <c r="H166" i="111"/>
  <c r="E166" i="111" s="1"/>
  <c r="P165" i="111"/>
  <c r="N165" i="111"/>
  <c r="M165" i="111"/>
  <c r="L165" i="111"/>
  <c r="H165" i="111"/>
  <c r="E165" i="111" s="1"/>
  <c r="P164" i="111"/>
  <c r="N164" i="111"/>
  <c r="M164" i="111"/>
  <c r="L164" i="111"/>
  <c r="H164" i="111"/>
  <c r="E164" i="111" s="1"/>
  <c r="C164" i="111"/>
  <c r="P163" i="111"/>
  <c r="N163" i="111"/>
  <c r="M163" i="111"/>
  <c r="L163" i="111"/>
  <c r="H163" i="111"/>
  <c r="E163" i="111" s="1"/>
  <c r="C163" i="111"/>
  <c r="P162" i="111"/>
  <c r="N162" i="111"/>
  <c r="M162" i="111"/>
  <c r="L162" i="111"/>
  <c r="H162" i="111"/>
  <c r="E162" i="111" s="1"/>
  <c r="P161" i="111"/>
  <c r="N161" i="111"/>
  <c r="M161" i="111"/>
  <c r="L161" i="111"/>
  <c r="H161" i="111"/>
  <c r="E161" i="111" s="1"/>
  <c r="P160" i="111"/>
  <c r="N160" i="111"/>
  <c r="M160" i="111"/>
  <c r="L160" i="111"/>
  <c r="H160" i="111"/>
  <c r="E160" i="111" s="1"/>
  <c r="P159" i="111"/>
  <c r="N159" i="111"/>
  <c r="M159" i="111"/>
  <c r="L159" i="111"/>
  <c r="H159" i="111"/>
  <c r="E159" i="111" s="1"/>
  <c r="P158" i="111"/>
  <c r="N158" i="111"/>
  <c r="M158" i="111"/>
  <c r="L158" i="111"/>
  <c r="H158" i="111"/>
  <c r="E158" i="111" s="1"/>
  <c r="C158" i="111"/>
  <c r="P157" i="111"/>
  <c r="N157" i="111"/>
  <c r="M157" i="111"/>
  <c r="L157" i="111"/>
  <c r="H157" i="111"/>
  <c r="E157" i="111" s="1"/>
  <c r="C157" i="111"/>
  <c r="P156" i="111"/>
  <c r="N156" i="111"/>
  <c r="M156" i="111"/>
  <c r="L156" i="111"/>
  <c r="H156" i="111"/>
  <c r="E156" i="111" s="1"/>
  <c r="P155" i="111"/>
  <c r="N155" i="111"/>
  <c r="M155" i="111"/>
  <c r="L155" i="111"/>
  <c r="H155" i="111"/>
  <c r="E155" i="111" s="1"/>
  <c r="P154" i="111"/>
  <c r="N154" i="111"/>
  <c r="M154" i="111"/>
  <c r="L154" i="111"/>
  <c r="H154" i="111"/>
  <c r="E154" i="111" s="1"/>
  <c r="P153" i="111"/>
  <c r="N153" i="111"/>
  <c r="M153" i="111"/>
  <c r="L153" i="111"/>
  <c r="H153" i="111"/>
  <c r="E153" i="111" s="1"/>
  <c r="P152" i="111"/>
  <c r="N152" i="111"/>
  <c r="M152" i="111"/>
  <c r="L152" i="111"/>
  <c r="H152" i="111"/>
  <c r="E152" i="111" s="1"/>
  <c r="P151" i="111"/>
  <c r="N151" i="111"/>
  <c r="M151" i="111"/>
  <c r="L151" i="111"/>
  <c r="H151" i="111"/>
  <c r="E151" i="111" s="1"/>
  <c r="P150" i="111"/>
  <c r="N150" i="111"/>
  <c r="M150" i="111"/>
  <c r="L150" i="111"/>
  <c r="H150" i="111"/>
  <c r="E150" i="111" s="1"/>
  <c r="C150" i="111"/>
  <c r="P149" i="111"/>
  <c r="N149" i="111"/>
  <c r="M149" i="111"/>
  <c r="L149" i="111"/>
  <c r="H149" i="111"/>
  <c r="E149" i="111" s="1"/>
  <c r="C149" i="111"/>
  <c r="P148" i="111"/>
  <c r="N148" i="111"/>
  <c r="M148" i="111"/>
  <c r="L148" i="111"/>
  <c r="H148" i="111"/>
  <c r="E148" i="111" s="1"/>
  <c r="P147" i="111"/>
  <c r="N147" i="111"/>
  <c r="M147" i="111"/>
  <c r="L147" i="111"/>
  <c r="H147" i="111"/>
  <c r="E147" i="111" s="1"/>
  <c r="P146" i="111"/>
  <c r="N146" i="111"/>
  <c r="M146" i="111"/>
  <c r="L146" i="111"/>
  <c r="H146" i="111"/>
  <c r="E146" i="111" s="1"/>
  <c r="C146" i="111"/>
  <c r="P145" i="111"/>
  <c r="N145" i="111"/>
  <c r="M145" i="111"/>
  <c r="L145" i="111"/>
  <c r="H145" i="111"/>
  <c r="E145" i="111" s="1"/>
  <c r="C145" i="111"/>
  <c r="P144" i="111"/>
  <c r="N144" i="111"/>
  <c r="M144" i="111"/>
  <c r="L144" i="111"/>
  <c r="H144" i="111"/>
  <c r="E144" i="111" s="1"/>
  <c r="P143" i="111"/>
  <c r="N143" i="111"/>
  <c r="M143" i="111"/>
  <c r="L143" i="111"/>
  <c r="H143" i="111"/>
  <c r="E143" i="111" s="1"/>
  <c r="P142" i="111"/>
  <c r="N142" i="111"/>
  <c r="M142" i="111"/>
  <c r="L142" i="111"/>
  <c r="H142" i="111"/>
  <c r="E142" i="111" s="1"/>
  <c r="C142" i="111"/>
  <c r="P141" i="111"/>
  <c r="N141" i="111"/>
  <c r="M141" i="111"/>
  <c r="L141" i="111"/>
  <c r="H141" i="111"/>
  <c r="E141" i="111" s="1"/>
  <c r="C141" i="111"/>
  <c r="P140" i="111"/>
  <c r="N140" i="111"/>
  <c r="M140" i="111"/>
  <c r="L140" i="111"/>
  <c r="H140" i="111"/>
  <c r="E140" i="111" s="1"/>
  <c r="P139" i="111"/>
  <c r="N139" i="111"/>
  <c r="M139" i="111"/>
  <c r="L139" i="111"/>
  <c r="H139" i="111"/>
  <c r="E139" i="111" s="1"/>
  <c r="P138" i="111"/>
  <c r="N138" i="111"/>
  <c r="M138" i="111"/>
  <c r="L138" i="111"/>
  <c r="H138" i="111"/>
  <c r="E138" i="111" s="1"/>
  <c r="C138" i="111"/>
  <c r="P137" i="111"/>
  <c r="N137" i="111"/>
  <c r="M137" i="111"/>
  <c r="L137" i="111"/>
  <c r="H137" i="111"/>
  <c r="E137" i="111" s="1"/>
  <c r="C137" i="111"/>
  <c r="P136" i="111"/>
  <c r="N136" i="111"/>
  <c r="M136" i="111"/>
  <c r="L136" i="111"/>
  <c r="H136" i="111"/>
  <c r="E136" i="111" s="1"/>
  <c r="P135" i="111"/>
  <c r="N135" i="111"/>
  <c r="M135" i="111"/>
  <c r="L135" i="111"/>
  <c r="H135" i="111"/>
  <c r="E135" i="111" s="1"/>
  <c r="P134" i="111"/>
  <c r="N134" i="111"/>
  <c r="M134" i="111"/>
  <c r="L134" i="111"/>
  <c r="H134" i="111"/>
  <c r="E134" i="111" s="1"/>
  <c r="C134" i="111"/>
  <c r="P133" i="111"/>
  <c r="N133" i="111"/>
  <c r="M133" i="111"/>
  <c r="L133" i="111"/>
  <c r="H133" i="111"/>
  <c r="E133" i="111" s="1"/>
  <c r="C133" i="111"/>
  <c r="P132" i="111"/>
  <c r="N132" i="111"/>
  <c r="M132" i="111"/>
  <c r="L132" i="111"/>
  <c r="H132" i="111"/>
  <c r="E132" i="111" s="1"/>
  <c r="P131" i="111"/>
  <c r="N131" i="111"/>
  <c r="M131" i="111"/>
  <c r="L131" i="111"/>
  <c r="H131" i="111"/>
  <c r="E131" i="111" s="1"/>
  <c r="P130" i="111"/>
  <c r="N130" i="111"/>
  <c r="M130" i="111"/>
  <c r="L130" i="111"/>
  <c r="H130" i="111"/>
  <c r="E130" i="111" s="1"/>
  <c r="C130" i="111"/>
  <c r="P129" i="111"/>
  <c r="N129" i="111"/>
  <c r="M129" i="111"/>
  <c r="L129" i="111"/>
  <c r="H129" i="111"/>
  <c r="E129" i="111" s="1"/>
  <c r="C129" i="111"/>
  <c r="P128" i="111"/>
  <c r="N128" i="111"/>
  <c r="M128" i="111"/>
  <c r="L128" i="111"/>
  <c r="H128" i="111"/>
  <c r="E128" i="111" s="1"/>
  <c r="P127" i="111"/>
  <c r="N127" i="111"/>
  <c r="M127" i="111"/>
  <c r="L127" i="111"/>
  <c r="H127" i="111"/>
  <c r="E127" i="111" s="1"/>
  <c r="P126" i="111"/>
  <c r="N126" i="111"/>
  <c r="M126" i="111"/>
  <c r="L126" i="111"/>
  <c r="H126" i="111"/>
  <c r="E126" i="111" s="1"/>
  <c r="C126" i="111"/>
  <c r="P121" i="111"/>
  <c r="N121" i="111"/>
  <c r="M121" i="111"/>
  <c r="L121" i="111"/>
  <c r="H121" i="111"/>
  <c r="E121" i="111" s="1"/>
  <c r="C121" i="111"/>
  <c r="P120" i="111"/>
  <c r="N120" i="111"/>
  <c r="M120" i="111"/>
  <c r="L120" i="111"/>
  <c r="H120" i="111"/>
  <c r="P119" i="111"/>
  <c r="N119" i="111"/>
  <c r="M119" i="111"/>
  <c r="L119" i="111"/>
  <c r="H119" i="111"/>
  <c r="E119" i="111" s="1"/>
  <c r="P118" i="111"/>
  <c r="N118" i="111"/>
  <c r="M118" i="111"/>
  <c r="L118" i="111"/>
  <c r="H118" i="111"/>
  <c r="E118" i="111" s="1"/>
  <c r="C118" i="111"/>
  <c r="P117" i="111"/>
  <c r="N117" i="111"/>
  <c r="M117" i="111"/>
  <c r="L117" i="111"/>
  <c r="H117" i="111"/>
  <c r="C117" i="111"/>
  <c r="P116" i="111"/>
  <c r="N116" i="111"/>
  <c r="M116" i="111"/>
  <c r="L116" i="111"/>
  <c r="H116" i="111"/>
  <c r="E116" i="111" s="1"/>
  <c r="P115" i="111"/>
  <c r="N115" i="111"/>
  <c r="M115" i="111"/>
  <c r="L115" i="111"/>
  <c r="H115" i="111"/>
  <c r="E115" i="111" s="1"/>
  <c r="P114" i="111"/>
  <c r="N114" i="111"/>
  <c r="M114" i="111"/>
  <c r="L114" i="111"/>
  <c r="H114" i="111"/>
  <c r="C114" i="111"/>
  <c r="P113" i="111"/>
  <c r="N113" i="111"/>
  <c r="M113" i="111"/>
  <c r="L113" i="111"/>
  <c r="H113" i="111"/>
  <c r="E113" i="111" s="1"/>
  <c r="C113" i="111"/>
  <c r="P112" i="111"/>
  <c r="N112" i="111"/>
  <c r="M112" i="111"/>
  <c r="L112" i="111"/>
  <c r="H112" i="111"/>
  <c r="E112" i="111" s="1"/>
  <c r="P111" i="111"/>
  <c r="N111" i="111"/>
  <c r="M111" i="111"/>
  <c r="L111" i="111"/>
  <c r="H111" i="111"/>
  <c r="P110" i="111"/>
  <c r="N110" i="111"/>
  <c r="M110" i="111"/>
  <c r="L110" i="111"/>
  <c r="H110" i="111"/>
  <c r="E110" i="111" s="1"/>
  <c r="C110" i="111"/>
  <c r="P109" i="111"/>
  <c r="N109" i="111"/>
  <c r="M109" i="111"/>
  <c r="L109" i="111"/>
  <c r="H109" i="111"/>
  <c r="E109" i="111" s="1"/>
  <c r="C109" i="111"/>
  <c r="P108" i="111"/>
  <c r="N108" i="111"/>
  <c r="M108" i="111"/>
  <c r="L108" i="111"/>
  <c r="H108" i="111"/>
  <c r="P107" i="111"/>
  <c r="M107" i="111"/>
  <c r="L107" i="111"/>
  <c r="N107" i="111" s="1"/>
  <c r="H107" i="111"/>
  <c r="P106" i="111"/>
  <c r="N106" i="111"/>
  <c r="M106" i="111"/>
  <c r="L106" i="111"/>
  <c r="H106" i="111"/>
  <c r="E106" i="111" s="1"/>
  <c r="C106" i="111"/>
  <c r="P105" i="111"/>
  <c r="N105" i="111"/>
  <c r="M105" i="111"/>
  <c r="L105" i="111"/>
  <c r="H105" i="111"/>
  <c r="C105" i="111"/>
  <c r="P104" i="111"/>
  <c r="N104" i="111"/>
  <c r="M104" i="111"/>
  <c r="L104" i="111"/>
  <c r="H104" i="111"/>
  <c r="P103" i="111"/>
  <c r="N103" i="111"/>
  <c r="M103" i="111"/>
  <c r="L103" i="111"/>
  <c r="H103" i="111"/>
  <c r="E103" i="111" s="1"/>
  <c r="P102" i="111"/>
  <c r="N102" i="111"/>
  <c r="M102" i="111"/>
  <c r="L102" i="111"/>
  <c r="H102" i="111"/>
  <c r="C102" i="111"/>
  <c r="P101" i="111"/>
  <c r="N101" i="111"/>
  <c r="M101" i="111"/>
  <c r="L101" i="111"/>
  <c r="H101" i="111"/>
  <c r="C101" i="111"/>
  <c r="P100" i="111"/>
  <c r="N100" i="111"/>
  <c r="M100" i="111"/>
  <c r="L100" i="111"/>
  <c r="H100" i="111"/>
  <c r="E100" i="111" s="1"/>
  <c r="P99" i="111"/>
  <c r="M99" i="111"/>
  <c r="L99" i="111"/>
  <c r="N99" i="111" s="1"/>
  <c r="H99" i="111"/>
  <c r="P98" i="111"/>
  <c r="N98" i="111"/>
  <c r="M98" i="111"/>
  <c r="L98" i="111"/>
  <c r="H98" i="111"/>
  <c r="P97" i="111"/>
  <c r="N97" i="111"/>
  <c r="M97" i="111"/>
  <c r="L97" i="111"/>
  <c r="H97" i="111"/>
  <c r="E97" i="111" s="1"/>
  <c r="P96" i="111"/>
  <c r="N96" i="111"/>
  <c r="M96" i="111"/>
  <c r="L96" i="111"/>
  <c r="H96" i="111"/>
  <c r="P95" i="111"/>
  <c r="M95" i="111"/>
  <c r="L95" i="111"/>
  <c r="N95" i="111" s="1"/>
  <c r="H95" i="111"/>
  <c r="P94" i="111"/>
  <c r="N94" i="111"/>
  <c r="M94" i="111"/>
  <c r="L94" i="111"/>
  <c r="H94" i="111"/>
  <c r="E94" i="111" s="1"/>
  <c r="C94" i="111"/>
  <c r="P93" i="111"/>
  <c r="N93" i="111"/>
  <c r="M93" i="111"/>
  <c r="L93" i="111"/>
  <c r="H93" i="111"/>
  <c r="C93" i="111"/>
  <c r="P92" i="111"/>
  <c r="N92" i="111"/>
  <c r="M92" i="111"/>
  <c r="L92" i="111"/>
  <c r="H92" i="111"/>
  <c r="P91" i="111"/>
  <c r="N91" i="111"/>
  <c r="M91" i="111"/>
  <c r="L91" i="111"/>
  <c r="H91" i="111"/>
  <c r="E91" i="111" s="1"/>
  <c r="P90" i="111"/>
  <c r="N90" i="111"/>
  <c r="M90" i="111"/>
  <c r="L90" i="111"/>
  <c r="H90" i="111"/>
  <c r="P89" i="111"/>
  <c r="M89" i="111"/>
  <c r="L89" i="111"/>
  <c r="N89" i="111" s="1"/>
  <c r="H89" i="111"/>
  <c r="P88" i="111"/>
  <c r="N88" i="111"/>
  <c r="M88" i="111"/>
  <c r="L88" i="111"/>
  <c r="H88" i="111"/>
  <c r="E88" i="111" s="1"/>
  <c r="C88" i="111"/>
  <c r="P87" i="111"/>
  <c r="N87" i="111"/>
  <c r="M87" i="111"/>
  <c r="L87" i="111"/>
  <c r="H87" i="111"/>
  <c r="C87" i="111"/>
  <c r="P86" i="111"/>
  <c r="N86" i="111"/>
  <c r="M86" i="111"/>
  <c r="L86" i="111"/>
  <c r="P85" i="111"/>
  <c r="N85" i="111"/>
  <c r="M85" i="111"/>
  <c r="L85" i="111"/>
  <c r="H85" i="111"/>
  <c r="E85" i="111" s="1"/>
  <c r="C85" i="111"/>
  <c r="P84" i="111"/>
  <c r="N84" i="111"/>
  <c r="M84" i="111"/>
  <c r="L84" i="111"/>
  <c r="H84" i="111"/>
  <c r="C84" i="111"/>
  <c r="P83" i="111"/>
  <c r="N83" i="111"/>
  <c r="M83" i="111"/>
  <c r="L83" i="111"/>
  <c r="P82" i="111"/>
  <c r="N82" i="111"/>
  <c r="M82" i="111"/>
  <c r="L82" i="111"/>
  <c r="H82" i="111"/>
  <c r="E82" i="111" s="1"/>
  <c r="C82" i="111"/>
  <c r="P81" i="111"/>
  <c r="N81" i="111"/>
  <c r="M81" i="111"/>
  <c r="L81" i="111"/>
  <c r="H81" i="111"/>
  <c r="C81" i="111"/>
  <c r="P80" i="111"/>
  <c r="N80" i="111"/>
  <c r="M80" i="111"/>
  <c r="L80" i="111"/>
  <c r="P79" i="111"/>
  <c r="N79" i="111"/>
  <c r="M79" i="111"/>
  <c r="L79" i="111"/>
  <c r="H79" i="111"/>
  <c r="E79" i="111" s="1"/>
  <c r="C79" i="111"/>
  <c r="P78" i="111"/>
  <c r="N78" i="111"/>
  <c r="M78" i="111"/>
  <c r="L78" i="111"/>
  <c r="H78" i="111"/>
  <c r="C78" i="111"/>
  <c r="P77" i="111"/>
  <c r="N77" i="111"/>
  <c r="M77" i="111"/>
  <c r="L77" i="111"/>
  <c r="P76" i="111"/>
  <c r="N76" i="111"/>
  <c r="M76" i="111"/>
  <c r="L76" i="111"/>
  <c r="H76" i="111"/>
  <c r="E76" i="111" s="1"/>
  <c r="C76" i="111"/>
  <c r="P75" i="111"/>
  <c r="N75" i="111"/>
  <c r="M75" i="111"/>
  <c r="L75" i="111"/>
  <c r="H75" i="111"/>
  <c r="C75" i="111"/>
  <c r="P74" i="111"/>
  <c r="N74" i="111"/>
  <c r="M74" i="111"/>
  <c r="L74" i="111"/>
  <c r="P73" i="111"/>
  <c r="N73" i="111"/>
  <c r="M73" i="111"/>
  <c r="L73" i="111"/>
  <c r="H73" i="111"/>
  <c r="E73" i="111" s="1"/>
  <c r="C73" i="111"/>
  <c r="P72" i="111"/>
  <c r="N72" i="111"/>
  <c r="M72" i="111"/>
  <c r="L72" i="111"/>
  <c r="H72" i="111"/>
  <c r="C72" i="111"/>
  <c r="P71" i="111"/>
  <c r="N71" i="111"/>
  <c r="M71" i="111"/>
  <c r="L71" i="111"/>
  <c r="H71" i="111"/>
  <c r="P70" i="111"/>
  <c r="N70" i="111"/>
  <c r="M70" i="111"/>
  <c r="L70" i="111"/>
  <c r="H70" i="111"/>
  <c r="E70" i="111" s="1"/>
  <c r="P69" i="111"/>
  <c r="N69" i="111"/>
  <c r="M69" i="111"/>
  <c r="L69" i="111"/>
  <c r="H69" i="111"/>
  <c r="C69" i="111"/>
  <c r="P68" i="111"/>
  <c r="N68" i="111"/>
  <c r="M68" i="111"/>
  <c r="L68" i="111"/>
  <c r="H68" i="111"/>
  <c r="C68" i="111"/>
  <c r="P67" i="111"/>
  <c r="N67" i="111"/>
  <c r="M67" i="111"/>
  <c r="L67" i="111"/>
  <c r="H67" i="111"/>
  <c r="E67" i="111" s="1"/>
  <c r="P66" i="111"/>
  <c r="M66" i="111"/>
  <c r="L66" i="111"/>
  <c r="N66" i="111" s="1"/>
  <c r="H66" i="111"/>
  <c r="P65" i="111"/>
  <c r="N65" i="111"/>
  <c r="M65" i="111"/>
  <c r="L65" i="111"/>
  <c r="H65" i="111"/>
  <c r="C65" i="111"/>
  <c r="P64" i="111"/>
  <c r="N64" i="111"/>
  <c r="M64" i="111"/>
  <c r="L64" i="111"/>
  <c r="H64" i="111"/>
  <c r="E64" i="111" s="1"/>
  <c r="C64" i="111"/>
  <c r="P63" i="111"/>
  <c r="N63" i="111"/>
  <c r="M63" i="111"/>
  <c r="L63" i="111"/>
  <c r="H63" i="111"/>
  <c r="E63" i="111" s="1"/>
  <c r="P62" i="111"/>
  <c r="N62" i="111"/>
  <c r="M62" i="111"/>
  <c r="L62" i="111"/>
  <c r="H62" i="111"/>
  <c r="P61" i="111"/>
  <c r="N61" i="111"/>
  <c r="M61" i="111"/>
  <c r="L61" i="111"/>
  <c r="H61" i="111"/>
  <c r="E61" i="111" s="1"/>
  <c r="C61" i="111"/>
  <c r="P60" i="111"/>
  <c r="N60" i="111"/>
  <c r="M60" i="111"/>
  <c r="L60" i="111"/>
  <c r="H60" i="111"/>
  <c r="E60" i="111" s="1"/>
  <c r="C60" i="111"/>
  <c r="P59" i="111"/>
  <c r="N59" i="111"/>
  <c r="M59" i="111"/>
  <c r="L59" i="111"/>
  <c r="H59" i="111"/>
  <c r="P58" i="111"/>
  <c r="M58" i="111"/>
  <c r="L58" i="111"/>
  <c r="N58" i="111" s="1"/>
  <c r="H58" i="111"/>
  <c r="P57" i="111"/>
  <c r="N57" i="111"/>
  <c r="M57" i="111"/>
  <c r="L57" i="111"/>
  <c r="H57" i="111"/>
  <c r="E57" i="111" s="1"/>
  <c r="C57" i="111"/>
  <c r="P56" i="111"/>
  <c r="N56" i="111"/>
  <c r="M56" i="111"/>
  <c r="L56" i="111"/>
  <c r="H56" i="111"/>
  <c r="C56" i="111"/>
  <c r="P55" i="111"/>
  <c r="N55" i="111"/>
  <c r="M55" i="111"/>
  <c r="L55" i="111"/>
  <c r="H55" i="111"/>
  <c r="P54" i="111"/>
  <c r="M54" i="111"/>
  <c r="L54" i="111"/>
  <c r="N54" i="111" s="1"/>
  <c r="H54" i="111"/>
  <c r="P53" i="111"/>
  <c r="N53" i="111"/>
  <c r="M53" i="111"/>
  <c r="L53" i="111"/>
  <c r="H53" i="111"/>
  <c r="P52" i="111"/>
  <c r="M52" i="111"/>
  <c r="L52" i="111"/>
  <c r="N52" i="111" s="1"/>
  <c r="H52" i="111"/>
  <c r="P51" i="111"/>
  <c r="N51" i="111"/>
  <c r="M51" i="111"/>
  <c r="L51" i="111"/>
  <c r="H51" i="111"/>
  <c r="E51" i="111" s="1"/>
  <c r="P50" i="111"/>
  <c r="N50" i="111"/>
  <c r="M50" i="111"/>
  <c r="L50" i="111"/>
  <c r="H50" i="111"/>
  <c r="P49" i="111"/>
  <c r="N49" i="111"/>
  <c r="M49" i="111"/>
  <c r="L49" i="111"/>
  <c r="H49" i="111"/>
  <c r="E49" i="111" s="1"/>
  <c r="C49" i="111"/>
  <c r="P48" i="111"/>
  <c r="N48" i="111"/>
  <c r="M48" i="111"/>
  <c r="L48" i="111"/>
  <c r="H48" i="111"/>
  <c r="E48" i="111" s="1"/>
  <c r="C48" i="111"/>
  <c r="P47" i="111"/>
  <c r="N47" i="111"/>
  <c r="M47" i="111"/>
  <c r="L47" i="111"/>
  <c r="H47" i="111"/>
  <c r="P46" i="111"/>
  <c r="M46" i="111"/>
  <c r="L46" i="111"/>
  <c r="N46" i="111" s="1"/>
  <c r="H46" i="111"/>
  <c r="P45" i="111"/>
  <c r="N45" i="111"/>
  <c r="M45" i="111"/>
  <c r="L45" i="111"/>
  <c r="H45" i="111"/>
  <c r="E45" i="111" s="1"/>
  <c r="P44" i="111"/>
  <c r="N44" i="111"/>
  <c r="M44" i="111"/>
  <c r="L44" i="111"/>
  <c r="H44" i="111"/>
  <c r="P43" i="111"/>
  <c r="N43" i="111"/>
  <c r="M43" i="111"/>
  <c r="L43" i="111"/>
  <c r="H43" i="111"/>
  <c r="E43" i="111" s="1"/>
  <c r="P42" i="111"/>
  <c r="M42" i="111"/>
  <c r="L42" i="111"/>
  <c r="N42" i="111" s="1"/>
  <c r="H42" i="111"/>
  <c r="P41" i="111"/>
  <c r="N41" i="111"/>
  <c r="M41" i="111"/>
  <c r="L41" i="111"/>
  <c r="H41" i="111"/>
  <c r="C41" i="111"/>
  <c r="P40" i="111"/>
  <c r="N40" i="111"/>
  <c r="M40" i="111"/>
  <c r="L40" i="111"/>
  <c r="H40" i="111"/>
  <c r="E40" i="111" s="1"/>
  <c r="C40" i="111"/>
  <c r="P39" i="111"/>
  <c r="N39" i="111"/>
  <c r="M39" i="111"/>
  <c r="L39" i="111"/>
  <c r="H39" i="111"/>
  <c r="E39" i="111" s="1"/>
  <c r="P38" i="111"/>
  <c r="N38" i="111"/>
  <c r="M38" i="111"/>
  <c r="L38" i="111"/>
  <c r="H38" i="111"/>
  <c r="P37" i="111"/>
  <c r="N37" i="111"/>
  <c r="M37" i="111"/>
  <c r="L37" i="111"/>
  <c r="H37" i="111"/>
  <c r="E37" i="111" s="1"/>
  <c r="P36" i="111"/>
  <c r="M36" i="111"/>
  <c r="L36" i="111"/>
  <c r="N36" i="111" s="1"/>
  <c r="H36" i="111"/>
  <c r="P35" i="111"/>
  <c r="N35" i="111"/>
  <c r="M35" i="111"/>
  <c r="L35" i="111"/>
  <c r="H35" i="111"/>
  <c r="P34" i="111"/>
  <c r="M34" i="111"/>
  <c r="L34" i="111"/>
  <c r="N34" i="111" s="1"/>
  <c r="H34" i="111"/>
  <c r="P33" i="111"/>
  <c r="N33" i="111"/>
  <c r="M33" i="111"/>
  <c r="L33" i="111"/>
  <c r="H33" i="111"/>
  <c r="C33" i="111"/>
  <c r="P32" i="111"/>
  <c r="N32" i="111"/>
  <c r="M32" i="111"/>
  <c r="L32" i="111"/>
  <c r="H32" i="111"/>
  <c r="C32" i="111"/>
  <c r="P31" i="111"/>
  <c r="N31" i="111"/>
  <c r="M31" i="111"/>
  <c r="L31" i="111"/>
  <c r="H31" i="111"/>
  <c r="E31" i="111" s="1"/>
  <c r="P30" i="111"/>
  <c r="M30" i="111"/>
  <c r="L30" i="111"/>
  <c r="N30" i="111" s="1"/>
  <c r="H30" i="111"/>
  <c r="P29" i="111"/>
  <c r="N29" i="111"/>
  <c r="M29" i="111"/>
  <c r="L29" i="111"/>
  <c r="H29" i="111"/>
  <c r="P28" i="111"/>
  <c r="M28" i="111"/>
  <c r="L28" i="111"/>
  <c r="N28" i="111" s="1"/>
  <c r="H28" i="111"/>
  <c r="P27" i="111"/>
  <c r="N27" i="111"/>
  <c r="M27" i="111"/>
  <c r="L27" i="111"/>
  <c r="H27" i="111"/>
  <c r="P26" i="111"/>
  <c r="M26" i="111"/>
  <c r="L26" i="111"/>
  <c r="N26" i="111" s="1"/>
  <c r="H26" i="111"/>
  <c r="P25" i="111"/>
  <c r="N25" i="111"/>
  <c r="M25" i="111"/>
  <c r="L25" i="111"/>
  <c r="H25" i="111"/>
  <c r="E25" i="111" s="1"/>
  <c r="C25" i="111"/>
  <c r="P24" i="111"/>
  <c r="N24" i="111"/>
  <c r="M24" i="111"/>
  <c r="L24" i="111"/>
  <c r="H24" i="111"/>
  <c r="C24" i="111"/>
  <c r="P23" i="111"/>
  <c r="M23" i="111"/>
  <c r="N23" i="111" s="1"/>
  <c r="L23" i="111"/>
  <c r="H23" i="111"/>
  <c r="P22" i="111"/>
  <c r="N22" i="111"/>
  <c r="M22" i="111"/>
  <c r="L22" i="111"/>
  <c r="H22" i="111"/>
  <c r="E22" i="111" s="1"/>
  <c r="P21" i="111"/>
  <c r="M21" i="111"/>
  <c r="L21" i="111"/>
  <c r="N21" i="111" s="1"/>
  <c r="H21" i="111"/>
  <c r="P20" i="111"/>
  <c r="N20" i="111"/>
  <c r="M20" i="111"/>
  <c r="L20" i="111"/>
  <c r="H20" i="111"/>
  <c r="P19" i="111"/>
  <c r="M19" i="111"/>
  <c r="N19" i="111" s="1"/>
  <c r="L19" i="111"/>
  <c r="H19" i="111"/>
  <c r="P18" i="111"/>
  <c r="N18" i="111"/>
  <c r="M18" i="111"/>
  <c r="L18" i="111"/>
  <c r="H18" i="111"/>
  <c r="C18" i="111"/>
  <c r="P17" i="111"/>
  <c r="N17" i="111"/>
  <c r="M17" i="111"/>
  <c r="L17" i="111"/>
  <c r="H17" i="111"/>
  <c r="C17" i="111"/>
  <c r="P16" i="111"/>
  <c r="N16" i="111"/>
  <c r="M16" i="111"/>
  <c r="L16" i="111"/>
  <c r="H16" i="111"/>
  <c r="E16" i="111" s="1"/>
  <c r="P15" i="111"/>
  <c r="M15" i="111"/>
  <c r="L15" i="111"/>
  <c r="N15" i="111" s="1"/>
  <c r="H15" i="111"/>
  <c r="P14" i="111"/>
  <c r="N14" i="111"/>
  <c r="M14" i="111"/>
  <c r="L14" i="111"/>
  <c r="H14" i="111"/>
  <c r="P13" i="111"/>
  <c r="M13" i="111"/>
  <c r="L13" i="111"/>
  <c r="N13" i="111" s="1"/>
  <c r="H13" i="111"/>
  <c r="P12" i="111"/>
  <c r="N12" i="111"/>
  <c r="M12" i="111"/>
  <c r="L12" i="111"/>
  <c r="H12" i="111"/>
  <c r="P11" i="111"/>
  <c r="M11" i="111"/>
  <c r="L11" i="111"/>
  <c r="N11" i="111" s="1"/>
  <c r="H11" i="111"/>
  <c r="P10" i="111"/>
  <c r="N10" i="111"/>
  <c r="M10" i="111"/>
  <c r="L10" i="111"/>
  <c r="H10" i="111"/>
  <c r="C10" i="111"/>
  <c r="P9" i="111"/>
  <c r="N9" i="111"/>
  <c r="M9" i="111"/>
  <c r="L9" i="111"/>
  <c r="H9" i="111"/>
  <c r="C9" i="111"/>
  <c r="R22" i="134" s="1"/>
  <c r="P8" i="111"/>
  <c r="M8" i="111"/>
  <c r="L8" i="111"/>
  <c r="N8" i="111" s="1"/>
  <c r="H8" i="111"/>
  <c r="P7" i="111"/>
  <c r="N7" i="111"/>
  <c r="M7" i="111"/>
  <c r="L7" i="111"/>
  <c r="H7" i="111"/>
  <c r="E7" i="111" s="1"/>
  <c r="P6" i="111"/>
  <c r="N6" i="111"/>
  <c r="M6" i="111"/>
  <c r="L6" i="111"/>
  <c r="H6" i="111"/>
  <c r="C6" i="111"/>
  <c r="P154" i="110"/>
  <c r="N154" i="110"/>
  <c r="M154" i="110"/>
  <c r="L154" i="110"/>
  <c r="H154" i="110"/>
  <c r="P153" i="110"/>
  <c r="N153" i="110"/>
  <c r="M153" i="110"/>
  <c r="L153" i="110"/>
  <c r="P152" i="110"/>
  <c r="N152" i="110"/>
  <c r="H152" i="110"/>
  <c r="P151" i="110"/>
  <c r="N151" i="110"/>
  <c r="M151" i="110"/>
  <c r="L151" i="110"/>
  <c r="P150" i="110"/>
  <c r="M150" i="110"/>
  <c r="L150" i="110"/>
  <c r="N150" i="110" s="1"/>
  <c r="H150" i="110"/>
  <c r="P149" i="110"/>
  <c r="N149" i="110"/>
  <c r="M149" i="110"/>
  <c r="L149" i="110"/>
  <c r="H149" i="110"/>
  <c r="P148" i="110"/>
  <c r="N148" i="110"/>
  <c r="M148" i="110"/>
  <c r="L148" i="110"/>
  <c r="P147" i="110"/>
  <c r="M147" i="110"/>
  <c r="L147" i="110"/>
  <c r="N147" i="110" s="1"/>
  <c r="H147" i="110"/>
  <c r="P146" i="110"/>
  <c r="N146" i="110"/>
  <c r="M146" i="110"/>
  <c r="L146" i="110"/>
  <c r="H146" i="110"/>
  <c r="P145" i="110"/>
  <c r="N145" i="110"/>
  <c r="M145" i="110"/>
  <c r="L145" i="110"/>
  <c r="P144" i="110"/>
  <c r="N144" i="110"/>
  <c r="H144" i="110"/>
  <c r="E144" i="110" s="1"/>
  <c r="P143" i="110"/>
  <c r="N143" i="110"/>
  <c r="M143" i="110"/>
  <c r="L143" i="110"/>
  <c r="P142" i="110"/>
  <c r="M142" i="110"/>
  <c r="L142" i="110"/>
  <c r="N142" i="110" s="1"/>
  <c r="H142" i="110"/>
  <c r="P141" i="110"/>
  <c r="N141" i="110"/>
  <c r="M141" i="110"/>
  <c r="L141" i="110"/>
  <c r="P140" i="110"/>
  <c r="M140" i="110"/>
  <c r="L140" i="110"/>
  <c r="H140" i="110"/>
  <c r="P139" i="110"/>
  <c r="N139" i="110"/>
  <c r="M139" i="110"/>
  <c r="L139" i="110"/>
  <c r="P138" i="110"/>
  <c r="M138" i="110"/>
  <c r="L138" i="110"/>
  <c r="N138" i="110" s="1"/>
  <c r="H138" i="110"/>
  <c r="P137" i="110"/>
  <c r="M137" i="110"/>
  <c r="L137" i="110"/>
  <c r="H137" i="110"/>
  <c r="P136" i="110"/>
  <c r="N136" i="110"/>
  <c r="M136" i="110"/>
  <c r="L136" i="110"/>
  <c r="P135" i="110"/>
  <c r="M135" i="110"/>
  <c r="L135" i="110"/>
  <c r="H135" i="110"/>
  <c r="P134" i="110"/>
  <c r="N134" i="110"/>
  <c r="M134" i="110"/>
  <c r="L134" i="110"/>
  <c r="P133" i="110"/>
  <c r="M133" i="110"/>
  <c r="L133" i="110"/>
  <c r="H133" i="110"/>
  <c r="P132" i="110"/>
  <c r="N132" i="110"/>
  <c r="M132" i="110"/>
  <c r="L132" i="110"/>
  <c r="P131" i="110"/>
  <c r="M131" i="110"/>
  <c r="L131" i="110"/>
  <c r="H131" i="110"/>
  <c r="P130" i="110"/>
  <c r="N130" i="110"/>
  <c r="M130" i="110"/>
  <c r="L130" i="110"/>
  <c r="R129" i="110"/>
  <c r="P129" i="110"/>
  <c r="M129" i="110"/>
  <c r="L129" i="110"/>
  <c r="N129" i="110" s="1"/>
  <c r="H129" i="110"/>
  <c r="R128" i="110"/>
  <c r="P128" i="110"/>
  <c r="N128" i="110"/>
  <c r="M128" i="110"/>
  <c r="L128" i="110"/>
  <c r="R127" i="110"/>
  <c r="P127" i="110"/>
  <c r="M127" i="110"/>
  <c r="L127" i="110"/>
  <c r="N127" i="110" s="1"/>
  <c r="H127" i="110"/>
  <c r="P126" i="110"/>
  <c r="N126" i="110"/>
  <c r="M126" i="110"/>
  <c r="L126" i="110"/>
  <c r="P125" i="110"/>
  <c r="M125" i="110"/>
  <c r="L125" i="110"/>
  <c r="H125" i="110"/>
  <c r="P124" i="110"/>
  <c r="N124" i="110"/>
  <c r="M124" i="110"/>
  <c r="L124" i="110"/>
  <c r="P123" i="110"/>
  <c r="M123" i="110"/>
  <c r="L123" i="110"/>
  <c r="N123" i="110" s="1"/>
  <c r="H123" i="110"/>
  <c r="P122" i="110"/>
  <c r="N122" i="110"/>
  <c r="M122" i="110"/>
  <c r="L122" i="110"/>
  <c r="P121" i="110"/>
  <c r="M121" i="110"/>
  <c r="L121" i="110"/>
  <c r="H121" i="110"/>
  <c r="P120" i="110"/>
  <c r="N120" i="110"/>
  <c r="M120" i="110"/>
  <c r="L120" i="110"/>
  <c r="P119" i="110"/>
  <c r="M119" i="110"/>
  <c r="L119" i="110"/>
  <c r="N119" i="110" s="1"/>
  <c r="H119" i="110"/>
  <c r="P118" i="110"/>
  <c r="N118" i="110"/>
  <c r="M118" i="110"/>
  <c r="L118" i="110"/>
  <c r="P117" i="110"/>
  <c r="M117" i="110"/>
  <c r="L117" i="110"/>
  <c r="N117" i="110" s="1"/>
  <c r="H117" i="110"/>
  <c r="E117" i="110" s="1"/>
  <c r="P116" i="110"/>
  <c r="N116" i="110"/>
  <c r="M116" i="110"/>
  <c r="L116" i="110"/>
  <c r="P115" i="110"/>
  <c r="M115" i="110"/>
  <c r="L115" i="110"/>
  <c r="H115" i="110"/>
  <c r="P114" i="110"/>
  <c r="N114" i="110"/>
  <c r="M114" i="110"/>
  <c r="L114" i="110"/>
  <c r="P113" i="110"/>
  <c r="M113" i="110"/>
  <c r="L113" i="110"/>
  <c r="H113" i="110"/>
  <c r="P112" i="110"/>
  <c r="N112" i="110"/>
  <c r="M112" i="110"/>
  <c r="L112" i="110"/>
  <c r="P111" i="110"/>
  <c r="M111" i="110"/>
  <c r="L111" i="110"/>
  <c r="N111" i="110" s="1"/>
  <c r="H111" i="110"/>
  <c r="P110" i="110"/>
  <c r="N110" i="110"/>
  <c r="M110" i="110"/>
  <c r="L110" i="110"/>
  <c r="P109" i="110"/>
  <c r="M109" i="110"/>
  <c r="L109" i="110"/>
  <c r="N109" i="110" s="1"/>
  <c r="H109" i="110"/>
  <c r="P108" i="110"/>
  <c r="N108" i="110"/>
  <c r="M108" i="110"/>
  <c r="L108" i="110"/>
  <c r="P107" i="110"/>
  <c r="M107" i="110"/>
  <c r="L107" i="110"/>
  <c r="H107" i="110"/>
  <c r="P106" i="110"/>
  <c r="N106" i="110"/>
  <c r="M106" i="110"/>
  <c r="L106" i="110"/>
  <c r="P105" i="110"/>
  <c r="M105" i="110"/>
  <c r="L105" i="110"/>
  <c r="H105" i="110"/>
  <c r="P104" i="110"/>
  <c r="N104" i="110"/>
  <c r="M104" i="110"/>
  <c r="L104" i="110"/>
  <c r="P103" i="110"/>
  <c r="M103" i="110"/>
  <c r="L103" i="110"/>
  <c r="H103" i="110"/>
  <c r="P102" i="110"/>
  <c r="N102" i="110"/>
  <c r="M102" i="110"/>
  <c r="L102" i="110"/>
  <c r="P101" i="110"/>
  <c r="M101" i="110"/>
  <c r="L101" i="110"/>
  <c r="N101" i="110" s="1"/>
  <c r="H101" i="110"/>
  <c r="P100" i="110"/>
  <c r="N100" i="110"/>
  <c r="M100" i="110"/>
  <c r="L100" i="110"/>
  <c r="P99" i="110"/>
  <c r="M99" i="110"/>
  <c r="L99" i="110"/>
  <c r="N99" i="110" s="1"/>
  <c r="H99" i="110"/>
  <c r="P98" i="110"/>
  <c r="N98" i="110"/>
  <c r="M98" i="110"/>
  <c r="L98" i="110"/>
  <c r="P97" i="110"/>
  <c r="M97" i="110"/>
  <c r="L97" i="110"/>
  <c r="N97" i="110" s="1"/>
  <c r="H97" i="110"/>
  <c r="P96" i="110"/>
  <c r="N96" i="110"/>
  <c r="M96" i="110"/>
  <c r="L96" i="110"/>
  <c r="P95" i="110"/>
  <c r="M95" i="110"/>
  <c r="L95" i="110"/>
  <c r="N95" i="110" s="1"/>
  <c r="H95" i="110"/>
  <c r="P94" i="110"/>
  <c r="N94" i="110"/>
  <c r="M94" i="110"/>
  <c r="L94" i="110"/>
  <c r="P93" i="110"/>
  <c r="M93" i="110"/>
  <c r="L93" i="110"/>
  <c r="N93" i="110" s="1"/>
  <c r="H93" i="110"/>
  <c r="P92" i="110"/>
  <c r="N92" i="110"/>
  <c r="M92" i="110"/>
  <c r="L92" i="110"/>
  <c r="P91" i="110"/>
  <c r="M91" i="110"/>
  <c r="L91" i="110"/>
  <c r="N91" i="110" s="1"/>
  <c r="H91" i="110"/>
  <c r="P90" i="110"/>
  <c r="N90" i="110"/>
  <c r="M90" i="110"/>
  <c r="L90" i="110"/>
  <c r="P89" i="110"/>
  <c r="N89" i="110"/>
  <c r="M89" i="110"/>
  <c r="L89" i="110"/>
  <c r="P88" i="110"/>
  <c r="M88" i="110"/>
  <c r="L88" i="110"/>
  <c r="N88" i="110" s="1"/>
  <c r="H88" i="110"/>
  <c r="P87" i="110"/>
  <c r="N87" i="110"/>
  <c r="M87" i="110"/>
  <c r="L87" i="110"/>
  <c r="P82" i="110"/>
  <c r="N82" i="110"/>
  <c r="M82" i="110"/>
  <c r="L82" i="110"/>
  <c r="Q81" i="110"/>
  <c r="P81" i="110"/>
  <c r="M81" i="110"/>
  <c r="L81" i="110"/>
  <c r="N81" i="110" s="1"/>
  <c r="H81" i="110"/>
  <c r="P80" i="110"/>
  <c r="N80" i="110"/>
  <c r="M80" i="110"/>
  <c r="L80" i="110"/>
  <c r="Q79" i="110"/>
  <c r="P79" i="110"/>
  <c r="M79" i="110"/>
  <c r="L79" i="110"/>
  <c r="H79" i="110"/>
  <c r="P78" i="110"/>
  <c r="N78" i="110"/>
  <c r="M78" i="110"/>
  <c r="L78" i="110"/>
  <c r="Q77" i="110"/>
  <c r="P77" i="110"/>
  <c r="M77" i="110"/>
  <c r="L77" i="110"/>
  <c r="H77" i="110"/>
  <c r="P76" i="110"/>
  <c r="N76" i="110"/>
  <c r="M76" i="110"/>
  <c r="L76" i="110"/>
  <c r="Q75" i="110"/>
  <c r="P75" i="110"/>
  <c r="M75" i="110"/>
  <c r="L75" i="110"/>
  <c r="H75" i="110"/>
  <c r="P74" i="110"/>
  <c r="N74" i="110"/>
  <c r="M74" i="110"/>
  <c r="L74" i="110"/>
  <c r="Q73" i="110"/>
  <c r="P73" i="110"/>
  <c r="M73" i="110"/>
  <c r="L73" i="110"/>
  <c r="N73" i="110" s="1"/>
  <c r="H73" i="110"/>
  <c r="P72" i="110"/>
  <c r="N72" i="110"/>
  <c r="M72" i="110"/>
  <c r="L72" i="110"/>
  <c r="Q71" i="110"/>
  <c r="P71" i="110"/>
  <c r="M71" i="110"/>
  <c r="L71" i="110"/>
  <c r="N71" i="110" s="1"/>
  <c r="H71" i="110"/>
  <c r="P70" i="110"/>
  <c r="N70" i="110"/>
  <c r="M70" i="110"/>
  <c r="L70" i="110"/>
  <c r="P69" i="110"/>
  <c r="M69" i="110"/>
  <c r="L69" i="110"/>
  <c r="N69" i="110" s="1"/>
  <c r="H69" i="110"/>
  <c r="P68" i="110"/>
  <c r="N68" i="110"/>
  <c r="M68" i="110"/>
  <c r="L68" i="110"/>
  <c r="P67" i="110"/>
  <c r="M67" i="110"/>
  <c r="L67" i="110"/>
  <c r="H67" i="110"/>
  <c r="P66" i="110"/>
  <c r="N66" i="110"/>
  <c r="M66" i="110"/>
  <c r="L66" i="110"/>
  <c r="Q65" i="110"/>
  <c r="P65" i="110"/>
  <c r="M65" i="110"/>
  <c r="L65" i="110"/>
  <c r="N65" i="110" s="1"/>
  <c r="H65" i="110"/>
  <c r="P64" i="110"/>
  <c r="N64" i="110"/>
  <c r="M64" i="110"/>
  <c r="L64" i="110"/>
  <c r="P63" i="110"/>
  <c r="M63" i="110"/>
  <c r="L63" i="110"/>
  <c r="H63" i="110"/>
  <c r="P62" i="110"/>
  <c r="N62" i="110"/>
  <c r="M62" i="110"/>
  <c r="L62" i="110"/>
  <c r="P61" i="110"/>
  <c r="M61" i="110"/>
  <c r="L61" i="110"/>
  <c r="N61" i="110" s="1"/>
  <c r="H61" i="110"/>
  <c r="P60" i="110"/>
  <c r="N60" i="110"/>
  <c r="M60" i="110"/>
  <c r="L60" i="110"/>
  <c r="Q59" i="110"/>
  <c r="P59" i="110"/>
  <c r="M59" i="110"/>
  <c r="L59" i="110"/>
  <c r="H59" i="110"/>
  <c r="P58" i="110"/>
  <c r="N58" i="110"/>
  <c r="M58" i="110"/>
  <c r="L58" i="110"/>
  <c r="P57" i="110"/>
  <c r="M57" i="110"/>
  <c r="L57" i="110"/>
  <c r="H57" i="110"/>
  <c r="P56" i="110"/>
  <c r="N56" i="110"/>
  <c r="M56" i="110"/>
  <c r="L56" i="110"/>
  <c r="P55" i="110"/>
  <c r="M55" i="110"/>
  <c r="L55" i="110"/>
  <c r="H55" i="110"/>
  <c r="P54" i="110"/>
  <c r="N54" i="110"/>
  <c r="M54" i="110"/>
  <c r="L54" i="110"/>
  <c r="Q53" i="110"/>
  <c r="P53" i="110"/>
  <c r="M53" i="110"/>
  <c r="L53" i="110"/>
  <c r="H53" i="110"/>
  <c r="P52" i="110"/>
  <c r="N52" i="110"/>
  <c r="M52" i="110"/>
  <c r="L52" i="110"/>
  <c r="P51" i="110"/>
  <c r="M51" i="110"/>
  <c r="L51" i="110"/>
  <c r="N51" i="110" s="1"/>
  <c r="H51" i="110"/>
  <c r="P50" i="110"/>
  <c r="N50" i="110"/>
  <c r="M50" i="110"/>
  <c r="L50" i="110"/>
  <c r="P49" i="110"/>
  <c r="M49" i="110"/>
  <c r="L49" i="110"/>
  <c r="H49" i="110"/>
  <c r="P48" i="110"/>
  <c r="N48" i="110"/>
  <c r="M48" i="110"/>
  <c r="L48" i="110"/>
  <c r="Q47" i="110"/>
  <c r="P47" i="110"/>
  <c r="M47" i="110"/>
  <c r="L47" i="110"/>
  <c r="H47" i="110"/>
  <c r="P46" i="110"/>
  <c r="N46" i="110"/>
  <c r="M46" i="110"/>
  <c r="L46" i="110"/>
  <c r="Q45" i="110"/>
  <c r="P45" i="110"/>
  <c r="M45" i="110"/>
  <c r="L45" i="110"/>
  <c r="N45" i="110" s="1"/>
  <c r="H45" i="110"/>
  <c r="P44" i="110"/>
  <c r="N44" i="110"/>
  <c r="M44" i="110"/>
  <c r="L44" i="110"/>
  <c r="P43" i="110"/>
  <c r="M43" i="110"/>
  <c r="L43" i="110"/>
  <c r="N43" i="110" s="1"/>
  <c r="H43" i="110"/>
  <c r="P42" i="110"/>
  <c r="N42" i="110"/>
  <c r="M42" i="110"/>
  <c r="L42" i="110"/>
  <c r="H42" i="110"/>
  <c r="P41" i="110"/>
  <c r="N41" i="110"/>
  <c r="M41" i="110"/>
  <c r="L41" i="110"/>
  <c r="P40" i="110"/>
  <c r="N40" i="110"/>
  <c r="H40" i="110"/>
  <c r="P39" i="110"/>
  <c r="N39" i="110"/>
  <c r="M39" i="110"/>
  <c r="L39" i="110"/>
  <c r="P38" i="110"/>
  <c r="M38" i="110"/>
  <c r="L38" i="110"/>
  <c r="H38" i="110"/>
  <c r="P37" i="110"/>
  <c r="N37" i="110"/>
  <c r="M37" i="110"/>
  <c r="L37" i="110"/>
  <c r="P36" i="110"/>
  <c r="N36" i="110"/>
  <c r="M36" i="110"/>
  <c r="L36" i="110"/>
  <c r="H36" i="110"/>
  <c r="P35" i="110"/>
  <c r="N35" i="110"/>
  <c r="M35" i="110"/>
  <c r="L35" i="110"/>
  <c r="P34" i="110"/>
  <c r="M34" i="110"/>
  <c r="L34" i="110"/>
  <c r="N34" i="110" s="1"/>
  <c r="H34" i="110"/>
  <c r="P33" i="110"/>
  <c r="N33" i="110"/>
  <c r="M33" i="110"/>
  <c r="L33" i="110"/>
  <c r="H33" i="110"/>
  <c r="P32" i="110"/>
  <c r="N32" i="110"/>
  <c r="M32" i="110"/>
  <c r="L32" i="110"/>
  <c r="P31" i="110"/>
  <c r="N31" i="110"/>
  <c r="M31" i="110"/>
  <c r="L31" i="110"/>
  <c r="H31" i="110"/>
  <c r="P30" i="110"/>
  <c r="M30" i="110"/>
  <c r="L30" i="110"/>
  <c r="N30" i="110" s="1"/>
  <c r="H30" i="110"/>
  <c r="P29" i="110"/>
  <c r="M29" i="110"/>
  <c r="N29" i="110" s="1"/>
  <c r="L29" i="110"/>
  <c r="H29" i="110"/>
  <c r="P28" i="110"/>
  <c r="N28" i="110"/>
  <c r="M28" i="110"/>
  <c r="L28" i="110"/>
  <c r="H28" i="110"/>
  <c r="P27" i="110"/>
  <c r="N27" i="110"/>
  <c r="M27" i="110"/>
  <c r="L27" i="110"/>
  <c r="P26" i="110"/>
  <c r="N26" i="110"/>
  <c r="H26" i="110"/>
  <c r="P25" i="110"/>
  <c r="N25" i="110"/>
  <c r="M25" i="110"/>
  <c r="L25" i="110"/>
  <c r="H25" i="110"/>
  <c r="P24" i="110"/>
  <c r="N24" i="110"/>
  <c r="M24" i="110"/>
  <c r="L24" i="110"/>
  <c r="P23" i="110"/>
  <c r="N23" i="110"/>
  <c r="H23" i="110"/>
  <c r="P22" i="110"/>
  <c r="N22" i="110"/>
  <c r="M22" i="110"/>
  <c r="L22" i="110"/>
  <c r="P21" i="110"/>
  <c r="M21" i="110"/>
  <c r="L21" i="110"/>
  <c r="H21" i="110"/>
  <c r="P20" i="110"/>
  <c r="N20" i="110"/>
  <c r="M20" i="110"/>
  <c r="L20" i="110"/>
  <c r="P19" i="110"/>
  <c r="M19" i="110"/>
  <c r="L19" i="110"/>
  <c r="H19" i="110"/>
  <c r="P18" i="110"/>
  <c r="N18" i="110"/>
  <c r="M18" i="110"/>
  <c r="L18" i="110"/>
  <c r="H18" i="110"/>
  <c r="P17" i="110"/>
  <c r="N17" i="110"/>
  <c r="M17" i="110"/>
  <c r="L17" i="110"/>
  <c r="P16" i="110"/>
  <c r="N16" i="110"/>
  <c r="H16" i="110"/>
  <c r="P15" i="110"/>
  <c r="N15" i="110"/>
  <c r="M15" i="110"/>
  <c r="L15" i="110"/>
  <c r="P14" i="110"/>
  <c r="N14" i="110"/>
  <c r="M14" i="110"/>
  <c r="L14" i="110"/>
  <c r="P13" i="110"/>
  <c r="M13" i="110"/>
  <c r="L13" i="110"/>
  <c r="H13" i="110"/>
  <c r="P12" i="110"/>
  <c r="N12" i="110"/>
  <c r="M12" i="110"/>
  <c r="L12" i="110"/>
  <c r="H12" i="110"/>
  <c r="P11" i="110"/>
  <c r="N11" i="110"/>
  <c r="M11" i="110"/>
  <c r="L11" i="110"/>
  <c r="P10" i="110"/>
  <c r="N10" i="110"/>
  <c r="H10" i="110"/>
  <c r="P9" i="110"/>
  <c r="M9" i="110"/>
  <c r="L9" i="110"/>
  <c r="H9" i="110"/>
  <c r="P8" i="110"/>
  <c r="N8" i="110"/>
  <c r="M8" i="110"/>
  <c r="L8" i="110"/>
  <c r="P7" i="110"/>
  <c r="M7" i="110"/>
  <c r="L7" i="110"/>
  <c r="H7" i="110"/>
  <c r="P6" i="110"/>
  <c r="N6" i="110"/>
  <c r="M6" i="110"/>
  <c r="L6" i="110"/>
  <c r="H6" i="110"/>
  <c r="P5" i="110"/>
  <c r="N5" i="110"/>
  <c r="M5" i="110"/>
  <c r="L5" i="110"/>
  <c r="H5" i="110"/>
  <c r="P4" i="110"/>
  <c r="N4" i="110"/>
  <c r="M4" i="110"/>
  <c r="L4" i="110"/>
  <c r="H3" i="110"/>
  <c r="B66" i="108"/>
  <c r="B54" i="108"/>
  <c r="B42" i="108"/>
  <c r="B30" i="108"/>
  <c r="B18" i="108"/>
  <c r="P756" i="124"/>
  <c r="N756" i="124"/>
  <c r="M756" i="124"/>
  <c r="L756" i="124"/>
  <c r="H756" i="124"/>
  <c r="E756" i="124"/>
  <c r="C756" i="124"/>
  <c r="P755" i="124"/>
  <c r="N755" i="124"/>
  <c r="M755" i="124"/>
  <c r="L755" i="124"/>
  <c r="H755" i="124"/>
  <c r="E755" i="124"/>
  <c r="P754" i="124"/>
  <c r="N754" i="124"/>
  <c r="M754" i="124"/>
  <c r="L754" i="124"/>
  <c r="H754" i="124"/>
  <c r="E754" i="124" s="1"/>
  <c r="P753" i="124"/>
  <c r="N753" i="124"/>
  <c r="M753" i="124"/>
  <c r="L753" i="124"/>
  <c r="H753" i="124"/>
  <c r="E753" i="124" s="1"/>
  <c r="P752" i="124"/>
  <c r="N752" i="124"/>
  <c r="M752" i="124"/>
  <c r="L752" i="124"/>
  <c r="H752" i="124"/>
  <c r="E752" i="124" s="1"/>
  <c r="P751" i="124"/>
  <c r="N751" i="124"/>
  <c r="M751" i="124"/>
  <c r="L751" i="124"/>
  <c r="H751" i="124"/>
  <c r="E751" i="124" s="1"/>
  <c r="P750" i="124"/>
  <c r="N750" i="124"/>
  <c r="M750" i="124"/>
  <c r="L750" i="124"/>
  <c r="H750" i="124"/>
  <c r="E750" i="124" s="1"/>
  <c r="P749" i="124"/>
  <c r="N749" i="124"/>
  <c r="M749" i="124"/>
  <c r="L749" i="124"/>
  <c r="H749" i="124"/>
  <c r="E749" i="124" s="1"/>
  <c r="P748" i="124"/>
  <c r="N748" i="124"/>
  <c r="M748" i="124"/>
  <c r="L748" i="124"/>
  <c r="H748" i="124"/>
  <c r="E748" i="124" s="1"/>
  <c r="P747" i="124"/>
  <c r="N747" i="124"/>
  <c r="M747" i="124"/>
  <c r="L747" i="124"/>
  <c r="H747" i="124"/>
  <c r="E747" i="124" s="1"/>
  <c r="P746" i="124"/>
  <c r="N746" i="124"/>
  <c r="M746" i="124"/>
  <c r="L746" i="124"/>
  <c r="H746" i="124"/>
  <c r="E746" i="124" s="1"/>
  <c r="P745" i="124"/>
  <c r="N745" i="124"/>
  <c r="M745" i="124"/>
  <c r="L745" i="124"/>
  <c r="H745" i="124"/>
  <c r="E745" i="124" s="1"/>
  <c r="P744" i="124"/>
  <c r="N744" i="124"/>
  <c r="M744" i="124"/>
  <c r="L744" i="124"/>
  <c r="H744" i="124"/>
  <c r="E744" i="124" s="1"/>
  <c r="P743" i="124"/>
  <c r="N743" i="124"/>
  <c r="M743" i="124"/>
  <c r="L743" i="124"/>
  <c r="H743" i="124"/>
  <c r="E743" i="124" s="1"/>
  <c r="P742" i="124"/>
  <c r="N742" i="124"/>
  <c r="M742" i="124"/>
  <c r="L742" i="124"/>
  <c r="H742" i="124"/>
  <c r="E742" i="124" s="1"/>
  <c r="P741" i="124"/>
  <c r="N741" i="124"/>
  <c r="M741" i="124"/>
  <c r="L741" i="124"/>
  <c r="H741" i="124"/>
  <c r="E741" i="124" s="1"/>
  <c r="P740" i="124"/>
  <c r="N740" i="124"/>
  <c r="M740" i="124"/>
  <c r="L740" i="124"/>
  <c r="H740" i="124"/>
  <c r="E740" i="124" s="1"/>
  <c r="P739" i="124"/>
  <c r="N739" i="124"/>
  <c r="M739" i="124"/>
  <c r="L739" i="124"/>
  <c r="H739" i="124"/>
  <c r="E739" i="124" s="1"/>
  <c r="P738" i="124"/>
  <c r="N738" i="124"/>
  <c r="M738" i="124"/>
  <c r="L738" i="124"/>
  <c r="H738" i="124"/>
  <c r="E738" i="124" s="1"/>
  <c r="P737" i="124"/>
  <c r="N737" i="124"/>
  <c r="M737" i="124"/>
  <c r="L737" i="124"/>
  <c r="H737" i="124"/>
  <c r="E737" i="124" s="1"/>
  <c r="P736" i="124"/>
  <c r="N736" i="124"/>
  <c r="M736" i="124"/>
  <c r="L736" i="124"/>
  <c r="H736" i="124"/>
  <c r="E736" i="124" s="1"/>
  <c r="P735" i="124"/>
  <c r="N735" i="124"/>
  <c r="M735" i="124"/>
  <c r="L735" i="124"/>
  <c r="H735" i="124"/>
  <c r="E735" i="124" s="1"/>
  <c r="P734" i="124"/>
  <c r="N734" i="124"/>
  <c r="M734" i="124"/>
  <c r="L734" i="124"/>
  <c r="H734" i="124"/>
  <c r="E734" i="124" s="1"/>
  <c r="P733" i="124"/>
  <c r="N733" i="124"/>
  <c r="M733" i="124"/>
  <c r="L733" i="124"/>
  <c r="H733" i="124"/>
  <c r="E733" i="124" s="1"/>
  <c r="P732" i="124"/>
  <c r="N732" i="124"/>
  <c r="M732" i="124"/>
  <c r="L732" i="124"/>
  <c r="H732" i="124"/>
  <c r="E732" i="124" s="1"/>
  <c r="P731" i="124"/>
  <c r="N731" i="124"/>
  <c r="M731" i="124"/>
  <c r="L731" i="124"/>
  <c r="H731" i="124"/>
  <c r="E731" i="124" s="1"/>
  <c r="P730" i="124"/>
  <c r="N730" i="124"/>
  <c r="M730" i="124"/>
  <c r="L730" i="124"/>
  <c r="H730" i="124"/>
  <c r="E730" i="124" s="1"/>
  <c r="P729" i="124"/>
  <c r="N729" i="124"/>
  <c r="M729" i="124"/>
  <c r="L729" i="124"/>
  <c r="H729" i="124"/>
  <c r="E729" i="124" s="1"/>
  <c r="P728" i="124"/>
  <c r="N728" i="124"/>
  <c r="M728" i="124"/>
  <c r="L728" i="124"/>
  <c r="H728" i="124"/>
  <c r="E728" i="124" s="1"/>
  <c r="P727" i="124"/>
  <c r="N727" i="124"/>
  <c r="M727" i="124"/>
  <c r="L727" i="124"/>
  <c r="H727" i="124"/>
  <c r="E727" i="124" s="1"/>
  <c r="P726" i="124"/>
  <c r="N726" i="124"/>
  <c r="M726" i="124"/>
  <c r="L726" i="124"/>
  <c r="H726" i="124"/>
  <c r="E726" i="124" s="1"/>
  <c r="P725" i="124"/>
  <c r="N725" i="124"/>
  <c r="M725" i="124"/>
  <c r="L725" i="124"/>
  <c r="H725" i="124"/>
  <c r="E725" i="124" s="1"/>
  <c r="P724" i="124"/>
  <c r="N724" i="124"/>
  <c r="M724" i="124"/>
  <c r="L724" i="124"/>
  <c r="H724" i="124"/>
  <c r="E724" i="124" s="1"/>
  <c r="P723" i="124"/>
  <c r="N723" i="124"/>
  <c r="M723" i="124"/>
  <c r="L723" i="124"/>
  <c r="H723" i="124"/>
  <c r="E723" i="124" s="1"/>
  <c r="P722" i="124"/>
  <c r="N722" i="124"/>
  <c r="M722" i="124"/>
  <c r="L722" i="124"/>
  <c r="H722" i="124"/>
  <c r="E722" i="124" s="1"/>
  <c r="P721" i="124"/>
  <c r="N721" i="124"/>
  <c r="M721" i="124"/>
  <c r="L721" i="124"/>
  <c r="H721" i="124"/>
  <c r="E721" i="124" s="1"/>
  <c r="P720" i="124"/>
  <c r="N720" i="124"/>
  <c r="M720" i="124"/>
  <c r="L720" i="124"/>
  <c r="H720" i="124"/>
  <c r="E720" i="124" s="1"/>
  <c r="P719" i="124"/>
  <c r="N719" i="124"/>
  <c r="M719" i="124"/>
  <c r="L719" i="124"/>
  <c r="H719" i="124"/>
  <c r="E719" i="124" s="1"/>
  <c r="P718" i="124"/>
  <c r="N718" i="124"/>
  <c r="M718" i="124"/>
  <c r="L718" i="124"/>
  <c r="H718" i="124"/>
  <c r="E718" i="124" s="1"/>
  <c r="P717" i="124"/>
  <c r="N717" i="124"/>
  <c r="M717" i="124"/>
  <c r="L717" i="124"/>
  <c r="H717" i="124"/>
  <c r="E717" i="124" s="1"/>
  <c r="P716" i="124"/>
  <c r="N716" i="124"/>
  <c r="M716" i="124"/>
  <c r="L716" i="124"/>
  <c r="H716" i="124"/>
  <c r="E716" i="124" s="1"/>
  <c r="P715" i="124"/>
  <c r="N715" i="124"/>
  <c r="M715" i="124"/>
  <c r="L715" i="124"/>
  <c r="H715" i="124"/>
  <c r="E715" i="124" s="1"/>
  <c r="P714" i="124"/>
  <c r="N714" i="124"/>
  <c r="M714" i="124"/>
  <c r="L714" i="124"/>
  <c r="H714" i="124"/>
  <c r="E714" i="124" s="1"/>
  <c r="P713" i="124"/>
  <c r="N713" i="124"/>
  <c r="M713" i="124"/>
  <c r="L713" i="124"/>
  <c r="H713" i="124"/>
  <c r="E713" i="124" s="1"/>
  <c r="P712" i="124"/>
  <c r="N712" i="124"/>
  <c r="M712" i="124"/>
  <c r="L712" i="124"/>
  <c r="H712" i="124"/>
  <c r="E712" i="124" s="1"/>
  <c r="P711" i="124"/>
  <c r="N711" i="124"/>
  <c r="M711" i="124"/>
  <c r="L711" i="124"/>
  <c r="H711" i="124"/>
  <c r="E711" i="124" s="1"/>
  <c r="P710" i="124"/>
  <c r="N710" i="124"/>
  <c r="M710" i="124"/>
  <c r="L710" i="124"/>
  <c r="H710" i="124"/>
  <c r="E710" i="124" s="1"/>
  <c r="P709" i="124"/>
  <c r="N709" i="124"/>
  <c r="M709" i="124"/>
  <c r="L709" i="124"/>
  <c r="H709" i="124"/>
  <c r="E709" i="124" s="1"/>
  <c r="P708" i="124"/>
  <c r="N708" i="124"/>
  <c r="M708" i="124"/>
  <c r="L708" i="124"/>
  <c r="H708" i="124"/>
  <c r="E708" i="124" s="1"/>
  <c r="P707" i="124"/>
  <c r="N707" i="124"/>
  <c r="M707" i="124"/>
  <c r="L707" i="124"/>
  <c r="H707" i="124"/>
  <c r="E707" i="124" s="1"/>
  <c r="P706" i="124"/>
  <c r="N706" i="124"/>
  <c r="M706" i="124"/>
  <c r="L706" i="124"/>
  <c r="H706" i="124"/>
  <c r="E706" i="124" s="1"/>
  <c r="P705" i="124"/>
  <c r="N705" i="124"/>
  <c r="M705" i="124"/>
  <c r="L705" i="124"/>
  <c r="H705" i="124"/>
  <c r="E705" i="124" s="1"/>
  <c r="P704" i="124"/>
  <c r="N704" i="124"/>
  <c r="M704" i="124"/>
  <c r="L704" i="124"/>
  <c r="H704" i="124"/>
  <c r="E704" i="124" s="1"/>
  <c r="P703" i="124"/>
  <c r="N703" i="124"/>
  <c r="M703" i="124"/>
  <c r="L703" i="124"/>
  <c r="H703" i="124"/>
  <c r="E703" i="124" s="1"/>
  <c r="P702" i="124"/>
  <c r="N702" i="124"/>
  <c r="M702" i="124"/>
  <c r="L702" i="124"/>
  <c r="H702" i="124"/>
  <c r="E702" i="124" s="1"/>
  <c r="P701" i="124"/>
  <c r="N701" i="124"/>
  <c r="M701" i="124"/>
  <c r="L701" i="124"/>
  <c r="H701" i="124"/>
  <c r="E701" i="124" s="1"/>
  <c r="P700" i="124"/>
  <c r="N700" i="124"/>
  <c r="M700" i="124"/>
  <c r="L700" i="124"/>
  <c r="H700" i="124"/>
  <c r="E700" i="124" s="1"/>
  <c r="P699" i="124"/>
  <c r="N699" i="124"/>
  <c r="M699" i="124"/>
  <c r="L699" i="124"/>
  <c r="H699" i="124"/>
  <c r="E699" i="124" s="1"/>
  <c r="P698" i="124"/>
  <c r="N698" i="124"/>
  <c r="M698" i="124"/>
  <c r="L698" i="124"/>
  <c r="H698" i="124"/>
  <c r="E698" i="124" s="1"/>
  <c r="P697" i="124"/>
  <c r="N697" i="124"/>
  <c r="M697" i="124"/>
  <c r="L697" i="124"/>
  <c r="H697" i="124"/>
  <c r="E697" i="124" s="1"/>
  <c r="P696" i="124"/>
  <c r="N696" i="124"/>
  <c r="M696" i="124"/>
  <c r="L696" i="124"/>
  <c r="H696" i="124"/>
  <c r="E696" i="124" s="1"/>
  <c r="P695" i="124"/>
  <c r="N695" i="124"/>
  <c r="M695" i="124"/>
  <c r="L695" i="124"/>
  <c r="H695" i="124"/>
  <c r="E695" i="124" s="1"/>
  <c r="P694" i="124"/>
  <c r="N694" i="124"/>
  <c r="M694" i="124"/>
  <c r="L694" i="124"/>
  <c r="H694" i="124"/>
  <c r="E694" i="124" s="1"/>
  <c r="P693" i="124"/>
  <c r="N693" i="124"/>
  <c r="M693" i="124"/>
  <c r="L693" i="124"/>
  <c r="H693" i="124"/>
  <c r="E693" i="124" s="1"/>
  <c r="P692" i="124"/>
  <c r="N692" i="124"/>
  <c r="M692" i="124"/>
  <c r="L692" i="124"/>
  <c r="H692" i="124"/>
  <c r="E692" i="124" s="1"/>
  <c r="P691" i="124"/>
  <c r="N691" i="124"/>
  <c r="M691" i="124"/>
  <c r="L691" i="124"/>
  <c r="H691" i="124"/>
  <c r="E691" i="124" s="1"/>
  <c r="P690" i="124"/>
  <c r="N690" i="124"/>
  <c r="M690" i="124"/>
  <c r="L690" i="124"/>
  <c r="H690" i="124"/>
  <c r="E690" i="124" s="1"/>
  <c r="P689" i="124"/>
  <c r="N689" i="124"/>
  <c r="M689" i="124"/>
  <c r="L689" i="124"/>
  <c r="H689" i="124"/>
  <c r="E689" i="124" s="1"/>
  <c r="P688" i="124"/>
  <c r="N688" i="124"/>
  <c r="M688" i="124"/>
  <c r="L688" i="124"/>
  <c r="H688" i="124"/>
  <c r="E688" i="124" s="1"/>
  <c r="P687" i="124"/>
  <c r="N687" i="124"/>
  <c r="M687" i="124"/>
  <c r="L687" i="124"/>
  <c r="H687" i="124"/>
  <c r="E687" i="124" s="1"/>
  <c r="P686" i="124"/>
  <c r="N686" i="124"/>
  <c r="M686" i="124"/>
  <c r="L686" i="124"/>
  <c r="H686" i="124"/>
  <c r="E686" i="124" s="1"/>
  <c r="P685" i="124"/>
  <c r="N685" i="124"/>
  <c r="M685" i="124"/>
  <c r="L685" i="124"/>
  <c r="H685" i="124"/>
  <c r="E685" i="124" s="1"/>
  <c r="P684" i="124"/>
  <c r="N684" i="124"/>
  <c r="M684" i="124"/>
  <c r="L684" i="124"/>
  <c r="H684" i="124"/>
  <c r="E684" i="124" s="1"/>
  <c r="P683" i="124"/>
  <c r="N683" i="124"/>
  <c r="M683" i="124"/>
  <c r="L683" i="124"/>
  <c r="H683" i="124"/>
  <c r="E683" i="124" s="1"/>
  <c r="P682" i="124"/>
  <c r="N682" i="124"/>
  <c r="M682" i="124"/>
  <c r="L682" i="124"/>
  <c r="H682" i="124"/>
  <c r="E682" i="124" s="1"/>
  <c r="P681" i="124"/>
  <c r="N681" i="124"/>
  <c r="M681" i="124"/>
  <c r="L681" i="124"/>
  <c r="H681" i="124"/>
  <c r="E681" i="124" s="1"/>
  <c r="P680" i="124"/>
  <c r="N680" i="124"/>
  <c r="M680" i="124"/>
  <c r="L680" i="124"/>
  <c r="H680" i="124"/>
  <c r="E680" i="124" s="1"/>
  <c r="P679" i="124"/>
  <c r="N679" i="124"/>
  <c r="M679" i="124"/>
  <c r="L679" i="124"/>
  <c r="H679" i="124"/>
  <c r="E679" i="124" s="1"/>
  <c r="P678" i="124"/>
  <c r="N678" i="124"/>
  <c r="M678" i="124"/>
  <c r="L678" i="124"/>
  <c r="H678" i="124"/>
  <c r="E678" i="124" s="1"/>
  <c r="P677" i="124"/>
  <c r="N677" i="124"/>
  <c r="M677" i="124"/>
  <c r="L677" i="124"/>
  <c r="H677" i="124"/>
  <c r="E677" i="124" s="1"/>
  <c r="P676" i="124"/>
  <c r="N676" i="124"/>
  <c r="M676" i="124"/>
  <c r="L676" i="124"/>
  <c r="H676" i="124"/>
  <c r="E676" i="124" s="1"/>
  <c r="P675" i="124"/>
  <c r="N675" i="124"/>
  <c r="M675" i="124"/>
  <c r="L675" i="124"/>
  <c r="H675" i="124"/>
  <c r="E675" i="124" s="1"/>
  <c r="P674" i="124"/>
  <c r="N674" i="124"/>
  <c r="M674" i="124"/>
  <c r="L674" i="124"/>
  <c r="H674" i="124"/>
  <c r="E674" i="124" s="1"/>
  <c r="P673" i="124"/>
  <c r="N673" i="124"/>
  <c r="M673" i="124"/>
  <c r="L673" i="124"/>
  <c r="H673" i="124"/>
  <c r="E673" i="124" s="1"/>
  <c r="P672" i="124"/>
  <c r="N672" i="124"/>
  <c r="M672" i="124"/>
  <c r="L672" i="124"/>
  <c r="H672" i="124"/>
  <c r="E672" i="124" s="1"/>
  <c r="P671" i="124"/>
  <c r="N671" i="124"/>
  <c r="M671" i="124"/>
  <c r="L671" i="124"/>
  <c r="H671" i="124"/>
  <c r="E671" i="124" s="1"/>
  <c r="P670" i="124"/>
  <c r="N670" i="124"/>
  <c r="M670" i="124"/>
  <c r="L670" i="124"/>
  <c r="H670" i="124"/>
  <c r="E670" i="124" s="1"/>
  <c r="P669" i="124"/>
  <c r="N669" i="124"/>
  <c r="M669" i="124"/>
  <c r="L669" i="124"/>
  <c r="H669" i="124"/>
  <c r="E669" i="124" s="1"/>
  <c r="P668" i="124"/>
  <c r="N668" i="124"/>
  <c r="M668" i="124"/>
  <c r="L668" i="124"/>
  <c r="H668" i="124"/>
  <c r="E668" i="124" s="1"/>
  <c r="P667" i="124"/>
  <c r="N667" i="124"/>
  <c r="M667" i="124"/>
  <c r="L667" i="124"/>
  <c r="H667" i="124"/>
  <c r="E667" i="124" s="1"/>
  <c r="P666" i="124"/>
  <c r="N666" i="124"/>
  <c r="M666" i="124"/>
  <c r="L666" i="124"/>
  <c r="H666" i="124"/>
  <c r="E666" i="124" s="1"/>
  <c r="P665" i="124"/>
  <c r="N665" i="124"/>
  <c r="M665" i="124"/>
  <c r="L665" i="124"/>
  <c r="H665" i="124"/>
  <c r="E665" i="124" s="1"/>
  <c r="P664" i="124"/>
  <c r="N664" i="124"/>
  <c r="M664" i="124"/>
  <c r="L664" i="124"/>
  <c r="H664" i="124"/>
  <c r="E664" i="124" s="1"/>
  <c r="P663" i="124"/>
  <c r="N663" i="124"/>
  <c r="M663" i="124"/>
  <c r="L663" i="124"/>
  <c r="H663" i="124"/>
  <c r="E663" i="124" s="1"/>
  <c r="P662" i="124"/>
  <c r="N662" i="124"/>
  <c r="M662" i="124"/>
  <c r="L662" i="124"/>
  <c r="H662" i="124"/>
  <c r="E662" i="124" s="1"/>
  <c r="P661" i="124"/>
  <c r="N661" i="124"/>
  <c r="M661" i="124"/>
  <c r="L661" i="124"/>
  <c r="H661" i="124"/>
  <c r="E661" i="124" s="1"/>
  <c r="P660" i="124"/>
  <c r="N660" i="124"/>
  <c r="M660" i="124"/>
  <c r="L660" i="124"/>
  <c r="H660" i="124"/>
  <c r="E660" i="124" s="1"/>
  <c r="P659" i="124"/>
  <c r="N659" i="124"/>
  <c r="M659" i="124"/>
  <c r="L659" i="124"/>
  <c r="H659" i="124"/>
  <c r="E659" i="124" s="1"/>
  <c r="P658" i="124"/>
  <c r="N658" i="124"/>
  <c r="M658" i="124"/>
  <c r="L658" i="124"/>
  <c r="H658" i="124"/>
  <c r="E658" i="124" s="1"/>
  <c r="P657" i="124"/>
  <c r="N657" i="124"/>
  <c r="M657" i="124"/>
  <c r="L657" i="124"/>
  <c r="H657" i="124"/>
  <c r="E657" i="124" s="1"/>
  <c r="P656" i="124"/>
  <c r="N656" i="124"/>
  <c r="M656" i="124"/>
  <c r="L656" i="124"/>
  <c r="H656" i="124"/>
  <c r="E656" i="124" s="1"/>
  <c r="P655" i="124"/>
  <c r="N655" i="124"/>
  <c r="M655" i="124"/>
  <c r="L655" i="124"/>
  <c r="H655" i="124"/>
  <c r="E655" i="124" s="1"/>
  <c r="P654" i="124"/>
  <c r="N654" i="124"/>
  <c r="M654" i="124"/>
  <c r="L654" i="124"/>
  <c r="H654" i="124"/>
  <c r="E654" i="124" s="1"/>
  <c r="P653" i="124"/>
  <c r="N653" i="124"/>
  <c r="M653" i="124"/>
  <c r="L653" i="124"/>
  <c r="H653" i="124"/>
  <c r="E653" i="124" s="1"/>
  <c r="P652" i="124"/>
  <c r="N652" i="124"/>
  <c r="M652" i="124"/>
  <c r="L652" i="124"/>
  <c r="H652" i="124"/>
  <c r="E652" i="124" s="1"/>
  <c r="P651" i="124"/>
  <c r="N651" i="124"/>
  <c r="M651" i="124"/>
  <c r="L651" i="124"/>
  <c r="H651" i="124"/>
  <c r="E651" i="124" s="1"/>
  <c r="P650" i="124"/>
  <c r="N650" i="124"/>
  <c r="M650" i="124"/>
  <c r="L650" i="124"/>
  <c r="H650" i="124"/>
  <c r="E650" i="124" s="1"/>
  <c r="P649" i="124"/>
  <c r="N649" i="124"/>
  <c r="M649" i="124"/>
  <c r="L649" i="124"/>
  <c r="H649" i="124"/>
  <c r="E649" i="124" s="1"/>
  <c r="P645" i="124"/>
  <c r="N645" i="124"/>
  <c r="M645" i="124"/>
  <c r="L645" i="124"/>
  <c r="H645" i="124"/>
  <c r="E645" i="124"/>
  <c r="C645" i="124"/>
  <c r="P644" i="124"/>
  <c r="N644" i="124"/>
  <c r="M644" i="124"/>
  <c r="L644" i="124"/>
  <c r="H644" i="124"/>
  <c r="E644" i="124"/>
  <c r="P643" i="124"/>
  <c r="N643" i="124"/>
  <c r="M643" i="124"/>
  <c r="L643" i="124"/>
  <c r="H643" i="124"/>
  <c r="E643" i="124" s="1"/>
  <c r="P642" i="124"/>
  <c r="N642" i="124"/>
  <c r="M642" i="124"/>
  <c r="L642" i="124"/>
  <c r="H642" i="124"/>
  <c r="E642" i="124" s="1"/>
  <c r="C642" i="124"/>
  <c r="P641" i="124"/>
  <c r="N641" i="124"/>
  <c r="M641" i="124"/>
  <c r="L641" i="124"/>
  <c r="H641" i="124"/>
  <c r="E641" i="124" s="1"/>
  <c r="P640" i="124"/>
  <c r="N640" i="124"/>
  <c r="M640" i="124"/>
  <c r="L640" i="124"/>
  <c r="H640" i="124"/>
  <c r="E640" i="124" s="1"/>
  <c r="P639" i="124"/>
  <c r="N639" i="124"/>
  <c r="M639" i="124"/>
  <c r="L639" i="124"/>
  <c r="H639" i="124"/>
  <c r="E639" i="124" s="1"/>
  <c r="P638" i="124"/>
  <c r="N638" i="124"/>
  <c r="M638" i="124"/>
  <c r="L638" i="124"/>
  <c r="H638" i="124"/>
  <c r="E638" i="124" s="1"/>
  <c r="P637" i="124"/>
  <c r="N637" i="124"/>
  <c r="M637" i="124"/>
  <c r="L637" i="124"/>
  <c r="H637" i="124"/>
  <c r="E637" i="124" s="1"/>
  <c r="P636" i="124"/>
  <c r="N636" i="124"/>
  <c r="M636" i="124"/>
  <c r="L636" i="124"/>
  <c r="H636" i="124"/>
  <c r="E636" i="124" s="1"/>
  <c r="P635" i="124"/>
  <c r="N635" i="124"/>
  <c r="M635" i="124"/>
  <c r="L635" i="124"/>
  <c r="H635" i="124"/>
  <c r="E635" i="124" s="1"/>
  <c r="P634" i="124"/>
  <c r="N634" i="124"/>
  <c r="M634" i="124"/>
  <c r="L634" i="124"/>
  <c r="H634" i="124"/>
  <c r="E634" i="124" s="1"/>
  <c r="P633" i="124"/>
  <c r="N633" i="124"/>
  <c r="M633" i="124"/>
  <c r="L633" i="124"/>
  <c r="H633" i="124"/>
  <c r="E633" i="124" s="1"/>
  <c r="P632" i="124"/>
  <c r="N632" i="124"/>
  <c r="M632" i="124"/>
  <c r="L632" i="124"/>
  <c r="H632" i="124"/>
  <c r="E632" i="124" s="1"/>
  <c r="P631" i="124"/>
  <c r="N631" i="124"/>
  <c r="M631" i="124"/>
  <c r="L631" i="124"/>
  <c r="H631" i="124"/>
  <c r="E631" i="124" s="1"/>
  <c r="P630" i="124"/>
  <c r="N630" i="124"/>
  <c r="M630" i="124"/>
  <c r="L630" i="124"/>
  <c r="H630" i="124"/>
  <c r="E630" i="124" s="1"/>
  <c r="P629" i="124"/>
  <c r="N629" i="124"/>
  <c r="M629" i="124"/>
  <c r="L629" i="124"/>
  <c r="H629" i="124"/>
  <c r="E629" i="124" s="1"/>
  <c r="P628" i="124"/>
  <c r="N628" i="124"/>
  <c r="M628" i="124"/>
  <c r="L628" i="124"/>
  <c r="H628" i="124"/>
  <c r="E628" i="124" s="1"/>
  <c r="P627" i="124"/>
  <c r="N627" i="124"/>
  <c r="M627" i="124"/>
  <c r="L627" i="124"/>
  <c r="H627" i="124"/>
  <c r="E627" i="124" s="1"/>
  <c r="P626" i="124"/>
  <c r="N626" i="124"/>
  <c r="M626" i="124"/>
  <c r="L626" i="124"/>
  <c r="H626" i="124"/>
  <c r="E626" i="124" s="1"/>
  <c r="P625" i="124"/>
  <c r="N625" i="124"/>
  <c r="M625" i="124"/>
  <c r="L625" i="124"/>
  <c r="H625" i="124"/>
  <c r="E625" i="124" s="1"/>
  <c r="P624" i="124"/>
  <c r="N624" i="124"/>
  <c r="M624" i="124"/>
  <c r="L624" i="124"/>
  <c r="H624" i="124"/>
  <c r="E624" i="124" s="1"/>
  <c r="P623" i="124"/>
  <c r="N623" i="124"/>
  <c r="M623" i="124"/>
  <c r="L623" i="124"/>
  <c r="H623" i="124"/>
  <c r="E623" i="124" s="1"/>
  <c r="P622" i="124"/>
  <c r="N622" i="124"/>
  <c r="M622" i="124"/>
  <c r="L622" i="124"/>
  <c r="H622" i="124"/>
  <c r="E622" i="124" s="1"/>
  <c r="P621" i="124"/>
  <c r="N621" i="124"/>
  <c r="M621" i="124"/>
  <c r="L621" i="124"/>
  <c r="H621" i="124"/>
  <c r="E621" i="124" s="1"/>
  <c r="P620" i="124"/>
  <c r="N620" i="124"/>
  <c r="M620" i="124"/>
  <c r="L620" i="124"/>
  <c r="H620" i="124"/>
  <c r="E620" i="124" s="1"/>
  <c r="P619" i="124"/>
  <c r="N619" i="124"/>
  <c r="M619" i="124"/>
  <c r="L619" i="124"/>
  <c r="H619" i="124"/>
  <c r="E619" i="124" s="1"/>
  <c r="P618" i="124"/>
  <c r="N618" i="124"/>
  <c r="M618" i="124"/>
  <c r="L618" i="124"/>
  <c r="H618" i="124"/>
  <c r="E618" i="124" s="1"/>
  <c r="P617" i="124"/>
  <c r="N617" i="124"/>
  <c r="M617" i="124"/>
  <c r="L617" i="124"/>
  <c r="H617" i="124"/>
  <c r="E617" i="124" s="1"/>
  <c r="P616" i="124"/>
  <c r="N616" i="124"/>
  <c r="M616" i="124"/>
  <c r="L616" i="124"/>
  <c r="H616" i="124"/>
  <c r="E616" i="124" s="1"/>
  <c r="P615" i="124"/>
  <c r="N615" i="124"/>
  <c r="M615" i="124"/>
  <c r="L615" i="124"/>
  <c r="H615" i="124"/>
  <c r="E615" i="124" s="1"/>
  <c r="P614" i="124"/>
  <c r="N614" i="124"/>
  <c r="M614" i="124"/>
  <c r="L614" i="124"/>
  <c r="H614" i="124"/>
  <c r="E614" i="124" s="1"/>
  <c r="P613" i="124"/>
  <c r="N613" i="124"/>
  <c r="M613" i="124"/>
  <c r="L613" i="124"/>
  <c r="H613" i="124"/>
  <c r="E613" i="124" s="1"/>
  <c r="P612" i="124"/>
  <c r="N612" i="124"/>
  <c r="M612" i="124"/>
  <c r="L612" i="124"/>
  <c r="H612" i="124"/>
  <c r="E612" i="124" s="1"/>
  <c r="P611" i="124"/>
  <c r="N611" i="124"/>
  <c r="M611" i="124"/>
  <c r="L611" i="124"/>
  <c r="H611" i="124"/>
  <c r="E611" i="124" s="1"/>
  <c r="P610" i="124"/>
  <c r="N610" i="124"/>
  <c r="M610" i="124"/>
  <c r="L610" i="124"/>
  <c r="H610" i="124"/>
  <c r="E610" i="124" s="1"/>
  <c r="P609" i="124"/>
  <c r="N609" i="124"/>
  <c r="M609" i="124"/>
  <c r="L609" i="124"/>
  <c r="H609" i="124"/>
  <c r="E609" i="124" s="1"/>
  <c r="P608" i="124"/>
  <c r="N608" i="124"/>
  <c r="M608" i="124"/>
  <c r="L608" i="124"/>
  <c r="H608" i="124"/>
  <c r="E608" i="124" s="1"/>
  <c r="P607" i="124"/>
  <c r="N607" i="124"/>
  <c r="M607" i="124"/>
  <c r="L607" i="124"/>
  <c r="H607" i="124"/>
  <c r="E607" i="124" s="1"/>
  <c r="P606" i="124"/>
  <c r="N606" i="124"/>
  <c r="M606" i="124"/>
  <c r="L606" i="124"/>
  <c r="H606" i="124"/>
  <c r="E606" i="124" s="1"/>
  <c r="P605" i="124"/>
  <c r="N605" i="124"/>
  <c r="M605" i="124"/>
  <c r="L605" i="124"/>
  <c r="H605" i="124"/>
  <c r="E605" i="124" s="1"/>
  <c r="P604" i="124"/>
  <c r="N604" i="124"/>
  <c r="M604" i="124"/>
  <c r="L604" i="124"/>
  <c r="H604" i="124"/>
  <c r="E604" i="124" s="1"/>
  <c r="P603" i="124"/>
  <c r="N603" i="124"/>
  <c r="M603" i="124"/>
  <c r="L603" i="124"/>
  <c r="H603" i="124"/>
  <c r="E603" i="124" s="1"/>
  <c r="P602" i="124"/>
  <c r="N602" i="124"/>
  <c r="M602" i="124"/>
  <c r="L602" i="124"/>
  <c r="H602" i="124"/>
  <c r="E602" i="124" s="1"/>
  <c r="P601" i="124"/>
  <c r="N601" i="124"/>
  <c r="M601" i="124"/>
  <c r="L601" i="124"/>
  <c r="H601" i="124"/>
  <c r="E601" i="124" s="1"/>
  <c r="P600" i="124"/>
  <c r="N600" i="124"/>
  <c r="M600" i="124"/>
  <c r="L600" i="124"/>
  <c r="H600" i="124"/>
  <c r="E600" i="124" s="1"/>
  <c r="P599" i="124"/>
  <c r="N599" i="124"/>
  <c r="M599" i="124"/>
  <c r="L599" i="124"/>
  <c r="H599" i="124"/>
  <c r="E599" i="124" s="1"/>
  <c r="P598" i="124"/>
  <c r="N598" i="124"/>
  <c r="M598" i="124"/>
  <c r="L598" i="124"/>
  <c r="H598" i="124"/>
  <c r="E598" i="124" s="1"/>
  <c r="P597" i="124"/>
  <c r="N597" i="124"/>
  <c r="M597" i="124"/>
  <c r="L597" i="124"/>
  <c r="H597" i="124"/>
  <c r="E597" i="124" s="1"/>
  <c r="P596" i="124"/>
  <c r="N596" i="124"/>
  <c r="M596" i="124"/>
  <c r="L596" i="124"/>
  <c r="H596" i="124"/>
  <c r="E596" i="124" s="1"/>
  <c r="P595" i="124"/>
  <c r="N595" i="124"/>
  <c r="M595" i="124"/>
  <c r="L595" i="124"/>
  <c r="H595" i="124"/>
  <c r="E595" i="124" s="1"/>
  <c r="P594" i="124"/>
  <c r="N594" i="124"/>
  <c r="M594" i="124"/>
  <c r="L594" i="124"/>
  <c r="H594" i="124"/>
  <c r="E594" i="124" s="1"/>
  <c r="P593" i="124"/>
  <c r="N593" i="124"/>
  <c r="M593" i="124"/>
  <c r="L593" i="124"/>
  <c r="H593" i="124"/>
  <c r="E593" i="124" s="1"/>
  <c r="P592" i="124"/>
  <c r="N592" i="124"/>
  <c r="M592" i="124"/>
  <c r="L592" i="124"/>
  <c r="H592" i="124"/>
  <c r="E592" i="124" s="1"/>
  <c r="P591" i="124"/>
  <c r="N591" i="124"/>
  <c r="M591" i="124"/>
  <c r="L591" i="124"/>
  <c r="H591" i="124"/>
  <c r="E591" i="124" s="1"/>
  <c r="P590" i="124"/>
  <c r="N590" i="124"/>
  <c r="M590" i="124"/>
  <c r="L590" i="124"/>
  <c r="H590" i="124"/>
  <c r="E590" i="124" s="1"/>
  <c r="P589" i="124"/>
  <c r="N589" i="124"/>
  <c r="M589" i="124"/>
  <c r="L589" i="124"/>
  <c r="H589" i="124"/>
  <c r="E589" i="124" s="1"/>
  <c r="P588" i="124"/>
  <c r="N588" i="124"/>
  <c r="M588" i="124"/>
  <c r="L588" i="124"/>
  <c r="H588" i="124"/>
  <c r="E588" i="124" s="1"/>
  <c r="P587" i="124"/>
  <c r="N587" i="124"/>
  <c r="M587" i="124"/>
  <c r="L587" i="124"/>
  <c r="H587" i="124"/>
  <c r="E587" i="124" s="1"/>
  <c r="P586" i="124"/>
  <c r="N586" i="124"/>
  <c r="M586" i="124"/>
  <c r="L586" i="124"/>
  <c r="H586" i="124"/>
  <c r="E586" i="124" s="1"/>
  <c r="P585" i="124"/>
  <c r="N585" i="124"/>
  <c r="M585" i="124"/>
  <c r="L585" i="124"/>
  <c r="H585" i="124"/>
  <c r="E585" i="124" s="1"/>
  <c r="P584" i="124"/>
  <c r="N584" i="124"/>
  <c r="M584" i="124"/>
  <c r="L584" i="124"/>
  <c r="H584" i="124"/>
  <c r="E584" i="124" s="1"/>
  <c r="P583" i="124"/>
  <c r="N583" i="124"/>
  <c r="M583" i="124"/>
  <c r="L583" i="124"/>
  <c r="H583" i="124"/>
  <c r="E583" i="124" s="1"/>
  <c r="P582" i="124"/>
  <c r="N582" i="124"/>
  <c r="M582" i="124"/>
  <c r="L582" i="124"/>
  <c r="H582" i="124"/>
  <c r="E582" i="124" s="1"/>
  <c r="P581" i="124"/>
  <c r="N581" i="124"/>
  <c r="M581" i="124"/>
  <c r="L581" i="124"/>
  <c r="H581" i="124"/>
  <c r="E581" i="124" s="1"/>
  <c r="P580" i="124"/>
  <c r="N580" i="124"/>
  <c r="M580" i="124"/>
  <c r="L580" i="124"/>
  <c r="H580" i="124"/>
  <c r="E580" i="124" s="1"/>
  <c r="P579" i="124"/>
  <c r="N579" i="124"/>
  <c r="M579" i="124"/>
  <c r="L579" i="124"/>
  <c r="H579" i="124"/>
  <c r="E579" i="124" s="1"/>
  <c r="P578" i="124"/>
  <c r="N578" i="124"/>
  <c r="M578" i="124"/>
  <c r="L578" i="124"/>
  <c r="H578" i="124"/>
  <c r="E578" i="124" s="1"/>
  <c r="P577" i="124"/>
  <c r="N577" i="124"/>
  <c r="M577" i="124"/>
  <c r="L577" i="124"/>
  <c r="H577" i="124"/>
  <c r="E577" i="124" s="1"/>
  <c r="P576" i="124"/>
  <c r="N576" i="124"/>
  <c r="M576" i="124"/>
  <c r="L576" i="124"/>
  <c r="H576" i="124"/>
  <c r="E576" i="124" s="1"/>
  <c r="P575" i="124"/>
  <c r="N575" i="124"/>
  <c r="M575" i="124"/>
  <c r="L575" i="124"/>
  <c r="H575" i="124"/>
  <c r="E575" i="124" s="1"/>
  <c r="P574" i="124"/>
  <c r="N574" i="124"/>
  <c r="M574" i="124"/>
  <c r="L574" i="124"/>
  <c r="H574" i="124"/>
  <c r="E574" i="124" s="1"/>
  <c r="P573" i="124"/>
  <c r="N573" i="124"/>
  <c r="M573" i="124"/>
  <c r="L573" i="124"/>
  <c r="H573" i="124"/>
  <c r="E573" i="124" s="1"/>
  <c r="P572" i="124"/>
  <c r="N572" i="124"/>
  <c r="M572" i="124"/>
  <c r="L572" i="124"/>
  <c r="H572" i="124"/>
  <c r="E572" i="124" s="1"/>
  <c r="P571" i="124"/>
  <c r="N571" i="124"/>
  <c r="M571" i="124"/>
  <c r="L571" i="124"/>
  <c r="H571" i="124"/>
  <c r="E571" i="124" s="1"/>
  <c r="P570" i="124"/>
  <c r="N570" i="124"/>
  <c r="M570" i="124"/>
  <c r="L570" i="124"/>
  <c r="H570" i="124"/>
  <c r="E570" i="124" s="1"/>
  <c r="P569" i="124"/>
  <c r="N569" i="124"/>
  <c r="M569" i="124"/>
  <c r="L569" i="124"/>
  <c r="H569" i="124"/>
  <c r="E569" i="124" s="1"/>
  <c r="P568" i="124"/>
  <c r="N568" i="124"/>
  <c r="M568" i="124"/>
  <c r="L568" i="124"/>
  <c r="H568" i="124"/>
  <c r="E568" i="124" s="1"/>
  <c r="P567" i="124"/>
  <c r="N567" i="124"/>
  <c r="M567" i="124"/>
  <c r="L567" i="124"/>
  <c r="H567" i="124"/>
  <c r="E567" i="124" s="1"/>
  <c r="P566" i="124"/>
  <c r="N566" i="124"/>
  <c r="M566" i="124"/>
  <c r="L566" i="124"/>
  <c r="H566" i="124"/>
  <c r="E566" i="124" s="1"/>
  <c r="P565" i="124"/>
  <c r="N565" i="124"/>
  <c r="M565" i="124"/>
  <c r="L565" i="124"/>
  <c r="H565" i="124"/>
  <c r="E565" i="124" s="1"/>
  <c r="P564" i="124"/>
  <c r="N564" i="124"/>
  <c r="M564" i="124"/>
  <c r="L564" i="124"/>
  <c r="H564" i="124"/>
  <c r="E564" i="124" s="1"/>
  <c r="P563" i="124"/>
  <c r="N563" i="124"/>
  <c r="M563" i="124"/>
  <c r="L563" i="124"/>
  <c r="H563" i="124"/>
  <c r="E563" i="124" s="1"/>
  <c r="P562" i="124"/>
  <c r="N562" i="124"/>
  <c r="M562" i="124"/>
  <c r="L562" i="124"/>
  <c r="H562" i="124"/>
  <c r="E562" i="124" s="1"/>
  <c r="P561" i="124"/>
  <c r="N561" i="124"/>
  <c r="M561" i="124"/>
  <c r="L561" i="124"/>
  <c r="H561" i="124"/>
  <c r="E561" i="124" s="1"/>
  <c r="P560" i="124"/>
  <c r="N560" i="124"/>
  <c r="M560" i="124"/>
  <c r="L560" i="124"/>
  <c r="H560" i="124"/>
  <c r="E560" i="124" s="1"/>
  <c r="P559" i="124"/>
  <c r="N559" i="124"/>
  <c r="M559" i="124"/>
  <c r="L559" i="124"/>
  <c r="H559" i="124"/>
  <c r="E559" i="124" s="1"/>
  <c r="P558" i="124"/>
  <c r="N558" i="124"/>
  <c r="M558" i="124"/>
  <c r="L558" i="124"/>
  <c r="H558" i="124"/>
  <c r="E558" i="124" s="1"/>
  <c r="P557" i="124"/>
  <c r="N557" i="124"/>
  <c r="M557" i="124"/>
  <c r="L557" i="124"/>
  <c r="H557" i="124"/>
  <c r="E557" i="124" s="1"/>
  <c r="P556" i="124"/>
  <c r="N556" i="124"/>
  <c r="M556" i="124"/>
  <c r="L556" i="124"/>
  <c r="H556" i="124"/>
  <c r="E556" i="124" s="1"/>
  <c r="P555" i="124"/>
  <c r="N555" i="124"/>
  <c r="M555" i="124"/>
  <c r="L555" i="124"/>
  <c r="H555" i="124"/>
  <c r="E555" i="124" s="1"/>
  <c r="P554" i="124"/>
  <c r="N554" i="124"/>
  <c r="M554" i="124"/>
  <c r="L554" i="124"/>
  <c r="H554" i="124"/>
  <c r="E554" i="124" s="1"/>
  <c r="P553" i="124"/>
  <c r="N553" i="124"/>
  <c r="M553" i="124"/>
  <c r="L553" i="124"/>
  <c r="H553" i="124"/>
  <c r="E553" i="124" s="1"/>
  <c r="P552" i="124"/>
  <c r="N552" i="124"/>
  <c r="M552" i="124"/>
  <c r="L552" i="124"/>
  <c r="H552" i="124"/>
  <c r="E552" i="124" s="1"/>
  <c r="P551" i="124"/>
  <c r="N551" i="124"/>
  <c r="M551" i="124"/>
  <c r="L551" i="124"/>
  <c r="H551" i="124"/>
  <c r="E551" i="124" s="1"/>
  <c r="P550" i="124"/>
  <c r="N550" i="124"/>
  <c r="M550" i="124"/>
  <c r="L550" i="124"/>
  <c r="H550" i="124"/>
  <c r="E550" i="124" s="1"/>
  <c r="P549" i="124"/>
  <c r="N549" i="124"/>
  <c r="M549" i="124"/>
  <c r="L549" i="124"/>
  <c r="H549" i="124"/>
  <c r="E549" i="124" s="1"/>
  <c r="P548" i="124"/>
  <c r="N548" i="124"/>
  <c r="M548" i="124"/>
  <c r="L548" i="124"/>
  <c r="H548" i="124"/>
  <c r="E548" i="124" s="1"/>
  <c r="P547" i="124"/>
  <c r="N547" i="124"/>
  <c r="M547" i="124"/>
  <c r="L547" i="124"/>
  <c r="H547" i="124"/>
  <c r="E547" i="124" s="1"/>
  <c r="P546" i="124"/>
  <c r="N546" i="124"/>
  <c r="M546" i="124"/>
  <c r="L546" i="124"/>
  <c r="H546" i="124"/>
  <c r="E546" i="124" s="1"/>
  <c r="P545" i="124"/>
  <c r="N545" i="124"/>
  <c r="M545" i="124"/>
  <c r="L545" i="124"/>
  <c r="H545" i="124"/>
  <c r="E545" i="124" s="1"/>
  <c r="P544" i="124"/>
  <c r="N544" i="124"/>
  <c r="M544" i="124"/>
  <c r="L544" i="124"/>
  <c r="H544" i="124"/>
  <c r="E544" i="124" s="1"/>
  <c r="P543" i="124"/>
  <c r="N543" i="124"/>
  <c r="M543" i="124"/>
  <c r="L543" i="124"/>
  <c r="H543" i="124"/>
  <c r="E543" i="124" s="1"/>
  <c r="P542" i="124"/>
  <c r="N542" i="124"/>
  <c r="M542" i="124"/>
  <c r="L542" i="124"/>
  <c r="H542" i="124"/>
  <c r="E542" i="124" s="1"/>
  <c r="P541" i="124"/>
  <c r="N541" i="124"/>
  <c r="M541" i="124"/>
  <c r="L541" i="124"/>
  <c r="H541" i="124"/>
  <c r="E541" i="124" s="1"/>
  <c r="P540" i="124"/>
  <c r="N540" i="124"/>
  <c r="M540" i="124"/>
  <c r="L540" i="124"/>
  <c r="H540" i="124"/>
  <c r="E540" i="124" s="1"/>
  <c r="P539" i="124"/>
  <c r="N539" i="124"/>
  <c r="M539" i="124"/>
  <c r="L539" i="124"/>
  <c r="H539" i="124"/>
  <c r="E539" i="124" s="1"/>
  <c r="P538" i="124"/>
  <c r="N538" i="124"/>
  <c r="M538" i="124"/>
  <c r="L538" i="124"/>
  <c r="H538" i="124"/>
  <c r="E538" i="124" s="1"/>
  <c r="P537" i="124"/>
  <c r="N537" i="124"/>
  <c r="M537" i="124"/>
  <c r="L537" i="124"/>
  <c r="H537" i="124"/>
  <c r="E537" i="124" s="1"/>
  <c r="P536" i="124"/>
  <c r="N536" i="124"/>
  <c r="M536" i="124"/>
  <c r="L536" i="124"/>
  <c r="H536" i="124"/>
  <c r="E536" i="124" s="1"/>
  <c r="P535" i="124"/>
  <c r="N535" i="124"/>
  <c r="M535" i="124"/>
  <c r="L535" i="124"/>
  <c r="H535" i="124"/>
  <c r="E535" i="124" s="1"/>
  <c r="P534" i="124"/>
  <c r="N534" i="124"/>
  <c r="M534" i="124"/>
  <c r="L534" i="124"/>
  <c r="H534" i="124"/>
  <c r="E534" i="124" s="1"/>
  <c r="P533" i="124"/>
  <c r="N533" i="124"/>
  <c r="M533" i="124"/>
  <c r="L533" i="124"/>
  <c r="H533" i="124"/>
  <c r="E533" i="124" s="1"/>
  <c r="P532" i="124"/>
  <c r="N532" i="124"/>
  <c r="M532" i="124"/>
  <c r="L532" i="124"/>
  <c r="H532" i="124"/>
  <c r="E532" i="124" s="1"/>
  <c r="P531" i="124"/>
  <c r="N531" i="124"/>
  <c r="M531" i="124"/>
  <c r="L531" i="124"/>
  <c r="H531" i="124"/>
  <c r="E531" i="124" s="1"/>
  <c r="P530" i="124"/>
  <c r="N530" i="124"/>
  <c r="M530" i="124"/>
  <c r="L530" i="124"/>
  <c r="H530" i="124"/>
  <c r="E530" i="124" s="1"/>
  <c r="P529" i="124"/>
  <c r="N529" i="124"/>
  <c r="M529" i="124"/>
  <c r="L529" i="124"/>
  <c r="H529" i="124"/>
  <c r="E529" i="124" s="1"/>
  <c r="P528" i="124"/>
  <c r="N528" i="124"/>
  <c r="M528" i="124"/>
  <c r="L528" i="124"/>
  <c r="H528" i="124"/>
  <c r="E528" i="124" s="1"/>
  <c r="P527" i="124"/>
  <c r="N527" i="124"/>
  <c r="M527" i="124"/>
  <c r="L527" i="124"/>
  <c r="H527" i="124"/>
  <c r="E527" i="124" s="1"/>
  <c r="P526" i="124"/>
  <c r="N526" i="124"/>
  <c r="M526" i="124"/>
  <c r="L526" i="124"/>
  <c r="H526" i="124"/>
  <c r="E526" i="124" s="1"/>
  <c r="P525" i="124"/>
  <c r="N525" i="124"/>
  <c r="M525" i="124"/>
  <c r="L525" i="124"/>
  <c r="H525" i="124"/>
  <c r="E525" i="124" s="1"/>
  <c r="P524" i="124"/>
  <c r="N524" i="124"/>
  <c r="M524" i="124"/>
  <c r="L524" i="124"/>
  <c r="H524" i="124"/>
  <c r="E524" i="124" s="1"/>
  <c r="P523" i="124"/>
  <c r="N523" i="124"/>
  <c r="M523" i="124"/>
  <c r="L523" i="124"/>
  <c r="H523" i="124"/>
  <c r="E523" i="124" s="1"/>
  <c r="P522" i="124"/>
  <c r="N522" i="124"/>
  <c r="M522" i="124"/>
  <c r="L522" i="124"/>
  <c r="H522" i="124"/>
  <c r="E522" i="124" s="1"/>
  <c r="P521" i="124"/>
  <c r="N521" i="124"/>
  <c r="M521" i="124"/>
  <c r="L521" i="124"/>
  <c r="H521" i="124"/>
  <c r="E521" i="124" s="1"/>
  <c r="P517" i="124"/>
  <c r="N517" i="124"/>
  <c r="M517" i="124"/>
  <c r="L517" i="124"/>
  <c r="H517" i="124"/>
  <c r="E517" i="124"/>
  <c r="C517" i="124"/>
  <c r="P516" i="124"/>
  <c r="N516" i="124"/>
  <c r="M516" i="124"/>
  <c r="L516" i="124"/>
  <c r="H516" i="124"/>
  <c r="E516" i="124"/>
  <c r="P515" i="124"/>
  <c r="N515" i="124"/>
  <c r="M515" i="124"/>
  <c r="L515" i="124"/>
  <c r="H515" i="124"/>
  <c r="E515" i="124" s="1"/>
  <c r="P514" i="124"/>
  <c r="N514" i="124"/>
  <c r="M514" i="124"/>
  <c r="L514" i="124"/>
  <c r="H514" i="124"/>
  <c r="E514" i="124" s="1"/>
  <c r="C514" i="124"/>
  <c r="P513" i="124"/>
  <c r="N513" i="124"/>
  <c r="M513" i="124"/>
  <c r="L513" i="124"/>
  <c r="H513" i="124"/>
  <c r="E513" i="124" s="1"/>
  <c r="P512" i="124"/>
  <c r="N512" i="124"/>
  <c r="M512" i="124"/>
  <c r="L512" i="124"/>
  <c r="H512" i="124"/>
  <c r="E512" i="124" s="1"/>
  <c r="P511" i="124"/>
  <c r="N511" i="124"/>
  <c r="M511" i="124"/>
  <c r="L511" i="124"/>
  <c r="H511" i="124"/>
  <c r="E511" i="124" s="1"/>
  <c r="C511" i="124"/>
  <c r="P510" i="124"/>
  <c r="N510" i="124"/>
  <c r="M510" i="124"/>
  <c r="L510" i="124"/>
  <c r="H510" i="124"/>
  <c r="E510" i="124" s="1"/>
  <c r="P509" i="124"/>
  <c r="N509" i="124"/>
  <c r="M509" i="124"/>
  <c r="L509" i="124"/>
  <c r="H509" i="124"/>
  <c r="E509" i="124" s="1"/>
  <c r="P508" i="124"/>
  <c r="N508" i="124"/>
  <c r="M508" i="124"/>
  <c r="L508" i="124"/>
  <c r="H508" i="124"/>
  <c r="E508" i="124" s="1"/>
  <c r="P507" i="124"/>
  <c r="N507" i="124"/>
  <c r="M507" i="124"/>
  <c r="L507" i="124"/>
  <c r="H507" i="124"/>
  <c r="E507" i="124" s="1"/>
  <c r="P506" i="124"/>
  <c r="N506" i="124"/>
  <c r="M506" i="124"/>
  <c r="L506" i="124"/>
  <c r="H506" i="124"/>
  <c r="E506" i="124" s="1"/>
  <c r="P505" i="124"/>
  <c r="N505" i="124"/>
  <c r="M505" i="124"/>
  <c r="L505" i="124"/>
  <c r="H505" i="124"/>
  <c r="E505" i="124" s="1"/>
  <c r="P504" i="124"/>
  <c r="N504" i="124"/>
  <c r="M504" i="124"/>
  <c r="L504" i="124"/>
  <c r="H504" i="124"/>
  <c r="E504" i="124" s="1"/>
  <c r="P503" i="124"/>
  <c r="N503" i="124"/>
  <c r="M503" i="124"/>
  <c r="L503" i="124"/>
  <c r="H503" i="124"/>
  <c r="E503" i="124" s="1"/>
  <c r="P502" i="124"/>
  <c r="N502" i="124"/>
  <c r="M502" i="124"/>
  <c r="L502" i="124"/>
  <c r="H502" i="124"/>
  <c r="E502" i="124" s="1"/>
  <c r="P501" i="124"/>
  <c r="N501" i="124"/>
  <c r="M501" i="124"/>
  <c r="L501" i="124"/>
  <c r="H501" i="124"/>
  <c r="E501" i="124" s="1"/>
  <c r="P500" i="124"/>
  <c r="N500" i="124"/>
  <c r="M500" i="124"/>
  <c r="L500" i="124"/>
  <c r="H500" i="124"/>
  <c r="E500" i="124" s="1"/>
  <c r="P499" i="124"/>
  <c r="N499" i="124"/>
  <c r="M499" i="124"/>
  <c r="L499" i="124"/>
  <c r="H499" i="124"/>
  <c r="E499" i="124" s="1"/>
  <c r="P498" i="124"/>
  <c r="N498" i="124"/>
  <c r="M498" i="124"/>
  <c r="L498" i="124"/>
  <c r="H498" i="124"/>
  <c r="E498" i="124" s="1"/>
  <c r="P497" i="124"/>
  <c r="N497" i="124"/>
  <c r="M497" i="124"/>
  <c r="L497" i="124"/>
  <c r="H497" i="124"/>
  <c r="E497" i="124" s="1"/>
  <c r="P496" i="124"/>
  <c r="N496" i="124"/>
  <c r="M496" i="124"/>
  <c r="L496" i="124"/>
  <c r="H496" i="124"/>
  <c r="E496" i="124" s="1"/>
  <c r="P495" i="124"/>
  <c r="N495" i="124"/>
  <c r="M495" i="124"/>
  <c r="L495" i="124"/>
  <c r="H495" i="124"/>
  <c r="E495" i="124" s="1"/>
  <c r="P494" i="124"/>
  <c r="N494" i="124"/>
  <c r="M494" i="124"/>
  <c r="L494" i="124"/>
  <c r="H494" i="124"/>
  <c r="E494" i="124" s="1"/>
  <c r="P493" i="124"/>
  <c r="N493" i="124"/>
  <c r="M493" i="124"/>
  <c r="L493" i="124"/>
  <c r="H493" i="124"/>
  <c r="E493" i="124" s="1"/>
  <c r="P492" i="124"/>
  <c r="N492" i="124"/>
  <c r="M492" i="124"/>
  <c r="L492" i="124"/>
  <c r="H492" i="124"/>
  <c r="E492" i="124" s="1"/>
  <c r="P491" i="124"/>
  <c r="N491" i="124"/>
  <c r="M491" i="124"/>
  <c r="L491" i="124"/>
  <c r="H491" i="124"/>
  <c r="E491" i="124" s="1"/>
  <c r="P490" i="124"/>
  <c r="N490" i="124"/>
  <c r="M490" i="124"/>
  <c r="L490" i="124"/>
  <c r="H490" i="124"/>
  <c r="E490" i="124" s="1"/>
  <c r="P489" i="124"/>
  <c r="N489" i="124"/>
  <c r="M489" i="124"/>
  <c r="L489" i="124"/>
  <c r="H489" i="124"/>
  <c r="E489" i="124" s="1"/>
  <c r="P488" i="124"/>
  <c r="N488" i="124"/>
  <c r="M488" i="124"/>
  <c r="L488" i="124"/>
  <c r="H488" i="124"/>
  <c r="E488" i="124" s="1"/>
  <c r="P487" i="124"/>
  <c r="N487" i="124"/>
  <c r="M487" i="124"/>
  <c r="L487" i="124"/>
  <c r="H487" i="124"/>
  <c r="E487" i="124" s="1"/>
  <c r="P486" i="124"/>
  <c r="N486" i="124"/>
  <c r="M486" i="124"/>
  <c r="L486" i="124"/>
  <c r="H486" i="124"/>
  <c r="E486" i="124" s="1"/>
  <c r="P485" i="124"/>
  <c r="N485" i="124"/>
  <c r="M485" i="124"/>
  <c r="L485" i="124"/>
  <c r="H485" i="124"/>
  <c r="E485" i="124" s="1"/>
  <c r="P484" i="124"/>
  <c r="N484" i="124"/>
  <c r="M484" i="124"/>
  <c r="L484" i="124"/>
  <c r="H484" i="124"/>
  <c r="E484" i="124" s="1"/>
  <c r="P483" i="124"/>
  <c r="N483" i="124"/>
  <c r="M483" i="124"/>
  <c r="L483" i="124"/>
  <c r="H483" i="124"/>
  <c r="E483" i="124" s="1"/>
  <c r="P482" i="124"/>
  <c r="N482" i="124"/>
  <c r="M482" i="124"/>
  <c r="L482" i="124"/>
  <c r="H482" i="124"/>
  <c r="E482" i="124" s="1"/>
  <c r="P481" i="124"/>
  <c r="N481" i="124"/>
  <c r="M481" i="124"/>
  <c r="L481" i="124"/>
  <c r="H481" i="124"/>
  <c r="E481" i="124" s="1"/>
  <c r="P480" i="124"/>
  <c r="N480" i="124"/>
  <c r="M480" i="124"/>
  <c r="L480" i="124"/>
  <c r="H480" i="124"/>
  <c r="E480" i="124" s="1"/>
  <c r="P479" i="124"/>
  <c r="N479" i="124"/>
  <c r="M479" i="124"/>
  <c r="L479" i="124"/>
  <c r="H479" i="124"/>
  <c r="E479" i="124" s="1"/>
  <c r="P478" i="124"/>
  <c r="N478" i="124"/>
  <c r="M478" i="124"/>
  <c r="L478" i="124"/>
  <c r="H478" i="124"/>
  <c r="E478" i="124" s="1"/>
  <c r="P477" i="124"/>
  <c r="N477" i="124"/>
  <c r="M477" i="124"/>
  <c r="L477" i="124"/>
  <c r="H477" i="124"/>
  <c r="E477" i="124" s="1"/>
  <c r="P476" i="124"/>
  <c r="N476" i="124"/>
  <c r="M476" i="124"/>
  <c r="L476" i="124"/>
  <c r="H476" i="124"/>
  <c r="E476" i="124" s="1"/>
  <c r="P475" i="124"/>
  <c r="N475" i="124"/>
  <c r="M475" i="124"/>
  <c r="L475" i="124"/>
  <c r="H475" i="124"/>
  <c r="E475" i="124" s="1"/>
  <c r="P474" i="124"/>
  <c r="N474" i="124"/>
  <c r="M474" i="124"/>
  <c r="L474" i="124"/>
  <c r="H474" i="124"/>
  <c r="E474" i="124" s="1"/>
  <c r="P473" i="124"/>
  <c r="N473" i="124"/>
  <c r="M473" i="124"/>
  <c r="L473" i="124"/>
  <c r="H473" i="124"/>
  <c r="E473" i="124" s="1"/>
  <c r="P472" i="124"/>
  <c r="N472" i="124"/>
  <c r="M472" i="124"/>
  <c r="L472" i="124"/>
  <c r="H472" i="124"/>
  <c r="E472" i="124" s="1"/>
  <c r="P471" i="124"/>
  <c r="N471" i="124"/>
  <c r="M471" i="124"/>
  <c r="L471" i="124"/>
  <c r="H471" i="124"/>
  <c r="E471" i="124" s="1"/>
  <c r="P470" i="124"/>
  <c r="N470" i="124"/>
  <c r="M470" i="124"/>
  <c r="L470" i="124"/>
  <c r="H470" i="124"/>
  <c r="E470" i="124" s="1"/>
  <c r="P469" i="124"/>
  <c r="N469" i="124"/>
  <c r="M469" i="124"/>
  <c r="L469" i="124"/>
  <c r="H469" i="124"/>
  <c r="E469" i="124" s="1"/>
  <c r="P468" i="124"/>
  <c r="N468" i="124"/>
  <c r="M468" i="124"/>
  <c r="L468" i="124"/>
  <c r="H468" i="124"/>
  <c r="E468" i="124" s="1"/>
  <c r="P467" i="124"/>
  <c r="N467" i="124"/>
  <c r="M467" i="124"/>
  <c r="L467" i="124"/>
  <c r="H467" i="124"/>
  <c r="E467" i="124" s="1"/>
  <c r="P466" i="124"/>
  <c r="N466" i="124"/>
  <c r="M466" i="124"/>
  <c r="L466" i="124"/>
  <c r="H466" i="124"/>
  <c r="E466" i="124" s="1"/>
  <c r="P465" i="124"/>
  <c r="N465" i="124"/>
  <c r="M465" i="124"/>
  <c r="L465" i="124"/>
  <c r="H465" i="124"/>
  <c r="E465" i="124" s="1"/>
  <c r="P464" i="124"/>
  <c r="N464" i="124"/>
  <c r="M464" i="124"/>
  <c r="L464" i="124"/>
  <c r="H464" i="124"/>
  <c r="E464" i="124" s="1"/>
  <c r="P463" i="124"/>
  <c r="N463" i="124"/>
  <c r="M463" i="124"/>
  <c r="L463" i="124"/>
  <c r="H463" i="124"/>
  <c r="E463" i="124" s="1"/>
  <c r="P462" i="124"/>
  <c r="N462" i="124"/>
  <c r="M462" i="124"/>
  <c r="L462" i="124"/>
  <c r="H462" i="124"/>
  <c r="E462" i="124" s="1"/>
  <c r="P461" i="124"/>
  <c r="N461" i="124"/>
  <c r="M461" i="124"/>
  <c r="L461" i="124"/>
  <c r="H461" i="124"/>
  <c r="E461" i="124" s="1"/>
  <c r="P460" i="124"/>
  <c r="N460" i="124"/>
  <c r="M460" i="124"/>
  <c r="L460" i="124"/>
  <c r="H460" i="124"/>
  <c r="E460" i="124" s="1"/>
  <c r="P459" i="124"/>
  <c r="N459" i="124"/>
  <c r="M459" i="124"/>
  <c r="L459" i="124"/>
  <c r="H459" i="124"/>
  <c r="E459" i="124" s="1"/>
  <c r="P458" i="124"/>
  <c r="N458" i="124"/>
  <c r="M458" i="124"/>
  <c r="L458" i="124"/>
  <c r="H458" i="124"/>
  <c r="E458" i="124" s="1"/>
  <c r="P457" i="124"/>
  <c r="N457" i="124"/>
  <c r="M457" i="124"/>
  <c r="L457" i="124"/>
  <c r="H457" i="124"/>
  <c r="E457" i="124" s="1"/>
  <c r="P456" i="124"/>
  <c r="N456" i="124"/>
  <c r="M456" i="124"/>
  <c r="L456" i="124"/>
  <c r="H456" i="124"/>
  <c r="E456" i="124" s="1"/>
  <c r="P455" i="124"/>
  <c r="N455" i="124"/>
  <c r="M455" i="124"/>
  <c r="L455" i="124"/>
  <c r="H455" i="124"/>
  <c r="E455" i="124" s="1"/>
  <c r="P454" i="124"/>
  <c r="N454" i="124"/>
  <c r="M454" i="124"/>
  <c r="L454" i="124"/>
  <c r="H454" i="124"/>
  <c r="E454" i="124" s="1"/>
  <c r="P453" i="124"/>
  <c r="N453" i="124"/>
  <c r="M453" i="124"/>
  <c r="L453" i="124"/>
  <c r="H453" i="124"/>
  <c r="E453" i="124" s="1"/>
  <c r="P452" i="124"/>
  <c r="N452" i="124"/>
  <c r="M452" i="124"/>
  <c r="L452" i="124"/>
  <c r="H452" i="124"/>
  <c r="E452" i="124" s="1"/>
  <c r="P451" i="124"/>
  <c r="N451" i="124"/>
  <c r="M451" i="124"/>
  <c r="L451" i="124"/>
  <c r="H451" i="124"/>
  <c r="E451" i="124" s="1"/>
  <c r="P450" i="124"/>
  <c r="N450" i="124"/>
  <c r="M450" i="124"/>
  <c r="L450" i="124"/>
  <c r="H450" i="124"/>
  <c r="E450" i="124" s="1"/>
  <c r="P449" i="124"/>
  <c r="N449" i="124"/>
  <c r="M449" i="124"/>
  <c r="L449" i="124"/>
  <c r="H449" i="124"/>
  <c r="E449" i="124" s="1"/>
  <c r="P448" i="124"/>
  <c r="N448" i="124"/>
  <c r="M448" i="124"/>
  <c r="L448" i="124"/>
  <c r="H448" i="124"/>
  <c r="E448" i="124" s="1"/>
  <c r="P447" i="124"/>
  <c r="N447" i="124"/>
  <c r="M447" i="124"/>
  <c r="L447" i="124"/>
  <c r="H447" i="124"/>
  <c r="E447" i="124" s="1"/>
  <c r="P446" i="124"/>
  <c r="N446" i="124"/>
  <c r="M446" i="124"/>
  <c r="L446" i="124"/>
  <c r="H446" i="124"/>
  <c r="E446" i="124" s="1"/>
  <c r="P445" i="124"/>
  <c r="N445" i="124"/>
  <c r="M445" i="124"/>
  <c r="L445" i="124"/>
  <c r="H445" i="124"/>
  <c r="E445" i="124" s="1"/>
  <c r="P444" i="124"/>
  <c r="N444" i="124"/>
  <c r="M444" i="124"/>
  <c r="L444" i="124"/>
  <c r="H444" i="124"/>
  <c r="E444" i="124" s="1"/>
  <c r="P443" i="124"/>
  <c r="N443" i="124"/>
  <c r="M443" i="124"/>
  <c r="L443" i="124"/>
  <c r="H443" i="124"/>
  <c r="E443" i="124" s="1"/>
  <c r="P442" i="124"/>
  <c r="N442" i="124"/>
  <c r="M442" i="124"/>
  <c r="L442" i="124"/>
  <c r="H442" i="124"/>
  <c r="E442" i="124" s="1"/>
  <c r="P441" i="124"/>
  <c r="N441" i="124"/>
  <c r="M441" i="124"/>
  <c r="L441" i="124"/>
  <c r="H441" i="124"/>
  <c r="E441" i="124" s="1"/>
  <c r="P440" i="124"/>
  <c r="N440" i="124"/>
  <c r="M440" i="124"/>
  <c r="L440" i="124"/>
  <c r="H440" i="124"/>
  <c r="E440" i="124" s="1"/>
  <c r="P439" i="124"/>
  <c r="N439" i="124"/>
  <c r="M439" i="124"/>
  <c r="L439" i="124"/>
  <c r="H439" i="124"/>
  <c r="E439" i="124" s="1"/>
  <c r="P438" i="124"/>
  <c r="N438" i="124"/>
  <c r="M438" i="124"/>
  <c r="L438" i="124"/>
  <c r="H438" i="124"/>
  <c r="E438" i="124" s="1"/>
  <c r="P437" i="124"/>
  <c r="N437" i="124"/>
  <c r="M437" i="124"/>
  <c r="L437" i="124"/>
  <c r="H437" i="124"/>
  <c r="E437" i="124" s="1"/>
  <c r="P436" i="124"/>
  <c r="N436" i="124"/>
  <c r="M436" i="124"/>
  <c r="L436" i="124"/>
  <c r="H436" i="124"/>
  <c r="E436" i="124" s="1"/>
  <c r="P435" i="124"/>
  <c r="N435" i="124"/>
  <c r="M435" i="124"/>
  <c r="L435" i="124"/>
  <c r="H435" i="124"/>
  <c r="E435" i="124" s="1"/>
  <c r="P434" i="124"/>
  <c r="N434" i="124"/>
  <c r="M434" i="124"/>
  <c r="L434" i="124"/>
  <c r="H434" i="124"/>
  <c r="E434" i="124" s="1"/>
  <c r="P433" i="124"/>
  <c r="N433" i="124"/>
  <c r="M433" i="124"/>
  <c r="L433" i="124"/>
  <c r="H433" i="124"/>
  <c r="E433" i="124" s="1"/>
  <c r="P432" i="124"/>
  <c r="N432" i="124"/>
  <c r="M432" i="124"/>
  <c r="L432" i="124"/>
  <c r="H432" i="124"/>
  <c r="E432" i="124" s="1"/>
  <c r="P431" i="124"/>
  <c r="N431" i="124"/>
  <c r="M431" i="124"/>
  <c r="L431" i="124"/>
  <c r="H431" i="124"/>
  <c r="E431" i="124" s="1"/>
  <c r="P430" i="124"/>
  <c r="N430" i="124"/>
  <c r="M430" i="124"/>
  <c r="L430" i="124"/>
  <c r="H430" i="124"/>
  <c r="E430" i="124" s="1"/>
  <c r="P429" i="124"/>
  <c r="N429" i="124"/>
  <c r="M429" i="124"/>
  <c r="L429" i="124"/>
  <c r="H429" i="124"/>
  <c r="E429" i="124" s="1"/>
  <c r="P428" i="124"/>
  <c r="N428" i="124"/>
  <c r="M428" i="124"/>
  <c r="L428" i="124"/>
  <c r="H428" i="124"/>
  <c r="E428" i="124" s="1"/>
  <c r="P427" i="124"/>
  <c r="N427" i="124"/>
  <c r="M427" i="124"/>
  <c r="L427" i="124"/>
  <c r="H427" i="124"/>
  <c r="E427" i="124" s="1"/>
  <c r="P426" i="124"/>
  <c r="N426" i="124"/>
  <c r="M426" i="124"/>
  <c r="L426" i="124"/>
  <c r="H426" i="124"/>
  <c r="E426" i="124" s="1"/>
  <c r="P425" i="124"/>
  <c r="N425" i="124"/>
  <c r="M425" i="124"/>
  <c r="L425" i="124"/>
  <c r="H425" i="124"/>
  <c r="E425" i="124" s="1"/>
  <c r="P424" i="124"/>
  <c r="N424" i="124"/>
  <c r="M424" i="124"/>
  <c r="L424" i="124"/>
  <c r="H424" i="124"/>
  <c r="E424" i="124" s="1"/>
  <c r="P423" i="124"/>
  <c r="N423" i="124"/>
  <c r="M423" i="124"/>
  <c r="L423" i="124"/>
  <c r="H423" i="124"/>
  <c r="E423" i="124" s="1"/>
  <c r="P422" i="124"/>
  <c r="N422" i="124"/>
  <c r="M422" i="124"/>
  <c r="L422" i="124"/>
  <c r="H422" i="124"/>
  <c r="E422" i="124" s="1"/>
  <c r="P421" i="124"/>
  <c r="N421" i="124"/>
  <c r="M421" i="124"/>
  <c r="L421" i="124"/>
  <c r="H421" i="124"/>
  <c r="E421" i="124" s="1"/>
  <c r="P420" i="124"/>
  <c r="N420" i="124"/>
  <c r="M420" i="124"/>
  <c r="L420" i="124"/>
  <c r="H420" i="124"/>
  <c r="E420" i="124" s="1"/>
  <c r="P419" i="124"/>
  <c r="N419" i="124"/>
  <c r="M419" i="124"/>
  <c r="L419" i="124"/>
  <c r="H419" i="124"/>
  <c r="E419" i="124" s="1"/>
  <c r="P418" i="124"/>
  <c r="N418" i="124"/>
  <c r="M418" i="124"/>
  <c r="L418" i="124"/>
  <c r="H418" i="124"/>
  <c r="E418" i="124" s="1"/>
  <c r="P417" i="124"/>
  <c r="N417" i="124"/>
  <c r="M417" i="124"/>
  <c r="L417" i="124"/>
  <c r="H417" i="124"/>
  <c r="E417" i="124" s="1"/>
  <c r="P416" i="124"/>
  <c r="N416" i="124"/>
  <c r="M416" i="124"/>
  <c r="L416" i="124"/>
  <c r="H416" i="124"/>
  <c r="E416" i="124" s="1"/>
  <c r="P415" i="124"/>
  <c r="N415" i="124"/>
  <c r="M415" i="124"/>
  <c r="L415" i="124"/>
  <c r="H415" i="124"/>
  <c r="E415" i="124" s="1"/>
  <c r="P414" i="124"/>
  <c r="N414" i="124"/>
  <c r="M414" i="124"/>
  <c r="L414" i="124"/>
  <c r="H414" i="124"/>
  <c r="E414" i="124" s="1"/>
  <c r="P413" i="124"/>
  <c r="N413" i="124"/>
  <c r="M413" i="124"/>
  <c r="L413" i="124"/>
  <c r="H413" i="124"/>
  <c r="E413" i="124" s="1"/>
  <c r="P412" i="124"/>
  <c r="N412" i="124"/>
  <c r="M412" i="124"/>
  <c r="L412" i="124"/>
  <c r="H412" i="124"/>
  <c r="E412" i="124" s="1"/>
  <c r="P411" i="124"/>
  <c r="N411" i="124"/>
  <c r="M411" i="124"/>
  <c r="L411" i="124"/>
  <c r="H411" i="124"/>
  <c r="E411" i="124" s="1"/>
  <c r="P410" i="124"/>
  <c r="N410" i="124"/>
  <c r="M410" i="124"/>
  <c r="L410" i="124"/>
  <c r="H410" i="124"/>
  <c r="E410" i="124" s="1"/>
  <c r="P409" i="124"/>
  <c r="N409" i="124"/>
  <c r="M409" i="124"/>
  <c r="L409" i="124"/>
  <c r="H409" i="124"/>
  <c r="E409" i="124" s="1"/>
  <c r="P408" i="124"/>
  <c r="N408" i="124"/>
  <c r="M408" i="124"/>
  <c r="L408" i="124"/>
  <c r="H408" i="124"/>
  <c r="E408" i="124" s="1"/>
  <c r="P407" i="124"/>
  <c r="N407" i="124"/>
  <c r="M407" i="124"/>
  <c r="L407" i="124"/>
  <c r="H407" i="124"/>
  <c r="E407" i="124" s="1"/>
  <c r="P406" i="124"/>
  <c r="N406" i="124"/>
  <c r="M406" i="124"/>
  <c r="L406" i="124"/>
  <c r="H406" i="124"/>
  <c r="E406" i="124" s="1"/>
  <c r="P405" i="124"/>
  <c r="N405" i="124"/>
  <c r="M405" i="124"/>
  <c r="L405" i="124"/>
  <c r="H405" i="124"/>
  <c r="E405" i="124" s="1"/>
  <c r="P404" i="124"/>
  <c r="N404" i="124"/>
  <c r="M404" i="124"/>
  <c r="L404" i="124"/>
  <c r="H404" i="124"/>
  <c r="E404" i="124" s="1"/>
  <c r="P403" i="124"/>
  <c r="N403" i="124"/>
  <c r="M403" i="124"/>
  <c r="L403" i="124"/>
  <c r="H403" i="124"/>
  <c r="E403" i="124" s="1"/>
  <c r="P402" i="124"/>
  <c r="N402" i="124"/>
  <c r="M402" i="124"/>
  <c r="L402" i="124"/>
  <c r="H402" i="124"/>
  <c r="E402" i="124" s="1"/>
  <c r="P401" i="124"/>
  <c r="N401" i="124"/>
  <c r="M401" i="124"/>
  <c r="L401" i="124"/>
  <c r="H401" i="124"/>
  <c r="E401" i="124" s="1"/>
  <c r="P400" i="124"/>
  <c r="N400" i="124"/>
  <c r="M400" i="124"/>
  <c r="L400" i="124"/>
  <c r="H400" i="124"/>
  <c r="E400" i="124" s="1"/>
  <c r="P399" i="124"/>
  <c r="N399" i="124"/>
  <c r="M399" i="124"/>
  <c r="L399" i="124"/>
  <c r="H399" i="124"/>
  <c r="E399" i="124" s="1"/>
  <c r="P398" i="124"/>
  <c r="N398" i="124"/>
  <c r="M398" i="124"/>
  <c r="L398" i="124"/>
  <c r="H398" i="124"/>
  <c r="E398" i="124" s="1"/>
  <c r="P397" i="124"/>
  <c r="N397" i="124"/>
  <c r="M397" i="124"/>
  <c r="L397" i="124"/>
  <c r="H397" i="124"/>
  <c r="E397" i="124" s="1"/>
  <c r="P396" i="124"/>
  <c r="N396" i="124"/>
  <c r="M396" i="124"/>
  <c r="L396" i="124"/>
  <c r="H396" i="124"/>
  <c r="E396" i="124" s="1"/>
  <c r="P395" i="124"/>
  <c r="N395" i="124"/>
  <c r="M395" i="124"/>
  <c r="L395" i="124"/>
  <c r="H395" i="124"/>
  <c r="E395" i="124" s="1"/>
  <c r="P394" i="124"/>
  <c r="N394" i="124"/>
  <c r="M394" i="124"/>
  <c r="L394" i="124"/>
  <c r="H394" i="124"/>
  <c r="E394" i="124" s="1"/>
  <c r="P393" i="124"/>
  <c r="N393" i="124"/>
  <c r="M393" i="124"/>
  <c r="L393" i="124"/>
  <c r="H393" i="124"/>
  <c r="E393" i="124" s="1"/>
  <c r="P392" i="124"/>
  <c r="N392" i="124"/>
  <c r="M392" i="124"/>
  <c r="L392" i="124"/>
  <c r="H392" i="124"/>
  <c r="E392" i="124" s="1"/>
  <c r="P391" i="124"/>
  <c r="N391" i="124"/>
  <c r="M391" i="124"/>
  <c r="L391" i="124"/>
  <c r="H391" i="124"/>
  <c r="E391" i="124" s="1"/>
  <c r="P390" i="124"/>
  <c r="N390" i="124"/>
  <c r="M390" i="124"/>
  <c r="L390" i="124"/>
  <c r="H390" i="124"/>
  <c r="E390" i="124" s="1"/>
  <c r="P389" i="124"/>
  <c r="N389" i="124"/>
  <c r="M389" i="124"/>
  <c r="L389" i="124"/>
  <c r="H389" i="124"/>
  <c r="E389" i="124" s="1"/>
  <c r="P388" i="124"/>
  <c r="N388" i="124"/>
  <c r="M388" i="124"/>
  <c r="L388" i="124"/>
  <c r="H388" i="124"/>
  <c r="E388" i="124" s="1"/>
  <c r="P387" i="124"/>
  <c r="N387" i="124"/>
  <c r="M387" i="124"/>
  <c r="L387" i="124"/>
  <c r="H387" i="124"/>
  <c r="E387" i="124" s="1"/>
  <c r="P386" i="124"/>
  <c r="N386" i="124"/>
  <c r="M386" i="124"/>
  <c r="L386" i="124"/>
  <c r="H386" i="124"/>
  <c r="E386" i="124" s="1"/>
  <c r="P385" i="124"/>
  <c r="N385" i="124"/>
  <c r="M385" i="124"/>
  <c r="L385" i="124"/>
  <c r="H385" i="124"/>
  <c r="E385" i="124" s="1"/>
  <c r="P384" i="124"/>
  <c r="N384" i="124"/>
  <c r="M384" i="124"/>
  <c r="L384" i="124"/>
  <c r="H384" i="124"/>
  <c r="E384" i="124" s="1"/>
  <c r="P383" i="124"/>
  <c r="N383" i="124"/>
  <c r="M383" i="124"/>
  <c r="L383" i="124"/>
  <c r="H383" i="124"/>
  <c r="E383" i="124" s="1"/>
  <c r="P382" i="124"/>
  <c r="N382" i="124"/>
  <c r="M382" i="124"/>
  <c r="L382" i="124"/>
  <c r="H382" i="124"/>
  <c r="E382" i="124" s="1"/>
  <c r="P381" i="124"/>
  <c r="N381" i="124"/>
  <c r="M381" i="124"/>
  <c r="L381" i="124"/>
  <c r="H381" i="124"/>
  <c r="E381" i="124" s="1"/>
  <c r="P380" i="124"/>
  <c r="N380" i="124"/>
  <c r="M380" i="124"/>
  <c r="L380" i="124"/>
  <c r="H380" i="124"/>
  <c r="E380" i="124" s="1"/>
  <c r="P379" i="124"/>
  <c r="N379" i="124"/>
  <c r="M379" i="124"/>
  <c r="L379" i="124"/>
  <c r="H379" i="124"/>
  <c r="E379" i="124" s="1"/>
  <c r="P378" i="124"/>
  <c r="N378" i="124"/>
  <c r="M378" i="124"/>
  <c r="L378" i="124"/>
  <c r="H378" i="124"/>
  <c r="E378" i="124" s="1"/>
  <c r="P377" i="124"/>
  <c r="N377" i="124"/>
  <c r="M377" i="124"/>
  <c r="L377" i="124"/>
  <c r="H377" i="124"/>
  <c r="E377" i="124" s="1"/>
  <c r="P376" i="124"/>
  <c r="N376" i="124"/>
  <c r="M376" i="124"/>
  <c r="L376" i="124"/>
  <c r="H376" i="124"/>
  <c r="E376" i="124" s="1"/>
  <c r="C376" i="124"/>
  <c r="P375" i="124"/>
  <c r="N375" i="124"/>
  <c r="M375" i="124"/>
  <c r="L375" i="124"/>
  <c r="H375" i="124"/>
  <c r="E375" i="124" s="1"/>
  <c r="P374" i="124"/>
  <c r="N374" i="124"/>
  <c r="M374" i="124"/>
  <c r="L374" i="124"/>
  <c r="H374" i="124"/>
  <c r="E374" i="124" s="1"/>
  <c r="P373" i="124"/>
  <c r="N373" i="124"/>
  <c r="M373" i="124"/>
  <c r="L373" i="124"/>
  <c r="H373" i="124"/>
  <c r="E373" i="124" s="1"/>
  <c r="P372" i="124"/>
  <c r="N372" i="124"/>
  <c r="M372" i="124"/>
  <c r="L372" i="124"/>
  <c r="H372" i="124"/>
  <c r="E372" i="124" s="1"/>
  <c r="P371" i="124"/>
  <c r="N371" i="124"/>
  <c r="M371" i="124"/>
  <c r="L371" i="124"/>
  <c r="H371" i="124"/>
  <c r="E371" i="124" s="1"/>
  <c r="P370" i="124"/>
  <c r="N370" i="124"/>
  <c r="M370" i="124"/>
  <c r="L370" i="124"/>
  <c r="H370" i="124"/>
  <c r="E370" i="124" s="1"/>
  <c r="P369" i="124"/>
  <c r="N369" i="124"/>
  <c r="M369" i="124"/>
  <c r="L369" i="124"/>
  <c r="H369" i="124"/>
  <c r="E369" i="124" s="1"/>
  <c r="P365" i="124"/>
  <c r="N365" i="124"/>
  <c r="M365" i="124"/>
  <c r="L365" i="124"/>
  <c r="H365" i="124"/>
  <c r="E365" i="124"/>
  <c r="C365" i="124"/>
  <c r="P364" i="124"/>
  <c r="N364" i="124"/>
  <c r="M364" i="124"/>
  <c r="L364" i="124"/>
  <c r="H364" i="124"/>
  <c r="E364" i="124"/>
  <c r="P363" i="124"/>
  <c r="N363" i="124"/>
  <c r="M363" i="124"/>
  <c r="L363" i="124"/>
  <c r="H363" i="124"/>
  <c r="E363" i="124" s="1"/>
  <c r="P362" i="124"/>
  <c r="N362" i="124"/>
  <c r="M362" i="124"/>
  <c r="L362" i="124"/>
  <c r="H362" i="124"/>
  <c r="E362" i="124" s="1"/>
  <c r="C362" i="124"/>
  <c r="P361" i="124"/>
  <c r="N361" i="124"/>
  <c r="M361" i="124"/>
  <c r="L361" i="124"/>
  <c r="H361" i="124"/>
  <c r="E361" i="124"/>
  <c r="P360" i="124"/>
  <c r="N360" i="124"/>
  <c r="M360" i="124"/>
  <c r="L360" i="124"/>
  <c r="H360" i="124"/>
  <c r="E360" i="124" s="1"/>
  <c r="P359" i="124"/>
  <c r="N359" i="124"/>
  <c r="M359" i="124"/>
  <c r="L359" i="124"/>
  <c r="H359" i="124"/>
  <c r="E359" i="124" s="1"/>
  <c r="C359" i="124"/>
  <c r="P358" i="124"/>
  <c r="N358" i="124"/>
  <c r="M358" i="124"/>
  <c r="L358" i="124"/>
  <c r="H358" i="124"/>
  <c r="E358" i="124" s="1"/>
  <c r="P357" i="124"/>
  <c r="N357" i="124"/>
  <c r="M357" i="124"/>
  <c r="L357" i="124"/>
  <c r="H357" i="124"/>
  <c r="E357" i="124" s="1"/>
  <c r="P356" i="124"/>
  <c r="N356" i="124"/>
  <c r="M356" i="124"/>
  <c r="L356" i="124"/>
  <c r="H356" i="124"/>
  <c r="E356" i="124" s="1"/>
  <c r="C356" i="124"/>
  <c r="P355" i="124"/>
  <c r="N355" i="124"/>
  <c r="M355" i="124"/>
  <c r="L355" i="124"/>
  <c r="H355" i="124"/>
  <c r="E355" i="124" s="1"/>
  <c r="P354" i="124"/>
  <c r="N354" i="124"/>
  <c r="M354" i="124"/>
  <c r="L354" i="124"/>
  <c r="H354" i="124"/>
  <c r="E354" i="124" s="1"/>
  <c r="P353" i="124"/>
  <c r="N353" i="124"/>
  <c r="M353" i="124"/>
  <c r="L353" i="124"/>
  <c r="H353" i="124"/>
  <c r="E353" i="124" s="1"/>
  <c r="P352" i="124"/>
  <c r="N352" i="124"/>
  <c r="M352" i="124"/>
  <c r="L352" i="124"/>
  <c r="H352" i="124"/>
  <c r="E352" i="124" s="1"/>
  <c r="P351" i="124"/>
  <c r="N351" i="124"/>
  <c r="M351" i="124"/>
  <c r="L351" i="124"/>
  <c r="H351" i="124"/>
  <c r="E351" i="124" s="1"/>
  <c r="P350" i="124"/>
  <c r="N350" i="124"/>
  <c r="M350" i="124"/>
  <c r="L350" i="124"/>
  <c r="H350" i="124"/>
  <c r="E350" i="124" s="1"/>
  <c r="P349" i="124"/>
  <c r="N349" i="124"/>
  <c r="M349" i="124"/>
  <c r="L349" i="124"/>
  <c r="H349" i="124"/>
  <c r="E349" i="124" s="1"/>
  <c r="P348" i="124"/>
  <c r="N348" i="124"/>
  <c r="M348" i="124"/>
  <c r="L348" i="124"/>
  <c r="H348" i="124"/>
  <c r="E348" i="124" s="1"/>
  <c r="P347" i="124"/>
  <c r="N347" i="124"/>
  <c r="M347" i="124"/>
  <c r="L347" i="124"/>
  <c r="H347" i="124"/>
  <c r="E347" i="124" s="1"/>
  <c r="P346" i="124"/>
  <c r="N346" i="124"/>
  <c r="M346" i="124"/>
  <c r="L346" i="124"/>
  <c r="H346" i="124"/>
  <c r="E346" i="124" s="1"/>
  <c r="P345" i="124"/>
  <c r="N345" i="124"/>
  <c r="M345" i="124"/>
  <c r="L345" i="124"/>
  <c r="H345" i="124"/>
  <c r="E345" i="124" s="1"/>
  <c r="P344" i="124"/>
  <c r="N344" i="124"/>
  <c r="M344" i="124"/>
  <c r="L344" i="124"/>
  <c r="H344" i="124"/>
  <c r="E344" i="124" s="1"/>
  <c r="P343" i="124"/>
  <c r="N343" i="124"/>
  <c r="M343" i="124"/>
  <c r="L343" i="124"/>
  <c r="H343" i="124"/>
  <c r="E343" i="124" s="1"/>
  <c r="P342" i="124"/>
  <c r="N342" i="124"/>
  <c r="M342" i="124"/>
  <c r="L342" i="124"/>
  <c r="H342" i="124"/>
  <c r="E342" i="124" s="1"/>
  <c r="P341" i="124"/>
  <c r="N341" i="124"/>
  <c r="M341" i="124"/>
  <c r="L341" i="124"/>
  <c r="H341" i="124"/>
  <c r="E341" i="124" s="1"/>
  <c r="P340" i="124"/>
  <c r="N340" i="124"/>
  <c r="M340" i="124"/>
  <c r="L340" i="124"/>
  <c r="H340" i="124"/>
  <c r="E340" i="124" s="1"/>
  <c r="P339" i="124"/>
  <c r="N339" i="124"/>
  <c r="M339" i="124"/>
  <c r="L339" i="124"/>
  <c r="H339" i="124"/>
  <c r="E339" i="124" s="1"/>
  <c r="P338" i="124"/>
  <c r="N338" i="124"/>
  <c r="M338" i="124"/>
  <c r="L338" i="124"/>
  <c r="H338" i="124"/>
  <c r="E338" i="124" s="1"/>
  <c r="P337" i="124"/>
  <c r="N337" i="124"/>
  <c r="M337" i="124"/>
  <c r="L337" i="124"/>
  <c r="H337" i="124"/>
  <c r="E337" i="124" s="1"/>
  <c r="P336" i="124"/>
  <c r="N336" i="124"/>
  <c r="M336" i="124"/>
  <c r="L336" i="124"/>
  <c r="H336" i="124"/>
  <c r="E336" i="124" s="1"/>
  <c r="P335" i="124"/>
  <c r="N335" i="124"/>
  <c r="M335" i="124"/>
  <c r="L335" i="124"/>
  <c r="H335" i="124"/>
  <c r="E335" i="124" s="1"/>
  <c r="P334" i="124"/>
  <c r="N334" i="124"/>
  <c r="M334" i="124"/>
  <c r="L334" i="124"/>
  <c r="H334" i="124"/>
  <c r="E334" i="124" s="1"/>
  <c r="P333" i="124"/>
  <c r="N333" i="124"/>
  <c r="M333" i="124"/>
  <c r="L333" i="124"/>
  <c r="H333" i="124"/>
  <c r="E333" i="124" s="1"/>
  <c r="P332" i="124"/>
  <c r="N332" i="124"/>
  <c r="M332" i="124"/>
  <c r="L332" i="124"/>
  <c r="H332" i="124"/>
  <c r="E332" i="124" s="1"/>
  <c r="P331" i="124"/>
  <c r="N331" i="124"/>
  <c r="M331" i="124"/>
  <c r="L331" i="124"/>
  <c r="H331" i="124"/>
  <c r="E331" i="124" s="1"/>
  <c r="P330" i="124"/>
  <c r="N330" i="124"/>
  <c r="M330" i="124"/>
  <c r="L330" i="124"/>
  <c r="H330" i="124"/>
  <c r="E330" i="124" s="1"/>
  <c r="P329" i="124"/>
  <c r="N329" i="124"/>
  <c r="M329" i="124"/>
  <c r="L329" i="124"/>
  <c r="H329" i="124"/>
  <c r="E329" i="124" s="1"/>
  <c r="P328" i="124"/>
  <c r="N328" i="124"/>
  <c r="M328" i="124"/>
  <c r="L328" i="124"/>
  <c r="H328" i="124"/>
  <c r="E328" i="124" s="1"/>
  <c r="P327" i="124"/>
  <c r="N327" i="124"/>
  <c r="M327" i="124"/>
  <c r="L327" i="124"/>
  <c r="H327" i="124"/>
  <c r="E327" i="124" s="1"/>
  <c r="P326" i="124"/>
  <c r="N326" i="124"/>
  <c r="M326" i="124"/>
  <c r="L326" i="124"/>
  <c r="H326" i="124"/>
  <c r="E326" i="124" s="1"/>
  <c r="P325" i="124"/>
  <c r="N325" i="124"/>
  <c r="M325" i="124"/>
  <c r="L325" i="124"/>
  <c r="H325" i="124"/>
  <c r="E325" i="124" s="1"/>
  <c r="P324" i="124"/>
  <c r="N324" i="124"/>
  <c r="M324" i="124"/>
  <c r="L324" i="124"/>
  <c r="H324" i="124"/>
  <c r="E324" i="124" s="1"/>
  <c r="P323" i="124"/>
  <c r="N323" i="124"/>
  <c r="M323" i="124"/>
  <c r="L323" i="124"/>
  <c r="H323" i="124"/>
  <c r="E323" i="124" s="1"/>
  <c r="P322" i="124"/>
  <c r="N322" i="124"/>
  <c r="M322" i="124"/>
  <c r="L322" i="124"/>
  <c r="H322" i="124"/>
  <c r="E322" i="124" s="1"/>
  <c r="P321" i="124"/>
  <c r="N321" i="124"/>
  <c r="M321" i="124"/>
  <c r="L321" i="124"/>
  <c r="H321" i="124"/>
  <c r="E321" i="124" s="1"/>
  <c r="P320" i="124"/>
  <c r="N320" i="124"/>
  <c r="M320" i="124"/>
  <c r="L320" i="124"/>
  <c r="H320" i="124"/>
  <c r="E320" i="124" s="1"/>
  <c r="P319" i="124"/>
  <c r="N319" i="124"/>
  <c r="M319" i="124"/>
  <c r="L319" i="124"/>
  <c r="H319" i="124"/>
  <c r="E319" i="124" s="1"/>
  <c r="P318" i="124"/>
  <c r="N318" i="124"/>
  <c r="M318" i="124"/>
  <c r="L318" i="124"/>
  <c r="H318" i="124"/>
  <c r="E318" i="124" s="1"/>
  <c r="P317" i="124"/>
  <c r="N317" i="124"/>
  <c r="M317" i="124"/>
  <c r="L317" i="124"/>
  <c r="H317" i="124"/>
  <c r="E317" i="124" s="1"/>
  <c r="P316" i="124"/>
  <c r="N316" i="124"/>
  <c r="M316" i="124"/>
  <c r="L316" i="124"/>
  <c r="H316" i="124"/>
  <c r="E316" i="124" s="1"/>
  <c r="P315" i="124"/>
  <c r="N315" i="124"/>
  <c r="M315" i="124"/>
  <c r="L315" i="124"/>
  <c r="H315" i="124"/>
  <c r="E315" i="124" s="1"/>
  <c r="P314" i="124"/>
  <c r="N314" i="124"/>
  <c r="M314" i="124"/>
  <c r="L314" i="124"/>
  <c r="H314" i="124"/>
  <c r="E314" i="124" s="1"/>
  <c r="P313" i="124"/>
  <c r="N313" i="124"/>
  <c r="M313" i="124"/>
  <c r="L313" i="124"/>
  <c r="H313" i="124"/>
  <c r="E313" i="124" s="1"/>
  <c r="P312" i="124"/>
  <c r="N312" i="124"/>
  <c r="M312" i="124"/>
  <c r="L312" i="124"/>
  <c r="H312" i="124"/>
  <c r="E312" i="124" s="1"/>
  <c r="P311" i="124"/>
  <c r="N311" i="124"/>
  <c r="M311" i="124"/>
  <c r="L311" i="124"/>
  <c r="H311" i="124"/>
  <c r="E311" i="124" s="1"/>
  <c r="P310" i="124"/>
  <c r="N310" i="124"/>
  <c r="M310" i="124"/>
  <c r="L310" i="124"/>
  <c r="H310" i="124"/>
  <c r="E310" i="124" s="1"/>
  <c r="P309" i="124"/>
  <c r="N309" i="124"/>
  <c r="M309" i="124"/>
  <c r="L309" i="124"/>
  <c r="H309" i="124"/>
  <c r="E309" i="124" s="1"/>
  <c r="P308" i="124"/>
  <c r="N308" i="124"/>
  <c r="M308" i="124"/>
  <c r="L308" i="124"/>
  <c r="H308" i="124"/>
  <c r="E308" i="124" s="1"/>
  <c r="P307" i="124"/>
  <c r="N307" i="124"/>
  <c r="M307" i="124"/>
  <c r="L307" i="124"/>
  <c r="H307" i="124"/>
  <c r="E307" i="124" s="1"/>
  <c r="P306" i="124"/>
  <c r="N306" i="124"/>
  <c r="M306" i="124"/>
  <c r="L306" i="124"/>
  <c r="H306" i="124"/>
  <c r="E306" i="124" s="1"/>
  <c r="P305" i="124"/>
  <c r="N305" i="124"/>
  <c r="M305" i="124"/>
  <c r="L305" i="124"/>
  <c r="H305" i="124"/>
  <c r="E305" i="124" s="1"/>
  <c r="P304" i="124"/>
  <c r="N304" i="124"/>
  <c r="M304" i="124"/>
  <c r="L304" i="124"/>
  <c r="H304" i="124"/>
  <c r="E304" i="124" s="1"/>
  <c r="P303" i="124"/>
  <c r="N303" i="124"/>
  <c r="M303" i="124"/>
  <c r="L303" i="124"/>
  <c r="H303" i="124"/>
  <c r="E303" i="124" s="1"/>
  <c r="P302" i="124"/>
  <c r="N302" i="124"/>
  <c r="M302" i="124"/>
  <c r="L302" i="124"/>
  <c r="H302" i="124"/>
  <c r="E302" i="124" s="1"/>
  <c r="P301" i="124"/>
  <c r="N301" i="124"/>
  <c r="M301" i="124"/>
  <c r="L301" i="124"/>
  <c r="H301" i="124"/>
  <c r="E301" i="124" s="1"/>
  <c r="P300" i="124"/>
  <c r="N300" i="124"/>
  <c r="M300" i="124"/>
  <c r="L300" i="124"/>
  <c r="H300" i="124"/>
  <c r="E300" i="124" s="1"/>
  <c r="P299" i="124"/>
  <c r="N299" i="124"/>
  <c r="M299" i="124"/>
  <c r="L299" i="124"/>
  <c r="H299" i="124"/>
  <c r="E299" i="124" s="1"/>
  <c r="P298" i="124"/>
  <c r="N298" i="124"/>
  <c r="M298" i="124"/>
  <c r="L298" i="124"/>
  <c r="H298" i="124"/>
  <c r="E298" i="124" s="1"/>
  <c r="P297" i="124"/>
  <c r="N297" i="124"/>
  <c r="M297" i="124"/>
  <c r="L297" i="124"/>
  <c r="H297" i="124"/>
  <c r="E297" i="124" s="1"/>
  <c r="P296" i="124"/>
  <c r="N296" i="124"/>
  <c r="M296" i="124"/>
  <c r="L296" i="124"/>
  <c r="H296" i="124"/>
  <c r="E296" i="124" s="1"/>
  <c r="P295" i="124"/>
  <c r="N295" i="124"/>
  <c r="M295" i="124"/>
  <c r="L295" i="124"/>
  <c r="H295" i="124"/>
  <c r="E295" i="124" s="1"/>
  <c r="P294" i="124"/>
  <c r="N294" i="124"/>
  <c r="M294" i="124"/>
  <c r="L294" i="124"/>
  <c r="H294" i="124"/>
  <c r="E294" i="124" s="1"/>
  <c r="P293" i="124"/>
  <c r="N293" i="124"/>
  <c r="M293" i="124"/>
  <c r="L293" i="124"/>
  <c r="H293" i="124"/>
  <c r="E293" i="124" s="1"/>
  <c r="P292" i="124"/>
  <c r="N292" i="124"/>
  <c r="M292" i="124"/>
  <c r="L292" i="124"/>
  <c r="H292" i="124"/>
  <c r="E292" i="124" s="1"/>
  <c r="P291" i="124"/>
  <c r="N291" i="124"/>
  <c r="M291" i="124"/>
  <c r="L291" i="124"/>
  <c r="H291" i="124"/>
  <c r="E291" i="124" s="1"/>
  <c r="P290" i="124"/>
  <c r="N290" i="124"/>
  <c r="M290" i="124"/>
  <c r="L290" i="124"/>
  <c r="H290" i="124"/>
  <c r="E290" i="124" s="1"/>
  <c r="P289" i="124"/>
  <c r="N289" i="124"/>
  <c r="M289" i="124"/>
  <c r="L289" i="124"/>
  <c r="H289" i="124"/>
  <c r="E289" i="124" s="1"/>
  <c r="P288" i="124"/>
  <c r="N288" i="124"/>
  <c r="M288" i="124"/>
  <c r="L288" i="124"/>
  <c r="H288" i="124"/>
  <c r="E288" i="124" s="1"/>
  <c r="P287" i="124"/>
  <c r="N287" i="124"/>
  <c r="M287" i="124"/>
  <c r="L287" i="124"/>
  <c r="H287" i="124"/>
  <c r="E287" i="124" s="1"/>
  <c r="P286" i="124"/>
  <c r="N286" i="124"/>
  <c r="M286" i="124"/>
  <c r="L286" i="124"/>
  <c r="H286" i="124"/>
  <c r="E286" i="124" s="1"/>
  <c r="P285" i="124"/>
  <c r="N285" i="124"/>
  <c r="M285" i="124"/>
  <c r="L285" i="124"/>
  <c r="H285" i="124"/>
  <c r="E285" i="124" s="1"/>
  <c r="P284" i="124"/>
  <c r="N284" i="124"/>
  <c r="M284" i="124"/>
  <c r="L284" i="124"/>
  <c r="H284" i="124"/>
  <c r="E284" i="124" s="1"/>
  <c r="P283" i="124"/>
  <c r="N283" i="124"/>
  <c r="M283" i="124"/>
  <c r="L283" i="124"/>
  <c r="H283" i="124"/>
  <c r="E283" i="124" s="1"/>
  <c r="P282" i="124"/>
  <c r="N282" i="124"/>
  <c r="M282" i="124"/>
  <c r="L282" i="124"/>
  <c r="H282" i="124"/>
  <c r="E282" i="124" s="1"/>
  <c r="P281" i="124"/>
  <c r="N281" i="124"/>
  <c r="M281" i="124"/>
  <c r="L281" i="124"/>
  <c r="H281" i="124"/>
  <c r="E281" i="124" s="1"/>
  <c r="P280" i="124"/>
  <c r="N280" i="124"/>
  <c r="M280" i="124"/>
  <c r="L280" i="124"/>
  <c r="H280" i="124"/>
  <c r="E280" i="124" s="1"/>
  <c r="P279" i="124"/>
  <c r="N279" i="124"/>
  <c r="M279" i="124"/>
  <c r="L279" i="124"/>
  <c r="H279" i="124"/>
  <c r="E279" i="124" s="1"/>
  <c r="P278" i="124"/>
  <c r="N278" i="124"/>
  <c r="M278" i="124"/>
  <c r="L278" i="124"/>
  <c r="H278" i="124"/>
  <c r="E278" i="124" s="1"/>
  <c r="P277" i="124"/>
  <c r="N277" i="124"/>
  <c r="M277" i="124"/>
  <c r="L277" i="124"/>
  <c r="H277" i="124"/>
  <c r="E277" i="124" s="1"/>
  <c r="P276" i="124"/>
  <c r="N276" i="124"/>
  <c r="M276" i="124"/>
  <c r="L276" i="124"/>
  <c r="H276" i="124"/>
  <c r="E276" i="124" s="1"/>
  <c r="P275" i="124"/>
  <c r="N275" i="124"/>
  <c r="M275" i="124"/>
  <c r="L275" i="124"/>
  <c r="H275" i="124"/>
  <c r="E275" i="124" s="1"/>
  <c r="P274" i="124"/>
  <c r="N274" i="124"/>
  <c r="M274" i="124"/>
  <c r="L274" i="124"/>
  <c r="H274" i="124"/>
  <c r="E274" i="124" s="1"/>
  <c r="P273" i="124"/>
  <c r="N273" i="124"/>
  <c r="M273" i="124"/>
  <c r="L273" i="124"/>
  <c r="H273" i="124"/>
  <c r="E273" i="124" s="1"/>
  <c r="P272" i="124"/>
  <c r="N272" i="124"/>
  <c r="M272" i="124"/>
  <c r="L272" i="124"/>
  <c r="H272" i="124"/>
  <c r="E272" i="124" s="1"/>
  <c r="P271" i="124"/>
  <c r="N271" i="124"/>
  <c r="M271" i="124"/>
  <c r="L271" i="124"/>
  <c r="H271" i="124"/>
  <c r="E271" i="124" s="1"/>
  <c r="P270" i="124"/>
  <c r="N270" i="124"/>
  <c r="M270" i="124"/>
  <c r="L270" i="124"/>
  <c r="H270" i="124"/>
  <c r="E270" i="124" s="1"/>
  <c r="P269" i="124"/>
  <c r="N269" i="124"/>
  <c r="M269" i="124"/>
  <c r="L269" i="124"/>
  <c r="H269" i="124"/>
  <c r="E269" i="124" s="1"/>
  <c r="P268" i="124"/>
  <c r="N268" i="124"/>
  <c r="M268" i="124"/>
  <c r="L268" i="124"/>
  <c r="H268" i="124"/>
  <c r="E268" i="124" s="1"/>
  <c r="P267" i="124"/>
  <c r="N267" i="124"/>
  <c r="M267" i="124"/>
  <c r="L267" i="124"/>
  <c r="H267" i="124"/>
  <c r="E267" i="124" s="1"/>
  <c r="P266" i="124"/>
  <c r="N266" i="124"/>
  <c r="M266" i="124"/>
  <c r="L266" i="124"/>
  <c r="H266" i="124"/>
  <c r="E266" i="124" s="1"/>
  <c r="P265" i="124"/>
  <c r="N265" i="124"/>
  <c r="M265" i="124"/>
  <c r="L265" i="124"/>
  <c r="H265" i="124"/>
  <c r="E265" i="124" s="1"/>
  <c r="P264" i="124"/>
  <c r="N264" i="124"/>
  <c r="M264" i="124"/>
  <c r="L264" i="124"/>
  <c r="H264" i="124"/>
  <c r="E264" i="124" s="1"/>
  <c r="P263" i="124"/>
  <c r="N263" i="124"/>
  <c r="M263" i="124"/>
  <c r="L263" i="124"/>
  <c r="H263" i="124"/>
  <c r="E263" i="124" s="1"/>
  <c r="P262" i="124"/>
  <c r="N262" i="124"/>
  <c r="M262" i="124"/>
  <c r="L262" i="124"/>
  <c r="H262" i="124"/>
  <c r="E262" i="124" s="1"/>
  <c r="P261" i="124"/>
  <c r="N261" i="124"/>
  <c r="M261" i="124"/>
  <c r="L261" i="124"/>
  <c r="H261" i="124"/>
  <c r="E261" i="124" s="1"/>
  <c r="P260" i="124"/>
  <c r="N260" i="124"/>
  <c r="M260" i="124"/>
  <c r="L260" i="124"/>
  <c r="H260" i="124"/>
  <c r="E260" i="124" s="1"/>
  <c r="P259" i="124"/>
  <c r="N259" i="124"/>
  <c r="M259" i="124"/>
  <c r="L259" i="124"/>
  <c r="H259" i="124"/>
  <c r="E259" i="124" s="1"/>
  <c r="P258" i="124"/>
  <c r="N258" i="124"/>
  <c r="M258" i="124"/>
  <c r="L258" i="124"/>
  <c r="H258" i="124"/>
  <c r="E258" i="124" s="1"/>
  <c r="P257" i="124"/>
  <c r="N257" i="124"/>
  <c r="M257" i="124"/>
  <c r="L257" i="124"/>
  <c r="H257" i="124"/>
  <c r="E257" i="124" s="1"/>
  <c r="P256" i="124"/>
  <c r="N256" i="124"/>
  <c r="M256" i="124"/>
  <c r="L256" i="124"/>
  <c r="H256" i="124"/>
  <c r="E256" i="124" s="1"/>
  <c r="P255" i="124"/>
  <c r="N255" i="124"/>
  <c r="M255" i="124"/>
  <c r="L255" i="124"/>
  <c r="H255" i="124"/>
  <c r="E255" i="124" s="1"/>
  <c r="P254" i="124"/>
  <c r="N254" i="124"/>
  <c r="M254" i="124"/>
  <c r="L254" i="124"/>
  <c r="H254" i="124"/>
  <c r="E254" i="124" s="1"/>
  <c r="P253" i="124"/>
  <c r="N253" i="124"/>
  <c r="M253" i="124"/>
  <c r="L253" i="124"/>
  <c r="H253" i="124"/>
  <c r="E253" i="124" s="1"/>
  <c r="P252" i="124"/>
  <c r="N252" i="124"/>
  <c r="M252" i="124"/>
  <c r="L252" i="124"/>
  <c r="H252" i="124"/>
  <c r="E252" i="124" s="1"/>
  <c r="P251" i="124"/>
  <c r="N251" i="124"/>
  <c r="M251" i="124"/>
  <c r="L251" i="124"/>
  <c r="H251" i="124"/>
  <c r="E251" i="124" s="1"/>
  <c r="P250" i="124"/>
  <c r="N250" i="124"/>
  <c r="M250" i="124"/>
  <c r="L250" i="124"/>
  <c r="H250" i="124"/>
  <c r="E250" i="124" s="1"/>
  <c r="P249" i="124"/>
  <c r="N249" i="124"/>
  <c r="M249" i="124"/>
  <c r="L249" i="124"/>
  <c r="H249" i="124"/>
  <c r="E249" i="124" s="1"/>
  <c r="P248" i="124"/>
  <c r="N248" i="124"/>
  <c r="M248" i="124"/>
  <c r="L248" i="124"/>
  <c r="H248" i="124"/>
  <c r="E248" i="124" s="1"/>
  <c r="P247" i="124"/>
  <c r="N247" i="124"/>
  <c r="M247" i="124"/>
  <c r="L247" i="124"/>
  <c r="H247" i="124"/>
  <c r="E247" i="124" s="1"/>
  <c r="P246" i="124"/>
  <c r="N246" i="124"/>
  <c r="M246" i="124"/>
  <c r="L246" i="124"/>
  <c r="H246" i="124"/>
  <c r="E246" i="124" s="1"/>
  <c r="P245" i="124"/>
  <c r="N245" i="124"/>
  <c r="M245" i="124"/>
  <c r="L245" i="124"/>
  <c r="H245" i="124"/>
  <c r="E245" i="124" s="1"/>
  <c r="P244" i="124"/>
  <c r="N244" i="124"/>
  <c r="M244" i="124"/>
  <c r="L244" i="124"/>
  <c r="H244" i="124"/>
  <c r="E244" i="124" s="1"/>
  <c r="P243" i="124"/>
  <c r="N243" i="124"/>
  <c r="M243" i="124"/>
  <c r="L243" i="124"/>
  <c r="H243" i="124"/>
  <c r="E243" i="124" s="1"/>
  <c r="P242" i="124"/>
  <c r="N242" i="124"/>
  <c r="M242" i="124"/>
  <c r="L242" i="124"/>
  <c r="H242" i="124"/>
  <c r="E242" i="124" s="1"/>
  <c r="P241" i="124"/>
  <c r="N241" i="124"/>
  <c r="M241" i="124"/>
  <c r="L241" i="124"/>
  <c r="H241" i="124"/>
  <c r="E241" i="124" s="1"/>
  <c r="P240" i="124"/>
  <c r="N240" i="124"/>
  <c r="M240" i="124"/>
  <c r="L240" i="124"/>
  <c r="H240" i="124"/>
  <c r="E240" i="124" s="1"/>
  <c r="P239" i="124"/>
  <c r="N239" i="124"/>
  <c r="M239" i="124"/>
  <c r="L239" i="124"/>
  <c r="H239" i="124"/>
  <c r="E239" i="124" s="1"/>
  <c r="P238" i="124"/>
  <c r="N238" i="124"/>
  <c r="M238" i="124"/>
  <c r="L238" i="124"/>
  <c r="H238" i="124"/>
  <c r="E238" i="124" s="1"/>
  <c r="P237" i="124"/>
  <c r="N237" i="124"/>
  <c r="M237" i="124"/>
  <c r="L237" i="124"/>
  <c r="H237" i="124"/>
  <c r="E237" i="124" s="1"/>
  <c r="P236" i="124"/>
  <c r="N236" i="124"/>
  <c r="M236" i="124"/>
  <c r="L236" i="124"/>
  <c r="H236" i="124"/>
  <c r="E236" i="124" s="1"/>
  <c r="P235" i="124"/>
  <c r="N235" i="124"/>
  <c r="M235" i="124"/>
  <c r="L235" i="124"/>
  <c r="H235" i="124"/>
  <c r="E235" i="124" s="1"/>
  <c r="P234" i="124"/>
  <c r="N234" i="124"/>
  <c r="M234" i="124"/>
  <c r="L234" i="124"/>
  <c r="H234" i="124"/>
  <c r="E234" i="124" s="1"/>
  <c r="P233" i="124"/>
  <c r="N233" i="124"/>
  <c r="M233" i="124"/>
  <c r="L233" i="124"/>
  <c r="H233" i="124"/>
  <c r="E233" i="124" s="1"/>
  <c r="P232" i="124"/>
  <c r="N232" i="124"/>
  <c r="M232" i="124"/>
  <c r="L232" i="124"/>
  <c r="H232" i="124"/>
  <c r="E232" i="124" s="1"/>
  <c r="P231" i="124"/>
  <c r="N231" i="124"/>
  <c r="M231" i="124"/>
  <c r="L231" i="124"/>
  <c r="H231" i="124"/>
  <c r="E231" i="124" s="1"/>
  <c r="P230" i="124"/>
  <c r="N230" i="124"/>
  <c r="M230" i="124"/>
  <c r="L230" i="124"/>
  <c r="H230" i="124"/>
  <c r="E230" i="124" s="1"/>
  <c r="P229" i="124"/>
  <c r="N229" i="124"/>
  <c r="M229" i="124"/>
  <c r="L229" i="124"/>
  <c r="H229" i="124"/>
  <c r="E229" i="124" s="1"/>
  <c r="P228" i="124"/>
  <c r="N228" i="124"/>
  <c r="M228" i="124"/>
  <c r="L228" i="124"/>
  <c r="H228" i="124"/>
  <c r="E228" i="124" s="1"/>
  <c r="P227" i="124"/>
  <c r="N227" i="124"/>
  <c r="M227" i="124"/>
  <c r="L227" i="124"/>
  <c r="H227" i="124"/>
  <c r="E227" i="124" s="1"/>
  <c r="P226" i="124"/>
  <c r="N226" i="124"/>
  <c r="M226" i="124"/>
  <c r="L226" i="124"/>
  <c r="H226" i="124"/>
  <c r="E226" i="124" s="1"/>
  <c r="P225" i="124"/>
  <c r="N225" i="124"/>
  <c r="M225" i="124"/>
  <c r="L225" i="124"/>
  <c r="H225" i="124"/>
  <c r="E225" i="124" s="1"/>
  <c r="P224" i="124"/>
  <c r="N224" i="124"/>
  <c r="M224" i="124"/>
  <c r="L224" i="124"/>
  <c r="H224" i="124"/>
  <c r="E224" i="124" s="1"/>
  <c r="P223" i="124"/>
  <c r="N223" i="124"/>
  <c r="M223" i="124"/>
  <c r="L223" i="124"/>
  <c r="H223" i="124"/>
  <c r="E223" i="124" s="1"/>
  <c r="P222" i="124"/>
  <c r="N222" i="124"/>
  <c r="M222" i="124"/>
  <c r="L222" i="124"/>
  <c r="H222" i="124"/>
  <c r="E222" i="124" s="1"/>
  <c r="P221" i="124"/>
  <c r="N221" i="124"/>
  <c r="M221" i="124"/>
  <c r="L221" i="124"/>
  <c r="H221" i="124"/>
  <c r="E221" i="124" s="1"/>
  <c r="P220" i="124"/>
  <c r="N220" i="124"/>
  <c r="M220" i="124"/>
  <c r="L220" i="124"/>
  <c r="H220" i="124"/>
  <c r="E220" i="124" s="1"/>
  <c r="P219" i="124"/>
  <c r="N219" i="124"/>
  <c r="M219" i="124"/>
  <c r="L219" i="124"/>
  <c r="H219" i="124"/>
  <c r="E219" i="124" s="1"/>
  <c r="P218" i="124"/>
  <c r="N218" i="124"/>
  <c r="M218" i="124"/>
  <c r="L218" i="124"/>
  <c r="H218" i="124"/>
  <c r="E218" i="124" s="1"/>
  <c r="P217" i="124"/>
  <c r="N217" i="124"/>
  <c r="M217" i="124"/>
  <c r="L217" i="124"/>
  <c r="H217" i="124"/>
  <c r="E217" i="124" s="1"/>
  <c r="P216" i="124"/>
  <c r="N216" i="124"/>
  <c r="M216" i="124"/>
  <c r="L216" i="124"/>
  <c r="H216" i="124"/>
  <c r="E216" i="124" s="1"/>
  <c r="P215" i="124"/>
  <c r="N215" i="124"/>
  <c r="M215" i="124"/>
  <c r="L215" i="124"/>
  <c r="H215" i="124"/>
  <c r="E215" i="124" s="1"/>
  <c r="P214" i="124"/>
  <c r="N214" i="124"/>
  <c r="M214" i="124"/>
  <c r="L214" i="124"/>
  <c r="H214" i="124"/>
  <c r="E214" i="124" s="1"/>
  <c r="P213" i="124"/>
  <c r="N213" i="124"/>
  <c r="M213" i="124"/>
  <c r="L213" i="124"/>
  <c r="H213" i="124"/>
  <c r="E213" i="124" s="1"/>
  <c r="P212" i="124"/>
  <c r="N212" i="124"/>
  <c r="M212" i="124"/>
  <c r="L212" i="124"/>
  <c r="H212" i="124"/>
  <c r="E212" i="124" s="1"/>
  <c r="P211" i="124"/>
  <c r="N211" i="124"/>
  <c r="M211" i="124"/>
  <c r="L211" i="124"/>
  <c r="H211" i="124"/>
  <c r="E211" i="124" s="1"/>
  <c r="P210" i="124"/>
  <c r="N210" i="124"/>
  <c r="M210" i="124"/>
  <c r="L210" i="124"/>
  <c r="H210" i="124"/>
  <c r="E210" i="124" s="1"/>
  <c r="P209" i="124"/>
  <c r="N209" i="124"/>
  <c r="M209" i="124"/>
  <c r="L209" i="124"/>
  <c r="H209" i="124"/>
  <c r="E209" i="124" s="1"/>
  <c r="P208" i="124"/>
  <c r="N208" i="124"/>
  <c r="M208" i="124"/>
  <c r="L208" i="124"/>
  <c r="H208" i="124"/>
  <c r="E208" i="124" s="1"/>
  <c r="P207" i="124"/>
  <c r="N207" i="124"/>
  <c r="M207" i="124"/>
  <c r="L207" i="124"/>
  <c r="H207" i="124"/>
  <c r="E207" i="124" s="1"/>
  <c r="P203" i="124"/>
  <c r="N203" i="124"/>
  <c r="M203" i="124"/>
  <c r="L203" i="124"/>
  <c r="H203" i="124"/>
  <c r="E203" i="124"/>
  <c r="C203" i="124"/>
  <c r="P202" i="124"/>
  <c r="N202" i="124"/>
  <c r="M202" i="124"/>
  <c r="L202" i="124"/>
  <c r="E202" i="124"/>
  <c r="P201" i="124"/>
  <c r="N201" i="124"/>
  <c r="M201" i="124"/>
  <c r="L201" i="124"/>
  <c r="H201" i="124"/>
  <c r="E201" i="124" s="1"/>
  <c r="P200" i="124"/>
  <c r="N200" i="124"/>
  <c r="M200" i="124"/>
  <c r="L200" i="124"/>
  <c r="H200" i="124"/>
  <c r="E200" i="124" s="1"/>
  <c r="C200" i="124"/>
  <c r="P199" i="124"/>
  <c r="N199" i="124"/>
  <c r="M199" i="124"/>
  <c r="L199" i="124"/>
  <c r="H199" i="124"/>
  <c r="E199" i="124" s="1"/>
  <c r="P198" i="124"/>
  <c r="N198" i="124"/>
  <c r="M198" i="124"/>
  <c r="L198" i="124"/>
  <c r="H198" i="124"/>
  <c r="E198" i="124" s="1"/>
  <c r="P197" i="124"/>
  <c r="N197" i="124"/>
  <c r="M197" i="124"/>
  <c r="L197" i="124"/>
  <c r="H197" i="124"/>
  <c r="E197" i="124" s="1"/>
  <c r="P196" i="124"/>
  <c r="N196" i="124"/>
  <c r="M196" i="124"/>
  <c r="L196" i="124"/>
  <c r="H196" i="124"/>
  <c r="E196" i="124" s="1"/>
  <c r="P195" i="124"/>
  <c r="N195" i="124"/>
  <c r="M195" i="124"/>
  <c r="L195" i="124"/>
  <c r="H195" i="124"/>
  <c r="E195" i="124" s="1"/>
  <c r="P194" i="124"/>
  <c r="N194" i="124"/>
  <c r="M194" i="124"/>
  <c r="L194" i="124"/>
  <c r="H194" i="124"/>
  <c r="E194" i="124" s="1"/>
  <c r="P193" i="124"/>
  <c r="N193" i="124"/>
  <c r="M193" i="124"/>
  <c r="L193" i="124"/>
  <c r="H193" i="124"/>
  <c r="E193" i="124" s="1"/>
  <c r="C193" i="124"/>
  <c r="P192" i="124"/>
  <c r="N192" i="124"/>
  <c r="M192" i="124"/>
  <c r="L192" i="124"/>
  <c r="H192" i="124"/>
  <c r="E192" i="124" s="1"/>
  <c r="P191" i="124"/>
  <c r="N191" i="124"/>
  <c r="M191" i="124"/>
  <c r="L191" i="124"/>
  <c r="H191" i="124"/>
  <c r="E191" i="124" s="1"/>
  <c r="P190" i="124"/>
  <c r="N190" i="124"/>
  <c r="M190" i="124"/>
  <c r="L190" i="124"/>
  <c r="H190" i="124"/>
  <c r="E190" i="124" s="1"/>
  <c r="P189" i="124"/>
  <c r="N189" i="124"/>
  <c r="M189" i="124"/>
  <c r="L189" i="124"/>
  <c r="H189" i="124"/>
  <c r="E189" i="124" s="1"/>
  <c r="P188" i="124"/>
  <c r="N188" i="124"/>
  <c r="M188" i="124"/>
  <c r="L188" i="124"/>
  <c r="H188" i="124"/>
  <c r="E188" i="124" s="1"/>
  <c r="P187" i="124"/>
  <c r="N187" i="124"/>
  <c r="M187" i="124"/>
  <c r="L187" i="124"/>
  <c r="H187" i="124"/>
  <c r="E187" i="124" s="1"/>
  <c r="P186" i="124"/>
  <c r="N186" i="124"/>
  <c r="M186" i="124"/>
  <c r="L186" i="124"/>
  <c r="H186" i="124"/>
  <c r="E186" i="124" s="1"/>
  <c r="C186" i="124"/>
  <c r="P185" i="124"/>
  <c r="N185" i="124"/>
  <c r="M185" i="124"/>
  <c r="L185" i="124"/>
  <c r="H185" i="124"/>
  <c r="E185" i="124" s="1"/>
  <c r="P184" i="124"/>
  <c r="N184" i="124"/>
  <c r="M184" i="124"/>
  <c r="L184" i="124"/>
  <c r="H184" i="124"/>
  <c r="E184" i="124" s="1"/>
  <c r="P183" i="124"/>
  <c r="N183" i="124"/>
  <c r="M183" i="124"/>
  <c r="L183" i="124"/>
  <c r="H183" i="124"/>
  <c r="E183" i="124" s="1"/>
  <c r="P182" i="124"/>
  <c r="N182" i="124"/>
  <c r="M182" i="124"/>
  <c r="L182" i="124"/>
  <c r="H182" i="124"/>
  <c r="E182" i="124" s="1"/>
  <c r="P181" i="124"/>
  <c r="N181" i="124"/>
  <c r="M181" i="124"/>
  <c r="L181" i="124"/>
  <c r="H181" i="124"/>
  <c r="E181" i="124" s="1"/>
  <c r="P180" i="124"/>
  <c r="N180" i="124"/>
  <c r="M180" i="124"/>
  <c r="L180" i="124"/>
  <c r="H180" i="124"/>
  <c r="E180" i="124" s="1"/>
  <c r="P179" i="124"/>
  <c r="N179" i="124"/>
  <c r="M179" i="124"/>
  <c r="L179" i="124"/>
  <c r="H179" i="124"/>
  <c r="E179" i="124" s="1"/>
  <c r="C179" i="124"/>
  <c r="P178" i="124"/>
  <c r="N178" i="124"/>
  <c r="M178" i="124"/>
  <c r="L178" i="124"/>
  <c r="H178" i="124"/>
  <c r="E178" i="124" s="1"/>
  <c r="P177" i="124"/>
  <c r="N177" i="124"/>
  <c r="M177" i="124"/>
  <c r="L177" i="124"/>
  <c r="H177" i="124"/>
  <c r="E177" i="124" s="1"/>
  <c r="P176" i="124"/>
  <c r="N176" i="124"/>
  <c r="M176" i="124"/>
  <c r="L176" i="124"/>
  <c r="H176" i="124"/>
  <c r="E176" i="124" s="1"/>
  <c r="P175" i="124"/>
  <c r="N175" i="124"/>
  <c r="M175" i="124"/>
  <c r="L175" i="124"/>
  <c r="H175" i="124"/>
  <c r="E175" i="124" s="1"/>
  <c r="P174" i="124"/>
  <c r="N174" i="124"/>
  <c r="M174" i="124"/>
  <c r="L174" i="124"/>
  <c r="H174" i="124"/>
  <c r="E174" i="124" s="1"/>
  <c r="P173" i="124"/>
  <c r="N173" i="124"/>
  <c r="M173" i="124"/>
  <c r="L173" i="124"/>
  <c r="H173" i="124"/>
  <c r="E173" i="124" s="1"/>
  <c r="P172" i="124"/>
  <c r="N172" i="124"/>
  <c r="M172" i="124"/>
  <c r="L172" i="124"/>
  <c r="H172" i="124"/>
  <c r="E172" i="124" s="1"/>
  <c r="C172" i="124"/>
  <c r="P171" i="124"/>
  <c r="N171" i="124"/>
  <c r="M171" i="124"/>
  <c r="L171" i="124"/>
  <c r="H171" i="124"/>
  <c r="E171" i="124" s="1"/>
  <c r="P170" i="124"/>
  <c r="N170" i="124"/>
  <c r="M170" i="124"/>
  <c r="L170" i="124"/>
  <c r="H170" i="124"/>
  <c r="E170" i="124" s="1"/>
  <c r="P169" i="124"/>
  <c r="N169" i="124"/>
  <c r="M169" i="124"/>
  <c r="L169" i="124"/>
  <c r="H169" i="124"/>
  <c r="E169" i="124" s="1"/>
  <c r="P168" i="124"/>
  <c r="N168" i="124"/>
  <c r="M168" i="124"/>
  <c r="L168" i="124"/>
  <c r="H168" i="124"/>
  <c r="E168" i="124" s="1"/>
  <c r="P167" i="124"/>
  <c r="N167" i="124"/>
  <c r="M167" i="124"/>
  <c r="L167" i="124"/>
  <c r="H167" i="124"/>
  <c r="E167" i="124" s="1"/>
  <c r="P166" i="124"/>
  <c r="N166" i="124"/>
  <c r="M166" i="124"/>
  <c r="L166" i="124"/>
  <c r="H166" i="124"/>
  <c r="E166" i="124" s="1"/>
  <c r="P165" i="124"/>
  <c r="N165" i="124"/>
  <c r="M165" i="124"/>
  <c r="L165" i="124"/>
  <c r="H165" i="124"/>
  <c r="E165" i="124" s="1"/>
  <c r="P164" i="124"/>
  <c r="N164" i="124"/>
  <c r="M164" i="124"/>
  <c r="L164" i="124"/>
  <c r="H164" i="124"/>
  <c r="E164" i="124" s="1"/>
  <c r="P163" i="124"/>
  <c r="N163" i="124"/>
  <c r="M163" i="124"/>
  <c r="L163" i="124"/>
  <c r="H163" i="124"/>
  <c r="E163" i="124" s="1"/>
  <c r="P162" i="124"/>
  <c r="N162" i="124"/>
  <c r="M162" i="124"/>
  <c r="L162" i="124"/>
  <c r="H162" i="124"/>
  <c r="E162" i="124" s="1"/>
  <c r="P161" i="124"/>
  <c r="N161" i="124"/>
  <c r="M161" i="124"/>
  <c r="L161" i="124"/>
  <c r="H161" i="124"/>
  <c r="E161" i="124" s="1"/>
  <c r="C161" i="124"/>
  <c r="P160" i="124"/>
  <c r="N160" i="124"/>
  <c r="M160" i="124"/>
  <c r="L160" i="124"/>
  <c r="H160" i="124"/>
  <c r="E160" i="124" s="1"/>
  <c r="C160" i="124"/>
  <c r="P159" i="124"/>
  <c r="N159" i="124"/>
  <c r="M159" i="124"/>
  <c r="L159" i="124"/>
  <c r="H159" i="124"/>
  <c r="E159" i="124" s="1"/>
  <c r="P158" i="124"/>
  <c r="N158" i="124"/>
  <c r="M158" i="124"/>
  <c r="L158" i="124"/>
  <c r="H158" i="124"/>
  <c r="E158" i="124" s="1"/>
  <c r="P157" i="124"/>
  <c r="N157" i="124"/>
  <c r="M157" i="124"/>
  <c r="L157" i="124"/>
  <c r="H157" i="124"/>
  <c r="E157" i="124" s="1"/>
  <c r="P156" i="124"/>
  <c r="N156" i="124"/>
  <c r="M156" i="124"/>
  <c r="L156" i="124"/>
  <c r="H156" i="124"/>
  <c r="E156" i="124" s="1"/>
  <c r="P155" i="124"/>
  <c r="N155" i="124"/>
  <c r="M155" i="124"/>
  <c r="L155" i="124"/>
  <c r="H155" i="124"/>
  <c r="E155" i="124" s="1"/>
  <c r="P154" i="124"/>
  <c r="N154" i="124"/>
  <c r="M154" i="124"/>
  <c r="L154" i="124"/>
  <c r="H154" i="124"/>
  <c r="E154" i="124" s="1"/>
  <c r="P153" i="124"/>
  <c r="N153" i="124"/>
  <c r="M153" i="124"/>
  <c r="L153" i="124"/>
  <c r="H153" i="124"/>
  <c r="E153" i="124" s="1"/>
  <c r="C153" i="124"/>
  <c r="P152" i="124"/>
  <c r="N152" i="124"/>
  <c r="M152" i="124"/>
  <c r="L152" i="124"/>
  <c r="H152" i="124"/>
  <c r="E152" i="124" s="1"/>
  <c r="P151" i="124"/>
  <c r="N151" i="124"/>
  <c r="M151" i="124"/>
  <c r="L151" i="124"/>
  <c r="H151" i="124"/>
  <c r="E151" i="124" s="1"/>
  <c r="P150" i="124"/>
  <c r="N150" i="124"/>
  <c r="M150" i="124"/>
  <c r="L150" i="124"/>
  <c r="H150" i="124"/>
  <c r="E150" i="124" s="1"/>
  <c r="P149" i="124"/>
  <c r="N149" i="124"/>
  <c r="M149" i="124"/>
  <c r="L149" i="124"/>
  <c r="H149" i="124"/>
  <c r="E149" i="124" s="1"/>
  <c r="P148" i="124"/>
  <c r="N148" i="124"/>
  <c r="M148" i="124"/>
  <c r="L148" i="124"/>
  <c r="H148" i="124"/>
  <c r="E148" i="124" s="1"/>
  <c r="P147" i="124"/>
  <c r="N147" i="124"/>
  <c r="M147" i="124"/>
  <c r="L147" i="124"/>
  <c r="H147" i="124"/>
  <c r="E147" i="124" s="1"/>
  <c r="P146" i="124"/>
  <c r="N146" i="124"/>
  <c r="M146" i="124"/>
  <c r="L146" i="124"/>
  <c r="H146" i="124"/>
  <c r="E146" i="124" s="1"/>
  <c r="C146" i="124"/>
  <c r="P145" i="124"/>
  <c r="N145" i="124"/>
  <c r="M145" i="124"/>
  <c r="L145" i="124"/>
  <c r="H145" i="124"/>
  <c r="E145" i="124" s="1"/>
  <c r="P144" i="124"/>
  <c r="N144" i="124"/>
  <c r="M144" i="124"/>
  <c r="L144" i="124"/>
  <c r="H144" i="124"/>
  <c r="E144" i="124" s="1"/>
  <c r="P143" i="124"/>
  <c r="N143" i="124"/>
  <c r="M143" i="124"/>
  <c r="L143" i="124"/>
  <c r="H143" i="124"/>
  <c r="E143" i="124" s="1"/>
  <c r="P142" i="124"/>
  <c r="N142" i="124"/>
  <c r="M142" i="124"/>
  <c r="L142" i="124"/>
  <c r="H142" i="124"/>
  <c r="E142" i="124" s="1"/>
  <c r="P141" i="124"/>
  <c r="N141" i="124"/>
  <c r="M141" i="124"/>
  <c r="L141" i="124"/>
  <c r="H141" i="124"/>
  <c r="E141" i="124" s="1"/>
  <c r="P140" i="124"/>
  <c r="N140" i="124"/>
  <c r="M140" i="124"/>
  <c r="L140" i="124"/>
  <c r="H140" i="124"/>
  <c r="E140" i="124" s="1"/>
  <c r="P139" i="124"/>
  <c r="N139" i="124"/>
  <c r="M139" i="124"/>
  <c r="L139" i="124"/>
  <c r="H139" i="124"/>
  <c r="E139" i="124" s="1"/>
  <c r="C139" i="124"/>
  <c r="P138" i="124"/>
  <c r="N138" i="124"/>
  <c r="M138" i="124"/>
  <c r="L138" i="124"/>
  <c r="H138" i="124"/>
  <c r="E138" i="124" s="1"/>
  <c r="P137" i="124"/>
  <c r="N137" i="124"/>
  <c r="M137" i="124"/>
  <c r="L137" i="124"/>
  <c r="H137" i="124"/>
  <c r="E137" i="124" s="1"/>
  <c r="P136" i="124"/>
  <c r="N136" i="124"/>
  <c r="M136" i="124"/>
  <c r="L136" i="124"/>
  <c r="H136" i="124"/>
  <c r="E136" i="124" s="1"/>
  <c r="P135" i="124"/>
  <c r="N135" i="124"/>
  <c r="M135" i="124"/>
  <c r="L135" i="124"/>
  <c r="H135" i="124"/>
  <c r="E135" i="124" s="1"/>
  <c r="P134" i="124"/>
  <c r="N134" i="124"/>
  <c r="M134" i="124"/>
  <c r="L134" i="124"/>
  <c r="H134" i="124"/>
  <c r="E134" i="124" s="1"/>
  <c r="P133" i="124"/>
  <c r="N133" i="124"/>
  <c r="M133" i="124"/>
  <c r="L133" i="124"/>
  <c r="H133" i="124"/>
  <c r="E133" i="124" s="1"/>
  <c r="P132" i="124"/>
  <c r="N132" i="124"/>
  <c r="M132" i="124"/>
  <c r="L132" i="124"/>
  <c r="H132" i="124"/>
  <c r="E132" i="124" s="1"/>
  <c r="C132" i="124"/>
  <c r="P131" i="124"/>
  <c r="N131" i="124"/>
  <c r="M131" i="124"/>
  <c r="L131" i="124"/>
  <c r="H131" i="124"/>
  <c r="E131" i="124" s="1"/>
  <c r="P130" i="124"/>
  <c r="N130" i="124"/>
  <c r="M130" i="124"/>
  <c r="L130" i="124"/>
  <c r="H130" i="124"/>
  <c r="E130" i="124" s="1"/>
  <c r="P129" i="124"/>
  <c r="N129" i="124"/>
  <c r="M129" i="124"/>
  <c r="L129" i="124"/>
  <c r="H129" i="124"/>
  <c r="E129" i="124" s="1"/>
  <c r="P128" i="124"/>
  <c r="N128" i="124"/>
  <c r="M128" i="124"/>
  <c r="L128" i="124"/>
  <c r="H128" i="124"/>
  <c r="E128" i="124" s="1"/>
  <c r="P127" i="124"/>
  <c r="N127" i="124"/>
  <c r="M127" i="124"/>
  <c r="L127" i="124"/>
  <c r="H127" i="124"/>
  <c r="E127" i="124" s="1"/>
  <c r="P126" i="124"/>
  <c r="N126" i="124"/>
  <c r="M126" i="124"/>
  <c r="L126" i="124"/>
  <c r="H126" i="124"/>
  <c r="E126" i="124" s="1"/>
  <c r="P125" i="124"/>
  <c r="N125" i="124"/>
  <c r="M125" i="124"/>
  <c r="L125" i="124"/>
  <c r="H125" i="124"/>
  <c r="E125" i="124" s="1"/>
  <c r="C125" i="124"/>
  <c r="P124" i="124"/>
  <c r="N124" i="124"/>
  <c r="M124" i="124"/>
  <c r="L124" i="124"/>
  <c r="H124" i="124"/>
  <c r="E124" i="124" s="1"/>
  <c r="P123" i="124"/>
  <c r="N123" i="124"/>
  <c r="M123" i="124"/>
  <c r="L123" i="124"/>
  <c r="H123" i="124"/>
  <c r="E123" i="124" s="1"/>
  <c r="P122" i="124"/>
  <c r="N122" i="124"/>
  <c r="M122" i="124"/>
  <c r="L122" i="124"/>
  <c r="H122" i="124"/>
  <c r="E122" i="124" s="1"/>
  <c r="P121" i="124"/>
  <c r="N121" i="124"/>
  <c r="M121" i="124"/>
  <c r="L121" i="124"/>
  <c r="H121" i="124"/>
  <c r="E121" i="124" s="1"/>
  <c r="P120" i="124"/>
  <c r="N120" i="124"/>
  <c r="M120" i="124"/>
  <c r="L120" i="124"/>
  <c r="H120" i="124"/>
  <c r="E120" i="124" s="1"/>
  <c r="P119" i="124"/>
  <c r="N119" i="124"/>
  <c r="M119" i="124"/>
  <c r="L119" i="124"/>
  <c r="H119" i="124"/>
  <c r="E119" i="124" s="1"/>
  <c r="P118" i="124"/>
  <c r="N118" i="124"/>
  <c r="M118" i="124"/>
  <c r="L118" i="124"/>
  <c r="H118" i="124"/>
  <c r="E118" i="124" s="1"/>
  <c r="C118" i="124"/>
  <c r="P117" i="124"/>
  <c r="N117" i="124"/>
  <c r="M117" i="124"/>
  <c r="L117" i="124"/>
  <c r="H117" i="124"/>
  <c r="E117" i="124" s="1"/>
  <c r="C117" i="124"/>
  <c r="P116" i="124"/>
  <c r="N116" i="124"/>
  <c r="M116" i="124"/>
  <c r="L116" i="124"/>
  <c r="H116" i="124"/>
  <c r="E116" i="124" s="1"/>
  <c r="P115" i="124"/>
  <c r="N115" i="124"/>
  <c r="M115" i="124"/>
  <c r="L115" i="124"/>
  <c r="H115" i="124"/>
  <c r="E115" i="124" s="1"/>
  <c r="P114" i="124"/>
  <c r="N114" i="124"/>
  <c r="M114" i="124"/>
  <c r="L114" i="124"/>
  <c r="H114" i="124"/>
  <c r="E114" i="124" s="1"/>
  <c r="P113" i="124"/>
  <c r="N113" i="124"/>
  <c r="M113" i="124"/>
  <c r="L113" i="124"/>
  <c r="H113" i="124"/>
  <c r="E113" i="124" s="1"/>
  <c r="P112" i="124"/>
  <c r="N112" i="124"/>
  <c r="M112" i="124"/>
  <c r="L112" i="124"/>
  <c r="H112" i="124"/>
  <c r="E112" i="124" s="1"/>
  <c r="P111" i="124"/>
  <c r="N111" i="124"/>
  <c r="M111" i="124"/>
  <c r="L111" i="124"/>
  <c r="H111" i="124"/>
  <c r="E111" i="124" s="1"/>
  <c r="P110" i="124"/>
  <c r="N110" i="124"/>
  <c r="M110" i="124"/>
  <c r="L110" i="124"/>
  <c r="H110" i="124"/>
  <c r="E110" i="124" s="1"/>
  <c r="C110" i="124"/>
  <c r="P109" i="124"/>
  <c r="N109" i="124"/>
  <c r="M109" i="124"/>
  <c r="L109" i="124"/>
  <c r="H109" i="124"/>
  <c r="E109" i="124" s="1"/>
  <c r="P108" i="124"/>
  <c r="N108" i="124"/>
  <c r="M108" i="124"/>
  <c r="L108" i="124"/>
  <c r="H108" i="124"/>
  <c r="E108" i="124" s="1"/>
  <c r="P107" i="124"/>
  <c r="N107" i="124"/>
  <c r="M107" i="124"/>
  <c r="L107" i="124"/>
  <c r="H107" i="124"/>
  <c r="E107" i="124" s="1"/>
  <c r="P106" i="124"/>
  <c r="N106" i="124"/>
  <c r="M106" i="124"/>
  <c r="L106" i="124"/>
  <c r="H106" i="124"/>
  <c r="E106" i="124" s="1"/>
  <c r="P105" i="124"/>
  <c r="N105" i="124"/>
  <c r="M105" i="124"/>
  <c r="L105" i="124"/>
  <c r="H105" i="124"/>
  <c r="E105" i="124" s="1"/>
  <c r="P104" i="124"/>
  <c r="N104" i="124"/>
  <c r="M104" i="124"/>
  <c r="L104" i="124"/>
  <c r="H104" i="124"/>
  <c r="E104" i="124" s="1"/>
  <c r="C104" i="124"/>
  <c r="P103" i="124"/>
  <c r="N103" i="124"/>
  <c r="M103" i="124"/>
  <c r="L103" i="124"/>
  <c r="H103" i="124"/>
  <c r="E103" i="124" s="1"/>
  <c r="P102" i="124"/>
  <c r="N102" i="124"/>
  <c r="M102" i="124"/>
  <c r="L102" i="124"/>
  <c r="H102" i="124"/>
  <c r="E102" i="124" s="1"/>
  <c r="P101" i="124"/>
  <c r="N101" i="124"/>
  <c r="M101" i="124"/>
  <c r="L101" i="124"/>
  <c r="H101" i="124"/>
  <c r="E101" i="124" s="1"/>
  <c r="P100" i="124"/>
  <c r="N100" i="124"/>
  <c r="M100" i="124"/>
  <c r="L100" i="124"/>
  <c r="H100" i="124"/>
  <c r="E100" i="124" s="1"/>
  <c r="P99" i="124"/>
  <c r="N99" i="124"/>
  <c r="M99" i="124"/>
  <c r="L99" i="124"/>
  <c r="H99" i="124"/>
  <c r="E99" i="124" s="1"/>
  <c r="P98" i="124"/>
  <c r="N98" i="124"/>
  <c r="M98" i="124"/>
  <c r="L98" i="124"/>
  <c r="H98" i="124"/>
  <c r="E98" i="124" s="1"/>
  <c r="P97" i="124"/>
  <c r="N97" i="124"/>
  <c r="M97" i="124"/>
  <c r="L97" i="124"/>
  <c r="H97" i="124"/>
  <c r="E97" i="124" s="1"/>
  <c r="C97" i="124"/>
  <c r="P96" i="124"/>
  <c r="N96" i="124"/>
  <c r="M96" i="124"/>
  <c r="L96" i="124"/>
  <c r="H96" i="124"/>
  <c r="E96" i="124" s="1"/>
  <c r="P95" i="124"/>
  <c r="N95" i="124"/>
  <c r="M95" i="124"/>
  <c r="L95" i="124"/>
  <c r="H95" i="124"/>
  <c r="E95" i="124" s="1"/>
  <c r="P94" i="124"/>
  <c r="N94" i="124"/>
  <c r="M94" i="124"/>
  <c r="L94" i="124"/>
  <c r="H94" i="124"/>
  <c r="E94" i="124" s="1"/>
  <c r="P93" i="124"/>
  <c r="N93" i="124"/>
  <c r="M93" i="124"/>
  <c r="L93" i="124"/>
  <c r="H93" i="124"/>
  <c r="E93" i="124" s="1"/>
  <c r="P92" i="124"/>
  <c r="N92" i="124"/>
  <c r="M92" i="124"/>
  <c r="L92" i="124"/>
  <c r="H92" i="124"/>
  <c r="E92" i="124" s="1"/>
  <c r="P91" i="124"/>
  <c r="N91" i="124"/>
  <c r="M91" i="124"/>
  <c r="L91" i="124"/>
  <c r="H91" i="124"/>
  <c r="E91" i="124" s="1"/>
  <c r="P90" i="124"/>
  <c r="N90" i="124"/>
  <c r="M90" i="124"/>
  <c r="L90" i="124"/>
  <c r="H90" i="124"/>
  <c r="E90" i="124" s="1"/>
  <c r="C90" i="124"/>
  <c r="P89" i="124"/>
  <c r="N89" i="124"/>
  <c r="M89" i="124"/>
  <c r="L89" i="124"/>
  <c r="H89" i="124"/>
  <c r="E89" i="124" s="1"/>
  <c r="P88" i="124"/>
  <c r="N88" i="124"/>
  <c r="M88" i="124"/>
  <c r="L88" i="124"/>
  <c r="H88" i="124"/>
  <c r="E88" i="124" s="1"/>
  <c r="P87" i="124"/>
  <c r="N87" i="124"/>
  <c r="M87" i="124"/>
  <c r="L87" i="124"/>
  <c r="H87" i="124"/>
  <c r="E87" i="124" s="1"/>
  <c r="P86" i="124"/>
  <c r="N86" i="124"/>
  <c r="M86" i="124"/>
  <c r="L86" i="124"/>
  <c r="H86" i="124"/>
  <c r="E86" i="124" s="1"/>
  <c r="P85" i="124"/>
  <c r="N85" i="124"/>
  <c r="M85" i="124"/>
  <c r="L85" i="124"/>
  <c r="H85" i="124"/>
  <c r="E85" i="124" s="1"/>
  <c r="P84" i="124"/>
  <c r="N84" i="124"/>
  <c r="M84" i="124"/>
  <c r="L84" i="124"/>
  <c r="H84" i="124"/>
  <c r="E84" i="124" s="1"/>
  <c r="P83" i="124"/>
  <c r="N83" i="124"/>
  <c r="M83" i="124"/>
  <c r="L83" i="124"/>
  <c r="H83" i="124"/>
  <c r="E83" i="124"/>
  <c r="C83" i="124"/>
  <c r="P82" i="124"/>
  <c r="N82" i="124"/>
  <c r="M82" i="124"/>
  <c r="L82" i="124"/>
  <c r="E82" i="124"/>
  <c r="P81" i="124"/>
  <c r="N81" i="124"/>
  <c r="M81" i="124"/>
  <c r="L81" i="124"/>
  <c r="H81" i="124"/>
  <c r="E81" i="124" s="1"/>
  <c r="P80" i="124"/>
  <c r="N80" i="124"/>
  <c r="M80" i="124"/>
  <c r="L80" i="124"/>
  <c r="H80" i="124"/>
  <c r="E80" i="124" s="1"/>
  <c r="C80" i="124"/>
  <c r="P79" i="124"/>
  <c r="N79" i="124"/>
  <c r="M79" i="124"/>
  <c r="L79" i="124"/>
  <c r="H79" i="124"/>
  <c r="E79" i="124" s="1"/>
  <c r="P78" i="124"/>
  <c r="N78" i="124"/>
  <c r="M78" i="124"/>
  <c r="L78" i="124"/>
  <c r="H78" i="124"/>
  <c r="E78" i="124" s="1"/>
  <c r="P77" i="124"/>
  <c r="N77" i="124"/>
  <c r="M77" i="124"/>
  <c r="L77" i="124"/>
  <c r="H77" i="124"/>
  <c r="E77" i="124" s="1"/>
  <c r="P76" i="124"/>
  <c r="N76" i="124"/>
  <c r="M76" i="124"/>
  <c r="L76" i="124"/>
  <c r="H76" i="124"/>
  <c r="E76" i="124" s="1"/>
  <c r="C76" i="124"/>
  <c r="P75" i="124"/>
  <c r="N75" i="124"/>
  <c r="M75" i="124"/>
  <c r="L75" i="124"/>
  <c r="H75" i="124"/>
  <c r="E75" i="124" s="1"/>
  <c r="C75" i="124"/>
  <c r="P74" i="124"/>
  <c r="N74" i="124"/>
  <c r="M74" i="124"/>
  <c r="L74" i="124"/>
  <c r="H74" i="124"/>
  <c r="E74" i="124" s="1"/>
  <c r="P73" i="124"/>
  <c r="N73" i="124"/>
  <c r="M73" i="124"/>
  <c r="L73" i="124"/>
  <c r="H73" i="124"/>
  <c r="E73" i="124" s="1"/>
  <c r="P72" i="124"/>
  <c r="N72" i="124"/>
  <c r="M72" i="124"/>
  <c r="L72" i="124"/>
  <c r="H72" i="124"/>
  <c r="E72" i="124" s="1"/>
  <c r="P71" i="124"/>
  <c r="N71" i="124"/>
  <c r="M71" i="124"/>
  <c r="L71" i="124"/>
  <c r="H71" i="124"/>
  <c r="E71" i="124" s="1"/>
  <c r="P70" i="124"/>
  <c r="N70" i="124"/>
  <c r="M70" i="124"/>
  <c r="L70" i="124"/>
  <c r="H70" i="124"/>
  <c r="E70" i="124" s="1"/>
  <c r="P69" i="124"/>
  <c r="N69" i="124"/>
  <c r="M69" i="124"/>
  <c r="L69" i="124"/>
  <c r="H69" i="124"/>
  <c r="E69" i="124" s="1"/>
  <c r="P68" i="124"/>
  <c r="N68" i="124"/>
  <c r="M68" i="124"/>
  <c r="L68" i="124"/>
  <c r="H68" i="124"/>
  <c r="E68" i="124" s="1"/>
  <c r="P67" i="124"/>
  <c r="N67" i="124"/>
  <c r="M67" i="124"/>
  <c r="L67" i="124"/>
  <c r="H67" i="124"/>
  <c r="E67" i="124" s="1"/>
  <c r="P66" i="124"/>
  <c r="N66" i="124"/>
  <c r="M66" i="124"/>
  <c r="L66" i="124"/>
  <c r="H66" i="124"/>
  <c r="E66" i="124" s="1"/>
  <c r="P65" i="124"/>
  <c r="N65" i="124"/>
  <c r="M65" i="124"/>
  <c r="L65" i="124"/>
  <c r="H65" i="124"/>
  <c r="E65" i="124" s="1"/>
  <c r="C65" i="124"/>
  <c r="P64" i="124"/>
  <c r="N64" i="124"/>
  <c r="M64" i="124"/>
  <c r="L64" i="124"/>
  <c r="H64" i="124"/>
  <c r="E64" i="124" s="1"/>
  <c r="C64" i="124"/>
  <c r="P63" i="124"/>
  <c r="N63" i="124"/>
  <c r="M63" i="124"/>
  <c r="L63" i="124"/>
  <c r="H63" i="124"/>
  <c r="E63" i="124" s="1"/>
  <c r="P62" i="124"/>
  <c r="N62" i="124"/>
  <c r="M62" i="124"/>
  <c r="L62" i="124"/>
  <c r="H62" i="124"/>
  <c r="E62" i="124" s="1"/>
  <c r="P61" i="124"/>
  <c r="N61" i="124"/>
  <c r="M61" i="124"/>
  <c r="L61" i="124"/>
  <c r="H61" i="124"/>
  <c r="E61" i="124" s="1"/>
  <c r="P60" i="124"/>
  <c r="N60" i="124"/>
  <c r="M60" i="124"/>
  <c r="L60" i="124"/>
  <c r="H60" i="124"/>
  <c r="E60" i="124" s="1"/>
  <c r="P59" i="124"/>
  <c r="N59" i="124"/>
  <c r="M59" i="124"/>
  <c r="L59" i="124"/>
  <c r="H59" i="124"/>
  <c r="E59" i="124" s="1"/>
  <c r="P58" i="124"/>
  <c r="N58" i="124"/>
  <c r="M58" i="124"/>
  <c r="L58" i="124"/>
  <c r="H58" i="124"/>
  <c r="E58" i="124" s="1"/>
  <c r="C58" i="124"/>
  <c r="P57" i="124"/>
  <c r="N57" i="124"/>
  <c r="M57" i="124"/>
  <c r="L57" i="124"/>
  <c r="H57" i="124"/>
  <c r="E57" i="124" s="1"/>
  <c r="C57" i="124"/>
  <c r="P56" i="124"/>
  <c r="N56" i="124"/>
  <c r="M56" i="124"/>
  <c r="L56" i="124"/>
  <c r="H56" i="124"/>
  <c r="E56" i="124" s="1"/>
  <c r="P55" i="124"/>
  <c r="N55" i="124"/>
  <c r="M55" i="124"/>
  <c r="L55" i="124"/>
  <c r="H55" i="124"/>
  <c r="E55" i="124" s="1"/>
  <c r="P54" i="124"/>
  <c r="N54" i="124"/>
  <c r="M54" i="124"/>
  <c r="L54" i="124"/>
  <c r="H54" i="124"/>
  <c r="E54" i="124" s="1"/>
  <c r="P53" i="124"/>
  <c r="N53" i="124"/>
  <c r="M53" i="124"/>
  <c r="L53" i="124"/>
  <c r="H53" i="124"/>
  <c r="E53" i="124" s="1"/>
  <c r="P52" i="124"/>
  <c r="N52" i="124"/>
  <c r="M52" i="124"/>
  <c r="L52" i="124"/>
  <c r="H52" i="124"/>
  <c r="E52" i="124" s="1"/>
  <c r="P51" i="124"/>
  <c r="N51" i="124"/>
  <c r="M51" i="124"/>
  <c r="L51" i="124"/>
  <c r="H51" i="124"/>
  <c r="E51" i="124" s="1"/>
  <c r="C51" i="124"/>
  <c r="P50" i="124"/>
  <c r="N50" i="124"/>
  <c r="M50" i="124"/>
  <c r="L50" i="124"/>
  <c r="H50" i="124"/>
  <c r="E50" i="124" s="1"/>
  <c r="C50" i="124"/>
  <c r="P49" i="124"/>
  <c r="N49" i="124"/>
  <c r="M49" i="124"/>
  <c r="L49" i="124"/>
  <c r="H49" i="124"/>
  <c r="E49" i="124" s="1"/>
  <c r="P48" i="124"/>
  <c r="N48" i="124"/>
  <c r="M48" i="124"/>
  <c r="L48" i="124"/>
  <c r="H48" i="124"/>
  <c r="E48" i="124" s="1"/>
  <c r="P47" i="124"/>
  <c r="N47" i="124"/>
  <c r="M47" i="124"/>
  <c r="L47" i="124"/>
  <c r="H47" i="124"/>
  <c r="E47" i="124" s="1"/>
  <c r="P46" i="124"/>
  <c r="N46" i="124"/>
  <c r="M46" i="124"/>
  <c r="L46" i="124"/>
  <c r="H46" i="124"/>
  <c r="E46" i="124" s="1"/>
  <c r="P45" i="124"/>
  <c r="N45" i="124"/>
  <c r="M45" i="124"/>
  <c r="L45" i="124"/>
  <c r="H45" i="124"/>
  <c r="E45" i="124" s="1"/>
  <c r="P44" i="124"/>
  <c r="N44" i="124"/>
  <c r="M44" i="124"/>
  <c r="L44" i="124"/>
  <c r="H44" i="124"/>
  <c r="E44" i="124" s="1"/>
  <c r="C44" i="124"/>
  <c r="P43" i="124"/>
  <c r="N43" i="124"/>
  <c r="M43" i="124"/>
  <c r="L43" i="124"/>
  <c r="H43" i="124"/>
  <c r="E43" i="124" s="1"/>
  <c r="C43" i="124"/>
  <c r="P42" i="124"/>
  <c r="N42" i="124"/>
  <c r="M42" i="124"/>
  <c r="L42" i="124"/>
  <c r="H42" i="124"/>
  <c r="E42" i="124" s="1"/>
  <c r="P41" i="124"/>
  <c r="N41" i="124"/>
  <c r="M41" i="124"/>
  <c r="L41" i="124"/>
  <c r="H41" i="124"/>
  <c r="E41" i="124" s="1"/>
  <c r="P40" i="124"/>
  <c r="N40" i="124"/>
  <c r="M40" i="124"/>
  <c r="L40" i="124"/>
  <c r="H40" i="124"/>
  <c r="E40" i="124" s="1"/>
  <c r="P39" i="124"/>
  <c r="N39" i="124"/>
  <c r="M39" i="124"/>
  <c r="L39" i="124"/>
  <c r="H39" i="124"/>
  <c r="E39" i="124" s="1"/>
  <c r="P38" i="124"/>
  <c r="N38" i="124"/>
  <c r="M38" i="124"/>
  <c r="L38" i="124"/>
  <c r="H38" i="124"/>
  <c r="E38" i="124" s="1"/>
  <c r="P37" i="124"/>
  <c r="N37" i="124"/>
  <c r="M37" i="124"/>
  <c r="L37" i="124"/>
  <c r="H37" i="124"/>
  <c r="E37" i="124" s="1"/>
  <c r="C37" i="124"/>
  <c r="P36" i="124"/>
  <c r="N36" i="124"/>
  <c r="M36" i="124"/>
  <c r="L36" i="124"/>
  <c r="H36" i="124"/>
  <c r="E36" i="124" s="1"/>
  <c r="C36" i="124"/>
  <c r="P35" i="124"/>
  <c r="N35" i="124"/>
  <c r="M35" i="124"/>
  <c r="L35" i="124"/>
  <c r="H35" i="124"/>
  <c r="E35" i="124" s="1"/>
  <c r="P34" i="124"/>
  <c r="N34" i="124"/>
  <c r="M34" i="124"/>
  <c r="L34" i="124"/>
  <c r="H34" i="124"/>
  <c r="E34" i="124" s="1"/>
  <c r="P33" i="124"/>
  <c r="N33" i="124"/>
  <c r="M33" i="124"/>
  <c r="L33" i="124"/>
  <c r="H33" i="124"/>
  <c r="E33" i="124" s="1"/>
  <c r="P32" i="124"/>
  <c r="N32" i="124"/>
  <c r="M32" i="124"/>
  <c r="L32" i="124"/>
  <c r="H32" i="124"/>
  <c r="E32" i="124" s="1"/>
  <c r="P31" i="124"/>
  <c r="N31" i="124"/>
  <c r="M31" i="124"/>
  <c r="L31" i="124"/>
  <c r="H31" i="124"/>
  <c r="E31" i="124" s="1"/>
  <c r="P30" i="124"/>
  <c r="N30" i="124"/>
  <c r="M30" i="124"/>
  <c r="L30" i="124"/>
  <c r="H30" i="124"/>
  <c r="E30" i="124" s="1"/>
  <c r="P29" i="124"/>
  <c r="N29" i="124"/>
  <c r="M29" i="124"/>
  <c r="L29" i="124"/>
  <c r="H29" i="124"/>
  <c r="E29" i="124" s="1"/>
  <c r="C29" i="124"/>
  <c r="P24" i="124"/>
  <c r="N24" i="124"/>
  <c r="M24" i="124"/>
  <c r="L24" i="124"/>
  <c r="H24" i="124"/>
  <c r="E24" i="124" s="1"/>
  <c r="C24" i="124"/>
  <c r="P23" i="124"/>
  <c r="N23" i="124"/>
  <c r="M23" i="124"/>
  <c r="L23" i="124"/>
  <c r="H23" i="124"/>
  <c r="E23" i="124" s="1"/>
  <c r="P22" i="124"/>
  <c r="N22" i="124"/>
  <c r="M22" i="124"/>
  <c r="L22" i="124"/>
  <c r="H22" i="124"/>
  <c r="E22" i="124" s="1"/>
  <c r="P21" i="124"/>
  <c r="N21" i="124"/>
  <c r="M21" i="124"/>
  <c r="L21" i="124"/>
  <c r="H21" i="124"/>
  <c r="E21" i="124" s="1"/>
  <c r="P17" i="124"/>
  <c r="N17" i="124"/>
  <c r="M17" i="124"/>
  <c r="L17" i="124"/>
  <c r="H17" i="124"/>
  <c r="E17" i="124" s="1"/>
  <c r="C17" i="124"/>
  <c r="P16" i="124"/>
  <c r="N16" i="124"/>
  <c r="M16" i="124"/>
  <c r="L16" i="124"/>
  <c r="H16" i="124"/>
  <c r="E16" i="124" s="1"/>
  <c r="P15" i="124"/>
  <c r="N15" i="124"/>
  <c r="M15" i="124"/>
  <c r="L15" i="124"/>
  <c r="H15" i="124"/>
  <c r="E15" i="124" s="1"/>
  <c r="P14" i="124"/>
  <c r="N14" i="124"/>
  <c r="M14" i="124"/>
  <c r="L14" i="124"/>
  <c r="H14" i="124"/>
  <c r="E14" i="124" s="1"/>
  <c r="P10" i="124"/>
  <c r="N10" i="124"/>
  <c r="M10" i="124"/>
  <c r="L10" i="124"/>
  <c r="H10" i="124"/>
  <c r="E10" i="124" s="1"/>
  <c r="C10" i="124"/>
  <c r="P9" i="124"/>
  <c r="N9" i="124"/>
  <c r="M9" i="124"/>
  <c r="L9" i="124"/>
  <c r="H9" i="124"/>
  <c r="E9" i="124" s="1"/>
  <c r="P8" i="124"/>
  <c r="N8" i="124"/>
  <c r="M8" i="124"/>
  <c r="L8" i="124"/>
  <c r="H8" i="124"/>
  <c r="E8" i="124" s="1"/>
  <c r="P7" i="124"/>
  <c r="N7" i="124"/>
  <c r="M7" i="124"/>
  <c r="L7" i="124"/>
  <c r="H7" i="124"/>
  <c r="E7" i="124" s="1"/>
  <c r="S194" i="122"/>
  <c r="Q194" i="122"/>
  <c r="O194" i="122"/>
  <c r="N194" i="122"/>
  <c r="M194" i="122"/>
  <c r="I194" i="122"/>
  <c r="F194" i="122" s="1"/>
  <c r="Q193" i="122"/>
  <c r="O193" i="122"/>
  <c r="N193" i="122"/>
  <c r="M193" i="122"/>
  <c r="I193" i="122"/>
  <c r="F193" i="122" s="1"/>
  <c r="S192" i="122"/>
  <c r="Q192" i="122"/>
  <c r="O192" i="122"/>
  <c r="N192" i="122"/>
  <c r="M192" i="122"/>
  <c r="S191" i="122"/>
  <c r="Q191" i="122"/>
  <c r="O191" i="122"/>
  <c r="N191" i="122"/>
  <c r="M191" i="122"/>
  <c r="I191" i="122"/>
  <c r="F191" i="122" s="1"/>
  <c r="S190" i="122"/>
  <c r="Q190" i="122"/>
  <c r="O190" i="122"/>
  <c r="N190" i="122"/>
  <c r="M190" i="122"/>
  <c r="I190" i="122"/>
  <c r="F190" i="122" s="1"/>
  <c r="S189" i="122"/>
  <c r="Q189" i="122"/>
  <c r="O189" i="122"/>
  <c r="N189" i="122"/>
  <c r="M189" i="122"/>
  <c r="F189" i="122"/>
  <c r="S188" i="122"/>
  <c r="Q188" i="122"/>
  <c r="O188" i="122"/>
  <c r="N188" i="122"/>
  <c r="M188" i="122"/>
  <c r="I188" i="122"/>
  <c r="F188" i="122" s="1"/>
  <c r="S187" i="122"/>
  <c r="Q187" i="122"/>
  <c r="O187" i="122"/>
  <c r="N187" i="122"/>
  <c r="M187" i="122"/>
  <c r="I187" i="122"/>
  <c r="F187" i="122" s="1"/>
  <c r="G187" i="122" s="1"/>
  <c r="D183" i="122"/>
  <c r="D182" i="122"/>
  <c r="S167" i="122"/>
  <c r="Q167" i="122"/>
  <c r="O167" i="122"/>
  <c r="N167" i="122"/>
  <c r="M167" i="122"/>
  <c r="I167" i="122"/>
  <c r="F167" i="122" s="1"/>
  <c r="S166" i="122"/>
  <c r="Q166" i="122"/>
  <c r="O166" i="122"/>
  <c r="N166" i="122"/>
  <c r="M166" i="122"/>
  <c r="I166" i="122"/>
  <c r="F166" i="122" s="1"/>
  <c r="S165" i="122"/>
  <c r="Q165" i="122"/>
  <c r="O165" i="122"/>
  <c r="N165" i="122"/>
  <c r="M165" i="122"/>
  <c r="I165" i="122"/>
  <c r="F165" i="122" s="1"/>
  <c r="S164" i="122"/>
  <c r="Q164" i="122"/>
  <c r="O164" i="122"/>
  <c r="N164" i="122"/>
  <c r="M164" i="122"/>
  <c r="F164" i="122"/>
  <c r="S163" i="122"/>
  <c r="Q163" i="122"/>
  <c r="O163" i="122"/>
  <c r="N163" i="122"/>
  <c r="M163" i="122"/>
  <c r="I163" i="122"/>
  <c r="F163" i="122" s="1"/>
  <c r="S162" i="122"/>
  <c r="Q162" i="122"/>
  <c r="O162" i="122"/>
  <c r="N162" i="122"/>
  <c r="M162" i="122"/>
  <c r="I162" i="122"/>
  <c r="F162" i="122" s="1"/>
  <c r="G162" i="122" s="1"/>
  <c r="V158" i="122"/>
  <c r="D158" i="122"/>
  <c r="D157" i="122"/>
  <c r="S139" i="122"/>
  <c r="Q139" i="122"/>
  <c r="O139" i="122"/>
  <c r="N139" i="122"/>
  <c r="M139" i="122"/>
  <c r="I139" i="122"/>
  <c r="F139" i="122" s="1"/>
  <c r="S138" i="122"/>
  <c r="Q138" i="122"/>
  <c r="O138" i="122"/>
  <c r="N138" i="122"/>
  <c r="M138" i="122"/>
  <c r="I138" i="122"/>
  <c r="F138" i="122" s="1"/>
  <c r="S137" i="122"/>
  <c r="Q137" i="122"/>
  <c r="O137" i="122"/>
  <c r="N137" i="122"/>
  <c r="M137" i="122"/>
  <c r="I137" i="122"/>
  <c r="F137" i="122" s="1"/>
  <c r="S136" i="122"/>
  <c r="Q136" i="122"/>
  <c r="O136" i="122"/>
  <c r="N136" i="122"/>
  <c r="M136" i="122"/>
  <c r="F136" i="122"/>
  <c r="S135" i="122"/>
  <c r="Q135" i="122"/>
  <c r="O135" i="122"/>
  <c r="N135" i="122"/>
  <c r="M135" i="122"/>
  <c r="I135" i="122"/>
  <c r="F135" i="122" s="1"/>
  <c r="S134" i="122"/>
  <c r="Q134" i="122"/>
  <c r="O134" i="122"/>
  <c r="N134" i="122"/>
  <c r="M134" i="122"/>
  <c r="F134" i="122"/>
  <c r="S133" i="122"/>
  <c r="Q133" i="122"/>
  <c r="O133" i="122"/>
  <c r="N133" i="122"/>
  <c r="M133" i="122"/>
  <c r="I133" i="122"/>
  <c r="F133" i="122" s="1"/>
  <c r="S132" i="122"/>
  <c r="Q132" i="122"/>
  <c r="O132" i="122"/>
  <c r="N132" i="122"/>
  <c r="M132" i="122"/>
  <c r="I132" i="122"/>
  <c r="F132" i="122" s="1"/>
  <c r="G132" i="122" s="1"/>
  <c r="V128" i="122"/>
  <c r="D128" i="122"/>
  <c r="D127" i="122"/>
  <c r="S113" i="122"/>
  <c r="Q113" i="122"/>
  <c r="O113" i="122"/>
  <c r="N113" i="122"/>
  <c r="M113" i="122"/>
  <c r="I113" i="122"/>
  <c r="F113" i="122" s="1"/>
  <c r="Q112" i="122"/>
  <c r="O112" i="122"/>
  <c r="N112" i="122"/>
  <c r="M112" i="122"/>
  <c r="I112" i="122"/>
  <c r="F112" i="122" s="1"/>
  <c r="S111" i="122"/>
  <c r="Q111" i="122"/>
  <c r="O111" i="122"/>
  <c r="N111" i="122"/>
  <c r="M111" i="122"/>
  <c r="S110" i="122"/>
  <c r="Q110" i="122"/>
  <c r="O110" i="122"/>
  <c r="N110" i="122"/>
  <c r="M110" i="122"/>
  <c r="I110" i="122"/>
  <c r="F110" i="122" s="1"/>
  <c r="S109" i="122"/>
  <c r="Q109" i="122"/>
  <c r="O109" i="122"/>
  <c r="N109" i="122"/>
  <c r="M109" i="122"/>
  <c r="I109" i="122"/>
  <c r="F109" i="122" s="1"/>
  <c r="S108" i="122"/>
  <c r="Q108" i="122"/>
  <c r="O108" i="122"/>
  <c r="N108" i="122"/>
  <c r="M108" i="122"/>
  <c r="F108" i="122"/>
  <c r="S107" i="122"/>
  <c r="Q107" i="122"/>
  <c r="O107" i="122"/>
  <c r="N107" i="122"/>
  <c r="M107" i="122"/>
  <c r="I107" i="122"/>
  <c r="F107" i="122" s="1"/>
  <c r="S106" i="122"/>
  <c r="Q106" i="122"/>
  <c r="O106" i="122"/>
  <c r="N106" i="122"/>
  <c r="M106" i="122"/>
  <c r="I106" i="122"/>
  <c r="F106" i="122" s="1"/>
  <c r="G106" i="122" s="1"/>
  <c r="V103" i="122"/>
  <c r="D102" i="122"/>
  <c r="D101" i="122"/>
  <c r="Q86" i="122"/>
  <c r="O86" i="122"/>
  <c r="N86" i="122"/>
  <c r="M86" i="122"/>
  <c r="I86" i="122"/>
  <c r="F86" i="122" s="1"/>
  <c r="Q85" i="122"/>
  <c r="O85" i="122"/>
  <c r="N85" i="122"/>
  <c r="M85" i="122"/>
  <c r="I85" i="122"/>
  <c r="F85" i="122" s="1"/>
  <c r="Q84" i="122"/>
  <c r="O84" i="122"/>
  <c r="N84" i="122"/>
  <c r="M84" i="122"/>
  <c r="I84" i="122"/>
  <c r="F84" i="122" s="1"/>
  <c r="Q83" i="122"/>
  <c r="O83" i="122"/>
  <c r="N83" i="122"/>
  <c r="M83" i="122"/>
  <c r="I83" i="122"/>
  <c r="F83" i="122" s="1"/>
  <c r="S82" i="122"/>
  <c r="Q82" i="122"/>
  <c r="O82" i="122"/>
  <c r="N82" i="122"/>
  <c r="M82" i="122"/>
  <c r="F82" i="122"/>
  <c r="S81" i="122"/>
  <c r="Q81" i="122"/>
  <c r="O81" i="122"/>
  <c r="N81" i="122"/>
  <c r="M81" i="122"/>
  <c r="F81" i="122"/>
  <c r="S80" i="122"/>
  <c r="Q80" i="122"/>
  <c r="O80" i="122"/>
  <c r="N80" i="122"/>
  <c r="M80" i="122"/>
  <c r="I80" i="122"/>
  <c r="F80" i="122" s="1"/>
  <c r="S79" i="122"/>
  <c r="Q79" i="122"/>
  <c r="O79" i="122"/>
  <c r="N79" i="122"/>
  <c r="M79" i="122"/>
  <c r="I79" i="122"/>
  <c r="F79" i="122" s="1"/>
  <c r="G79" i="122" s="1"/>
  <c r="V76" i="122"/>
  <c r="D75" i="122"/>
  <c r="D74" i="122"/>
  <c r="S61" i="122"/>
  <c r="Q61" i="122"/>
  <c r="O61" i="122"/>
  <c r="N61" i="122"/>
  <c r="M61" i="122"/>
  <c r="I61" i="122"/>
  <c r="F61" i="122" s="1"/>
  <c r="S60" i="122"/>
  <c r="Q60" i="122"/>
  <c r="O60" i="122"/>
  <c r="N60" i="122"/>
  <c r="M60" i="122"/>
  <c r="I60" i="122"/>
  <c r="F60" i="122" s="1"/>
  <c r="S59" i="122"/>
  <c r="Q59" i="122"/>
  <c r="O59" i="122"/>
  <c r="N59" i="122"/>
  <c r="M59" i="122"/>
  <c r="I59" i="122"/>
  <c r="F59" i="122" s="1"/>
  <c r="S58" i="122"/>
  <c r="Q58" i="122"/>
  <c r="O58" i="122"/>
  <c r="N58" i="122"/>
  <c r="M58" i="122"/>
  <c r="F58" i="122"/>
  <c r="S57" i="122"/>
  <c r="Q57" i="122"/>
  <c r="O57" i="122"/>
  <c r="N57" i="122"/>
  <c r="M57" i="122"/>
  <c r="I57" i="122"/>
  <c r="F57" i="122" s="1"/>
  <c r="S56" i="122"/>
  <c r="Q56" i="122"/>
  <c r="O56" i="122"/>
  <c r="N56" i="122"/>
  <c r="M56" i="122"/>
  <c r="F56" i="122"/>
  <c r="S55" i="122"/>
  <c r="Q55" i="122"/>
  <c r="O55" i="122"/>
  <c r="N55" i="122"/>
  <c r="M55" i="122"/>
  <c r="I55" i="122"/>
  <c r="F55" i="122" s="1"/>
  <c r="S54" i="122"/>
  <c r="Q54" i="122"/>
  <c r="O54" i="122"/>
  <c r="N54" i="122"/>
  <c r="M54" i="122"/>
  <c r="I54" i="122"/>
  <c r="F54" i="122" s="1"/>
  <c r="V51" i="122"/>
  <c r="D50" i="122"/>
  <c r="D49" i="122"/>
  <c r="S36" i="122"/>
  <c r="Q36" i="122"/>
  <c r="O36" i="122"/>
  <c r="N36" i="122"/>
  <c r="M36" i="122"/>
  <c r="I36" i="122"/>
  <c r="F36" i="122" s="1"/>
  <c r="S35" i="122"/>
  <c r="Q35" i="122"/>
  <c r="O35" i="122"/>
  <c r="N35" i="122"/>
  <c r="M35" i="122"/>
  <c r="I35" i="122"/>
  <c r="F35" i="122" s="1"/>
  <c r="S34" i="122"/>
  <c r="Q34" i="122"/>
  <c r="O34" i="122"/>
  <c r="N34" i="122"/>
  <c r="M34" i="122"/>
  <c r="I34" i="122"/>
  <c r="F34" i="122" s="1"/>
  <c r="S33" i="122"/>
  <c r="Q33" i="122"/>
  <c r="O33" i="122"/>
  <c r="N33" i="122"/>
  <c r="M33" i="122"/>
  <c r="F33" i="122"/>
  <c r="S32" i="122"/>
  <c r="Q32" i="122"/>
  <c r="O32" i="122"/>
  <c r="N32" i="122"/>
  <c r="M32" i="122"/>
  <c r="I32" i="122"/>
  <c r="F32" i="122" s="1"/>
  <c r="S31" i="122"/>
  <c r="Q31" i="122"/>
  <c r="O31" i="122"/>
  <c r="N31" i="122"/>
  <c r="M31" i="122"/>
  <c r="F31" i="122"/>
  <c r="S30" i="122"/>
  <c r="Q30" i="122"/>
  <c r="O30" i="122"/>
  <c r="N30" i="122"/>
  <c r="M30" i="122"/>
  <c r="I30" i="122"/>
  <c r="F30" i="122" s="1"/>
  <c r="S29" i="122"/>
  <c r="Q29" i="122"/>
  <c r="O29" i="122"/>
  <c r="N29" i="122"/>
  <c r="M29" i="122"/>
  <c r="I29" i="122"/>
  <c r="F29" i="122" s="1"/>
  <c r="D25" i="122"/>
  <c r="D24" i="122"/>
  <c r="R561" i="123"/>
  <c r="P561" i="123"/>
  <c r="O561" i="123"/>
  <c r="J561" i="123"/>
  <c r="N561" i="123" s="1"/>
  <c r="T560" i="123"/>
  <c r="R560" i="123"/>
  <c r="P560" i="123"/>
  <c r="O560" i="123"/>
  <c r="T559" i="123"/>
  <c r="R559" i="123"/>
  <c r="P559" i="123"/>
  <c r="O559" i="123"/>
  <c r="J559" i="123"/>
  <c r="N559" i="123" s="1"/>
  <c r="T558" i="123"/>
  <c r="R558" i="123"/>
  <c r="P558" i="123"/>
  <c r="O558" i="123"/>
  <c r="J558" i="123"/>
  <c r="N558" i="123" s="1"/>
  <c r="T557" i="123"/>
  <c r="R557" i="123"/>
  <c r="P557" i="123"/>
  <c r="O557" i="123"/>
  <c r="T556" i="123"/>
  <c r="R556" i="123"/>
  <c r="P556" i="123"/>
  <c r="O556" i="123"/>
  <c r="J556" i="123"/>
  <c r="N556" i="123" s="1"/>
  <c r="R555" i="123"/>
  <c r="P555" i="123"/>
  <c r="O555" i="123"/>
  <c r="J555" i="123"/>
  <c r="N555" i="123" s="1"/>
  <c r="R554" i="123"/>
  <c r="P554" i="123"/>
  <c r="O554" i="123"/>
  <c r="T553" i="123"/>
  <c r="R553" i="123"/>
  <c r="P553" i="123"/>
  <c r="O553" i="123"/>
  <c r="J553" i="123"/>
  <c r="T552" i="123"/>
  <c r="R552" i="123"/>
  <c r="P552" i="123"/>
  <c r="O552" i="123"/>
  <c r="J552" i="123"/>
  <c r="N552" i="123" s="1"/>
  <c r="R551" i="123"/>
  <c r="P551" i="123"/>
  <c r="O551" i="123"/>
  <c r="T550" i="123"/>
  <c r="R550" i="123"/>
  <c r="P550" i="123"/>
  <c r="O550" i="123"/>
  <c r="J550" i="123"/>
  <c r="T549" i="123"/>
  <c r="R549" i="123"/>
  <c r="P549" i="123"/>
  <c r="O549" i="123"/>
  <c r="J549" i="123"/>
  <c r="N549" i="123" s="1"/>
  <c r="R548" i="123"/>
  <c r="P548" i="123"/>
  <c r="O548" i="123"/>
  <c r="T547" i="123"/>
  <c r="R547" i="123"/>
  <c r="P547" i="123"/>
  <c r="O547" i="123"/>
  <c r="J547" i="123"/>
  <c r="N547" i="123" s="1"/>
  <c r="T546" i="123"/>
  <c r="R546" i="123"/>
  <c r="P546" i="123"/>
  <c r="O546" i="123"/>
  <c r="J546" i="123"/>
  <c r="R545" i="123"/>
  <c r="P545" i="123"/>
  <c r="O545" i="123"/>
  <c r="T544" i="123"/>
  <c r="R544" i="123"/>
  <c r="P544" i="123"/>
  <c r="O544" i="123"/>
  <c r="J544" i="123"/>
  <c r="T543" i="123"/>
  <c r="R543" i="123"/>
  <c r="P543" i="123"/>
  <c r="O543" i="123"/>
  <c r="J543" i="123"/>
  <c r="N543" i="123" s="1"/>
  <c r="R542" i="123"/>
  <c r="P542" i="123"/>
  <c r="O542" i="123"/>
  <c r="T541" i="123"/>
  <c r="R541" i="123"/>
  <c r="P541" i="123"/>
  <c r="O541" i="123"/>
  <c r="J541" i="123"/>
  <c r="N541" i="123" s="1"/>
  <c r="T540" i="123"/>
  <c r="R540" i="123"/>
  <c r="P540" i="123"/>
  <c r="O540" i="123"/>
  <c r="J540" i="123"/>
  <c r="N540" i="123" s="1"/>
  <c r="T539" i="123"/>
  <c r="R539" i="123"/>
  <c r="P539" i="123"/>
  <c r="O539" i="123"/>
  <c r="J539" i="123"/>
  <c r="N539" i="123" s="1"/>
  <c r="R538" i="123"/>
  <c r="P538" i="123"/>
  <c r="O538" i="123"/>
  <c r="J538" i="123"/>
  <c r="N538" i="123" s="1"/>
  <c r="T537" i="123"/>
  <c r="R537" i="123"/>
  <c r="P537" i="123"/>
  <c r="O537" i="123"/>
  <c r="T536" i="123"/>
  <c r="R536" i="123"/>
  <c r="P536" i="123"/>
  <c r="O536" i="123"/>
  <c r="J536" i="123"/>
  <c r="N536" i="123" s="1"/>
  <c r="R535" i="123"/>
  <c r="P535" i="123"/>
  <c r="O535" i="123"/>
  <c r="J535" i="123"/>
  <c r="N535" i="123" s="1"/>
  <c r="T534" i="123"/>
  <c r="R534" i="123"/>
  <c r="P534" i="123"/>
  <c r="O534" i="123"/>
  <c r="T533" i="123"/>
  <c r="R533" i="123"/>
  <c r="P533" i="123"/>
  <c r="O533" i="123"/>
  <c r="J533" i="123"/>
  <c r="N533" i="123" s="1"/>
  <c r="R532" i="123"/>
  <c r="P532" i="123"/>
  <c r="O532" i="123"/>
  <c r="J532" i="123"/>
  <c r="T531" i="123"/>
  <c r="R531" i="123"/>
  <c r="P531" i="123"/>
  <c r="O531" i="123"/>
  <c r="T530" i="123"/>
  <c r="R530" i="123"/>
  <c r="P530" i="123"/>
  <c r="O530" i="123"/>
  <c r="J530" i="123"/>
  <c r="N530" i="123" s="1"/>
  <c r="R529" i="123"/>
  <c r="P529" i="123"/>
  <c r="O529" i="123"/>
  <c r="J529" i="123"/>
  <c r="N529" i="123" s="1"/>
  <c r="T528" i="123"/>
  <c r="R528" i="123"/>
  <c r="P528" i="123"/>
  <c r="O528" i="123"/>
  <c r="T527" i="123"/>
  <c r="R527" i="123"/>
  <c r="P527" i="123"/>
  <c r="O527" i="123"/>
  <c r="J527" i="123"/>
  <c r="N527" i="123" s="1"/>
  <c r="R526" i="123"/>
  <c r="P526" i="123"/>
  <c r="O526" i="123"/>
  <c r="J526" i="123"/>
  <c r="N526" i="123" s="1"/>
  <c r="T525" i="123"/>
  <c r="R525" i="123"/>
  <c r="P525" i="123"/>
  <c r="O525" i="123"/>
  <c r="T524" i="123"/>
  <c r="R524" i="123"/>
  <c r="P524" i="123"/>
  <c r="O524" i="123"/>
  <c r="J524" i="123"/>
  <c r="N524" i="123" s="1"/>
  <c r="R523" i="123"/>
  <c r="P523" i="123"/>
  <c r="O523" i="123"/>
  <c r="J523" i="123"/>
  <c r="N523" i="123" s="1"/>
  <c r="T522" i="123"/>
  <c r="R522" i="123"/>
  <c r="P522" i="123"/>
  <c r="O522" i="123"/>
  <c r="J522" i="123"/>
  <c r="N522" i="123" s="1"/>
  <c r="T521" i="123"/>
  <c r="R521" i="123"/>
  <c r="P521" i="123"/>
  <c r="O521" i="123"/>
  <c r="J521" i="123"/>
  <c r="N521" i="123" s="1"/>
  <c r="R520" i="123"/>
  <c r="P520" i="123"/>
  <c r="O520" i="123"/>
  <c r="J520" i="123"/>
  <c r="N520" i="123" s="1"/>
  <c r="T519" i="123"/>
  <c r="R519" i="123"/>
  <c r="P519" i="123"/>
  <c r="O519" i="123"/>
  <c r="T518" i="123"/>
  <c r="R518" i="123"/>
  <c r="P518" i="123"/>
  <c r="O518" i="123"/>
  <c r="J518" i="123"/>
  <c r="N518" i="123" s="1"/>
  <c r="T517" i="123"/>
  <c r="P517" i="123"/>
  <c r="O517" i="123"/>
  <c r="N517" i="123"/>
  <c r="T516" i="123"/>
  <c r="R516" i="123"/>
  <c r="P516" i="123"/>
  <c r="O516" i="123"/>
  <c r="N516" i="123"/>
  <c r="F510" i="123"/>
  <c r="F509" i="123"/>
  <c r="F508" i="123"/>
  <c r="F511" i="123" s="1"/>
  <c r="Y504" i="123"/>
  <c r="X504" i="123"/>
  <c r="W504" i="123"/>
  <c r="V504" i="123"/>
  <c r="U504" i="123"/>
  <c r="R495" i="123"/>
  <c r="P495" i="123"/>
  <c r="O495" i="123"/>
  <c r="J495" i="123"/>
  <c r="N495" i="123" s="1"/>
  <c r="T494" i="123"/>
  <c r="R494" i="123"/>
  <c r="P494" i="123"/>
  <c r="O494" i="123"/>
  <c r="T493" i="123"/>
  <c r="R493" i="123"/>
  <c r="P493" i="123"/>
  <c r="O493" i="123"/>
  <c r="J493" i="123"/>
  <c r="N493" i="123" s="1"/>
  <c r="T492" i="123"/>
  <c r="R492" i="123"/>
  <c r="P492" i="123"/>
  <c r="O492" i="123"/>
  <c r="J492" i="123"/>
  <c r="N492" i="123" s="1"/>
  <c r="T491" i="123"/>
  <c r="R491" i="123"/>
  <c r="P491" i="123"/>
  <c r="O491" i="123"/>
  <c r="T490" i="123"/>
  <c r="R490" i="123"/>
  <c r="P490" i="123"/>
  <c r="O490" i="123"/>
  <c r="J490" i="123"/>
  <c r="N490" i="123" s="1"/>
  <c r="R489" i="123"/>
  <c r="P489" i="123"/>
  <c r="O489" i="123"/>
  <c r="J489" i="123"/>
  <c r="N489" i="123" s="1"/>
  <c r="T488" i="123"/>
  <c r="R488" i="123"/>
  <c r="P488" i="123"/>
  <c r="O488" i="123"/>
  <c r="J488" i="123"/>
  <c r="N488" i="123" s="1"/>
  <c r="T487" i="123"/>
  <c r="R487" i="123"/>
  <c r="P487" i="123"/>
  <c r="O487" i="123"/>
  <c r="T486" i="123"/>
  <c r="R486" i="123"/>
  <c r="P486" i="123"/>
  <c r="O486" i="123"/>
  <c r="J486" i="123"/>
  <c r="N486" i="123" s="1"/>
  <c r="R485" i="123"/>
  <c r="P485" i="123"/>
  <c r="O485" i="123"/>
  <c r="J485" i="123"/>
  <c r="N485" i="123" s="1"/>
  <c r="T484" i="123"/>
  <c r="R484" i="123"/>
  <c r="P484" i="123"/>
  <c r="O484" i="123"/>
  <c r="T483" i="123"/>
  <c r="R483" i="123"/>
  <c r="P483" i="123"/>
  <c r="O483" i="123"/>
  <c r="J483" i="123"/>
  <c r="T482" i="123"/>
  <c r="R482" i="123"/>
  <c r="P482" i="123"/>
  <c r="O482" i="123"/>
  <c r="J482" i="123"/>
  <c r="N482" i="123" s="1"/>
  <c r="T481" i="123"/>
  <c r="R481" i="123"/>
  <c r="P481" i="123"/>
  <c r="O481" i="123"/>
  <c r="T480" i="123"/>
  <c r="R480" i="123"/>
  <c r="P480" i="123"/>
  <c r="O480" i="123"/>
  <c r="J480" i="123"/>
  <c r="N480" i="123" s="1"/>
  <c r="R479" i="123"/>
  <c r="P479" i="123"/>
  <c r="O479" i="123"/>
  <c r="J479" i="123"/>
  <c r="N479" i="123" s="1"/>
  <c r="R478" i="123"/>
  <c r="P478" i="123"/>
  <c r="O478" i="123"/>
  <c r="T477" i="123"/>
  <c r="R477" i="123"/>
  <c r="P477" i="123"/>
  <c r="O477" i="123"/>
  <c r="J477" i="123"/>
  <c r="N477" i="123" s="1"/>
  <c r="T476" i="123"/>
  <c r="R476" i="123"/>
  <c r="P476" i="123"/>
  <c r="O476" i="123"/>
  <c r="J476" i="123"/>
  <c r="N476" i="123" s="1"/>
  <c r="R475" i="123"/>
  <c r="P475" i="123"/>
  <c r="O475" i="123"/>
  <c r="T474" i="123"/>
  <c r="R474" i="123"/>
  <c r="P474" i="123"/>
  <c r="O474" i="123"/>
  <c r="J474" i="123"/>
  <c r="T473" i="123"/>
  <c r="R473" i="123"/>
  <c r="P473" i="123"/>
  <c r="O473" i="123"/>
  <c r="J473" i="123"/>
  <c r="N473" i="123" s="1"/>
  <c r="R472" i="123"/>
  <c r="P472" i="123"/>
  <c r="O472" i="123"/>
  <c r="T471" i="123"/>
  <c r="R471" i="123"/>
  <c r="P471" i="123"/>
  <c r="O471" i="123"/>
  <c r="J471" i="123"/>
  <c r="N471" i="123" s="1"/>
  <c r="T470" i="123"/>
  <c r="R470" i="123"/>
  <c r="P470" i="123"/>
  <c r="O470" i="123"/>
  <c r="J470" i="123"/>
  <c r="N470" i="123" s="1"/>
  <c r="R469" i="123"/>
  <c r="P469" i="123"/>
  <c r="O469" i="123"/>
  <c r="T468" i="123"/>
  <c r="R468" i="123"/>
  <c r="P468" i="123"/>
  <c r="O468" i="123"/>
  <c r="J468" i="123"/>
  <c r="N468" i="123" s="1"/>
  <c r="T467" i="123"/>
  <c r="R467" i="123"/>
  <c r="P467" i="123"/>
  <c r="O467" i="123"/>
  <c r="J467" i="123"/>
  <c r="N467" i="123" s="1"/>
  <c r="R466" i="123"/>
  <c r="P466" i="123"/>
  <c r="O466" i="123"/>
  <c r="T465" i="123"/>
  <c r="R465" i="123"/>
  <c r="P465" i="123"/>
  <c r="O465" i="123"/>
  <c r="J465" i="123"/>
  <c r="N465" i="123" s="1"/>
  <c r="T464" i="123"/>
  <c r="R464" i="123"/>
  <c r="P464" i="123"/>
  <c r="O464" i="123"/>
  <c r="J464" i="123"/>
  <c r="N464" i="123" s="1"/>
  <c r="T463" i="123"/>
  <c r="R463" i="123"/>
  <c r="P463" i="123"/>
  <c r="O463" i="123"/>
  <c r="J463" i="123"/>
  <c r="N463" i="123" s="1"/>
  <c r="R462" i="123"/>
  <c r="P462" i="123"/>
  <c r="O462" i="123"/>
  <c r="J462" i="123"/>
  <c r="N462" i="123" s="1"/>
  <c r="T461" i="123"/>
  <c r="R461" i="123"/>
  <c r="P461" i="123"/>
  <c r="O461" i="123"/>
  <c r="T460" i="123"/>
  <c r="R460" i="123"/>
  <c r="P460" i="123"/>
  <c r="O460" i="123"/>
  <c r="J460" i="123"/>
  <c r="N460" i="123" s="1"/>
  <c r="R459" i="123"/>
  <c r="P459" i="123"/>
  <c r="O459" i="123"/>
  <c r="J459" i="123"/>
  <c r="N459" i="123" s="1"/>
  <c r="T458" i="123"/>
  <c r="R458" i="123"/>
  <c r="P458" i="123"/>
  <c r="O458" i="123"/>
  <c r="T457" i="123"/>
  <c r="R457" i="123"/>
  <c r="P457" i="123"/>
  <c r="O457" i="123"/>
  <c r="J457" i="123"/>
  <c r="N457" i="123" s="1"/>
  <c r="R456" i="123"/>
  <c r="P456" i="123"/>
  <c r="O456" i="123"/>
  <c r="J456" i="123"/>
  <c r="N456" i="123" s="1"/>
  <c r="T455" i="123"/>
  <c r="R455" i="123"/>
  <c r="P455" i="123"/>
  <c r="O455" i="123"/>
  <c r="T454" i="123"/>
  <c r="R454" i="123"/>
  <c r="P454" i="123"/>
  <c r="O454" i="123"/>
  <c r="J454" i="123"/>
  <c r="N454" i="123" s="1"/>
  <c r="R453" i="123"/>
  <c r="P453" i="123"/>
  <c r="O453" i="123"/>
  <c r="J453" i="123"/>
  <c r="N453" i="123" s="1"/>
  <c r="T452" i="123"/>
  <c r="R452" i="123"/>
  <c r="P452" i="123"/>
  <c r="O452" i="123"/>
  <c r="T451" i="123"/>
  <c r="R451" i="123"/>
  <c r="P451" i="123"/>
  <c r="O451" i="123"/>
  <c r="J451" i="123"/>
  <c r="N451" i="123" s="1"/>
  <c r="R450" i="123"/>
  <c r="P450" i="123"/>
  <c r="O450" i="123"/>
  <c r="J450" i="123"/>
  <c r="N450" i="123" s="1"/>
  <c r="T449" i="123"/>
  <c r="R449" i="123"/>
  <c r="P449" i="123"/>
  <c r="O449" i="123"/>
  <c r="T448" i="123"/>
  <c r="R448" i="123"/>
  <c r="P448" i="123"/>
  <c r="O448" i="123"/>
  <c r="J448" i="123"/>
  <c r="N448" i="123" s="1"/>
  <c r="R447" i="123"/>
  <c r="P447" i="123"/>
  <c r="O447" i="123"/>
  <c r="J447" i="123"/>
  <c r="N447" i="123" s="1"/>
  <c r="T446" i="123"/>
  <c r="R446" i="123"/>
  <c r="P446" i="123"/>
  <c r="O446" i="123"/>
  <c r="J446" i="123"/>
  <c r="N446" i="123" s="1"/>
  <c r="T445" i="123"/>
  <c r="R445" i="123"/>
  <c r="P445" i="123"/>
  <c r="O445" i="123"/>
  <c r="J445" i="123"/>
  <c r="N445" i="123" s="1"/>
  <c r="R444" i="123"/>
  <c r="P444" i="123"/>
  <c r="O444" i="123"/>
  <c r="J444" i="123"/>
  <c r="N444" i="123" s="1"/>
  <c r="T443" i="123"/>
  <c r="R443" i="123"/>
  <c r="P443" i="123"/>
  <c r="O443" i="123"/>
  <c r="T442" i="123"/>
  <c r="R442" i="123"/>
  <c r="P442" i="123"/>
  <c r="O442" i="123"/>
  <c r="J442" i="123"/>
  <c r="N442" i="123" s="1"/>
  <c r="T441" i="123"/>
  <c r="R441" i="123"/>
  <c r="P441" i="123"/>
  <c r="O441" i="123"/>
  <c r="J441" i="123"/>
  <c r="N441" i="123" s="1"/>
  <c r="T440" i="123"/>
  <c r="R440" i="123"/>
  <c r="P440" i="123"/>
  <c r="O440" i="123"/>
  <c r="T439" i="123"/>
  <c r="R439" i="123"/>
  <c r="P439" i="123"/>
  <c r="O439" i="123"/>
  <c r="J439" i="123"/>
  <c r="N439" i="123" s="1"/>
  <c r="T438" i="123"/>
  <c r="R438" i="123"/>
  <c r="P438" i="123"/>
  <c r="O438" i="123"/>
  <c r="J438" i="123"/>
  <c r="N438" i="123" s="1"/>
  <c r="T437" i="123"/>
  <c r="R437" i="123"/>
  <c r="P437" i="123"/>
  <c r="O437" i="123"/>
  <c r="T436" i="123"/>
  <c r="R436" i="123"/>
  <c r="P436" i="123"/>
  <c r="O436" i="123"/>
  <c r="J436" i="123"/>
  <c r="N436" i="123" s="1"/>
  <c r="T435" i="123"/>
  <c r="R435" i="123"/>
  <c r="P435" i="123"/>
  <c r="O435" i="123"/>
  <c r="J435" i="123"/>
  <c r="N435" i="123" s="1"/>
  <c r="T434" i="123"/>
  <c r="R434" i="123"/>
  <c r="P434" i="123"/>
  <c r="O434" i="123"/>
  <c r="J434" i="123"/>
  <c r="N434" i="123" s="1"/>
  <c r="T433" i="123"/>
  <c r="R433" i="123"/>
  <c r="P433" i="123"/>
  <c r="O433" i="123"/>
  <c r="T432" i="123"/>
  <c r="R432" i="123"/>
  <c r="P432" i="123"/>
  <c r="O432" i="123"/>
  <c r="J432" i="123"/>
  <c r="N432" i="123" s="1"/>
  <c r="T431" i="123"/>
  <c r="R431" i="123"/>
  <c r="P431" i="123"/>
  <c r="O431" i="123"/>
  <c r="J431" i="123"/>
  <c r="N431" i="123" s="1"/>
  <c r="T430" i="123"/>
  <c r="R430" i="123"/>
  <c r="P430" i="123"/>
  <c r="O430" i="123"/>
  <c r="T429" i="123"/>
  <c r="R429" i="123"/>
  <c r="P429" i="123"/>
  <c r="O429" i="123"/>
  <c r="J429" i="123"/>
  <c r="N429" i="123" s="1"/>
  <c r="T428" i="123"/>
  <c r="R428" i="123"/>
  <c r="P428" i="123"/>
  <c r="O428" i="123"/>
  <c r="J428" i="123"/>
  <c r="N428" i="123" s="1"/>
  <c r="T427" i="123"/>
  <c r="R427" i="123"/>
  <c r="P427" i="123"/>
  <c r="O427" i="123"/>
  <c r="T426" i="123"/>
  <c r="R426" i="123"/>
  <c r="P426" i="123"/>
  <c r="O426" i="123"/>
  <c r="J426" i="123"/>
  <c r="N426" i="123" s="1"/>
  <c r="T425" i="123"/>
  <c r="P425" i="123"/>
  <c r="O425" i="123"/>
  <c r="N425" i="123"/>
  <c r="T424" i="123"/>
  <c r="R424" i="123"/>
  <c r="P424" i="123"/>
  <c r="O424" i="123"/>
  <c r="N424" i="123"/>
  <c r="F418" i="123"/>
  <c r="F417" i="123"/>
  <c r="F416" i="123" s="1"/>
  <c r="Y412" i="123"/>
  <c r="X412" i="123"/>
  <c r="W412" i="123"/>
  <c r="V412" i="123"/>
  <c r="U412" i="123"/>
  <c r="R403" i="123"/>
  <c r="P403" i="123"/>
  <c r="O403" i="123"/>
  <c r="J403" i="123"/>
  <c r="N403" i="123" s="1"/>
  <c r="T402" i="123"/>
  <c r="R402" i="123"/>
  <c r="P402" i="123"/>
  <c r="O402" i="123"/>
  <c r="T401" i="123"/>
  <c r="R401" i="123"/>
  <c r="P401" i="123"/>
  <c r="O401" i="123"/>
  <c r="J401" i="123"/>
  <c r="N401" i="123" s="1"/>
  <c r="T400" i="123"/>
  <c r="R400" i="123"/>
  <c r="P400" i="123"/>
  <c r="O400" i="123"/>
  <c r="J400" i="123"/>
  <c r="N400" i="123" s="1"/>
  <c r="T399" i="123"/>
  <c r="R399" i="123"/>
  <c r="P399" i="123"/>
  <c r="O399" i="123"/>
  <c r="T398" i="123"/>
  <c r="R398" i="123"/>
  <c r="P398" i="123"/>
  <c r="O398" i="123"/>
  <c r="J398" i="123"/>
  <c r="N398" i="123" s="1"/>
  <c r="R397" i="123"/>
  <c r="P397" i="123"/>
  <c r="O397" i="123"/>
  <c r="J397" i="123"/>
  <c r="N397" i="123" s="1"/>
  <c r="T396" i="123"/>
  <c r="R396" i="123"/>
  <c r="P396" i="123"/>
  <c r="O396" i="123"/>
  <c r="J396" i="123"/>
  <c r="N396" i="123" s="1"/>
  <c r="T395" i="123"/>
  <c r="R395" i="123"/>
  <c r="P395" i="123"/>
  <c r="O395" i="123"/>
  <c r="T394" i="123"/>
  <c r="R394" i="123"/>
  <c r="P394" i="123"/>
  <c r="O394" i="123"/>
  <c r="J394" i="123"/>
  <c r="N394" i="123" s="1"/>
  <c r="R393" i="123"/>
  <c r="P393" i="123"/>
  <c r="O393" i="123"/>
  <c r="J393" i="123"/>
  <c r="N393" i="123" s="1"/>
  <c r="T392" i="123"/>
  <c r="R392" i="123"/>
  <c r="P392" i="123"/>
  <c r="O392" i="123"/>
  <c r="T391" i="123"/>
  <c r="R391" i="123"/>
  <c r="P391" i="123"/>
  <c r="O391" i="123"/>
  <c r="J391" i="123"/>
  <c r="N391" i="123" s="1"/>
  <c r="T390" i="123"/>
  <c r="R390" i="123"/>
  <c r="P390" i="123"/>
  <c r="O390" i="123"/>
  <c r="J390" i="123"/>
  <c r="N390" i="123" s="1"/>
  <c r="T389" i="123"/>
  <c r="R389" i="123"/>
  <c r="P389" i="123"/>
  <c r="O389" i="123"/>
  <c r="T388" i="123"/>
  <c r="R388" i="123"/>
  <c r="P388" i="123"/>
  <c r="O388" i="123"/>
  <c r="J388" i="123"/>
  <c r="N388" i="123" s="1"/>
  <c r="R387" i="123"/>
  <c r="P387" i="123"/>
  <c r="O387" i="123"/>
  <c r="J387" i="123"/>
  <c r="N387" i="123" s="1"/>
  <c r="T386" i="123"/>
  <c r="R386" i="123"/>
  <c r="P386" i="123"/>
  <c r="O386" i="123"/>
  <c r="J386" i="123"/>
  <c r="N386" i="123" s="1"/>
  <c r="T385" i="123"/>
  <c r="R385" i="123"/>
  <c r="P385" i="123"/>
  <c r="O385" i="123"/>
  <c r="T384" i="123"/>
  <c r="R384" i="123"/>
  <c r="P384" i="123"/>
  <c r="O384" i="123"/>
  <c r="J384" i="123"/>
  <c r="N384" i="123" s="1"/>
  <c r="R383" i="123"/>
  <c r="P383" i="123"/>
  <c r="O383" i="123"/>
  <c r="J383" i="123"/>
  <c r="N383" i="123" s="1"/>
  <c r="T382" i="123"/>
  <c r="R382" i="123"/>
  <c r="P382" i="123"/>
  <c r="O382" i="123"/>
  <c r="T381" i="123"/>
  <c r="R381" i="123"/>
  <c r="P381" i="123"/>
  <c r="O381" i="123"/>
  <c r="J381" i="123"/>
  <c r="N381" i="123" s="1"/>
  <c r="T380" i="123"/>
  <c r="R380" i="123"/>
  <c r="P380" i="123"/>
  <c r="O380" i="123"/>
  <c r="J380" i="123"/>
  <c r="N380" i="123" s="1"/>
  <c r="T379" i="123"/>
  <c r="R379" i="123"/>
  <c r="P379" i="123"/>
  <c r="O379" i="123"/>
  <c r="T378" i="123"/>
  <c r="R378" i="123"/>
  <c r="P378" i="123"/>
  <c r="O378" i="123"/>
  <c r="J378" i="123"/>
  <c r="N378" i="123" s="1"/>
  <c r="R377" i="123"/>
  <c r="P377" i="123"/>
  <c r="O377" i="123"/>
  <c r="J377" i="123"/>
  <c r="N377" i="123" s="1"/>
  <c r="R376" i="123"/>
  <c r="P376" i="123"/>
  <c r="O376" i="123"/>
  <c r="T375" i="123"/>
  <c r="R375" i="123"/>
  <c r="P375" i="123"/>
  <c r="O375" i="123"/>
  <c r="J375" i="123"/>
  <c r="N375" i="123" s="1"/>
  <c r="T374" i="123"/>
  <c r="R374" i="123"/>
  <c r="P374" i="123"/>
  <c r="O374" i="123"/>
  <c r="J374" i="123"/>
  <c r="N374" i="123" s="1"/>
  <c r="R373" i="123"/>
  <c r="P373" i="123"/>
  <c r="O373" i="123"/>
  <c r="T372" i="123"/>
  <c r="R372" i="123"/>
  <c r="P372" i="123"/>
  <c r="O372" i="123"/>
  <c r="J372" i="123"/>
  <c r="N372" i="123" s="1"/>
  <c r="T371" i="123"/>
  <c r="R371" i="123"/>
  <c r="P371" i="123"/>
  <c r="O371" i="123"/>
  <c r="J371" i="123"/>
  <c r="N371" i="123" s="1"/>
  <c r="R370" i="123"/>
  <c r="P370" i="123"/>
  <c r="O370" i="123"/>
  <c r="T369" i="123"/>
  <c r="R369" i="123"/>
  <c r="P369" i="123"/>
  <c r="O369" i="123"/>
  <c r="J369" i="123"/>
  <c r="N369" i="123" s="1"/>
  <c r="T368" i="123"/>
  <c r="R368" i="123"/>
  <c r="P368" i="123"/>
  <c r="O368" i="123"/>
  <c r="J368" i="123"/>
  <c r="N368" i="123" s="1"/>
  <c r="R367" i="123"/>
  <c r="P367" i="123"/>
  <c r="O367" i="123"/>
  <c r="T366" i="123"/>
  <c r="R366" i="123"/>
  <c r="P366" i="123"/>
  <c r="O366" i="123"/>
  <c r="J366" i="123"/>
  <c r="N366" i="123" s="1"/>
  <c r="T365" i="123"/>
  <c r="R365" i="123"/>
  <c r="P365" i="123"/>
  <c r="O365" i="123"/>
  <c r="J365" i="123"/>
  <c r="N365" i="123" s="1"/>
  <c r="R364" i="123"/>
  <c r="P364" i="123"/>
  <c r="O364" i="123"/>
  <c r="T363" i="123"/>
  <c r="R363" i="123"/>
  <c r="P363" i="123"/>
  <c r="O363" i="123"/>
  <c r="J363" i="123"/>
  <c r="N363" i="123" s="1"/>
  <c r="T362" i="123"/>
  <c r="R362" i="123"/>
  <c r="P362" i="123"/>
  <c r="O362" i="123"/>
  <c r="J362" i="123"/>
  <c r="N362" i="123" s="1"/>
  <c r="T361" i="123"/>
  <c r="R361" i="123"/>
  <c r="P361" i="123"/>
  <c r="O361" i="123"/>
  <c r="J361" i="123"/>
  <c r="N361" i="123" s="1"/>
  <c r="R360" i="123"/>
  <c r="P360" i="123"/>
  <c r="O360" i="123"/>
  <c r="J360" i="123"/>
  <c r="N360" i="123" s="1"/>
  <c r="T359" i="123"/>
  <c r="R359" i="123"/>
  <c r="P359" i="123"/>
  <c r="O359" i="123"/>
  <c r="T358" i="123"/>
  <c r="R358" i="123"/>
  <c r="P358" i="123"/>
  <c r="O358" i="123"/>
  <c r="J358" i="123"/>
  <c r="N358" i="123" s="1"/>
  <c r="R357" i="123"/>
  <c r="P357" i="123"/>
  <c r="O357" i="123"/>
  <c r="J357" i="123"/>
  <c r="T356" i="123"/>
  <c r="R356" i="123"/>
  <c r="P356" i="123"/>
  <c r="O356" i="123"/>
  <c r="T355" i="123"/>
  <c r="R355" i="123"/>
  <c r="P355" i="123"/>
  <c r="O355" i="123"/>
  <c r="J355" i="123"/>
  <c r="N355" i="123" s="1"/>
  <c r="R354" i="123"/>
  <c r="P354" i="123"/>
  <c r="O354" i="123"/>
  <c r="J354" i="123"/>
  <c r="N354" i="123" s="1"/>
  <c r="T353" i="123"/>
  <c r="R353" i="123"/>
  <c r="P353" i="123"/>
  <c r="O353" i="123"/>
  <c r="T352" i="123"/>
  <c r="R352" i="123"/>
  <c r="P352" i="123"/>
  <c r="O352" i="123"/>
  <c r="J352" i="123"/>
  <c r="N352" i="123" s="1"/>
  <c r="R351" i="123"/>
  <c r="P351" i="123"/>
  <c r="O351" i="123"/>
  <c r="J351" i="123"/>
  <c r="N351" i="123" s="1"/>
  <c r="T350" i="123"/>
  <c r="R350" i="123"/>
  <c r="P350" i="123"/>
  <c r="O350" i="123"/>
  <c r="T349" i="123"/>
  <c r="R349" i="123"/>
  <c r="P349" i="123"/>
  <c r="O349" i="123"/>
  <c r="J349" i="123"/>
  <c r="N349" i="123" s="1"/>
  <c r="R348" i="123"/>
  <c r="P348" i="123"/>
  <c r="O348" i="123"/>
  <c r="J348" i="123"/>
  <c r="N348" i="123" s="1"/>
  <c r="T347" i="123"/>
  <c r="R347" i="123"/>
  <c r="P347" i="123"/>
  <c r="O347" i="123"/>
  <c r="T346" i="123"/>
  <c r="R346" i="123"/>
  <c r="P346" i="123"/>
  <c r="O346" i="123"/>
  <c r="J346" i="123"/>
  <c r="N346" i="123" s="1"/>
  <c r="R345" i="123"/>
  <c r="P345" i="123"/>
  <c r="O345" i="123"/>
  <c r="J345" i="123"/>
  <c r="N345" i="123" s="1"/>
  <c r="T344" i="123"/>
  <c r="R344" i="123"/>
  <c r="P344" i="123"/>
  <c r="O344" i="123"/>
  <c r="J344" i="123"/>
  <c r="N344" i="123" s="1"/>
  <c r="T343" i="123"/>
  <c r="R343" i="123"/>
  <c r="P343" i="123"/>
  <c r="O343" i="123"/>
  <c r="J343" i="123"/>
  <c r="N343" i="123" s="1"/>
  <c r="R342" i="123"/>
  <c r="P342" i="123"/>
  <c r="O342" i="123"/>
  <c r="J342" i="123"/>
  <c r="T341" i="123"/>
  <c r="R341" i="123"/>
  <c r="P341" i="123"/>
  <c r="O341" i="123"/>
  <c r="T340" i="123"/>
  <c r="R340" i="123"/>
  <c r="P340" i="123"/>
  <c r="O340" i="123"/>
  <c r="J340" i="123"/>
  <c r="N340" i="123" s="1"/>
  <c r="T339" i="123"/>
  <c r="R339" i="123"/>
  <c r="P339" i="123"/>
  <c r="O339" i="123"/>
  <c r="J339" i="123"/>
  <c r="N339" i="123" s="1"/>
  <c r="T338" i="123"/>
  <c r="R338" i="123"/>
  <c r="P338" i="123"/>
  <c r="O338" i="123"/>
  <c r="T337" i="123"/>
  <c r="R337" i="123"/>
  <c r="P337" i="123"/>
  <c r="O337" i="123"/>
  <c r="J337" i="123"/>
  <c r="N337" i="123" s="1"/>
  <c r="T336" i="123"/>
  <c r="R336" i="123"/>
  <c r="P336" i="123"/>
  <c r="O336" i="123"/>
  <c r="J336" i="123"/>
  <c r="N336" i="123" s="1"/>
  <c r="T335" i="123"/>
  <c r="R335" i="123"/>
  <c r="P335" i="123"/>
  <c r="O335" i="123"/>
  <c r="T334" i="123"/>
  <c r="R334" i="123"/>
  <c r="P334" i="123"/>
  <c r="O334" i="123"/>
  <c r="J334" i="123"/>
  <c r="N334" i="123" s="1"/>
  <c r="T333" i="123"/>
  <c r="R333" i="123"/>
  <c r="P333" i="123"/>
  <c r="O333" i="123"/>
  <c r="J333" i="123"/>
  <c r="N333" i="123" s="1"/>
  <c r="R332" i="123"/>
  <c r="P332" i="123"/>
  <c r="O332" i="123"/>
  <c r="J332" i="123"/>
  <c r="N332" i="123" s="1"/>
  <c r="T331" i="123"/>
  <c r="R331" i="123"/>
  <c r="P331" i="123"/>
  <c r="O331" i="123"/>
  <c r="T330" i="123"/>
  <c r="R330" i="123"/>
  <c r="P330" i="123"/>
  <c r="O330" i="123"/>
  <c r="J330" i="123"/>
  <c r="N330" i="123" s="1"/>
  <c r="T329" i="123"/>
  <c r="R329" i="123"/>
  <c r="P329" i="123"/>
  <c r="O329" i="123"/>
  <c r="J329" i="123"/>
  <c r="N329" i="123" s="1"/>
  <c r="T328" i="123"/>
  <c r="R328" i="123"/>
  <c r="P328" i="123"/>
  <c r="O328" i="123"/>
  <c r="T327" i="123"/>
  <c r="R327" i="123"/>
  <c r="P327" i="123"/>
  <c r="O327" i="123"/>
  <c r="J327" i="123"/>
  <c r="T326" i="123"/>
  <c r="R326" i="123"/>
  <c r="P326" i="123"/>
  <c r="O326" i="123"/>
  <c r="J326" i="123"/>
  <c r="T325" i="123"/>
  <c r="R325" i="123"/>
  <c r="P325" i="123"/>
  <c r="O325" i="123"/>
  <c r="T324" i="123"/>
  <c r="R324" i="123"/>
  <c r="P324" i="123"/>
  <c r="O324" i="123"/>
  <c r="J324" i="123"/>
  <c r="N324" i="123" s="1"/>
  <c r="T323" i="123"/>
  <c r="R323" i="123"/>
  <c r="P323" i="123"/>
  <c r="O323" i="123"/>
  <c r="J323" i="123"/>
  <c r="N323" i="123" s="1"/>
  <c r="T322" i="123"/>
  <c r="R322" i="123"/>
  <c r="P322" i="123"/>
  <c r="O322" i="123"/>
  <c r="J322" i="123"/>
  <c r="N322" i="123" s="1"/>
  <c r="T321" i="123"/>
  <c r="R321" i="123"/>
  <c r="P321" i="123"/>
  <c r="O321" i="123"/>
  <c r="T320" i="123"/>
  <c r="R320" i="123"/>
  <c r="P320" i="123"/>
  <c r="O320" i="123"/>
  <c r="J320" i="123"/>
  <c r="N320" i="123" s="1"/>
  <c r="T319" i="123"/>
  <c r="P319" i="123"/>
  <c r="O319" i="123"/>
  <c r="N319" i="123"/>
  <c r="T318" i="123"/>
  <c r="R318" i="123"/>
  <c r="P318" i="123"/>
  <c r="O318" i="123"/>
  <c r="N318" i="123"/>
  <c r="F312" i="123"/>
  <c r="F311" i="123"/>
  <c r="F310" i="123"/>
  <c r="R297" i="123"/>
  <c r="P297" i="123"/>
  <c r="O297" i="123"/>
  <c r="J297" i="123"/>
  <c r="N297" i="123" s="1"/>
  <c r="T296" i="123"/>
  <c r="R296" i="123"/>
  <c r="P296" i="123"/>
  <c r="O296" i="123"/>
  <c r="T295" i="123"/>
  <c r="R295" i="123"/>
  <c r="P295" i="123"/>
  <c r="O295" i="123"/>
  <c r="J295" i="123"/>
  <c r="N295" i="123" s="1"/>
  <c r="T294" i="123"/>
  <c r="R294" i="123"/>
  <c r="P294" i="123"/>
  <c r="O294" i="123"/>
  <c r="J294" i="123"/>
  <c r="N294" i="123" s="1"/>
  <c r="T293" i="123"/>
  <c r="R293" i="123"/>
  <c r="P293" i="123"/>
  <c r="O293" i="123"/>
  <c r="T292" i="123"/>
  <c r="R292" i="123"/>
  <c r="P292" i="123"/>
  <c r="O292" i="123"/>
  <c r="J292" i="123"/>
  <c r="N292" i="123" s="1"/>
  <c r="R291" i="123"/>
  <c r="P291" i="123"/>
  <c r="O291" i="123"/>
  <c r="J291" i="123"/>
  <c r="N291" i="123" s="1"/>
  <c r="T290" i="123"/>
  <c r="R290" i="123"/>
  <c r="P290" i="123"/>
  <c r="O290" i="123"/>
  <c r="J290" i="123"/>
  <c r="N290" i="123" s="1"/>
  <c r="T289" i="123"/>
  <c r="R289" i="123"/>
  <c r="P289" i="123"/>
  <c r="O289" i="123"/>
  <c r="T288" i="123"/>
  <c r="R288" i="123"/>
  <c r="P288" i="123"/>
  <c r="O288" i="123"/>
  <c r="J288" i="123"/>
  <c r="N288" i="123" s="1"/>
  <c r="R287" i="123"/>
  <c r="P287" i="123"/>
  <c r="O287" i="123"/>
  <c r="J287" i="123"/>
  <c r="N287" i="123" s="1"/>
  <c r="T286" i="123"/>
  <c r="R286" i="123"/>
  <c r="P286" i="123"/>
  <c r="O286" i="123"/>
  <c r="T285" i="123"/>
  <c r="R285" i="123"/>
  <c r="P285" i="123"/>
  <c r="O285" i="123"/>
  <c r="J285" i="123"/>
  <c r="N285" i="123" s="1"/>
  <c r="T284" i="123"/>
  <c r="R284" i="123"/>
  <c r="P284" i="123"/>
  <c r="O284" i="123"/>
  <c r="J284" i="123"/>
  <c r="N284" i="123" s="1"/>
  <c r="T283" i="123"/>
  <c r="R283" i="123"/>
  <c r="P283" i="123"/>
  <c r="O283" i="123"/>
  <c r="T282" i="123"/>
  <c r="R282" i="123"/>
  <c r="P282" i="123"/>
  <c r="O282" i="123"/>
  <c r="J282" i="123"/>
  <c r="N282" i="123" s="1"/>
  <c r="R281" i="123"/>
  <c r="P281" i="123"/>
  <c r="O281" i="123"/>
  <c r="J281" i="123"/>
  <c r="N281" i="123" s="1"/>
  <c r="T280" i="123"/>
  <c r="R280" i="123"/>
  <c r="P280" i="123"/>
  <c r="O280" i="123"/>
  <c r="J280" i="123"/>
  <c r="N280" i="123" s="1"/>
  <c r="T279" i="123"/>
  <c r="R279" i="123"/>
  <c r="P279" i="123"/>
  <c r="O279" i="123"/>
  <c r="T278" i="123"/>
  <c r="R278" i="123"/>
  <c r="P278" i="123"/>
  <c r="O278" i="123"/>
  <c r="J278" i="123"/>
  <c r="N278" i="123" s="1"/>
  <c r="R277" i="123"/>
  <c r="P277" i="123"/>
  <c r="O277" i="123"/>
  <c r="J277" i="123"/>
  <c r="N277" i="123" s="1"/>
  <c r="T276" i="123"/>
  <c r="R276" i="123"/>
  <c r="P276" i="123"/>
  <c r="O276" i="123"/>
  <c r="T275" i="123"/>
  <c r="R275" i="123"/>
  <c r="P275" i="123"/>
  <c r="O275" i="123"/>
  <c r="J275" i="123"/>
  <c r="N275" i="123" s="1"/>
  <c r="T274" i="123"/>
  <c r="R274" i="123"/>
  <c r="P274" i="123"/>
  <c r="O274" i="123"/>
  <c r="J274" i="123"/>
  <c r="N274" i="123" s="1"/>
  <c r="T273" i="123"/>
  <c r="R273" i="123"/>
  <c r="P273" i="123"/>
  <c r="O273" i="123"/>
  <c r="T272" i="123"/>
  <c r="R272" i="123"/>
  <c r="P272" i="123"/>
  <c r="O272" i="123"/>
  <c r="J272" i="123"/>
  <c r="N272" i="123" s="1"/>
  <c r="R271" i="123"/>
  <c r="P271" i="123"/>
  <c r="O271" i="123"/>
  <c r="J271" i="123"/>
  <c r="N271" i="123" s="1"/>
  <c r="T270" i="123"/>
  <c r="R270" i="123"/>
  <c r="P270" i="123"/>
  <c r="O270" i="123"/>
  <c r="J270" i="123"/>
  <c r="N270" i="123" s="1"/>
  <c r="T269" i="123"/>
  <c r="R269" i="123"/>
  <c r="P269" i="123"/>
  <c r="O269" i="123"/>
  <c r="T268" i="123"/>
  <c r="R268" i="123"/>
  <c r="P268" i="123"/>
  <c r="O268" i="123"/>
  <c r="J268" i="123"/>
  <c r="R267" i="123"/>
  <c r="P267" i="123"/>
  <c r="O267" i="123"/>
  <c r="J267" i="123"/>
  <c r="N267" i="123" s="1"/>
  <c r="T266" i="123"/>
  <c r="R266" i="123"/>
  <c r="P266" i="123"/>
  <c r="O266" i="123"/>
  <c r="T265" i="123"/>
  <c r="R265" i="123"/>
  <c r="P265" i="123"/>
  <c r="O265" i="123"/>
  <c r="J265" i="123"/>
  <c r="N265" i="123" s="1"/>
  <c r="T264" i="123"/>
  <c r="R264" i="123"/>
  <c r="P264" i="123"/>
  <c r="O264" i="123"/>
  <c r="J264" i="123"/>
  <c r="N264" i="123" s="1"/>
  <c r="T263" i="123"/>
  <c r="R263" i="123"/>
  <c r="P263" i="123"/>
  <c r="O263" i="123"/>
  <c r="T262" i="123"/>
  <c r="R262" i="123"/>
  <c r="P262" i="123"/>
  <c r="O262" i="123"/>
  <c r="J262" i="123"/>
  <c r="N262" i="123" s="1"/>
  <c r="R261" i="123"/>
  <c r="P261" i="123"/>
  <c r="O261" i="123"/>
  <c r="J261" i="123"/>
  <c r="N261" i="123" s="1"/>
  <c r="R260" i="123"/>
  <c r="P260" i="123"/>
  <c r="O260" i="123"/>
  <c r="T259" i="123"/>
  <c r="R259" i="123"/>
  <c r="P259" i="123"/>
  <c r="O259" i="123"/>
  <c r="J259" i="123"/>
  <c r="N259" i="123" s="1"/>
  <c r="T258" i="123"/>
  <c r="R258" i="123"/>
  <c r="P258" i="123"/>
  <c r="O258" i="123"/>
  <c r="J258" i="123"/>
  <c r="N258" i="123" s="1"/>
  <c r="R257" i="123"/>
  <c r="P257" i="123"/>
  <c r="O257" i="123"/>
  <c r="T256" i="123"/>
  <c r="R256" i="123"/>
  <c r="P256" i="123"/>
  <c r="O256" i="123"/>
  <c r="J256" i="123"/>
  <c r="N256" i="123" s="1"/>
  <c r="T255" i="123"/>
  <c r="R255" i="123"/>
  <c r="P255" i="123"/>
  <c r="O255" i="123"/>
  <c r="J255" i="123"/>
  <c r="N255" i="123" s="1"/>
  <c r="R254" i="123"/>
  <c r="P254" i="123"/>
  <c r="O254" i="123"/>
  <c r="T253" i="123"/>
  <c r="R253" i="123"/>
  <c r="P253" i="123"/>
  <c r="O253" i="123"/>
  <c r="J253" i="123"/>
  <c r="N253" i="123" s="1"/>
  <c r="T252" i="123"/>
  <c r="R252" i="123"/>
  <c r="P252" i="123"/>
  <c r="O252" i="123"/>
  <c r="J252" i="123"/>
  <c r="N252" i="123" s="1"/>
  <c r="R251" i="123"/>
  <c r="P251" i="123"/>
  <c r="O251" i="123"/>
  <c r="T250" i="123"/>
  <c r="R250" i="123"/>
  <c r="P250" i="123"/>
  <c r="O250" i="123"/>
  <c r="J250" i="123"/>
  <c r="N250" i="123" s="1"/>
  <c r="T249" i="123"/>
  <c r="R249" i="123"/>
  <c r="P249" i="123"/>
  <c r="O249" i="123"/>
  <c r="J249" i="123"/>
  <c r="N249" i="123" s="1"/>
  <c r="R248" i="123"/>
  <c r="P248" i="123"/>
  <c r="O248" i="123"/>
  <c r="T247" i="123"/>
  <c r="R247" i="123"/>
  <c r="P247" i="123"/>
  <c r="O247" i="123"/>
  <c r="J247" i="123"/>
  <c r="N247" i="123" s="1"/>
  <c r="T246" i="123"/>
  <c r="R246" i="123"/>
  <c r="P246" i="123"/>
  <c r="O246" i="123"/>
  <c r="J246" i="123"/>
  <c r="N246" i="123" s="1"/>
  <c r="T245" i="123"/>
  <c r="R245" i="123"/>
  <c r="P245" i="123"/>
  <c r="O245" i="123"/>
  <c r="J245" i="123"/>
  <c r="N245" i="123" s="1"/>
  <c r="R244" i="123"/>
  <c r="P244" i="123"/>
  <c r="O244" i="123"/>
  <c r="J244" i="123"/>
  <c r="N244" i="123" s="1"/>
  <c r="T243" i="123"/>
  <c r="R243" i="123"/>
  <c r="P243" i="123"/>
  <c r="O243" i="123"/>
  <c r="T242" i="123"/>
  <c r="R242" i="123"/>
  <c r="P242" i="123"/>
  <c r="O242" i="123"/>
  <c r="J242" i="123"/>
  <c r="R241" i="123"/>
  <c r="P241" i="123"/>
  <c r="O241" i="123"/>
  <c r="J241" i="123"/>
  <c r="N241" i="123" s="1"/>
  <c r="T240" i="123"/>
  <c r="R240" i="123"/>
  <c r="P240" i="123"/>
  <c r="O240" i="123"/>
  <c r="T239" i="123"/>
  <c r="R239" i="123"/>
  <c r="P239" i="123"/>
  <c r="O239" i="123"/>
  <c r="J239" i="123"/>
  <c r="R238" i="123"/>
  <c r="P238" i="123"/>
  <c r="O238" i="123"/>
  <c r="J238" i="123"/>
  <c r="N238" i="123" s="1"/>
  <c r="T237" i="123"/>
  <c r="R237" i="123"/>
  <c r="P237" i="123"/>
  <c r="O237" i="123"/>
  <c r="T236" i="123"/>
  <c r="R236" i="123"/>
  <c r="P236" i="123"/>
  <c r="O236" i="123"/>
  <c r="J236" i="123"/>
  <c r="N236" i="123" s="1"/>
  <c r="R235" i="123"/>
  <c r="P235" i="123"/>
  <c r="O235" i="123"/>
  <c r="J235" i="123"/>
  <c r="N235" i="123" s="1"/>
  <c r="T234" i="123"/>
  <c r="R234" i="123"/>
  <c r="P234" i="123"/>
  <c r="O234" i="123"/>
  <c r="T233" i="123"/>
  <c r="R233" i="123"/>
  <c r="P233" i="123"/>
  <c r="O233" i="123"/>
  <c r="J233" i="123"/>
  <c r="N233" i="123" s="1"/>
  <c r="R232" i="123"/>
  <c r="P232" i="123"/>
  <c r="O232" i="123"/>
  <c r="J232" i="123"/>
  <c r="N232" i="123" s="1"/>
  <c r="T231" i="123"/>
  <c r="R231" i="123"/>
  <c r="P231" i="123"/>
  <c r="O231" i="123"/>
  <c r="T230" i="123"/>
  <c r="R230" i="123"/>
  <c r="P230" i="123"/>
  <c r="O230" i="123"/>
  <c r="J230" i="123"/>
  <c r="N230" i="123" s="1"/>
  <c r="R229" i="123"/>
  <c r="P229" i="123"/>
  <c r="O229" i="123"/>
  <c r="J229" i="123"/>
  <c r="N229" i="123" s="1"/>
  <c r="T228" i="123"/>
  <c r="R228" i="123"/>
  <c r="P228" i="123"/>
  <c r="O228" i="123"/>
  <c r="J228" i="123"/>
  <c r="N228" i="123" s="1"/>
  <c r="T227" i="123"/>
  <c r="R227" i="123"/>
  <c r="P227" i="123"/>
  <c r="O227" i="123"/>
  <c r="J227" i="123"/>
  <c r="N227" i="123" s="1"/>
  <c r="R226" i="123"/>
  <c r="P226" i="123"/>
  <c r="O226" i="123"/>
  <c r="J226" i="123"/>
  <c r="N226" i="123" s="1"/>
  <c r="T225" i="123"/>
  <c r="R225" i="123"/>
  <c r="P225" i="123"/>
  <c r="O225" i="123"/>
  <c r="T224" i="123"/>
  <c r="R224" i="123"/>
  <c r="P224" i="123"/>
  <c r="O224" i="123"/>
  <c r="J224" i="123"/>
  <c r="N224" i="123" s="1"/>
  <c r="T223" i="123"/>
  <c r="R223" i="123"/>
  <c r="P223" i="123"/>
  <c r="O223" i="123"/>
  <c r="J223" i="123"/>
  <c r="N223" i="123" s="1"/>
  <c r="T222" i="123"/>
  <c r="R222" i="123"/>
  <c r="P222" i="123"/>
  <c r="O222" i="123"/>
  <c r="T221" i="123"/>
  <c r="R221" i="123"/>
  <c r="P221" i="123"/>
  <c r="O221" i="123"/>
  <c r="J221" i="123"/>
  <c r="N221" i="123" s="1"/>
  <c r="T220" i="123"/>
  <c r="R220" i="123"/>
  <c r="P220" i="123"/>
  <c r="O220" i="123"/>
  <c r="J220" i="123"/>
  <c r="N220" i="123" s="1"/>
  <c r="T219" i="123"/>
  <c r="R219" i="123"/>
  <c r="P219" i="123"/>
  <c r="O219" i="123"/>
  <c r="T218" i="123"/>
  <c r="R218" i="123"/>
  <c r="P218" i="123"/>
  <c r="O218" i="123"/>
  <c r="J218" i="123"/>
  <c r="N218" i="123" s="1"/>
  <c r="T217" i="123"/>
  <c r="R217" i="123"/>
  <c r="P217" i="123"/>
  <c r="O217" i="123"/>
  <c r="J217" i="123"/>
  <c r="N217" i="123" s="1"/>
  <c r="R216" i="123"/>
  <c r="P216" i="123"/>
  <c r="O216" i="123"/>
  <c r="J216" i="123"/>
  <c r="N216" i="123" s="1"/>
  <c r="T215" i="123"/>
  <c r="R215" i="123"/>
  <c r="P215" i="123"/>
  <c r="O215" i="123"/>
  <c r="T214" i="123"/>
  <c r="R214" i="123"/>
  <c r="P214" i="123"/>
  <c r="O214" i="123"/>
  <c r="J214" i="123"/>
  <c r="N214" i="123" s="1"/>
  <c r="T213" i="123"/>
  <c r="R213" i="123"/>
  <c r="P213" i="123"/>
  <c r="O213" i="123"/>
  <c r="J213" i="123"/>
  <c r="N213" i="123" s="1"/>
  <c r="T212" i="123"/>
  <c r="R212" i="123"/>
  <c r="P212" i="123"/>
  <c r="O212" i="123"/>
  <c r="T211" i="123"/>
  <c r="R211" i="123"/>
  <c r="P211" i="123"/>
  <c r="O211" i="123"/>
  <c r="J211" i="123"/>
  <c r="N211" i="123" s="1"/>
  <c r="T210" i="123"/>
  <c r="R210" i="123"/>
  <c r="P210" i="123"/>
  <c r="O210" i="123"/>
  <c r="J210" i="123"/>
  <c r="N210" i="123" s="1"/>
  <c r="T209" i="123"/>
  <c r="R209" i="123"/>
  <c r="P209" i="123"/>
  <c r="O209" i="123"/>
  <c r="T208" i="123"/>
  <c r="R208" i="123"/>
  <c r="P208" i="123"/>
  <c r="O208" i="123"/>
  <c r="J208" i="123"/>
  <c r="N208" i="123" s="1"/>
  <c r="T207" i="123"/>
  <c r="R207" i="123"/>
  <c r="P207" i="123"/>
  <c r="O207" i="123"/>
  <c r="J207" i="123"/>
  <c r="R206" i="123"/>
  <c r="P206" i="123"/>
  <c r="O206" i="123"/>
  <c r="J206" i="123"/>
  <c r="N206" i="123" s="1"/>
  <c r="T205" i="123"/>
  <c r="R205" i="123"/>
  <c r="P205" i="123"/>
  <c r="O205" i="123"/>
  <c r="T204" i="123"/>
  <c r="R204" i="123"/>
  <c r="P204" i="123"/>
  <c r="O204" i="123"/>
  <c r="J204" i="123"/>
  <c r="N204" i="123" s="1"/>
  <c r="T203" i="123"/>
  <c r="R203" i="123"/>
  <c r="P203" i="123"/>
  <c r="O203" i="123"/>
  <c r="J203" i="123"/>
  <c r="N203" i="123" s="1"/>
  <c r="T202" i="123"/>
  <c r="R202" i="123"/>
  <c r="P202" i="123"/>
  <c r="O202" i="123"/>
  <c r="T201" i="123"/>
  <c r="R201" i="123"/>
  <c r="P201" i="123"/>
  <c r="O201" i="123"/>
  <c r="J201" i="123"/>
  <c r="N201" i="123" s="1"/>
  <c r="T200" i="123"/>
  <c r="R200" i="123"/>
  <c r="P200" i="123"/>
  <c r="O200" i="123"/>
  <c r="J200" i="123"/>
  <c r="N200" i="123" s="1"/>
  <c r="T199" i="123"/>
  <c r="R199" i="123"/>
  <c r="P199" i="123"/>
  <c r="O199" i="123"/>
  <c r="T198" i="123"/>
  <c r="R198" i="123"/>
  <c r="P198" i="123"/>
  <c r="O198" i="123"/>
  <c r="J198" i="123"/>
  <c r="N198" i="123" s="1"/>
  <c r="T197" i="123"/>
  <c r="R197" i="123"/>
  <c r="P197" i="123"/>
  <c r="O197" i="123"/>
  <c r="J197" i="123"/>
  <c r="N197" i="123" s="1"/>
  <c r="T196" i="123"/>
  <c r="R196" i="123"/>
  <c r="P196" i="123"/>
  <c r="O196" i="123"/>
  <c r="J196" i="123"/>
  <c r="T195" i="123"/>
  <c r="R195" i="123"/>
  <c r="P195" i="123"/>
  <c r="O195" i="123"/>
  <c r="T194" i="123"/>
  <c r="R194" i="123"/>
  <c r="P194" i="123"/>
  <c r="O194" i="123"/>
  <c r="J194" i="123"/>
  <c r="T193" i="123"/>
  <c r="P193" i="123"/>
  <c r="O193" i="123"/>
  <c r="N193" i="123"/>
  <c r="T192" i="123"/>
  <c r="R192" i="123"/>
  <c r="P192" i="123"/>
  <c r="O192" i="123"/>
  <c r="N192" i="123"/>
  <c r="F186" i="123"/>
  <c r="F185" i="123"/>
  <c r="F184" i="123" s="1"/>
  <c r="F187" i="123" s="1"/>
  <c r="R171" i="123"/>
  <c r="P171" i="123"/>
  <c r="O171" i="123"/>
  <c r="J171" i="123"/>
  <c r="N171" i="123" s="1"/>
  <c r="R170" i="123"/>
  <c r="P170" i="123"/>
  <c r="O170" i="123"/>
  <c r="R169" i="123"/>
  <c r="P169" i="123"/>
  <c r="O169" i="123"/>
  <c r="J169" i="123"/>
  <c r="N169" i="123" s="1"/>
  <c r="R168" i="123"/>
  <c r="P168" i="123"/>
  <c r="O168" i="123"/>
  <c r="J168" i="123"/>
  <c r="R167" i="123"/>
  <c r="P167" i="123"/>
  <c r="O167" i="123"/>
  <c r="R166" i="123"/>
  <c r="P166" i="123"/>
  <c r="O166" i="123"/>
  <c r="J166" i="123"/>
  <c r="N166" i="123" s="1"/>
  <c r="R165" i="123"/>
  <c r="P165" i="123"/>
  <c r="O165" i="123"/>
  <c r="J165" i="123"/>
  <c r="N165" i="123" s="1"/>
  <c r="R164" i="123"/>
  <c r="P164" i="123"/>
  <c r="O164" i="123"/>
  <c r="J164" i="123"/>
  <c r="N164" i="123" s="1"/>
  <c r="R163" i="123"/>
  <c r="P163" i="123"/>
  <c r="O163" i="123"/>
  <c r="R162" i="123"/>
  <c r="P162" i="123"/>
  <c r="O162" i="123"/>
  <c r="J162" i="123"/>
  <c r="N162" i="123" s="1"/>
  <c r="R161" i="123"/>
  <c r="P161" i="123"/>
  <c r="O161" i="123"/>
  <c r="J161" i="123"/>
  <c r="N161" i="123" s="1"/>
  <c r="R160" i="123"/>
  <c r="P160" i="123"/>
  <c r="O160" i="123"/>
  <c r="R159" i="123"/>
  <c r="P159" i="123"/>
  <c r="O159" i="123"/>
  <c r="J159" i="123"/>
  <c r="N159" i="123" s="1"/>
  <c r="R158" i="123"/>
  <c r="P158" i="123"/>
  <c r="O158" i="123"/>
  <c r="J158" i="123"/>
  <c r="N158" i="123" s="1"/>
  <c r="R157" i="123"/>
  <c r="P157" i="123"/>
  <c r="O157" i="123"/>
  <c r="R156" i="123"/>
  <c r="P156" i="123"/>
  <c r="O156" i="123"/>
  <c r="J156" i="123"/>
  <c r="N156" i="123" s="1"/>
  <c r="R155" i="123"/>
  <c r="P155" i="123"/>
  <c r="O155" i="123"/>
  <c r="J155" i="123"/>
  <c r="N155" i="123" s="1"/>
  <c r="R154" i="123"/>
  <c r="P154" i="123"/>
  <c r="O154" i="123"/>
  <c r="J154" i="123"/>
  <c r="N154" i="123" s="1"/>
  <c r="R153" i="123"/>
  <c r="P153" i="123"/>
  <c r="O153" i="123"/>
  <c r="R152" i="123"/>
  <c r="P152" i="123"/>
  <c r="O152" i="123"/>
  <c r="J152" i="123"/>
  <c r="N152" i="123" s="1"/>
  <c r="R151" i="123"/>
  <c r="P151" i="123"/>
  <c r="O151" i="123"/>
  <c r="J151" i="123"/>
  <c r="N151" i="123" s="1"/>
  <c r="R150" i="123"/>
  <c r="P150" i="123"/>
  <c r="O150" i="123"/>
  <c r="R149" i="123"/>
  <c r="P149" i="123"/>
  <c r="O149" i="123"/>
  <c r="J149" i="123"/>
  <c r="N149" i="123" s="1"/>
  <c r="R148" i="123"/>
  <c r="P148" i="123"/>
  <c r="O148" i="123"/>
  <c r="J148" i="123"/>
  <c r="N148" i="123" s="1"/>
  <c r="R147" i="123"/>
  <c r="P147" i="123"/>
  <c r="O147" i="123"/>
  <c r="R146" i="123"/>
  <c r="P146" i="123"/>
  <c r="O146" i="123"/>
  <c r="J146" i="123"/>
  <c r="N146" i="123" s="1"/>
  <c r="R145" i="123"/>
  <c r="P145" i="123"/>
  <c r="O145" i="123"/>
  <c r="J145" i="123"/>
  <c r="N145" i="123" s="1"/>
  <c r="R144" i="123"/>
  <c r="P144" i="123"/>
  <c r="O144" i="123"/>
  <c r="J144" i="123"/>
  <c r="N144" i="123" s="1"/>
  <c r="R143" i="123"/>
  <c r="P143" i="123"/>
  <c r="O143" i="123"/>
  <c r="R142" i="123"/>
  <c r="P142" i="123"/>
  <c r="O142" i="123"/>
  <c r="J142" i="123"/>
  <c r="N142" i="123" s="1"/>
  <c r="R141" i="123"/>
  <c r="P141" i="123"/>
  <c r="O141" i="123"/>
  <c r="J141" i="123"/>
  <c r="N141" i="123" s="1"/>
  <c r="R140" i="123"/>
  <c r="P140" i="123"/>
  <c r="O140" i="123"/>
  <c r="R139" i="123"/>
  <c r="P139" i="123"/>
  <c r="O139" i="123"/>
  <c r="J139" i="123"/>
  <c r="N139" i="123" s="1"/>
  <c r="R138" i="123"/>
  <c r="P138" i="123"/>
  <c r="O138" i="123"/>
  <c r="J138" i="123"/>
  <c r="N138" i="123" s="1"/>
  <c r="R137" i="123"/>
  <c r="P137" i="123"/>
  <c r="O137" i="123"/>
  <c r="R136" i="123"/>
  <c r="P136" i="123"/>
  <c r="O136" i="123"/>
  <c r="J136" i="123"/>
  <c r="R135" i="123"/>
  <c r="P135" i="123"/>
  <c r="O135" i="123"/>
  <c r="J135" i="123"/>
  <c r="N135" i="123" s="1"/>
  <c r="R134" i="123"/>
  <c r="P134" i="123"/>
  <c r="O134" i="123"/>
  <c r="J134" i="123"/>
  <c r="N134" i="123" s="1"/>
  <c r="R133" i="123"/>
  <c r="P133" i="123"/>
  <c r="O133" i="123"/>
  <c r="R132" i="123"/>
  <c r="P132" i="123"/>
  <c r="O132" i="123"/>
  <c r="J132" i="123"/>
  <c r="N132" i="123" s="1"/>
  <c r="R131" i="123"/>
  <c r="P131" i="123"/>
  <c r="O131" i="123"/>
  <c r="J131" i="123"/>
  <c r="N131" i="123" s="1"/>
  <c r="R130" i="123"/>
  <c r="P130" i="123"/>
  <c r="O130" i="123"/>
  <c r="R129" i="123"/>
  <c r="P129" i="123"/>
  <c r="O129" i="123"/>
  <c r="J129" i="123"/>
  <c r="N129" i="123" s="1"/>
  <c r="R128" i="123"/>
  <c r="P128" i="123"/>
  <c r="O128" i="123"/>
  <c r="J128" i="123"/>
  <c r="N128" i="123" s="1"/>
  <c r="R127" i="123"/>
  <c r="P127" i="123"/>
  <c r="O127" i="123"/>
  <c r="R126" i="123"/>
  <c r="P126" i="123"/>
  <c r="O126" i="123"/>
  <c r="J126" i="123"/>
  <c r="N126" i="123" s="1"/>
  <c r="R125" i="123"/>
  <c r="P125" i="123"/>
  <c r="O125" i="123"/>
  <c r="J125" i="123"/>
  <c r="N125" i="123" s="1"/>
  <c r="R124" i="123"/>
  <c r="P124" i="123"/>
  <c r="O124" i="123"/>
  <c r="R123" i="123"/>
  <c r="P123" i="123"/>
  <c r="O123" i="123"/>
  <c r="J123" i="123"/>
  <c r="N123" i="123" s="1"/>
  <c r="R122" i="123"/>
  <c r="P122" i="123"/>
  <c r="O122" i="123"/>
  <c r="J122" i="123"/>
  <c r="N122" i="123" s="1"/>
  <c r="R121" i="123"/>
  <c r="P121" i="123"/>
  <c r="O121" i="123"/>
  <c r="R120" i="123"/>
  <c r="P120" i="123"/>
  <c r="O120" i="123"/>
  <c r="J120" i="123"/>
  <c r="N120" i="123" s="1"/>
  <c r="R119" i="123"/>
  <c r="P119" i="123"/>
  <c r="O119" i="123"/>
  <c r="J119" i="123"/>
  <c r="N119" i="123" s="1"/>
  <c r="R118" i="123"/>
  <c r="P118" i="123"/>
  <c r="O118" i="123"/>
  <c r="R117" i="123"/>
  <c r="P117" i="123"/>
  <c r="O117" i="123"/>
  <c r="J117" i="123"/>
  <c r="N117" i="123" s="1"/>
  <c r="R116" i="123"/>
  <c r="P116" i="123"/>
  <c r="O116" i="123"/>
  <c r="J116" i="123"/>
  <c r="N116" i="123" s="1"/>
  <c r="R115" i="123"/>
  <c r="P115" i="123"/>
  <c r="O115" i="123"/>
  <c r="R114" i="123"/>
  <c r="P114" i="123"/>
  <c r="O114" i="123"/>
  <c r="J114" i="123"/>
  <c r="N114" i="123" s="1"/>
  <c r="R113" i="123"/>
  <c r="P113" i="123"/>
  <c r="O113" i="123"/>
  <c r="J113" i="123"/>
  <c r="N113" i="123" s="1"/>
  <c r="R112" i="123"/>
  <c r="P112" i="123"/>
  <c r="O112" i="123"/>
  <c r="R111" i="123"/>
  <c r="P111" i="123"/>
  <c r="O111" i="123"/>
  <c r="J111" i="123"/>
  <c r="N111" i="123" s="1"/>
  <c r="R110" i="123"/>
  <c r="P110" i="123"/>
  <c r="O110" i="123"/>
  <c r="J110" i="123"/>
  <c r="N110" i="123" s="1"/>
  <c r="R109" i="123"/>
  <c r="P109" i="123"/>
  <c r="O109" i="123"/>
  <c r="J109" i="123"/>
  <c r="N109" i="123" s="1"/>
  <c r="R108" i="123"/>
  <c r="P108" i="123"/>
  <c r="O108" i="123"/>
  <c r="J108" i="123"/>
  <c r="N108" i="123" s="1"/>
  <c r="R107" i="123"/>
  <c r="P107" i="123"/>
  <c r="O107" i="123"/>
  <c r="R106" i="123"/>
  <c r="P106" i="123"/>
  <c r="O106" i="123"/>
  <c r="J106" i="123"/>
  <c r="R105" i="123"/>
  <c r="P105" i="123"/>
  <c r="O105" i="123"/>
  <c r="J105" i="123"/>
  <c r="N105" i="123" s="1"/>
  <c r="R104" i="123"/>
  <c r="P104" i="123"/>
  <c r="O104" i="123"/>
  <c r="R103" i="123"/>
  <c r="P103" i="123"/>
  <c r="O103" i="123"/>
  <c r="J103" i="123"/>
  <c r="N103" i="123" s="1"/>
  <c r="R102" i="123"/>
  <c r="P102" i="123"/>
  <c r="O102" i="123"/>
  <c r="J102" i="123"/>
  <c r="N102" i="123" s="1"/>
  <c r="R101" i="123"/>
  <c r="P101" i="123"/>
  <c r="O101" i="123"/>
  <c r="R100" i="123"/>
  <c r="P100" i="123"/>
  <c r="O100" i="123"/>
  <c r="J100" i="123"/>
  <c r="N100" i="123" s="1"/>
  <c r="R99" i="123"/>
  <c r="P99" i="123"/>
  <c r="O99" i="123"/>
  <c r="J99" i="123"/>
  <c r="N99" i="123" s="1"/>
  <c r="R98" i="123"/>
  <c r="P98" i="123"/>
  <c r="O98" i="123"/>
  <c r="R97" i="123"/>
  <c r="P97" i="123"/>
  <c r="O97" i="123"/>
  <c r="J97" i="123"/>
  <c r="N97" i="123" s="1"/>
  <c r="R96" i="123"/>
  <c r="P96" i="123"/>
  <c r="O96" i="123"/>
  <c r="J96" i="123"/>
  <c r="N96" i="123" s="1"/>
  <c r="R95" i="123"/>
  <c r="P95" i="123"/>
  <c r="O95" i="123"/>
  <c r="R94" i="123"/>
  <c r="P94" i="123"/>
  <c r="O94" i="123"/>
  <c r="J94" i="123"/>
  <c r="N94" i="123" s="1"/>
  <c r="R93" i="123"/>
  <c r="P93" i="123"/>
  <c r="O93" i="123"/>
  <c r="J93" i="123"/>
  <c r="N93" i="123" s="1"/>
  <c r="R92" i="123"/>
  <c r="P92" i="123"/>
  <c r="O92" i="123"/>
  <c r="J92" i="123"/>
  <c r="N92" i="123" s="1"/>
  <c r="R91" i="123"/>
  <c r="P91" i="123"/>
  <c r="O91" i="123"/>
  <c r="J91" i="123"/>
  <c r="N91" i="123" s="1"/>
  <c r="R90" i="123"/>
  <c r="P90" i="123"/>
  <c r="O90" i="123"/>
  <c r="J90" i="123"/>
  <c r="N90" i="123" s="1"/>
  <c r="R89" i="123"/>
  <c r="P89" i="123"/>
  <c r="O89" i="123"/>
  <c r="R88" i="123"/>
  <c r="P88" i="123"/>
  <c r="O88" i="123"/>
  <c r="J88" i="123"/>
  <c r="N88" i="123" s="1"/>
  <c r="R87" i="123"/>
  <c r="P87" i="123"/>
  <c r="O87" i="123"/>
  <c r="J87" i="123"/>
  <c r="N87" i="123" s="1"/>
  <c r="R86" i="123"/>
  <c r="P86" i="123"/>
  <c r="O86" i="123"/>
  <c r="R85" i="123"/>
  <c r="P85" i="123"/>
  <c r="O85" i="123"/>
  <c r="J85" i="123"/>
  <c r="N85" i="123" s="1"/>
  <c r="R84" i="123"/>
  <c r="P84" i="123"/>
  <c r="O84" i="123"/>
  <c r="J84" i="123"/>
  <c r="R83" i="123"/>
  <c r="P83" i="123"/>
  <c r="O83" i="123"/>
  <c r="R82" i="123"/>
  <c r="P82" i="123"/>
  <c r="O82" i="123"/>
  <c r="J82" i="123"/>
  <c r="N82" i="123" s="1"/>
  <c r="R81" i="123"/>
  <c r="P81" i="123"/>
  <c r="O81" i="123"/>
  <c r="J81" i="123"/>
  <c r="N81" i="123" s="1"/>
  <c r="R80" i="123"/>
  <c r="P80" i="123"/>
  <c r="O80" i="123"/>
  <c r="J80" i="123"/>
  <c r="N80" i="123" s="1"/>
  <c r="R79" i="123"/>
  <c r="P79" i="123"/>
  <c r="O79" i="123"/>
  <c r="R78" i="123"/>
  <c r="P78" i="123"/>
  <c r="O78" i="123"/>
  <c r="J78" i="123"/>
  <c r="N78" i="123" s="1"/>
  <c r="R77" i="123"/>
  <c r="P77" i="123"/>
  <c r="O77" i="123"/>
  <c r="J77" i="123"/>
  <c r="R76" i="123"/>
  <c r="P76" i="123"/>
  <c r="O76" i="123"/>
  <c r="R75" i="123"/>
  <c r="P75" i="123"/>
  <c r="O75" i="123"/>
  <c r="J75" i="123"/>
  <c r="N75" i="123" s="1"/>
  <c r="R74" i="123"/>
  <c r="P74" i="123"/>
  <c r="O74" i="123"/>
  <c r="J74" i="123"/>
  <c r="N74" i="123" s="1"/>
  <c r="R73" i="123"/>
  <c r="P73" i="123"/>
  <c r="O73" i="123"/>
  <c r="R72" i="123"/>
  <c r="P72" i="123"/>
  <c r="O72" i="123"/>
  <c r="J72" i="123"/>
  <c r="R71" i="123"/>
  <c r="P71" i="123"/>
  <c r="O71" i="123"/>
  <c r="J71" i="123"/>
  <c r="N71" i="123" s="1"/>
  <c r="R70" i="123"/>
  <c r="P70" i="123"/>
  <c r="O70" i="123"/>
  <c r="J70" i="123"/>
  <c r="N70" i="123" s="1"/>
  <c r="R69" i="123"/>
  <c r="P69" i="123"/>
  <c r="O69" i="123"/>
  <c r="R68" i="123"/>
  <c r="P68" i="123"/>
  <c r="O68" i="123"/>
  <c r="J68" i="123"/>
  <c r="N68" i="123" s="1"/>
  <c r="R67" i="123"/>
  <c r="P67" i="123"/>
  <c r="O67" i="123"/>
  <c r="J67" i="123"/>
  <c r="N67" i="123" s="1"/>
  <c r="R66" i="123"/>
  <c r="P66" i="123"/>
  <c r="O66" i="123"/>
  <c r="R65" i="123"/>
  <c r="P65" i="123"/>
  <c r="O65" i="123"/>
  <c r="J65" i="123"/>
  <c r="N65" i="123" s="1"/>
  <c r="R64" i="123"/>
  <c r="P64" i="123"/>
  <c r="O64" i="123"/>
  <c r="J64" i="123"/>
  <c r="N64" i="123" s="1"/>
  <c r="R63" i="123"/>
  <c r="P63" i="123"/>
  <c r="O63" i="123"/>
  <c r="R62" i="123"/>
  <c r="P62" i="123"/>
  <c r="O62" i="123"/>
  <c r="J62" i="123"/>
  <c r="N62" i="123" s="1"/>
  <c r="R61" i="123"/>
  <c r="P61" i="123"/>
  <c r="O61" i="123"/>
  <c r="J61" i="123"/>
  <c r="N61" i="123" s="1"/>
  <c r="R60" i="123"/>
  <c r="P60" i="123"/>
  <c r="O60" i="123"/>
  <c r="J60" i="123"/>
  <c r="N60" i="123" s="1"/>
  <c r="R59" i="123"/>
  <c r="P59" i="123"/>
  <c r="O59" i="123"/>
  <c r="R58" i="123"/>
  <c r="P58" i="123"/>
  <c r="O58" i="123"/>
  <c r="J58" i="123"/>
  <c r="N58" i="123" s="1"/>
  <c r="R57" i="123"/>
  <c r="P57" i="123"/>
  <c r="O57" i="123"/>
  <c r="J57" i="123"/>
  <c r="N57" i="123" s="1"/>
  <c r="R56" i="123"/>
  <c r="P56" i="123"/>
  <c r="O56" i="123"/>
  <c r="R55" i="123"/>
  <c r="P55" i="123"/>
  <c r="O55" i="123"/>
  <c r="J55" i="123"/>
  <c r="N55" i="123" s="1"/>
  <c r="R54" i="123"/>
  <c r="P54" i="123"/>
  <c r="O54" i="123"/>
  <c r="J54" i="123"/>
  <c r="N54" i="123" s="1"/>
  <c r="R53" i="123"/>
  <c r="P53" i="123"/>
  <c r="O53" i="123"/>
  <c r="R52" i="123"/>
  <c r="P52" i="123"/>
  <c r="O52" i="123"/>
  <c r="J52" i="123"/>
  <c r="N52" i="123" s="1"/>
  <c r="R51" i="123"/>
  <c r="P51" i="123"/>
  <c r="O51" i="123"/>
  <c r="J51" i="123"/>
  <c r="N51" i="123" s="1"/>
  <c r="R50" i="123"/>
  <c r="P50" i="123"/>
  <c r="O50" i="123"/>
  <c r="J50" i="123"/>
  <c r="N50" i="123" s="1"/>
  <c r="R49" i="123"/>
  <c r="P49" i="123"/>
  <c r="O49" i="123"/>
  <c r="R48" i="123"/>
  <c r="P48" i="123"/>
  <c r="O48" i="123"/>
  <c r="J48" i="123"/>
  <c r="N48" i="123" s="1"/>
  <c r="R47" i="123"/>
  <c r="P47" i="123"/>
  <c r="O47" i="123"/>
  <c r="N47" i="123"/>
  <c r="R46" i="123"/>
  <c r="P46" i="123"/>
  <c r="O46" i="123"/>
  <c r="N46" i="123"/>
  <c r="F40" i="123"/>
  <c r="F39" i="123"/>
  <c r="F38" i="123"/>
  <c r="J22" i="123"/>
  <c r="I22" i="123"/>
  <c r="H22" i="123"/>
  <c r="G22" i="123"/>
  <c r="F22" i="123"/>
  <c r="D81" i="121"/>
  <c r="C81" i="121"/>
  <c r="D77" i="121"/>
  <c r="C77" i="121"/>
  <c r="D73" i="121"/>
  <c r="C73" i="121"/>
  <c r="D70" i="121"/>
  <c r="C70" i="121"/>
  <c r="D66" i="121"/>
  <c r="C66" i="121"/>
  <c r="D62" i="121"/>
  <c r="C62" i="121"/>
  <c r="D53" i="121"/>
  <c r="C53" i="121"/>
  <c r="D46" i="121"/>
  <c r="C46" i="121"/>
  <c r="D40" i="121"/>
  <c r="C40" i="121"/>
  <c r="D31" i="121"/>
  <c r="C31" i="121"/>
  <c r="P30" i="121"/>
  <c r="P29" i="121"/>
  <c r="O29" i="121"/>
  <c r="P28" i="121"/>
  <c r="O28" i="121"/>
  <c r="N28" i="121"/>
  <c r="P27" i="121"/>
  <c r="O27" i="121"/>
  <c r="N27" i="121"/>
  <c r="M27" i="121"/>
  <c r="P26" i="121"/>
  <c r="O26" i="121"/>
  <c r="N26" i="121"/>
  <c r="M26" i="121"/>
  <c r="L26" i="121"/>
  <c r="P25" i="121"/>
  <c r="O25" i="121"/>
  <c r="N25" i="121"/>
  <c r="M25" i="121"/>
  <c r="L25" i="121"/>
  <c r="K25" i="121"/>
  <c r="P24" i="121"/>
  <c r="O24" i="121"/>
  <c r="N24" i="121"/>
  <c r="M24" i="121"/>
  <c r="L24" i="121"/>
  <c r="K24" i="121"/>
  <c r="J24" i="121"/>
  <c r="N23" i="121"/>
  <c r="M23" i="121"/>
  <c r="L23" i="121"/>
  <c r="K23" i="121"/>
  <c r="J23" i="121"/>
  <c r="I23" i="121"/>
  <c r="D23" i="121"/>
  <c r="C23" i="121"/>
  <c r="D14" i="121"/>
  <c r="C14" i="121"/>
  <c r="D11" i="121"/>
  <c r="C11" i="121"/>
  <c r="I8" i="121"/>
  <c r="D8" i="121"/>
  <c r="C8" i="121"/>
  <c r="I7" i="121"/>
  <c r="I6" i="121"/>
  <c r="I5" i="121"/>
  <c r="I4" i="121"/>
  <c r="C4" i="121"/>
  <c r="P278" i="120"/>
  <c r="N278" i="120"/>
  <c r="M278" i="120"/>
  <c r="L278" i="120"/>
  <c r="H278" i="120"/>
  <c r="E278" i="120" s="1"/>
  <c r="C278" i="120"/>
  <c r="P277" i="120"/>
  <c r="N277" i="120"/>
  <c r="M277" i="120"/>
  <c r="L277" i="120"/>
  <c r="H277" i="120"/>
  <c r="E277" i="120" s="1"/>
  <c r="P276" i="120"/>
  <c r="N276" i="120"/>
  <c r="M276" i="120"/>
  <c r="L276" i="120"/>
  <c r="H276" i="120"/>
  <c r="E276" i="120" s="1"/>
  <c r="P275" i="120"/>
  <c r="N275" i="120"/>
  <c r="M275" i="120"/>
  <c r="L275" i="120"/>
  <c r="H275" i="120"/>
  <c r="E275" i="120" s="1"/>
  <c r="P274" i="120"/>
  <c r="N274" i="120"/>
  <c r="M274" i="120"/>
  <c r="L274" i="120"/>
  <c r="H274" i="120"/>
  <c r="E274" i="120" s="1"/>
  <c r="P273" i="120"/>
  <c r="N273" i="120"/>
  <c r="M273" i="120"/>
  <c r="L273" i="120"/>
  <c r="H273" i="120"/>
  <c r="E273" i="120" s="1"/>
  <c r="P272" i="120"/>
  <c r="N272" i="120"/>
  <c r="M272" i="120"/>
  <c r="L272" i="120"/>
  <c r="H272" i="120"/>
  <c r="E272" i="120" s="1"/>
  <c r="P271" i="120"/>
  <c r="N271" i="120"/>
  <c r="M271" i="120"/>
  <c r="L271" i="120"/>
  <c r="H271" i="120"/>
  <c r="E271" i="120" s="1"/>
  <c r="P270" i="120"/>
  <c r="N270" i="120"/>
  <c r="M270" i="120"/>
  <c r="L270" i="120"/>
  <c r="H270" i="120"/>
  <c r="E270" i="120" s="1"/>
  <c r="C270" i="120"/>
  <c r="P269" i="120"/>
  <c r="N269" i="120"/>
  <c r="M269" i="120"/>
  <c r="L269" i="120"/>
  <c r="H269" i="120"/>
  <c r="E269" i="120" s="1"/>
  <c r="C269" i="120"/>
  <c r="P268" i="120"/>
  <c r="N268" i="120"/>
  <c r="M268" i="120"/>
  <c r="L268" i="120"/>
  <c r="H268" i="120"/>
  <c r="E268" i="120" s="1"/>
  <c r="P267" i="120"/>
  <c r="N267" i="120"/>
  <c r="M267" i="120"/>
  <c r="L267" i="120"/>
  <c r="H267" i="120"/>
  <c r="E267" i="120" s="1"/>
  <c r="P266" i="120"/>
  <c r="N266" i="120"/>
  <c r="M266" i="120"/>
  <c r="L266" i="120"/>
  <c r="H266" i="120"/>
  <c r="E266" i="120" s="1"/>
  <c r="P265" i="120"/>
  <c r="N265" i="120"/>
  <c r="M265" i="120"/>
  <c r="L265" i="120"/>
  <c r="H265" i="120"/>
  <c r="E265" i="120" s="1"/>
  <c r="P264" i="120"/>
  <c r="N264" i="120"/>
  <c r="M264" i="120"/>
  <c r="L264" i="120"/>
  <c r="H264" i="120"/>
  <c r="E264" i="120" s="1"/>
  <c r="P263" i="120"/>
  <c r="N263" i="120"/>
  <c r="M263" i="120"/>
  <c r="L263" i="120"/>
  <c r="H263" i="120"/>
  <c r="E263" i="120" s="1"/>
  <c r="P262" i="120"/>
  <c r="N262" i="120"/>
  <c r="M262" i="120"/>
  <c r="L262" i="120"/>
  <c r="H262" i="120"/>
  <c r="E262" i="120" s="1"/>
  <c r="P261" i="120"/>
  <c r="N261" i="120"/>
  <c r="M261" i="120"/>
  <c r="L261" i="120"/>
  <c r="H261" i="120"/>
  <c r="E261" i="120" s="1"/>
  <c r="C261" i="120"/>
  <c r="P260" i="120"/>
  <c r="N260" i="120"/>
  <c r="M260" i="120"/>
  <c r="L260" i="120"/>
  <c r="H260" i="120"/>
  <c r="E260" i="120" s="1"/>
  <c r="C260" i="120"/>
  <c r="P259" i="120"/>
  <c r="N259" i="120"/>
  <c r="M259" i="120"/>
  <c r="L259" i="120"/>
  <c r="H259" i="120"/>
  <c r="E259" i="120" s="1"/>
  <c r="P258" i="120"/>
  <c r="N258" i="120"/>
  <c r="M258" i="120"/>
  <c r="L258" i="120"/>
  <c r="H258" i="120"/>
  <c r="E258" i="120" s="1"/>
  <c r="P257" i="120"/>
  <c r="N257" i="120"/>
  <c r="M257" i="120"/>
  <c r="L257" i="120"/>
  <c r="H257" i="120"/>
  <c r="E257" i="120" s="1"/>
  <c r="P256" i="120"/>
  <c r="N256" i="120"/>
  <c r="M256" i="120"/>
  <c r="L256" i="120"/>
  <c r="H256" i="120"/>
  <c r="E256" i="120" s="1"/>
  <c r="P255" i="120"/>
  <c r="N255" i="120"/>
  <c r="M255" i="120"/>
  <c r="L255" i="120"/>
  <c r="H255" i="120"/>
  <c r="E255" i="120" s="1"/>
  <c r="P254" i="120"/>
  <c r="N254" i="120"/>
  <c r="M254" i="120"/>
  <c r="L254" i="120"/>
  <c r="H254" i="120"/>
  <c r="E254" i="120" s="1"/>
  <c r="P253" i="120"/>
  <c r="N253" i="120"/>
  <c r="M253" i="120"/>
  <c r="L253" i="120"/>
  <c r="H253" i="120"/>
  <c r="E253" i="120" s="1"/>
  <c r="P252" i="120"/>
  <c r="N252" i="120"/>
  <c r="M252" i="120"/>
  <c r="L252" i="120"/>
  <c r="H252" i="120"/>
  <c r="E252" i="120" s="1"/>
  <c r="C252" i="120"/>
  <c r="P251" i="120"/>
  <c r="N251" i="120"/>
  <c r="M251" i="120"/>
  <c r="L251" i="120"/>
  <c r="H251" i="120"/>
  <c r="E251" i="120" s="1"/>
  <c r="C251" i="120"/>
  <c r="P250" i="120"/>
  <c r="N250" i="120"/>
  <c r="M250" i="120"/>
  <c r="L250" i="120"/>
  <c r="H250" i="120"/>
  <c r="E250" i="120" s="1"/>
  <c r="P249" i="120"/>
  <c r="N249" i="120"/>
  <c r="M249" i="120"/>
  <c r="L249" i="120"/>
  <c r="H249" i="120"/>
  <c r="E249" i="120" s="1"/>
  <c r="P248" i="120"/>
  <c r="N248" i="120"/>
  <c r="M248" i="120"/>
  <c r="L248" i="120"/>
  <c r="H248" i="120"/>
  <c r="E248" i="120" s="1"/>
  <c r="P247" i="120"/>
  <c r="N247" i="120"/>
  <c r="M247" i="120"/>
  <c r="L247" i="120"/>
  <c r="H247" i="120"/>
  <c r="E247" i="120" s="1"/>
  <c r="P246" i="120"/>
  <c r="N246" i="120"/>
  <c r="M246" i="120"/>
  <c r="L246" i="120"/>
  <c r="H246" i="120"/>
  <c r="E246" i="120" s="1"/>
  <c r="P245" i="120"/>
  <c r="N245" i="120"/>
  <c r="M245" i="120"/>
  <c r="L245" i="120"/>
  <c r="H245" i="120"/>
  <c r="E245" i="120" s="1"/>
  <c r="P244" i="120"/>
  <c r="N244" i="120"/>
  <c r="M244" i="120"/>
  <c r="L244" i="120"/>
  <c r="H244" i="120"/>
  <c r="E244" i="120" s="1"/>
  <c r="P243" i="120"/>
  <c r="N243" i="120"/>
  <c r="M243" i="120"/>
  <c r="L243" i="120"/>
  <c r="H243" i="120"/>
  <c r="E243" i="120" s="1"/>
  <c r="C243" i="120"/>
  <c r="P242" i="120"/>
  <c r="N242" i="120"/>
  <c r="M242" i="120"/>
  <c r="L242" i="120"/>
  <c r="H242" i="120"/>
  <c r="E242" i="120" s="1"/>
  <c r="C242" i="120"/>
  <c r="P241" i="120"/>
  <c r="N241" i="120"/>
  <c r="M241" i="120"/>
  <c r="L241" i="120"/>
  <c r="H241" i="120"/>
  <c r="E241" i="120" s="1"/>
  <c r="P240" i="120"/>
  <c r="N240" i="120"/>
  <c r="M240" i="120"/>
  <c r="L240" i="120"/>
  <c r="H240" i="120"/>
  <c r="E240" i="120" s="1"/>
  <c r="P239" i="120"/>
  <c r="N239" i="120"/>
  <c r="M239" i="120"/>
  <c r="L239" i="120"/>
  <c r="H239" i="120"/>
  <c r="E239" i="120" s="1"/>
  <c r="P238" i="120"/>
  <c r="N238" i="120"/>
  <c r="M238" i="120"/>
  <c r="L238" i="120"/>
  <c r="H238" i="120"/>
  <c r="E238" i="120" s="1"/>
  <c r="P237" i="120"/>
  <c r="N237" i="120"/>
  <c r="M237" i="120"/>
  <c r="L237" i="120"/>
  <c r="H237" i="120"/>
  <c r="E237" i="120" s="1"/>
  <c r="P236" i="120"/>
  <c r="N236" i="120"/>
  <c r="M236" i="120"/>
  <c r="L236" i="120"/>
  <c r="H236" i="120"/>
  <c r="E236" i="120" s="1"/>
  <c r="C236" i="120"/>
  <c r="P235" i="120"/>
  <c r="N235" i="120"/>
  <c r="M235" i="120"/>
  <c r="L235" i="120"/>
  <c r="H235" i="120"/>
  <c r="E235" i="120" s="1"/>
  <c r="C235" i="120"/>
  <c r="P234" i="120"/>
  <c r="N234" i="120"/>
  <c r="M234" i="120"/>
  <c r="L234" i="120"/>
  <c r="H234" i="120"/>
  <c r="E234" i="120" s="1"/>
  <c r="P233" i="120"/>
  <c r="N233" i="120"/>
  <c r="M233" i="120"/>
  <c r="L233" i="120"/>
  <c r="H233" i="120"/>
  <c r="E233" i="120" s="1"/>
  <c r="P232" i="120"/>
  <c r="N232" i="120"/>
  <c r="M232" i="120"/>
  <c r="L232" i="120"/>
  <c r="H232" i="120"/>
  <c r="E232" i="120" s="1"/>
  <c r="P231" i="120"/>
  <c r="N231" i="120"/>
  <c r="M231" i="120"/>
  <c r="L231" i="120"/>
  <c r="H231" i="120"/>
  <c r="E231" i="120" s="1"/>
  <c r="P230" i="120"/>
  <c r="N230" i="120"/>
  <c r="M230" i="120"/>
  <c r="L230" i="120"/>
  <c r="H230" i="120"/>
  <c r="E230" i="120" s="1"/>
  <c r="P229" i="120"/>
  <c r="N229" i="120"/>
  <c r="M229" i="120"/>
  <c r="L229" i="120"/>
  <c r="H229" i="120"/>
  <c r="E229" i="120" s="1"/>
  <c r="C229" i="120"/>
  <c r="P228" i="120"/>
  <c r="N228" i="120"/>
  <c r="M228" i="120"/>
  <c r="L228" i="120"/>
  <c r="H228" i="120"/>
  <c r="E228" i="120" s="1"/>
  <c r="C228" i="120"/>
  <c r="P227" i="120"/>
  <c r="N227" i="120"/>
  <c r="M227" i="120"/>
  <c r="L227" i="120"/>
  <c r="H227" i="120"/>
  <c r="E227" i="120" s="1"/>
  <c r="P226" i="120"/>
  <c r="N226" i="120"/>
  <c r="M226" i="120"/>
  <c r="L226" i="120"/>
  <c r="H226" i="120"/>
  <c r="E226" i="120" s="1"/>
  <c r="P225" i="120"/>
  <c r="N225" i="120"/>
  <c r="M225" i="120"/>
  <c r="L225" i="120"/>
  <c r="H225" i="120"/>
  <c r="E225" i="120" s="1"/>
  <c r="P224" i="120"/>
  <c r="N224" i="120"/>
  <c r="M224" i="120"/>
  <c r="L224" i="120"/>
  <c r="H224" i="120"/>
  <c r="E224" i="120" s="1"/>
  <c r="P223" i="120"/>
  <c r="N223" i="120"/>
  <c r="M223" i="120"/>
  <c r="L223" i="120"/>
  <c r="H223" i="120"/>
  <c r="E223" i="120" s="1"/>
  <c r="P222" i="120"/>
  <c r="N222" i="120"/>
  <c r="M222" i="120"/>
  <c r="L222" i="120"/>
  <c r="H222" i="120"/>
  <c r="E222" i="120" s="1"/>
  <c r="C222" i="120"/>
  <c r="P221" i="120"/>
  <c r="N221" i="120"/>
  <c r="M221" i="120"/>
  <c r="L221" i="120"/>
  <c r="H221" i="120"/>
  <c r="E221" i="120" s="1"/>
  <c r="C221" i="120"/>
  <c r="P220" i="120"/>
  <c r="N220" i="120"/>
  <c r="M220" i="120"/>
  <c r="L220" i="120"/>
  <c r="H220" i="120"/>
  <c r="E220" i="120" s="1"/>
  <c r="P219" i="120"/>
  <c r="N219" i="120"/>
  <c r="M219" i="120"/>
  <c r="L219" i="120"/>
  <c r="H219" i="120"/>
  <c r="E219" i="120" s="1"/>
  <c r="P218" i="120"/>
  <c r="N218" i="120"/>
  <c r="M218" i="120"/>
  <c r="L218" i="120"/>
  <c r="H218" i="120"/>
  <c r="E218" i="120" s="1"/>
  <c r="P217" i="120"/>
  <c r="N217" i="120"/>
  <c r="M217" i="120"/>
  <c r="L217" i="120"/>
  <c r="H217" i="120"/>
  <c r="E217" i="120" s="1"/>
  <c r="P216" i="120"/>
  <c r="N216" i="120"/>
  <c r="M216" i="120"/>
  <c r="L216" i="120"/>
  <c r="H216" i="120"/>
  <c r="E216" i="120" s="1"/>
  <c r="P215" i="120"/>
  <c r="N215" i="120"/>
  <c r="M215" i="120"/>
  <c r="L215" i="120"/>
  <c r="H215" i="120"/>
  <c r="E215" i="120" s="1"/>
  <c r="C215" i="120"/>
  <c r="P214" i="120"/>
  <c r="N214" i="120"/>
  <c r="M214" i="120"/>
  <c r="L214" i="120"/>
  <c r="H214" i="120"/>
  <c r="E214" i="120" s="1"/>
  <c r="C214" i="120"/>
  <c r="P213" i="120"/>
  <c r="N213" i="120"/>
  <c r="M213" i="120"/>
  <c r="L213" i="120"/>
  <c r="H213" i="120"/>
  <c r="E213" i="120" s="1"/>
  <c r="P212" i="120"/>
  <c r="N212" i="120"/>
  <c r="M212" i="120"/>
  <c r="L212" i="120"/>
  <c r="H212" i="120"/>
  <c r="E212" i="120" s="1"/>
  <c r="P211" i="120"/>
  <c r="N211" i="120"/>
  <c r="M211" i="120"/>
  <c r="L211" i="120"/>
  <c r="H211" i="120"/>
  <c r="E211" i="120" s="1"/>
  <c r="P210" i="120"/>
  <c r="N210" i="120"/>
  <c r="M210" i="120"/>
  <c r="L210" i="120"/>
  <c r="H210" i="120"/>
  <c r="E210" i="120" s="1"/>
  <c r="P209" i="120"/>
  <c r="N209" i="120"/>
  <c r="M209" i="120"/>
  <c r="L209" i="120"/>
  <c r="H209" i="120"/>
  <c r="E209" i="120" s="1"/>
  <c r="P208" i="120"/>
  <c r="N208" i="120"/>
  <c r="M208" i="120"/>
  <c r="L208" i="120"/>
  <c r="H208" i="120"/>
  <c r="E208" i="120" s="1"/>
  <c r="P207" i="120"/>
  <c r="N207" i="120"/>
  <c r="M207" i="120"/>
  <c r="L207" i="120"/>
  <c r="H207" i="120"/>
  <c r="E207" i="120" s="1"/>
  <c r="P206" i="120"/>
  <c r="N206" i="120"/>
  <c r="M206" i="120"/>
  <c r="L206" i="120"/>
  <c r="H206" i="120"/>
  <c r="E206" i="120" s="1"/>
  <c r="P205" i="120"/>
  <c r="N205" i="120"/>
  <c r="M205" i="120"/>
  <c r="L205" i="120"/>
  <c r="H205" i="120"/>
  <c r="E205" i="120" s="1"/>
  <c r="P204" i="120"/>
  <c r="N204" i="120"/>
  <c r="M204" i="120"/>
  <c r="L204" i="120"/>
  <c r="H204" i="120"/>
  <c r="E204" i="120" s="1"/>
  <c r="P203" i="120"/>
  <c r="N203" i="120"/>
  <c r="M203" i="120"/>
  <c r="L203" i="120"/>
  <c r="H203" i="120"/>
  <c r="E203" i="120" s="1"/>
  <c r="P202" i="120"/>
  <c r="N202" i="120"/>
  <c r="M202" i="120"/>
  <c r="L202" i="120"/>
  <c r="H202" i="120"/>
  <c r="E202" i="120" s="1"/>
  <c r="C202" i="120"/>
  <c r="P201" i="120"/>
  <c r="N201" i="120"/>
  <c r="M201" i="120"/>
  <c r="L201" i="120"/>
  <c r="H201" i="120"/>
  <c r="E201" i="120" s="1"/>
  <c r="P200" i="120"/>
  <c r="N200" i="120"/>
  <c r="M200" i="120"/>
  <c r="L200" i="120"/>
  <c r="H200" i="120"/>
  <c r="E200" i="120" s="1"/>
  <c r="P199" i="120"/>
  <c r="N199" i="120"/>
  <c r="M199" i="120"/>
  <c r="L199" i="120"/>
  <c r="H199" i="120"/>
  <c r="E199" i="120" s="1"/>
  <c r="P198" i="120"/>
  <c r="N198" i="120"/>
  <c r="M198" i="120"/>
  <c r="L198" i="120"/>
  <c r="H198" i="120"/>
  <c r="E198" i="120" s="1"/>
  <c r="P197" i="120"/>
  <c r="N197" i="120"/>
  <c r="M197" i="120"/>
  <c r="L197" i="120"/>
  <c r="H197" i="120"/>
  <c r="E197" i="120" s="1"/>
  <c r="P196" i="120"/>
  <c r="N196" i="120"/>
  <c r="M196" i="120"/>
  <c r="L196" i="120"/>
  <c r="H196" i="120"/>
  <c r="E196" i="120" s="1"/>
  <c r="C196" i="120"/>
  <c r="P195" i="120"/>
  <c r="N195" i="120"/>
  <c r="M195" i="120"/>
  <c r="L195" i="120"/>
  <c r="H195" i="120"/>
  <c r="E195" i="120" s="1"/>
  <c r="C195" i="120"/>
  <c r="P194" i="120"/>
  <c r="N194" i="120"/>
  <c r="M194" i="120"/>
  <c r="L194" i="120"/>
  <c r="H194" i="120"/>
  <c r="E194" i="120" s="1"/>
  <c r="P193" i="120"/>
  <c r="N193" i="120"/>
  <c r="M193" i="120"/>
  <c r="L193" i="120"/>
  <c r="H193" i="120"/>
  <c r="E193" i="120" s="1"/>
  <c r="P192" i="120"/>
  <c r="N192" i="120"/>
  <c r="M192" i="120"/>
  <c r="L192" i="120"/>
  <c r="H192" i="120"/>
  <c r="E192" i="120" s="1"/>
  <c r="P191" i="120"/>
  <c r="N191" i="120"/>
  <c r="M191" i="120"/>
  <c r="L191" i="120"/>
  <c r="H191" i="120"/>
  <c r="E191" i="120" s="1"/>
  <c r="P190" i="120"/>
  <c r="N190" i="120"/>
  <c r="M190" i="120"/>
  <c r="L190" i="120"/>
  <c r="H190" i="120"/>
  <c r="E190" i="120" s="1"/>
  <c r="P189" i="120"/>
  <c r="N189" i="120"/>
  <c r="M189" i="120"/>
  <c r="L189" i="120"/>
  <c r="H189" i="120"/>
  <c r="E189" i="120" s="1"/>
  <c r="C189" i="120"/>
  <c r="P188" i="120"/>
  <c r="N188" i="120"/>
  <c r="M188" i="120"/>
  <c r="L188" i="120"/>
  <c r="H188" i="120"/>
  <c r="E188" i="120" s="1"/>
  <c r="C188" i="120"/>
  <c r="P187" i="120"/>
  <c r="N187" i="120"/>
  <c r="M187" i="120"/>
  <c r="L187" i="120"/>
  <c r="H187" i="120"/>
  <c r="E187" i="120" s="1"/>
  <c r="P186" i="120"/>
  <c r="N186" i="120"/>
  <c r="M186" i="120"/>
  <c r="L186" i="120"/>
  <c r="H186" i="120"/>
  <c r="E186" i="120" s="1"/>
  <c r="P185" i="120"/>
  <c r="N185" i="120"/>
  <c r="M185" i="120"/>
  <c r="L185" i="120"/>
  <c r="H185" i="120"/>
  <c r="E185" i="120" s="1"/>
  <c r="P184" i="120"/>
  <c r="N184" i="120"/>
  <c r="M184" i="120"/>
  <c r="L184" i="120"/>
  <c r="H184" i="120"/>
  <c r="E184" i="120" s="1"/>
  <c r="P183" i="120"/>
  <c r="N183" i="120"/>
  <c r="M183" i="120"/>
  <c r="L183" i="120"/>
  <c r="H183" i="120"/>
  <c r="E183" i="120" s="1"/>
  <c r="P182" i="120"/>
  <c r="N182" i="120"/>
  <c r="M182" i="120"/>
  <c r="L182" i="120"/>
  <c r="H182" i="120"/>
  <c r="E182" i="120" s="1"/>
  <c r="C182" i="120"/>
  <c r="P181" i="120"/>
  <c r="N181" i="120"/>
  <c r="M181" i="120"/>
  <c r="L181" i="120"/>
  <c r="H181" i="120"/>
  <c r="E181" i="120" s="1"/>
  <c r="C181" i="120"/>
  <c r="P180" i="120"/>
  <c r="N180" i="120"/>
  <c r="M180" i="120"/>
  <c r="L180" i="120"/>
  <c r="H180" i="120"/>
  <c r="E180" i="120" s="1"/>
  <c r="P179" i="120"/>
  <c r="N179" i="120"/>
  <c r="M179" i="120"/>
  <c r="L179" i="120"/>
  <c r="H179" i="120"/>
  <c r="E179" i="120" s="1"/>
  <c r="P178" i="120"/>
  <c r="N178" i="120"/>
  <c r="M178" i="120"/>
  <c r="L178" i="120"/>
  <c r="H178" i="120"/>
  <c r="E178" i="120" s="1"/>
  <c r="P177" i="120"/>
  <c r="N177" i="120"/>
  <c r="M177" i="120"/>
  <c r="L177" i="120"/>
  <c r="H177" i="120"/>
  <c r="E177" i="120" s="1"/>
  <c r="P176" i="120"/>
  <c r="N176" i="120"/>
  <c r="M176" i="120"/>
  <c r="L176" i="120"/>
  <c r="H176" i="120"/>
  <c r="E176" i="120" s="1"/>
  <c r="P175" i="120"/>
  <c r="N175" i="120"/>
  <c r="M175" i="120"/>
  <c r="L175" i="120"/>
  <c r="H175" i="120"/>
  <c r="E175" i="120" s="1"/>
  <c r="C175" i="120"/>
  <c r="P174" i="120"/>
  <c r="N174" i="120"/>
  <c r="M174" i="120"/>
  <c r="L174" i="120"/>
  <c r="H174" i="120"/>
  <c r="E174" i="120" s="1"/>
  <c r="C174" i="120"/>
  <c r="P173" i="120"/>
  <c r="N173" i="120"/>
  <c r="M173" i="120"/>
  <c r="L173" i="120"/>
  <c r="H173" i="120"/>
  <c r="E173" i="120" s="1"/>
  <c r="P172" i="120"/>
  <c r="N172" i="120"/>
  <c r="M172" i="120"/>
  <c r="L172" i="120"/>
  <c r="H172" i="120"/>
  <c r="E172" i="120" s="1"/>
  <c r="P171" i="120"/>
  <c r="N171" i="120"/>
  <c r="M171" i="120"/>
  <c r="L171" i="120"/>
  <c r="H171" i="120"/>
  <c r="E171" i="120" s="1"/>
  <c r="P170" i="120"/>
  <c r="N170" i="120"/>
  <c r="M170" i="120"/>
  <c r="L170" i="120"/>
  <c r="H170" i="120"/>
  <c r="E170" i="120" s="1"/>
  <c r="P169" i="120"/>
  <c r="N169" i="120"/>
  <c r="M169" i="120"/>
  <c r="L169" i="120"/>
  <c r="H169" i="120"/>
  <c r="E169" i="120" s="1"/>
  <c r="P168" i="120"/>
  <c r="N168" i="120"/>
  <c r="M168" i="120"/>
  <c r="L168" i="120"/>
  <c r="H168" i="120"/>
  <c r="E168" i="120" s="1"/>
  <c r="C168" i="120"/>
  <c r="P167" i="120"/>
  <c r="N167" i="120"/>
  <c r="M167" i="120"/>
  <c r="L167" i="120"/>
  <c r="H167" i="120"/>
  <c r="E167" i="120" s="1"/>
  <c r="C167" i="120"/>
  <c r="P166" i="120"/>
  <c r="N166" i="120"/>
  <c r="M166" i="120"/>
  <c r="L166" i="120"/>
  <c r="H166" i="120"/>
  <c r="E166" i="120" s="1"/>
  <c r="P165" i="120"/>
  <c r="N165" i="120"/>
  <c r="M165" i="120"/>
  <c r="L165" i="120"/>
  <c r="H165" i="120"/>
  <c r="E165" i="120" s="1"/>
  <c r="P164" i="120"/>
  <c r="N164" i="120"/>
  <c r="M164" i="120"/>
  <c r="L164" i="120"/>
  <c r="H164" i="120"/>
  <c r="E164" i="120" s="1"/>
  <c r="P163" i="120"/>
  <c r="N163" i="120"/>
  <c r="M163" i="120"/>
  <c r="L163" i="120"/>
  <c r="H163" i="120"/>
  <c r="E163" i="120" s="1"/>
  <c r="P162" i="120"/>
  <c r="N162" i="120"/>
  <c r="M162" i="120"/>
  <c r="L162" i="120"/>
  <c r="H162" i="120"/>
  <c r="E162" i="120" s="1"/>
  <c r="P161" i="120"/>
  <c r="N161" i="120"/>
  <c r="M161" i="120"/>
  <c r="L161" i="120"/>
  <c r="H161" i="120"/>
  <c r="E161" i="120" s="1"/>
  <c r="C161" i="120"/>
  <c r="P156" i="120"/>
  <c r="N156" i="120"/>
  <c r="M156" i="120"/>
  <c r="L156" i="120"/>
  <c r="H156" i="120"/>
  <c r="C156" i="120"/>
  <c r="P155" i="120"/>
  <c r="N155" i="120"/>
  <c r="M155" i="120"/>
  <c r="L155" i="120"/>
  <c r="H155" i="120"/>
  <c r="E155" i="120" s="1"/>
  <c r="P154" i="120"/>
  <c r="N154" i="120"/>
  <c r="M154" i="120"/>
  <c r="L154" i="120"/>
  <c r="H154" i="120"/>
  <c r="E154" i="120" s="1"/>
  <c r="P153" i="120"/>
  <c r="N153" i="120"/>
  <c r="M153" i="120"/>
  <c r="L153" i="120"/>
  <c r="H153" i="120"/>
  <c r="P152" i="120"/>
  <c r="N152" i="120"/>
  <c r="M152" i="120"/>
  <c r="L152" i="120"/>
  <c r="H152" i="120"/>
  <c r="E152" i="120" s="1"/>
  <c r="P151" i="120"/>
  <c r="N151" i="120"/>
  <c r="M151" i="120"/>
  <c r="L151" i="120"/>
  <c r="H151" i="120"/>
  <c r="P150" i="120"/>
  <c r="N150" i="120"/>
  <c r="M150" i="120"/>
  <c r="L150" i="120"/>
  <c r="H150" i="120"/>
  <c r="C150" i="120"/>
  <c r="P149" i="120"/>
  <c r="N149" i="120"/>
  <c r="M149" i="120"/>
  <c r="L149" i="120"/>
  <c r="H149" i="120"/>
  <c r="E149" i="120" s="1"/>
  <c r="C149" i="120"/>
  <c r="P148" i="120"/>
  <c r="N148" i="120"/>
  <c r="M148" i="120"/>
  <c r="L148" i="120"/>
  <c r="H148" i="120"/>
  <c r="P147" i="120"/>
  <c r="N147" i="120"/>
  <c r="M147" i="120"/>
  <c r="L147" i="120"/>
  <c r="H147" i="120"/>
  <c r="P146" i="120"/>
  <c r="N146" i="120"/>
  <c r="M146" i="120"/>
  <c r="L146" i="120"/>
  <c r="H146" i="120"/>
  <c r="E146" i="120" s="1"/>
  <c r="P145" i="120"/>
  <c r="N145" i="120"/>
  <c r="M145" i="120"/>
  <c r="L145" i="120"/>
  <c r="H145" i="120"/>
  <c r="E145" i="120" s="1"/>
  <c r="P144" i="120"/>
  <c r="N144" i="120"/>
  <c r="M144" i="120"/>
  <c r="L144" i="120"/>
  <c r="H144" i="120"/>
  <c r="P143" i="120"/>
  <c r="N143" i="120"/>
  <c r="M143" i="120"/>
  <c r="L143" i="120"/>
  <c r="H143" i="120"/>
  <c r="E143" i="120" s="1"/>
  <c r="C143" i="120"/>
  <c r="P142" i="120"/>
  <c r="N142" i="120"/>
  <c r="M142" i="120"/>
  <c r="L142" i="120"/>
  <c r="H142" i="120"/>
  <c r="C142" i="120"/>
  <c r="P141" i="120"/>
  <c r="N141" i="120"/>
  <c r="M141" i="120"/>
  <c r="L141" i="120"/>
  <c r="H141" i="120"/>
  <c r="P140" i="120"/>
  <c r="N140" i="120"/>
  <c r="M140" i="120"/>
  <c r="L140" i="120"/>
  <c r="H140" i="120"/>
  <c r="E140" i="120" s="1"/>
  <c r="P139" i="120"/>
  <c r="N139" i="120"/>
  <c r="M139" i="120"/>
  <c r="L139" i="120"/>
  <c r="H139" i="120"/>
  <c r="P138" i="120"/>
  <c r="N138" i="120"/>
  <c r="M138" i="120"/>
  <c r="L138" i="120"/>
  <c r="H138" i="120"/>
  <c r="P137" i="120"/>
  <c r="N137" i="120"/>
  <c r="M137" i="120"/>
  <c r="L137" i="120"/>
  <c r="H137" i="120"/>
  <c r="E137" i="120" s="1"/>
  <c r="P136" i="120"/>
  <c r="N136" i="120"/>
  <c r="M136" i="120"/>
  <c r="L136" i="120"/>
  <c r="H136" i="120"/>
  <c r="C136" i="120"/>
  <c r="P135" i="120"/>
  <c r="N135" i="120"/>
  <c r="M135" i="120"/>
  <c r="L135" i="120"/>
  <c r="H135" i="120"/>
  <c r="C135" i="120"/>
  <c r="P134" i="120"/>
  <c r="N134" i="120"/>
  <c r="M134" i="120"/>
  <c r="L134" i="120"/>
  <c r="H134" i="120"/>
  <c r="E134" i="120" s="1"/>
  <c r="P133" i="120"/>
  <c r="M133" i="120"/>
  <c r="L133" i="120"/>
  <c r="N133" i="120" s="1"/>
  <c r="H133" i="120"/>
  <c r="P132" i="120"/>
  <c r="N132" i="120"/>
  <c r="M132" i="120"/>
  <c r="L132" i="120"/>
  <c r="H132" i="120"/>
  <c r="P131" i="120"/>
  <c r="N131" i="120"/>
  <c r="M131" i="120"/>
  <c r="L131" i="120"/>
  <c r="H131" i="120"/>
  <c r="E131" i="120" s="1"/>
  <c r="P130" i="120"/>
  <c r="N130" i="120"/>
  <c r="M130" i="120"/>
  <c r="L130" i="120"/>
  <c r="H130" i="120"/>
  <c r="P129" i="120"/>
  <c r="N129" i="120"/>
  <c r="M129" i="120"/>
  <c r="L129" i="120"/>
  <c r="H129" i="120"/>
  <c r="E129" i="120" s="1"/>
  <c r="C129" i="120"/>
  <c r="P128" i="120"/>
  <c r="N128" i="120"/>
  <c r="M128" i="120"/>
  <c r="L128" i="120"/>
  <c r="H128" i="120"/>
  <c r="E128" i="120" s="1"/>
  <c r="C128" i="120"/>
  <c r="P127" i="120"/>
  <c r="N127" i="120"/>
  <c r="M127" i="120"/>
  <c r="L127" i="120"/>
  <c r="H127" i="120"/>
  <c r="P126" i="120"/>
  <c r="M126" i="120"/>
  <c r="L126" i="120"/>
  <c r="N126" i="120" s="1"/>
  <c r="H126" i="120"/>
  <c r="P125" i="120"/>
  <c r="N125" i="120"/>
  <c r="M125" i="120"/>
  <c r="L125" i="120"/>
  <c r="H125" i="120"/>
  <c r="E125" i="120" s="1"/>
  <c r="P124" i="120"/>
  <c r="N124" i="120"/>
  <c r="M124" i="120"/>
  <c r="L124" i="120"/>
  <c r="H124" i="120"/>
  <c r="P123" i="120"/>
  <c r="N123" i="120"/>
  <c r="M123" i="120"/>
  <c r="L123" i="120"/>
  <c r="H123" i="120"/>
  <c r="E123" i="120" s="1"/>
  <c r="P122" i="120"/>
  <c r="N122" i="120"/>
  <c r="M122" i="120"/>
  <c r="L122" i="120"/>
  <c r="H122" i="120"/>
  <c r="E122" i="120" s="1"/>
  <c r="C122" i="120"/>
  <c r="P121" i="120"/>
  <c r="N121" i="120"/>
  <c r="M121" i="120"/>
  <c r="L121" i="120"/>
  <c r="H121" i="120"/>
  <c r="C121" i="120"/>
  <c r="P120" i="120"/>
  <c r="N120" i="120"/>
  <c r="M120" i="120"/>
  <c r="L120" i="120"/>
  <c r="P119" i="120"/>
  <c r="N119" i="120"/>
  <c r="M119" i="120"/>
  <c r="L119" i="120"/>
  <c r="H119" i="120"/>
  <c r="E119" i="120" s="1"/>
  <c r="P118" i="120"/>
  <c r="N118" i="120"/>
  <c r="M118" i="120"/>
  <c r="L118" i="120"/>
  <c r="H118" i="120"/>
  <c r="C118" i="120"/>
  <c r="P117" i="120"/>
  <c r="N117" i="120"/>
  <c r="M117" i="120"/>
  <c r="L117" i="120"/>
  <c r="P116" i="120"/>
  <c r="N116" i="120"/>
  <c r="M116" i="120"/>
  <c r="L116" i="120"/>
  <c r="H116" i="120"/>
  <c r="P115" i="120"/>
  <c r="N115" i="120"/>
  <c r="M115" i="120"/>
  <c r="L115" i="120"/>
  <c r="H115" i="120"/>
  <c r="C115" i="120"/>
  <c r="P114" i="120"/>
  <c r="N114" i="120"/>
  <c r="M114" i="120"/>
  <c r="L114" i="120"/>
  <c r="P113" i="120"/>
  <c r="N113" i="120"/>
  <c r="M113" i="120"/>
  <c r="L113" i="120"/>
  <c r="H113" i="120"/>
  <c r="P112" i="120"/>
  <c r="N112" i="120"/>
  <c r="M112" i="120"/>
  <c r="L112" i="120"/>
  <c r="H112" i="120"/>
  <c r="E112" i="120" s="1"/>
  <c r="C112" i="120"/>
  <c r="P111" i="120"/>
  <c r="N111" i="120"/>
  <c r="M111" i="120"/>
  <c r="L111" i="120"/>
  <c r="P110" i="120"/>
  <c r="N110" i="120"/>
  <c r="M110" i="120"/>
  <c r="L110" i="120"/>
  <c r="H110" i="120"/>
  <c r="P109" i="120"/>
  <c r="N109" i="120"/>
  <c r="M109" i="120"/>
  <c r="L109" i="120"/>
  <c r="H109" i="120"/>
  <c r="E109" i="120" s="1"/>
  <c r="C109" i="120"/>
  <c r="P108" i="120"/>
  <c r="N108" i="120"/>
  <c r="M108" i="120"/>
  <c r="L108" i="120"/>
  <c r="P107" i="120"/>
  <c r="N107" i="120"/>
  <c r="M107" i="120"/>
  <c r="L107" i="120"/>
  <c r="H107" i="120"/>
  <c r="P106" i="120"/>
  <c r="N106" i="120"/>
  <c r="M106" i="120"/>
  <c r="L106" i="120"/>
  <c r="H106" i="120"/>
  <c r="C106" i="120"/>
  <c r="P105" i="120"/>
  <c r="N105" i="120"/>
  <c r="M105" i="120"/>
  <c r="L105" i="120"/>
  <c r="H105" i="120"/>
  <c r="P104" i="120"/>
  <c r="M104" i="120"/>
  <c r="L104" i="120"/>
  <c r="N104" i="120" s="1"/>
  <c r="H104" i="120"/>
  <c r="P103" i="120"/>
  <c r="N103" i="120"/>
  <c r="M103" i="120"/>
  <c r="L103" i="120"/>
  <c r="H103" i="120"/>
  <c r="P102" i="120"/>
  <c r="N102" i="120"/>
  <c r="M102" i="120"/>
  <c r="L102" i="120"/>
  <c r="H102" i="120"/>
  <c r="P101" i="120"/>
  <c r="N101" i="120"/>
  <c r="M101" i="120"/>
  <c r="L101" i="120"/>
  <c r="H101" i="120"/>
  <c r="E101" i="120" s="1"/>
  <c r="P100" i="120"/>
  <c r="M100" i="120"/>
  <c r="L100" i="120"/>
  <c r="N100" i="120" s="1"/>
  <c r="H100" i="120"/>
  <c r="P99" i="120"/>
  <c r="N99" i="120"/>
  <c r="M99" i="120"/>
  <c r="L99" i="120"/>
  <c r="H99" i="120"/>
  <c r="C99" i="120"/>
  <c r="P98" i="120"/>
  <c r="N98" i="120"/>
  <c r="M98" i="120"/>
  <c r="L98" i="120"/>
  <c r="H98" i="120"/>
  <c r="E98" i="120" s="1"/>
  <c r="C98" i="120"/>
  <c r="P97" i="120"/>
  <c r="N97" i="120"/>
  <c r="M97" i="120"/>
  <c r="L97" i="120"/>
  <c r="H97" i="120"/>
  <c r="P96" i="120"/>
  <c r="N96" i="120"/>
  <c r="M96" i="120"/>
  <c r="L96" i="120"/>
  <c r="H96" i="120"/>
  <c r="P95" i="120"/>
  <c r="N95" i="120"/>
  <c r="M95" i="120"/>
  <c r="L95" i="120"/>
  <c r="H95" i="120"/>
  <c r="E95" i="120" s="1"/>
  <c r="P94" i="120"/>
  <c r="N94" i="120"/>
  <c r="M94" i="120"/>
  <c r="L94" i="120"/>
  <c r="H94" i="120"/>
  <c r="E94" i="120" s="1"/>
  <c r="C94" i="120"/>
  <c r="P93" i="120"/>
  <c r="N93" i="120"/>
  <c r="M93" i="120"/>
  <c r="L93" i="120"/>
  <c r="H93" i="120"/>
  <c r="C93" i="120"/>
  <c r="P92" i="120"/>
  <c r="N92" i="120"/>
  <c r="M92" i="120"/>
  <c r="L92" i="120"/>
  <c r="H92" i="120"/>
  <c r="P91" i="120"/>
  <c r="N91" i="120"/>
  <c r="M91" i="120"/>
  <c r="L91" i="120"/>
  <c r="H91" i="120"/>
  <c r="P90" i="120"/>
  <c r="N90" i="120"/>
  <c r="M90" i="120"/>
  <c r="L90" i="120"/>
  <c r="H90" i="120"/>
  <c r="P89" i="120"/>
  <c r="M89" i="120"/>
  <c r="L89" i="120"/>
  <c r="N89" i="120" s="1"/>
  <c r="H89" i="120"/>
  <c r="P88" i="120"/>
  <c r="N88" i="120"/>
  <c r="M88" i="120"/>
  <c r="L88" i="120"/>
  <c r="H88" i="120"/>
  <c r="E88" i="120" s="1"/>
  <c r="P87" i="120"/>
  <c r="M87" i="120"/>
  <c r="N87" i="120" s="1"/>
  <c r="L87" i="120"/>
  <c r="H87" i="120"/>
  <c r="P86" i="120"/>
  <c r="N86" i="120"/>
  <c r="M86" i="120"/>
  <c r="L86" i="120"/>
  <c r="H86" i="120"/>
  <c r="E86" i="120" s="1"/>
  <c r="P85" i="120"/>
  <c r="M85" i="120"/>
  <c r="L85" i="120"/>
  <c r="N85" i="120" s="1"/>
  <c r="H85" i="120"/>
  <c r="P84" i="120"/>
  <c r="N84" i="120"/>
  <c r="M84" i="120"/>
  <c r="L84" i="120"/>
  <c r="H84" i="120"/>
  <c r="P83" i="120"/>
  <c r="N83" i="120"/>
  <c r="M83" i="120"/>
  <c r="L83" i="120"/>
  <c r="H83" i="120"/>
  <c r="C83" i="120"/>
  <c r="P82" i="120"/>
  <c r="N82" i="120"/>
  <c r="M82" i="120"/>
  <c r="L82" i="120"/>
  <c r="H82" i="120"/>
  <c r="C82" i="120"/>
  <c r="P81" i="120"/>
  <c r="N81" i="120"/>
  <c r="M81" i="120"/>
  <c r="L81" i="120"/>
  <c r="H81" i="120"/>
  <c r="P80" i="120"/>
  <c r="M80" i="120"/>
  <c r="L80" i="120"/>
  <c r="N80" i="120" s="1"/>
  <c r="H80" i="120"/>
  <c r="P79" i="120"/>
  <c r="N79" i="120"/>
  <c r="M79" i="120"/>
  <c r="L79" i="120"/>
  <c r="H79" i="120"/>
  <c r="P78" i="120"/>
  <c r="M78" i="120"/>
  <c r="L78" i="120"/>
  <c r="N78" i="120" s="1"/>
  <c r="H78" i="120"/>
  <c r="P77" i="120"/>
  <c r="N77" i="120"/>
  <c r="M77" i="120"/>
  <c r="L77" i="120"/>
  <c r="H77" i="120"/>
  <c r="P76" i="120"/>
  <c r="N76" i="120"/>
  <c r="M76" i="120"/>
  <c r="L76" i="120"/>
  <c r="H76" i="120"/>
  <c r="C76" i="120"/>
  <c r="P75" i="120"/>
  <c r="N75" i="120"/>
  <c r="M75" i="120"/>
  <c r="L75" i="120"/>
  <c r="H75" i="120"/>
  <c r="C75" i="120"/>
  <c r="P74" i="120"/>
  <c r="N74" i="120"/>
  <c r="M74" i="120"/>
  <c r="L74" i="120"/>
  <c r="H74" i="120"/>
  <c r="E74" i="120" s="1"/>
  <c r="P73" i="120"/>
  <c r="M73" i="120"/>
  <c r="L73" i="120"/>
  <c r="N73" i="120" s="1"/>
  <c r="H73" i="120"/>
  <c r="P72" i="120"/>
  <c r="N72" i="120"/>
  <c r="M72" i="120"/>
  <c r="L72" i="120"/>
  <c r="H72" i="120"/>
  <c r="P71" i="120"/>
  <c r="N71" i="120"/>
  <c r="M71" i="120"/>
  <c r="L71" i="120"/>
  <c r="H71" i="120"/>
  <c r="P70" i="120"/>
  <c r="N70" i="120"/>
  <c r="M70" i="120"/>
  <c r="L70" i="120"/>
  <c r="H70" i="120"/>
  <c r="P69" i="120"/>
  <c r="N69" i="120"/>
  <c r="M69" i="120"/>
  <c r="L69" i="120"/>
  <c r="H69" i="120"/>
  <c r="E69" i="120" s="1"/>
  <c r="C69" i="120"/>
  <c r="P68" i="120"/>
  <c r="N68" i="120"/>
  <c r="M68" i="120"/>
  <c r="L68" i="120"/>
  <c r="H68" i="120"/>
  <c r="C68" i="120"/>
  <c r="P67" i="120"/>
  <c r="N67" i="120"/>
  <c r="M67" i="120"/>
  <c r="L67" i="120"/>
  <c r="H67" i="120"/>
  <c r="P66" i="120"/>
  <c r="M66" i="120"/>
  <c r="L66" i="120"/>
  <c r="N66" i="120" s="1"/>
  <c r="H66" i="120"/>
  <c r="P65" i="120"/>
  <c r="N65" i="120"/>
  <c r="M65" i="120"/>
  <c r="L65" i="120"/>
  <c r="H65" i="120"/>
  <c r="P64" i="120"/>
  <c r="N64" i="120"/>
  <c r="M64" i="120"/>
  <c r="L64" i="120"/>
  <c r="H64" i="120"/>
  <c r="P63" i="120"/>
  <c r="N63" i="120"/>
  <c r="M63" i="120"/>
  <c r="L63" i="120"/>
  <c r="H63" i="120"/>
  <c r="E63" i="120" s="1"/>
  <c r="P62" i="120"/>
  <c r="N62" i="120"/>
  <c r="M62" i="120"/>
  <c r="L62" i="120"/>
  <c r="H62" i="120"/>
  <c r="E62" i="120" s="1"/>
  <c r="C62" i="120"/>
  <c r="P61" i="120"/>
  <c r="N61" i="120"/>
  <c r="M61" i="120"/>
  <c r="L61" i="120"/>
  <c r="H61" i="120"/>
  <c r="C61" i="120"/>
  <c r="P60" i="120"/>
  <c r="N60" i="120"/>
  <c r="M60" i="120"/>
  <c r="L60" i="120"/>
  <c r="H60" i="120"/>
  <c r="P59" i="120"/>
  <c r="N59" i="120"/>
  <c r="M59" i="120"/>
  <c r="L59" i="120"/>
  <c r="H59" i="120"/>
  <c r="P58" i="120"/>
  <c r="N58" i="120"/>
  <c r="M58" i="120"/>
  <c r="L58" i="120"/>
  <c r="H58" i="120"/>
  <c r="P57" i="120"/>
  <c r="M57" i="120"/>
  <c r="L57" i="120"/>
  <c r="N57" i="120" s="1"/>
  <c r="H57" i="120"/>
  <c r="P56" i="120"/>
  <c r="N56" i="120"/>
  <c r="M56" i="120"/>
  <c r="L56" i="120"/>
  <c r="H56" i="120"/>
  <c r="E56" i="120" s="1"/>
  <c r="P55" i="120"/>
  <c r="N55" i="120"/>
  <c r="M55" i="120"/>
  <c r="L55" i="120"/>
  <c r="H55" i="120"/>
  <c r="C55" i="120"/>
  <c r="P54" i="120"/>
  <c r="N54" i="120"/>
  <c r="M54" i="120"/>
  <c r="L54" i="120"/>
  <c r="H54" i="120"/>
  <c r="E54" i="120" s="1"/>
  <c r="C54" i="120"/>
  <c r="P53" i="120"/>
  <c r="N53" i="120"/>
  <c r="M53" i="120"/>
  <c r="L53" i="120"/>
  <c r="H53" i="120"/>
  <c r="P52" i="120"/>
  <c r="N52" i="120"/>
  <c r="M52" i="120"/>
  <c r="L52" i="120"/>
  <c r="H52" i="120"/>
  <c r="P51" i="120"/>
  <c r="N51" i="120"/>
  <c r="M51" i="120"/>
  <c r="L51" i="120"/>
  <c r="H51" i="120"/>
  <c r="E51" i="120" s="1"/>
  <c r="P50" i="120"/>
  <c r="M50" i="120"/>
  <c r="N50" i="120" s="1"/>
  <c r="L50" i="120"/>
  <c r="H50" i="120"/>
  <c r="P49" i="120"/>
  <c r="N49" i="120"/>
  <c r="M49" i="120"/>
  <c r="L49" i="120"/>
  <c r="H49" i="120"/>
  <c r="P48" i="120"/>
  <c r="M48" i="120"/>
  <c r="L48" i="120"/>
  <c r="N48" i="120" s="1"/>
  <c r="H48" i="120"/>
  <c r="P47" i="120"/>
  <c r="N47" i="120"/>
  <c r="M47" i="120"/>
  <c r="L47" i="120"/>
  <c r="H47" i="120"/>
  <c r="P46" i="120"/>
  <c r="N46" i="120"/>
  <c r="M46" i="120"/>
  <c r="L46" i="120"/>
  <c r="H46" i="120"/>
  <c r="C46" i="120"/>
  <c r="P45" i="120"/>
  <c r="N45" i="120"/>
  <c r="M45" i="120"/>
  <c r="L45" i="120"/>
  <c r="H45" i="120"/>
  <c r="E45" i="120" s="1"/>
  <c r="C45" i="120"/>
  <c r="R164" i="119" s="1"/>
  <c r="P44" i="120"/>
  <c r="N44" i="120"/>
  <c r="M44" i="120"/>
  <c r="L44" i="120"/>
  <c r="H44" i="120"/>
  <c r="E44" i="120" s="1"/>
  <c r="P43" i="120"/>
  <c r="M43" i="120"/>
  <c r="N43" i="120" s="1"/>
  <c r="L43" i="120"/>
  <c r="H43" i="120"/>
  <c r="P42" i="120"/>
  <c r="N42" i="120"/>
  <c r="M42" i="120"/>
  <c r="L42" i="120"/>
  <c r="H42" i="120"/>
  <c r="E42" i="120" s="1"/>
  <c r="P41" i="120"/>
  <c r="M41" i="120"/>
  <c r="L41" i="120"/>
  <c r="N41" i="120" s="1"/>
  <c r="H41" i="120"/>
  <c r="P40" i="120"/>
  <c r="N40" i="120"/>
  <c r="M40" i="120"/>
  <c r="L40" i="120"/>
  <c r="H40" i="120"/>
  <c r="P39" i="120"/>
  <c r="N39" i="120"/>
  <c r="M39" i="120"/>
  <c r="L39" i="120"/>
  <c r="H39" i="120"/>
  <c r="P38" i="120"/>
  <c r="N38" i="120"/>
  <c r="M38" i="120"/>
  <c r="L38" i="120"/>
  <c r="H38" i="120"/>
  <c r="P37" i="120"/>
  <c r="M37" i="120"/>
  <c r="L37" i="120"/>
  <c r="N37" i="120" s="1"/>
  <c r="H37" i="120"/>
  <c r="P36" i="120"/>
  <c r="N36" i="120"/>
  <c r="M36" i="120"/>
  <c r="L36" i="120"/>
  <c r="H36" i="120"/>
  <c r="E36" i="120" s="1"/>
  <c r="P35" i="120"/>
  <c r="N35" i="120"/>
  <c r="M35" i="120"/>
  <c r="L35" i="120"/>
  <c r="H35" i="120"/>
  <c r="C35" i="120"/>
  <c r="P34" i="120"/>
  <c r="N34" i="120"/>
  <c r="M34" i="120"/>
  <c r="L34" i="120"/>
  <c r="H34" i="120"/>
  <c r="E34" i="120" s="1"/>
  <c r="C34" i="120"/>
  <c r="P33" i="120"/>
  <c r="N33" i="120"/>
  <c r="M33" i="120"/>
  <c r="L33" i="120"/>
  <c r="H33" i="120"/>
  <c r="P32" i="120"/>
  <c r="N32" i="120"/>
  <c r="M32" i="120"/>
  <c r="L32" i="120"/>
  <c r="H32" i="120"/>
  <c r="P31" i="120"/>
  <c r="N31" i="120"/>
  <c r="M31" i="120"/>
  <c r="L31" i="120"/>
  <c r="H31" i="120"/>
  <c r="E31" i="120" s="1"/>
  <c r="P30" i="120"/>
  <c r="M30" i="120"/>
  <c r="N30" i="120" s="1"/>
  <c r="L30" i="120"/>
  <c r="H30" i="120"/>
  <c r="P29" i="120"/>
  <c r="N29" i="120"/>
  <c r="M29" i="120"/>
  <c r="L29" i="120"/>
  <c r="H29" i="120"/>
  <c r="P28" i="120"/>
  <c r="M28" i="120"/>
  <c r="L28" i="120"/>
  <c r="N28" i="120" s="1"/>
  <c r="H28" i="120"/>
  <c r="P27" i="120"/>
  <c r="N27" i="120"/>
  <c r="M27" i="120"/>
  <c r="L27" i="120"/>
  <c r="H27" i="120"/>
  <c r="P26" i="120"/>
  <c r="M26" i="120"/>
  <c r="L26" i="120"/>
  <c r="N26" i="120" s="1"/>
  <c r="H26" i="120"/>
  <c r="P25" i="120"/>
  <c r="N25" i="120"/>
  <c r="M25" i="120"/>
  <c r="L25" i="120"/>
  <c r="H25" i="120"/>
  <c r="E25" i="120" s="1"/>
  <c r="P24" i="120"/>
  <c r="N24" i="120"/>
  <c r="M24" i="120"/>
  <c r="L24" i="120"/>
  <c r="H24" i="120"/>
  <c r="C24" i="120"/>
  <c r="P23" i="120"/>
  <c r="N23" i="120"/>
  <c r="M23" i="120"/>
  <c r="L23" i="120"/>
  <c r="H23" i="120"/>
  <c r="C23" i="120"/>
  <c r="P22" i="120"/>
  <c r="N22" i="120"/>
  <c r="M22" i="120"/>
  <c r="L22" i="120"/>
  <c r="H22" i="120"/>
  <c r="E22" i="120" s="1"/>
  <c r="P21" i="120"/>
  <c r="M21" i="120"/>
  <c r="L21" i="120"/>
  <c r="N21" i="120" s="1"/>
  <c r="H21" i="120"/>
  <c r="P20" i="120"/>
  <c r="N20" i="120"/>
  <c r="M20" i="120"/>
  <c r="L20" i="120"/>
  <c r="H20" i="120"/>
  <c r="P19" i="120"/>
  <c r="N19" i="120"/>
  <c r="M19" i="120"/>
  <c r="L19" i="120"/>
  <c r="H19" i="120"/>
  <c r="P18" i="120"/>
  <c r="N18" i="120"/>
  <c r="M18" i="120"/>
  <c r="L18" i="120"/>
  <c r="H18" i="120"/>
  <c r="P17" i="120"/>
  <c r="M17" i="120"/>
  <c r="L17" i="120"/>
  <c r="N17" i="120" s="1"/>
  <c r="H17" i="120"/>
  <c r="P16" i="120"/>
  <c r="N16" i="120"/>
  <c r="M16" i="120"/>
  <c r="L16" i="120"/>
  <c r="H16" i="120"/>
  <c r="E16" i="120" s="1"/>
  <c r="P15" i="120"/>
  <c r="M15" i="120"/>
  <c r="N15" i="120" s="1"/>
  <c r="L15" i="120"/>
  <c r="H15" i="120"/>
  <c r="P14" i="120"/>
  <c r="N14" i="120"/>
  <c r="M14" i="120"/>
  <c r="L14" i="120"/>
  <c r="H14" i="120"/>
  <c r="E14" i="120" s="1"/>
  <c r="P13" i="120"/>
  <c r="N13" i="120"/>
  <c r="M13" i="120"/>
  <c r="L13" i="120"/>
  <c r="H13" i="120"/>
  <c r="C13" i="120"/>
  <c r="P12" i="120"/>
  <c r="N12" i="120"/>
  <c r="M12" i="120"/>
  <c r="L12" i="120"/>
  <c r="H12" i="120"/>
  <c r="C12" i="120"/>
  <c r="P11" i="120"/>
  <c r="N11" i="120"/>
  <c r="M11" i="120"/>
  <c r="L11" i="120"/>
  <c r="H11" i="120"/>
  <c r="E11" i="120" s="1"/>
  <c r="P10" i="120"/>
  <c r="M10" i="120"/>
  <c r="N10" i="120" s="1"/>
  <c r="L10" i="120"/>
  <c r="H10" i="120"/>
  <c r="P9" i="120"/>
  <c r="N9" i="120"/>
  <c r="M9" i="120"/>
  <c r="L9" i="120"/>
  <c r="H9" i="120"/>
  <c r="P8" i="120"/>
  <c r="M8" i="120"/>
  <c r="L8" i="120"/>
  <c r="N8" i="120" s="1"/>
  <c r="H8" i="120"/>
  <c r="P7" i="120"/>
  <c r="N7" i="120"/>
  <c r="M7" i="120"/>
  <c r="L7" i="120"/>
  <c r="H7" i="120"/>
  <c r="C7" i="120"/>
  <c r="P6" i="120"/>
  <c r="N6" i="120"/>
  <c r="M6" i="120"/>
  <c r="L6" i="120"/>
  <c r="H6" i="120"/>
  <c r="C6" i="120"/>
  <c r="R198" i="119" s="1"/>
  <c r="P5" i="120"/>
  <c r="N5" i="120"/>
  <c r="M5" i="120"/>
  <c r="L5" i="120"/>
  <c r="H5" i="120"/>
  <c r="E5" i="120" s="1"/>
  <c r="P4" i="120"/>
  <c r="N4" i="120"/>
  <c r="M4" i="120"/>
  <c r="L4" i="120"/>
  <c r="H4" i="120"/>
  <c r="E4" i="120" s="1"/>
  <c r="C4" i="120"/>
  <c r="P260" i="119"/>
  <c r="M260" i="119"/>
  <c r="L260" i="119"/>
  <c r="H260" i="119"/>
  <c r="P259" i="119"/>
  <c r="N259" i="119"/>
  <c r="M259" i="119"/>
  <c r="L259" i="119"/>
  <c r="P258" i="119"/>
  <c r="N258" i="119"/>
  <c r="M258" i="119"/>
  <c r="L258" i="119"/>
  <c r="H258" i="119"/>
  <c r="P257" i="119"/>
  <c r="N257" i="119"/>
  <c r="M257" i="119"/>
  <c r="L257" i="119"/>
  <c r="H257" i="119"/>
  <c r="P256" i="119"/>
  <c r="M256" i="119"/>
  <c r="L256" i="119"/>
  <c r="N256" i="119" s="1"/>
  <c r="H256" i="119"/>
  <c r="P255" i="119"/>
  <c r="N255" i="119"/>
  <c r="M255" i="119"/>
  <c r="L255" i="119"/>
  <c r="H255" i="119"/>
  <c r="P254" i="119"/>
  <c r="M254" i="119"/>
  <c r="L254" i="119"/>
  <c r="N254" i="119" s="1"/>
  <c r="H254" i="119"/>
  <c r="P253" i="119"/>
  <c r="N253" i="119"/>
  <c r="M253" i="119"/>
  <c r="L253" i="119"/>
  <c r="H253" i="119"/>
  <c r="P252" i="119"/>
  <c r="M252" i="119"/>
  <c r="N252" i="119" s="1"/>
  <c r="L252" i="119"/>
  <c r="H252" i="119"/>
  <c r="P251" i="119"/>
  <c r="N251" i="119"/>
  <c r="M251" i="119"/>
  <c r="L251" i="119"/>
  <c r="H251" i="119"/>
  <c r="P250" i="119"/>
  <c r="M250" i="119"/>
  <c r="L250" i="119"/>
  <c r="N250" i="119" s="1"/>
  <c r="H250" i="119"/>
  <c r="P249" i="119"/>
  <c r="N249" i="119"/>
  <c r="M249" i="119"/>
  <c r="L249" i="119"/>
  <c r="H249" i="119"/>
  <c r="P248" i="119"/>
  <c r="M248" i="119"/>
  <c r="L248" i="119"/>
  <c r="N248" i="119" s="1"/>
  <c r="H248" i="119"/>
  <c r="P247" i="119"/>
  <c r="N247" i="119"/>
  <c r="M247" i="119"/>
  <c r="L247" i="119"/>
  <c r="H247" i="119"/>
  <c r="P246" i="119"/>
  <c r="N246" i="119"/>
  <c r="M246" i="119"/>
  <c r="L246" i="119"/>
  <c r="H246" i="119"/>
  <c r="P245" i="119"/>
  <c r="N245" i="119"/>
  <c r="M245" i="119"/>
  <c r="L245" i="119"/>
  <c r="P244" i="119"/>
  <c r="N244" i="119"/>
  <c r="M244" i="119"/>
  <c r="L244" i="119"/>
  <c r="H244" i="119"/>
  <c r="P243" i="119"/>
  <c r="N243" i="119"/>
  <c r="M243" i="119"/>
  <c r="L243" i="119"/>
  <c r="H243" i="119"/>
  <c r="P242" i="119"/>
  <c r="N242" i="119"/>
  <c r="M242" i="119"/>
  <c r="L242" i="119"/>
  <c r="P241" i="119"/>
  <c r="N241" i="119"/>
  <c r="M241" i="119"/>
  <c r="L241" i="119"/>
  <c r="H241" i="119"/>
  <c r="P240" i="119"/>
  <c r="N240" i="119"/>
  <c r="M240" i="119"/>
  <c r="L240" i="119"/>
  <c r="H240" i="119"/>
  <c r="P239" i="119"/>
  <c r="N239" i="119"/>
  <c r="M239" i="119"/>
  <c r="L239" i="119"/>
  <c r="H239" i="119"/>
  <c r="P238" i="119"/>
  <c r="N238" i="119"/>
  <c r="M238" i="119"/>
  <c r="L238" i="119"/>
  <c r="P237" i="119"/>
  <c r="N237" i="119"/>
  <c r="M237" i="119"/>
  <c r="L237" i="119"/>
  <c r="H237" i="119"/>
  <c r="P236" i="119"/>
  <c r="N236" i="119"/>
  <c r="M236" i="119"/>
  <c r="L236" i="119"/>
  <c r="H236" i="119"/>
  <c r="P235" i="119"/>
  <c r="N235" i="119"/>
  <c r="M235" i="119"/>
  <c r="L235" i="119"/>
  <c r="P234" i="119"/>
  <c r="N234" i="119"/>
  <c r="M234" i="119"/>
  <c r="L234" i="119"/>
  <c r="H234" i="119"/>
  <c r="P233" i="119"/>
  <c r="N233" i="119"/>
  <c r="M233" i="119"/>
  <c r="L233" i="119"/>
  <c r="H233" i="119"/>
  <c r="P232" i="119"/>
  <c r="N232" i="119"/>
  <c r="M232" i="119"/>
  <c r="L232" i="119"/>
  <c r="P231" i="119"/>
  <c r="N231" i="119"/>
  <c r="M231" i="119"/>
  <c r="L231" i="119"/>
  <c r="H231" i="119"/>
  <c r="P230" i="119"/>
  <c r="N230" i="119"/>
  <c r="M230" i="119"/>
  <c r="L230" i="119"/>
  <c r="H230" i="119"/>
  <c r="P229" i="119"/>
  <c r="N229" i="119"/>
  <c r="M229" i="119"/>
  <c r="L229" i="119"/>
  <c r="H229" i="119"/>
  <c r="P228" i="119"/>
  <c r="N228" i="119"/>
  <c r="M228" i="119"/>
  <c r="L228" i="119"/>
  <c r="P227" i="119"/>
  <c r="N227" i="119"/>
  <c r="M227" i="119"/>
  <c r="L227" i="119"/>
  <c r="H227" i="119"/>
  <c r="P226" i="119"/>
  <c r="N226" i="119"/>
  <c r="M226" i="119"/>
  <c r="L226" i="119"/>
  <c r="H226" i="119"/>
  <c r="P225" i="119"/>
  <c r="N225" i="119"/>
  <c r="M225" i="119"/>
  <c r="L225" i="119"/>
  <c r="P224" i="119"/>
  <c r="N224" i="119"/>
  <c r="M224" i="119"/>
  <c r="L224" i="119"/>
  <c r="H224" i="119"/>
  <c r="P223" i="119"/>
  <c r="N223" i="119"/>
  <c r="M223" i="119"/>
  <c r="L223" i="119"/>
  <c r="H223" i="119"/>
  <c r="P222" i="119"/>
  <c r="N222" i="119"/>
  <c r="M222" i="119"/>
  <c r="L222" i="119"/>
  <c r="H222" i="119"/>
  <c r="E222" i="119" s="1"/>
  <c r="P221" i="119"/>
  <c r="N221" i="119"/>
  <c r="M221" i="119"/>
  <c r="L221" i="119"/>
  <c r="P220" i="119"/>
  <c r="N220" i="119"/>
  <c r="M220" i="119"/>
  <c r="L220" i="119"/>
  <c r="H220" i="119"/>
  <c r="P219" i="119"/>
  <c r="N219" i="119"/>
  <c r="M219" i="119"/>
  <c r="L219" i="119"/>
  <c r="H219" i="119"/>
  <c r="P218" i="119"/>
  <c r="N218" i="119"/>
  <c r="M218" i="119"/>
  <c r="L218" i="119"/>
  <c r="P217" i="119"/>
  <c r="N217" i="119"/>
  <c r="M217" i="119"/>
  <c r="L217" i="119"/>
  <c r="H217" i="119"/>
  <c r="P216" i="119"/>
  <c r="N216" i="119"/>
  <c r="M216" i="119"/>
  <c r="L216" i="119"/>
  <c r="H216" i="119"/>
  <c r="E216" i="119" s="1"/>
  <c r="P215" i="119"/>
  <c r="N215" i="119"/>
  <c r="M215" i="119"/>
  <c r="L215" i="119"/>
  <c r="P214" i="119"/>
  <c r="N214" i="119"/>
  <c r="M214" i="119"/>
  <c r="L214" i="119"/>
  <c r="H214" i="119"/>
  <c r="P213" i="119"/>
  <c r="N213" i="119"/>
  <c r="M213" i="119"/>
  <c r="L213" i="119"/>
  <c r="H213" i="119"/>
  <c r="P212" i="119"/>
  <c r="N212" i="119"/>
  <c r="M212" i="119"/>
  <c r="L212" i="119"/>
  <c r="H212" i="119"/>
  <c r="P211" i="119"/>
  <c r="N211" i="119"/>
  <c r="M211" i="119"/>
  <c r="L211" i="119"/>
  <c r="H211" i="119"/>
  <c r="P210" i="119"/>
  <c r="N210" i="119"/>
  <c r="M210" i="119"/>
  <c r="L210" i="119"/>
  <c r="P209" i="119"/>
  <c r="N209" i="119"/>
  <c r="M209" i="119"/>
  <c r="L209" i="119"/>
  <c r="H209" i="119"/>
  <c r="E209" i="119" s="1"/>
  <c r="P208" i="119"/>
  <c r="N208" i="119"/>
  <c r="M208" i="119"/>
  <c r="L208" i="119"/>
  <c r="H208" i="119"/>
  <c r="P207" i="119"/>
  <c r="N207" i="119"/>
  <c r="M207" i="119"/>
  <c r="L207" i="119"/>
  <c r="P206" i="119"/>
  <c r="N206" i="119"/>
  <c r="M206" i="119"/>
  <c r="L206" i="119"/>
  <c r="H206" i="119"/>
  <c r="E206" i="119" s="1"/>
  <c r="P205" i="119"/>
  <c r="N205" i="119"/>
  <c r="M205" i="119"/>
  <c r="L205" i="119"/>
  <c r="H205" i="119"/>
  <c r="P204" i="119"/>
  <c r="N204" i="119"/>
  <c r="M204" i="119"/>
  <c r="L204" i="119"/>
  <c r="P203" i="119"/>
  <c r="N203" i="119"/>
  <c r="M203" i="119"/>
  <c r="L203" i="119"/>
  <c r="H203" i="119"/>
  <c r="P202" i="119"/>
  <c r="N202" i="119"/>
  <c r="M202" i="119"/>
  <c r="L202" i="119"/>
  <c r="H202" i="119"/>
  <c r="P201" i="119"/>
  <c r="N201" i="119"/>
  <c r="M201" i="119"/>
  <c r="L201" i="119"/>
  <c r="H201" i="119"/>
  <c r="P200" i="119"/>
  <c r="N200" i="119"/>
  <c r="M200" i="119"/>
  <c r="L200" i="119"/>
  <c r="P199" i="119"/>
  <c r="N199" i="119"/>
  <c r="M199" i="119"/>
  <c r="L199" i="119"/>
  <c r="H199" i="119"/>
  <c r="E199" i="119" s="1"/>
  <c r="P198" i="119"/>
  <c r="N198" i="119"/>
  <c r="M198" i="119"/>
  <c r="L198" i="119"/>
  <c r="H198" i="119"/>
  <c r="P197" i="119"/>
  <c r="N197" i="119"/>
  <c r="M197" i="119"/>
  <c r="L197" i="119"/>
  <c r="P196" i="119"/>
  <c r="N196" i="119"/>
  <c r="M196" i="119"/>
  <c r="L196" i="119"/>
  <c r="H196" i="119"/>
  <c r="P195" i="119"/>
  <c r="N195" i="119"/>
  <c r="M195" i="119"/>
  <c r="L195" i="119"/>
  <c r="H195" i="119"/>
  <c r="P194" i="119"/>
  <c r="N194" i="119"/>
  <c r="M194" i="119"/>
  <c r="L194" i="119"/>
  <c r="P193" i="119"/>
  <c r="N193" i="119"/>
  <c r="M193" i="119"/>
  <c r="L193" i="119"/>
  <c r="H193" i="119"/>
  <c r="P192" i="119"/>
  <c r="N192" i="119"/>
  <c r="M192" i="119"/>
  <c r="L192" i="119"/>
  <c r="H192" i="119"/>
  <c r="P191" i="119"/>
  <c r="N191" i="119"/>
  <c r="M191" i="119"/>
  <c r="L191" i="119"/>
  <c r="H191" i="119"/>
  <c r="R190" i="119"/>
  <c r="P190" i="119"/>
  <c r="N190" i="119"/>
  <c r="M190" i="119"/>
  <c r="L190" i="119"/>
  <c r="P189" i="119"/>
  <c r="N189" i="119"/>
  <c r="M189" i="119"/>
  <c r="L189" i="119"/>
  <c r="H189" i="119"/>
  <c r="P188" i="119"/>
  <c r="N188" i="119"/>
  <c r="M188" i="119"/>
  <c r="L188" i="119"/>
  <c r="H188" i="119"/>
  <c r="E188" i="119" s="1"/>
  <c r="P187" i="119"/>
  <c r="N187" i="119"/>
  <c r="M187" i="119"/>
  <c r="L187" i="119"/>
  <c r="P186" i="119"/>
  <c r="N186" i="119"/>
  <c r="M186" i="119"/>
  <c r="L186" i="119"/>
  <c r="H186" i="119"/>
  <c r="E186" i="119" s="1"/>
  <c r="P185" i="119"/>
  <c r="N185" i="119"/>
  <c r="M185" i="119"/>
  <c r="L185" i="119"/>
  <c r="H185" i="119"/>
  <c r="P184" i="119"/>
  <c r="N184" i="119"/>
  <c r="M184" i="119"/>
  <c r="L184" i="119"/>
  <c r="P183" i="119"/>
  <c r="N183" i="119"/>
  <c r="M183" i="119"/>
  <c r="L183" i="119"/>
  <c r="H183" i="119"/>
  <c r="E183" i="119" s="1"/>
  <c r="P182" i="119"/>
  <c r="N182" i="119"/>
  <c r="M182" i="119"/>
  <c r="L182" i="119"/>
  <c r="H182" i="119"/>
  <c r="P181" i="119"/>
  <c r="N181" i="119"/>
  <c r="M181" i="119"/>
  <c r="L181" i="119"/>
  <c r="H181" i="119"/>
  <c r="P180" i="119"/>
  <c r="N180" i="119"/>
  <c r="M180" i="119"/>
  <c r="L180" i="119"/>
  <c r="P179" i="119"/>
  <c r="N179" i="119"/>
  <c r="M179" i="119"/>
  <c r="L179" i="119"/>
  <c r="H179" i="119"/>
  <c r="P178" i="119"/>
  <c r="N178" i="119"/>
  <c r="M178" i="119"/>
  <c r="L178" i="119"/>
  <c r="H178" i="119"/>
  <c r="P177" i="119"/>
  <c r="N177" i="119"/>
  <c r="M177" i="119"/>
  <c r="L177" i="119"/>
  <c r="P176" i="119"/>
  <c r="N176" i="119"/>
  <c r="M176" i="119"/>
  <c r="L176" i="119"/>
  <c r="H176" i="119"/>
  <c r="P175" i="119"/>
  <c r="N175" i="119"/>
  <c r="M175" i="119"/>
  <c r="L175" i="119"/>
  <c r="H175" i="119"/>
  <c r="P174" i="119"/>
  <c r="N174" i="119"/>
  <c r="M174" i="119"/>
  <c r="L174" i="119"/>
  <c r="P173" i="119"/>
  <c r="N173" i="119"/>
  <c r="M173" i="119"/>
  <c r="L173" i="119"/>
  <c r="H173" i="119"/>
  <c r="P172" i="119"/>
  <c r="N172" i="119"/>
  <c r="M172" i="119"/>
  <c r="L172" i="119"/>
  <c r="H172" i="119"/>
  <c r="P171" i="119"/>
  <c r="N171" i="119"/>
  <c r="M171" i="119"/>
  <c r="L171" i="119"/>
  <c r="H171" i="119"/>
  <c r="P170" i="119"/>
  <c r="N170" i="119"/>
  <c r="M170" i="119"/>
  <c r="L170" i="119"/>
  <c r="P169" i="119"/>
  <c r="N169" i="119"/>
  <c r="M169" i="119"/>
  <c r="L169" i="119"/>
  <c r="H169" i="119"/>
  <c r="P168" i="119"/>
  <c r="N168" i="119"/>
  <c r="M168" i="119"/>
  <c r="L168" i="119"/>
  <c r="H168" i="119"/>
  <c r="P167" i="119"/>
  <c r="N167" i="119"/>
  <c r="M167" i="119"/>
  <c r="L167" i="119"/>
  <c r="P166" i="119"/>
  <c r="N166" i="119"/>
  <c r="M166" i="119"/>
  <c r="L166" i="119"/>
  <c r="H166" i="119"/>
  <c r="P165" i="119"/>
  <c r="N165" i="119"/>
  <c r="M165" i="119"/>
  <c r="L165" i="119"/>
  <c r="H165" i="119"/>
  <c r="P164" i="119"/>
  <c r="N164" i="119"/>
  <c r="M164" i="119"/>
  <c r="L164" i="119"/>
  <c r="H164" i="119"/>
  <c r="P163" i="119"/>
  <c r="N163" i="119"/>
  <c r="M163" i="119"/>
  <c r="L163" i="119"/>
  <c r="P162" i="119"/>
  <c r="N162" i="119"/>
  <c r="M162" i="119"/>
  <c r="L162" i="119"/>
  <c r="H162" i="119"/>
  <c r="E162" i="119" s="1"/>
  <c r="P161" i="119"/>
  <c r="N161" i="119"/>
  <c r="M161" i="119"/>
  <c r="L161" i="119"/>
  <c r="H161" i="119"/>
  <c r="P160" i="119"/>
  <c r="N160" i="119"/>
  <c r="M160" i="119"/>
  <c r="L160" i="119"/>
  <c r="H160" i="119"/>
  <c r="P159" i="119"/>
  <c r="N159" i="119"/>
  <c r="M159" i="119"/>
  <c r="L159" i="119"/>
  <c r="H159" i="119"/>
  <c r="P158" i="119"/>
  <c r="N158" i="119"/>
  <c r="M158" i="119"/>
  <c r="L158" i="119"/>
  <c r="H158" i="119"/>
  <c r="P157" i="119"/>
  <c r="N157" i="119"/>
  <c r="M157" i="119"/>
  <c r="L157" i="119"/>
  <c r="H157" i="119"/>
  <c r="P156" i="119"/>
  <c r="N156" i="119"/>
  <c r="M156" i="119"/>
  <c r="L156" i="119"/>
  <c r="P155" i="119"/>
  <c r="N155" i="119"/>
  <c r="M155" i="119"/>
  <c r="L155" i="119"/>
  <c r="H155" i="119"/>
  <c r="P154" i="119"/>
  <c r="N154" i="119"/>
  <c r="M154" i="119"/>
  <c r="L154" i="119"/>
  <c r="H154" i="119"/>
  <c r="P153" i="119"/>
  <c r="N153" i="119"/>
  <c r="M153" i="119"/>
  <c r="L153" i="119"/>
  <c r="P152" i="119"/>
  <c r="N152" i="119"/>
  <c r="M152" i="119"/>
  <c r="L152" i="119"/>
  <c r="H152" i="119"/>
  <c r="P151" i="119"/>
  <c r="N151" i="119"/>
  <c r="M151" i="119"/>
  <c r="L151" i="119"/>
  <c r="H151" i="119"/>
  <c r="P150" i="119"/>
  <c r="N150" i="119"/>
  <c r="M150" i="119"/>
  <c r="L150" i="119"/>
  <c r="P149" i="119"/>
  <c r="N149" i="119"/>
  <c r="M149" i="119"/>
  <c r="L149" i="119"/>
  <c r="H149" i="119"/>
  <c r="P148" i="119"/>
  <c r="N148" i="119"/>
  <c r="M148" i="119"/>
  <c r="L148" i="119"/>
  <c r="H148" i="119"/>
  <c r="P147" i="119"/>
  <c r="N147" i="119"/>
  <c r="M147" i="119"/>
  <c r="L147" i="119"/>
  <c r="P146" i="119"/>
  <c r="N146" i="119"/>
  <c r="M146" i="119"/>
  <c r="L146" i="119"/>
  <c r="H146" i="119"/>
  <c r="P145" i="119"/>
  <c r="N145" i="119"/>
  <c r="M145" i="119"/>
  <c r="L145" i="119"/>
  <c r="H145" i="119"/>
  <c r="P144" i="119"/>
  <c r="N144" i="119"/>
  <c r="M144" i="119"/>
  <c r="L144" i="119"/>
  <c r="P143" i="119"/>
  <c r="N143" i="119"/>
  <c r="M143" i="119"/>
  <c r="L143" i="119"/>
  <c r="H143" i="119"/>
  <c r="P142" i="119"/>
  <c r="N142" i="119"/>
  <c r="M142" i="119"/>
  <c r="L142" i="119"/>
  <c r="H142" i="119"/>
  <c r="P141" i="119"/>
  <c r="N141" i="119"/>
  <c r="M141" i="119"/>
  <c r="L141" i="119"/>
  <c r="H141" i="119"/>
  <c r="P140" i="119"/>
  <c r="N140" i="119"/>
  <c r="M140" i="119"/>
  <c r="L140" i="119"/>
  <c r="H140" i="119"/>
  <c r="P139" i="119"/>
  <c r="N139" i="119"/>
  <c r="M139" i="119"/>
  <c r="L139" i="119"/>
  <c r="H139" i="119"/>
  <c r="P138" i="119"/>
  <c r="N138" i="119"/>
  <c r="M138" i="119"/>
  <c r="L138" i="119"/>
  <c r="P137" i="119"/>
  <c r="N137" i="119"/>
  <c r="M137" i="119"/>
  <c r="L137" i="119"/>
  <c r="P136" i="119"/>
  <c r="M136" i="119"/>
  <c r="L136" i="119"/>
  <c r="H136" i="119"/>
  <c r="P135" i="119"/>
  <c r="N135" i="119"/>
  <c r="M135" i="119"/>
  <c r="L135" i="119"/>
  <c r="P130" i="119"/>
  <c r="N130" i="119"/>
  <c r="M130" i="119"/>
  <c r="L130" i="119"/>
  <c r="H130" i="119"/>
  <c r="Q129" i="119"/>
  <c r="P129" i="119"/>
  <c r="N129" i="119"/>
  <c r="M129" i="119"/>
  <c r="L129" i="119"/>
  <c r="H129" i="119"/>
  <c r="P128" i="119"/>
  <c r="N128" i="119"/>
  <c r="M128" i="119"/>
  <c r="L128" i="119"/>
  <c r="P127" i="119"/>
  <c r="N127" i="119"/>
  <c r="M127" i="119"/>
  <c r="L127" i="119"/>
  <c r="H127" i="119"/>
  <c r="Q126" i="119"/>
  <c r="P126" i="119"/>
  <c r="N126" i="119"/>
  <c r="M126" i="119"/>
  <c r="L126" i="119"/>
  <c r="H126" i="119"/>
  <c r="P125" i="119"/>
  <c r="N125" i="119"/>
  <c r="M125" i="119"/>
  <c r="L125" i="119"/>
  <c r="P124" i="119"/>
  <c r="N124" i="119"/>
  <c r="M124" i="119"/>
  <c r="L124" i="119"/>
  <c r="H124" i="119"/>
  <c r="Q123" i="119"/>
  <c r="P123" i="119"/>
  <c r="N123" i="119"/>
  <c r="M123" i="119"/>
  <c r="L123" i="119"/>
  <c r="H123" i="119"/>
  <c r="P122" i="119"/>
  <c r="N122" i="119"/>
  <c r="M122" i="119"/>
  <c r="L122" i="119"/>
  <c r="P121" i="119"/>
  <c r="N121" i="119"/>
  <c r="M121" i="119"/>
  <c r="L121" i="119"/>
  <c r="H121" i="119"/>
  <c r="Q120" i="119"/>
  <c r="P120" i="119"/>
  <c r="N120" i="119"/>
  <c r="M120" i="119"/>
  <c r="L120" i="119"/>
  <c r="H120" i="119"/>
  <c r="P119" i="119"/>
  <c r="N119" i="119"/>
  <c r="M119" i="119"/>
  <c r="L119" i="119"/>
  <c r="P118" i="119"/>
  <c r="N118" i="119"/>
  <c r="M118" i="119"/>
  <c r="L118" i="119"/>
  <c r="H118" i="119"/>
  <c r="Q117" i="119"/>
  <c r="P117" i="119"/>
  <c r="N117" i="119"/>
  <c r="M117" i="119"/>
  <c r="L117" i="119"/>
  <c r="H117" i="119"/>
  <c r="P116" i="119"/>
  <c r="N116" i="119"/>
  <c r="M116" i="119"/>
  <c r="L116" i="119"/>
  <c r="P115" i="119"/>
  <c r="N115" i="119"/>
  <c r="M115" i="119"/>
  <c r="L115" i="119"/>
  <c r="H115" i="119"/>
  <c r="E115" i="119" s="1"/>
  <c r="Q114" i="119"/>
  <c r="P114" i="119"/>
  <c r="N114" i="119"/>
  <c r="M114" i="119"/>
  <c r="L114" i="119"/>
  <c r="H114" i="119"/>
  <c r="P113" i="119"/>
  <c r="N113" i="119"/>
  <c r="M113" i="119"/>
  <c r="L113" i="119"/>
  <c r="H113" i="119"/>
  <c r="P112" i="119"/>
  <c r="N112" i="119"/>
  <c r="M112" i="119"/>
  <c r="L112" i="119"/>
  <c r="H112" i="119"/>
  <c r="Q111" i="119"/>
  <c r="P111" i="119"/>
  <c r="N111" i="119"/>
  <c r="M111" i="119"/>
  <c r="L111" i="119"/>
  <c r="H111" i="119"/>
  <c r="P110" i="119"/>
  <c r="N110" i="119"/>
  <c r="M110" i="119"/>
  <c r="L110" i="119"/>
  <c r="P109" i="119"/>
  <c r="N109" i="119"/>
  <c r="M109" i="119"/>
  <c r="L109" i="119"/>
  <c r="H109" i="119"/>
  <c r="P108" i="119"/>
  <c r="N108" i="119"/>
  <c r="M108" i="119"/>
  <c r="L108" i="119"/>
  <c r="H108" i="119"/>
  <c r="P107" i="119"/>
  <c r="N107" i="119"/>
  <c r="M107" i="119"/>
  <c r="L107" i="119"/>
  <c r="P106" i="119"/>
  <c r="N106" i="119"/>
  <c r="M106" i="119"/>
  <c r="L106" i="119"/>
  <c r="H106" i="119"/>
  <c r="P105" i="119"/>
  <c r="N105" i="119"/>
  <c r="M105" i="119"/>
  <c r="L105" i="119"/>
  <c r="H105" i="119"/>
  <c r="P104" i="119"/>
  <c r="N104" i="119"/>
  <c r="M104" i="119"/>
  <c r="L104" i="119"/>
  <c r="R103" i="119"/>
  <c r="P103" i="119"/>
  <c r="N103" i="119"/>
  <c r="M103" i="119"/>
  <c r="L103" i="119"/>
  <c r="H103" i="119"/>
  <c r="P102" i="119"/>
  <c r="N102" i="119"/>
  <c r="M102" i="119"/>
  <c r="L102" i="119"/>
  <c r="H102" i="119"/>
  <c r="Q101" i="119"/>
  <c r="P101" i="119"/>
  <c r="N101" i="119"/>
  <c r="M101" i="119"/>
  <c r="L101" i="119"/>
  <c r="H101" i="119"/>
  <c r="P100" i="119"/>
  <c r="N100" i="119"/>
  <c r="M100" i="119"/>
  <c r="L100" i="119"/>
  <c r="P99" i="119"/>
  <c r="N99" i="119"/>
  <c r="M99" i="119"/>
  <c r="L99" i="119"/>
  <c r="H99" i="119"/>
  <c r="P98" i="119"/>
  <c r="N98" i="119"/>
  <c r="M98" i="119"/>
  <c r="L98" i="119"/>
  <c r="H98" i="119"/>
  <c r="P97" i="119"/>
  <c r="N97" i="119"/>
  <c r="M97" i="119"/>
  <c r="L97" i="119"/>
  <c r="P96" i="119"/>
  <c r="N96" i="119"/>
  <c r="M96" i="119"/>
  <c r="L96" i="119"/>
  <c r="H96" i="119"/>
  <c r="P95" i="119"/>
  <c r="N95" i="119"/>
  <c r="M95" i="119"/>
  <c r="L95" i="119"/>
  <c r="H95" i="119"/>
  <c r="P94" i="119"/>
  <c r="N94" i="119"/>
  <c r="M94" i="119"/>
  <c r="L94" i="119"/>
  <c r="P93" i="119"/>
  <c r="N93" i="119"/>
  <c r="M93" i="119"/>
  <c r="L93" i="119"/>
  <c r="H93" i="119"/>
  <c r="P92" i="119"/>
  <c r="N92" i="119"/>
  <c r="M92" i="119"/>
  <c r="L92" i="119"/>
  <c r="H92" i="119"/>
  <c r="Q91" i="119"/>
  <c r="P91" i="119"/>
  <c r="N91" i="119"/>
  <c r="M91" i="119"/>
  <c r="L91" i="119"/>
  <c r="H91" i="119"/>
  <c r="P90" i="119"/>
  <c r="N90" i="119"/>
  <c r="M90" i="119"/>
  <c r="L90" i="119"/>
  <c r="P89" i="119"/>
  <c r="N89" i="119"/>
  <c r="M89" i="119"/>
  <c r="L89" i="119"/>
  <c r="H89" i="119"/>
  <c r="P88" i="119"/>
  <c r="N88" i="119"/>
  <c r="M88" i="119"/>
  <c r="L88" i="119"/>
  <c r="H88" i="119"/>
  <c r="P87" i="119"/>
  <c r="N87" i="119"/>
  <c r="M87" i="119"/>
  <c r="L87" i="119"/>
  <c r="P86" i="119"/>
  <c r="N86" i="119"/>
  <c r="M86" i="119"/>
  <c r="L86" i="119"/>
  <c r="H86" i="119"/>
  <c r="P85" i="119"/>
  <c r="N85" i="119"/>
  <c r="M85" i="119"/>
  <c r="L85" i="119"/>
  <c r="H85" i="119"/>
  <c r="P84" i="119"/>
  <c r="N84" i="119"/>
  <c r="M84" i="119"/>
  <c r="L84" i="119"/>
  <c r="P83" i="119"/>
  <c r="N83" i="119"/>
  <c r="M83" i="119"/>
  <c r="L83" i="119"/>
  <c r="H83" i="119"/>
  <c r="P82" i="119"/>
  <c r="N82" i="119"/>
  <c r="M82" i="119"/>
  <c r="L82" i="119"/>
  <c r="H82" i="119"/>
  <c r="E82" i="119" s="1"/>
  <c r="Q81" i="119"/>
  <c r="P81" i="119"/>
  <c r="N81" i="119"/>
  <c r="M81" i="119"/>
  <c r="L81" i="119"/>
  <c r="H81" i="119"/>
  <c r="P80" i="119"/>
  <c r="N80" i="119"/>
  <c r="M80" i="119"/>
  <c r="L80" i="119"/>
  <c r="P79" i="119"/>
  <c r="N79" i="119"/>
  <c r="M79" i="119"/>
  <c r="L79" i="119"/>
  <c r="H79" i="119"/>
  <c r="P78" i="119"/>
  <c r="N78" i="119"/>
  <c r="M78" i="119"/>
  <c r="L78" i="119"/>
  <c r="H78" i="119"/>
  <c r="P77" i="119"/>
  <c r="N77" i="119"/>
  <c r="M77" i="119"/>
  <c r="L77" i="119"/>
  <c r="P76" i="119"/>
  <c r="N76" i="119"/>
  <c r="M76" i="119"/>
  <c r="L76" i="119"/>
  <c r="H76" i="119"/>
  <c r="E76" i="119" s="1"/>
  <c r="P75" i="119"/>
  <c r="N75" i="119"/>
  <c r="M75" i="119"/>
  <c r="L75" i="119"/>
  <c r="H75" i="119"/>
  <c r="P74" i="119"/>
  <c r="N74" i="119"/>
  <c r="M74" i="119"/>
  <c r="L74" i="119"/>
  <c r="P73" i="119"/>
  <c r="N73" i="119"/>
  <c r="M73" i="119"/>
  <c r="L73" i="119"/>
  <c r="H73" i="119"/>
  <c r="P72" i="119"/>
  <c r="N72" i="119"/>
  <c r="M72" i="119"/>
  <c r="L72" i="119"/>
  <c r="H72" i="119"/>
  <c r="Q71" i="119"/>
  <c r="P71" i="119"/>
  <c r="N71" i="119"/>
  <c r="M71" i="119"/>
  <c r="L71" i="119"/>
  <c r="H71" i="119"/>
  <c r="P70" i="119"/>
  <c r="N70" i="119"/>
  <c r="M70" i="119"/>
  <c r="L70" i="119"/>
  <c r="P69" i="119"/>
  <c r="N69" i="119"/>
  <c r="M69" i="119"/>
  <c r="L69" i="119"/>
  <c r="H69" i="119"/>
  <c r="P68" i="119"/>
  <c r="N68" i="119"/>
  <c r="M68" i="119"/>
  <c r="L68" i="119"/>
  <c r="H68" i="119"/>
  <c r="P67" i="119"/>
  <c r="N67" i="119"/>
  <c r="M67" i="119"/>
  <c r="L67" i="119"/>
  <c r="P66" i="119"/>
  <c r="N66" i="119"/>
  <c r="M66" i="119"/>
  <c r="L66" i="119"/>
  <c r="H66" i="119"/>
  <c r="Q65" i="119"/>
  <c r="P65" i="119"/>
  <c r="N65" i="119"/>
  <c r="M65" i="119"/>
  <c r="L65" i="119"/>
  <c r="H65" i="119"/>
  <c r="P64" i="119"/>
  <c r="N64" i="119"/>
  <c r="M64" i="119"/>
  <c r="L64" i="119"/>
  <c r="P63" i="119"/>
  <c r="N63" i="119"/>
  <c r="M63" i="119"/>
  <c r="L63" i="119"/>
  <c r="H63" i="119"/>
  <c r="N62" i="119"/>
  <c r="M62" i="119"/>
  <c r="L62" i="119"/>
  <c r="H62" i="119"/>
  <c r="E62" i="119" s="1"/>
  <c r="N61" i="119"/>
  <c r="M61" i="119"/>
  <c r="L61" i="119"/>
  <c r="N60" i="119"/>
  <c r="M60" i="119"/>
  <c r="L60" i="119"/>
  <c r="H60" i="119"/>
  <c r="P59" i="119"/>
  <c r="N59" i="119"/>
  <c r="M59" i="119"/>
  <c r="L59" i="119"/>
  <c r="H59" i="119"/>
  <c r="Q58" i="119"/>
  <c r="P58" i="119"/>
  <c r="N58" i="119"/>
  <c r="M58" i="119"/>
  <c r="L58" i="119"/>
  <c r="H58" i="119"/>
  <c r="P57" i="119"/>
  <c r="N57" i="119"/>
  <c r="M57" i="119"/>
  <c r="L57" i="119"/>
  <c r="P56" i="119"/>
  <c r="N56" i="119"/>
  <c r="M56" i="119"/>
  <c r="L56" i="119"/>
  <c r="H56" i="119"/>
  <c r="P55" i="119"/>
  <c r="N55" i="119"/>
  <c r="M55" i="119"/>
  <c r="L55" i="119"/>
  <c r="H55" i="119"/>
  <c r="E55" i="119" s="1"/>
  <c r="P54" i="119"/>
  <c r="N54" i="119"/>
  <c r="M54" i="119"/>
  <c r="L54" i="119"/>
  <c r="P53" i="119"/>
  <c r="N53" i="119"/>
  <c r="M53" i="119"/>
  <c r="L53" i="119"/>
  <c r="H53" i="119"/>
  <c r="P52" i="119"/>
  <c r="N52" i="119"/>
  <c r="M52" i="119"/>
  <c r="L52" i="119"/>
  <c r="H52" i="119"/>
  <c r="P51" i="119"/>
  <c r="N51" i="119"/>
  <c r="M51" i="119"/>
  <c r="L51" i="119"/>
  <c r="P50" i="119"/>
  <c r="N50" i="119"/>
  <c r="M50" i="119"/>
  <c r="L50" i="119"/>
  <c r="H50" i="119"/>
  <c r="P49" i="119"/>
  <c r="N49" i="119"/>
  <c r="M49" i="119"/>
  <c r="L49" i="119"/>
  <c r="H49" i="119"/>
  <c r="Q48" i="119"/>
  <c r="P48" i="119"/>
  <c r="N48" i="119"/>
  <c r="M48" i="119"/>
  <c r="L48" i="119"/>
  <c r="H48" i="119"/>
  <c r="P47" i="119"/>
  <c r="N47" i="119"/>
  <c r="M47" i="119"/>
  <c r="L47" i="119"/>
  <c r="P46" i="119"/>
  <c r="N46" i="119"/>
  <c r="M46" i="119"/>
  <c r="L46" i="119"/>
  <c r="H46" i="119"/>
  <c r="P45" i="119"/>
  <c r="N45" i="119"/>
  <c r="M45" i="119"/>
  <c r="L45" i="119"/>
  <c r="H45" i="119"/>
  <c r="P44" i="119"/>
  <c r="N44" i="119"/>
  <c r="M44" i="119"/>
  <c r="L44" i="119"/>
  <c r="P43" i="119"/>
  <c r="N43" i="119"/>
  <c r="M43" i="119"/>
  <c r="L43" i="119"/>
  <c r="H43" i="119"/>
  <c r="P42" i="119"/>
  <c r="N42" i="119"/>
  <c r="M42" i="119"/>
  <c r="L42" i="119"/>
  <c r="H42" i="119"/>
  <c r="P41" i="119"/>
  <c r="N41" i="119"/>
  <c r="M41" i="119"/>
  <c r="L41" i="119"/>
  <c r="P40" i="119"/>
  <c r="N40" i="119"/>
  <c r="M40" i="119"/>
  <c r="L40" i="119"/>
  <c r="H40" i="119"/>
  <c r="P39" i="119"/>
  <c r="N39" i="119"/>
  <c r="M39" i="119"/>
  <c r="L39" i="119"/>
  <c r="H39" i="119"/>
  <c r="Q38" i="119"/>
  <c r="P38" i="119"/>
  <c r="N38" i="119"/>
  <c r="M38" i="119"/>
  <c r="L38" i="119"/>
  <c r="H38" i="119"/>
  <c r="P37" i="119"/>
  <c r="N37" i="119"/>
  <c r="M37" i="119"/>
  <c r="L37" i="119"/>
  <c r="P36" i="119"/>
  <c r="N36" i="119"/>
  <c r="M36" i="119"/>
  <c r="L36" i="119"/>
  <c r="H36" i="119"/>
  <c r="P35" i="119"/>
  <c r="N35" i="119"/>
  <c r="M35" i="119"/>
  <c r="L35" i="119"/>
  <c r="H35" i="119"/>
  <c r="P34" i="119"/>
  <c r="N34" i="119"/>
  <c r="M34" i="119"/>
  <c r="L34" i="119"/>
  <c r="P33" i="119"/>
  <c r="N33" i="119"/>
  <c r="M33" i="119"/>
  <c r="L33" i="119"/>
  <c r="H33" i="119"/>
  <c r="P32" i="119"/>
  <c r="N32" i="119"/>
  <c r="M32" i="119"/>
  <c r="L32" i="119"/>
  <c r="H32" i="119"/>
  <c r="P31" i="119"/>
  <c r="N31" i="119"/>
  <c r="M31" i="119"/>
  <c r="L31" i="119"/>
  <c r="P30" i="119"/>
  <c r="N30" i="119"/>
  <c r="M30" i="119"/>
  <c r="L30" i="119"/>
  <c r="H30" i="119"/>
  <c r="E30" i="119" s="1"/>
  <c r="P29" i="119"/>
  <c r="N29" i="119"/>
  <c r="M29" i="119"/>
  <c r="L29" i="119"/>
  <c r="H29" i="119"/>
  <c r="P28" i="119"/>
  <c r="N28" i="119"/>
  <c r="M28" i="119"/>
  <c r="L28" i="119"/>
  <c r="H28" i="119"/>
  <c r="P27" i="119"/>
  <c r="N27" i="119"/>
  <c r="M27" i="119"/>
  <c r="L27" i="119"/>
  <c r="P26" i="119"/>
  <c r="N26" i="119"/>
  <c r="M26" i="119"/>
  <c r="L26" i="119"/>
  <c r="H26" i="119"/>
  <c r="P25" i="119"/>
  <c r="N25" i="119"/>
  <c r="M25" i="119"/>
  <c r="L25" i="119"/>
  <c r="H25" i="119"/>
  <c r="P24" i="119"/>
  <c r="N24" i="119"/>
  <c r="M24" i="119"/>
  <c r="L24" i="119"/>
  <c r="P23" i="119"/>
  <c r="N23" i="119"/>
  <c r="M23" i="119"/>
  <c r="L23" i="119"/>
  <c r="H23" i="119"/>
  <c r="P22" i="119"/>
  <c r="N22" i="119"/>
  <c r="M22" i="119"/>
  <c r="L22" i="119"/>
  <c r="H22" i="119"/>
  <c r="Q21" i="119"/>
  <c r="P21" i="119"/>
  <c r="M21" i="119"/>
  <c r="N21" i="119" s="1"/>
  <c r="L21" i="119"/>
  <c r="H21" i="119"/>
  <c r="P20" i="119"/>
  <c r="N20" i="119"/>
  <c r="M20" i="119"/>
  <c r="L20" i="119"/>
  <c r="H20" i="119"/>
  <c r="P19" i="119"/>
  <c r="M19" i="119"/>
  <c r="L19" i="119"/>
  <c r="H19" i="119"/>
  <c r="P18" i="119"/>
  <c r="N18" i="119"/>
  <c r="M18" i="119"/>
  <c r="L18" i="119"/>
  <c r="H18" i="119"/>
  <c r="P17" i="119"/>
  <c r="M17" i="119"/>
  <c r="L17" i="119"/>
  <c r="H17" i="119"/>
  <c r="P16" i="119"/>
  <c r="N16" i="119"/>
  <c r="M16" i="119"/>
  <c r="L16" i="119"/>
  <c r="H16" i="119"/>
  <c r="E16" i="119" s="1"/>
  <c r="P15" i="119"/>
  <c r="M15" i="119"/>
  <c r="N15" i="119" s="1"/>
  <c r="L15" i="119"/>
  <c r="H15" i="119"/>
  <c r="P14" i="119"/>
  <c r="N14" i="119"/>
  <c r="M14" i="119"/>
  <c r="L14" i="119"/>
  <c r="H14" i="119"/>
  <c r="E14" i="119" s="1"/>
  <c r="P13" i="119"/>
  <c r="M13" i="119"/>
  <c r="N13" i="119" s="1"/>
  <c r="L13" i="119"/>
  <c r="H13" i="119"/>
  <c r="P12" i="119"/>
  <c r="N12" i="119"/>
  <c r="M12" i="119"/>
  <c r="L12" i="119"/>
  <c r="H12" i="119"/>
  <c r="P11" i="119"/>
  <c r="M11" i="119"/>
  <c r="N11" i="119" s="1"/>
  <c r="L11" i="119"/>
  <c r="H11" i="119"/>
  <c r="P10" i="119"/>
  <c r="N10" i="119"/>
  <c r="M10" i="119"/>
  <c r="L10" i="119"/>
  <c r="P9" i="119"/>
  <c r="M9" i="119"/>
  <c r="L9" i="119"/>
  <c r="N9" i="119" s="1"/>
  <c r="H9" i="119"/>
  <c r="P8" i="119"/>
  <c r="N8" i="119"/>
  <c r="M8" i="119"/>
  <c r="L8" i="119"/>
  <c r="H8" i="119"/>
  <c r="P7" i="119"/>
  <c r="N7" i="119"/>
  <c r="M7" i="119"/>
  <c r="L7" i="119"/>
  <c r="B66" i="117"/>
  <c r="B54" i="117"/>
  <c r="B42" i="117"/>
  <c r="B30" i="117"/>
  <c r="B18" i="117"/>
  <c r="P314" i="136"/>
  <c r="N314" i="136"/>
  <c r="M314" i="136"/>
  <c r="L314" i="136"/>
  <c r="E314" i="136"/>
  <c r="C314" i="136"/>
  <c r="P313" i="136"/>
  <c r="N313" i="136"/>
  <c r="M313" i="136"/>
  <c r="L313" i="136"/>
  <c r="E313" i="136"/>
  <c r="P312" i="136"/>
  <c r="N312" i="136"/>
  <c r="M312" i="136"/>
  <c r="L312" i="136"/>
  <c r="E312" i="136"/>
  <c r="P311" i="136"/>
  <c r="N311" i="136"/>
  <c r="M311" i="136"/>
  <c r="L311" i="136"/>
  <c r="E311" i="136"/>
  <c r="P310" i="136"/>
  <c r="N310" i="136"/>
  <c r="M310" i="136"/>
  <c r="L310" i="136"/>
  <c r="E310" i="136"/>
  <c r="P309" i="136"/>
  <c r="N309" i="136"/>
  <c r="M309" i="136"/>
  <c r="L309" i="136"/>
  <c r="E309" i="136"/>
  <c r="P308" i="136"/>
  <c r="N308" i="136"/>
  <c r="M308" i="136"/>
  <c r="L308" i="136"/>
  <c r="E308" i="136"/>
  <c r="P307" i="136"/>
  <c r="N307" i="136"/>
  <c r="M307" i="136"/>
  <c r="L307" i="136"/>
  <c r="E307" i="136"/>
  <c r="P306" i="136"/>
  <c r="N306" i="136"/>
  <c r="M306" i="136"/>
  <c r="L306" i="136"/>
  <c r="E306" i="136"/>
  <c r="P305" i="136"/>
  <c r="N305" i="136"/>
  <c r="M305" i="136"/>
  <c r="L305" i="136"/>
  <c r="E305" i="136"/>
  <c r="C305" i="136"/>
  <c r="P304" i="136"/>
  <c r="N304" i="136"/>
  <c r="M304" i="136"/>
  <c r="L304" i="136"/>
  <c r="E304" i="136"/>
  <c r="P303" i="136"/>
  <c r="N303" i="136"/>
  <c r="M303" i="136"/>
  <c r="L303" i="136"/>
  <c r="E303" i="136"/>
  <c r="P302" i="136"/>
  <c r="N302" i="136"/>
  <c r="M302" i="136"/>
  <c r="L302" i="136"/>
  <c r="E302" i="136"/>
  <c r="P301" i="136"/>
  <c r="N301" i="136"/>
  <c r="M301" i="136"/>
  <c r="L301" i="136"/>
  <c r="E301" i="136"/>
  <c r="P300" i="136"/>
  <c r="N300" i="136"/>
  <c r="M300" i="136"/>
  <c r="L300" i="136"/>
  <c r="E300" i="136"/>
  <c r="P299" i="136"/>
  <c r="N299" i="136"/>
  <c r="M299" i="136"/>
  <c r="L299" i="136"/>
  <c r="E299" i="136"/>
  <c r="P298" i="136"/>
  <c r="N298" i="136"/>
  <c r="M298" i="136"/>
  <c r="L298" i="136"/>
  <c r="E298" i="136"/>
  <c r="C298" i="136"/>
  <c r="P297" i="136"/>
  <c r="N297" i="136"/>
  <c r="M297" i="136"/>
  <c r="L297" i="136"/>
  <c r="E297" i="136"/>
  <c r="P296" i="136"/>
  <c r="N296" i="136"/>
  <c r="M296" i="136"/>
  <c r="L296" i="136"/>
  <c r="E296" i="136"/>
  <c r="P295" i="136"/>
  <c r="N295" i="136"/>
  <c r="M295" i="136"/>
  <c r="L295" i="136"/>
  <c r="E295" i="136"/>
  <c r="P294" i="136"/>
  <c r="N294" i="136"/>
  <c r="M294" i="136"/>
  <c r="L294" i="136"/>
  <c r="E294" i="136"/>
  <c r="P293" i="136"/>
  <c r="N293" i="136"/>
  <c r="M293" i="136"/>
  <c r="L293" i="136"/>
  <c r="E293" i="136"/>
  <c r="P292" i="136"/>
  <c r="N292" i="136"/>
  <c r="M292" i="136"/>
  <c r="L292" i="136"/>
  <c r="E292" i="136"/>
  <c r="P291" i="136"/>
  <c r="N291" i="136"/>
  <c r="M291" i="136"/>
  <c r="L291" i="136"/>
  <c r="E291" i="136"/>
  <c r="C291" i="136"/>
  <c r="P290" i="136"/>
  <c r="N290" i="136"/>
  <c r="M290" i="136"/>
  <c r="L290" i="136"/>
  <c r="E290" i="136"/>
  <c r="P289" i="136"/>
  <c r="N289" i="136"/>
  <c r="M289" i="136"/>
  <c r="L289" i="136"/>
  <c r="E289" i="136"/>
  <c r="P288" i="136"/>
  <c r="N288" i="136"/>
  <c r="M288" i="136"/>
  <c r="L288" i="136"/>
  <c r="E288" i="136"/>
  <c r="P287" i="136"/>
  <c r="N287" i="136"/>
  <c r="M287" i="136"/>
  <c r="L287" i="136"/>
  <c r="E287" i="136"/>
  <c r="P286" i="136"/>
  <c r="N286" i="136"/>
  <c r="M286" i="136"/>
  <c r="L286" i="136"/>
  <c r="E286" i="136"/>
  <c r="P285" i="136"/>
  <c r="N285" i="136"/>
  <c r="M285" i="136"/>
  <c r="L285" i="136"/>
  <c r="E285" i="136"/>
  <c r="P284" i="136"/>
  <c r="N284" i="136"/>
  <c r="M284" i="136"/>
  <c r="L284" i="136"/>
  <c r="E284" i="136"/>
  <c r="C284" i="136"/>
  <c r="P283" i="136"/>
  <c r="N283" i="136"/>
  <c r="M283" i="136"/>
  <c r="L283" i="136"/>
  <c r="E283" i="136"/>
  <c r="P282" i="136"/>
  <c r="N282" i="136"/>
  <c r="M282" i="136"/>
  <c r="L282" i="136"/>
  <c r="E282" i="136"/>
  <c r="P281" i="136"/>
  <c r="N281" i="136"/>
  <c r="M281" i="136"/>
  <c r="L281" i="136"/>
  <c r="E281" i="136"/>
  <c r="P280" i="136"/>
  <c r="N280" i="136"/>
  <c r="M280" i="136"/>
  <c r="L280" i="136"/>
  <c r="E280" i="136"/>
  <c r="P279" i="136"/>
  <c r="N279" i="136"/>
  <c r="M279" i="136"/>
  <c r="L279" i="136"/>
  <c r="E279" i="136"/>
  <c r="P278" i="136"/>
  <c r="N278" i="136"/>
  <c r="M278" i="136"/>
  <c r="L278" i="136"/>
  <c r="E278" i="136"/>
  <c r="P277" i="136"/>
  <c r="N277" i="136"/>
  <c r="M277" i="136"/>
  <c r="L277" i="136"/>
  <c r="E277" i="136"/>
  <c r="C277" i="136"/>
  <c r="P276" i="136"/>
  <c r="N276" i="136"/>
  <c r="M276" i="136"/>
  <c r="L276" i="136"/>
  <c r="E276" i="136"/>
  <c r="P275" i="136"/>
  <c r="N275" i="136"/>
  <c r="M275" i="136"/>
  <c r="L275" i="136"/>
  <c r="E275" i="136"/>
  <c r="P274" i="136"/>
  <c r="N274" i="136"/>
  <c r="M274" i="136"/>
  <c r="L274" i="136"/>
  <c r="E274" i="136"/>
  <c r="P273" i="136"/>
  <c r="N273" i="136"/>
  <c r="M273" i="136"/>
  <c r="L273" i="136"/>
  <c r="E273" i="136"/>
  <c r="P272" i="136"/>
  <c r="N272" i="136"/>
  <c r="M272" i="136"/>
  <c r="L272" i="136"/>
  <c r="E272" i="136"/>
  <c r="P271" i="136"/>
  <c r="N271" i="136"/>
  <c r="M271" i="136"/>
  <c r="L271" i="136"/>
  <c r="E271" i="136"/>
  <c r="P270" i="136"/>
  <c r="N270" i="136"/>
  <c r="M270" i="136"/>
  <c r="L270" i="136"/>
  <c r="E270" i="136"/>
  <c r="C270" i="136"/>
  <c r="P269" i="136"/>
  <c r="N269" i="136"/>
  <c r="M269" i="136"/>
  <c r="L269" i="136"/>
  <c r="E269" i="136"/>
  <c r="P268" i="136"/>
  <c r="N268" i="136"/>
  <c r="M268" i="136"/>
  <c r="L268" i="136"/>
  <c r="E268" i="136"/>
  <c r="P267" i="136"/>
  <c r="N267" i="136"/>
  <c r="M267" i="136"/>
  <c r="L267" i="136"/>
  <c r="E267" i="136"/>
  <c r="P266" i="136"/>
  <c r="N266" i="136"/>
  <c r="M266" i="136"/>
  <c r="L266" i="136"/>
  <c r="E266" i="136"/>
  <c r="P265" i="136"/>
  <c r="N265" i="136"/>
  <c r="M265" i="136"/>
  <c r="L265" i="136"/>
  <c r="E265" i="136"/>
  <c r="P264" i="136"/>
  <c r="N264" i="136"/>
  <c r="M264" i="136"/>
  <c r="L264" i="136"/>
  <c r="E264" i="136"/>
  <c r="P263" i="136"/>
  <c r="N263" i="136"/>
  <c r="M263" i="136"/>
  <c r="L263" i="136"/>
  <c r="E263" i="136"/>
  <c r="C263" i="136"/>
  <c r="P262" i="136"/>
  <c r="N262" i="136"/>
  <c r="M262" i="136"/>
  <c r="L262" i="136"/>
  <c r="E262" i="136"/>
  <c r="P261" i="136"/>
  <c r="N261" i="136"/>
  <c r="M261" i="136"/>
  <c r="L261" i="136"/>
  <c r="E261" i="136"/>
  <c r="P260" i="136"/>
  <c r="N260" i="136"/>
  <c r="M260" i="136"/>
  <c r="L260" i="136"/>
  <c r="E260" i="136"/>
  <c r="P259" i="136"/>
  <c r="N259" i="136"/>
  <c r="M259" i="136"/>
  <c r="L259" i="136"/>
  <c r="E259" i="136"/>
  <c r="P258" i="136"/>
  <c r="N258" i="136"/>
  <c r="M258" i="136"/>
  <c r="L258" i="136"/>
  <c r="E258" i="136"/>
  <c r="P257" i="136"/>
  <c r="N257" i="136"/>
  <c r="M257" i="136"/>
  <c r="L257" i="136"/>
  <c r="E257" i="136"/>
  <c r="P256" i="136"/>
  <c r="N256" i="136"/>
  <c r="M256" i="136"/>
  <c r="L256" i="136"/>
  <c r="E256" i="136"/>
  <c r="C256" i="136"/>
  <c r="P255" i="136"/>
  <c r="N255" i="136"/>
  <c r="M255" i="136"/>
  <c r="L255" i="136"/>
  <c r="E255" i="136"/>
  <c r="P254" i="136"/>
  <c r="N254" i="136"/>
  <c r="M254" i="136"/>
  <c r="L254" i="136"/>
  <c r="E254" i="136"/>
  <c r="P253" i="136"/>
  <c r="N253" i="136"/>
  <c r="M253" i="136"/>
  <c r="L253" i="136"/>
  <c r="E253" i="136"/>
  <c r="P252" i="136"/>
  <c r="N252" i="136"/>
  <c r="M252" i="136"/>
  <c r="L252" i="136"/>
  <c r="E252" i="136"/>
  <c r="P251" i="136"/>
  <c r="N251" i="136"/>
  <c r="M251" i="136"/>
  <c r="L251" i="136"/>
  <c r="E251" i="136"/>
  <c r="C251" i="136"/>
  <c r="P250" i="136"/>
  <c r="N250" i="136"/>
  <c r="M250" i="136"/>
  <c r="L250" i="136"/>
  <c r="E250" i="136"/>
  <c r="P249" i="136"/>
  <c r="N249" i="136"/>
  <c r="M249" i="136"/>
  <c r="L249" i="136"/>
  <c r="E249" i="136"/>
  <c r="P248" i="136"/>
  <c r="N248" i="136"/>
  <c r="M248" i="136"/>
  <c r="L248" i="136"/>
  <c r="E248" i="136"/>
  <c r="P247" i="136"/>
  <c r="N247" i="136"/>
  <c r="M247" i="136"/>
  <c r="L247" i="136"/>
  <c r="E247" i="136"/>
  <c r="P246" i="136"/>
  <c r="N246" i="136"/>
  <c r="M246" i="136"/>
  <c r="L246" i="136"/>
  <c r="E246" i="136"/>
  <c r="P245" i="136"/>
  <c r="N245" i="136"/>
  <c r="M245" i="136"/>
  <c r="L245" i="136"/>
  <c r="E245" i="136"/>
  <c r="P244" i="136"/>
  <c r="N244" i="136"/>
  <c r="M244" i="136"/>
  <c r="L244" i="136"/>
  <c r="E244" i="136"/>
  <c r="C244" i="136"/>
  <c r="P243" i="136"/>
  <c r="N243" i="136"/>
  <c r="M243" i="136"/>
  <c r="L243" i="136"/>
  <c r="E243" i="136"/>
  <c r="P242" i="136"/>
  <c r="N242" i="136"/>
  <c r="M242" i="136"/>
  <c r="L242" i="136"/>
  <c r="E242" i="136"/>
  <c r="P241" i="136"/>
  <c r="N241" i="136"/>
  <c r="M241" i="136"/>
  <c r="L241" i="136"/>
  <c r="E241" i="136"/>
  <c r="P240" i="136"/>
  <c r="N240" i="136"/>
  <c r="M240" i="136"/>
  <c r="L240" i="136"/>
  <c r="E240" i="136"/>
  <c r="P239" i="136"/>
  <c r="N239" i="136"/>
  <c r="M239" i="136"/>
  <c r="L239" i="136"/>
  <c r="E239" i="136"/>
  <c r="P238" i="136"/>
  <c r="N238" i="136"/>
  <c r="M238" i="136"/>
  <c r="L238" i="136"/>
  <c r="E238" i="136"/>
  <c r="P237" i="136"/>
  <c r="N237" i="136"/>
  <c r="M237" i="136"/>
  <c r="L237" i="136"/>
  <c r="E237" i="136"/>
  <c r="C237" i="136"/>
  <c r="P236" i="136"/>
  <c r="N236" i="136"/>
  <c r="M236" i="136"/>
  <c r="L236" i="136"/>
  <c r="E236" i="136"/>
  <c r="P235" i="136"/>
  <c r="N235" i="136"/>
  <c r="M235" i="136"/>
  <c r="L235" i="136"/>
  <c r="E235" i="136"/>
  <c r="P234" i="136"/>
  <c r="N234" i="136"/>
  <c r="M234" i="136"/>
  <c r="L234" i="136"/>
  <c r="E234" i="136"/>
  <c r="P233" i="136"/>
  <c r="N233" i="136"/>
  <c r="M233" i="136"/>
  <c r="L233" i="136"/>
  <c r="E233" i="136"/>
  <c r="P232" i="136"/>
  <c r="N232" i="136"/>
  <c r="M232" i="136"/>
  <c r="L232" i="136"/>
  <c r="E232" i="136"/>
  <c r="C232" i="136"/>
  <c r="P231" i="136"/>
  <c r="N231" i="136"/>
  <c r="M231" i="136"/>
  <c r="L231" i="136"/>
  <c r="E231" i="136"/>
  <c r="P230" i="136"/>
  <c r="N230" i="136"/>
  <c r="M230" i="136"/>
  <c r="L230" i="136"/>
  <c r="E230" i="136"/>
  <c r="P229" i="136"/>
  <c r="N229" i="136"/>
  <c r="M229" i="136"/>
  <c r="L229" i="136"/>
  <c r="E229" i="136"/>
  <c r="P228" i="136"/>
  <c r="N228" i="136"/>
  <c r="M228" i="136"/>
  <c r="L228" i="136"/>
  <c r="E228" i="136"/>
  <c r="P227" i="136"/>
  <c r="N227" i="136"/>
  <c r="M227" i="136"/>
  <c r="L227" i="136"/>
  <c r="E227" i="136"/>
  <c r="P226" i="136"/>
  <c r="N226" i="136"/>
  <c r="M226" i="136"/>
  <c r="L226" i="136"/>
  <c r="E226" i="136"/>
  <c r="P225" i="136"/>
  <c r="N225" i="136"/>
  <c r="M225" i="136"/>
  <c r="L225" i="136"/>
  <c r="E225" i="136"/>
  <c r="P224" i="136"/>
  <c r="N224" i="136"/>
  <c r="M224" i="136"/>
  <c r="L224" i="136"/>
  <c r="E224" i="136"/>
  <c r="P223" i="136"/>
  <c r="N223" i="136"/>
  <c r="M223" i="136"/>
  <c r="L223" i="136"/>
  <c r="E223" i="136"/>
  <c r="C223" i="136"/>
  <c r="P222" i="136"/>
  <c r="N222" i="136"/>
  <c r="M222" i="136"/>
  <c r="L222" i="136"/>
  <c r="E222" i="136"/>
  <c r="P221" i="136"/>
  <c r="N221" i="136"/>
  <c r="M221" i="136"/>
  <c r="L221" i="136"/>
  <c r="E221" i="136"/>
  <c r="P220" i="136"/>
  <c r="N220" i="136"/>
  <c r="M220" i="136"/>
  <c r="L220" i="136"/>
  <c r="E220" i="136"/>
  <c r="P219" i="136"/>
  <c r="N219" i="136"/>
  <c r="M219" i="136"/>
  <c r="L219" i="136"/>
  <c r="E219" i="136"/>
  <c r="P218" i="136"/>
  <c r="N218" i="136"/>
  <c r="M218" i="136"/>
  <c r="L218" i="136"/>
  <c r="E218" i="136"/>
  <c r="P217" i="136"/>
  <c r="N217" i="136"/>
  <c r="M217" i="136"/>
  <c r="L217" i="136"/>
  <c r="E217" i="136"/>
  <c r="P216" i="136"/>
  <c r="N216" i="136"/>
  <c r="M216" i="136"/>
  <c r="L216" i="136"/>
  <c r="E216" i="136"/>
  <c r="P215" i="136"/>
  <c r="N215" i="136"/>
  <c r="M215" i="136"/>
  <c r="L215" i="136"/>
  <c r="E215" i="136"/>
  <c r="P214" i="136"/>
  <c r="N214" i="136"/>
  <c r="M214" i="136"/>
  <c r="L214" i="136"/>
  <c r="E214" i="136"/>
  <c r="C214" i="136"/>
  <c r="P213" i="136"/>
  <c r="N213" i="136"/>
  <c r="M213" i="136"/>
  <c r="L213" i="136"/>
  <c r="E213" i="136"/>
  <c r="P212" i="136"/>
  <c r="N212" i="136"/>
  <c r="M212" i="136"/>
  <c r="L212" i="136"/>
  <c r="E212" i="136"/>
  <c r="P211" i="136"/>
  <c r="N211" i="136"/>
  <c r="M211" i="136"/>
  <c r="L211" i="136"/>
  <c r="E211" i="136"/>
  <c r="P210" i="136"/>
  <c r="N210" i="136"/>
  <c r="M210" i="136"/>
  <c r="L210" i="136"/>
  <c r="E210" i="136"/>
  <c r="P209" i="136"/>
  <c r="N209" i="136"/>
  <c r="M209" i="136"/>
  <c r="L209" i="136"/>
  <c r="E209" i="136"/>
  <c r="C209" i="136"/>
  <c r="P208" i="136"/>
  <c r="N208" i="136"/>
  <c r="M208" i="136"/>
  <c r="L208" i="136"/>
  <c r="E208" i="136"/>
  <c r="P207" i="136"/>
  <c r="N207" i="136"/>
  <c r="M207" i="136"/>
  <c r="L207" i="136"/>
  <c r="E207" i="136"/>
  <c r="P206" i="136"/>
  <c r="N206" i="136"/>
  <c r="M206" i="136"/>
  <c r="L206" i="136"/>
  <c r="E206" i="136"/>
  <c r="P205" i="136"/>
  <c r="N205" i="136"/>
  <c r="M205" i="136"/>
  <c r="L205" i="136"/>
  <c r="E205" i="136"/>
  <c r="P204" i="136"/>
  <c r="N204" i="136"/>
  <c r="M204" i="136"/>
  <c r="L204" i="136"/>
  <c r="E204" i="136"/>
  <c r="C204" i="136"/>
  <c r="P203" i="136"/>
  <c r="N203" i="136"/>
  <c r="M203" i="136"/>
  <c r="L203" i="136"/>
  <c r="E203" i="136"/>
  <c r="P202" i="136"/>
  <c r="N202" i="136"/>
  <c r="M202" i="136"/>
  <c r="L202" i="136"/>
  <c r="E202" i="136"/>
  <c r="P201" i="136"/>
  <c r="N201" i="136"/>
  <c r="M201" i="136"/>
  <c r="L201" i="136"/>
  <c r="E201" i="136"/>
  <c r="P200" i="136"/>
  <c r="N200" i="136"/>
  <c r="M200" i="136"/>
  <c r="L200" i="136"/>
  <c r="E200" i="136"/>
  <c r="P199" i="136"/>
  <c r="N199" i="136"/>
  <c r="M199" i="136"/>
  <c r="L199" i="136"/>
  <c r="E199" i="136"/>
  <c r="C199" i="136"/>
  <c r="P198" i="136"/>
  <c r="N198" i="136"/>
  <c r="M198" i="136"/>
  <c r="L198" i="136"/>
  <c r="E198" i="136"/>
  <c r="P197" i="136"/>
  <c r="N197" i="136"/>
  <c r="M197" i="136"/>
  <c r="L197" i="136"/>
  <c r="E197" i="136"/>
  <c r="P196" i="136"/>
  <c r="N196" i="136"/>
  <c r="M196" i="136"/>
  <c r="L196" i="136"/>
  <c r="E196" i="136"/>
  <c r="P195" i="136"/>
  <c r="N195" i="136"/>
  <c r="M195" i="136"/>
  <c r="L195" i="136"/>
  <c r="E195" i="136"/>
  <c r="P194" i="136"/>
  <c r="N194" i="136"/>
  <c r="M194" i="136"/>
  <c r="L194" i="136"/>
  <c r="E194" i="136"/>
  <c r="C194" i="136"/>
  <c r="P193" i="136"/>
  <c r="N193" i="136"/>
  <c r="M193" i="136"/>
  <c r="L193" i="136"/>
  <c r="E193" i="136"/>
  <c r="P192" i="136"/>
  <c r="N192" i="136"/>
  <c r="M192" i="136"/>
  <c r="L192" i="136"/>
  <c r="E192" i="136"/>
  <c r="P191" i="136"/>
  <c r="N191" i="136"/>
  <c r="M191" i="136"/>
  <c r="L191" i="136"/>
  <c r="E191" i="136"/>
  <c r="P190" i="136"/>
  <c r="N190" i="136"/>
  <c r="M190" i="136"/>
  <c r="L190" i="136"/>
  <c r="E190" i="136"/>
  <c r="P189" i="136"/>
  <c r="N189" i="136"/>
  <c r="M189" i="136"/>
  <c r="L189" i="136"/>
  <c r="E189" i="136"/>
  <c r="C189" i="136"/>
  <c r="P188" i="136"/>
  <c r="N188" i="136"/>
  <c r="M188" i="136"/>
  <c r="L188" i="136"/>
  <c r="E188" i="136"/>
  <c r="P187" i="136"/>
  <c r="N187" i="136"/>
  <c r="M187" i="136"/>
  <c r="L187" i="136"/>
  <c r="E187" i="136"/>
  <c r="P186" i="136"/>
  <c r="N186" i="136"/>
  <c r="M186" i="136"/>
  <c r="L186" i="136"/>
  <c r="E186" i="136"/>
  <c r="P185" i="136"/>
  <c r="N185" i="136"/>
  <c r="M185" i="136"/>
  <c r="L185" i="136"/>
  <c r="E185" i="136"/>
  <c r="P184" i="136"/>
  <c r="N184" i="136"/>
  <c r="M184" i="136"/>
  <c r="L184" i="136"/>
  <c r="E184" i="136"/>
  <c r="P183" i="136"/>
  <c r="N183" i="136"/>
  <c r="M183" i="136"/>
  <c r="L183" i="136"/>
  <c r="E183" i="136"/>
  <c r="P182" i="136"/>
  <c r="N182" i="136"/>
  <c r="M182" i="136"/>
  <c r="L182" i="136"/>
  <c r="E182" i="136"/>
  <c r="P181" i="136"/>
  <c r="N181" i="136"/>
  <c r="M181" i="136"/>
  <c r="L181" i="136"/>
  <c r="E181" i="136"/>
  <c r="P180" i="136"/>
  <c r="N180" i="136"/>
  <c r="M180" i="136"/>
  <c r="L180" i="136"/>
  <c r="E180" i="136"/>
  <c r="C180" i="136"/>
  <c r="P179" i="136"/>
  <c r="N179" i="136"/>
  <c r="M179" i="136"/>
  <c r="L179" i="136"/>
  <c r="E179" i="136"/>
  <c r="P178" i="136"/>
  <c r="N178" i="136"/>
  <c r="M178" i="136"/>
  <c r="L178" i="136"/>
  <c r="E178" i="136"/>
  <c r="P177" i="136"/>
  <c r="N177" i="136"/>
  <c r="M177" i="136"/>
  <c r="L177" i="136"/>
  <c r="E177" i="136"/>
  <c r="P176" i="136"/>
  <c r="N176" i="136"/>
  <c r="M176" i="136"/>
  <c r="L176" i="136"/>
  <c r="E176" i="136"/>
  <c r="P175" i="136"/>
  <c r="N175" i="136"/>
  <c r="M175" i="136"/>
  <c r="L175" i="136"/>
  <c r="F175" i="136"/>
  <c r="F176" i="136" s="1"/>
  <c r="F177" i="136" s="1"/>
  <c r="F178" i="136" s="1"/>
  <c r="F179" i="136" s="1"/>
  <c r="F180" i="136" s="1"/>
  <c r="E175" i="136"/>
  <c r="P174" i="136"/>
  <c r="N174" i="136"/>
  <c r="M174" i="136"/>
  <c r="L174" i="136"/>
  <c r="E174" i="136"/>
  <c r="C174" i="136"/>
  <c r="P173" i="136"/>
  <c r="N173" i="136"/>
  <c r="M173" i="136"/>
  <c r="L173" i="136"/>
  <c r="P172" i="136"/>
  <c r="N172" i="136"/>
  <c r="M172" i="136"/>
  <c r="L172" i="136"/>
  <c r="F172" i="136"/>
  <c r="E172" i="136"/>
  <c r="P171" i="136"/>
  <c r="N171" i="136"/>
  <c r="M171" i="136"/>
  <c r="L171" i="136"/>
  <c r="E171" i="136"/>
  <c r="C171" i="136"/>
  <c r="P170" i="136"/>
  <c r="N170" i="136"/>
  <c r="M170" i="136"/>
  <c r="L170" i="136"/>
  <c r="P169" i="136"/>
  <c r="N169" i="136"/>
  <c r="M169" i="136"/>
  <c r="L169" i="136"/>
  <c r="F169" i="136"/>
  <c r="E169" i="136"/>
  <c r="P168" i="136"/>
  <c r="N168" i="136"/>
  <c r="M168" i="136"/>
  <c r="L168" i="136"/>
  <c r="E168" i="136"/>
  <c r="C168" i="136"/>
  <c r="P167" i="136"/>
  <c r="N167" i="136"/>
  <c r="M167" i="136"/>
  <c r="L167" i="136"/>
  <c r="P166" i="136"/>
  <c r="N166" i="136"/>
  <c r="M166" i="136"/>
  <c r="L166" i="136"/>
  <c r="F166" i="136"/>
  <c r="E166" i="136"/>
  <c r="P165" i="136"/>
  <c r="N165" i="136"/>
  <c r="M165" i="136"/>
  <c r="L165" i="136"/>
  <c r="E165" i="136"/>
  <c r="C165" i="136"/>
  <c r="P164" i="136"/>
  <c r="N164" i="136"/>
  <c r="M164" i="136"/>
  <c r="L164" i="136"/>
  <c r="P163" i="136"/>
  <c r="N163" i="136"/>
  <c r="M163" i="136"/>
  <c r="L163" i="136"/>
  <c r="F163" i="136"/>
  <c r="E163" i="136"/>
  <c r="P162" i="136"/>
  <c r="N162" i="136"/>
  <c r="M162" i="136"/>
  <c r="L162" i="136"/>
  <c r="E162" i="136"/>
  <c r="C162" i="136"/>
  <c r="P161" i="136"/>
  <c r="N161" i="136"/>
  <c r="M161" i="136"/>
  <c r="L161" i="136"/>
  <c r="P160" i="136"/>
  <c r="N160" i="136"/>
  <c r="M160" i="136"/>
  <c r="L160" i="136"/>
  <c r="F160" i="136"/>
  <c r="E160" i="136"/>
  <c r="P159" i="136"/>
  <c r="P158" i="136"/>
  <c r="P157" i="136"/>
  <c r="P156" i="136"/>
  <c r="P155" i="136"/>
  <c r="N155" i="136"/>
  <c r="M155" i="136"/>
  <c r="L155" i="136"/>
  <c r="E155" i="136"/>
  <c r="C155" i="136"/>
  <c r="P154" i="136"/>
  <c r="N154" i="136"/>
  <c r="M154" i="136"/>
  <c r="L154" i="136"/>
  <c r="E154" i="136"/>
  <c r="P153" i="136"/>
  <c r="N153" i="136"/>
  <c r="M153" i="136"/>
  <c r="L153" i="136"/>
  <c r="E153" i="136"/>
  <c r="P152" i="136"/>
  <c r="N152" i="136"/>
  <c r="M152" i="136"/>
  <c r="L152" i="136"/>
  <c r="E152" i="136"/>
  <c r="P151" i="136"/>
  <c r="N151" i="136"/>
  <c r="M151" i="136"/>
  <c r="L151" i="136"/>
  <c r="E151" i="136"/>
  <c r="P150" i="136"/>
  <c r="N150" i="136"/>
  <c r="M150" i="136"/>
  <c r="L150" i="136"/>
  <c r="E150" i="136"/>
  <c r="P149" i="136"/>
  <c r="N149" i="136"/>
  <c r="M149" i="136"/>
  <c r="L149" i="136"/>
  <c r="E149" i="136"/>
  <c r="P148" i="136"/>
  <c r="N148" i="136"/>
  <c r="M148" i="136"/>
  <c r="L148" i="136"/>
  <c r="E148" i="136"/>
  <c r="C148" i="136"/>
  <c r="P147" i="136"/>
  <c r="N147" i="136"/>
  <c r="M147" i="136"/>
  <c r="L147" i="136"/>
  <c r="E147" i="136"/>
  <c r="P146" i="136"/>
  <c r="N146" i="136"/>
  <c r="M146" i="136"/>
  <c r="L146" i="136"/>
  <c r="E146" i="136"/>
  <c r="P145" i="136"/>
  <c r="N145" i="136"/>
  <c r="M145" i="136"/>
  <c r="L145" i="136"/>
  <c r="E145" i="136"/>
  <c r="P144" i="136"/>
  <c r="N144" i="136"/>
  <c r="M144" i="136"/>
  <c r="L144" i="136"/>
  <c r="E144" i="136"/>
  <c r="P143" i="136"/>
  <c r="N143" i="136"/>
  <c r="M143" i="136"/>
  <c r="L143" i="136"/>
  <c r="E143" i="136"/>
  <c r="C143" i="136"/>
  <c r="P142" i="136"/>
  <c r="N142" i="136"/>
  <c r="M142" i="136"/>
  <c r="L142" i="136"/>
  <c r="E142" i="136"/>
  <c r="P141" i="136"/>
  <c r="N141" i="136"/>
  <c r="M141" i="136"/>
  <c r="L141" i="136"/>
  <c r="E141" i="136"/>
  <c r="P140" i="136"/>
  <c r="N140" i="136"/>
  <c r="M140" i="136"/>
  <c r="L140" i="136"/>
  <c r="E140" i="136"/>
  <c r="P139" i="136"/>
  <c r="N139" i="136"/>
  <c r="M139" i="136"/>
  <c r="L139" i="136"/>
  <c r="E139" i="136"/>
  <c r="P138" i="136"/>
  <c r="N138" i="136"/>
  <c r="M138" i="136"/>
  <c r="L138" i="136"/>
  <c r="E138" i="136"/>
  <c r="C138" i="136"/>
  <c r="P137" i="136"/>
  <c r="N137" i="136"/>
  <c r="M137" i="136"/>
  <c r="L137" i="136"/>
  <c r="E137" i="136"/>
  <c r="P136" i="136"/>
  <c r="N136" i="136"/>
  <c r="M136" i="136"/>
  <c r="L136" i="136"/>
  <c r="E136" i="136"/>
  <c r="P135" i="136"/>
  <c r="N135" i="136"/>
  <c r="M135" i="136"/>
  <c r="L135" i="136"/>
  <c r="E135" i="136"/>
  <c r="P134" i="136"/>
  <c r="N134" i="136"/>
  <c r="M134" i="136"/>
  <c r="L134" i="136"/>
  <c r="E134" i="136"/>
  <c r="P133" i="136"/>
  <c r="N133" i="136"/>
  <c r="M133" i="136"/>
  <c r="L133" i="136"/>
  <c r="E133" i="136"/>
  <c r="C133" i="136"/>
  <c r="P132" i="136"/>
  <c r="N132" i="136"/>
  <c r="M132" i="136"/>
  <c r="L132" i="136"/>
  <c r="E132" i="136"/>
  <c r="P131" i="136"/>
  <c r="N131" i="136"/>
  <c r="M131" i="136"/>
  <c r="L131" i="136"/>
  <c r="E131" i="136"/>
  <c r="P130" i="136"/>
  <c r="N130" i="136"/>
  <c r="M130" i="136"/>
  <c r="L130" i="136"/>
  <c r="E130" i="136"/>
  <c r="P129" i="136"/>
  <c r="N129" i="136"/>
  <c r="M129" i="136"/>
  <c r="L129" i="136"/>
  <c r="E129" i="136"/>
  <c r="P128" i="136"/>
  <c r="N128" i="136"/>
  <c r="M128" i="136"/>
  <c r="L128" i="136"/>
  <c r="E128" i="136"/>
  <c r="C128" i="136"/>
  <c r="P127" i="136"/>
  <c r="N127" i="136"/>
  <c r="M127" i="136"/>
  <c r="L127" i="136"/>
  <c r="E127" i="136"/>
  <c r="P126" i="136"/>
  <c r="N126" i="136"/>
  <c r="M126" i="136"/>
  <c r="L126" i="136"/>
  <c r="E126" i="136"/>
  <c r="P125" i="136"/>
  <c r="N125" i="136"/>
  <c r="M125" i="136"/>
  <c r="L125" i="136"/>
  <c r="E125" i="136"/>
  <c r="P124" i="136"/>
  <c r="N124" i="136"/>
  <c r="M124" i="136"/>
  <c r="L124" i="136"/>
  <c r="E124" i="136"/>
  <c r="P123" i="136"/>
  <c r="N123" i="136"/>
  <c r="M123" i="136"/>
  <c r="L123" i="136"/>
  <c r="E123" i="136"/>
  <c r="C123" i="136"/>
  <c r="P122" i="136"/>
  <c r="N122" i="136"/>
  <c r="M122" i="136"/>
  <c r="L122" i="136"/>
  <c r="E122" i="136"/>
  <c r="P121" i="136"/>
  <c r="N121" i="136"/>
  <c r="M121" i="136"/>
  <c r="L121" i="136"/>
  <c r="E121" i="136"/>
  <c r="P120" i="136"/>
  <c r="N120" i="136"/>
  <c r="M120" i="136"/>
  <c r="L120" i="136"/>
  <c r="E120" i="136"/>
  <c r="P119" i="136"/>
  <c r="N119" i="136"/>
  <c r="M119" i="136"/>
  <c r="L119" i="136"/>
  <c r="E119" i="136"/>
  <c r="P118" i="136"/>
  <c r="N118" i="136"/>
  <c r="M118" i="136"/>
  <c r="L118" i="136"/>
  <c r="E118" i="136"/>
  <c r="C118" i="136"/>
  <c r="P117" i="136"/>
  <c r="N117" i="136"/>
  <c r="M117" i="136"/>
  <c r="L117" i="136"/>
  <c r="E117" i="136"/>
  <c r="P116" i="136"/>
  <c r="N116" i="136"/>
  <c r="M116" i="136"/>
  <c r="L116" i="136"/>
  <c r="E116" i="136"/>
  <c r="P115" i="136"/>
  <c r="N115" i="136"/>
  <c r="M115" i="136"/>
  <c r="L115" i="136"/>
  <c r="E115" i="136"/>
  <c r="P114" i="136"/>
  <c r="N114" i="136"/>
  <c r="M114" i="136"/>
  <c r="L114" i="136"/>
  <c r="E114" i="136"/>
  <c r="P113" i="136"/>
  <c r="N113" i="136"/>
  <c r="M113" i="136"/>
  <c r="L113" i="136"/>
  <c r="E113" i="136"/>
  <c r="P112" i="136"/>
  <c r="N112" i="136"/>
  <c r="M112" i="136"/>
  <c r="L112" i="136"/>
  <c r="E112" i="136"/>
  <c r="P111" i="136"/>
  <c r="N111" i="136"/>
  <c r="M111" i="136"/>
  <c r="L111" i="136"/>
  <c r="E111" i="136"/>
  <c r="C111" i="136"/>
  <c r="P110" i="136"/>
  <c r="N110" i="136"/>
  <c r="M110" i="136"/>
  <c r="L110" i="136"/>
  <c r="E110" i="136"/>
  <c r="P109" i="136"/>
  <c r="N109" i="136"/>
  <c r="M109" i="136"/>
  <c r="L109" i="136"/>
  <c r="E109" i="136"/>
  <c r="P108" i="136"/>
  <c r="N108" i="136"/>
  <c r="M108" i="136"/>
  <c r="L108" i="136"/>
  <c r="E108" i="136"/>
  <c r="P107" i="136"/>
  <c r="N107" i="136"/>
  <c r="M107" i="136"/>
  <c r="L107" i="136"/>
  <c r="E107" i="136"/>
  <c r="P106" i="136"/>
  <c r="N106" i="136"/>
  <c r="M106" i="136"/>
  <c r="L106" i="136"/>
  <c r="E106" i="136"/>
  <c r="P105" i="136"/>
  <c r="N105" i="136"/>
  <c r="M105" i="136"/>
  <c r="L105" i="136"/>
  <c r="E105" i="136"/>
  <c r="P104" i="136"/>
  <c r="N104" i="136"/>
  <c r="M104" i="136"/>
  <c r="L104" i="136"/>
  <c r="E104" i="136"/>
  <c r="C104" i="136"/>
  <c r="P103" i="136"/>
  <c r="N103" i="136"/>
  <c r="M103" i="136"/>
  <c r="L103" i="136"/>
  <c r="E103" i="136"/>
  <c r="P102" i="136"/>
  <c r="N102" i="136"/>
  <c r="M102" i="136"/>
  <c r="L102" i="136"/>
  <c r="E102" i="136"/>
  <c r="P101" i="136"/>
  <c r="N101" i="136"/>
  <c r="M101" i="136"/>
  <c r="L101" i="136"/>
  <c r="E101" i="136"/>
  <c r="P100" i="136"/>
  <c r="N100" i="136"/>
  <c r="M100" i="136"/>
  <c r="L100" i="136"/>
  <c r="E100" i="136"/>
  <c r="P99" i="136"/>
  <c r="N99" i="136"/>
  <c r="M99" i="136"/>
  <c r="L99" i="136"/>
  <c r="E99" i="136"/>
  <c r="P98" i="136"/>
  <c r="N98" i="136"/>
  <c r="M98" i="136"/>
  <c r="L98" i="136"/>
  <c r="E98" i="136"/>
  <c r="P97" i="136"/>
  <c r="N97" i="136"/>
  <c r="M97" i="136"/>
  <c r="L97" i="136"/>
  <c r="E97" i="136"/>
  <c r="P96" i="136"/>
  <c r="N96" i="136"/>
  <c r="M96" i="136"/>
  <c r="L96" i="136"/>
  <c r="E96" i="136"/>
  <c r="P95" i="136"/>
  <c r="N95" i="136"/>
  <c r="M95" i="136"/>
  <c r="L95" i="136"/>
  <c r="E95" i="136"/>
  <c r="C95" i="136"/>
  <c r="P94" i="136"/>
  <c r="N94" i="136"/>
  <c r="M94" i="136"/>
  <c r="L94" i="136"/>
  <c r="E94" i="136"/>
  <c r="P93" i="136"/>
  <c r="N93" i="136"/>
  <c r="M93" i="136"/>
  <c r="L93" i="136"/>
  <c r="E93" i="136"/>
  <c r="P92" i="136"/>
  <c r="N92" i="136"/>
  <c r="M92" i="136"/>
  <c r="L92" i="136"/>
  <c r="E92" i="136"/>
  <c r="P91" i="136"/>
  <c r="N91" i="136"/>
  <c r="M91" i="136"/>
  <c r="L91" i="136"/>
  <c r="E91" i="136"/>
  <c r="P90" i="136"/>
  <c r="N90" i="136"/>
  <c r="M90" i="136"/>
  <c r="L90" i="136"/>
  <c r="E90" i="136"/>
  <c r="P89" i="136"/>
  <c r="N89" i="136"/>
  <c r="M89" i="136"/>
  <c r="L89" i="136"/>
  <c r="E89" i="136"/>
  <c r="P88" i="136"/>
  <c r="N88" i="136"/>
  <c r="M88" i="136"/>
  <c r="L88" i="136"/>
  <c r="E88" i="136"/>
  <c r="C88" i="136"/>
  <c r="P87" i="136"/>
  <c r="N87" i="136"/>
  <c r="M87" i="136"/>
  <c r="L87" i="136"/>
  <c r="E87" i="136"/>
  <c r="P86" i="136"/>
  <c r="N86" i="136"/>
  <c r="M86" i="136"/>
  <c r="L86" i="136"/>
  <c r="E86" i="136"/>
  <c r="P85" i="136"/>
  <c r="N85" i="136"/>
  <c r="M85" i="136"/>
  <c r="L85" i="136"/>
  <c r="E85" i="136"/>
  <c r="P84" i="136"/>
  <c r="N84" i="136"/>
  <c r="M84" i="136"/>
  <c r="L84" i="136"/>
  <c r="E84" i="136"/>
  <c r="P83" i="136"/>
  <c r="N83" i="136"/>
  <c r="M83" i="136"/>
  <c r="L83" i="136"/>
  <c r="E83" i="136"/>
  <c r="P82" i="136"/>
  <c r="N82" i="136"/>
  <c r="M82" i="136"/>
  <c r="L82" i="136"/>
  <c r="E82" i="136"/>
  <c r="P81" i="136"/>
  <c r="N81" i="136"/>
  <c r="M81" i="136"/>
  <c r="L81" i="136"/>
  <c r="E81" i="136"/>
  <c r="P80" i="136"/>
  <c r="N80" i="136"/>
  <c r="M80" i="136"/>
  <c r="L80" i="136"/>
  <c r="E80" i="136"/>
  <c r="P79" i="136"/>
  <c r="N79" i="136"/>
  <c r="M79" i="136"/>
  <c r="L79" i="136"/>
  <c r="E79" i="136"/>
  <c r="C79" i="136"/>
  <c r="P78" i="136"/>
  <c r="N78" i="136"/>
  <c r="M78" i="136"/>
  <c r="L78" i="136"/>
  <c r="E78" i="136"/>
  <c r="P77" i="136"/>
  <c r="N77" i="136"/>
  <c r="M77" i="136"/>
  <c r="L77" i="136"/>
  <c r="E77" i="136"/>
  <c r="P76" i="136"/>
  <c r="N76" i="136"/>
  <c r="M76" i="136"/>
  <c r="L76" i="136"/>
  <c r="E76" i="136"/>
  <c r="P75" i="136"/>
  <c r="N75" i="136"/>
  <c r="M75" i="136"/>
  <c r="L75" i="136"/>
  <c r="E75" i="136"/>
  <c r="P74" i="136"/>
  <c r="N74" i="136"/>
  <c r="M74" i="136"/>
  <c r="L74" i="136"/>
  <c r="E74" i="136"/>
  <c r="P73" i="136"/>
  <c r="N73" i="136"/>
  <c r="M73" i="136"/>
  <c r="L73" i="136"/>
  <c r="E73" i="136"/>
  <c r="P72" i="136"/>
  <c r="N72" i="136"/>
  <c r="M72" i="136"/>
  <c r="L72" i="136"/>
  <c r="E72" i="136"/>
  <c r="P71" i="136"/>
  <c r="N71" i="136"/>
  <c r="M71" i="136"/>
  <c r="L71" i="136"/>
  <c r="E71" i="136"/>
  <c r="P70" i="136"/>
  <c r="N70" i="136"/>
  <c r="M70" i="136"/>
  <c r="L70" i="136"/>
  <c r="E70" i="136"/>
  <c r="C70" i="136"/>
  <c r="P69" i="136"/>
  <c r="N69" i="136"/>
  <c r="M69" i="136"/>
  <c r="L69" i="136"/>
  <c r="E69" i="136"/>
  <c r="P68" i="136"/>
  <c r="N68" i="136"/>
  <c r="M68" i="136"/>
  <c r="L68" i="136"/>
  <c r="E68" i="136"/>
  <c r="P67" i="136"/>
  <c r="N67" i="136"/>
  <c r="M67" i="136"/>
  <c r="L67" i="136"/>
  <c r="E67" i="136"/>
  <c r="P66" i="136"/>
  <c r="N66" i="136"/>
  <c r="M66" i="136"/>
  <c r="L66" i="136"/>
  <c r="E66" i="136"/>
  <c r="P65" i="136"/>
  <c r="N65" i="136"/>
  <c r="M65" i="136"/>
  <c r="L65" i="136"/>
  <c r="E65" i="136"/>
  <c r="C65" i="136"/>
  <c r="P64" i="136"/>
  <c r="N64" i="136"/>
  <c r="M64" i="136"/>
  <c r="L64" i="136"/>
  <c r="E64" i="136"/>
  <c r="P63" i="136"/>
  <c r="N63" i="136"/>
  <c r="M63" i="136"/>
  <c r="L63" i="136"/>
  <c r="E63" i="136"/>
  <c r="P62" i="136"/>
  <c r="N62" i="136"/>
  <c r="M62" i="136"/>
  <c r="L62" i="136"/>
  <c r="E62" i="136"/>
  <c r="P61" i="136"/>
  <c r="N61" i="136"/>
  <c r="M61" i="136"/>
  <c r="L61" i="136"/>
  <c r="E61" i="136"/>
  <c r="P60" i="136"/>
  <c r="N60" i="136"/>
  <c r="M60" i="136"/>
  <c r="L60" i="136"/>
  <c r="E60" i="136"/>
  <c r="P59" i="136"/>
  <c r="N59" i="136"/>
  <c r="M59" i="136"/>
  <c r="L59" i="136"/>
  <c r="E59" i="136"/>
  <c r="P58" i="136"/>
  <c r="N58" i="136"/>
  <c r="M58" i="136"/>
  <c r="L58" i="136"/>
  <c r="E58" i="136"/>
  <c r="C58" i="136"/>
  <c r="P57" i="136"/>
  <c r="N57" i="136"/>
  <c r="M57" i="136"/>
  <c r="L57" i="136"/>
  <c r="E57" i="136"/>
  <c r="P56" i="136"/>
  <c r="N56" i="136"/>
  <c r="M56" i="136"/>
  <c r="L56" i="136"/>
  <c r="E56" i="136"/>
  <c r="P55" i="136"/>
  <c r="N55" i="136"/>
  <c r="M55" i="136"/>
  <c r="L55" i="136"/>
  <c r="E55" i="136"/>
  <c r="P54" i="136"/>
  <c r="N54" i="136"/>
  <c r="M54" i="136"/>
  <c r="L54" i="136"/>
  <c r="E54" i="136"/>
  <c r="P53" i="136"/>
  <c r="N53" i="136"/>
  <c r="M53" i="136"/>
  <c r="L53" i="136"/>
  <c r="E53" i="136"/>
  <c r="P52" i="136"/>
  <c r="N52" i="136"/>
  <c r="M52" i="136"/>
  <c r="L52" i="136"/>
  <c r="E52" i="136"/>
  <c r="P51" i="136"/>
  <c r="N51" i="136"/>
  <c r="M51" i="136"/>
  <c r="L51" i="136"/>
  <c r="E51" i="136"/>
  <c r="C51" i="136"/>
  <c r="P50" i="136"/>
  <c r="N50" i="136"/>
  <c r="M50" i="136"/>
  <c r="L50" i="136"/>
  <c r="E50" i="136"/>
  <c r="P49" i="136"/>
  <c r="N49" i="136"/>
  <c r="M49" i="136"/>
  <c r="L49" i="136"/>
  <c r="E49" i="136"/>
  <c r="P48" i="136"/>
  <c r="N48" i="136"/>
  <c r="M48" i="136"/>
  <c r="L48" i="136"/>
  <c r="E48" i="136"/>
  <c r="P47" i="136"/>
  <c r="N47" i="136"/>
  <c r="M47" i="136"/>
  <c r="L47" i="136"/>
  <c r="E47" i="136"/>
  <c r="P46" i="136"/>
  <c r="N46" i="136"/>
  <c r="M46" i="136"/>
  <c r="L46" i="136"/>
  <c r="E46" i="136"/>
  <c r="P45" i="136"/>
  <c r="N45" i="136"/>
  <c r="M45" i="136"/>
  <c r="L45" i="136"/>
  <c r="E45" i="136"/>
  <c r="P44" i="136"/>
  <c r="N44" i="136"/>
  <c r="M44" i="136"/>
  <c r="L44" i="136"/>
  <c r="E44" i="136"/>
  <c r="C44" i="136"/>
  <c r="P43" i="136"/>
  <c r="N43" i="136"/>
  <c r="M43" i="136"/>
  <c r="L43" i="136"/>
  <c r="E43" i="136"/>
  <c r="P42" i="136"/>
  <c r="N42" i="136"/>
  <c r="M42" i="136"/>
  <c r="L42" i="136"/>
  <c r="E42" i="136"/>
  <c r="P41" i="136"/>
  <c r="N41" i="136"/>
  <c r="M41" i="136"/>
  <c r="L41" i="136"/>
  <c r="E41" i="136"/>
  <c r="P40" i="136"/>
  <c r="N40" i="136"/>
  <c r="M40" i="136"/>
  <c r="L40" i="136"/>
  <c r="E40" i="136"/>
  <c r="P39" i="136"/>
  <c r="N39" i="136"/>
  <c r="M39" i="136"/>
  <c r="L39" i="136"/>
  <c r="E39" i="136"/>
  <c r="P38" i="136"/>
  <c r="N38" i="136"/>
  <c r="M38" i="136"/>
  <c r="L38" i="136"/>
  <c r="E38" i="136"/>
  <c r="P37" i="136"/>
  <c r="N37" i="136"/>
  <c r="M37" i="136"/>
  <c r="L37" i="136"/>
  <c r="E37" i="136"/>
  <c r="C37" i="136"/>
  <c r="P36" i="136"/>
  <c r="N36" i="136"/>
  <c r="M36" i="136"/>
  <c r="L36" i="136"/>
  <c r="E36" i="136"/>
  <c r="P35" i="136"/>
  <c r="N35" i="136"/>
  <c r="M35" i="136"/>
  <c r="L35" i="136"/>
  <c r="E35" i="136"/>
  <c r="P34" i="136"/>
  <c r="N34" i="136"/>
  <c r="M34" i="136"/>
  <c r="L34" i="136"/>
  <c r="E34" i="136"/>
  <c r="P33" i="136"/>
  <c r="N33" i="136"/>
  <c r="M33" i="136"/>
  <c r="L33" i="136"/>
  <c r="E33" i="136"/>
  <c r="P32" i="136"/>
  <c r="N32" i="136"/>
  <c r="M32" i="136"/>
  <c r="L32" i="136"/>
  <c r="E32" i="136"/>
  <c r="P31" i="136"/>
  <c r="N31" i="136"/>
  <c r="M31" i="136"/>
  <c r="L31" i="136"/>
  <c r="E31" i="136"/>
  <c r="P30" i="136"/>
  <c r="N30" i="136"/>
  <c r="M30" i="136"/>
  <c r="L30" i="136"/>
  <c r="E30" i="136"/>
  <c r="C30" i="136"/>
  <c r="P29" i="136"/>
  <c r="N29" i="136"/>
  <c r="M29" i="136"/>
  <c r="L29" i="136"/>
  <c r="E29" i="136"/>
  <c r="P28" i="136"/>
  <c r="N28" i="136"/>
  <c r="M28" i="136"/>
  <c r="L28" i="136"/>
  <c r="E28" i="136"/>
  <c r="P27" i="136"/>
  <c r="N27" i="136"/>
  <c r="M27" i="136"/>
  <c r="L27" i="136"/>
  <c r="E27" i="136"/>
  <c r="P26" i="136"/>
  <c r="N26" i="136"/>
  <c r="M26" i="136"/>
  <c r="L26" i="136"/>
  <c r="E26" i="136"/>
  <c r="P25" i="136"/>
  <c r="N25" i="136"/>
  <c r="M25" i="136"/>
  <c r="L25" i="136"/>
  <c r="E25" i="136"/>
  <c r="P24" i="136"/>
  <c r="N24" i="136"/>
  <c r="M24" i="136"/>
  <c r="L24" i="136"/>
  <c r="E24" i="136"/>
  <c r="P23" i="136"/>
  <c r="N23" i="136"/>
  <c r="M23" i="136"/>
  <c r="L23" i="136"/>
  <c r="E23" i="136"/>
  <c r="C23" i="136"/>
  <c r="P22" i="136"/>
  <c r="N22" i="136"/>
  <c r="M22" i="136"/>
  <c r="L22" i="136"/>
  <c r="E22" i="136"/>
  <c r="P21" i="136"/>
  <c r="N21" i="136"/>
  <c r="M21" i="136"/>
  <c r="L21" i="136"/>
  <c r="E21" i="136"/>
  <c r="P20" i="136"/>
  <c r="N20" i="136"/>
  <c r="M20" i="136"/>
  <c r="L20" i="136"/>
  <c r="E20" i="136"/>
  <c r="P19" i="136"/>
  <c r="N19" i="136"/>
  <c r="M19" i="136"/>
  <c r="L19" i="136"/>
  <c r="E19" i="136"/>
  <c r="P18" i="136"/>
  <c r="N18" i="136"/>
  <c r="M18" i="136"/>
  <c r="L18" i="136"/>
  <c r="E18" i="136"/>
  <c r="P17" i="136"/>
  <c r="N17" i="136"/>
  <c r="M17" i="136"/>
  <c r="L17" i="136"/>
  <c r="E17" i="136"/>
  <c r="P16" i="136"/>
  <c r="N16" i="136"/>
  <c r="M16" i="136"/>
  <c r="L16" i="136"/>
  <c r="E16" i="136"/>
  <c r="C16" i="136"/>
  <c r="P15" i="136"/>
  <c r="N15" i="136"/>
  <c r="M15" i="136"/>
  <c r="L15" i="136"/>
  <c r="E15" i="136"/>
  <c r="P14" i="136"/>
  <c r="N14" i="136"/>
  <c r="M14" i="136"/>
  <c r="L14" i="136"/>
  <c r="E14" i="136"/>
  <c r="P13" i="136"/>
  <c r="N13" i="136"/>
  <c r="M13" i="136"/>
  <c r="L13" i="136"/>
  <c r="E13" i="136"/>
  <c r="P12" i="136"/>
  <c r="N12" i="136"/>
  <c r="M12" i="136"/>
  <c r="L12" i="136"/>
  <c r="E12" i="136"/>
  <c r="P11" i="136"/>
  <c r="N11" i="136"/>
  <c r="M11" i="136"/>
  <c r="L11" i="136"/>
  <c r="E11" i="136"/>
  <c r="P10" i="136"/>
  <c r="N10" i="136"/>
  <c r="M10" i="136"/>
  <c r="L10" i="136"/>
  <c r="E10" i="136"/>
  <c r="P9" i="136"/>
  <c r="N9" i="136"/>
  <c r="M9" i="136"/>
  <c r="L9" i="136"/>
  <c r="E9" i="136"/>
  <c r="C9" i="136"/>
  <c r="P8" i="136"/>
  <c r="N8" i="136"/>
  <c r="M8" i="136"/>
  <c r="L8" i="136"/>
  <c r="E8" i="136"/>
  <c r="P7" i="136"/>
  <c r="N7" i="136"/>
  <c r="M7" i="136"/>
  <c r="L7" i="136"/>
  <c r="E7" i="136"/>
  <c r="P6" i="136"/>
  <c r="N6" i="136"/>
  <c r="M6" i="136"/>
  <c r="L6" i="136"/>
  <c r="E6" i="136"/>
  <c r="C6" i="136"/>
  <c r="R54" i="134" s="1"/>
  <c r="P633" i="140"/>
  <c r="N633" i="140"/>
  <c r="M633" i="140"/>
  <c r="L633" i="140"/>
  <c r="C633" i="140"/>
  <c r="P632" i="140"/>
  <c r="M632" i="140"/>
  <c r="L632" i="140"/>
  <c r="N632" i="140" s="1"/>
  <c r="E632" i="140" s="1"/>
  <c r="P631" i="140"/>
  <c r="N631" i="140"/>
  <c r="M631" i="140"/>
  <c r="L631" i="140"/>
  <c r="P630" i="140"/>
  <c r="M630" i="140"/>
  <c r="L630" i="140"/>
  <c r="P629" i="140"/>
  <c r="N629" i="140"/>
  <c r="M629" i="140"/>
  <c r="L629" i="140"/>
  <c r="P628" i="140"/>
  <c r="M628" i="140"/>
  <c r="L628" i="140"/>
  <c r="P627" i="140"/>
  <c r="N627" i="140"/>
  <c r="M627" i="140"/>
  <c r="L627" i="140"/>
  <c r="F627" i="140"/>
  <c r="P624" i="140"/>
  <c r="N624" i="140"/>
  <c r="E624" i="140" s="1"/>
  <c r="M624" i="140"/>
  <c r="L624" i="140"/>
  <c r="C624" i="140"/>
  <c r="R52" i="138" s="1"/>
  <c r="P623" i="140"/>
  <c r="M623" i="140"/>
  <c r="L623" i="140"/>
  <c r="N623" i="140" s="1"/>
  <c r="P622" i="140"/>
  <c r="N622" i="140"/>
  <c r="M622" i="140"/>
  <c r="L622" i="140"/>
  <c r="P621" i="140"/>
  <c r="M621" i="140"/>
  <c r="L621" i="140"/>
  <c r="P620" i="140"/>
  <c r="N620" i="140"/>
  <c r="M620" i="140"/>
  <c r="L620" i="140"/>
  <c r="P619" i="140"/>
  <c r="M619" i="140"/>
  <c r="L619" i="140"/>
  <c r="P618" i="140"/>
  <c r="N618" i="140"/>
  <c r="M618" i="140"/>
  <c r="L618" i="140"/>
  <c r="F618" i="140"/>
  <c r="P615" i="140"/>
  <c r="N615" i="140"/>
  <c r="M615" i="140"/>
  <c r="L615" i="140"/>
  <c r="C615" i="140"/>
  <c r="P614" i="140"/>
  <c r="M614" i="140"/>
  <c r="L614" i="140"/>
  <c r="P613" i="140"/>
  <c r="N613" i="140"/>
  <c r="M613" i="140"/>
  <c r="L613" i="140"/>
  <c r="P612" i="140"/>
  <c r="M612" i="140"/>
  <c r="L612" i="140"/>
  <c r="P611" i="140"/>
  <c r="N611" i="140"/>
  <c r="M611" i="140"/>
  <c r="L611" i="140"/>
  <c r="P610" i="140"/>
  <c r="N610" i="140"/>
  <c r="M610" i="140"/>
  <c r="L610" i="140"/>
  <c r="F610" i="140"/>
  <c r="P607" i="140"/>
  <c r="N607" i="140"/>
  <c r="M607" i="140"/>
  <c r="L607" i="140"/>
  <c r="C607" i="140"/>
  <c r="R28" i="138" s="1"/>
  <c r="S28" i="138" s="1"/>
  <c r="P606" i="140"/>
  <c r="M606" i="140"/>
  <c r="L606" i="140"/>
  <c r="P605" i="140"/>
  <c r="N605" i="140"/>
  <c r="M605" i="140"/>
  <c r="L605" i="140"/>
  <c r="P604" i="140"/>
  <c r="M604" i="140"/>
  <c r="L604" i="140"/>
  <c r="P603" i="140"/>
  <c r="N603" i="140"/>
  <c r="M603" i="140"/>
  <c r="L603" i="140"/>
  <c r="P602" i="140"/>
  <c r="M602" i="140"/>
  <c r="L602" i="140"/>
  <c r="P601" i="140"/>
  <c r="N601" i="140"/>
  <c r="M601" i="140"/>
  <c r="L601" i="140"/>
  <c r="P600" i="140"/>
  <c r="M600" i="140"/>
  <c r="L600" i="140"/>
  <c r="P599" i="140"/>
  <c r="N599" i="140"/>
  <c r="M599" i="140"/>
  <c r="L599" i="140"/>
  <c r="P598" i="140"/>
  <c r="N598" i="140"/>
  <c r="M598" i="140"/>
  <c r="L598" i="140"/>
  <c r="C598" i="140"/>
  <c r="R33" i="130" s="1"/>
  <c r="P597" i="140"/>
  <c r="E597" i="140" s="1"/>
  <c r="M597" i="140"/>
  <c r="L597" i="140"/>
  <c r="N597" i="140" s="1"/>
  <c r="P596" i="140"/>
  <c r="N596" i="140"/>
  <c r="M596" i="140"/>
  <c r="L596" i="140"/>
  <c r="P595" i="140"/>
  <c r="M595" i="140"/>
  <c r="L595" i="140"/>
  <c r="P594" i="140"/>
  <c r="N594" i="140"/>
  <c r="M594" i="140"/>
  <c r="L594" i="140"/>
  <c r="P593" i="140"/>
  <c r="N593" i="140"/>
  <c r="M593" i="140"/>
  <c r="L593" i="140"/>
  <c r="C593" i="140"/>
  <c r="R32" i="130" s="1"/>
  <c r="P592" i="140"/>
  <c r="M592" i="140"/>
  <c r="L592" i="140"/>
  <c r="P591" i="140"/>
  <c r="N591" i="140"/>
  <c r="M591" i="140"/>
  <c r="L591" i="140"/>
  <c r="P590" i="140"/>
  <c r="M590" i="140"/>
  <c r="L590" i="140"/>
  <c r="P589" i="140"/>
  <c r="N589" i="140"/>
  <c r="M589" i="140"/>
  <c r="L589" i="140"/>
  <c r="P588" i="140"/>
  <c r="M588" i="140"/>
  <c r="L588" i="140"/>
  <c r="P587" i="140"/>
  <c r="N587" i="140"/>
  <c r="M587" i="140"/>
  <c r="L587" i="140"/>
  <c r="P586" i="140"/>
  <c r="N586" i="140"/>
  <c r="M586" i="140"/>
  <c r="L586" i="140"/>
  <c r="C586" i="140"/>
  <c r="R29" i="130" s="1"/>
  <c r="S29" i="130" s="1"/>
  <c r="P585" i="140"/>
  <c r="M585" i="140"/>
  <c r="L585" i="140"/>
  <c r="P584" i="140"/>
  <c r="N584" i="140"/>
  <c r="M584" i="140"/>
  <c r="L584" i="140"/>
  <c r="P583" i="140"/>
  <c r="M583" i="140"/>
  <c r="L583" i="140"/>
  <c r="P582" i="140"/>
  <c r="N582" i="140"/>
  <c r="M582" i="140"/>
  <c r="L582" i="140"/>
  <c r="P581" i="140"/>
  <c r="M581" i="140"/>
  <c r="L581" i="140"/>
  <c r="P580" i="140"/>
  <c r="N580" i="140"/>
  <c r="M580" i="140"/>
  <c r="L580" i="140"/>
  <c r="P579" i="140"/>
  <c r="N579" i="140"/>
  <c r="M579" i="140"/>
  <c r="L579" i="140"/>
  <c r="C579" i="140"/>
  <c r="P578" i="140"/>
  <c r="M578" i="140"/>
  <c r="L578" i="140"/>
  <c r="P577" i="140"/>
  <c r="N577" i="140"/>
  <c r="M577" i="140"/>
  <c r="L577" i="140"/>
  <c r="P576" i="140"/>
  <c r="M576" i="140"/>
  <c r="L576" i="140"/>
  <c r="P575" i="140"/>
  <c r="N575" i="140"/>
  <c r="M575" i="140"/>
  <c r="L575" i="140"/>
  <c r="P574" i="140"/>
  <c r="N574" i="140"/>
  <c r="M574" i="140"/>
  <c r="L574" i="140"/>
  <c r="C574" i="140"/>
  <c r="P573" i="140"/>
  <c r="M573" i="140"/>
  <c r="L573" i="140"/>
  <c r="P572" i="140"/>
  <c r="N572" i="140"/>
  <c r="M572" i="140"/>
  <c r="L572" i="140"/>
  <c r="P571" i="140"/>
  <c r="M571" i="140"/>
  <c r="L571" i="140"/>
  <c r="P570" i="140"/>
  <c r="N570" i="140"/>
  <c r="M570" i="140"/>
  <c r="L570" i="140"/>
  <c r="P569" i="140"/>
  <c r="M569" i="140"/>
  <c r="L569" i="140"/>
  <c r="P568" i="140"/>
  <c r="N568" i="140"/>
  <c r="M568" i="140"/>
  <c r="L568" i="140"/>
  <c r="P567" i="140"/>
  <c r="M567" i="140"/>
  <c r="L567" i="140"/>
  <c r="P566" i="140"/>
  <c r="N566" i="140"/>
  <c r="M566" i="140"/>
  <c r="L566" i="140"/>
  <c r="P565" i="140"/>
  <c r="N565" i="140"/>
  <c r="M565" i="140"/>
  <c r="L565" i="140"/>
  <c r="C565" i="140"/>
  <c r="P564" i="140"/>
  <c r="M564" i="140"/>
  <c r="L564" i="140"/>
  <c r="P563" i="140"/>
  <c r="N563" i="140"/>
  <c r="M563" i="140"/>
  <c r="L563" i="140"/>
  <c r="P562" i="140"/>
  <c r="N562" i="140"/>
  <c r="M562" i="140"/>
  <c r="L562" i="140"/>
  <c r="P561" i="140"/>
  <c r="N561" i="140"/>
  <c r="M561" i="140"/>
  <c r="L561" i="140"/>
  <c r="P560" i="140"/>
  <c r="M560" i="140"/>
  <c r="L560" i="140"/>
  <c r="P559" i="140"/>
  <c r="N559" i="140"/>
  <c r="M559" i="140"/>
  <c r="L559" i="140"/>
  <c r="P556" i="140"/>
  <c r="N556" i="140"/>
  <c r="M556" i="140"/>
  <c r="L556" i="140"/>
  <c r="C556" i="140"/>
  <c r="P555" i="140"/>
  <c r="M555" i="140"/>
  <c r="L555" i="140"/>
  <c r="P554" i="140"/>
  <c r="N554" i="140"/>
  <c r="M554" i="140"/>
  <c r="L554" i="140"/>
  <c r="P553" i="140"/>
  <c r="M553" i="140"/>
  <c r="L553" i="140"/>
  <c r="P552" i="140"/>
  <c r="N552" i="140"/>
  <c r="M552" i="140"/>
  <c r="L552" i="140"/>
  <c r="P551" i="140"/>
  <c r="M551" i="140"/>
  <c r="L551" i="140"/>
  <c r="P550" i="140"/>
  <c r="N550" i="140"/>
  <c r="M550" i="140"/>
  <c r="L550" i="140"/>
  <c r="P549" i="140"/>
  <c r="M549" i="140"/>
  <c r="L549" i="140"/>
  <c r="P548" i="140"/>
  <c r="N548" i="140"/>
  <c r="M548" i="140"/>
  <c r="L548" i="140"/>
  <c r="P547" i="140"/>
  <c r="N547" i="140"/>
  <c r="M547" i="140"/>
  <c r="L547" i="140"/>
  <c r="C547" i="140"/>
  <c r="P546" i="140"/>
  <c r="M546" i="140"/>
  <c r="L546" i="140"/>
  <c r="P545" i="140"/>
  <c r="N545" i="140"/>
  <c r="M545" i="140"/>
  <c r="L545" i="140"/>
  <c r="P544" i="140"/>
  <c r="M544" i="140"/>
  <c r="L544" i="140"/>
  <c r="P543" i="140"/>
  <c r="N543" i="140"/>
  <c r="M543" i="140"/>
  <c r="L543" i="140"/>
  <c r="P542" i="140"/>
  <c r="M542" i="140"/>
  <c r="L542" i="140"/>
  <c r="P541" i="140"/>
  <c r="N541" i="140"/>
  <c r="M541" i="140"/>
  <c r="L541" i="140"/>
  <c r="P540" i="140"/>
  <c r="M540" i="140"/>
  <c r="L540" i="140"/>
  <c r="P539" i="140"/>
  <c r="N539" i="140"/>
  <c r="M539" i="140"/>
  <c r="L539" i="140"/>
  <c r="P538" i="140"/>
  <c r="N538" i="140"/>
  <c r="M538" i="140"/>
  <c r="L538" i="140"/>
  <c r="C538" i="140"/>
  <c r="P537" i="140"/>
  <c r="M537" i="140"/>
  <c r="L537" i="140"/>
  <c r="P536" i="140"/>
  <c r="N536" i="140"/>
  <c r="M536" i="140"/>
  <c r="L536" i="140"/>
  <c r="P535" i="140"/>
  <c r="M535" i="140"/>
  <c r="L535" i="140"/>
  <c r="P534" i="140"/>
  <c r="N534" i="140"/>
  <c r="M534" i="140"/>
  <c r="L534" i="140"/>
  <c r="P533" i="140"/>
  <c r="N533" i="140"/>
  <c r="M533" i="140"/>
  <c r="L533" i="140"/>
  <c r="C533" i="140"/>
  <c r="P532" i="140"/>
  <c r="M532" i="140"/>
  <c r="L532" i="140"/>
  <c r="P531" i="140"/>
  <c r="N531" i="140"/>
  <c r="M531" i="140"/>
  <c r="L531" i="140"/>
  <c r="P530" i="140"/>
  <c r="M530" i="140"/>
  <c r="L530" i="140"/>
  <c r="P529" i="140"/>
  <c r="N529" i="140"/>
  <c r="M529" i="140"/>
  <c r="L529" i="140"/>
  <c r="P528" i="140"/>
  <c r="M528" i="140"/>
  <c r="L528" i="140"/>
  <c r="P527" i="140"/>
  <c r="N527" i="140"/>
  <c r="M527" i="140"/>
  <c r="L527" i="140"/>
  <c r="P526" i="140"/>
  <c r="N526" i="140"/>
  <c r="M526" i="140"/>
  <c r="L526" i="140"/>
  <c r="C526" i="140"/>
  <c r="P525" i="140"/>
  <c r="M525" i="140"/>
  <c r="L525" i="140"/>
  <c r="P524" i="140"/>
  <c r="N524" i="140"/>
  <c r="M524" i="140"/>
  <c r="L524" i="140"/>
  <c r="P523" i="140"/>
  <c r="M523" i="140"/>
  <c r="L523" i="140"/>
  <c r="N523" i="140" s="1"/>
  <c r="P522" i="140"/>
  <c r="N522" i="140"/>
  <c r="M522" i="140"/>
  <c r="L522" i="140"/>
  <c r="P521" i="140"/>
  <c r="M521" i="140"/>
  <c r="L521" i="140"/>
  <c r="P520" i="140"/>
  <c r="N520" i="140"/>
  <c r="M520" i="140"/>
  <c r="L520" i="140"/>
  <c r="P519" i="140"/>
  <c r="N519" i="140"/>
  <c r="M519" i="140"/>
  <c r="L519" i="140"/>
  <c r="C519" i="140"/>
  <c r="P518" i="140"/>
  <c r="M518" i="140"/>
  <c r="L518" i="140"/>
  <c r="P517" i="140"/>
  <c r="N517" i="140"/>
  <c r="M517" i="140"/>
  <c r="L517" i="140"/>
  <c r="P516" i="140"/>
  <c r="M516" i="140"/>
  <c r="L516" i="140"/>
  <c r="P515" i="140"/>
  <c r="N515" i="140"/>
  <c r="M515" i="140"/>
  <c r="L515" i="140"/>
  <c r="P514" i="140"/>
  <c r="N514" i="140"/>
  <c r="M514" i="140"/>
  <c r="L514" i="140"/>
  <c r="C514" i="140"/>
  <c r="P513" i="140"/>
  <c r="M513" i="140"/>
  <c r="L513" i="140"/>
  <c r="P512" i="140"/>
  <c r="N512" i="140"/>
  <c r="M512" i="140"/>
  <c r="L512" i="140"/>
  <c r="P511" i="140"/>
  <c r="M511" i="140"/>
  <c r="L511" i="140"/>
  <c r="P510" i="140"/>
  <c r="N510" i="140"/>
  <c r="M510" i="140"/>
  <c r="L510" i="140"/>
  <c r="P509" i="140"/>
  <c r="M509" i="140"/>
  <c r="L509" i="140"/>
  <c r="P508" i="140"/>
  <c r="E508" i="140" s="1"/>
  <c r="N508" i="140"/>
  <c r="M508" i="140"/>
  <c r="L508" i="140"/>
  <c r="P507" i="140"/>
  <c r="M507" i="140"/>
  <c r="L507" i="140"/>
  <c r="P506" i="140"/>
  <c r="N506" i="140"/>
  <c r="M506" i="140"/>
  <c r="L506" i="140"/>
  <c r="P505" i="140"/>
  <c r="N505" i="140"/>
  <c r="M505" i="140"/>
  <c r="L505" i="140"/>
  <c r="C505" i="140"/>
  <c r="P504" i="140"/>
  <c r="M504" i="140"/>
  <c r="L504" i="140"/>
  <c r="N504" i="140" s="1"/>
  <c r="P503" i="140"/>
  <c r="N503" i="140"/>
  <c r="M503" i="140"/>
  <c r="L503" i="140"/>
  <c r="P502" i="140"/>
  <c r="M502" i="140"/>
  <c r="L502" i="140"/>
  <c r="P501" i="140"/>
  <c r="N501" i="140"/>
  <c r="M501" i="140"/>
  <c r="L501" i="140"/>
  <c r="P500" i="140"/>
  <c r="M500" i="140"/>
  <c r="L500" i="140"/>
  <c r="P499" i="140"/>
  <c r="N499" i="140"/>
  <c r="M499" i="140"/>
  <c r="L499" i="140"/>
  <c r="P498" i="140"/>
  <c r="M498" i="140"/>
  <c r="L498" i="140"/>
  <c r="P497" i="140"/>
  <c r="N497" i="140"/>
  <c r="M497" i="140"/>
  <c r="L497" i="140"/>
  <c r="P496" i="140"/>
  <c r="N496" i="140"/>
  <c r="M496" i="140"/>
  <c r="L496" i="140"/>
  <c r="C496" i="140"/>
  <c r="P495" i="140"/>
  <c r="M495" i="140"/>
  <c r="L495" i="140"/>
  <c r="P494" i="140"/>
  <c r="N494" i="140"/>
  <c r="M494" i="140"/>
  <c r="L494" i="140"/>
  <c r="P493" i="140"/>
  <c r="N493" i="140"/>
  <c r="M493" i="140"/>
  <c r="L493" i="140"/>
  <c r="P492" i="140"/>
  <c r="N492" i="140"/>
  <c r="M492" i="140"/>
  <c r="L492" i="140"/>
  <c r="P491" i="140"/>
  <c r="M491" i="140"/>
  <c r="L491" i="140"/>
  <c r="P490" i="140"/>
  <c r="N490" i="140"/>
  <c r="M490" i="140"/>
  <c r="L490" i="140"/>
  <c r="P486" i="140"/>
  <c r="N486" i="140"/>
  <c r="M486" i="140"/>
  <c r="L486" i="140"/>
  <c r="C486" i="140"/>
  <c r="P485" i="140"/>
  <c r="M485" i="140"/>
  <c r="L485" i="140"/>
  <c r="P484" i="140"/>
  <c r="N484" i="140"/>
  <c r="M484" i="140"/>
  <c r="L484" i="140"/>
  <c r="P483" i="140"/>
  <c r="M483" i="140"/>
  <c r="L483" i="140"/>
  <c r="P482" i="140"/>
  <c r="N482" i="140"/>
  <c r="M482" i="140"/>
  <c r="L482" i="140"/>
  <c r="P481" i="140"/>
  <c r="N481" i="140"/>
  <c r="E481" i="140" s="1"/>
  <c r="M481" i="140"/>
  <c r="L481" i="140"/>
  <c r="C481" i="140"/>
  <c r="P480" i="140"/>
  <c r="M480" i="140"/>
  <c r="L480" i="140"/>
  <c r="P479" i="140"/>
  <c r="N479" i="140"/>
  <c r="E479" i="140" s="1"/>
  <c r="M479" i="140"/>
  <c r="L479" i="140"/>
  <c r="P478" i="140"/>
  <c r="M478" i="140"/>
  <c r="L478" i="140"/>
  <c r="P477" i="140"/>
  <c r="N477" i="140"/>
  <c r="M477" i="140"/>
  <c r="L477" i="140"/>
  <c r="P476" i="140"/>
  <c r="M476" i="140"/>
  <c r="L476" i="140"/>
  <c r="P475" i="140"/>
  <c r="N475" i="140"/>
  <c r="M475" i="140"/>
  <c r="L475" i="140"/>
  <c r="P474" i="140"/>
  <c r="M474" i="140"/>
  <c r="L474" i="140"/>
  <c r="P473" i="140"/>
  <c r="N473" i="140"/>
  <c r="M473" i="140"/>
  <c r="L473" i="140"/>
  <c r="P472" i="140"/>
  <c r="N472" i="140"/>
  <c r="M472" i="140"/>
  <c r="L472" i="140"/>
  <c r="C472" i="140"/>
  <c r="P471" i="140"/>
  <c r="M471" i="140"/>
  <c r="L471" i="140"/>
  <c r="P470" i="140"/>
  <c r="N470" i="140"/>
  <c r="M470" i="140"/>
  <c r="L470" i="140"/>
  <c r="P469" i="140"/>
  <c r="M469" i="140"/>
  <c r="L469" i="140"/>
  <c r="P468" i="140"/>
  <c r="N468" i="140"/>
  <c r="M468" i="140"/>
  <c r="L468" i="140"/>
  <c r="P467" i="140"/>
  <c r="M467" i="140"/>
  <c r="L467" i="140"/>
  <c r="P466" i="140"/>
  <c r="N466" i="140"/>
  <c r="M466" i="140"/>
  <c r="L466" i="140"/>
  <c r="P465" i="140"/>
  <c r="M465" i="140"/>
  <c r="L465" i="140"/>
  <c r="P464" i="140"/>
  <c r="N464" i="140"/>
  <c r="M464" i="140"/>
  <c r="L464" i="140"/>
  <c r="P463" i="140"/>
  <c r="N463" i="140"/>
  <c r="M463" i="140"/>
  <c r="L463" i="140"/>
  <c r="C463" i="140"/>
  <c r="P462" i="140"/>
  <c r="M462" i="140"/>
  <c r="L462" i="140"/>
  <c r="P461" i="140"/>
  <c r="N461" i="140"/>
  <c r="M461" i="140"/>
  <c r="L461" i="140"/>
  <c r="P460" i="140"/>
  <c r="M460" i="140"/>
  <c r="L460" i="140"/>
  <c r="P459" i="140"/>
  <c r="N459" i="140"/>
  <c r="M459" i="140"/>
  <c r="L459" i="140"/>
  <c r="P458" i="140"/>
  <c r="N458" i="140"/>
  <c r="M458" i="140"/>
  <c r="L458" i="140"/>
  <c r="C458" i="140"/>
  <c r="P457" i="140"/>
  <c r="M457" i="140"/>
  <c r="L457" i="140"/>
  <c r="P456" i="140"/>
  <c r="N456" i="140"/>
  <c r="M456" i="140"/>
  <c r="L456" i="140"/>
  <c r="P455" i="140"/>
  <c r="M455" i="140"/>
  <c r="L455" i="140"/>
  <c r="P454" i="140"/>
  <c r="N454" i="140"/>
  <c r="M454" i="140"/>
  <c r="L454" i="140"/>
  <c r="P453" i="140"/>
  <c r="M453" i="140"/>
  <c r="L453" i="140"/>
  <c r="N453" i="140" s="1"/>
  <c r="E453" i="140" s="1"/>
  <c r="P452" i="140"/>
  <c r="N452" i="140"/>
  <c r="M452" i="140"/>
  <c r="L452" i="140"/>
  <c r="P451" i="140"/>
  <c r="N451" i="140"/>
  <c r="M451" i="140"/>
  <c r="L451" i="140"/>
  <c r="C451" i="140"/>
  <c r="P450" i="140"/>
  <c r="M450" i="140"/>
  <c r="L450" i="140"/>
  <c r="P449" i="140"/>
  <c r="N449" i="140"/>
  <c r="M449" i="140"/>
  <c r="L449" i="140"/>
  <c r="P448" i="140"/>
  <c r="M448" i="140"/>
  <c r="L448" i="140"/>
  <c r="P447" i="140"/>
  <c r="N447" i="140"/>
  <c r="M447" i="140"/>
  <c r="L447" i="140"/>
  <c r="P446" i="140"/>
  <c r="M446" i="140"/>
  <c r="L446" i="140"/>
  <c r="P445" i="140"/>
  <c r="N445" i="140"/>
  <c r="M445" i="140"/>
  <c r="L445" i="140"/>
  <c r="P444" i="140"/>
  <c r="N444" i="140"/>
  <c r="M444" i="140"/>
  <c r="L444" i="140"/>
  <c r="C444" i="140"/>
  <c r="P443" i="140"/>
  <c r="M443" i="140"/>
  <c r="L443" i="140"/>
  <c r="P442" i="140"/>
  <c r="N442" i="140"/>
  <c r="M442" i="140"/>
  <c r="L442" i="140"/>
  <c r="P441" i="140"/>
  <c r="M441" i="140"/>
  <c r="L441" i="140"/>
  <c r="P440" i="140"/>
  <c r="N440" i="140"/>
  <c r="E440" i="140" s="1"/>
  <c r="M440" i="140"/>
  <c r="L440" i="140"/>
  <c r="P439" i="140"/>
  <c r="N439" i="140"/>
  <c r="M439" i="140"/>
  <c r="L439" i="140"/>
  <c r="C439" i="140"/>
  <c r="P438" i="140"/>
  <c r="M438" i="140"/>
  <c r="L438" i="140"/>
  <c r="P437" i="140"/>
  <c r="N437" i="140"/>
  <c r="M437" i="140"/>
  <c r="L437" i="140"/>
  <c r="P436" i="140"/>
  <c r="M436" i="140"/>
  <c r="L436" i="140"/>
  <c r="P435" i="140"/>
  <c r="N435" i="140"/>
  <c r="M435" i="140"/>
  <c r="L435" i="140"/>
  <c r="P434" i="140"/>
  <c r="M434" i="140"/>
  <c r="L434" i="140"/>
  <c r="P433" i="140"/>
  <c r="N433" i="140"/>
  <c r="M433" i="140"/>
  <c r="L433" i="140"/>
  <c r="P432" i="140"/>
  <c r="M432" i="140"/>
  <c r="L432" i="140"/>
  <c r="N432" i="140" s="1"/>
  <c r="P431" i="140"/>
  <c r="N431" i="140"/>
  <c r="M431" i="140"/>
  <c r="L431" i="140"/>
  <c r="P430" i="140"/>
  <c r="N430" i="140"/>
  <c r="M430" i="140"/>
  <c r="L430" i="140"/>
  <c r="C430" i="140"/>
  <c r="P429" i="140"/>
  <c r="M429" i="140"/>
  <c r="L429" i="140"/>
  <c r="P428" i="140"/>
  <c r="N428" i="140"/>
  <c r="M428" i="140"/>
  <c r="L428" i="140"/>
  <c r="P427" i="140"/>
  <c r="M427" i="140"/>
  <c r="L427" i="140"/>
  <c r="P426" i="140"/>
  <c r="N426" i="140"/>
  <c r="M426" i="140"/>
  <c r="L426" i="140"/>
  <c r="P425" i="140"/>
  <c r="M425" i="140"/>
  <c r="L425" i="140"/>
  <c r="P424" i="140"/>
  <c r="N424" i="140"/>
  <c r="M424" i="140"/>
  <c r="L424" i="140"/>
  <c r="P423" i="140"/>
  <c r="M423" i="140"/>
  <c r="L423" i="140"/>
  <c r="P422" i="140"/>
  <c r="N422" i="140"/>
  <c r="M422" i="140"/>
  <c r="L422" i="140"/>
  <c r="P421" i="140"/>
  <c r="N421" i="140"/>
  <c r="M421" i="140"/>
  <c r="L421" i="140"/>
  <c r="C421" i="140"/>
  <c r="P420" i="140"/>
  <c r="M420" i="140"/>
  <c r="L420" i="140"/>
  <c r="P419" i="140"/>
  <c r="N419" i="140"/>
  <c r="M419" i="140"/>
  <c r="L419" i="140"/>
  <c r="P418" i="140"/>
  <c r="M418" i="140"/>
  <c r="L418" i="140"/>
  <c r="P417" i="140"/>
  <c r="N417" i="140"/>
  <c r="M417" i="140"/>
  <c r="L417" i="140"/>
  <c r="P416" i="140"/>
  <c r="N416" i="140"/>
  <c r="M416" i="140"/>
  <c r="L416" i="140"/>
  <c r="C416" i="140"/>
  <c r="P415" i="140"/>
  <c r="M415" i="140"/>
  <c r="L415" i="140"/>
  <c r="P414" i="140"/>
  <c r="N414" i="140"/>
  <c r="M414" i="140"/>
  <c r="L414" i="140"/>
  <c r="P413" i="140"/>
  <c r="N413" i="140"/>
  <c r="M413" i="140"/>
  <c r="L413" i="140"/>
  <c r="P412" i="140"/>
  <c r="N412" i="140"/>
  <c r="M412" i="140"/>
  <c r="L412" i="140"/>
  <c r="P411" i="140"/>
  <c r="M411" i="140"/>
  <c r="L411" i="140"/>
  <c r="P410" i="140"/>
  <c r="N410" i="140"/>
  <c r="M410" i="140"/>
  <c r="L410" i="140"/>
  <c r="P406" i="140"/>
  <c r="N406" i="140"/>
  <c r="M406" i="140"/>
  <c r="L406" i="140"/>
  <c r="H406" i="140"/>
  <c r="C406" i="140"/>
  <c r="P405" i="140"/>
  <c r="N405" i="140"/>
  <c r="M405" i="140"/>
  <c r="L405" i="140"/>
  <c r="P404" i="140"/>
  <c r="N404" i="140"/>
  <c r="M404" i="140"/>
  <c r="L404" i="140"/>
  <c r="H404" i="140"/>
  <c r="P403" i="140"/>
  <c r="N403" i="140"/>
  <c r="M403" i="140"/>
  <c r="L403" i="140"/>
  <c r="H403" i="140"/>
  <c r="C403" i="140"/>
  <c r="P402" i="140"/>
  <c r="N402" i="140"/>
  <c r="M402" i="140"/>
  <c r="L402" i="140"/>
  <c r="P401" i="140"/>
  <c r="N401" i="140"/>
  <c r="M401" i="140"/>
  <c r="L401" i="140"/>
  <c r="H401" i="140"/>
  <c r="P400" i="140"/>
  <c r="N400" i="140"/>
  <c r="M400" i="140"/>
  <c r="L400" i="140"/>
  <c r="C400" i="140"/>
  <c r="P399" i="140"/>
  <c r="M399" i="140"/>
  <c r="L399" i="140"/>
  <c r="P398" i="140"/>
  <c r="N398" i="140"/>
  <c r="M398" i="140"/>
  <c r="L398" i="140"/>
  <c r="P397" i="140"/>
  <c r="M397" i="140"/>
  <c r="L397" i="140"/>
  <c r="N397" i="140" s="1"/>
  <c r="P396" i="140"/>
  <c r="E396" i="140" s="1"/>
  <c r="N396" i="140"/>
  <c r="M396" i="140"/>
  <c r="L396" i="140"/>
  <c r="P392" i="140"/>
  <c r="N392" i="140"/>
  <c r="M392" i="140"/>
  <c r="L392" i="140"/>
  <c r="H392" i="140"/>
  <c r="C392" i="140"/>
  <c r="P391" i="140"/>
  <c r="N391" i="140"/>
  <c r="M391" i="140"/>
  <c r="L391" i="140"/>
  <c r="P390" i="140"/>
  <c r="N390" i="140"/>
  <c r="M390" i="140"/>
  <c r="L390" i="140"/>
  <c r="H390" i="140"/>
  <c r="F390" i="140"/>
  <c r="P389" i="140"/>
  <c r="N389" i="140"/>
  <c r="M389" i="140"/>
  <c r="L389" i="140"/>
  <c r="H389" i="140"/>
  <c r="C389" i="140"/>
  <c r="P388" i="140"/>
  <c r="N388" i="140"/>
  <c r="M388" i="140"/>
  <c r="L388" i="140"/>
  <c r="P387" i="140"/>
  <c r="N387" i="140"/>
  <c r="M387" i="140"/>
  <c r="L387" i="140"/>
  <c r="H387" i="140"/>
  <c r="F387" i="140"/>
  <c r="P386" i="140"/>
  <c r="N386" i="140"/>
  <c r="M386" i="140"/>
  <c r="L386" i="140"/>
  <c r="H386" i="140"/>
  <c r="C386" i="140"/>
  <c r="P385" i="140"/>
  <c r="N385" i="140"/>
  <c r="M385" i="140"/>
  <c r="L385" i="140"/>
  <c r="P384" i="140"/>
  <c r="N384" i="140"/>
  <c r="M384" i="140"/>
  <c r="L384" i="140"/>
  <c r="H384" i="140"/>
  <c r="P383" i="140"/>
  <c r="N383" i="140"/>
  <c r="M383" i="140"/>
  <c r="L383" i="140"/>
  <c r="H383" i="140"/>
  <c r="C383" i="140"/>
  <c r="P382" i="140"/>
  <c r="N382" i="140"/>
  <c r="M382" i="140"/>
  <c r="L382" i="140"/>
  <c r="P381" i="140"/>
  <c r="N381" i="140"/>
  <c r="M381" i="140"/>
  <c r="L381" i="140"/>
  <c r="H381" i="140"/>
  <c r="P380" i="140"/>
  <c r="N380" i="140"/>
  <c r="M380" i="140"/>
  <c r="L380" i="140"/>
  <c r="C380" i="140"/>
  <c r="P379" i="140"/>
  <c r="M379" i="140"/>
  <c r="L379" i="140"/>
  <c r="P378" i="140"/>
  <c r="N378" i="140"/>
  <c r="M378" i="140"/>
  <c r="L378" i="140"/>
  <c r="P377" i="140"/>
  <c r="M377" i="140"/>
  <c r="L377" i="140"/>
  <c r="P376" i="140"/>
  <c r="N376" i="140"/>
  <c r="M376" i="140"/>
  <c r="L376" i="140"/>
  <c r="P375" i="140"/>
  <c r="N375" i="140"/>
  <c r="M375" i="140"/>
  <c r="L375" i="140"/>
  <c r="C375" i="140"/>
  <c r="P374" i="140"/>
  <c r="M374" i="140"/>
  <c r="L374" i="140"/>
  <c r="P373" i="140"/>
  <c r="N373" i="140"/>
  <c r="M373" i="140"/>
  <c r="L373" i="140"/>
  <c r="P372" i="140"/>
  <c r="M372" i="140"/>
  <c r="L372" i="140"/>
  <c r="P371" i="140"/>
  <c r="N371" i="140"/>
  <c r="M371" i="140"/>
  <c r="L371" i="140"/>
  <c r="P370" i="140"/>
  <c r="M370" i="140"/>
  <c r="L370" i="140"/>
  <c r="P369" i="140"/>
  <c r="N369" i="140"/>
  <c r="M369" i="140"/>
  <c r="L369" i="140"/>
  <c r="P368" i="140"/>
  <c r="N368" i="140"/>
  <c r="M368" i="140"/>
  <c r="L368" i="140"/>
  <c r="C368" i="140"/>
  <c r="P367" i="140"/>
  <c r="M367" i="140"/>
  <c r="L367" i="140"/>
  <c r="P366" i="140"/>
  <c r="N366" i="140"/>
  <c r="M366" i="140"/>
  <c r="L366" i="140"/>
  <c r="P365" i="140"/>
  <c r="M365" i="140"/>
  <c r="L365" i="140"/>
  <c r="P364" i="140"/>
  <c r="N364" i="140"/>
  <c r="M364" i="140"/>
  <c r="L364" i="140"/>
  <c r="P363" i="140"/>
  <c r="N363" i="140"/>
  <c r="M363" i="140"/>
  <c r="L363" i="140"/>
  <c r="C363" i="140"/>
  <c r="P362" i="140"/>
  <c r="M362" i="140"/>
  <c r="L362" i="140"/>
  <c r="P361" i="140"/>
  <c r="E361" i="140" s="1"/>
  <c r="N361" i="140"/>
  <c r="M361" i="140"/>
  <c r="L361" i="140"/>
  <c r="P360" i="140"/>
  <c r="M360" i="140"/>
  <c r="L360" i="140"/>
  <c r="P359" i="140"/>
  <c r="N359" i="140"/>
  <c r="M359" i="140"/>
  <c r="L359" i="140"/>
  <c r="P355" i="140"/>
  <c r="N355" i="140"/>
  <c r="M355" i="140"/>
  <c r="L355" i="140"/>
  <c r="H355" i="140"/>
  <c r="C355" i="140"/>
  <c r="P354" i="140"/>
  <c r="N354" i="140"/>
  <c r="M354" i="140"/>
  <c r="L354" i="140"/>
  <c r="P353" i="140"/>
  <c r="N353" i="140"/>
  <c r="M353" i="140"/>
  <c r="L353" i="140"/>
  <c r="H353" i="140"/>
  <c r="F353" i="140"/>
  <c r="P352" i="140"/>
  <c r="N352" i="140"/>
  <c r="M352" i="140"/>
  <c r="L352" i="140"/>
  <c r="H352" i="140"/>
  <c r="C352" i="140"/>
  <c r="P351" i="140"/>
  <c r="N351" i="140"/>
  <c r="M351" i="140"/>
  <c r="L351" i="140"/>
  <c r="P350" i="140"/>
  <c r="N350" i="140"/>
  <c r="M350" i="140"/>
  <c r="L350" i="140"/>
  <c r="H350" i="140"/>
  <c r="F350" i="140"/>
  <c r="P349" i="140"/>
  <c r="N349" i="140"/>
  <c r="M349" i="140"/>
  <c r="L349" i="140"/>
  <c r="H349" i="140"/>
  <c r="C349" i="140"/>
  <c r="P348" i="140"/>
  <c r="N348" i="140"/>
  <c r="M348" i="140"/>
  <c r="L348" i="140"/>
  <c r="P347" i="140"/>
  <c r="N347" i="140"/>
  <c r="M347" i="140"/>
  <c r="L347" i="140"/>
  <c r="H347" i="140"/>
  <c r="P346" i="140"/>
  <c r="N346" i="140"/>
  <c r="M346" i="140"/>
  <c r="L346" i="140"/>
  <c r="H346" i="140"/>
  <c r="C346" i="140"/>
  <c r="P345" i="140"/>
  <c r="N345" i="140"/>
  <c r="M345" i="140"/>
  <c r="L345" i="140"/>
  <c r="P344" i="140"/>
  <c r="N344" i="140"/>
  <c r="M344" i="140"/>
  <c r="L344" i="140"/>
  <c r="H344" i="140"/>
  <c r="P343" i="140"/>
  <c r="N343" i="140"/>
  <c r="M343" i="140"/>
  <c r="L343" i="140"/>
  <c r="C343" i="140"/>
  <c r="P342" i="140"/>
  <c r="M342" i="140"/>
  <c r="L342" i="140"/>
  <c r="P341" i="140"/>
  <c r="N341" i="140"/>
  <c r="M341" i="140"/>
  <c r="L341" i="140"/>
  <c r="P340" i="140"/>
  <c r="M340" i="140"/>
  <c r="L340" i="140"/>
  <c r="P339" i="140"/>
  <c r="N339" i="140"/>
  <c r="M339" i="140"/>
  <c r="L339" i="140"/>
  <c r="P338" i="140"/>
  <c r="N338" i="140"/>
  <c r="M338" i="140"/>
  <c r="L338" i="140"/>
  <c r="C338" i="140"/>
  <c r="P337" i="140"/>
  <c r="M337" i="140"/>
  <c r="L337" i="140"/>
  <c r="P336" i="140"/>
  <c r="N336" i="140"/>
  <c r="M336" i="140"/>
  <c r="L336" i="140"/>
  <c r="P335" i="140"/>
  <c r="M335" i="140"/>
  <c r="L335" i="140"/>
  <c r="P334" i="140"/>
  <c r="N334" i="140"/>
  <c r="M334" i="140"/>
  <c r="L334" i="140"/>
  <c r="P333" i="140"/>
  <c r="N333" i="140"/>
  <c r="M333" i="140"/>
  <c r="L333" i="140"/>
  <c r="C333" i="140"/>
  <c r="P332" i="140"/>
  <c r="M332" i="140"/>
  <c r="L332" i="140"/>
  <c r="N332" i="140" s="1"/>
  <c r="E332" i="140" s="1"/>
  <c r="P331" i="140"/>
  <c r="N331" i="140"/>
  <c r="M331" i="140"/>
  <c r="L331" i="140"/>
  <c r="P330" i="140"/>
  <c r="M330" i="140"/>
  <c r="L330" i="140"/>
  <c r="P329" i="140"/>
  <c r="N329" i="140"/>
  <c r="M329" i="140"/>
  <c r="L329" i="140"/>
  <c r="P328" i="140"/>
  <c r="M328" i="140"/>
  <c r="L328" i="140"/>
  <c r="P327" i="140"/>
  <c r="N327" i="140"/>
  <c r="M327" i="140"/>
  <c r="L327" i="140"/>
  <c r="P326" i="140"/>
  <c r="N326" i="140"/>
  <c r="M326" i="140"/>
  <c r="L326" i="140"/>
  <c r="C326" i="140"/>
  <c r="P325" i="140"/>
  <c r="M325" i="140"/>
  <c r="L325" i="140"/>
  <c r="P324" i="140"/>
  <c r="N324" i="140"/>
  <c r="M324" i="140"/>
  <c r="L324" i="140"/>
  <c r="P323" i="140"/>
  <c r="M323" i="140"/>
  <c r="L323" i="140"/>
  <c r="P322" i="140"/>
  <c r="N322" i="140"/>
  <c r="M322" i="140"/>
  <c r="L322" i="140"/>
  <c r="P321" i="140"/>
  <c r="N321" i="140"/>
  <c r="M321" i="140"/>
  <c r="L321" i="140"/>
  <c r="C321" i="140"/>
  <c r="P320" i="140"/>
  <c r="M320" i="140"/>
  <c r="L320" i="140"/>
  <c r="P319" i="140"/>
  <c r="N319" i="140"/>
  <c r="M319" i="140"/>
  <c r="L319" i="140"/>
  <c r="P318" i="140"/>
  <c r="M318" i="140"/>
  <c r="L318" i="140"/>
  <c r="P317" i="140"/>
  <c r="N317" i="140"/>
  <c r="M317" i="140"/>
  <c r="L317" i="140"/>
  <c r="P313" i="140"/>
  <c r="N313" i="140"/>
  <c r="M313" i="140"/>
  <c r="L313" i="140"/>
  <c r="H313" i="140"/>
  <c r="C313" i="140"/>
  <c r="P312" i="140"/>
  <c r="N312" i="140"/>
  <c r="M312" i="140"/>
  <c r="L312" i="140"/>
  <c r="P311" i="140"/>
  <c r="N311" i="140"/>
  <c r="M311" i="140"/>
  <c r="L311" i="140"/>
  <c r="H311" i="140"/>
  <c r="F311" i="140"/>
  <c r="P310" i="140"/>
  <c r="N310" i="140"/>
  <c r="M310" i="140"/>
  <c r="L310" i="140"/>
  <c r="H310" i="140"/>
  <c r="C310" i="140"/>
  <c r="P309" i="140"/>
  <c r="N309" i="140"/>
  <c r="M309" i="140"/>
  <c r="L309" i="140"/>
  <c r="P308" i="140"/>
  <c r="N308" i="140"/>
  <c r="M308" i="140"/>
  <c r="L308" i="140"/>
  <c r="H308" i="140"/>
  <c r="F308" i="140"/>
  <c r="P307" i="140"/>
  <c r="N307" i="140"/>
  <c r="M307" i="140"/>
  <c r="L307" i="140"/>
  <c r="H307" i="140"/>
  <c r="C307" i="140"/>
  <c r="P306" i="140"/>
  <c r="N306" i="140"/>
  <c r="M306" i="140"/>
  <c r="L306" i="140"/>
  <c r="P305" i="140"/>
  <c r="N305" i="140"/>
  <c r="M305" i="140"/>
  <c r="L305" i="140"/>
  <c r="H305" i="140"/>
  <c r="F305" i="140"/>
  <c r="P304" i="140"/>
  <c r="N304" i="140"/>
  <c r="M304" i="140"/>
  <c r="L304" i="140"/>
  <c r="H304" i="140"/>
  <c r="C304" i="140"/>
  <c r="P303" i="140"/>
  <c r="N303" i="140"/>
  <c r="M303" i="140"/>
  <c r="L303" i="140"/>
  <c r="P302" i="140"/>
  <c r="N302" i="140"/>
  <c r="M302" i="140"/>
  <c r="L302" i="140"/>
  <c r="H302" i="140"/>
  <c r="F302" i="140"/>
  <c r="P301" i="140"/>
  <c r="N301" i="140"/>
  <c r="M301" i="140"/>
  <c r="L301" i="140"/>
  <c r="C301" i="140"/>
  <c r="P300" i="140"/>
  <c r="M300" i="140"/>
  <c r="L300" i="140"/>
  <c r="P299" i="140"/>
  <c r="N299" i="140"/>
  <c r="M299" i="140"/>
  <c r="L299" i="140"/>
  <c r="P298" i="140"/>
  <c r="M298" i="140"/>
  <c r="L298" i="140"/>
  <c r="P297" i="140"/>
  <c r="N297" i="140"/>
  <c r="M297" i="140"/>
  <c r="L297" i="140"/>
  <c r="P296" i="140"/>
  <c r="N296" i="140"/>
  <c r="M296" i="140"/>
  <c r="L296" i="140"/>
  <c r="C296" i="140"/>
  <c r="P295" i="140"/>
  <c r="M295" i="140"/>
  <c r="L295" i="140"/>
  <c r="P294" i="140"/>
  <c r="N294" i="140"/>
  <c r="M294" i="140"/>
  <c r="L294" i="140"/>
  <c r="P293" i="140"/>
  <c r="M293" i="140"/>
  <c r="L293" i="140"/>
  <c r="P292" i="140"/>
  <c r="N292" i="140"/>
  <c r="M292" i="140"/>
  <c r="L292" i="140"/>
  <c r="P291" i="140"/>
  <c r="N291" i="140"/>
  <c r="M291" i="140"/>
  <c r="L291" i="140"/>
  <c r="C291" i="140"/>
  <c r="P290" i="140"/>
  <c r="M290" i="140"/>
  <c r="L290" i="140"/>
  <c r="P289" i="140"/>
  <c r="E289" i="140" s="1"/>
  <c r="N289" i="140"/>
  <c r="M289" i="140"/>
  <c r="L289" i="140"/>
  <c r="P288" i="140"/>
  <c r="M288" i="140"/>
  <c r="L288" i="140"/>
  <c r="P287" i="140"/>
  <c r="N287" i="140"/>
  <c r="M287" i="140"/>
  <c r="L287" i="140"/>
  <c r="P286" i="140"/>
  <c r="N286" i="140"/>
  <c r="M286" i="140"/>
  <c r="L286" i="140"/>
  <c r="C286" i="140"/>
  <c r="P285" i="140"/>
  <c r="M285" i="140"/>
  <c r="L285" i="140"/>
  <c r="P284" i="140"/>
  <c r="N284" i="140"/>
  <c r="M284" i="140"/>
  <c r="L284" i="140"/>
  <c r="P283" i="140"/>
  <c r="M283" i="140"/>
  <c r="L283" i="140"/>
  <c r="P282" i="140"/>
  <c r="N282" i="140"/>
  <c r="M282" i="140"/>
  <c r="L282" i="140"/>
  <c r="P281" i="140"/>
  <c r="M281" i="140"/>
  <c r="L281" i="140"/>
  <c r="N281" i="140" s="1"/>
  <c r="P280" i="140"/>
  <c r="N280" i="140"/>
  <c r="M280" i="140"/>
  <c r="L280" i="140"/>
  <c r="P279" i="140"/>
  <c r="N279" i="140"/>
  <c r="M279" i="140"/>
  <c r="L279" i="140"/>
  <c r="C279" i="140"/>
  <c r="P278" i="140"/>
  <c r="M278" i="140"/>
  <c r="L278" i="140"/>
  <c r="N278" i="140" s="1"/>
  <c r="E278" i="140" s="1"/>
  <c r="P277" i="140"/>
  <c r="N277" i="140"/>
  <c r="M277" i="140"/>
  <c r="L277" i="140"/>
  <c r="P276" i="140"/>
  <c r="M276" i="140"/>
  <c r="L276" i="140"/>
  <c r="N276" i="140" s="1"/>
  <c r="P275" i="140"/>
  <c r="N275" i="140"/>
  <c r="M275" i="140"/>
  <c r="L275" i="140"/>
  <c r="P274" i="140"/>
  <c r="N274" i="140"/>
  <c r="M274" i="140"/>
  <c r="L274" i="140"/>
  <c r="C274" i="140"/>
  <c r="P273" i="140"/>
  <c r="M273" i="140"/>
  <c r="L273" i="140"/>
  <c r="P272" i="140"/>
  <c r="N272" i="140"/>
  <c r="M272" i="140"/>
  <c r="L272" i="140"/>
  <c r="P271" i="140"/>
  <c r="M271" i="140"/>
  <c r="L271" i="140"/>
  <c r="P270" i="140"/>
  <c r="N270" i="140"/>
  <c r="M270" i="140"/>
  <c r="L270" i="140"/>
  <c r="P269" i="140"/>
  <c r="N269" i="140"/>
  <c r="M269" i="140"/>
  <c r="L269" i="140"/>
  <c r="C269" i="140"/>
  <c r="P268" i="140"/>
  <c r="M268" i="140"/>
  <c r="L268" i="140"/>
  <c r="P267" i="140"/>
  <c r="N267" i="140"/>
  <c r="M267" i="140"/>
  <c r="L267" i="140"/>
  <c r="P266" i="140"/>
  <c r="M266" i="140"/>
  <c r="L266" i="140"/>
  <c r="P265" i="140"/>
  <c r="N265" i="140"/>
  <c r="M265" i="140"/>
  <c r="L265" i="140"/>
  <c r="F265" i="140"/>
  <c r="P261" i="140"/>
  <c r="N261" i="140"/>
  <c r="M261" i="140"/>
  <c r="L261" i="140"/>
  <c r="H261" i="140"/>
  <c r="C261" i="140"/>
  <c r="P260" i="140"/>
  <c r="N260" i="140"/>
  <c r="M260" i="140"/>
  <c r="L260" i="140"/>
  <c r="P259" i="140"/>
  <c r="N259" i="140"/>
  <c r="M259" i="140"/>
  <c r="L259" i="140"/>
  <c r="H259" i="140"/>
  <c r="P258" i="140"/>
  <c r="N258" i="140"/>
  <c r="M258" i="140"/>
  <c r="L258" i="140"/>
  <c r="H258" i="140"/>
  <c r="C258" i="140"/>
  <c r="P257" i="140"/>
  <c r="N257" i="140"/>
  <c r="M257" i="140"/>
  <c r="L257" i="140"/>
  <c r="P256" i="140"/>
  <c r="N256" i="140"/>
  <c r="M256" i="140"/>
  <c r="L256" i="140"/>
  <c r="H256" i="140"/>
  <c r="P255" i="140"/>
  <c r="N255" i="140"/>
  <c r="M255" i="140"/>
  <c r="L255" i="140"/>
  <c r="H255" i="140"/>
  <c r="C255" i="140"/>
  <c r="P254" i="140"/>
  <c r="N254" i="140"/>
  <c r="M254" i="140"/>
  <c r="L254" i="140"/>
  <c r="P253" i="140"/>
  <c r="N253" i="140"/>
  <c r="M253" i="140"/>
  <c r="L253" i="140"/>
  <c r="H253" i="140"/>
  <c r="P252" i="140"/>
  <c r="N252" i="140"/>
  <c r="M252" i="140"/>
  <c r="L252" i="140"/>
  <c r="H252" i="140"/>
  <c r="C252" i="140"/>
  <c r="P251" i="140"/>
  <c r="N251" i="140"/>
  <c r="M251" i="140"/>
  <c r="L251" i="140"/>
  <c r="P250" i="140"/>
  <c r="N250" i="140"/>
  <c r="M250" i="140"/>
  <c r="L250" i="140"/>
  <c r="H250" i="140"/>
  <c r="P249" i="140"/>
  <c r="N249" i="140"/>
  <c r="M249" i="140"/>
  <c r="L249" i="140"/>
  <c r="H249" i="140"/>
  <c r="C249" i="140"/>
  <c r="P248" i="140"/>
  <c r="N248" i="140"/>
  <c r="M248" i="140"/>
  <c r="L248" i="140"/>
  <c r="P247" i="140"/>
  <c r="N247" i="140"/>
  <c r="M247" i="140"/>
  <c r="L247" i="140"/>
  <c r="H247" i="140"/>
  <c r="P246" i="140"/>
  <c r="N246" i="140"/>
  <c r="M246" i="140"/>
  <c r="L246" i="140"/>
  <c r="H246" i="140"/>
  <c r="C246" i="140"/>
  <c r="P245" i="140"/>
  <c r="N245" i="140"/>
  <c r="M245" i="140"/>
  <c r="L245" i="140"/>
  <c r="P244" i="140"/>
  <c r="N244" i="140"/>
  <c r="M244" i="140"/>
  <c r="L244" i="140"/>
  <c r="H244" i="140"/>
  <c r="P243" i="140"/>
  <c r="N243" i="140"/>
  <c r="M243" i="140"/>
  <c r="L243" i="140"/>
  <c r="C243" i="140"/>
  <c r="P242" i="140"/>
  <c r="M242" i="140"/>
  <c r="L242" i="140"/>
  <c r="P241" i="140"/>
  <c r="N241" i="140"/>
  <c r="M241" i="140"/>
  <c r="L241" i="140"/>
  <c r="P240" i="140"/>
  <c r="M240" i="140"/>
  <c r="L240" i="140"/>
  <c r="P239" i="140"/>
  <c r="N239" i="140"/>
  <c r="M239" i="140"/>
  <c r="L239" i="140"/>
  <c r="P238" i="140"/>
  <c r="N238" i="140"/>
  <c r="M238" i="140"/>
  <c r="L238" i="140"/>
  <c r="C238" i="140"/>
  <c r="P237" i="140"/>
  <c r="M237" i="140"/>
  <c r="L237" i="140"/>
  <c r="P236" i="140"/>
  <c r="N236" i="140"/>
  <c r="M236" i="140"/>
  <c r="L236" i="140"/>
  <c r="P235" i="140"/>
  <c r="M235" i="140"/>
  <c r="L235" i="140"/>
  <c r="P234" i="140"/>
  <c r="N234" i="140"/>
  <c r="M234" i="140"/>
  <c r="L234" i="140"/>
  <c r="P233" i="140"/>
  <c r="N233" i="140"/>
  <c r="M233" i="140"/>
  <c r="L233" i="140"/>
  <c r="C233" i="140"/>
  <c r="P232" i="140"/>
  <c r="M232" i="140"/>
  <c r="L232" i="140"/>
  <c r="P231" i="140"/>
  <c r="E231" i="140" s="1"/>
  <c r="N231" i="140"/>
  <c r="M231" i="140"/>
  <c r="L231" i="140"/>
  <c r="P230" i="140"/>
  <c r="M230" i="140"/>
  <c r="L230" i="140"/>
  <c r="P229" i="140"/>
  <c r="N229" i="140"/>
  <c r="M229" i="140"/>
  <c r="L229" i="140"/>
  <c r="P228" i="140"/>
  <c r="N228" i="140"/>
  <c r="M228" i="140"/>
  <c r="L228" i="140"/>
  <c r="C228" i="140"/>
  <c r="P227" i="140"/>
  <c r="M227" i="140"/>
  <c r="L227" i="140"/>
  <c r="P226" i="140"/>
  <c r="N226" i="140"/>
  <c r="M226" i="140"/>
  <c r="L226" i="140"/>
  <c r="P225" i="140"/>
  <c r="M225" i="140"/>
  <c r="L225" i="140"/>
  <c r="P224" i="140"/>
  <c r="N224" i="140"/>
  <c r="M224" i="140"/>
  <c r="L224" i="140"/>
  <c r="P223" i="140"/>
  <c r="E223" i="140" s="1"/>
  <c r="N223" i="140"/>
  <c r="M223" i="140"/>
  <c r="L223" i="140"/>
  <c r="C223" i="140"/>
  <c r="P222" i="140"/>
  <c r="M222" i="140"/>
  <c r="L222" i="140"/>
  <c r="P221" i="140"/>
  <c r="N221" i="140"/>
  <c r="M221" i="140"/>
  <c r="L221" i="140"/>
  <c r="P220" i="140"/>
  <c r="M220" i="140"/>
  <c r="L220" i="140"/>
  <c r="P219" i="140"/>
  <c r="N219" i="140"/>
  <c r="M219" i="140"/>
  <c r="L219" i="140"/>
  <c r="P218" i="140"/>
  <c r="M218" i="140"/>
  <c r="L218" i="140"/>
  <c r="P217" i="140"/>
  <c r="N217" i="140"/>
  <c r="M217" i="140"/>
  <c r="L217" i="140"/>
  <c r="P216" i="140"/>
  <c r="N216" i="140"/>
  <c r="M216" i="140"/>
  <c r="L216" i="140"/>
  <c r="C216" i="140"/>
  <c r="P215" i="140"/>
  <c r="M215" i="140"/>
  <c r="L215" i="140"/>
  <c r="P214" i="140"/>
  <c r="N214" i="140"/>
  <c r="M214" i="140"/>
  <c r="L214" i="140"/>
  <c r="P213" i="140"/>
  <c r="M213" i="140"/>
  <c r="L213" i="140"/>
  <c r="P212" i="140"/>
  <c r="N212" i="140"/>
  <c r="M212" i="140"/>
  <c r="L212" i="140"/>
  <c r="P211" i="140"/>
  <c r="N211" i="140"/>
  <c r="M211" i="140"/>
  <c r="L211" i="140"/>
  <c r="C211" i="140"/>
  <c r="P210" i="140"/>
  <c r="M210" i="140"/>
  <c r="L210" i="140"/>
  <c r="P209" i="140"/>
  <c r="N209" i="140"/>
  <c r="M209" i="140"/>
  <c r="L209" i="140"/>
  <c r="P208" i="140"/>
  <c r="M208" i="140"/>
  <c r="L208" i="140"/>
  <c r="P207" i="140"/>
  <c r="N207" i="140"/>
  <c r="M207" i="140"/>
  <c r="L207" i="140"/>
  <c r="E207" i="140"/>
  <c r="P206" i="140"/>
  <c r="N206" i="140"/>
  <c r="M206" i="140"/>
  <c r="L206" i="140"/>
  <c r="C206" i="140"/>
  <c r="P205" i="140"/>
  <c r="M205" i="140"/>
  <c r="L205" i="140"/>
  <c r="P204" i="140"/>
  <c r="N204" i="140"/>
  <c r="M204" i="140"/>
  <c r="L204" i="140"/>
  <c r="P203" i="140"/>
  <c r="M203" i="140"/>
  <c r="L203" i="140"/>
  <c r="N203" i="140" s="1"/>
  <c r="P202" i="140"/>
  <c r="N202" i="140"/>
  <c r="M202" i="140"/>
  <c r="L202" i="140"/>
  <c r="P201" i="140"/>
  <c r="N201" i="140"/>
  <c r="M201" i="140"/>
  <c r="L201" i="140"/>
  <c r="C201" i="140"/>
  <c r="P200" i="140"/>
  <c r="M200" i="140"/>
  <c r="L200" i="140"/>
  <c r="P199" i="140"/>
  <c r="N199" i="140"/>
  <c r="M199" i="140"/>
  <c r="L199" i="140"/>
  <c r="P198" i="140"/>
  <c r="M198" i="140"/>
  <c r="L198" i="140"/>
  <c r="P197" i="140"/>
  <c r="N197" i="140"/>
  <c r="M197" i="140"/>
  <c r="L197" i="140"/>
  <c r="P193" i="140"/>
  <c r="N193" i="140"/>
  <c r="M193" i="140"/>
  <c r="L193" i="140"/>
  <c r="H193" i="140"/>
  <c r="C193" i="140"/>
  <c r="P192" i="140"/>
  <c r="N192" i="140"/>
  <c r="M192" i="140"/>
  <c r="L192" i="140"/>
  <c r="P191" i="140"/>
  <c r="N191" i="140"/>
  <c r="M191" i="140"/>
  <c r="L191" i="140"/>
  <c r="H191" i="140"/>
  <c r="P190" i="140"/>
  <c r="N190" i="140"/>
  <c r="M190" i="140"/>
  <c r="L190" i="140"/>
  <c r="H190" i="140"/>
  <c r="C190" i="140"/>
  <c r="P189" i="140"/>
  <c r="N189" i="140"/>
  <c r="M189" i="140"/>
  <c r="L189" i="140"/>
  <c r="P188" i="140"/>
  <c r="N188" i="140"/>
  <c r="M188" i="140"/>
  <c r="L188" i="140"/>
  <c r="H188" i="140"/>
  <c r="P187" i="140"/>
  <c r="N187" i="140"/>
  <c r="M187" i="140"/>
  <c r="L187" i="140"/>
  <c r="H187" i="140"/>
  <c r="C187" i="140"/>
  <c r="P186" i="140"/>
  <c r="N186" i="140"/>
  <c r="M186" i="140"/>
  <c r="L186" i="140"/>
  <c r="P185" i="140"/>
  <c r="N185" i="140"/>
  <c r="M185" i="140"/>
  <c r="L185" i="140"/>
  <c r="H185" i="140"/>
  <c r="P184" i="140"/>
  <c r="N184" i="140"/>
  <c r="M184" i="140"/>
  <c r="L184" i="140"/>
  <c r="H184" i="140"/>
  <c r="C184" i="140"/>
  <c r="P183" i="140"/>
  <c r="N183" i="140"/>
  <c r="M183" i="140"/>
  <c r="L183" i="140"/>
  <c r="P182" i="140"/>
  <c r="N182" i="140"/>
  <c r="M182" i="140"/>
  <c r="L182" i="140"/>
  <c r="H182" i="140"/>
  <c r="P181" i="140"/>
  <c r="N181" i="140"/>
  <c r="M181" i="140"/>
  <c r="L181" i="140"/>
  <c r="H181" i="140"/>
  <c r="C181" i="140"/>
  <c r="P180" i="140"/>
  <c r="N180" i="140"/>
  <c r="M180" i="140"/>
  <c r="L180" i="140"/>
  <c r="P179" i="140"/>
  <c r="N179" i="140"/>
  <c r="M179" i="140"/>
  <c r="L179" i="140"/>
  <c r="H179" i="140"/>
  <c r="P178" i="140"/>
  <c r="N178" i="140"/>
  <c r="M178" i="140"/>
  <c r="L178" i="140"/>
  <c r="H178" i="140"/>
  <c r="C178" i="140"/>
  <c r="P177" i="140"/>
  <c r="N177" i="140"/>
  <c r="M177" i="140"/>
  <c r="L177" i="140"/>
  <c r="P176" i="140"/>
  <c r="N176" i="140"/>
  <c r="M176" i="140"/>
  <c r="L176" i="140"/>
  <c r="H176" i="140"/>
  <c r="P175" i="140"/>
  <c r="N175" i="140"/>
  <c r="M175" i="140"/>
  <c r="L175" i="140"/>
  <c r="H175" i="140"/>
  <c r="C175" i="140"/>
  <c r="P174" i="140"/>
  <c r="N174" i="140"/>
  <c r="M174" i="140"/>
  <c r="L174" i="140"/>
  <c r="P173" i="140"/>
  <c r="N173" i="140"/>
  <c r="M173" i="140"/>
  <c r="L173" i="140"/>
  <c r="H173" i="140"/>
  <c r="P172" i="140"/>
  <c r="N172" i="140"/>
  <c r="M172" i="140"/>
  <c r="L172" i="140"/>
  <c r="H172" i="140"/>
  <c r="C172" i="140"/>
  <c r="P171" i="140"/>
  <c r="N171" i="140"/>
  <c r="M171" i="140"/>
  <c r="L171" i="140"/>
  <c r="P170" i="140"/>
  <c r="N170" i="140"/>
  <c r="M170" i="140"/>
  <c r="L170" i="140"/>
  <c r="H170" i="140"/>
  <c r="P169" i="140"/>
  <c r="N169" i="140"/>
  <c r="M169" i="140"/>
  <c r="L169" i="140"/>
  <c r="C169" i="140"/>
  <c r="P168" i="140"/>
  <c r="M168" i="140"/>
  <c r="L168" i="140"/>
  <c r="P167" i="140"/>
  <c r="N167" i="140"/>
  <c r="M167" i="140"/>
  <c r="L167" i="140"/>
  <c r="P166" i="140"/>
  <c r="M166" i="140"/>
  <c r="L166" i="140"/>
  <c r="P165" i="140"/>
  <c r="N165" i="140"/>
  <c r="M165" i="140"/>
  <c r="L165" i="140"/>
  <c r="P164" i="140"/>
  <c r="N164" i="140"/>
  <c r="M164" i="140"/>
  <c r="L164" i="140"/>
  <c r="C164" i="140"/>
  <c r="P163" i="140"/>
  <c r="M163" i="140"/>
  <c r="L163" i="140"/>
  <c r="P162" i="140"/>
  <c r="N162" i="140"/>
  <c r="M162" i="140"/>
  <c r="L162" i="140"/>
  <c r="P161" i="140"/>
  <c r="M161" i="140"/>
  <c r="L161" i="140"/>
  <c r="P160" i="140"/>
  <c r="N160" i="140"/>
  <c r="M160" i="140"/>
  <c r="L160" i="140"/>
  <c r="P159" i="140"/>
  <c r="N159" i="140"/>
  <c r="M159" i="140"/>
  <c r="L159" i="140"/>
  <c r="C159" i="140"/>
  <c r="P158" i="140"/>
  <c r="M158" i="140"/>
  <c r="L158" i="140"/>
  <c r="P157" i="140"/>
  <c r="N157" i="140"/>
  <c r="M157" i="140"/>
  <c r="L157" i="140"/>
  <c r="P156" i="140"/>
  <c r="M156" i="140"/>
  <c r="L156" i="140"/>
  <c r="P155" i="140"/>
  <c r="N155" i="140"/>
  <c r="M155" i="140"/>
  <c r="L155" i="140"/>
  <c r="P154" i="140"/>
  <c r="N154" i="140"/>
  <c r="M154" i="140"/>
  <c r="L154" i="140"/>
  <c r="C154" i="140"/>
  <c r="P153" i="140"/>
  <c r="M153" i="140"/>
  <c r="L153" i="140"/>
  <c r="P152" i="140"/>
  <c r="N152" i="140"/>
  <c r="M152" i="140"/>
  <c r="L152" i="140"/>
  <c r="P151" i="140"/>
  <c r="M151" i="140"/>
  <c r="L151" i="140"/>
  <c r="P150" i="140"/>
  <c r="N150" i="140"/>
  <c r="M150" i="140"/>
  <c r="L150" i="140"/>
  <c r="P149" i="140"/>
  <c r="N149" i="140"/>
  <c r="M149" i="140"/>
  <c r="L149" i="140"/>
  <c r="C149" i="140"/>
  <c r="P148" i="140"/>
  <c r="M148" i="140"/>
  <c r="L148" i="140"/>
  <c r="P147" i="140"/>
  <c r="N147" i="140"/>
  <c r="M147" i="140"/>
  <c r="L147" i="140"/>
  <c r="P146" i="140"/>
  <c r="M146" i="140"/>
  <c r="L146" i="140"/>
  <c r="P145" i="140"/>
  <c r="N145" i="140"/>
  <c r="M145" i="140"/>
  <c r="L145" i="140"/>
  <c r="P144" i="140"/>
  <c r="N144" i="140"/>
  <c r="M144" i="140"/>
  <c r="L144" i="140"/>
  <c r="C144" i="140"/>
  <c r="P143" i="140"/>
  <c r="M143" i="140"/>
  <c r="L143" i="140"/>
  <c r="P142" i="140"/>
  <c r="N142" i="140"/>
  <c r="M142" i="140"/>
  <c r="L142" i="140"/>
  <c r="P141" i="140"/>
  <c r="M141" i="140"/>
  <c r="L141" i="140"/>
  <c r="P140" i="140"/>
  <c r="N140" i="140"/>
  <c r="M140" i="140"/>
  <c r="L140" i="140"/>
  <c r="P139" i="140"/>
  <c r="M139" i="140"/>
  <c r="L139" i="140"/>
  <c r="P138" i="140"/>
  <c r="N138" i="140"/>
  <c r="M138" i="140"/>
  <c r="L138" i="140"/>
  <c r="P137" i="140"/>
  <c r="N137" i="140"/>
  <c r="M137" i="140"/>
  <c r="L137" i="140"/>
  <c r="C137" i="140"/>
  <c r="P136" i="140"/>
  <c r="M136" i="140"/>
  <c r="L136" i="140"/>
  <c r="P135" i="140"/>
  <c r="N135" i="140"/>
  <c r="M135" i="140"/>
  <c r="L135" i="140"/>
  <c r="P134" i="140"/>
  <c r="M134" i="140"/>
  <c r="L134" i="140"/>
  <c r="P133" i="140"/>
  <c r="E133" i="140" s="1"/>
  <c r="N133" i="140"/>
  <c r="M133" i="140"/>
  <c r="L133" i="140"/>
  <c r="P132" i="140"/>
  <c r="N132" i="140"/>
  <c r="M132" i="140"/>
  <c r="L132" i="140"/>
  <c r="C132" i="140"/>
  <c r="P131" i="140"/>
  <c r="M131" i="140"/>
  <c r="L131" i="140"/>
  <c r="P130" i="140"/>
  <c r="N130" i="140"/>
  <c r="M130" i="140"/>
  <c r="L130" i="140"/>
  <c r="P129" i="140"/>
  <c r="M129" i="140"/>
  <c r="L129" i="140"/>
  <c r="P128" i="140"/>
  <c r="N128" i="140"/>
  <c r="M128" i="140"/>
  <c r="L128" i="140"/>
  <c r="P127" i="140"/>
  <c r="N127" i="140"/>
  <c r="M127" i="140"/>
  <c r="L127" i="140"/>
  <c r="C127" i="140"/>
  <c r="P126" i="140"/>
  <c r="M126" i="140"/>
  <c r="L126" i="140"/>
  <c r="P125" i="140"/>
  <c r="N125" i="140"/>
  <c r="E125" i="140" s="1"/>
  <c r="M125" i="140"/>
  <c r="L125" i="140"/>
  <c r="P124" i="140"/>
  <c r="M124" i="140"/>
  <c r="L124" i="140"/>
  <c r="P123" i="140"/>
  <c r="N123" i="140"/>
  <c r="M123" i="140"/>
  <c r="L123" i="140"/>
  <c r="P122" i="140"/>
  <c r="N122" i="140"/>
  <c r="M122" i="140"/>
  <c r="L122" i="140"/>
  <c r="C122" i="140"/>
  <c r="P121" i="140"/>
  <c r="M121" i="140"/>
  <c r="L121" i="140"/>
  <c r="P120" i="140"/>
  <c r="N120" i="140"/>
  <c r="M120" i="140"/>
  <c r="L120" i="140"/>
  <c r="P119" i="140"/>
  <c r="M119" i="140"/>
  <c r="L119" i="140"/>
  <c r="P118" i="140"/>
  <c r="N118" i="140"/>
  <c r="M118" i="140"/>
  <c r="L118" i="140"/>
  <c r="P117" i="140"/>
  <c r="N117" i="140"/>
  <c r="M117" i="140"/>
  <c r="L117" i="140"/>
  <c r="C117" i="140"/>
  <c r="P116" i="140"/>
  <c r="M116" i="140"/>
  <c r="L116" i="140"/>
  <c r="P115" i="140"/>
  <c r="N115" i="140"/>
  <c r="M115" i="140"/>
  <c r="L115" i="140"/>
  <c r="P114" i="140"/>
  <c r="M114" i="140"/>
  <c r="L114" i="140"/>
  <c r="P113" i="140"/>
  <c r="N113" i="140"/>
  <c r="M113" i="140"/>
  <c r="L113" i="140"/>
  <c r="P109" i="140"/>
  <c r="N109" i="140"/>
  <c r="M109" i="140"/>
  <c r="L109" i="140"/>
  <c r="H109" i="140"/>
  <c r="C109" i="140"/>
  <c r="P108" i="140"/>
  <c r="N108" i="140"/>
  <c r="M108" i="140"/>
  <c r="L108" i="140"/>
  <c r="P107" i="140"/>
  <c r="N107" i="140"/>
  <c r="M107" i="140"/>
  <c r="L107" i="140"/>
  <c r="H107" i="140"/>
  <c r="P106" i="140"/>
  <c r="N106" i="140"/>
  <c r="M106" i="140"/>
  <c r="L106" i="140"/>
  <c r="H106" i="140"/>
  <c r="C106" i="140"/>
  <c r="P105" i="140"/>
  <c r="N105" i="140"/>
  <c r="M105" i="140"/>
  <c r="L105" i="140"/>
  <c r="P104" i="140"/>
  <c r="N104" i="140"/>
  <c r="M104" i="140"/>
  <c r="L104" i="140"/>
  <c r="H104" i="140"/>
  <c r="P103" i="140"/>
  <c r="N103" i="140"/>
  <c r="E103" i="140" s="1"/>
  <c r="M103" i="140"/>
  <c r="L103" i="140"/>
  <c r="H103" i="140"/>
  <c r="C103" i="140"/>
  <c r="P102" i="140"/>
  <c r="N102" i="140"/>
  <c r="M102" i="140"/>
  <c r="L102" i="140"/>
  <c r="P101" i="140"/>
  <c r="N101" i="140"/>
  <c r="M101" i="140"/>
  <c r="L101" i="140"/>
  <c r="H101" i="140"/>
  <c r="P100" i="140"/>
  <c r="N100" i="140"/>
  <c r="M100" i="140"/>
  <c r="L100" i="140"/>
  <c r="H100" i="140"/>
  <c r="C100" i="140"/>
  <c r="P99" i="140"/>
  <c r="N99" i="140"/>
  <c r="M99" i="140"/>
  <c r="L99" i="140"/>
  <c r="P98" i="140"/>
  <c r="N98" i="140"/>
  <c r="M98" i="140"/>
  <c r="L98" i="140"/>
  <c r="H98" i="140"/>
  <c r="P97" i="140"/>
  <c r="N97" i="140"/>
  <c r="M97" i="140"/>
  <c r="L97" i="140"/>
  <c r="H97" i="140"/>
  <c r="C97" i="140"/>
  <c r="P96" i="140"/>
  <c r="N96" i="140"/>
  <c r="M96" i="140"/>
  <c r="L96" i="140"/>
  <c r="P95" i="140"/>
  <c r="N95" i="140"/>
  <c r="M95" i="140"/>
  <c r="L95" i="140"/>
  <c r="H95" i="140"/>
  <c r="P94" i="140"/>
  <c r="N94" i="140"/>
  <c r="M94" i="140"/>
  <c r="L94" i="140"/>
  <c r="H94" i="140"/>
  <c r="C94" i="140"/>
  <c r="P93" i="140"/>
  <c r="N93" i="140"/>
  <c r="M93" i="140"/>
  <c r="L93" i="140"/>
  <c r="P92" i="140"/>
  <c r="N92" i="140"/>
  <c r="M92" i="140"/>
  <c r="L92" i="140"/>
  <c r="H92" i="140"/>
  <c r="P91" i="140"/>
  <c r="N91" i="140"/>
  <c r="M91" i="140"/>
  <c r="L91" i="140"/>
  <c r="H91" i="140"/>
  <c r="C91" i="140"/>
  <c r="P90" i="140"/>
  <c r="N90" i="140"/>
  <c r="M90" i="140"/>
  <c r="L90" i="140"/>
  <c r="P89" i="140"/>
  <c r="N89" i="140"/>
  <c r="M89" i="140"/>
  <c r="L89" i="140"/>
  <c r="H89" i="140"/>
  <c r="P88" i="140"/>
  <c r="N88" i="140"/>
  <c r="M88" i="140"/>
  <c r="L88" i="140"/>
  <c r="H88" i="140"/>
  <c r="C88" i="140"/>
  <c r="P87" i="140"/>
  <c r="N87" i="140"/>
  <c r="M87" i="140"/>
  <c r="L87" i="140"/>
  <c r="P86" i="140"/>
  <c r="N86" i="140"/>
  <c r="M86" i="140"/>
  <c r="L86" i="140"/>
  <c r="H86" i="140"/>
  <c r="P85" i="140"/>
  <c r="N85" i="140"/>
  <c r="M85" i="140"/>
  <c r="L85" i="140"/>
  <c r="H85" i="140"/>
  <c r="C85" i="140"/>
  <c r="P84" i="140"/>
  <c r="N84" i="140"/>
  <c r="M84" i="140"/>
  <c r="L84" i="140"/>
  <c r="P83" i="140"/>
  <c r="N83" i="140"/>
  <c r="M83" i="140"/>
  <c r="L83" i="140"/>
  <c r="H83" i="140"/>
  <c r="P82" i="140"/>
  <c r="N82" i="140"/>
  <c r="M82" i="140"/>
  <c r="L82" i="140"/>
  <c r="H82" i="140"/>
  <c r="C82" i="140"/>
  <c r="P81" i="140"/>
  <c r="N81" i="140"/>
  <c r="M81" i="140"/>
  <c r="L81" i="140"/>
  <c r="P80" i="140"/>
  <c r="N80" i="140"/>
  <c r="M80" i="140"/>
  <c r="L80" i="140"/>
  <c r="H80" i="140"/>
  <c r="P79" i="140"/>
  <c r="N79" i="140"/>
  <c r="M79" i="140"/>
  <c r="L79" i="140"/>
  <c r="C79" i="140"/>
  <c r="P78" i="140"/>
  <c r="M78" i="140"/>
  <c r="L78" i="140"/>
  <c r="P77" i="140"/>
  <c r="N77" i="140"/>
  <c r="M77" i="140"/>
  <c r="L77" i="140"/>
  <c r="P76" i="140"/>
  <c r="M76" i="140"/>
  <c r="L76" i="140"/>
  <c r="P75" i="140"/>
  <c r="N75" i="140"/>
  <c r="M75" i="140"/>
  <c r="L75" i="140"/>
  <c r="P74" i="140"/>
  <c r="N74" i="140"/>
  <c r="M74" i="140"/>
  <c r="L74" i="140"/>
  <c r="C74" i="140"/>
  <c r="P73" i="140"/>
  <c r="M73" i="140"/>
  <c r="L73" i="140"/>
  <c r="P72" i="140"/>
  <c r="N72" i="140"/>
  <c r="M72" i="140"/>
  <c r="L72" i="140"/>
  <c r="P71" i="140"/>
  <c r="M71" i="140"/>
  <c r="L71" i="140"/>
  <c r="P70" i="140"/>
  <c r="N70" i="140"/>
  <c r="M70" i="140"/>
  <c r="L70" i="140"/>
  <c r="P69" i="140"/>
  <c r="N69" i="140"/>
  <c r="M69" i="140"/>
  <c r="L69" i="140"/>
  <c r="C69" i="140"/>
  <c r="P68" i="140"/>
  <c r="M68" i="140"/>
  <c r="L68" i="140"/>
  <c r="P67" i="140"/>
  <c r="N67" i="140"/>
  <c r="M67" i="140"/>
  <c r="L67" i="140"/>
  <c r="P66" i="140"/>
  <c r="M66" i="140"/>
  <c r="L66" i="140"/>
  <c r="P65" i="140"/>
  <c r="N65" i="140"/>
  <c r="M65" i="140"/>
  <c r="L65" i="140"/>
  <c r="P64" i="140"/>
  <c r="N64" i="140"/>
  <c r="E64" i="140" s="1"/>
  <c r="M64" i="140"/>
  <c r="L64" i="140"/>
  <c r="C64" i="140"/>
  <c r="P63" i="140"/>
  <c r="M63" i="140"/>
  <c r="L63" i="140"/>
  <c r="P62" i="140"/>
  <c r="N62" i="140"/>
  <c r="E62" i="140" s="1"/>
  <c r="M62" i="140"/>
  <c r="L62" i="140"/>
  <c r="P61" i="140"/>
  <c r="M61" i="140"/>
  <c r="L61" i="140"/>
  <c r="P60" i="140"/>
  <c r="N60" i="140"/>
  <c r="M60" i="140"/>
  <c r="L60" i="140"/>
  <c r="P59" i="140"/>
  <c r="N59" i="140"/>
  <c r="M59" i="140"/>
  <c r="L59" i="140"/>
  <c r="C59" i="140"/>
  <c r="P58" i="140"/>
  <c r="M58" i="140"/>
  <c r="N58" i="140" s="1"/>
  <c r="L58" i="140"/>
  <c r="P57" i="140"/>
  <c r="N57" i="140"/>
  <c r="M57" i="140"/>
  <c r="L57" i="140"/>
  <c r="P56" i="140"/>
  <c r="M56" i="140"/>
  <c r="L56" i="140"/>
  <c r="P55" i="140"/>
  <c r="N55" i="140"/>
  <c r="M55" i="140"/>
  <c r="L55" i="140"/>
  <c r="P54" i="140"/>
  <c r="N54" i="140"/>
  <c r="M54" i="140"/>
  <c r="L54" i="140"/>
  <c r="C54" i="140"/>
  <c r="P53" i="140"/>
  <c r="M53" i="140"/>
  <c r="L53" i="140"/>
  <c r="P52" i="140"/>
  <c r="N52" i="140"/>
  <c r="M52" i="140"/>
  <c r="L52" i="140"/>
  <c r="P51" i="140"/>
  <c r="M51" i="140"/>
  <c r="L51" i="140"/>
  <c r="P50" i="140"/>
  <c r="N50" i="140"/>
  <c r="M50" i="140"/>
  <c r="L50" i="140"/>
  <c r="E50" i="140"/>
  <c r="P49" i="140"/>
  <c r="N49" i="140"/>
  <c r="E49" i="140" s="1"/>
  <c r="M49" i="140"/>
  <c r="L49" i="140"/>
  <c r="C49" i="140"/>
  <c r="P48" i="140"/>
  <c r="M48" i="140"/>
  <c r="L48" i="140"/>
  <c r="P47" i="140"/>
  <c r="N47" i="140"/>
  <c r="M47" i="140"/>
  <c r="L47" i="140"/>
  <c r="P46" i="140"/>
  <c r="M46" i="140"/>
  <c r="L46" i="140"/>
  <c r="P45" i="140"/>
  <c r="E45" i="140" s="1"/>
  <c r="N45" i="140"/>
  <c r="M45" i="140"/>
  <c r="L45" i="140"/>
  <c r="P44" i="140"/>
  <c r="M44" i="140"/>
  <c r="L44" i="140"/>
  <c r="P43" i="140"/>
  <c r="N43" i="140"/>
  <c r="M43" i="140"/>
  <c r="L43" i="140"/>
  <c r="P42" i="140"/>
  <c r="N42" i="140"/>
  <c r="M42" i="140"/>
  <c r="L42" i="140"/>
  <c r="C42" i="140"/>
  <c r="P41" i="140"/>
  <c r="M41" i="140"/>
  <c r="L41" i="140"/>
  <c r="P40" i="140"/>
  <c r="N40" i="140"/>
  <c r="M40" i="140"/>
  <c r="L40" i="140"/>
  <c r="P39" i="140"/>
  <c r="M39" i="140"/>
  <c r="L39" i="140"/>
  <c r="P38" i="140"/>
  <c r="N38" i="140"/>
  <c r="M38" i="140"/>
  <c r="L38" i="140"/>
  <c r="P37" i="140"/>
  <c r="M37" i="140"/>
  <c r="L37" i="140"/>
  <c r="N37" i="140" s="1"/>
  <c r="P36" i="140"/>
  <c r="N36" i="140"/>
  <c r="M36" i="140"/>
  <c r="L36" i="140"/>
  <c r="P35" i="140"/>
  <c r="N35" i="140"/>
  <c r="M35" i="140"/>
  <c r="L35" i="140"/>
  <c r="C35" i="140"/>
  <c r="P34" i="140"/>
  <c r="M34" i="140"/>
  <c r="L34" i="140"/>
  <c r="N34" i="140" s="1"/>
  <c r="P33" i="140"/>
  <c r="N33" i="140"/>
  <c r="M33" i="140"/>
  <c r="L33" i="140"/>
  <c r="P32" i="140"/>
  <c r="M32" i="140"/>
  <c r="L32" i="140"/>
  <c r="P31" i="140"/>
  <c r="E31" i="140" s="1"/>
  <c r="N31" i="140"/>
  <c r="M31" i="140"/>
  <c r="L31" i="140"/>
  <c r="P30" i="140"/>
  <c r="N30" i="140"/>
  <c r="M30" i="140"/>
  <c r="L30" i="140"/>
  <c r="C30" i="140"/>
  <c r="P29" i="140"/>
  <c r="M29" i="140"/>
  <c r="L29" i="140"/>
  <c r="P28" i="140"/>
  <c r="E28" i="140" s="1"/>
  <c r="N28" i="140"/>
  <c r="M28" i="140"/>
  <c r="L28" i="140"/>
  <c r="P27" i="140"/>
  <c r="M27" i="140"/>
  <c r="L27" i="140"/>
  <c r="P26" i="140"/>
  <c r="N26" i="140"/>
  <c r="M26" i="140"/>
  <c r="L26" i="140"/>
  <c r="P25" i="140"/>
  <c r="N25" i="140"/>
  <c r="M25" i="140"/>
  <c r="L25" i="140"/>
  <c r="C25" i="140"/>
  <c r="P24" i="140"/>
  <c r="M24" i="140"/>
  <c r="L24" i="140"/>
  <c r="N24" i="140" s="1"/>
  <c r="P23" i="140"/>
  <c r="N23" i="140"/>
  <c r="M23" i="140"/>
  <c r="L23" i="140"/>
  <c r="P22" i="140"/>
  <c r="M22" i="140"/>
  <c r="L22" i="140"/>
  <c r="P21" i="140"/>
  <c r="N21" i="140"/>
  <c r="M21" i="140"/>
  <c r="L21" i="140"/>
  <c r="P20" i="140"/>
  <c r="N20" i="140"/>
  <c r="M20" i="140"/>
  <c r="L20" i="140"/>
  <c r="C20" i="140"/>
  <c r="P19" i="140"/>
  <c r="M19" i="140"/>
  <c r="L19" i="140"/>
  <c r="P18" i="140"/>
  <c r="N18" i="140"/>
  <c r="M18" i="140"/>
  <c r="L18" i="140"/>
  <c r="P17" i="140"/>
  <c r="M17" i="140"/>
  <c r="L17" i="140"/>
  <c r="P16" i="140"/>
  <c r="N16" i="140"/>
  <c r="M16" i="140"/>
  <c r="L16" i="140"/>
  <c r="P15" i="140"/>
  <c r="N15" i="140"/>
  <c r="E15" i="140" s="1"/>
  <c r="M15" i="140"/>
  <c r="L15" i="140"/>
  <c r="C15" i="140"/>
  <c r="P14" i="140"/>
  <c r="M14" i="140"/>
  <c r="L14" i="140"/>
  <c r="P13" i="140"/>
  <c r="N13" i="140"/>
  <c r="M13" i="140"/>
  <c r="L13" i="140"/>
  <c r="P12" i="140"/>
  <c r="M12" i="140"/>
  <c r="L12" i="140"/>
  <c r="P11" i="140"/>
  <c r="N11" i="140"/>
  <c r="M11" i="140"/>
  <c r="L11" i="140"/>
  <c r="P10" i="140"/>
  <c r="N10" i="140"/>
  <c r="M10" i="140"/>
  <c r="L10" i="140"/>
  <c r="C10" i="140"/>
  <c r="P9" i="140"/>
  <c r="M9" i="140"/>
  <c r="L9" i="140"/>
  <c r="P8" i="140"/>
  <c r="N8" i="140"/>
  <c r="M8" i="140"/>
  <c r="L8" i="140"/>
  <c r="P7" i="140"/>
  <c r="M7" i="140"/>
  <c r="L7" i="140"/>
  <c r="P6" i="140"/>
  <c r="N6" i="140"/>
  <c r="M6" i="140"/>
  <c r="L6" i="140"/>
  <c r="Q540" i="139"/>
  <c r="O540" i="139"/>
  <c r="N540" i="139"/>
  <c r="M540" i="139"/>
  <c r="Q539" i="139"/>
  <c r="O539" i="139"/>
  <c r="N539" i="139"/>
  <c r="M539" i="139"/>
  <c r="Q538" i="139"/>
  <c r="O538" i="139"/>
  <c r="N538" i="139"/>
  <c r="M538" i="139"/>
  <c r="F538" i="139"/>
  <c r="Q537" i="139"/>
  <c r="O537" i="139"/>
  <c r="N537" i="139"/>
  <c r="M537" i="139"/>
  <c r="F536" i="139"/>
  <c r="Q535" i="139"/>
  <c r="O535" i="139"/>
  <c r="N535" i="139"/>
  <c r="M535" i="139"/>
  <c r="Q534" i="139"/>
  <c r="O534" i="139"/>
  <c r="N534" i="139"/>
  <c r="M534" i="139"/>
  <c r="F533" i="139"/>
  <c r="Q532" i="139"/>
  <c r="O532" i="139"/>
  <c r="N532" i="139"/>
  <c r="M532" i="139"/>
  <c r="Q531" i="139"/>
  <c r="O531" i="139"/>
  <c r="N531" i="139"/>
  <c r="M531" i="139"/>
  <c r="F531" i="139"/>
  <c r="F530" i="139"/>
  <c r="Q529" i="139"/>
  <c r="O529" i="139"/>
  <c r="N529" i="139"/>
  <c r="M529" i="139"/>
  <c r="Q528" i="139"/>
  <c r="O528" i="139"/>
  <c r="F528" i="139" s="1"/>
  <c r="N528" i="139"/>
  <c r="M528" i="139"/>
  <c r="F527" i="139"/>
  <c r="Q526" i="139"/>
  <c r="O526" i="139"/>
  <c r="N526" i="139"/>
  <c r="M526" i="139"/>
  <c r="Q525" i="139"/>
  <c r="O525" i="139"/>
  <c r="N525" i="139"/>
  <c r="M525" i="139"/>
  <c r="F524" i="139"/>
  <c r="Q523" i="139"/>
  <c r="O523" i="139"/>
  <c r="N523" i="139"/>
  <c r="M523" i="139"/>
  <c r="F523" i="139"/>
  <c r="Q522" i="139"/>
  <c r="F522" i="139" s="1"/>
  <c r="O522" i="139"/>
  <c r="N522" i="139"/>
  <c r="M522" i="139"/>
  <c r="Q521" i="139"/>
  <c r="O521" i="139"/>
  <c r="N521" i="139"/>
  <c r="M521" i="139"/>
  <c r="Q520" i="139"/>
  <c r="O520" i="139"/>
  <c r="N520" i="139"/>
  <c r="M520" i="139"/>
  <c r="Q519" i="139"/>
  <c r="O519" i="139"/>
  <c r="N519" i="139"/>
  <c r="M519" i="139"/>
  <c r="Q518" i="139"/>
  <c r="F518" i="139" s="1"/>
  <c r="O518" i="139"/>
  <c r="N518" i="139"/>
  <c r="M518" i="139"/>
  <c r="Q517" i="139"/>
  <c r="O517" i="139"/>
  <c r="F517" i="139" s="1"/>
  <c r="N517" i="139"/>
  <c r="M517" i="139"/>
  <c r="Q516" i="139"/>
  <c r="O516" i="139"/>
  <c r="N516" i="139"/>
  <c r="M516" i="139"/>
  <c r="F516" i="139"/>
  <c r="Q515" i="139"/>
  <c r="O515" i="139"/>
  <c r="N515" i="139"/>
  <c r="M515" i="139"/>
  <c r="Q514" i="139"/>
  <c r="O514" i="139"/>
  <c r="N514" i="139"/>
  <c r="M514" i="139"/>
  <c r="F514" i="139"/>
  <c r="Q513" i="139"/>
  <c r="F513" i="139" s="1"/>
  <c r="G513" i="139" s="1"/>
  <c r="O513" i="139"/>
  <c r="N513" i="139"/>
  <c r="M513" i="139"/>
  <c r="E508" i="139"/>
  <c r="E507" i="139"/>
  <c r="E506" i="139"/>
  <c r="E505" i="139"/>
  <c r="Q490" i="139"/>
  <c r="O490" i="139"/>
  <c r="N490" i="139"/>
  <c r="M490" i="139"/>
  <c r="Q489" i="139"/>
  <c r="O489" i="139"/>
  <c r="N489" i="139"/>
  <c r="M489" i="139"/>
  <c r="Q488" i="139"/>
  <c r="F488" i="139" s="1"/>
  <c r="O488" i="139"/>
  <c r="N488" i="139"/>
  <c r="M488" i="139"/>
  <c r="Q487" i="139"/>
  <c r="O487" i="139"/>
  <c r="N487" i="139"/>
  <c r="M487" i="139"/>
  <c r="Q486" i="139"/>
  <c r="O486" i="139"/>
  <c r="N486" i="139"/>
  <c r="M486" i="139"/>
  <c r="Q485" i="139"/>
  <c r="O485" i="139"/>
  <c r="N485" i="139"/>
  <c r="M485" i="139"/>
  <c r="Q484" i="139"/>
  <c r="O484" i="139"/>
  <c r="N484" i="139"/>
  <c r="M484" i="139"/>
  <c r="F483" i="139"/>
  <c r="Q482" i="139"/>
  <c r="O482" i="139"/>
  <c r="N482" i="139"/>
  <c r="M482" i="139"/>
  <c r="Q481" i="139"/>
  <c r="O481" i="139"/>
  <c r="N481" i="139"/>
  <c r="M481" i="139"/>
  <c r="F480" i="139"/>
  <c r="Q479" i="139"/>
  <c r="F479" i="139" s="1"/>
  <c r="O479" i="139"/>
  <c r="N479" i="139"/>
  <c r="M479" i="139"/>
  <c r="Q478" i="139"/>
  <c r="F478" i="139" s="1"/>
  <c r="O478" i="139"/>
  <c r="N478" i="139"/>
  <c r="M478" i="139"/>
  <c r="F477" i="139"/>
  <c r="Q476" i="139"/>
  <c r="O476" i="139"/>
  <c r="N476" i="139"/>
  <c r="M476" i="139"/>
  <c r="Q475" i="139"/>
  <c r="O475" i="139"/>
  <c r="N475" i="139"/>
  <c r="M475" i="139"/>
  <c r="F474" i="139"/>
  <c r="Q473" i="139"/>
  <c r="O473" i="139"/>
  <c r="N473" i="139"/>
  <c r="M473" i="139"/>
  <c r="Q472" i="139"/>
  <c r="F472" i="139" s="1"/>
  <c r="O472" i="139"/>
  <c r="N472" i="139"/>
  <c r="M472" i="139"/>
  <c r="F471" i="139"/>
  <c r="Q470" i="139"/>
  <c r="O470" i="139"/>
  <c r="N470" i="139"/>
  <c r="M470" i="139"/>
  <c r="Q469" i="139"/>
  <c r="O469" i="139"/>
  <c r="N469" i="139"/>
  <c r="M469" i="139"/>
  <c r="Q468" i="139"/>
  <c r="O468" i="139"/>
  <c r="N468" i="139"/>
  <c r="M468" i="139"/>
  <c r="Q467" i="139"/>
  <c r="O467" i="139"/>
  <c r="N467" i="139"/>
  <c r="M467" i="139"/>
  <c r="Q466" i="139"/>
  <c r="O466" i="139"/>
  <c r="N466" i="139"/>
  <c r="M466" i="139"/>
  <c r="Q465" i="139"/>
  <c r="O465" i="139"/>
  <c r="N465" i="139"/>
  <c r="M465" i="139"/>
  <c r="Q464" i="139"/>
  <c r="O464" i="139"/>
  <c r="N464" i="139"/>
  <c r="M464" i="139"/>
  <c r="Q463" i="139"/>
  <c r="O463" i="139"/>
  <c r="N463" i="139"/>
  <c r="M463" i="139"/>
  <c r="Q462" i="139"/>
  <c r="O462" i="139"/>
  <c r="N462" i="139"/>
  <c r="M462" i="139"/>
  <c r="Q461" i="139"/>
  <c r="O461" i="139"/>
  <c r="N461" i="139"/>
  <c r="M461" i="139"/>
  <c r="Q460" i="139"/>
  <c r="O460" i="139"/>
  <c r="N460" i="139"/>
  <c r="M460" i="139"/>
  <c r="Q459" i="139"/>
  <c r="O459" i="139"/>
  <c r="N459" i="139"/>
  <c r="M459" i="139"/>
  <c r="Q458" i="139"/>
  <c r="F458" i="139" s="1"/>
  <c r="O458" i="139"/>
  <c r="N458" i="139"/>
  <c r="M458" i="139"/>
  <c r="Q457" i="139"/>
  <c r="O457" i="139"/>
  <c r="N457" i="139"/>
  <c r="M457" i="139"/>
  <c r="E451" i="139"/>
  <c r="E450" i="139"/>
  <c r="E449" i="139"/>
  <c r="Q434" i="139"/>
  <c r="O434" i="139"/>
  <c r="N434" i="139"/>
  <c r="M434" i="139"/>
  <c r="Q433" i="139"/>
  <c r="O433" i="139"/>
  <c r="N433" i="139"/>
  <c r="M433" i="139"/>
  <c r="F433" i="139"/>
  <c r="Q432" i="139"/>
  <c r="F432" i="139" s="1"/>
  <c r="O432" i="139"/>
  <c r="N432" i="139"/>
  <c r="M432" i="139"/>
  <c r="Q431" i="139"/>
  <c r="O431" i="139"/>
  <c r="N431" i="139"/>
  <c r="M431" i="139"/>
  <c r="F431" i="139"/>
  <c r="Q430" i="139"/>
  <c r="O430" i="139"/>
  <c r="N430" i="139"/>
  <c r="M430" i="139"/>
  <c r="F430" i="139"/>
  <c r="Q429" i="139"/>
  <c r="O429" i="139"/>
  <c r="N429" i="139"/>
  <c r="M429" i="139"/>
  <c r="Q428" i="139"/>
  <c r="O428" i="139"/>
  <c r="N428" i="139"/>
  <c r="M428" i="139"/>
  <c r="F428" i="139"/>
  <c r="Q427" i="139"/>
  <c r="O427" i="139"/>
  <c r="N427" i="139"/>
  <c r="M427" i="139"/>
  <c r="Q426" i="139"/>
  <c r="O426" i="139"/>
  <c r="N426" i="139"/>
  <c r="M426" i="139"/>
  <c r="Q425" i="139"/>
  <c r="O425" i="139"/>
  <c r="F425" i="139" s="1"/>
  <c r="N425" i="139"/>
  <c r="M425" i="139"/>
  <c r="F424" i="139"/>
  <c r="Q423" i="139"/>
  <c r="F423" i="139" s="1"/>
  <c r="O423" i="139"/>
  <c r="N423" i="139"/>
  <c r="M423" i="139"/>
  <c r="Q422" i="139"/>
  <c r="F422" i="139" s="1"/>
  <c r="O422" i="139"/>
  <c r="N422" i="139"/>
  <c r="M422" i="139"/>
  <c r="F421" i="139"/>
  <c r="Q420" i="139"/>
  <c r="F420" i="139" s="1"/>
  <c r="O420" i="139"/>
  <c r="N420" i="139"/>
  <c r="M420" i="139"/>
  <c r="Q419" i="139"/>
  <c r="F419" i="139" s="1"/>
  <c r="O419" i="139"/>
  <c r="N419" i="139"/>
  <c r="M419" i="139"/>
  <c r="F418" i="139"/>
  <c r="Q417" i="139"/>
  <c r="O417" i="139"/>
  <c r="N417" i="139"/>
  <c r="M417" i="139"/>
  <c r="Q416" i="139"/>
  <c r="O416" i="139"/>
  <c r="N416" i="139"/>
  <c r="M416" i="139"/>
  <c r="F415" i="139"/>
  <c r="Q414" i="139"/>
  <c r="O414" i="139"/>
  <c r="N414" i="139"/>
  <c r="M414" i="139"/>
  <c r="Q413" i="139"/>
  <c r="F413" i="139" s="1"/>
  <c r="O413" i="139"/>
  <c r="N413" i="139"/>
  <c r="M413" i="139"/>
  <c r="F412" i="139"/>
  <c r="Q411" i="139"/>
  <c r="O411" i="139"/>
  <c r="N411" i="139"/>
  <c r="M411" i="139"/>
  <c r="F411" i="139"/>
  <c r="Q410" i="139"/>
  <c r="O410" i="139"/>
  <c r="N410" i="139"/>
  <c r="M410" i="139"/>
  <c r="Q409" i="139"/>
  <c r="F409" i="139" s="1"/>
  <c r="O409" i="139"/>
  <c r="N409" i="139"/>
  <c r="M409" i="139"/>
  <c r="Q408" i="139"/>
  <c r="O408" i="139"/>
  <c r="N408" i="139"/>
  <c r="M408" i="139"/>
  <c r="Q407" i="139"/>
  <c r="O407" i="139"/>
  <c r="N407" i="139"/>
  <c r="M407" i="139"/>
  <c r="Q406" i="139"/>
  <c r="O406" i="139"/>
  <c r="N406" i="139"/>
  <c r="M406" i="139"/>
  <c r="F406" i="139"/>
  <c r="Q405" i="139"/>
  <c r="O405" i="139"/>
  <c r="N405" i="139"/>
  <c r="M405" i="139"/>
  <c r="Q404" i="139"/>
  <c r="O404" i="139"/>
  <c r="F404" i="139" s="1"/>
  <c r="N404" i="139"/>
  <c r="M404" i="139"/>
  <c r="Q403" i="139"/>
  <c r="O403" i="139"/>
  <c r="N403" i="139"/>
  <c r="M403" i="139"/>
  <c r="Q402" i="139"/>
  <c r="O402" i="139"/>
  <c r="N402" i="139"/>
  <c r="M402" i="139"/>
  <c r="Q401" i="139"/>
  <c r="O401" i="139"/>
  <c r="N401" i="139"/>
  <c r="M401" i="139"/>
  <c r="Q400" i="139"/>
  <c r="O400" i="139"/>
  <c r="N400" i="139"/>
  <c r="M400" i="139"/>
  <c r="Q399" i="139"/>
  <c r="O399" i="139"/>
  <c r="N399" i="139"/>
  <c r="M399" i="139"/>
  <c r="Q398" i="139"/>
  <c r="O398" i="139"/>
  <c r="N398" i="139"/>
  <c r="M398" i="139"/>
  <c r="Q397" i="139"/>
  <c r="O397" i="139"/>
  <c r="N397" i="139"/>
  <c r="M397" i="139"/>
  <c r="Q396" i="139"/>
  <c r="O396" i="139"/>
  <c r="N396" i="139"/>
  <c r="M396" i="139"/>
  <c r="E391" i="139"/>
  <c r="E390" i="139"/>
  <c r="E389" i="139"/>
  <c r="E388" i="139"/>
  <c r="Q373" i="139"/>
  <c r="O373" i="139"/>
  <c r="N373" i="139"/>
  <c r="M373" i="139"/>
  <c r="Q372" i="139"/>
  <c r="O372" i="139"/>
  <c r="N372" i="139"/>
  <c r="M372" i="139"/>
  <c r="Q371" i="139"/>
  <c r="O371" i="139"/>
  <c r="N371" i="139"/>
  <c r="M371" i="139"/>
  <c r="Q370" i="139"/>
  <c r="F370" i="139" s="1"/>
  <c r="O370" i="139"/>
  <c r="N370" i="139"/>
  <c r="M370" i="139"/>
  <c r="Q369" i="139"/>
  <c r="O369" i="139"/>
  <c r="N369" i="139"/>
  <c r="M369" i="139"/>
  <c r="Q368" i="139"/>
  <c r="O368" i="139"/>
  <c r="N368" i="139"/>
  <c r="M368" i="139"/>
  <c r="Q367" i="139"/>
  <c r="F367" i="139" s="1"/>
  <c r="O367" i="139"/>
  <c r="N367" i="139"/>
  <c r="M367" i="139"/>
  <c r="Q366" i="139"/>
  <c r="F366" i="139" s="1"/>
  <c r="O366" i="139"/>
  <c r="N366" i="139"/>
  <c r="M366" i="139"/>
  <c r="Q365" i="139"/>
  <c r="O365" i="139"/>
  <c r="N365" i="139"/>
  <c r="M365" i="139"/>
  <c r="Q364" i="139"/>
  <c r="O364" i="139"/>
  <c r="N364" i="139"/>
  <c r="M364" i="139"/>
  <c r="Q363" i="139"/>
  <c r="O363" i="139"/>
  <c r="N363" i="139"/>
  <c r="M363" i="139"/>
  <c r="Q362" i="139"/>
  <c r="O362" i="139"/>
  <c r="F362" i="139" s="1"/>
  <c r="N362" i="139"/>
  <c r="M362" i="139"/>
  <c r="Q361" i="139"/>
  <c r="F361" i="139" s="1"/>
  <c r="O361" i="139"/>
  <c r="N361" i="139"/>
  <c r="M361" i="139"/>
  <c r="Q360" i="139"/>
  <c r="O360" i="139"/>
  <c r="N360" i="139"/>
  <c r="M360" i="139"/>
  <c r="Q359" i="139"/>
  <c r="O359" i="139"/>
  <c r="F359" i="139" s="1"/>
  <c r="N359" i="139"/>
  <c r="M359" i="139"/>
  <c r="Q358" i="139"/>
  <c r="O358" i="139"/>
  <c r="N358" i="139"/>
  <c r="M358" i="139"/>
  <c r="Q357" i="139"/>
  <c r="O357" i="139"/>
  <c r="N357" i="139"/>
  <c r="M357" i="139"/>
  <c r="Q356" i="139"/>
  <c r="O356" i="139"/>
  <c r="F356" i="139" s="1"/>
  <c r="N356" i="139"/>
  <c r="M356" i="139"/>
  <c r="Q355" i="139"/>
  <c r="O355" i="139"/>
  <c r="F355" i="139" s="1"/>
  <c r="N355" i="139"/>
  <c r="M355" i="139"/>
  <c r="Q354" i="139"/>
  <c r="O354" i="139"/>
  <c r="N354" i="139"/>
  <c r="M354" i="139"/>
  <c r="E348" i="139"/>
  <c r="E347" i="139"/>
  <c r="E346" i="139"/>
  <c r="E349" i="139" s="1"/>
  <c r="Q331" i="139"/>
  <c r="O331" i="139"/>
  <c r="N331" i="139"/>
  <c r="M331" i="139"/>
  <c r="Q330" i="139"/>
  <c r="O330" i="139"/>
  <c r="N330" i="139"/>
  <c r="M330" i="139"/>
  <c r="Q329" i="139"/>
  <c r="O329" i="139"/>
  <c r="N329" i="139"/>
  <c r="M329" i="139"/>
  <c r="Q328" i="139"/>
  <c r="O328" i="139"/>
  <c r="N328" i="139"/>
  <c r="M328" i="139"/>
  <c r="Q327" i="139"/>
  <c r="O327" i="139"/>
  <c r="N327" i="139"/>
  <c r="M327" i="139"/>
  <c r="F327" i="139"/>
  <c r="Q326" i="139"/>
  <c r="O326" i="139"/>
  <c r="N326" i="139"/>
  <c r="M326" i="139"/>
  <c r="Q325" i="139"/>
  <c r="O325" i="139"/>
  <c r="N325" i="139"/>
  <c r="M325" i="139"/>
  <c r="E320" i="139"/>
  <c r="E319" i="139"/>
  <c r="E318" i="139"/>
  <c r="E317" i="139"/>
  <c r="Q302" i="139"/>
  <c r="O302" i="139"/>
  <c r="N302" i="139"/>
  <c r="M302" i="139"/>
  <c r="F302" i="139"/>
  <c r="Q301" i="139"/>
  <c r="O301" i="139"/>
  <c r="F301" i="139" s="1"/>
  <c r="N301" i="139"/>
  <c r="M301" i="139"/>
  <c r="Q300" i="139"/>
  <c r="O300" i="139"/>
  <c r="N300" i="139"/>
  <c r="M300" i="139"/>
  <c r="Q299" i="139"/>
  <c r="O299" i="139"/>
  <c r="N299" i="139"/>
  <c r="M299" i="139"/>
  <c r="F299" i="139"/>
  <c r="Q298" i="139"/>
  <c r="O298" i="139"/>
  <c r="N298" i="139"/>
  <c r="M298" i="139"/>
  <c r="Q297" i="139"/>
  <c r="O297" i="139"/>
  <c r="N297" i="139"/>
  <c r="M297" i="139"/>
  <c r="Q296" i="139"/>
  <c r="F296" i="139" s="1"/>
  <c r="O296" i="139"/>
  <c r="N296" i="139"/>
  <c r="M296" i="139"/>
  <c r="Q295" i="139"/>
  <c r="O295" i="139"/>
  <c r="N295" i="139"/>
  <c r="M295" i="139"/>
  <c r="Q294" i="139"/>
  <c r="F294" i="139" s="1"/>
  <c r="O294" i="139"/>
  <c r="N294" i="139"/>
  <c r="M294" i="139"/>
  <c r="Q293" i="139"/>
  <c r="O293" i="139"/>
  <c r="N293" i="139"/>
  <c r="M293" i="139"/>
  <c r="Q292" i="139"/>
  <c r="F292" i="139" s="1"/>
  <c r="O292" i="139"/>
  <c r="N292" i="139"/>
  <c r="M292" i="139"/>
  <c r="Q291" i="139"/>
  <c r="O291" i="139"/>
  <c r="N291" i="139"/>
  <c r="M291" i="139"/>
  <c r="F291" i="139"/>
  <c r="Q290" i="139"/>
  <c r="O290" i="139"/>
  <c r="N290" i="139"/>
  <c r="M290" i="139"/>
  <c r="Q289" i="139"/>
  <c r="O289" i="139"/>
  <c r="N289" i="139"/>
  <c r="M289" i="139"/>
  <c r="Q288" i="139"/>
  <c r="O288" i="139"/>
  <c r="N288" i="139"/>
  <c r="M288" i="139"/>
  <c r="F288" i="139"/>
  <c r="Q287" i="139"/>
  <c r="O287" i="139"/>
  <c r="N287" i="139"/>
  <c r="M287" i="139"/>
  <c r="Q286" i="139"/>
  <c r="O286" i="139"/>
  <c r="N286" i="139"/>
  <c r="M286" i="139"/>
  <c r="F286" i="139"/>
  <c r="Q285" i="139"/>
  <c r="F285" i="139" s="1"/>
  <c r="O285" i="139"/>
  <c r="N285" i="139"/>
  <c r="M285" i="139"/>
  <c r="Q284" i="139"/>
  <c r="F284" i="139" s="1"/>
  <c r="O284" i="139"/>
  <c r="N284" i="139"/>
  <c r="M284" i="139"/>
  <c r="Q283" i="139"/>
  <c r="O283" i="139"/>
  <c r="N283" i="139"/>
  <c r="M283" i="139"/>
  <c r="F283" i="139"/>
  <c r="Q282" i="139"/>
  <c r="F282" i="139" s="1"/>
  <c r="O282" i="139"/>
  <c r="N282" i="139"/>
  <c r="M282" i="139"/>
  <c r="Q281" i="139"/>
  <c r="O281" i="139"/>
  <c r="N281" i="139"/>
  <c r="M281" i="139"/>
  <c r="Q280" i="139"/>
  <c r="F280" i="139" s="1"/>
  <c r="O280" i="139"/>
  <c r="N280" i="139"/>
  <c r="M280" i="139"/>
  <c r="Q279" i="139"/>
  <c r="F279" i="139" s="1"/>
  <c r="O279" i="139"/>
  <c r="N279" i="139"/>
  <c r="M279" i="139"/>
  <c r="Q278" i="139"/>
  <c r="F278" i="139" s="1"/>
  <c r="O278" i="139"/>
  <c r="N278" i="139"/>
  <c r="M278" i="139"/>
  <c r="Q277" i="139"/>
  <c r="O277" i="139"/>
  <c r="N277" i="139"/>
  <c r="M277" i="139"/>
  <c r="F277" i="139"/>
  <c r="E271" i="139"/>
  <c r="E270" i="139"/>
  <c r="E269" i="139"/>
  <c r="Q254" i="139"/>
  <c r="O254" i="139"/>
  <c r="N254" i="139"/>
  <c r="M254" i="139"/>
  <c r="F254" i="139"/>
  <c r="Q253" i="139"/>
  <c r="O253" i="139"/>
  <c r="N253" i="139"/>
  <c r="M253" i="139"/>
  <c r="Q252" i="139"/>
  <c r="F252" i="139" s="1"/>
  <c r="O252" i="139"/>
  <c r="N252" i="139"/>
  <c r="M252" i="139"/>
  <c r="Q251" i="139"/>
  <c r="O251" i="139"/>
  <c r="F251" i="139" s="1"/>
  <c r="N251" i="139"/>
  <c r="M251" i="139"/>
  <c r="Q250" i="139"/>
  <c r="O250" i="139"/>
  <c r="N250" i="139"/>
  <c r="M250" i="139"/>
  <c r="Q249" i="139"/>
  <c r="O249" i="139"/>
  <c r="N249" i="139"/>
  <c r="M249" i="139"/>
  <c r="F249" i="139"/>
  <c r="Q248" i="139"/>
  <c r="O248" i="139"/>
  <c r="F248" i="139" s="1"/>
  <c r="N248" i="139"/>
  <c r="M248" i="139"/>
  <c r="Q247" i="139"/>
  <c r="O247" i="139"/>
  <c r="F247" i="139" s="1"/>
  <c r="N247" i="139"/>
  <c r="M247" i="139"/>
  <c r="Q246" i="139"/>
  <c r="O246" i="139"/>
  <c r="F246" i="139" s="1"/>
  <c r="N246" i="139"/>
  <c r="M246" i="139"/>
  <c r="Q245" i="139"/>
  <c r="O245" i="139"/>
  <c r="F245" i="139" s="1"/>
  <c r="N245" i="139"/>
  <c r="M245" i="139"/>
  <c r="Q244" i="139"/>
  <c r="O244" i="139"/>
  <c r="F244" i="139" s="1"/>
  <c r="N244" i="139"/>
  <c r="M244" i="139"/>
  <c r="Q243" i="139"/>
  <c r="O243" i="139"/>
  <c r="F243" i="139" s="1"/>
  <c r="N243" i="139"/>
  <c r="M243" i="139"/>
  <c r="Q242" i="139"/>
  <c r="O242" i="139"/>
  <c r="N242" i="139"/>
  <c r="M242" i="139"/>
  <c r="E236" i="139"/>
  <c r="E235" i="139"/>
  <c r="E234" i="139"/>
  <c r="E237" i="139" s="1"/>
  <c r="Q219" i="139"/>
  <c r="O219" i="139"/>
  <c r="N219" i="139"/>
  <c r="M219" i="139"/>
  <c r="Q218" i="139"/>
  <c r="O218" i="139"/>
  <c r="N218" i="139"/>
  <c r="M218" i="139"/>
  <c r="Q217" i="139"/>
  <c r="O217" i="139"/>
  <c r="N217" i="139"/>
  <c r="M217" i="139"/>
  <c r="Q216" i="139"/>
  <c r="O216" i="139"/>
  <c r="N216" i="139"/>
  <c r="M216" i="139"/>
  <c r="Q215" i="139"/>
  <c r="O215" i="139"/>
  <c r="N215" i="139"/>
  <c r="M215" i="139"/>
  <c r="Q214" i="139"/>
  <c r="O214" i="139"/>
  <c r="N214" i="139"/>
  <c r="M214" i="139"/>
  <c r="Q213" i="139"/>
  <c r="O213" i="139"/>
  <c r="N213" i="139"/>
  <c r="M213" i="139"/>
  <c r="Q212" i="139"/>
  <c r="O212" i="139"/>
  <c r="N212" i="139"/>
  <c r="M212" i="139"/>
  <c r="Q211" i="139"/>
  <c r="O211" i="139"/>
  <c r="N211" i="139"/>
  <c r="M211" i="139"/>
  <c r="Q210" i="139"/>
  <c r="O210" i="139"/>
  <c r="N210" i="139"/>
  <c r="M210" i="139"/>
  <c r="Q209" i="139"/>
  <c r="O209" i="139"/>
  <c r="N209" i="139"/>
  <c r="M209" i="139"/>
  <c r="Q208" i="139"/>
  <c r="O208" i="139"/>
  <c r="N208" i="139"/>
  <c r="M208" i="139"/>
  <c r="Q207" i="139"/>
  <c r="O207" i="139"/>
  <c r="N207" i="139"/>
  <c r="M207" i="139"/>
  <c r="Q206" i="139"/>
  <c r="O206" i="139"/>
  <c r="N206" i="139"/>
  <c r="M206" i="139"/>
  <c r="Q205" i="139"/>
  <c r="O205" i="139"/>
  <c r="N205" i="139"/>
  <c r="M205" i="139"/>
  <c r="Q204" i="139"/>
  <c r="O204" i="139"/>
  <c r="N204" i="139"/>
  <c r="M204" i="139"/>
  <c r="Q203" i="139"/>
  <c r="O203" i="139"/>
  <c r="N203" i="139"/>
  <c r="M203" i="139"/>
  <c r="Q202" i="139"/>
  <c r="O202" i="139"/>
  <c r="N202" i="139"/>
  <c r="M202" i="139"/>
  <c r="Q201" i="139"/>
  <c r="O201" i="139"/>
  <c r="N201" i="139"/>
  <c r="M201" i="139"/>
  <c r="Q200" i="139"/>
  <c r="O200" i="139"/>
  <c r="N200" i="139"/>
  <c r="M200" i="139"/>
  <c r="Q199" i="139"/>
  <c r="O199" i="139"/>
  <c r="N199" i="139"/>
  <c r="M199" i="139"/>
  <c r="Q198" i="139"/>
  <c r="O198" i="139"/>
  <c r="N198" i="139"/>
  <c r="M198" i="139"/>
  <c r="Q197" i="139"/>
  <c r="O197" i="139"/>
  <c r="N197" i="139"/>
  <c r="M197" i="139"/>
  <c r="Q196" i="139"/>
  <c r="O196" i="139"/>
  <c r="N196" i="139"/>
  <c r="M196" i="139"/>
  <c r="Q195" i="139"/>
  <c r="O195" i="139"/>
  <c r="N195" i="139"/>
  <c r="M195" i="139"/>
  <c r="Q194" i="139"/>
  <c r="O194" i="139"/>
  <c r="N194" i="139"/>
  <c r="M194" i="139"/>
  <c r="Q193" i="139"/>
  <c r="O193" i="139"/>
  <c r="N193" i="139"/>
  <c r="M193" i="139"/>
  <c r="Q192" i="139"/>
  <c r="O192" i="139"/>
  <c r="N192" i="139"/>
  <c r="M192" i="139"/>
  <c r="Q191" i="139"/>
  <c r="O191" i="139"/>
  <c r="N191" i="139"/>
  <c r="M191" i="139"/>
  <c r="Q190" i="139"/>
  <c r="O190" i="139"/>
  <c r="N190" i="139"/>
  <c r="M190" i="139"/>
  <c r="Q189" i="139"/>
  <c r="O189" i="139"/>
  <c r="N189" i="139"/>
  <c r="M189" i="139"/>
  <c r="Q188" i="139"/>
  <c r="O188" i="139"/>
  <c r="N188" i="139"/>
  <c r="M188" i="139"/>
  <c r="E182" i="139"/>
  <c r="E181" i="139"/>
  <c r="E180" i="139"/>
  <c r="Q165" i="139"/>
  <c r="O165" i="139"/>
  <c r="N165" i="139"/>
  <c r="M165" i="139"/>
  <c r="F165" i="139"/>
  <c r="Q164" i="139"/>
  <c r="O164" i="139"/>
  <c r="N164" i="139"/>
  <c r="M164" i="139"/>
  <c r="Q163" i="139"/>
  <c r="O163" i="139"/>
  <c r="N163" i="139"/>
  <c r="M163" i="139"/>
  <c r="F163" i="139"/>
  <c r="Q162" i="139"/>
  <c r="O162" i="139"/>
  <c r="N162" i="139"/>
  <c r="M162" i="139"/>
  <c r="Q161" i="139"/>
  <c r="F161" i="139" s="1"/>
  <c r="O161" i="139"/>
  <c r="N161" i="139"/>
  <c r="M161" i="139"/>
  <c r="Q160" i="139"/>
  <c r="F160" i="139" s="1"/>
  <c r="O160" i="139"/>
  <c r="N160" i="139"/>
  <c r="M160" i="139"/>
  <c r="Q159" i="139"/>
  <c r="O159" i="139"/>
  <c r="N159" i="139"/>
  <c r="M159" i="139"/>
  <c r="Q158" i="139"/>
  <c r="O158" i="139"/>
  <c r="N158" i="139"/>
  <c r="M158" i="139"/>
  <c r="Q157" i="139"/>
  <c r="O157" i="139"/>
  <c r="N157" i="139"/>
  <c r="M157" i="139"/>
  <c r="Q156" i="139"/>
  <c r="O156" i="139"/>
  <c r="N156" i="139"/>
  <c r="M156" i="139"/>
  <c r="Q155" i="139"/>
  <c r="F155" i="139" s="1"/>
  <c r="O155" i="139"/>
  <c r="N155" i="139"/>
  <c r="M155" i="139"/>
  <c r="Q154" i="139"/>
  <c r="O154" i="139"/>
  <c r="N154" i="139"/>
  <c r="M154" i="139"/>
  <c r="Q153" i="139"/>
  <c r="F153" i="139" s="1"/>
  <c r="O153" i="139"/>
  <c r="N153" i="139"/>
  <c r="M153" i="139"/>
  <c r="Q152" i="139"/>
  <c r="O152" i="139"/>
  <c r="F152" i="139" s="1"/>
  <c r="N152" i="139"/>
  <c r="M152" i="139"/>
  <c r="Q151" i="139"/>
  <c r="O151" i="139"/>
  <c r="N151" i="139"/>
  <c r="M151" i="139"/>
  <c r="Q150" i="139"/>
  <c r="O150" i="139"/>
  <c r="N150" i="139"/>
  <c r="M150" i="139"/>
  <c r="F150" i="139"/>
  <c r="Q149" i="139"/>
  <c r="F149" i="139" s="1"/>
  <c r="O149" i="139"/>
  <c r="N149" i="139"/>
  <c r="M149" i="139"/>
  <c r="Q148" i="139"/>
  <c r="F148" i="139" s="1"/>
  <c r="O148" i="139"/>
  <c r="N148" i="139"/>
  <c r="M148" i="139"/>
  <c r="Q147" i="139"/>
  <c r="F147" i="139" s="1"/>
  <c r="O147" i="139"/>
  <c r="N147" i="139"/>
  <c r="M147" i="139"/>
  <c r="Q146" i="139"/>
  <c r="F146" i="139" s="1"/>
  <c r="O146" i="139"/>
  <c r="N146" i="139"/>
  <c r="M146" i="139"/>
  <c r="Q145" i="139"/>
  <c r="F145" i="139" s="1"/>
  <c r="O145" i="139"/>
  <c r="N145" i="139"/>
  <c r="M145" i="139"/>
  <c r="Q144" i="139"/>
  <c r="O144" i="139"/>
  <c r="N144" i="139"/>
  <c r="M144" i="139"/>
  <c r="Q143" i="139"/>
  <c r="O143" i="139"/>
  <c r="N143" i="139"/>
  <c r="M143" i="139"/>
  <c r="Q142" i="139"/>
  <c r="O142" i="139"/>
  <c r="N142" i="139"/>
  <c r="M142" i="139"/>
  <c r="Q141" i="139"/>
  <c r="O141" i="139"/>
  <c r="N141" i="139"/>
  <c r="M141" i="139"/>
  <c r="Q140" i="139"/>
  <c r="O140" i="139"/>
  <c r="N140" i="139"/>
  <c r="M140" i="139"/>
  <c r="Q139" i="139"/>
  <c r="O139" i="139"/>
  <c r="N139" i="139"/>
  <c r="M139" i="139"/>
  <c r="Q138" i="139"/>
  <c r="F138" i="139" s="1"/>
  <c r="O138" i="139"/>
  <c r="N138" i="139"/>
  <c r="M138" i="139"/>
  <c r="Q137" i="139"/>
  <c r="O137" i="139"/>
  <c r="N137" i="139"/>
  <c r="M137" i="139"/>
  <c r="Q136" i="139"/>
  <c r="F136" i="139" s="1"/>
  <c r="O136" i="139"/>
  <c r="N136" i="139"/>
  <c r="M136" i="139"/>
  <c r="Q135" i="139"/>
  <c r="O135" i="139"/>
  <c r="N135" i="139"/>
  <c r="M135" i="139"/>
  <c r="Q134" i="139"/>
  <c r="O134" i="139"/>
  <c r="N134" i="139"/>
  <c r="M134" i="139"/>
  <c r="Q133" i="139"/>
  <c r="O133" i="139"/>
  <c r="N133" i="139"/>
  <c r="M133" i="139"/>
  <c r="Q132" i="139"/>
  <c r="O132" i="139"/>
  <c r="N132" i="139"/>
  <c r="M132" i="139"/>
  <c r="Q131" i="139"/>
  <c r="O131" i="139"/>
  <c r="N131" i="139"/>
  <c r="M131" i="139"/>
  <c r="F131" i="139"/>
  <c r="Q130" i="139"/>
  <c r="F130" i="139" s="1"/>
  <c r="O130" i="139"/>
  <c r="N130" i="139"/>
  <c r="M130" i="139"/>
  <c r="Q129" i="139"/>
  <c r="O129" i="139"/>
  <c r="N129" i="139"/>
  <c r="M129" i="139"/>
  <c r="F129" i="139"/>
  <c r="Q128" i="139"/>
  <c r="O128" i="139"/>
  <c r="F128" i="139" s="1"/>
  <c r="N128" i="139"/>
  <c r="M128" i="139"/>
  <c r="Q127" i="139"/>
  <c r="O127" i="139"/>
  <c r="N127" i="139"/>
  <c r="M127" i="139"/>
  <c r="E122" i="139"/>
  <c r="E121" i="139"/>
  <c r="E120" i="139"/>
  <c r="E119" i="139"/>
  <c r="Q104" i="139"/>
  <c r="O104" i="139"/>
  <c r="N104" i="139"/>
  <c r="M104" i="139"/>
  <c r="Q103" i="139"/>
  <c r="O103" i="139"/>
  <c r="N103" i="139"/>
  <c r="M103" i="139"/>
  <c r="Q102" i="139"/>
  <c r="O102" i="139"/>
  <c r="N102" i="139"/>
  <c r="M102" i="139"/>
  <c r="Q101" i="139"/>
  <c r="O101" i="139"/>
  <c r="N101" i="139"/>
  <c r="M101" i="139"/>
  <c r="Q100" i="139"/>
  <c r="O100" i="139"/>
  <c r="N100" i="139"/>
  <c r="M100" i="139"/>
  <c r="Q99" i="139"/>
  <c r="O99" i="139"/>
  <c r="N99" i="139"/>
  <c r="M99" i="139"/>
  <c r="Q98" i="139"/>
  <c r="O98" i="139"/>
  <c r="N98" i="139"/>
  <c r="M98" i="139"/>
  <c r="Q97" i="139"/>
  <c r="O97" i="139"/>
  <c r="N97" i="139"/>
  <c r="M97" i="139"/>
  <c r="Q96" i="139"/>
  <c r="O96" i="139"/>
  <c r="N96" i="139"/>
  <c r="M96" i="139"/>
  <c r="Q95" i="139"/>
  <c r="O95" i="139"/>
  <c r="F95" i="139" s="1"/>
  <c r="N95" i="139"/>
  <c r="M95" i="139"/>
  <c r="Q94" i="139"/>
  <c r="O94" i="139"/>
  <c r="N94" i="139"/>
  <c r="M94" i="139"/>
  <c r="Q93" i="139"/>
  <c r="O93" i="139"/>
  <c r="N93" i="139"/>
  <c r="M93" i="139"/>
  <c r="Q92" i="139"/>
  <c r="O92" i="139"/>
  <c r="N92" i="139"/>
  <c r="M92" i="139"/>
  <c r="Q91" i="139"/>
  <c r="O91" i="139"/>
  <c r="N91" i="139"/>
  <c r="M91" i="139"/>
  <c r="Q90" i="139"/>
  <c r="F90" i="139" s="1"/>
  <c r="O90" i="139"/>
  <c r="N90" i="139"/>
  <c r="M90" i="139"/>
  <c r="Q89" i="139"/>
  <c r="O89" i="139"/>
  <c r="N89" i="139"/>
  <c r="M89" i="139"/>
  <c r="Q88" i="139"/>
  <c r="O88" i="139"/>
  <c r="F88" i="139" s="1"/>
  <c r="N88" i="139"/>
  <c r="M88" i="139"/>
  <c r="Q87" i="139"/>
  <c r="O87" i="139"/>
  <c r="F87" i="139" s="1"/>
  <c r="N87" i="139"/>
  <c r="M87" i="139"/>
  <c r="Q86" i="139"/>
  <c r="O86" i="139"/>
  <c r="N86" i="139"/>
  <c r="M86" i="139"/>
  <c r="Q85" i="139"/>
  <c r="O85" i="139"/>
  <c r="N85" i="139"/>
  <c r="M85" i="139"/>
  <c r="Q84" i="139"/>
  <c r="F84" i="139" s="1"/>
  <c r="O84" i="139"/>
  <c r="N84" i="139"/>
  <c r="M84" i="139"/>
  <c r="Q83" i="139"/>
  <c r="O83" i="139"/>
  <c r="N83" i="139"/>
  <c r="M83" i="139"/>
  <c r="Q82" i="139"/>
  <c r="O82" i="139"/>
  <c r="N82" i="139"/>
  <c r="M82" i="139"/>
  <c r="Q81" i="139"/>
  <c r="O81" i="139"/>
  <c r="N81" i="139"/>
  <c r="M81" i="139"/>
  <c r="Q80" i="139"/>
  <c r="O80" i="139"/>
  <c r="F80" i="139" s="1"/>
  <c r="N80" i="139"/>
  <c r="M80" i="139"/>
  <c r="Q79" i="139"/>
  <c r="O79" i="139"/>
  <c r="N79" i="139"/>
  <c r="M79" i="139"/>
  <c r="Q78" i="139"/>
  <c r="O78" i="139"/>
  <c r="N78" i="139"/>
  <c r="M78" i="139"/>
  <c r="Q77" i="139"/>
  <c r="O77" i="139"/>
  <c r="N77" i="139"/>
  <c r="M77" i="139"/>
  <c r="Q76" i="139"/>
  <c r="O76" i="139"/>
  <c r="N76" i="139"/>
  <c r="M76" i="139"/>
  <c r="Q75" i="139"/>
  <c r="O75" i="139"/>
  <c r="F75" i="139" s="1"/>
  <c r="N75" i="139"/>
  <c r="M75" i="139"/>
  <c r="Q74" i="139"/>
  <c r="O74" i="139"/>
  <c r="N74" i="139"/>
  <c r="M74" i="139"/>
  <c r="Q73" i="139"/>
  <c r="O73" i="139"/>
  <c r="N73" i="139"/>
  <c r="M73" i="139"/>
  <c r="Q72" i="139"/>
  <c r="O72" i="139"/>
  <c r="N72" i="139"/>
  <c r="M72" i="139"/>
  <c r="Q71" i="139"/>
  <c r="O71" i="139"/>
  <c r="N71" i="139"/>
  <c r="M71" i="139"/>
  <c r="Q70" i="139"/>
  <c r="O70" i="139"/>
  <c r="N70" i="139"/>
  <c r="M70" i="139"/>
  <c r="Q69" i="139"/>
  <c r="O69" i="139"/>
  <c r="N69" i="139"/>
  <c r="M69" i="139"/>
  <c r="Q68" i="139"/>
  <c r="O68" i="139"/>
  <c r="N68" i="139"/>
  <c r="M68" i="139"/>
  <c r="Q67" i="139"/>
  <c r="O67" i="139"/>
  <c r="N67" i="139"/>
  <c r="M67" i="139"/>
  <c r="Q66" i="139"/>
  <c r="F66" i="139" s="1"/>
  <c r="O66" i="139"/>
  <c r="N66" i="139"/>
  <c r="M66" i="139"/>
  <c r="Q65" i="139"/>
  <c r="O65" i="139"/>
  <c r="N65" i="139"/>
  <c r="M65" i="139"/>
  <c r="Q64" i="139"/>
  <c r="O64" i="139"/>
  <c r="N64" i="139"/>
  <c r="M64" i="139"/>
  <c r="Q63" i="139"/>
  <c r="O63" i="139"/>
  <c r="N63" i="139"/>
  <c r="M63" i="139"/>
  <c r="Q62" i="139"/>
  <c r="O62" i="139"/>
  <c r="N62" i="139"/>
  <c r="M62" i="139"/>
  <c r="Q61" i="139"/>
  <c r="O61" i="139"/>
  <c r="N61" i="139"/>
  <c r="M61" i="139"/>
  <c r="Q60" i="139"/>
  <c r="O60" i="139"/>
  <c r="N60" i="139"/>
  <c r="M60" i="139"/>
  <c r="Q59" i="139"/>
  <c r="O59" i="139"/>
  <c r="N59" i="139"/>
  <c r="M59" i="139"/>
  <c r="Q58" i="139"/>
  <c r="O58" i="139"/>
  <c r="N58" i="139"/>
  <c r="M58" i="139"/>
  <c r="Q57" i="139"/>
  <c r="F57" i="139" s="1"/>
  <c r="O57" i="139"/>
  <c r="N57" i="139"/>
  <c r="M57" i="139"/>
  <c r="Q56" i="139"/>
  <c r="F56" i="139" s="1"/>
  <c r="O56" i="139"/>
  <c r="N56" i="139"/>
  <c r="M56" i="139"/>
  <c r="Q55" i="139"/>
  <c r="O55" i="139"/>
  <c r="F55" i="139" s="1"/>
  <c r="N55" i="139"/>
  <c r="M55" i="139"/>
  <c r="Q54" i="139"/>
  <c r="O54" i="139"/>
  <c r="N54" i="139"/>
  <c r="M54" i="139"/>
  <c r="Q53" i="139"/>
  <c r="O53" i="139"/>
  <c r="F53" i="139" s="1"/>
  <c r="N53" i="139"/>
  <c r="M53" i="139"/>
  <c r="S52" i="139"/>
  <c r="Q52" i="139"/>
  <c r="O52" i="139"/>
  <c r="N52" i="139"/>
  <c r="M52" i="139"/>
  <c r="E46" i="139"/>
  <c r="E45" i="139"/>
  <c r="E44" i="139"/>
  <c r="E47" i="139" s="1"/>
  <c r="F161" i="138"/>
  <c r="S160" i="138"/>
  <c r="N160" i="138"/>
  <c r="F160" i="138"/>
  <c r="E160" i="138"/>
  <c r="S159" i="138"/>
  <c r="N159" i="138"/>
  <c r="F159" i="138"/>
  <c r="E159" i="138"/>
  <c r="S158" i="138"/>
  <c r="N158" i="138"/>
  <c r="F158" i="138"/>
  <c r="E158" i="138"/>
  <c r="S157" i="138"/>
  <c r="N157" i="138"/>
  <c r="F157" i="138"/>
  <c r="E157" i="138"/>
  <c r="S156" i="138"/>
  <c r="N156" i="138"/>
  <c r="F156" i="138"/>
  <c r="E156" i="138"/>
  <c r="S155" i="138"/>
  <c r="N155" i="138"/>
  <c r="F155" i="138"/>
  <c r="E155" i="138"/>
  <c r="S154" i="138"/>
  <c r="N154" i="138"/>
  <c r="F154" i="138"/>
  <c r="E154" i="138"/>
  <c r="S153" i="138"/>
  <c r="N153" i="138"/>
  <c r="F153" i="138"/>
  <c r="E153" i="138"/>
  <c r="S152" i="138"/>
  <c r="N152" i="138"/>
  <c r="F152" i="138"/>
  <c r="E152" i="138"/>
  <c r="S151" i="138"/>
  <c r="N151" i="138"/>
  <c r="F151" i="138"/>
  <c r="E151" i="138"/>
  <c r="S150" i="138"/>
  <c r="N150" i="138"/>
  <c r="F150" i="138"/>
  <c r="E150" i="138"/>
  <c r="D146" i="138"/>
  <c r="D145" i="138"/>
  <c r="U141" i="138"/>
  <c r="F133" i="138"/>
  <c r="S132" i="138"/>
  <c r="N132" i="138"/>
  <c r="F132" i="138"/>
  <c r="E132" i="138"/>
  <c r="S131" i="138"/>
  <c r="N131" i="138"/>
  <c r="F131" i="138"/>
  <c r="E131" i="138"/>
  <c r="S130" i="138"/>
  <c r="N130" i="138"/>
  <c r="F130" i="138"/>
  <c r="E130" i="138"/>
  <c r="S129" i="138"/>
  <c r="N129" i="138"/>
  <c r="F129" i="138"/>
  <c r="E129" i="138"/>
  <c r="S128" i="138"/>
  <c r="N128" i="138"/>
  <c r="F128" i="138"/>
  <c r="E128" i="138"/>
  <c r="S127" i="138"/>
  <c r="N127" i="138"/>
  <c r="F127" i="138"/>
  <c r="E127" i="138"/>
  <c r="S126" i="138"/>
  <c r="N126" i="138"/>
  <c r="F126" i="138"/>
  <c r="E126" i="138"/>
  <c r="S125" i="138"/>
  <c r="N125" i="138"/>
  <c r="F125" i="138"/>
  <c r="E125" i="138"/>
  <c r="S124" i="138"/>
  <c r="N124" i="138"/>
  <c r="F124" i="138"/>
  <c r="E124" i="138"/>
  <c r="S123" i="138"/>
  <c r="N123" i="138"/>
  <c r="F123" i="138"/>
  <c r="E123" i="138"/>
  <c r="S122" i="138"/>
  <c r="N122" i="138"/>
  <c r="F122" i="138"/>
  <c r="E122" i="138"/>
  <c r="D118" i="138"/>
  <c r="D117" i="138"/>
  <c r="U113" i="138"/>
  <c r="R106" i="138"/>
  <c r="P106" i="138"/>
  <c r="N106" i="138"/>
  <c r="M106" i="138"/>
  <c r="L106" i="138"/>
  <c r="E106" i="138"/>
  <c r="R105" i="138"/>
  <c r="P105" i="138"/>
  <c r="N105" i="138"/>
  <c r="M105" i="138"/>
  <c r="L105" i="138"/>
  <c r="E105" i="138"/>
  <c r="R104" i="138"/>
  <c r="P104" i="138"/>
  <c r="N104" i="138"/>
  <c r="M104" i="138"/>
  <c r="L104" i="138"/>
  <c r="E104" i="138"/>
  <c r="R103" i="138"/>
  <c r="P103" i="138"/>
  <c r="N103" i="138"/>
  <c r="M103" i="138"/>
  <c r="L103" i="138"/>
  <c r="E103" i="138"/>
  <c r="S102" i="138"/>
  <c r="R102" i="138"/>
  <c r="P102" i="138"/>
  <c r="N102" i="138"/>
  <c r="M102" i="138"/>
  <c r="L102" i="138"/>
  <c r="F102" i="138"/>
  <c r="S103" i="138" s="1"/>
  <c r="F103" i="138" s="1"/>
  <c r="S104" i="138" s="1"/>
  <c r="F104" i="138" s="1"/>
  <c r="S105" i="138" s="1"/>
  <c r="F105" i="138" s="1"/>
  <c r="S106" i="138" s="1"/>
  <c r="F106" i="138" s="1"/>
  <c r="F107" i="138" s="1"/>
  <c r="E102" i="138"/>
  <c r="S101" i="138"/>
  <c r="R101" i="138"/>
  <c r="P101" i="138"/>
  <c r="N101" i="138"/>
  <c r="M101" i="138"/>
  <c r="L101" i="138"/>
  <c r="E101" i="138"/>
  <c r="D98" i="138"/>
  <c r="D97" i="138"/>
  <c r="U94" i="138"/>
  <c r="F86" i="138"/>
  <c r="S85" i="138"/>
  <c r="P85" i="138"/>
  <c r="N85" i="138"/>
  <c r="F85" i="138"/>
  <c r="E85" i="138"/>
  <c r="S84" i="138"/>
  <c r="P84" i="138"/>
  <c r="N84" i="138"/>
  <c r="F84" i="138"/>
  <c r="E84" i="138"/>
  <c r="S83" i="138"/>
  <c r="P83" i="138"/>
  <c r="N83" i="138"/>
  <c r="F83" i="138"/>
  <c r="E83" i="138"/>
  <c r="S82" i="138"/>
  <c r="P82" i="138"/>
  <c r="N82" i="138"/>
  <c r="F82" i="138"/>
  <c r="E82" i="138"/>
  <c r="S81" i="138"/>
  <c r="P81" i="138"/>
  <c r="N81" i="138"/>
  <c r="F81" i="138"/>
  <c r="E81" i="138"/>
  <c r="S80" i="138"/>
  <c r="P80" i="138"/>
  <c r="N80" i="138"/>
  <c r="F80" i="138"/>
  <c r="E80" i="138"/>
  <c r="S79" i="138"/>
  <c r="P79" i="138"/>
  <c r="N79" i="138"/>
  <c r="M79" i="138"/>
  <c r="L79" i="138"/>
  <c r="F79" i="138"/>
  <c r="E79" i="138"/>
  <c r="P78" i="138"/>
  <c r="N78" i="138"/>
  <c r="M78" i="138"/>
  <c r="L78" i="138"/>
  <c r="E78" i="138"/>
  <c r="D74" i="138"/>
  <c r="D73" i="138"/>
  <c r="U69" i="138"/>
  <c r="P59" i="138"/>
  <c r="N59" i="138"/>
  <c r="M59" i="138"/>
  <c r="L59" i="138"/>
  <c r="E59" i="138"/>
  <c r="P58" i="138"/>
  <c r="N58" i="138"/>
  <c r="M58" i="138"/>
  <c r="L58" i="138"/>
  <c r="E58" i="138"/>
  <c r="P57" i="138"/>
  <c r="N57" i="138"/>
  <c r="M57" i="138"/>
  <c r="L57" i="138"/>
  <c r="E57" i="138"/>
  <c r="P56" i="138"/>
  <c r="N56" i="138"/>
  <c r="M56" i="138"/>
  <c r="L56" i="138"/>
  <c r="E56" i="138"/>
  <c r="P55" i="138"/>
  <c r="N55" i="138"/>
  <c r="M55" i="138"/>
  <c r="L55" i="138"/>
  <c r="E55" i="138"/>
  <c r="P54" i="138"/>
  <c r="N54" i="138"/>
  <c r="M54" i="138"/>
  <c r="L54" i="138"/>
  <c r="E54" i="138"/>
  <c r="P53" i="138"/>
  <c r="N53" i="138"/>
  <c r="M53" i="138"/>
  <c r="L53" i="138"/>
  <c r="E53" i="138"/>
  <c r="P52" i="138"/>
  <c r="N52" i="138"/>
  <c r="M52" i="138"/>
  <c r="L52" i="138"/>
  <c r="E52" i="138"/>
  <c r="P51" i="138"/>
  <c r="N51" i="138"/>
  <c r="M51" i="138"/>
  <c r="L51" i="138"/>
  <c r="E51" i="138"/>
  <c r="P50" i="138"/>
  <c r="N50" i="138"/>
  <c r="M50" i="138"/>
  <c r="L50" i="138"/>
  <c r="E50" i="138"/>
  <c r="P49" i="138"/>
  <c r="N49" i="138"/>
  <c r="M49" i="138"/>
  <c r="L49" i="138"/>
  <c r="E49" i="138"/>
  <c r="D45" i="138"/>
  <c r="D44" i="138"/>
  <c r="U40" i="138"/>
  <c r="P33" i="138"/>
  <c r="N33" i="138"/>
  <c r="M33" i="138"/>
  <c r="L33" i="138"/>
  <c r="E33" i="138"/>
  <c r="P32" i="138"/>
  <c r="N32" i="138"/>
  <c r="M32" i="138"/>
  <c r="L32" i="138"/>
  <c r="E32" i="138"/>
  <c r="P31" i="138"/>
  <c r="N31" i="138"/>
  <c r="M31" i="138"/>
  <c r="L31" i="138"/>
  <c r="E31" i="138"/>
  <c r="R30" i="138"/>
  <c r="P30" i="138"/>
  <c r="N30" i="138"/>
  <c r="M30" i="138"/>
  <c r="L30" i="138"/>
  <c r="E30" i="138"/>
  <c r="R29" i="138"/>
  <c r="S29" i="138" s="1"/>
  <c r="F29" i="138" s="1"/>
  <c r="P29" i="138"/>
  <c r="N29" i="138"/>
  <c r="M29" i="138"/>
  <c r="L29" i="138"/>
  <c r="E29" i="138"/>
  <c r="P28" i="138"/>
  <c r="N28" i="138"/>
  <c r="M28" i="138"/>
  <c r="L28" i="138"/>
  <c r="E28" i="138"/>
  <c r="D25" i="138"/>
  <c r="D24" i="138"/>
  <c r="U21" i="138"/>
  <c r="D68" i="137"/>
  <c r="C68" i="137"/>
  <c r="D63" i="137"/>
  <c r="C63" i="137"/>
  <c r="D57" i="137"/>
  <c r="C57" i="137"/>
  <c r="D53" i="137"/>
  <c r="C53" i="137"/>
  <c r="D48" i="137"/>
  <c r="C48" i="137"/>
  <c r="D42" i="137"/>
  <c r="C42" i="137"/>
  <c r="D35" i="137"/>
  <c r="C35" i="137"/>
  <c r="D26" i="137"/>
  <c r="C26" i="137"/>
  <c r="D22" i="137"/>
  <c r="C22" i="137"/>
  <c r="O18" i="137"/>
  <c r="D18" i="137"/>
  <c r="C18" i="137"/>
  <c r="O17" i="137"/>
  <c r="N17" i="137"/>
  <c r="O16" i="137"/>
  <c r="N16" i="137"/>
  <c r="M16" i="137"/>
  <c r="O15" i="137"/>
  <c r="N15" i="137"/>
  <c r="M15" i="137"/>
  <c r="L15" i="137"/>
  <c r="O14" i="137"/>
  <c r="N14" i="137"/>
  <c r="M14" i="137"/>
  <c r="L14" i="137"/>
  <c r="K14" i="137"/>
  <c r="D14" i="137"/>
  <c r="C14" i="137"/>
  <c r="O13" i="137"/>
  <c r="N13" i="137"/>
  <c r="M13" i="137"/>
  <c r="L13" i="137"/>
  <c r="K13" i="137"/>
  <c r="J13" i="137"/>
  <c r="O12" i="137"/>
  <c r="N12" i="137"/>
  <c r="M12" i="137"/>
  <c r="L12" i="137"/>
  <c r="K12" i="137"/>
  <c r="J12" i="137"/>
  <c r="I12" i="137"/>
  <c r="D9" i="137"/>
  <c r="C9" i="137"/>
  <c r="I7" i="137"/>
  <c r="I6" i="137"/>
  <c r="I5" i="137"/>
  <c r="I4" i="137"/>
  <c r="C4" i="137"/>
  <c r="P208" i="134"/>
  <c r="N208" i="134"/>
  <c r="M208" i="134"/>
  <c r="L208" i="134"/>
  <c r="P207" i="134"/>
  <c r="M207" i="134"/>
  <c r="L207" i="134"/>
  <c r="N207" i="134" s="1"/>
  <c r="H207" i="134"/>
  <c r="P206" i="134"/>
  <c r="N206" i="134"/>
  <c r="M206" i="134"/>
  <c r="L206" i="134"/>
  <c r="H206" i="134"/>
  <c r="P205" i="134"/>
  <c r="N205" i="134"/>
  <c r="M205" i="134"/>
  <c r="L205" i="134"/>
  <c r="H205" i="134"/>
  <c r="E205" i="134" s="1"/>
  <c r="P204" i="134"/>
  <c r="N204" i="134"/>
  <c r="M204" i="134"/>
  <c r="L204" i="134"/>
  <c r="P203" i="134"/>
  <c r="N203" i="134"/>
  <c r="M203" i="134"/>
  <c r="L203" i="134"/>
  <c r="H203" i="134"/>
  <c r="P202" i="134"/>
  <c r="N202" i="134"/>
  <c r="M202" i="134"/>
  <c r="L202" i="134"/>
  <c r="P201" i="134"/>
  <c r="N201" i="134"/>
  <c r="M201" i="134"/>
  <c r="L201" i="134"/>
  <c r="H201" i="134"/>
  <c r="E201" i="134" s="1"/>
  <c r="P200" i="134"/>
  <c r="N200" i="134"/>
  <c r="M200" i="134"/>
  <c r="L200" i="134"/>
  <c r="H200" i="134"/>
  <c r="P199" i="134"/>
  <c r="N199" i="134"/>
  <c r="M199" i="134"/>
  <c r="L199" i="134"/>
  <c r="P198" i="134"/>
  <c r="N198" i="134"/>
  <c r="M198" i="134"/>
  <c r="L198" i="134"/>
  <c r="H198" i="134"/>
  <c r="E198" i="134" s="1"/>
  <c r="P197" i="134"/>
  <c r="N197" i="134"/>
  <c r="M197" i="134"/>
  <c r="L197" i="134"/>
  <c r="H197" i="134"/>
  <c r="P196" i="134"/>
  <c r="N196" i="134"/>
  <c r="M196" i="134"/>
  <c r="L196" i="134"/>
  <c r="P195" i="134"/>
  <c r="N195" i="134"/>
  <c r="M195" i="134"/>
  <c r="L195" i="134"/>
  <c r="P194" i="134"/>
  <c r="N194" i="134"/>
  <c r="M194" i="134"/>
  <c r="L194" i="134"/>
  <c r="H194" i="134"/>
  <c r="P193" i="134"/>
  <c r="N193" i="134"/>
  <c r="M193" i="134"/>
  <c r="L193" i="134"/>
  <c r="H193" i="134"/>
  <c r="P192" i="134"/>
  <c r="N192" i="134"/>
  <c r="M192" i="134"/>
  <c r="L192" i="134"/>
  <c r="P191" i="134"/>
  <c r="N191" i="134"/>
  <c r="M191" i="134"/>
  <c r="L191" i="134"/>
  <c r="H191" i="134"/>
  <c r="P190" i="134"/>
  <c r="N190" i="134"/>
  <c r="M190" i="134"/>
  <c r="L190" i="134"/>
  <c r="H190" i="134"/>
  <c r="P189" i="134"/>
  <c r="N189" i="134"/>
  <c r="M189" i="134"/>
  <c r="L189" i="134"/>
  <c r="H189" i="134"/>
  <c r="E189" i="134" s="1"/>
  <c r="P188" i="134"/>
  <c r="N188" i="134"/>
  <c r="M188" i="134"/>
  <c r="L188" i="134"/>
  <c r="P187" i="134"/>
  <c r="N187" i="134"/>
  <c r="M187" i="134"/>
  <c r="L187" i="134"/>
  <c r="H187" i="134"/>
  <c r="P186" i="134"/>
  <c r="N186" i="134"/>
  <c r="M186" i="134"/>
  <c r="L186" i="134"/>
  <c r="H186" i="134"/>
  <c r="E186" i="134" s="1"/>
  <c r="R185" i="134"/>
  <c r="P185" i="134"/>
  <c r="H185" i="134"/>
  <c r="P184" i="134"/>
  <c r="N184" i="134"/>
  <c r="M184" i="134"/>
  <c r="L184" i="134"/>
  <c r="P183" i="134"/>
  <c r="N183" i="134"/>
  <c r="M183" i="134"/>
  <c r="L183" i="134"/>
  <c r="H183" i="134"/>
  <c r="P182" i="134"/>
  <c r="N182" i="134"/>
  <c r="M182" i="134"/>
  <c r="L182" i="134"/>
  <c r="H182" i="134"/>
  <c r="P181" i="134"/>
  <c r="N181" i="134"/>
  <c r="M181" i="134"/>
  <c r="L181" i="134"/>
  <c r="H181" i="134"/>
  <c r="E181" i="134" s="1"/>
  <c r="P180" i="134"/>
  <c r="N180" i="134"/>
  <c r="M180" i="134"/>
  <c r="L180" i="134"/>
  <c r="P179" i="134"/>
  <c r="N179" i="134"/>
  <c r="M179" i="134"/>
  <c r="L179" i="134"/>
  <c r="H179" i="134"/>
  <c r="P178" i="134"/>
  <c r="N178" i="134"/>
  <c r="M178" i="134"/>
  <c r="L178" i="134"/>
  <c r="P177" i="134"/>
  <c r="N177" i="134"/>
  <c r="M177" i="134"/>
  <c r="L177" i="134"/>
  <c r="H177" i="134"/>
  <c r="E177" i="134" s="1"/>
  <c r="P176" i="134"/>
  <c r="H176" i="134"/>
  <c r="P175" i="134"/>
  <c r="N175" i="134"/>
  <c r="M175" i="134"/>
  <c r="L175" i="134"/>
  <c r="P174" i="134"/>
  <c r="N174" i="134"/>
  <c r="M174" i="134"/>
  <c r="L174" i="134"/>
  <c r="H174" i="134"/>
  <c r="P173" i="134"/>
  <c r="N173" i="134"/>
  <c r="M173" i="134"/>
  <c r="L173" i="134"/>
  <c r="H173" i="134"/>
  <c r="E173" i="134" s="1"/>
  <c r="P172" i="134"/>
  <c r="N172" i="134"/>
  <c r="M172" i="134"/>
  <c r="L172" i="134"/>
  <c r="P171" i="134"/>
  <c r="N171" i="134"/>
  <c r="M171" i="134"/>
  <c r="L171" i="134"/>
  <c r="P170" i="134"/>
  <c r="N170" i="134"/>
  <c r="M170" i="134"/>
  <c r="L170" i="134"/>
  <c r="P169" i="134"/>
  <c r="N169" i="134"/>
  <c r="M169" i="134"/>
  <c r="L169" i="134"/>
  <c r="H169" i="134"/>
  <c r="E169" i="134" s="1"/>
  <c r="P168" i="134"/>
  <c r="N168" i="134"/>
  <c r="M168" i="134"/>
  <c r="L168" i="134"/>
  <c r="H168" i="134"/>
  <c r="P167" i="134"/>
  <c r="N167" i="134"/>
  <c r="M167" i="134"/>
  <c r="L167" i="134"/>
  <c r="P166" i="134"/>
  <c r="N166" i="134"/>
  <c r="M166" i="134"/>
  <c r="L166" i="134"/>
  <c r="H166" i="134"/>
  <c r="E166" i="134" s="1"/>
  <c r="P165" i="134"/>
  <c r="N165" i="134"/>
  <c r="M165" i="134"/>
  <c r="L165" i="134"/>
  <c r="H165" i="134"/>
  <c r="P164" i="134"/>
  <c r="N164" i="134"/>
  <c r="M164" i="134"/>
  <c r="L164" i="134"/>
  <c r="P163" i="134"/>
  <c r="N163" i="134"/>
  <c r="M163" i="134"/>
  <c r="L163" i="134"/>
  <c r="H163" i="134"/>
  <c r="E163" i="134" s="1"/>
  <c r="P162" i="134"/>
  <c r="N162" i="134"/>
  <c r="M162" i="134"/>
  <c r="L162" i="134"/>
  <c r="H162" i="134"/>
  <c r="P161" i="134"/>
  <c r="N161" i="134"/>
  <c r="M161" i="134"/>
  <c r="L161" i="134"/>
  <c r="P160" i="134"/>
  <c r="N160" i="134"/>
  <c r="M160" i="134"/>
  <c r="L160" i="134"/>
  <c r="H160" i="134"/>
  <c r="E160" i="134" s="1"/>
  <c r="P159" i="134"/>
  <c r="N159" i="134"/>
  <c r="M159" i="134"/>
  <c r="L159" i="134"/>
  <c r="H159" i="134"/>
  <c r="H158" i="134"/>
  <c r="P157" i="134"/>
  <c r="N157" i="134"/>
  <c r="M157" i="134"/>
  <c r="L157" i="134"/>
  <c r="P156" i="134"/>
  <c r="N156" i="134"/>
  <c r="M156" i="134"/>
  <c r="L156" i="134"/>
  <c r="H156" i="134"/>
  <c r="E156" i="134" s="1"/>
  <c r="H155" i="134"/>
  <c r="P154" i="134"/>
  <c r="N154" i="134"/>
  <c r="M154" i="134"/>
  <c r="L154" i="134"/>
  <c r="P153" i="134"/>
  <c r="N153" i="134"/>
  <c r="M153" i="134"/>
  <c r="L153" i="134"/>
  <c r="H153" i="134"/>
  <c r="H152" i="134"/>
  <c r="P151" i="134"/>
  <c r="N151" i="134"/>
  <c r="M151" i="134"/>
  <c r="L151" i="134"/>
  <c r="P150" i="134"/>
  <c r="N150" i="134"/>
  <c r="M150" i="134"/>
  <c r="L150" i="134"/>
  <c r="H150" i="134"/>
  <c r="P149" i="134"/>
  <c r="N149" i="134"/>
  <c r="M149" i="134"/>
  <c r="L149" i="134"/>
  <c r="H149" i="134"/>
  <c r="P148" i="134"/>
  <c r="N148" i="134"/>
  <c r="M148" i="134"/>
  <c r="L148" i="134"/>
  <c r="P147" i="134"/>
  <c r="N147" i="134"/>
  <c r="M147" i="134"/>
  <c r="L147" i="134"/>
  <c r="H147" i="134"/>
  <c r="E147" i="134" s="1"/>
  <c r="P146" i="134"/>
  <c r="N146" i="134"/>
  <c r="M146" i="134"/>
  <c r="L146" i="134"/>
  <c r="H146" i="134"/>
  <c r="P145" i="134"/>
  <c r="N145" i="134"/>
  <c r="M145" i="134"/>
  <c r="L145" i="134"/>
  <c r="P144" i="134"/>
  <c r="N144" i="134"/>
  <c r="M144" i="134"/>
  <c r="L144" i="134"/>
  <c r="H144" i="134"/>
  <c r="E144" i="134" s="1"/>
  <c r="P143" i="134"/>
  <c r="N143" i="134"/>
  <c r="M143" i="134"/>
  <c r="L143" i="134"/>
  <c r="H143" i="134"/>
  <c r="P142" i="134"/>
  <c r="N142" i="134"/>
  <c r="M142" i="134"/>
  <c r="L142" i="134"/>
  <c r="H142" i="134"/>
  <c r="P141" i="134"/>
  <c r="N141" i="134"/>
  <c r="M141" i="134"/>
  <c r="L141" i="134"/>
  <c r="H141" i="134"/>
  <c r="E141" i="134" s="1"/>
  <c r="P140" i="134"/>
  <c r="N140" i="134"/>
  <c r="M140" i="134"/>
  <c r="L140" i="134"/>
  <c r="P139" i="134"/>
  <c r="N139" i="134"/>
  <c r="M139" i="134"/>
  <c r="L139" i="134"/>
  <c r="P138" i="134"/>
  <c r="N138" i="134"/>
  <c r="M138" i="134"/>
  <c r="L138" i="134"/>
  <c r="H138" i="134"/>
  <c r="E138" i="134" s="1"/>
  <c r="P137" i="134"/>
  <c r="N137" i="134"/>
  <c r="M137" i="134"/>
  <c r="L137" i="134"/>
  <c r="H137" i="134"/>
  <c r="E137" i="134" s="1"/>
  <c r="P136" i="134"/>
  <c r="N136" i="134"/>
  <c r="M136" i="134"/>
  <c r="L136" i="134"/>
  <c r="P135" i="134"/>
  <c r="N135" i="134"/>
  <c r="M135" i="134"/>
  <c r="L135" i="134"/>
  <c r="H135" i="134"/>
  <c r="E135" i="134" s="1"/>
  <c r="P134" i="134"/>
  <c r="N134" i="134"/>
  <c r="M134" i="134"/>
  <c r="L134" i="134"/>
  <c r="H134" i="134"/>
  <c r="E134" i="134" s="1"/>
  <c r="P133" i="134"/>
  <c r="N133" i="134"/>
  <c r="M133" i="134"/>
  <c r="L133" i="134"/>
  <c r="P132" i="134"/>
  <c r="N132" i="134"/>
  <c r="M132" i="134"/>
  <c r="L132" i="134"/>
  <c r="H132" i="134"/>
  <c r="E132" i="134" s="1"/>
  <c r="P131" i="134"/>
  <c r="N131" i="134"/>
  <c r="M131" i="134"/>
  <c r="L131" i="134"/>
  <c r="P130" i="134"/>
  <c r="N130" i="134"/>
  <c r="M130" i="134"/>
  <c r="L130" i="134"/>
  <c r="H130" i="134"/>
  <c r="P129" i="134"/>
  <c r="N129" i="134"/>
  <c r="M129" i="134"/>
  <c r="L129" i="134"/>
  <c r="H129" i="134"/>
  <c r="E129" i="134" s="1"/>
  <c r="P128" i="134"/>
  <c r="N128" i="134"/>
  <c r="M128" i="134"/>
  <c r="L128" i="134"/>
  <c r="P127" i="134"/>
  <c r="N127" i="134"/>
  <c r="M127" i="134"/>
  <c r="L127" i="134"/>
  <c r="H127" i="134"/>
  <c r="P126" i="134"/>
  <c r="N126" i="134"/>
  <c r="M126" i="134"/>
  <c r="L126" i="134"/>
  <c r="H126" i="134"/>
  <c r="E126" i="134" s="1"/>
  <c r="P125" i="134"/>
  <c r="N125" i="134"/>
  <c r="M125" i="134"/>
  <c r="L125" i="134"/>
  <c r="H125" i="134"/>
  <c r="E125" i="134" s="1"/>
  <c r="P124" i="134"/>
  <c r="N124" i="134"/>
  <c r="M124" i="134"/>
  <c r="L124" i="134"/>
  <c r="P123" i="134"/>
  <c r="N123" i="134"/>
  <c r="M123" i="134"/>
  <c r="L123" i="134"/>
  <c r="H123" i="134"/>
  <c r="E123" i="134" s="1"/>
  <c r="P122" i="134"/>
  <c r="N122" i="134"/>
  <c r="M122" i="134"/>
  <c r="L122" i="134"/>
  <c r="H122" i="134"/>
  <c r="E122" i="134" s="1"/>
  <c r="P121" i="134"/>
  <c r="N121" i="134"/>
  <c r="M121" i="134"/>
  <c r="L121" i="134"/>
  <c r="P120" i="134"/>
  <c r="N120" i="134"/>
  <c r="M120" i="134"/>
  <c r="L120" i="134"/>
  <c r="H120" i="134"/>
  <c r="E120" i="134" s="1"/>
  <c r="P119" i="134"/>
  <c r="N119" i="134"/>
  <c r="M119" i="134"/>
  <c r="L119" i="134"/>
  <c r="H119" i="134"/>
  <c r="E119" i="134" s="1"/>
  <c r="P118" i="134"/>
  <c r="N118" i="134"/>
  <c r="M118" i="134"/>
  <c r="L118" i="134"/>
  <c r="H118" i="134"/>
  <c r="P117" i="134"/>
  <c r="N117" i="134"/>
  <c r="M117" i="134"/>
  <c r="L117" i="134"/>
  <c r="P116" i="134"/>
  <c r="N116" i="134"/>
  <c r="M116" i="134"/>
  <c r="L116" i="134"/>
  <c r="H116" i="134"/>
  <c r="E116" i="134" s="1"/>
  <c r="P115" i="134"/>
  <c r="N115" i="134"/>
  <c r="M115" i="134"/>
  <c r="L115" i="134"/>
  <c r="H115" i="134"/>
  <c r="P114" i="134"/>
  <c r="N114" i="134"/>
  <c r="M114" i="134"/>
  <c r="L114" i="134"/>
  <c r="P113" i="134"/>
  <c r="N113" i="134"/>
  <c r="M113" i="134"/>
  <c r="L113" i="134"/>
  <c r="H113" i="134"/>
  <c r="E113" i="134" s="1"/>
  <c r="P112" i="134"/>
  <c r="M112" i="134"/>
  <c r="L112" i="134"/>
  <c r="N112" i="134" s="1"/>
  <c r="H112" i="134"/>
  <c r="P111" i="134"/>
  <c r="N111" i="134"/>
  <c r="M111" i="134"/>
  <c r="L111" i="134"/>
  <c r="H111" i="134"/>
  <c r="P110" i="134"/>
  <c r="N110" i="134"/>
  <c r="M110" i="134"/>
  <c r="L110" i="134"/>
  <c r="P105" i="134"/>
  <c r="N105" i="134"/>
  <c r="M105" i="134"/>
  <c r="L105" i="134"/>
  <c r="H105" i="134"/>
  <c r="E105" i="134" s="1"/>
  <c r="P104" i="134"/>
  <c r="N104" i="134"/>
  <c r="M104" i="134"/>
  <c r="L104" i="134"/>
  <c r="H104" i="134"/>
  <c r="P103" i="134"/>
  <c r="N103" i="134"/>
  <c r="M103" i="134"/>
  <c r="L103" i="134"/>
  <c r="P102" i="134"/>
  <c r="N102" i="134"/>
  <c r="M102" i="134"/>
  <c r="L102" i="134"/>
  <c r="H102" i="134"/>
  <c r="E102" i="134" s="1"/>
  <c r="P101" i="134"/>
  <c r="N101" i="134"/>
  <c r="M101" i="134"/>
  <c r="L101" i="134"/>
  <c r="H101" i="134"/>
  <c r="P100" i="134"/>
  <c r="N100" i="134"/>
  <c r="M100" i="134"/>
  <c r="L100" i="134"/>
  <c r="P99" i="134"/>
  <c r="N99" i="134"/>
  <c r="M99" i="134"/>
  <c r="L99" i="134"/>
  <c r="H99" i="134"/>
  <c r="E99" i="134" s="1"/>
  <c r="P98" i="134"/>
  <c r="N98" i="134"/>
  <c r="M98" i="134"/>
  <c r="L98" i="134"/>
  <c r="H98" i="134"/>
  <c r="P97" i="134"/>
  <c r="N97" i="134"/>
  <c r="M97" i="134"/>
  <c r="L97" i="134"/>
  <c r="P96" i="134"/>
  <c r="N96" i="134"/>
  <c r="M96" i="134"/>
  <c r="L96" i="134"/>
  <c r="H96" i="134"/>
  <c r="E96" i="134" s="1"/>
  <c r="P95" i="134"/>
  <c r="N95" i="134"/>
  <c r="M95" i="134"/>
  <c r="L95" i="134"/>
  <c r="H95" i="134"/>
  <c r="P94" i="134"/>
  <c r="N94" i="134"/>
  <c r="M94" i="134"/>
  <c r="L94" i="134"/>
  <c r="P93" i="134"/>
  <c r="N93" i="134"/>
  <c r="M93" i="134"/>
  <c r="L93" i="134"/>
  <c r="H93" i="134"/>
  <c r="E93" i="134" s="1"/>
  <c r="P92" i="134"/>
  <c r="N92" i="134"/>
  <c r="M92" i="134"/>
  <c r="L92" i="134"/>
  <c r="H92" i="134"/>
  <c r="P91" i="134"/>
  <c r="N91" i="134"/>
  <c r="M91" i="134"/>
  <c r="L91" i="134"/>
  <c r="P90" i="134"/>
  <c r="N90" i="134"/>
  <c r="M90" i="134"/>
  <c r="L90" i="134"/>
  <c r="H90" i="134"/>
  <c r="E90" i="134" s="1"/>
  <c r="P89" i="134"/>
  <c r="N89" i="134"/>
  <c r="M89" i="134"/>
  <c r="L89" i="134"/>
  <c r="H89" i="134"/>
  <c r="P88" i="134"/>
  <c r="N88" i="134"/>
  <c r="M88" i="134"/>
  <c r="L88" i="134"/>
  <c r="P87" i="134"/>
  <c r="N87" i="134"/>
  <c r="M87" i="134"/>
  <c r="L87" i="134"/>
  <c r="H87" i="134"/>
  <c r="E87" i="134" s="1"/>
  <c r="P86" i="134"/>
  <c r="N86" i="134"/>
  <c r="M86" i="134"/>
  <c r="L86" i="134"/>
  <c r="P85" i="134"/>
  <c r="N85" i="134"/>
  <c r="M85" i="134"/>
  <c r="L85" i="134"/>
  <c r="P84" i="134"/>
  <c r="N84" i="134"/>
  <c r="M84" i="134"/>
  <c r="L84" i="134"/>
  <c r="H84" i="134"/>
  <c r="E84" i="134" s="1"/>
  <c r="P83" i="134"/>
  <c r="N83" i="134"/>
  <c r="M83" i="134"/>
  <c r="L83" i="134"/>
  <c r="H83" i="134"/>
  <c r="P82" i="134"/>
  <c r="N82" i="134"/>
  <c r="M82" i="134"/>
  <c r="L82" i="134"/>
  <c r="H82" i="134"/>
  <c r="P81" i="134"/>
  <c r="N81" i="134"/>
  <c r="M81" i="134"/>
  <c r="L81" i="134"/>
  <c r="P80" i="134"/>
  <c r="N80" i="134"/>
  <c r="M80" i="134"/>
  <c r="L80" i="134"/>
  <c r="H80" i="134"/>
  <c r="E80" i="134" s="1"/>
  <c r="P79" i="134"/>
  <c r="N79" i="134"/>
  <c r="M79" i="134"/>
  <c r="L79" i="134"/>
  <c r="P78" i="134"/>
  <c r="N78" i="134"/>
  <c r="M78" i="134"/>
  <c r="L78" i="134"/>
  <c r="H78" i="134"/>
  <c r="E78" i="134" s="1"/>
  <c r="R73" i="134"/>
  <c r="P73" i="134"/>
  <c r="N73" i="134"/>
  <c r="M73" i="134"/>
  <c r="L73" i="134"/>
  <c r="H73" i="134"/>
  <c r="P72" i="134"/>
  <c r="N72" i="134"/>
  <c r="M72" i="134"/>
  <c r="L72" i="134"/>
  <c r="P71" i="134"/>
  <c r="N71" i="134"/>
  <c r="M71" i="134"/>
  <c r="L71" i="134"/>
  <c r="H71" i="134"/>
  <c r="P70" i="134"/>
  <c r="N70" i="134"/>
  <c r="M70" i="134"/>
  <c r="L70" i="134"/>
  <c r="H70" i="134"/>
  <c r="P69" i="134"/>
  <c r="N69" i="134"/>
  <c r="M69" i="134"/>
  <c r="L69" i="134"/>
  <c r="P68" i="134"/>
  <c r="N68" i="134"/>
  <c r="M68" i="134"/>
  <c r="L68" i="134"/>
  <c r="H68" i="134"/>
  <c r="P67" i="134"/>
  <c r="N67" i="134"/>
  <c r="M67" i="134"/>
  <c r="L67" i="134"/>
  <c r="H67" i="134"/>
  <c r="P66" i="134"/>
  <c r="N66" i="134"/>
  <c r="M66" i="134"/>
  <c r="L66" i="134"/>
  <c r="P65" i="134"/>
  <c r="N65" i="134"/>
  <c r="M65" i="134"/>
  <c r="L65" i="134"/>
  <c r="H65" i="134"/>
  <c r="P64" i="134"/>
  <c r="N64" i="134"/>
  <c r="M64" i="134"/>
  <c r="L64" i="134"/>
  <c r="H64" i="134"/>
  <c r="E64" i="134" s="1"/>
  <c r="P63" i="134"/>
  <c r="N63" i="134"/>
  <c r="M63" i="134"/>
  <c r="L63" i="134"/>
  <c r="P62" i="134"/>
  <c r="N62" i="134"/>
  <c r="M62" i="134"/>
  <c r="L62" i="134"/>
  <c r="H62" i="134"/>
  <c r="P61" i="134"/>
  <c r="N61" i="134"/>
  <c r="M61" i="134"/>
  <c r="L61" i="134"/>
  <c r="H61" i="134"/>
  <c r="P60" i="134"/>
  <c r="N60" i="134"/>
  <c r="M60" i="134"/>
  <c r="L60" i="134"/>
  <c r="P59" i="134"/>
  <c r="N59" i="134"/>
  <c r="M59" i="134"/>
  <c r="L59" i="134"/>
  <c r="H59" i="134"/>
  <c r="E59" i="134" s="1"/>
  <c r="P58" i="134"/>
  <c r="N58" i="134"/>
  <c r="M58" i="134"/>
  <c r="L58" i="134"/>
  <c r="P57" i="134"/>
  <c r="N57" i="134"/>
  <c r="M57" i="134"/>
  <c r="L57" i="134"/>
  <c r="H57" i="134"/>
  <c r="P56" i="134"/>
  <c r="N56" i="134"/>
  <c r="M56" i="134"/>
  <c r="L56" i="134"/>
  <c r="P55" i="134"/>
  <c r="N55" i="134"/>
  <c r="M55" i="134"/>
  <c r="L55" i="134"/>
  <c r="H55" i="134"/>
  <c r="P54" i="134"/>
  <c r="N54" i="134"/>
  <c r="M54" i="134"/>
  <c r="L54" i="134"/>
  <c r="H54" i="134"/>
  <c r="P53" i="134"/>
  <c r="N53" i="134"/>
  <c r="M53" i="134"/>
  <c r="L53" i="134"/>
  <c r="P52" i="134"/>
  <c r="N52" i="134"/>
  <c r="M52" i="134"/>
  <c r="L52" i="134"/>
  <c r="P51" i="134"/>
  <c r="N51" i="134"/>
  <c r="M51" i="134"/>
  <c r="L51" i="134"/>
  <c r="P50" i="134"/>
  <c r="N50" i="134"/>
  <c r="M50" i="134"/>
  <c r="L50" i="134"/>
  <c r="H50" i="134"/>
  <c r="E50" i="134" s="1"/>
  <c r="P49" i="134"/>
  <c r="H49" i="134"/>
  <c r="P48" i="134"/>
  <c r="N48" i="134"/>
  <c r="M48" i="134"/>
  <c r="L48" i="134"/>
  <c r="P47" i="134"/>
  <c r="N47" i="134"/>
  <c r="M47" i="134"/>
  <c r="L47" i="134"/>
  <c r="H47" i="134"/>
  <c r="P46" i="134"/>
  <c r="N46" i="134"/>
  <c r="M46" i="134"/>
  <c r="L46" i="134"/>
  <c r="P45" i="134"/>
  <c r="N45" i="134"/>
  <c r="M45" i="134"/>
  <c r="L45" i="134"/>
  <c r="H45" i="134"/>
  <c r="P44" i="134"/>
  <c r="N44" i="134"/>
  <c r="M44" i="134"/>
  <c r="L44" i="134"/>
  <c r="H44" i="134"/>
  <c r="P43" i="134"/>
  <c r="N43" i="134"/>
  <c r="M43" i="134"/>
  <c r="L43" i="134"/>
  <c r="P42" i="134"/>
  <c r="N42" i="134"/>
  <c r="M42" i="134"/>
  <c r="L42" i="134"/>
  <c r="H42" i="134"/>
  <c r="P41" i="134"/>
  <c r="H41" i="134"/>
  <c r="P40" i="134"/>
  <c r="N40" i="134"/>
  <c r="M40" i="134"/>
  <c r="L40" i="134"/>
  <c r="P39" i="134"/>
  <c r="N39" i="134"/>
  <c r="M39" i="134"/>
  <c r="L39" i="134"/>
  <c r="H39" i="134"/>
  <c r="P38" i="134"/>
  <c r="N38" i="134"/>
  <c r="M38" i="134"/>
  <c r="L38" i="134"/>
  <c r="H38" i="134"/>
  <c r="P37" i="134"/>
  <c r="N37" i="134"/>
  <c r="M37" i="134"/>
  <c r="L37" i="134"/>
  <c r="P36" i="134"/>
  <c r="N36" i="134"/>
  <c r="M36" i="134"/>
  <c r="L36" i="134"/>
  <c r="H36" i="134"/>
  <c r="P35" i="134"/>
  <c r="N35" i="134"/>
  <c r="M35" i="134"/>
  <c r="L35" i="134"/>
  <c r="H35" i="134"/>
  <c r="P34" i="134"/>
  <c r="N34" i="134"/>
  <c r="M34" i="134"/>
  <c r="L34" i="134"/>
  <c r="H34" i="134"/>
  <c r="P33" i="134"/>
  <c r="N33" i="134"/>
  <c r="M33" i="134"/>
  <c r="L33" i="134"/>
  <c r="H33" i="134"/>
  <c r="P32" i="134"/>
  <c r="N32" i="134"/>
  <c r="M32" i="134"/>
  <c r="L32" i="134"/>
  <c r="P31" i="134"/>
  <c r="N31" i="134"/>
  <c r="H31" i="134"/>
  <c r="P30" i="134"/>
  <c r="N30" i="134"/>
  <c r="M30" i="134"/>
  <c r="L30" i="134"/>
  <c r="H30" i="134"/>
  <c r="E30" i="134" s="1"/>
  <c r="P29" i="134"/>
  <c r="N29" i="134"/>
  <c r="M29" i="134"/>
  <c r="L29" i="134"/>
  <c r="P28" i="134"/>
  <c r="N28" i="134"/>
  <c r="M28" i="134"/>
  <c r="L28" i="134"/>
  <c r="H28" i="134"/>
  <c r="P27" i="134"/>
  <c r="N27" i="134"/>
  <c r="M27" i="134"/>
  <c r="L27" i="134"/>
  <c r="H27" i="134"/>
  <c r="P26" i="134"/>
  <c r="N26" i="134"/>
  <c r="M26" i="134"/>
  <c r="L26" i="134"/>
  <c r="P25" i="134"/>
  <c r="N25" i="134"/>
  <c r="M25" i="134"/>
  <c r="L25" i="134"/>
  <c r="H25" i="134"/>
  <c r="P24" i="134"/>
  <c r="N24" i="134"/>
  <c r="M24" i="134"/>
  <c r="L24" i="134"/>
  <c r="H24" i="134"/>
  <c r="P23" i="134"/>
  <c r="N23" i="134"/>
  <c r="M23" i="134"/>
  <c r="L23" i="134"/>
  <c r="P22" i="134"/>
  <c r="N22" i="134"/>
  <c r="H22" i="134"/>
  <c r="E22" i="134" s="1"/>
  <c r="P21" i="134"/>
  <c r="N21" i="134"/>
  <c r="M21" i="134"/>
  <c r="L21" i="134"/>
  <c r="H21" i="134"/>
  <c r="E21" i="134" s="1"/>
  <c r="P20" i="134"/>
  <c r="N20" i="134"/>
  <c r="M20" i="134"/>
  <c r="L20" i="134"/>
  <c r="P19" i="134"/>
  <c r="N19" i="134"/>
  <c r="M19" i="134"/>
  <c r="L19" i="134"/>
  <c r="H19" i="134"/>
  <c r="P18" i="134"/>
  <c r="N18" i="134"/>
  <c r="M18" i="134"/>
  <c r="L18" i="134"/>
  <c r="H18" i="134"/>
  <c r="R17" i="134"/>
  <c r="P17" i="134"/>
  <c r="N17" i="134"/>
  <c r="M17" i="134"/>
  <c r="L17" i="134"/>
  <c r="P16" i="134"/>
  <c r="N16" i="134"/>
  <c r="M16" i="134"/>
  <c r="L16" i="134"/>
  <c r="H16" i="134"/>
  <c r="P15" i="134"/>
  <c r="N15" i="134"/>
  <c r="M15" i="134"/>
  <c r="L15" i="134"/>
  <c r="H15" i="134"/>
  <c r="R14" i="134"/>
  <c r="P14" i="134"/>
  <c r="N14" i="134"/>
  <c r="M14" i="134"/>
  <c r="L14" i="134"/>
  <c r="P13" i="134"/>
  <c r="N13" i="134"/>
  <c r="M13" i="134"/>
  <c r="L13" i="134"/>
  <c r="H13" i="134"/>
  <c r="P12" i="134"/>
  <c r="N12" i="134"/>
  <c r="M12" i="134"/>
  <c r="L12" i="134"/>
  <c r="H12" i="134"/>
  <c r="P11" i="134"/>
  <c r="M11" i="134"/>
  <c r="L11" i="134"/>
  <c r="N11" i="134" s="1"/>
  <c r="H11" i="134"/>
  <c r="P10" i="134"/>
  <c r="N10" i="134"/>
  <c r="M10" i="134"/>
  <c r="L10" i="134"/>
  <c r="P9" i="134"/>
  <c r="M9" i="134"/>
  <c r="L9" i="134"/>
  <c r="H9" i="134"/>
  <c r="P8" i="134"/>
  <c r="N8" i="134"/>
  <c r="M8" i="134"/>
  <c r="L8" i="134"/>
  <c r="H8" i="134"/>
  <c r="P7" i="134"/>
  <c r="N7" i="134"/>
  <c r="M7" i="134"/>
  <c r="L7" i="134"/>
  <c r="B66" i="133"/>
  <c r="B54" i="133"/>
  <c r="B42" i="133"/>
  <c r="B30" i="133"/>
  <c r="B18" i="133"/>
  <c r="P523" i="132"/>
  <c r="N523" i="132"/>
  <c r="M523" i="132"/>
  <c r="L523" i="132"/>
  <c r="E523" i="132"/>
  <c r="C523" i="132"/>
  <c r="P522" i="132"/>
  <c r="N522" i="132"/>
  <c r="M522" i="132"/>
  <c r="L522" i="132"/>
  <c r="E522" i="132"/>
  <c r="P521" i="132"/>
  <c r="N521" i="132"/>
  <c r="M521" i="132"/>
  <c r="L521" i="132"/>
  <c r="E521" i="132"/>
  <c r="P520" i="132"/>
  <c r="N520" i="132"/>
  <c r="M520" i="132"/>
  <c r="L520" i="132"/>
  <c r="E520" i="132"/>
  <c r="P519" i="132"/>
  <c r="N519" i="132"/>
  <c r="M519" i="132"/>
  <c r="L519" i="132"/>
  <c r="E519" i="132"/>
  <c r="P518" i="132"/>
  <c r="N518" i="132"/>
  <c r="M518" i="132"/>
  <c r="L518" i="132"/>
  <c r="E518" i="132"/>
  <c r="P517" i="132"/>
  <c r="N517" i="132"/>
  <c r="M517" i="132"/>
  <c r="L517" i="132"/>
  <c r="E517" i="132"/>
  <c r="P516" i="132"/>
  <c r="N516" i="132"/>
  <c r="M516" i="132"/>
  <c r="L516" i="132"/>
  <c r="E516" i="132"/>
  <c r="P515" i="132"/>
  <c r="N515" i="132"/>
  <c r="M515" i="132"/>
  <c r="L515" i="132"/>
  <c r="E515" i="132"/>
  <c r="P514" i="132"/>
  <c r="N514" i="132"/>
  <c r="M514" i="132"/>
  <c r="L514" i="132"/>
  <c r="E514" i="132"/>
  <c r="P513" i="132"/>
  <c r="N513" i="132"/>
  <c r="M513" i="132"/>
  <c r="L513" i="132"/>
  <c r="E513" i="132"/>
  <c r="P512" i="132"/>
  <c r="N512" i="132"/>
  <c r="M512" i="132"/>
  <c r="L512" i="132"/>
  <c r="E512" i="132"/>
  <c r="P511" i="132"/>
  <c r="N511" i="132"/>
  <c r="M511" i="132"/>
  <c r="L511" i="132"/>
  <c r="E511" i="132"/>
  <c r="P510" i="132"/>
  <c r="N510" i="132"/>
  <c r="M510" i="132"/>
  <c r="L510" i="132"/>
  <c r="E510" i="132"/>
  <c r="C510" i="132"/>
  <c r="P509" i="132"/>
  <c r="N509" i="132"/>
  <c r="M509" i="132"/>
  <c r="L509" i="132"/>
  <c r="E509" i="132"/>
  <c r="P508" i="132"/>
  <c r="N508" i="132"/>
  <c r="M508" i="132"/>
  <c r="L508" i="132"/>
  <c r="E508" i="132"/>
  <c r="P507" i="132"/>
  <c r="N507" i="132"/>
  <c r="M507" i="132"/>
  <c r="L507" i="132"/>
  <c r="E507" i="132"/>
  <c r="P506" i="132"/>
  <c r="N506" i="132"/>
  <c r="M506" i="132"/>
  <c r="L506" i="132"/>
  <c r="E506" i="132"/>
  <c r="P505" i="132"/>
  <c r="N505" i="132"/>
  <c r="M505" i="132"/>
  <c r="L505" i="132"/>
  <c r="E505" i="132"/>
  <c r="P504" i="132"/>
  <c r="N504" i="132"/>
  <c r="M504" i="132"/>
  <c r="L504" i="132"/>
  <c r="E504" i="132"/>
  <c r="P503" i="132"/>
  <c r="N503" i="132"/>
  <c r="M503" i="132"/>
  <c r="L503" i="132"/>
  <c r="E503" i="132"/>
  <c r="P502" i="132"/>
  <c r="N502" i="132"/>
  <c r="M502" i="132"/>
  <c r="L502" i="132"/>
  <c r="E502" i="132"/>
  <c r="P501" i="132"/>
  <c r="N501" i="132"/>
  <c r="M501" i="132"/>
  <c r="L501" i="132"/>
  <c r="E501" i="132"/>
  <c r="C501" i="132"/>
  <c r="P500" i="132"/>
  <c r="N500" i="132"/>
  <c r="M500" i="132"/>
  <c r="L500" i="132"/>
  <c r="E500" i="132"/>
  <c r="P499" i="132"/>
  <c r="N499" i="132"/>
  <c r="M499" i="132"/>
  <c r="L499" i="132"/>
  <c r="E499" i="132"/>
  <c r="P498" i="132"/>
  <c r="N498" i="132"/>
  <c r="M498" i="132"/>
  <c r="L498" i="132"/>
  <c r="E498" i="132"/>
  <c r="P497" i="132"/>
  <c r="N497" i="132"/>
  <c r="M497" i="132"/>
  <c r="L497" i="132"/>
  <c r="E497" i="132"/>
  <c r="P496" i="132"/>
  <c r="N496" i="132"/>
  <c r="M496" i="132"/>
  <c r="L496" i="132"/>
  <c r="E496" i="132"/>
  <c r="P495" i="132"/>
  <c r="N495" i="132"/>
  <c r="M495" i="132"/>
  <c r="L495" i="132"/>
  <c r="E495" i="132"/>
  <c r="P494" i="132"/>
  <c r="N494" i="132"/>
  <c r="M494" i="132"/>
  <c r="L494" i="132"/>
  <c r="E494" i="132"/>
  <c r="P493" i="132"/>
  <c r="N493" i="132"/>
  <c r="M493" i="132"/>
  <c r="L493" i="132"/>
  <c r="E493" i="132"/>
  <c r="P492" i="132"/>
  <c r="N492" i="132"/>
  <c r="M492" i="132"/>
  <c r="L492" i="132"/>
  <c r="E492" i="132"/>
  <c r="P491" i="132"/>
  <c r="N491" i="132"/>
  <c r="M491" i="132"/>
  <c r="L491" i="132"/>
  <c r="E491" i="132"/>
  <c r="P490" i="132"/>
  <c r="N490" i="132"/>
  <c r="M490" i="132"/>
  <c r="L490" i="132"/>
  <c r="E490" i="132"/>
  <c r="C490" i="132"/>
  <c r="P489" i="132"/>
  <c r="N489" i="132"/>
  <c r="M489" i="132"/>
  <c r="L489" i="132"/>
  <c r="E489" i="132"/>
  <c r="P488" i="132"/>
  <c r="N488" i="132"/>
  <c r="M488" i="132"/>
  <c r="L488" i="132"/>
  <c r="E488" i="132"/>
  <c r="P487" i="132"/>
  <c r="N487" i="132"/>
  <c r="M487" i="132"/>
  <c r="L487" i="132"/>
  <c r="E487" i="132"/>
  <c r="P486" i="132"/>
  <c r="N486" i="132"/>
  <c r="M486" i="132"/>
  <c r="L486" i="132"/>
  <c r="E486" i="132"/>
  <c r="P485" i="132"/>
  <c r="N485" i="132"/>
  <c r="M485" i="132"/>
  <c r="L485" i="132"/>
  <c r="E485" i="132"/>
  <c r="P484" i="132"/>
  <c r="N484" i="132"/>
  <c r="M484" i="132"/>
  <c r="L484" i="132"/>
  <c r="E484" i="132"/>
  <c r="P483" i="132"/>
  <c r="N483" i="132"/>
  <c r="M483" i="132"/>
  <c r="L483" i="132"/>
  <c r="E483" i="132"/>
  <c r="P482" i="132"/>
  <c r="N482" i="132"/>
  <c r="M482" i="132"/>
  <c r="L482" i="132"/>
  <c r="E482" i="132"/>
  <c r="P481" i="132"/>
  <c r="N481" i="132"/>
  <c r="M481" i="132"/>
  <c r="L481" i="132"/>
  <c r="E481" i="132"/>
  <c r="P480" i="132"/>
  <c r="N480" i="132"/>
  <c r="M480" i="132"/>
  <c r="L480" i="132"/>
  <c r="E480" i="132"/>
  <c r="P479" i="132"/>
  <c r="N479" i="132"/>
  <c r="M479" i="132"/>
  <c r="L479" i="132"/>
  <c r="E479" i="132"/>
  <c r="C479" i="132"/>
  <c r="P478" i="132"/>
  <c r="N478" i="132"/>
  <c r="M478" i="132"/>
  <c r="L478" i="132"/>
  <c r="E478" i="132"/>
  <c r="P477" i="132"/>
  <c r="N477" i="132"/>
  <c r="M477" i="132"/>
  <c r="L477" i="132"/>
  <c r="E477" i="132"/>
  <c r="P476" i="132"/>
  <c r="N476" i="132"/>
  <c r="M476" i="132"/>
  <c r="L476" i="132"/>
  <c r="E476" i="132"/>
  <c r="P475" i="132"/>
  <c r="N475" i="132"/>
  <c r="M475" i="132"/>
  <c r="L475" i="132"/>
  <c r="E475" i="132"/>
  <c r="P474" i="132"/>
  <c r="N474" i="132"/>
  <c r="M474" i="132"/>
  <c r="L474" i="132"/>
  <c r="E474" i="132"/>
  <c r="P473" i="132"/>
  <c r="N473" i="132"/>
  <c r="M473" i="132"/>
  <c r="L473" i="132"/>
  <c r="E473" i="132"/>
  <c r="P472" i="132"/>
  <c r="N472" i="132"/>
  <c r="M472" i="132"/>
  <c r="L472" i="132"/>
  <c r="E472" i="132"/>
  <c r="P471" i="132"/>
  <c r="N471" i="132"/>
  <c r="M471" i="132"/>
  <c r="L471" i="132"/>
  <c r="E471" i="132"/>
  <c r="P470" i="132"/>
  <c r="N470" i="132"/>
  <c r="M470" i="132"/>
  <c r="L470" i="132"/>
  <c r="E470" i="132"/>
  <c r="P469" i="132"/>
  <c r="N469" i="132"/>
  <c r="M469" i="132"/>
  <c r="L469" i="132"/>
  <c r="E469" i="132"/>
  <c r="P468" i="132"/>
  <c r="N468" i="132"/>
  <c r="M468" i="132"/>
  <c r="L468" i="132"/>
  <c r="E468" i="132"/>
  <c r="C468" i="132"/>
  <c r="P467" i="132"/>
  <c r="N467" i="132"/>
  <c r="M467" i="132"/>
  <c r="L467" i="132"/>
  <c r="E467" i="132"/>
  <c r="P466" i="132"/>
  <c r="N466" i="132"/>
  <c r="M466" i="132"/>
  <c r="L466" i="132"/>
  <c r="E466" i="132"/>
  <c r="P465" i="132"/>
  <c r="N465" i="132"/>
  <c r="M465" i="132"/>
  <c r="L465" i="132"/>
  <c r="E465" i="132"/>
  <c r="P464" i="132"/>
  <c r="N464" i="132"/>
  <c r="M464" i="132"/>
  <c r="L464" i="132"/>
  <c r="E464" i="132"/>
  <c r="P463" i="132"/>
  <c r="N463" i="132"/>
  <c r="M463" i="132"/>
  <c r="L463" i="132"/>
  <c r="E463" i="132"/>
  <c r="P462" i="132"/>
  <c r="N462" i="132"/>
  <c r="M462" i="132"/>
  <c r="L462" i="132"/>
  <c r="E462" i="132"/>
  <c r="P461" i="132"/>
  <c r="N461" i="132"/>
  <c r="M461" i="132"/>
  <c r="L461" i="132"/>
  <c r="E461" i="132"/>
  <c r="P460" i="132"/>
  <c r="N460" i="132"/>
  <c r="M460" i="132"/>
  <c r="L460" i="132"/>
  <c r="E460" i="132"/>
  <c r="P459" i="132"/>
  <c r="N459" i="132"/>
  <c r="M459" i="132"/>
  <c r="L459" i="132"/>
  <c r="E459" i="132"/>
  <c r="P458" i="132"/>
  <c r="N458" i="132"/>
  <c r="M458" i="132"/>
  <c r="L458" i="132"/>
  <c r="E458" i="132"/>
  <c r="C458" i="132"/>
  <c r="P457" i="132"/>
  <c r="N457" i="132"/>
  <c r="M457" i="132"/>
  <c r="L457" i="132"/>
  <c r="E457" i="132"/>
  <c r="P456" i="132"/>
  <c r="N456" i="132"/>
  <c r="M456" i="132"/>
  <c r="L456" i="132"/>
  <c r="E456" i="132"/>
  <c r="P455" i="132"/>
  <c r="N455" i="132"/>
  <c r="M455" i="132"/>
  <c r="L455" i="132"/>
  <c r="E455" i="132"/>
  <c r="P454" i="132"/>
  <c r="N454" i="132"/>
  <c r="M454" i="132"/>
  <c r="L454" i="132"/>
  <c r="E454" i="132"/>
  <c r="P453" i="132"/>
  <c r="N453" i="132"/>
  <c r="M453" i="132"/>
  <c r="L453" i="132"/>
  <c r="E453" i="132"/>
  <c r="P452" i="132"/>
  <c r="N452" i="132"/>
  <c r="M452" i="132"/>
  <c r="L452" i="132"/>
  <c r="E452" i="132"/>
  <c r="P451" i="132"/>
  <c r="N451" i="132"/>
  <c r="M451" i="132"/>
  <c r="L451" i="132"/>
  <c r="E451" i="132"/>
  <c r="P450" i="132"/>
  <c r="N450" i="132"/>
  <c r="M450" i="132"/>
  <c r="L450" i="132"/>
  <c r="E450" i="132"/>
  <c r="P447" i="132"/>
  <c r="N447" i="132"/>
  <c r="M447" i="132"/>
  <c r="L447" i="132"/>
  <c r="E447" i="132"/>
  <c r="C447" i="132"/>
  <c r="P446" i="132"/>
  <c r="N446" i="132"/>
  <c r="M446" i="132"/>
  <c r="L446" i="132"/>
  <c r="E446" i="132"/>
  <c r="P445" i="132"/>
  <c r="N445" i="132"/>
  <c r="M445" i="132"/>
  <c r="L445" i="132"/>
  <c r="E445" i="132"/>
  <c r="P444" i="132"/>
  <c r="N444" i="132"/>
  <c r="M444" i="132"/>
  <c r="L444" i="132"/>
  <c r="E444" i="132"/>
  <c r="P443" i="132"/>
  <c r="N443" i="132"/>
  <c r="M443" i="132"/>
  <c r="L443" i="132"/>
  <c r="E443" i="132"/>
  <c r="P442" i="132"/>
  <c r="N442" i="132"/>
  <c r="M442" i="132"/>
  <c r="L442" i="132"/>
  <c r="E442" i="132"/>
  <c r="P441" i="132"/>
  <c r="N441" i="132"/>
  <c r="M441" i="132"/>
  <c r="L441" i="132"/>
  <c r="E441" i="132"/>
  <c r="P440" i="132"/>
  <c r="N440" i="132"/>
  <c r="M440" i="132"/>
  <c r="L440" i="132"/>
  <c r="E440" i="132"/>
  <c r="P439" i="132"/>
  <c r="N439" i="132"/>
  <c r="M439" i="132"/>
  <c r="L439" i="132"/>
  <c r="E439" i="132"/>
  <c r="P438" i="132"/>
  <c r="N438" i="132"/>
  <c r="M438" i="132"/>
  <c r="L438" i="132"/>
  <c r="E438" i="132"/>
  <c r="P437" i="132"/>
  <c r="N437" i="132"/>
  <c r="M437" i="132"/>
  <c r="L437" i="132"/>
  <c r="E437" i="132"/>
  <c r="P436" i="132"/>
  <c r="N436" i="132"/>
  <c r="M436" i="132"/>
  <c r="L436" i="132"/>
  <c r="E436" i="132"/>
  <c r="P435" i="132"/>
  <c r="N435" i="132"/>
  <c r="M435" i="132"/>
  <c r="L435" i="132"/>
  <c r="E435" i="132"/>
  <c r="P434" i="132"/>
  <c r="N434" i="132"/>
  <c r="M434" i="132"/>
  <c r="L434" i="132"/>
  <c r="E434" i="132"/>
  <c r="C434" i="132"/>
  <c r="P433" i="132"/>
  <c r="N433" i="132"/>
  <c r="M433" i="132"/>
  <c r="L433" i="132"/>
  <c r="E433" i="132"/>
  <c r="P432" i="132"/>
  <c r="N432" i="132"/>
  <c r="M432" i="132"/>
  <c r="L432" i="132"/>
  <c r="E432" i="132"/>
  <c r="P431" i="132"/>
  <c r="N431" i="132"/>
  <c r="M431" i="132"/>
  <c r="L431" i="132"/>
  <c r="E431" i="132"/>
  <c r="P430" i="132"/>
  <c r="N430" i="132"/>
  <c r="M430" i="132"/>
  <c r="L430" i="132"/>
  <c r="E430" i="132"/>
  <c r="P429" i="132"/>
  <c r="N429" i="132"/>
  <c r="M429" i="132"/>
  <c r="L429" i="132"/>
  <c r="E429" i="132"/>
  <c r="P428" i="132"/>
  <c r="N428" i="132"/>
  <c r="M428" i="132"/>
  <c r="L428" i="132"/>
  <c r="E428" i="132"/>
  <c r="P427" i="132"/>
  <c r="N427" i="132"/>
  <c r="M427" i="132"/>
  <c r="L427" i="132"/>
  <c r="E427" i="132"/>
  <c r="P426" i="132"/>
  <c r="N426" i="132"/>
  <c r="M426" i="132"/>
  <c r="L426" i="132"/>
  <c r="E426" i="132"/>
  <c r="P425" i="132"/>
  <c r="N425" i="132"/>
  <c r="M425" i="132"/>
  <c r="L425" i="132"/>
  <c r="E425" i="132"/>
  <c r="C425" i="132"/>
  <c r="P424" i="132"/>
  <c r="N424" i="132"/>
  <c r="M424" i="132"/>
  <c r="L424" i="132"/>
  <c r="E424" i="132"/>
  <c r="P423" i="132"/>
  <c r="N423" i="132"/>
  <c r="M423" i="132"/>
  <c r="L423" i="132"/>
  <c r="E423" i="132"/>
  <c r="P422" i="132"/>
  <c r="N422" i="132"/>
  <c r="M422" i="132"/>
  <c r="L422" i="132"/>
  <c r="E422" i="132"/>
  <c r="P421" i="132"/>
  <c r="N421" i="132"/>
  <c r="M421" i="132"/>
  <c r="L421" i="132"/>
  <c r="E421" i="132"/>
  <c r="P420" i="132"/>
  <c r="N420" i="132"/>
  <c r="M420" i="132"/>
  <c r="L420" i="132"/>
  <c r="E420" i="132"/>
  <c r="P419" i="132"/>
  <c r="N419" i="132"/>
  <c r="M419" i="132"/>
  <c r="L419" i="132"/>
  <c r="E419" i="132"/>
  <c r="P418" i="132"/>
  <c r="N418" i="132"/>
  <c r="M418" i="132"/>
  <c r="L418" i="132"/>
  <c r="E418" i="132"/>
  <c r="P417" i="132"/>
  <c r="N417" i="132"/>
  <c r="M417" i="132"/>
  <c r="L417" i="132"/>
  <c r="E417" i="132"/>
  <c r="P416" i="132"/>
  <c r="N416" i="132"/>
  <c r="M416" i="132"/>
  <c r="L416" i="132"/>
  <c r="E416" i="132"/>
  <c r="P415" i="132"/>
  <c r="N415" i="132"/>
  <c r="M415" i="132"/>
  <c r="L415" i="132"/>
  <c r="E415" i="132"/>
  <c r="P414" i="132"/>
  <c r="N414" i="132"/>
  <c r="M414" i="132"/>
  <c r="L414" i="132"/>
  <c r="E414" i="132"/>
  <c r="C414" i="132"/>
  <c r="P413" i="132"/>
  <c r="N413" i="132"/>
  <c r="M413" i="132"/>
  <c r="L413" i="132"/>
  <c r="E413" i="132"/>
  <c r="P412" i="132"/>
  <c r="N412" i="132"/>
  <c r="M412" i="132"/>
  <c r="L412" i="132"/>
  <c r="E412" i="132"/>
  <c r="P411" i="132"/>
  <c r="N411" i="132"/>
  <c r="M411" i="132"/>
  <c r="L411" i="132"/>
  <c r="E411" i="132"/>
  <c r="P410" i="132"/>
  <c r="N410" i="132"/>
  <c r="M410" i="132"/>
  <c r="L410" i="132"/>
  <c r="E410" i="132"/>
  <c r="P409" i="132"/>
  <c r="N409" i="132"/>
  <c r="M409" i="132"/>
  <c r="L409" i="132"/>
  <c r="E409" i="132"/>
  <c r="P408" i="132"/>
  <c r="N408" i="132"/>
  <c r="M408" i="132"/>
  <c r="L408" i="132"/>
  <c r="E408" i="132"/>
  <c r="P407" i="132"/>
  <c r="N407" i="132"/>
  <c r="M407" i="132"/>
  <c r="L407" i="132"/>
  <c r="E407" i="132"/>
  <c r="P406" i="132"/>
  <c r="N406" i="132"/>
  <c r="M406" i="132"/>
  <c r="L406" i="132"/>
  <c r="E406" i="132"/>
  <c r="P405" i="132"/>
  <c r="N405" i="132"/>
  <c r="M405" i="132"/>
  <c r="L405" i="132"/>
  <c r="E405" i="132"/>
  <c r="P404" i="132"/>
  <c r="N404" i="132"/>
  <c r="M404" i="132"/>
  <c r="L404" i="132"/>
  <c r="E404" i="132"/>
  <c r="P403" i="132"/>
  <c r="N403" i="132"/>
  <c r="M403" i="132"/>
  <c r="L403" i="132"/>
  <c r="E403" i="132"/>
  <c r="C403" i="132"/>
  <c r="P402" i="132"/>
  <c r="N402" i="132"/>
  <c r="M402" i="132"/>
  <c r="L402" i="132"/>
  <c r="E402" i="132"/>
  <c r="P401" i="132"/>
  <c r="N401" i="132"/>
  <c r="M401" i="132"/>
  <c r="L401" i="132"/>
  <c r="E401" i="132"/>
  <c r="P400" i="132"/>
  <c r="N400" i="132"/>
  <c r="M400" i="132"/>
  <c r="L400" i="132"/>
  <c r="E400" i="132"/>
  <c r="P399" i="132"/>
  <c r="N399" i="132"/>
  <c r="M399" i="132"/>
  <c r="L399" i="132"/>
  <c r="E399" i="132"/>
  <c r="P398" i="132"/>
  <c r="N398" i="132"/>
  <c r="M398" i="132"/>
  <c r="L398" i="132"/>
  <c r="E398" i="132"/>
  <c r="P397" i="132"/>
  <c r="N397" i="132"/>
  <c r="M397" i="132"/>
  <c r="L397" i="132"/>
  <c r="E397" i="132"/>
  <c r="P396" i="132"/>
  <c r="N396" i="132"/>
  <c r="M396" i="132"/>
  <c r="L396" i="132"/>
  <c r="E396" i="132"/>
  <c r="P395" i="132"/>
  <c r="N395" i="132"/>
  <c r="M395" i="132"/>
  <c r="L395" i="132"/>
  <c r="E395" i="132"/>
  <c r="P394" i="132"/>
  <c r="N394" i="132"/>
  <c r="M394" i="132"/>
  <c r="L394" i="132"/>
  <c r="E394" i="132"/>
  <c r="P393" i="132"/>
  <c r="N393" i="132"/>
  <c r="M393" i="132"/>
  <c r="L393" i="132"/>
  <c r="E393" i="132"/>
  <c r="C393" i="132"/>
  <c r="P392" i="132"/>
  <c r="N392" i="132"/>
  <c r="M392" i="132"/>
  <c r="L392" i="132"/>
  <c r="E392" i="132"/>
  <c r="P391" i="132"/>
  <c r="N391" i="132"/>
  <c r="M391" i="132"/>
  <c r="L391" i="132"/>
  <c r="E391" i="132"/>
  <c r="P390" i="132"/>
  <c r="N390" i="132"/>
  <c r="M390" i="132"/>
  <c r="L390" i="132"/>
  <c r="E390" i="132"/>
  <c r="P389" i="132"/>
  <c r="N389" i="132"/>
  <c r="M389" i="132"/>
  <c r="L389" i="132"/>
  <c r="E389" i="132"/>
  <c r="P388" i="132"/>
  <c r="N388" i="132"/>
  <c r="M388" i="132"/>
  <c r="L388" i="132"/>
  <c r="E388" i="132"/>
  <c r="P387" i="132"/>
  <c r="N387" i="132"/>
  <c r="M387" i="132"/>
  <c r="L387" i="132"/>
  <c r="E387" i="132"/>
  <c r="P386" i="132"/>
  <c r="N386" i="132"/>
  <c r="M386" i="132"/>
  <c r="L386" i="132"/>
  <c r="E386" i="132"/>
  <c r="P385" i="132"/>
  <c r="N385" i="132"/>
  <c r="M385" i="132"/>
  <c r="L385" i="132"/>
  <c r="E385" i="132"/>
  <c r="P382" i="132"/>
  <c r="N382" i="132"/>
  <c r="M382" i="132"/>
  <c r="L382" i="132"/>
  <c r="E382" i="132"/>
  <c r="C382" i="132"/>
  <c r="P381" i="132"/>
  <c r="N381" i="132"/>
  <c r="M381" i="132"/>
  <c r="L381" i="132"/>
  <c r="E381" i="132"/>
  <c r="P380" i="132"/>
  <c r="N380" i="132"/>
  <c r="M380" i="132"/>
  <c r="L380" i="132"/>
  <c r="E380" i="132"/>
  <c r="P379" i="132"/>
  <c r="N379" i="132"/>
  <c r="M379" i="132"/>
  <c r="L379" i="132"/>
  <c r="E379" i="132"/>
  <c r="P378" i="132"/>
  <c r="N378" i="132"/>
  <c r="M378" i="132"/>
  <c r="L378" i="132"/>
  <c r="E378" i="132"/>
  <c r="P377" i="132"/>
  <c r="N377" i="132"/>
  <c r="M377" i="132"/>
  <c r="L377" i="132"/>
  <c r="E377" i="132"/>
  <c r="P376" i="132"/>
  <c r="N376" i="132"/>
  <c r="M376" i="132"/>
  <c r="L376" i="132"/>
  <c r="E376" i="132"/>
  <c r="P375" i="132"/>
  <c r="N375" i="132"/>
  <c r="M375" i="132"/>
  <c r="L375" i="132"/>
  <c r="E375" i="132"/>
  <c r="P374" i="132"/>
  <c r="N374" i="132"/>
  <c r="M374" i="132"/>
  <c r="L374" i="132"/>
  <c r="E374" i="132"/>
  <c r="P373" i="132"/>
  <c r="N373" i="132"/>
  <c r="M373" i="132"/>
  <c r="L373" i="132"/>
  <c r="E373" i="132"/>
  <c r="P372" i="132"/>
  <c r="N372" i="132"/>
  <c r="M372" i="132"/>
  <c r="L372" i="132"/>
  <c r="E372" i="132"/>
  <c r="P371" i="132"/>
  <c r="N371" i="132"/>
  <c r="M371" i="132"/>
  <c r="L371" i="132"/>
  <c r="E371" i="132"/>
  <c r="C371" i="132"/>
  <c r="P370" i="132"/>
  <c r="N370" i="132"/>
  <c r="M370" i="132"/>
  <c r="L370" i="132"/>
  <c r="E370" i="132"/>
  <c r="P369" i="132"/>
  <c r="N369" i="132"/>
  <c r="M369" i="132"/>
  <c r="L369" i="132"/>
  <c r="E369" i="132"/>
  <c r="P368" i="132"/>
  <c r="N368" i="132"/>
  <c r="M368" i="132"/>
  <c r="L368" i="132"/>
  <c r="E368" i="132"/>
  <c r="P367" i="132"/>
  <c r="N367" i="132"/>
  <c r="M367" i="132"/>
  <c r="L367" i="132"/>
  <c r="E367" i="132"/>
  <c r="P366" i="132"/>
  <c r="N366" i="132"/>
  <c r="M366" i="132"/>
  <c r="L366" i="132"/>
  <c r="E366" i="132"/>
  <c r="P365" i="132"/>
  <c r="N365" i="132"/>
  <c r="M365" i="132"/>
  <c r="L365" i="132"/>
  <c r="E365" i="132"/>
  <c r="P364" i="132"/>
  <c r="N364" i="132"/>
  <c r="M364" i="132"/>
  <c r="L364" i="132"/>
  <c r="E364" i="132"/>
  <c r="P363" i="132"/>
  <c r="N363" i="132"/>
  <c r="M363" i="132"/>
  <c r="L363" i="132"/>
  <c r="E363" i="132"/>
  <c r="P362" i="132"/>
  <c r="N362" i="132"/>
  <c r="M362" i="132"/>
  <c r="L362" i="132"/>
  <c r="E362" i="132"/>
  <c r="P361" i="132"/>
  <c r="N361" i="132"/>
  <c r="M361" i="132"/>
  <c r="L361" i="132"/>
  <c r="E361" i="132"/>
  <c r="P360" i="132"/>
  <c r="N360" i="132"/>
  <c r="M360" i="132"/>
  <c r="L360" i="132"/>
  <c r="E360" i="132"/>
  <c r="P359" i="132"/>
  <c r="N359" i="132"/>
  <c r="M359" i="132"/>
  <c r="L359" i="132"/>
  <c r="E359" i="132"/>
  <c r="P358" i="132"/>
  <c r="N358" i="132"/>
  <c r="M358" i="132"/>
  <c r="L358" i="132"/>
  <c r="E358" i="132"/>
  <c r="C358" i="132"/>
  <c r="P357" i="132"/>
  <c r="N357" i="132"/>
  <c r="M357" i="132"/>
  <c r="L357" i="132"/>
  <c r="E357" i="132"/>
  <c r="P356" i="132"/>
  <c r="N356" i="132"/>
  <c r="M356" i="132"/>
  <c r="L356" i="132"/>
  <c r="E356" i="132"/>
  <c r="P355" i="132"/>
  <c r="N355" i="132"/>
  <c r="M355" i="132"/>
  <c r="L355" i="132"/>
  <c r="E355" i="132"/>
  <c r="P354" i="132"/>
  <c r="N354" i="132"/>
  <c r="M354" i="132"/>
  <c r="L354" i="132"/>
  <c r="E354" i="132"/>
  <c r="P353" i="132"/>
  <c r="N353" i="132"/>
  <c r="M353" i="132"/>
  <c r="L353" i="132"/>
  <c r="E353" i="132"/>
  <c r="P352" i="132"/>
  <c r="N352" i="132"/>
  <c r="M352" i="132"/>
  <c r="L352" i="132"/>
  <c r="E352" i="132"/>
  <c r="P351" i="132"/>
  <c r="N351" i="132"/>
  <c r="M351" i="132"/>
  <c r="L351" i="132"/>
  <c r="E351" i="132"/>
  <c r="P350" i="132"/>
  <c r="N350" i="132"/>
  <c r="M350" i="132"/>
  <c r="L350" i="132"/>
  <c r="E350" i="132"/>
  <c r="P349" i="132"/>
  <c r="N349" i="132"/>
  <c r="M349" i="132"/>
  <c r="L349" i="132"/>
  <c r="E349" i="132"/>
  <c r="C349" i="132"/>
  <c r="P348" i="132"/>
  <c r="N348" i="132"/>
  <c r="M348" i="132"/>
  <c r="L348" i="132"/>
  <c r="E348" i="132"/>
  <c r="P347" i="132"/>
  <c r="N347" i="132"/>
  <c r="M347" i="132"/>
  <c r="L347" i="132"/>
  <c r="E347" i="132"/>
  <c r="P346" i="132"/>
  <c r="N346" i="132"/>
  <c r="M346" i="132"/>
  <c r="L346" i="132"/>
  <c r="E346" i="132"/>
  <c r="P345" i="132"/>
  <c r="N345" i="132"/>
  <c r="M345" i="132"/>
  <c r="L345" i="132"/>
  <c r="E345" i="132"/>
  <c r="P344" i="132"/>
  <c r="N344" i="132"/>
  <c r="M344" i="132"/>
  <c r="L344" i="132"/>
  <c r="E344" i="132"/>
  <c r="P343" i="132"/>
  <c r="N343" i="132"/>
  <c r="M343" i="132"/>
  <c r="L343" i="132"/>
  <c r="E343" i="132"/>
  <c r="P342" i="132"/>
  <c r="N342" i="132"/>
  <c r="M342" i="132"/>
  <c r="L342" i="132"/>
  <c r="E342" i="132"/>
  <c r="P341" i="132"/>
  <c r="N341" i="132"/>
  <c r="M341" i="132"/>
  <c r="L341" i="132"/>
  <c r="E341" i="132"/>
  <c r="P340" i="132"/>
  <c r="N340" i="132"/>
  <c r="M340" i="132"/>
  <c r="L340" i="132"/>
  <c r="E340" i="132"/>
  <c r="P339" i="132"/>
  <c r="N339" i="132"/>
  <c r="M339" i="132"/>
  <c r="L339" i="132"/>
  <c r="E339" i="132"/>
  <c r="P338" i="132"/>
  <c r="N338" i="132"/>
  <c r="M338" i="132"/>
  <c r="L338" i="132"/>
  <c r="E338" i="132"/>
  <c r="C338" i="132"/>
  <c r="P337" i="132"/>
  <c r="N337" i="132"/>
  <c r="M337" i="132"/>
  <c r="L337" i="132"/>
  <c r="E337" i="132"/>
  <c r="P336" i="132"/>
  <c r="N336" i="132"/>
  <c r="M336" i="132"/>
  <c r="L336" i="132"/>
  <c r="E336" i="132"/>
  <c r="P335" i="132"/>
  <c r="N335" i="132"/>
  <c r="M335" i="132"/>
  <c r="L335" i="132"/>
  <c r="E335" i="132"/>
  <c r="P334" i="132"/>
  <c r="N334" i="132"/>
  <c r="M334" i="132"/>
  <c r="L334" i="132"/>
  <c r="E334" i="132"/>
  <c r="P333" i="132"/>
  <c r="N333" i="132"/>
  <c r="M333" i="132"/>
  <c r="L333" i="132"/>
  <c r="E333" i="132"/>
  <c r="P332" i="132"/>
  <c r="N332" i="132"/>
  <c r="M332" i="132"/>
  <c r="L332" i="132"/>
  <c r="E332" i="132"/>
  <c r="P331" i="132"/>
  <c r="N331" i="132"/>
  <c r="M331" i="132"/>
  <c r="L331" i="132"/>
  <c r="E331" i="132"/>
  <c r="P330" i="132"/>
  <c r="N330" i="132"/>
  <c r="M330" i="132"/>
  <c r="L330" i="132"/>
  <c r="E330" i="132"/>
  <c r="P329" i="132"/>
  <c r="N329" i="132"/>
  <c r="M329" i="132"/>
  <c r="L329" i="132"/>
  <c r="E329" i="132"/>
  <c r="P328" i="132"/>
  <c r="N328" i="132"/>
  <c r="M328" i="132"/>
  <c r="L328" i="132"/>
  <c r="E328" i="132"/>
  <c r="P327" i="132"/>
  <c r="N327" i="132"/>
  <c r="M327" i="132"/>
  <c r="L327" i="132"/>
  <c r="E327" i="132"/>
  <c r="C327" i="132"/>
  <c r="P326" i="132"/>
  <c r="N326" i="132"/>
  <c r="M326" i="132"/>
  <c r="L326" i="132"/>
  <c r="E326" i="132"/>
  <c r="P325" i="132"/>
  <c r="N325" i="132"/>
  <c r="M325" i="132"/>
  <c r="L325" i="132"/>
  <c r="E325" i="132"/>
  <c r="P324" i="132"/>
  <c r="N324" i="132"/>
  <c r="M324" i="132"/>
  <c r="L324" i="132"/>
  <c r="E324" i="132"/>
  <c r="P323" i="132"/>
  <c r="N323" i="132"/>
  <c r="M323" i="132"/>
  <c r="L323" i="132"/>
  <c r="E323" i="132"/>
  <c r="P322" i="132"/>
  <c r="N322" i="132"/>
  <c r="M322" i="132"/>
  <c r="L322" i="132"/>
  <c r="E322" i="132"/>
  <c r="P321" i="132"/>
  <c r="N321" i="132"/>
  <c r="M321" i="132"/>
  <c r="L321" i="132"/>
  <c r="E321" i="132"/>
  <c r="P320" i="132"/>
  <c r="N320" i="132"/>
  <c r="M320" i="132"/>
  <c r="L320" i="132"/>
  <c r="E320" i="132"/>
  <c r="P319" i="132"/>
  <c r="N319" i="132"/>
  <c r="M319" i="132"/>
  <c r="L319" i="132"/>
  <c r="E319" i="132"/>
  <c r="P318" i="132"/>
  <c r="N318" i="132"/>
  <c r="M318" i="132"/>
  <c r="L318" i="132"/>
  <c r="E318" i="132"/>
  <c r="P317" i="132"/>
  <c r="N317" i="132"/>
  <c r="M317" i="132"/>
  <c r="L317" i="132"/>
  <c r="E317" i="132"/>
  <c r="P316" i="132"/>
  <c r="N316" i="132"/>
  <c r="M316" i="132"/>
  <c r="L316" i="132"/>
  <c r="E316" i="132"/>
  <c r="C316" i="132"/>
  <c r="P315" i="132"/>
  <c r="N315" i="132"/>
  <c r="M315" i="132"/>
  <c r="L315" i="132"/>
  <c r="E315" i="132"/>
  <c r="P314" i="132"/>
  <c r="N314" i="132"/>
  <c r="M314" i="132"/>
  <c r="L314" i="132"/>
  <c r="E314" i="132"/>
  <c r="P313" i="132"/>
  <c r="N313" i="132"/>
  <c r="M313" i="132"/>
  <c r="L313" i="132"/>
  <c r="E313" i="132"/>
  <c r="P312" i="132"/>
  <c r="N312" i="132"/>
  <c r="M312" i="132"/>
  <c r="L312" i="132"/>
  <c r="E312" i="132"/>
  <c r="P311" i="132"/>
  <c r="N311" i="132"/>
  <c r="M311" i="132"/>
  <c r="L311" i="132"/>
  <c r="E311" i="132"/>
  <c r="P310" i="132"/>
  <c r="N310" i="132"/>
  <c r="M310" i="132"/>
  <c r="L310" i="132"/>
  <c r="E310" i="132"/>
  <c r="P309" i="132"/>
  <c r="N309" i="132"/>
  <c r="M309" i="132"/>
  <c r="L309" i="132"/>
  <c r="E309" i="132"/>
  <c r="P308" i="132"/>
  <c r="N308" i="132"/>
  <c r="M308" i="132"/>
  <c r="L308" i="132"/>
  <c r="E308" i="132"/>
  <c r="P307" i="132"/>
  <c r="N307" i="132"/>
  <c r="M307" i="132"/>
  <c r="L307" i="132"/>
  <c r="E307" i="132"/>
  <c r="P306" i="132"/>
  <c r="N306" i="132"/>
  <c r="M306" i="132"/>
  <c r="L306" i="132"/>
  <c r="E306" i="132"/>
  <c r="C306" i="132"/>
  <c r="P305" i="132"/>
  <c r="N305" i="132"/>
  <c r="M305" i="132"/>
  <c r="L305" i="132"/>
  <c r="E305" i="132"/>
  <c r="P304" i="132"/>
  <c r="N304" i="132"/>
  <c r="M304" i="132"/>
  <c r="L304" i="132"/>
  <c r="E304" i="132"/>
  <c r="P303" i="132"/>
  <c r="N303" i="132"/>
  <c r="M303" i="132"/>
  <c r="L303" i="132"/>
  <c r="E303" i="132"/>
  <c r="P302" i="132"/>
  <c r="N302" i="132"/>
  <c r="M302" i="132"/>
  <c r="L302" i="132"/>
  <c r="E302" i="132"/>
  <c r="P301" i="132"/>
  <c r="N301" i="132"/>
  <c r="M301" i="132"/>
  <c r="L301" i="132"/>
  <c r="E301" i="132"/>
  <c r="P300" i="132"/>
  <c r="N300" i="132"/>
  <c r="M300" i="132"/>
  <c r="L300" i="132"/>
  <c r="E300" i="132"/>
  <c r="P299" i="132"/>
  <c r="N299" i="132"/>
  <c r="M299" i="132"/>
  <c r="L299" i="132"/>
  <c r="E299" i="132"/>
  <c r="P298" i="132"/>
  <c r="N298" i="132"/>
  <c r="M298" i="132"/>
  <c r="L298" i="132"/>
  <c r="E298" i="132"/>
  <c r="P297" i="132"/>
  <c r="N297" i="132"/>
  <c r="M297" i="132"/>
  <c r="L297" i="132"/>
  <c r="E297" i="132"/>
  <c r="C297" i="132"/>
  <c r="P296" i="132"/>
  <c r="N296" i="132"/>
  <c r="M296" i="132"/>
  <c r="L296" i="132"/>
  <c r="E296" i="132"/>
  <c r="P295" i="132"/>
  <c r="N295" i="132"/>
  <c r="M295" i="132"/>
  <c r="L295" i="132"/>
  <c r="E295" i="132"/>
  <c r="P294" i="132"/>
  <c r="N294" i="132"/>
  <c r="M294" i="132"/>
  <c r="L294" i="132"/>
  <c r="E294" i="132"/>
  <c r="P293" i="132"/>
  <c r="N293" i="132"/>
  <c r="M293" i="132"/>
  <c r="L293" i="132"/>
  <c r="E293" i="132"/>
  <c r="P292" i="132"/>
  <c r="N292" i="132"/>
  <c r="M292" i="132"/>
  <c r="L292" i="132"/>
  <c r="E292" i="132"/>
  <c r="P291" i="132"/>
  <c r="N291" i="132"/>
  <c r="M291" i="132"/>
  <c r="L291" i="132"/>
  <c r="E291" i="132"/>
  <c r="P290" i="132"/>
  <c r="N290" i="132"/>
  <c r="M290" i="132"/>
  <c r="L290" i="132"/>
  <c r="E290" i="132"/>
  <c r="P289" i="132"/>
  <c r="N289" i="132"/>
  <c r="M289" i="132"/>
  <c r="L289" i="132"/>
  <c r="E289" i="132"/>
  <c r="P285" i="132"/>
  <c r="N285" i="132"/>
  <c r="M285" i="132"/>
  <c r="L285" i="132"/>
  <c r="E285" i="132"/>
  <c r="C285" i="132"/>
  <c r="P284" i="132"/>
  <c r="N284" i="132"/>
  <c r="M284" i="132"/>
  <c r="L284" i="132"/>
  <c r="E284" i="132"/>
  <c r="P283" i="132"/>
  <c r="N283" i="132"/>
  <c r="M283" i="132"/>
  <c r="L283" i="132"/>
  <c r="E283" i="132"/>
  <c r="P282" i="132"/>
  <c r="N282" i="132"/>
  <c r="M282" i="132"/>
  <c r="L282" i="132"/>
  <c r="E282" i="132"/>
  <c r="C282" i="132"/>
  <c r="P281" i="132"/>
  <c r="N281" i="132"/>
  <c r="M281" i="132"/>
  <c r="L281" i="132"/>
  <c r="E281" i="132"/>
  <c r="P280" i="132"/>
  <c r="N280" i="132"/>
  <c r="M280" i="132"/>
  <c r="L280" i="132"/>
  <c r="E280" i="132"/>
  <c r="P279" i="132"/>
  <c r="N279" i="132"/>
  <c r="M279" i="132"/>
  <c r="L279" i="132"/>
  <c r="E279" i="132"/>
  <c r="C279" i="132"/>
  <c r="P278" i="132"/>
  <c r="N278" i="132"/>
  <c r="M278" i="132"/>
  <c r="L278" i="132"/>
  <c r="E278" i="132"/>
  <c r="P277" i="132"/>
  <c r="N277" i="132"/>
  <c r="M277" i="132"/>
  <c r="L277" i="132"/>
  <c r="E277" i="132"/>
  <c r="P276" i="132"/>
  <c r="N276" i="132"/>
  <c r="M276" i="132"/>
  <c r="L276" i="132"/>
  <c r="E276" i="132"/>
  <c r="P275" i="132"/>
  <c r="N275" i="132"/>
  <c r="M275" i="132"/>
  <c r="L275" i="132"/>
  <c r="E275" i="132"/>
  <c r="P274" i="132"/>
  <c r="N274" i="132"/>
  <c r="M274" i="132"/>
  <c r="L274" i="132"/>
  <c r="E274" i="132"/>
  <c r="P273" i="132"/>
  <c r="N273" i="132"/>
  <c r="M273" i="132"/>
  <c r="L273" i="132"/>
  <c r="F273" i="132"/>
  <c r="F274" i="132" s="1"/>
  <c r="F275" i="132" s="1"/>
  <c r="F276" i="132" s="1"/>
  <c r="F277" i="132" s="1"/>
  <c r="F278" i="132" s="1"/>
  <c r="F279" i="132" s="1"/>
  <c r="S407" i="131" s="1"/>
  <c r="E273" i="132"/>
  <c r="P269" i="132"/>
  <c r="N269" i="132"/>
  <c r="M269" i="132"/>
  <c r="L269" i="132"/>
  <c r="E269" i="132"/>
  <c r="C269" i="132"/>
  <c r="P268" i="132"/>
  <c r="N268" i="132"/>
  <c r="M268" i="132"/>
  <c r="L268" i="132"/>
  <c r="E268" i="132"/>
  <c r="P267" i="132"/>
  <c r="N267" i="132"/>
  <c r="M267" i="132"/>
  <c r="L267" i="132"/>
  <c r="E267" i="132"/>
  <c r="P266" i="132"/>
  <c r="N266" i="132"/>
  <c r="M266" i="132"/>
  <c r="L266" i="132"/>
  <c r="E266" i="132"/>
  <c r="C266" i="132"/>
  <c r="P265" i="132"/>
  <c r="N265" i="132"/>
  <c r="M265" i="132"/>
  <c r="L265" i="132"/>
  <c r="E265" i="132"/>
  <c r="P264" i="132"/>
  <c r="N264" i="132"/>
  <c r="M264" i="132"/>
  <c r="L264" i="132"/>
  <c r="E264" i="132"/>
  <c r="P263" i="132"/>
  <c r="N263" i="132"/>
  <c r="M263" i="132"/>
  <c r="L263" i="132"/>
  <c r="E263" i="132"/>
  <c r="C263" i="132"/>
  <c r="P262" i="132"/>
  <c r="N262" i="132"/>
  <c r="M262" i="132"/>
  <c r="L262" i="132"/>
  <c r="E262" i="132"/>
  <c r="P261" i="132"/>
  <c r="N261" i="132"/>
  <c r="M261" i="132"/>
  <c r="L261" i="132"/>
  <c r="E261" i="132"/>
  <c r="P260" i="132"/>
  <c r="N260" i="132"/>
  <c r="M260" i="132"/>
  <c r="L260" i="132"/>
  <c r="E260" i="132"/>
  <c r="C260" i="132"/>
  <c r="P259" i="132"/>
  <c r="N259" i="132"/>
  <c r="M259" i="132"/>
  <c r="L259" i="132"/>
  <c r="E259" i="132"/>
  <c r="P258" i="132"/>
  <c r="N258" i="132"/>
  <c r="M258" i="132"/>
  <c r="L258" i="132"/>
  <c r="E258" i="132"/>
  <c r="P257" i="132"/>
  <c r="N257" i="132"/>
  <c r="M257" i="132"/>
  <c r="L257" i="132"/>
  <c r="E257" i="132"/>
  <c r="C257" i="132"/>
  <c r="P256" i="132"/>
  <c r="N256" i="132"/>
  <c r="M256" i="132"/>
  <c r="L256" i="132"/>
  <c r="E256" i="132"/>
  <c r="P255" i="132"/>
  <c r="N255" i="132"/>
  <c r="M255" i="132"/>
  <c r="L255" i="132"/>
  <c r="E255" i="132"/>
  <c r="P254" i="132"/>
  <c r="N254" i="132"/>
  <c r="M254" i="132"/>
  <c r="L254" i="132"/>
  <c r="E254" i="132"/>
  <c r="P253" i="132"/>
  <c r="N253" i="132"/>
  <c r="M253" i="132"/>
  <c r="L253" i="132"/>
  <c r="E253" i="132"/>
  <c r="P252" i="132"/>
  <c r="N252" i="132"/>
  <c r="M252" i="132"/>
  <c r="L252" i="132"/>
  <c r="E252" i="132"/>
  <c r="P251" i="132"/>
  <c r="N251" i="132"/>
  <c r="M251" i="132"/>
  <c r="L251" i="132"/>
  <c r="E251" i="132"/>
  <c r="P247" i="132"/>
  <c r="N247" i="132"/>
  <c r="M247" i="132"/>
  <c r="L247" i="132"/>
  <c r="E247" i="132"/>
  <c r="C247" i="132"/>
  <c r="P246" i="132"/>
  <c r="N246" i="132"/>
  <c r="M246" i="132"/>
  <c r="L246" i="132"/>
  <c r="P245" i="132"/>
  <c r="N245" i="132"/>
  <c r="M245" i="132"/>
  <c r="L245" i="132"/>
  <c r="E245" i="132"/>
  <c r="P244" i="132"/>
  <c r="N244" i="132"/>
  <c r="M244" i="132"/>
  <c r="L244" i="132"/>
  <c r="E244" i="132"/>
  <c r="C244" i="132"/>
  <c r="P243" i="132"/>
  <c r="N243" i="132"/>
  <c r="M243" i="132"/>
  <c r="L243" i="132"/>
  <c r="P242" i="132"/>
  <c r="N242" i="132"/>
  <c r="M242" i="132"/>
  <c r="L242" i="132"/>
  <c r="E242" i="132"/>
  <c r="P241" i="132"/>
  <c r="N241" i="132"/>
  <c r="M241" i="132"/>
  <c r="L241" i="132"/>
  <c r="E241" i="132"/>
  <c r="C241" i="132"/>
  <c r="P240" i="132"/>
  <c r="N240" i="132"/>
  <c r="M240" i="132"/>
  <c r="L240" i="132"/>
  <c r="E240" i="132"/>
  <c r="P239" i="132"/>
  <c r="N239" i="132"/>
  <c r="M239" i="132"/>
  <c r="L239" i="132"/>
  <c r="E239" i="132"/>
  <c r="P238" i="132"/>
  <c r="N238" i="132"/>
  <c r="M238" i="132"/>
  <c r="L238" i="132"/>
  <c r="E238" i="132"/>
  <c r="P237" i="132"/>
  <c r="N237" i="132"/>
  <c r="M237" i="132"/>
  <c r="L237" i="132"/>
  <c r="E237" i="132"/>
  <c r="P236" i="132"/>
  <c r="N236" i="132"/>
  <c r="M236" i="132"/>
  <c r="L236" i="132"/>
  <c r="E236" i="132"/>
  <c r="P235" i="132"/>
  <c r="N235" i="132"/>
  <c r="M235" i="132"/>
  <c r="L235" i="132"/>
  <c r="E235" i="132"/>
  <c r="P234" i="132"/>
  <c r="N234" i="132"/>
  <c r="M234" i="132"/>
  <c r="L234" i="132"/>
  <c r="E234" i="132"/>
  <c r="P233" i="132"/>
  <c r="N233" i="132"/>
  <c r="M233" i="132"/>
  <c r="L233" i="132"/>
  <c r="E233" i="132"/>
  <c r="P232" i="132"/>
  <c r="N232" i="132"/>
  <c r="M232" i="132"/>
  <c r="L232" i="132"/>
  <c r="E232" i="132"/>
  <c r="P231" i="132"/>
  <c r="N231" i="132"/>
  <c r="M231" i="132"/>
  <c r="L231" i="132"/>
  <c r="E231" i="132"/>
  <c r="P227" i="132"/>
  <c r="N227" i="132"/>
  <c r="M227" i="132"/>
  <c r="L227" i="132"/>
  <c r="E227" i="132"/>
  <c r="C227" i="132"/>
  <c r="P226" i="132"/>
  <c r="N226" i="132"/>
  <c r="M226" i="132"/>
  <c r="L226" i="132"/>
  <c r="P225" i="132"/>
  <c r="N225" i="132"/>
  <c r="M225" i="132"/>
  <c r="L225" i="132"/>
  <c r="E225" i="132"/>
  <c r="P224" i="132"/>
  <c r="N224" i="132"/>
  <c r="M224" i="132"/>
  <c r="L224" i="132"/>
  <c r="E224" i="132"/>
  <c r="C224" i="132"/>
  <c r="P223" i="132"/>
  <c r="N223" i="132"/>
  <c r="M223" i="132"/>
  <c r="L223" i="132"/>
  <c r="P222" i="132"/>
  <c r="N222" i="132"/>
  <c r="M222" i="132"/>
  <c r="L222" i="132"/>
  <c r="E222" i="132"/>
  <c r="P221" i="132"/>
  <c r="N221" i="132"/>
  <c r="M221" i="132"/>
  <c r="L221" i="132"/>
  <c r="E221" i="132"/>
  <c r="C221" i="132"/>
  <c r="P220" i="132"/>
  <c r="N220" i="132"/>
  <c r="M220" i="132"/>
  <c r="L220" i="132"/>
  <c r="P219" i="132"/>
  <c r="N219" i="132"/>
  <c r="M219" i="132"/>
  <c r="L219" i="132"/>
  <c r="E219" i="132"/>
  <c r="P218" i="132"/>
  <c r="N218" i="132"/>
  <c r="M218" i="132"/>
  <c r="L218" i="132"/>
  <c r="E218" i="132"/>
  <c r="C218" i="132"/>
  <c r="P217" i="132"/>
  <c r="N217" i="132"/>
  <c r="M217" i="132"/>
  <c r="L217" i="132"/>
  <c r="P216" i="132"/>
  <c r="N216" i="132"/>
  <c r="M216" i="132"/>
  <c r="L216" i="132"/>
  <c r="E216" i="132"/>
  <c r="P215" i="132"/>
  <c r="N215" i="132"/>
  <c r="M215" i="132"/>
  <c r="L215" i="132"/>
  <c r="E215" i="132"/>
  <c r="C215" i="132"/>
  <c r="P214" i="132"/>
  <c r="N214" i="132"/>
  <c r="M214" i="132"/>
  <c r="L214" i="132"/>
  <c r="E214" i="132"/>
  <c r="P213" i="132"/>
  <c r="N213" i="132"/>
  <c r="M213" i="132"/>
  <c r="L213" i="132"/>
  <c r="E213" i="132"/>
  <c r="P212" i="132"/>
  <c r="N212" i="132"/>
  <c r="M212" i="132"/>
  <c r="L212" i="132"/>
  <c r="E212" i="132"/>
  <c r="P211" i="132"/>
  <c r="N211" i="132"/>
  <c r="M211" i="132"/>
  <c r="L211" i="132"/>
  <c r="E211" i="132"/>
  <c r="P210" i="132"/>
  <c r="N210" i="132"/>
  <c r="M210" i="132"/>
  <c r="L210" i="132"/>
  <c r="E210" i="132"/>
  <c r="P209" i="132"/>
  <c r="N209" i="132"/>
  <c r="M209" i="132"/>
  <c r="L209" i="132"/>
  <c r="E209" i="132"/>
  <c r="P208" i="132"/>
  <c r="N208" i="132"/>
  <c r="M208" i="132"/>
  <c r="L208" i="132"/>
  <c r="E208" i="132"/>
  <c r="C208" i="132"/>
  <c r="P207" i="132"/>
  <c r="N207" i="132"/>
  <c r="M207" i="132"/>
  <c r="L207" i="132"/>
  <c r="E207" i="132"/>
  <c r="P206" i="132"/>
  <c r="N206" i="132"/>
  <c r="M206" i="132"/>
  <c r="L206" i="132"/>
  <c r="E206" i="132"/>
  <c r="P205" i="132"/>
  <c r="N205" i="132"/>
  <c r="M205" i="132"/>
  <c r="L205" i="132"/>
  <c r="E205" i="132"/>
  <c r="P204" i="132"/>
  <c r="N204" i="132"/>
  <c r="M204" i="132"/>
  <c r="L204" i="132"/>
  <c r="E204" i="132"/>
  <c r="P203" i="132"/>
  <c r="N203" i="132"/>
  <c r="M203" i="132"/>
  <c r="L203" i="132"/>
  <c r="E203" i="132"/>
  <c r="P202" i="132"/>
  <c r="N202" i="132"/>
  <c r="M202" i="132"/>
  <c r="L202" i="132"/>
  <c r="E202" i="132"/>
  <c r="P201" i="132"/>
  <c r="N201" i="132"/>
  <c r="M201" i="132"/>
  <c r="L201" i="132"/>
  <c r="E201" i="132"/>
  <c r="C201" i="132"/>
  <c r="P200" i="132"/>
  <c r="N200" i="132"/>
  <c r="M200" i="132"/>
  <c r="L200" i="132"/>
  <c r="E200" i="132"/>
  <c r="P199" i="132"/>
  <c r="N199" i="132"/>
  <c r="M199" i="132"/>
  <c r="L199" i="132"/>
  <c r="E199" i="132"/>
  <c r="P198" i="132"/>
  <c r="N198" i="132"/>
  <c r="M198" i="132"/>
  <c r="L198" i="132"/>
  <c r="E198" i="132"/>
  <c r="P197" i="132"/>
  <c r="N197" i="132"/>
  <c r="M197" i="132"/>
  <c r="L197" i="132"/>
  <c r="E197" i="132"/>
  <c r="P196" i="132"/>
  <c r="N196" i="132"/>
  <c r="M196" i="132"/>
  <c r="L196" i="132"/>
  <c r="E196" i="132"/>
  <c r="P195" i="132"/>
  <c r="N195" i="132"/>
  <c r="M195" i="132"/>
  <c r="L195" i="132"/>
  <c r="E195" i="132"/>
  <c r="P191" i="132"/>
  <c r="N191" i="132"/>
  <c r="M191" i="132"/>
  <c r="L191" i="132"/>
  <c r="E191" i="132"/>
  <c r="C191" i="132"/>
  <c r="P190" i="132"/>
  <c r="N190" i="132"/>
  <c r="M190" i="132"/>
  <c r="L190" i="132"/>
  <c r="P189" i="132"/>
  <c r="N189" i="132"/>
  <c r="M189" i="132"/>
  <c r="L189" i="132"/>
  <c r="E189" i="132"/>
  <c r="P188" i="132"/>
  <c r="N188" i="132"/>
  <c r="M188" i="132"/>
  <c r="L188" i="132"/>
  <c r="E188" i="132"/>
  <c r="C188" i="132"/>
  <c r="P187" i="132"/>
  <c r="N187" i="132"/>
  <c r="M187" i="132"/>
  <c r="L187" i="132"/>
  <c r="P186" i="132"/>
  <c r="N186" i="132"/>
  <c r="M186" i="132"/>
  <c r="L186" i="132"/>
  <c r="E186" i="132"/>
  <c r="P185" i="132"/>
  <c r="N185" i="132"/>
  <c r="M185" i="132"/>
  <c r="L185" i="132"/>
  <c r="E185" i="132"/>
  <c r="C185" i="132"/>
  <c r="P184" i="132"/>
  <c r="N184" i="132"/>
  <c r="M184" i="132"/>
  <c r="L184" i="132"/>
  <c r="P183" i="132"/>
  <c r="N183" i="132"/>
  <c r="M183" i="132"/>
  <c r="L183" i="132"/>
  <c r="E183" i="132"/>
  <c r="P182" i="132"/>
  <c r="N182" i="132"/>
  <c r="M182" i="132"/>
  <c r="L182" i="132"/>
  <c r="E182" i="132"/>
  <c r="C182" i="132"/>
  <c r="P181" i="132"/>
  <c r="N181" i="132"/>
  <c r="M181" i="132"/>
  <c r="L181" i="132"/>
  <c r="P180" i="132"/>
  <c r="N180" i="132"/>
  <c r="M180" i="132"/>
  <c r="L180" i="132"/>
  <c r="E180" i="132"/>
  <c r="P179" i="132"/>
  <c r="N179" i="132"/>
  <c r="M179" i="132"/>
  <c r="L179" i="132"/>
  <c r="E179" i="132"/>
  <c r="C179" i="132"/>
  <c r="P178" i="132"/>
  <c r="N178" i="132"/>
  <c r="M178" i="132"/>
  <c r="L178" i="132"/>
  <c r="P177" i="132"/>
  <c r="N177" i="132"/>
  <c r="M177" i="132"/>
  <c r="L177" i="132"/>
  <c r="E177" i="132"/>
  <c r="P176" i="132"/>
  <c r="N176" i="132"/>
  <c r="M176" i="132"/>
  <c r="L176" i="132"/>
  <c r="E176" i="132"/>
  <c r="C176" i="132"/>
  <c r="P175" i="132"/>
  <c r="N175" i="132"/>
  <c r="M175" i="132"/>
  <c r="L175" i="132"/>
  <c r="P174" i="132"/>
  <c r="N174" i="132"/>
  <c r="M174" i="132"/>
  <c r="L174" i="132"/>
  <c r="E174" i="132"/>
  <c r="P173" i="132"/>
  <c r="N173" i="132"/>
  <c r="M173" i="132"/>
  <c r="L173" i="132"/>
  <c r="E173" i="132"/>
  <c r="C173" i="132"/>
  <c r="P172" i="132"/>
  <c r="N172" i="132"/>
  <c r="M172" i="132"/>
  <c r="L172" i="132"/>
  <c r="E172" i="132"/>
  <c r="P171" i="132"/>
  <c r="N171" i="132"/>
  <c r="M171" i="132"/>
  <c r="L171" i="132"/>
  <c r="E171" i="132"/>
  <c r="P170" i="132"/>
  <c r="N170" i="132"/>
  <c r="M170" i="132"/>
  <c r="L170" i="132"/>
  <c r="E170" i="132"/>
  <c r="P169" i="132"/>
  <c r="N169" i="132"/>
  <c r="M169" i="132"/>
  <c r="L169" i="132"/>
  <c r="E169" i="132"/>
  <c r="P168" i="132"/>
  <c r="N168" i="132"/>
  <c r="M168" i="132"/>
  <c r="L168" i="132"/>
  <c r="E168" i="132"/>
  <c r="P167" i="132"/>
  <c r="N167" i="132"/>
  <c r="M167" i="132"/>
  <c r="L167" i="132"/>
  <c r="E167" i="132"/>
  <c r="P166" i="132"/>
  <c r="N166" i="132"/>
  <c r="M166" i="132"/>
  <c r="L166" i="132"/>
  <c r="E166" i="132"/>
  <c r="C166" i="132"/>
  <c r="P165" i="132"/>
  <c r="N165" i="132"/>
  <c r="M165" i="132"/>
  <c r="L165" i="132"/>
  <c r="E165" i="132"/>
  <c r="P164" i="132"/>
  <c r="N164" i="132"/>
  <c r="M164" i="132"/>
  <c r="L164" i="132"/>
  <c r="E164" i="132"/>
  <c r="P163" i="132"/>
  <c r="N163" i="132"/>
  <c r="M163" i="132"/>
  <c r="L163" i="132"/>
  <c r="E163" i="132"/>
  <c r="P162" i="132"/>
  <c r="N162" i="132"/>
  <c r="M162" i="132"/>
  <c r="L162" i="132"/>
  <c r="E162" i="132"/>
  <c r="P161" i="132"/>
  <c r="N161" i="132"/>
  <c r="M161" i="132"/>
  <c r="L161" i="132"/>
  <c r="E161" i="132"/>
  <c r="P160" i="132"/>
  <c r="N160" i="132"/>
  <c r="M160" i="132"/>
  <c r="L160" i="132"/>
  <c r="E160" i="132"/>
  <c r="P159" i="132"/>
  <c r="N159" i="132"/>
  <c r="M159" i="132"/>
  <c r="L159" i="132"/>
  <c r="E159" i="132"/>
  <c r="C159" i="132"/>
  <c r="P158" i="132"/>
  <c r="N158" i="132"/>
  <c r="M158" i="132"/>
  <c r="L158" i="132"/>
  <c r="E158" i="132"/>
  <c r="P157" i="132"/>
  <c r="N157" i="132"/>
  <c r="M157" i="132"/>
  <c r="L157" i="132"/>
  <c r="E157" i="132"/>
  <c r="P156" i="132"/>
  <c r="N156" i="132"/>
  <c r="M156" i="132"/>
  <c r="L156" i="132"/>
  <c r="E156" i="132"/>
  <c r="P155" i="132"/>
  <c r="N155" i="132"/>
  <c r="M155" i="132"/>
  <c r="L155" i="132"/>
  <c r="E155" i="132"/>
  <c r="P154" i="132"/>
  <c r="N154" i="132"/>
  <c r="M154" i="132"/>
  <c r="L154" i="132"/>
  <c r="E154" i="132"/>
  <c r="P153" i="132"/>
  <c r="N153" i="132"/>
  <c r="M153" i="132"/>
  <c r="L153" i="132"/>
  <c r="E153" i="132"/>
  <c r="P152" i="132"/>
  <c r="N152" i="132"/>
  <c r="M152" i="132"/>
  <c r="L152" i="132"/>
  <c r="E152" i="132"/>
  <c r="C152" i="132"/>
  <c r="P151" i="132"/>
  <c r="N151" i="132"/>
  <c r="M151" i="132"/>
  <c r="L151" i="132"/>
  <c r="E151" i="132"/>
  <c r="P150" i="132"/>
  <c r="N150" i="132"/>
  <c r="M150" i="132"/>
  <c r="L150" i="132"/>
  <c r="E150" i="132"/>
  <c r="P149" i="132"/>
  <c r="N149" i="132"/>
  <c r="M149" i="132"/>
  <c r="L149" i="132"/>
  <c r="E149" i="132"/>
  <c r="P148" i="132"/>
  <c r="N148" i="132"/>
  <c r="M148" i="132"/>
  <c r="L148" i="132"/>
  <c r="E148" i="132"/>
  <c r="P147" i="132"/>
  <c r="N147" i="132"/>
  <c r="M147" i="132"/>
  <c r="L147" i="132"/>
  <c r="E147" i="132"/>
  <c r="P146" i="132"/>
  <c r="N146" i="132"/>
  <c r="M146" i="132"/>
  <c r="L146" i="132"/>
  <c r="E146" i="132"/>
  <c r="P145" i="132"/>
  <c r="N145" i="132"/>
  <c r="M145" i="132"/>
  <c r="L145" i="132"/>
  <c r="E145" i="132"/>
  <c r="P144" i="132"/>
  <c r="N144" i="132"/>
  <c r="M144" i="132"/>
  <c r="L144" i="132"/>
  <c r="E144" i="132"/>
  <c r="P143" i="132"/>
  <c r="N143" i="132"/>
  <c r="M143" i="132"/>
  <c r="L143" i="132"/>
  <c r="E143" i="132"/>
  <c r="P142" i="132"/>
  <c r="N142" i="132"/>
  <c r="M142" i="132"/>
  <c r="L142" i="132"/>
  <c r="E142" i="132"/>
  <c r="P141" i="132"/>
  <c r="N141" i="132"/>
  <c r="M141" i="132"/>
  <c r="L141" i="132"/>
  <c r="E141" i="132"/>
  <c r="P140" i="132"/>
  <c r="N140" i="132"/>
  <c r="M140" i="132"/>
  <c r="L140" i="132"/>
  <c r="E140" i="132"/>
  <c r="P139" i="132"/>
  <c r="N139" i="132"/>
  <c r="M139" i="132"/>
  <c r="L139" i="132"/>
  <c r="E139" i="132"/>
  <c r="P138" i="132"/>
  <c r="N138" i="132"/>
  <c r="M138" i="132"/>
  <c r="L138" i="132"/>
  <c r="E138" i="132"/>
  <c r="P134" i="132"/>
  <c r="N134" i="132"/>
  <c r="M134" i="132"/>
  <c r="L134" i="132"/>
  <c r="E134" i="132"/>
  <c r="C134" i="132"/>
  <c r="P133" i="132"/>
  <c r="N133" i="132"/>
  <c r="M133" i="132"/>
  <c r="L133" i="132"/>
  <c r="P132" i="132"/>
  <c r="N132" i="132"/>
  <c r="M132" i="132"/>
  <c r="L132" i="132"/>
  <c r="E132" i="132"/>
  <c r="P131" i="132"/>
  <c r="N131" i="132"/>
  <c r="M131" i="132"/>
  <c r="L131" i="132"/>
  <c r="E131" i="132"/>
  <c r="C131" i="132"/>
  <c r="P130" i="132"/>
  <c r="N130" i="132"/>
  <c r="M130" i="132"/>
  <c r="L130" i="132"/>
  <c r="P129" i="132"/>
  <c r="N129" i="132"/>
  <c r="M129" i="132"/>
  <c r="L129" i="132"/>
  <c r="E129" i="132"/>
  <c r="P128" i="132"/>
  <c r="N128" i="132"/>
  <c r="M128" i="132"/>
  <c r="L128" i="132"/>
  <c r="E128" i="132"/>
  <c r="C128" i="132"/>
  <c r="P127" i="132"/>
  <c r="N127" i="132"/>
  <c r="M127" i="132"/>
  <c r="L127" i="132"/>
  <c r="P126" i="132"/>
  <c r="N126" i="132"/>
  <c r="M126" i="132"/>
  <c r="L126" i="132"/>
  <c r="E126" i="132"/>
  <c r="P125" i="132"/>
  <c r="N125" i="132"/>
  <c r="M125" i="132"/>
  <c r="L125" i="132"/>
  <c r="E125" i="132"/>
  <c r="C125" i="132"/>
  <c r="P124" i="132"/>
  <c r="N124" i="132"/>
  <c r="M124" i="132"/>
  <c r="L124" i="132"/>
  <c r="P123" i="132"/>
  <c r="N123" i="132"/>
  <c r="M123" i="132"/>
  <c r="L123" i="132"/>
  <c r="E123" i="132"/>
  <c r="P122" i="132"/>
  <c r="N122" i="132"/>
  <c r="M122" i="132"/>
  <c r="L122" i="132"/>
  <c r="E122" i="132"/>
  <c r="C122" i="132"/>
  <c r="P121" i="132"/>
  <c r="N121" i="132"/>
  <c r="M121" i="132"/>
  <c r="L121" i="132"/>
  <c r="P120" i="132"/>
  <c r="N120" i="132"/>
  <c r="M120" i="132"/>
  <c r="L120" i="132"/>
  <c r="E120" i="132"/>
  <c r="P119" i="132"/>
  <c r="N119" i="132"/>
  <c r="M119" i="132"/>
  <c r="L119" i="132"/>
  <c r="E119" i="132"/>
  <c r="C119" i="132"/>
  <c r="P118" i="132"/>
  <c r="N118" i="132"/>
  <c r="M118" i="132"/>
  <c r="L118" i="132"/>
  <c r="P117" i="132"/>
  <c r="N117" i="132"/>
  <c r="M117" i="132"/>
  <c r="L117" i="132"/>
  <c r="E117" i="132"/>
  <c r="P116" i="132"/>
  <c r="N116" i="132"/>
  <c r="M116" i="132"/>
  <c r="L116" i="132"/>
  <c r="E116" i="132"/>
  <c r="C116" i="132"/>
  <c r="P115" i="132"/>
  <c r="N115" i="132"/>
  <c r="M115" i="132"/>
  <c r="L115" i="132"/>
  <c r="P114" i="132"/>
  <c r="N114" i="132"/>
  <c r="M114" i="132"/>
  <c r="L114" i="132"/>
  <c r="E114" i="132"/>
  <c r="P113" i="132"/>
  <c r="N113" i="132"/>
  <c r="M113" i="132"/>
  <c r="L113" i="132"/>
  <c r="E113" i="132"/>
  <c r="C113" i="132"/>
  <c r="P112" i="132"/>
  <c r="N112" i="132"/>
  <c r="M112" i="132"/>
  <c r="L112" i="132"/>
  <c r="P111" i="132"/>
  <c r="N111" i="132"/>
  <c r="M111" i="132"/>
  <c r="L111" i="132"/>
  <c r="E111" i="132"/>
  <c r="P110" i="132"/>
  <c r="N110" i="132"/>
  <c r="M110" i="132"/>
  <c r="L110" i="132"/>
  <c r="E110" i="132"/>
  <c r="C110" i="132"/>
  <c r="P109" i="132"/>
  <c r="N109" i="132"/>
  <c r="M109" i="132"/>
  <c r="L109" i="132"/>
  <c r="E109" i="132"/>
  <c r="P108" i="132"/>
  <c r="N108" i="132"/>
  <c r="M108" i="132"/>
  <c r="L108" i="132"/>
  <c r="E108" i="132"/>
  <c r="P107" i="132"/>
  <c r="N107" i="132"/>
  <c r="M107" i="132"/>
  <c r="L107" i="132"/>
  <c r="E107" i="132"/>
  <c r="P106" i="132"/>
  <c r="N106" i="132"/>
  <c r="M106" i="132"/>
  <c r="L106" i="132"/>
  <c r="E106" i="132"/>
  <c r="P105" i="132"/>
  <c r="N105" i="132"/>
  <c r="M105" i="132"/>
  <c r="L105" i="132"/>
  <c r="E105" i="132"/>
  <c r="P104" i="132"/>
  <c r="N104" i="132"/>
  <c r="M104" i="132"/>
  <c r="L104" i="132"/>
  <c r="E104" i="132"/>
  <c r="P103" i="132"/>
  <c r="N103" i="132"/>
  <c r="M103" i="132"/>
  <c r="L103" i="132"/>
  <c r="E103" i="132"/>
  <c r="C103" i="132"/>
  <c r="P102" i="132"/>
  <c r="N102" i="132"/>
  <c r="M102" i="132"/>
  <c r="L102" i="132"/>
  <c r="E102" i="132"/>
  <c r="P101" i="132"/>
  <c r="N101" i="132"/>
  <c r="M101" i="132"/>
  <c r="L101" i="132"/>
  <c r="E101" i="132"/>
  <c r="P100" i="132"/>
  <c r="N100" i="132"/>
  <c r="M100" i="132"/>
  <c r="L100" i="132"/>
  <c r="E100" i="132"/>
  <c r="P99" i="132"/>
  <c r="N99" i="132"/>
  <c r="M99" i="132"/>
  <c r="L99" i="132"/>
  <c r="E99" i="132"/>
  <c r="P98" i="132"/>
  <c r="N98" i="132"/>
  <c r="M98" i="132"/>
  <c r="L98" i="132"/>
  <c r="E98" i="132"/>
  <c r="P97" i="132"/>
  <c r="N97" i="132"/>
  <c r="M97" i="132"/>
  <c r="L97" i="132"/>
  <c r="E97" i="132"/>
  <c r="P96" i="132"/>
  <c r="N96" i="132"/>
  <c r="M96" i="132"/>
  <c r="L96" i="132"/>
  <c r="E96" i="132"/>
  <c r="C96" i="132"/>
  <c r="P95" i="132"/>
  <c r="N95" i="132"/>
  <c r="M95" i="132"/>
  <c r="L95" i="132"/>
  <c r="E95" i="132"/>
  <c r="P94" i="132"/>
  <c r="N94" i="132"/>
  <c r="M94" i="132"/>
  <c r="L94" i="132"/>
  <c r="E94" i="132"/>
  <c r="P93" i="132"/>
  <c r="N93" i="132"/>
  <c r="M93" i="132"/>
  <c r="L93" i="132"/>
  <c r="E93" i="132"/>
  <c r="P92" i="132"/>
  <c r="N92" i="132"/>
  <c r="M92" i="132"/>
  <c r="L92" i="132"/>
  <c r="E92" i="132"/>
  <c r="P91" i="132"/>
  <c r="N91" i="132"/>
  <c r="M91" i="132"/>
  <c r="L91" i="132"/>
  <c r="E91" i="132"/>
  <c r="P90" i="132"/>
  <c r="N90" i="132"/>
  <c r="M90" i="132"/>
  <c r="L90" i="132"/>
  <c r="E90" i="132"/>
  <c r="P89" i="132"/>
  <c r="N89" i="132"/>
  <c r="M89" i="132"/>
  <c r="L89" i="132"/>
  <c r="E89" i="132"/>
  <c r="C89" i="132"/>
  <c r="P88" i="132"/>
  <c r="N88" i="132"/>
  <c r="M88" i="132"/>
  <c r="L88" i="132"/>
  <c r="E88" i="132"/>
  <c r="P87" i="132"/>
  <c r="N87" i="132"/>
  <c r="M87" i="132"/>
  <c r="L87" i="132"/>
  <c r="E87" i="132"/>
  <c r="P86" i="132"/>
  <c r="N86" i="132"/>
  <c r="M86" i="132"/>
  <c r="L86" i="132"/>
  <c r="E86" i="132"/>
  <c r="P85" i="132"/>
  <c r="N85" i="132"/>
  <c r="M85" i="132"/>
  <c r="L85" i="132"/>
  <c r="E85" i="132"/>
  <c r="P84" i="132"/>
  <c r="N84" i="132"/>
  <c r="M84" i="132"/>
  <c r="L84" i="132"/>
  <c r="E84" i="132"/>
  <c r="P83" i="132"/>
  <c r="N83" i="132"/>
  <c r="M83" i="132"/>
  <c r="L83" i="132"/>
  <c r="E83" i="132"/>
  <c r="P82" i="132"/>
  <c r="N82" i="132"/>
  <c r="M82" i="132"/>
  <c r="L82" i="132"/>
  <c r="E82" i="132"/>
  <c r="P81" i="132"/>
  <c r="N81" i="132"/>
  <c r="M81" i="132"/>
  <c r="L81" i="132"/>
  <c r="E81" i="132"/>
  <c r="P80" i="132"/>
  <c r="N80" i="132"/>
  <c r="M80" i="132"/>
  <c r="L80" i="132"/>
  <c r="E80" i="132"/>
  <c r="P79" i="132"/>
  <c r="N79" i="132"/>
  <c r="M79" i="132"/>
  <c r="L79" i="132"/>
  <c r="E79" i="132"/>
  <c r="P78" i="132"/>
  <c r="N78" i="132"/>
  <c r="M78" i="132"/>
  <c r="L78" i="132"/>
  <c r="E78" i="132"/>
  <c r="P77" i="132"/>
  <c r="N77" i="132"/>
  <c r="M77" i="132"/>
  <c r="L77" i="132"/>
  <c r="E77" i="132"/>
  <c r="P76" i="132"/>
  <c r="N76" i="132"/>
  <c r="M76" i="132"/>
  <c r="L76" i="132"/>
  <c r="E76" i="132"/>
  <c r="P75" i="132"/>
  <c r="N75" i="132"/>
  <c r="M75" i="132"/>
  <c r="L75" i="132"/>
  <c r="E75" i="132"/>
  <c r="P71" i="132"/>
  <c r="N71" i="132"/>
  <c r="M71" i="132"/>
  <c r="L71" i="132"/>
  <c r="E71" i="132"/>
  <c r="C71" i="132"/>
  <c r="P70" i="132"/>
  <c r="N70" i="132"/>
  <c r="M70" i="132"/>
  <c r="L70" i="132"/>
  <c r="P69" i="132"/>
  <c r="N69" i="132"/>
  <c r="M69" i="132"/>
  <c r="L69" i="132"/>
  <c r="E69" i="132"/>
  <c r="P68" i="132"/>
  <c r="N68" i="132"/>
  <c r="M68" i="132"/>
  <c r="L68" i="132"/>
  <c r="E68" i="132"/>
  <c r="C68" i="132"/>
  <c r="P67" i="132"/>
  <c r="N67" i="132"/>
  <c r="M67" i="132"/>
  <c r="L67" i="132"/>
  <c r="P66" i="132"/>
  <c r="N66" i="132"/>
  <c r="M66" i="132"/>
  <c r="L66" i="132"/>
  <c r="E66" i="132"/>
  <c r="P65" i="132"/>
  <c r="N65" i="132"/>
  <c r="M65" i="132"/>
  <c r="L65" i="132"/>
  <c r="E65" i="132"/>
  <c r="C65" i="132"/>
  <c r="P64" i="132"/>
  <c r="N64" i="132"/>
  <c r="M64" i="132"/>
  <c r="L64" i="132"/>
  <c r="P63" i="132"/>
  <c r="N63" i="132"/>
  <c r="M63" i="132"/>
  <c r="L63" i="132"/>
  <c r="E63" i="132"/>
  <c r="P62" i="132"/>
  <c r="N62" i="132"/>
  <c r="M62" i="132"/>
  <c r="L62" i="132"/>
  <c r="E62" i="132"/>
  <c r="C62" i="132"/>
  <c r="P61" i="132"/>
  <c r="N61" i="132"/>
  <c r="M61" i="132"/>
  <c r="L61" i="132"/>
  <c r="E61" i="132"/>
  <c r="P60" i="132"/>
  <c r="N60" i="132"/>
  <c r="M60" i="132"/>
  <c r="L60" i="132"/>
  <c r="E60" i="132"/>
  <c r="P59" i="132"/>
  <c r="N59" i="132"/>
  <c r="M59" i="132"/>
  <c r="L59" i="132"/>
  <c r="E59" i="132"/>
  <c r="C59" i="132"/>
  <c r="P58" i="132"/>
  <c r="N58" i="132"/>
  <c r="M58" i="132"/>
  <c r="L58" i="132"/>
  <c r="P57" i="132"/>
  <c r="N57" i="132"/>
  <c r="M57" i="132"/>
  <c r="L57" i="132"/>
  <c r="E57" i="132"/>
  <c r="P56" i="132"/>
  <c r="N56" i="132"/>
  <c r="M56" i="132"/>
  <c r="L56" i="132"/>
  <c r="E56" i="132"/>
  <c r="C56" i="132"/>
  <c r="P55" i="132"/>
  <c r="N55" i="132"/>
  <c r="M55" i="132"/>
  <c r="L55" i="132"/>
  <c r="P54" i="132"/>
  <c r="N54" i="132"/>
  <c r="M54" i="132"/>
  <c r="L54" i="132"/>
  <c r="E54" i="132"/>
  <c r="P53" i="132"/>
  <c r="N53" i="132"/>
  <c r="M53" i="132"/>
  <c r="L53" i="132"/>
  <c r="E53" i="132"/>
  <c r="C53" i="132"/>
  <c r="P52" i="132"/>
  <c r="N52" i="132"/>
  <c r="M52" i="132"/>
  <c r="L52" i="132"/>
  <c r="P51" i="132"/>
  <c r="N51" i="132"/>
  <c r="M51" i="132"/>
  <c r="L51" i="132"/>
  <c r="E51" i="132"/>
  <c r="P50" i="132"/>
  <c r="N50" i="132"/>
  <c r="M50" i="132"/>
  <c r="L50" i="132"/>
  <c r="E50" i="132"/>
  <c r="C50" i="132"/>
  <c r="P49" i="132"/>
  <c r="N49" i="132"/>
  <c r="M49" i="132"/>
  <c r="L49" i="132"/>
  <c r="P48" i="132"/>
  <c r="N48" i="132"/>
  <c r="M48" i="132"/>
  <c r="L48" i="132"/>
  <c r="E48" i="132"/>
  <c r="P47" i="132"/>
  <c r="N47" i="132"/>
  <c r="M47" i="132"/>
  <c r="L47" i="132"/>
  <c r="E47" i="132"/>
  <c r="C47" i="132"/>
  <c r="P46" i="132"/>
  <c r="N46" i="132"/>
  <c r="M46" i="132"/>
  <c r="L46" i="132"/>
  <c r="P45" i="132"/>
  <c r="N45" i="132"/>
  <c r="M45" i="132"/>
  <c r="L45" i="132"/>
  <c r="E45" i="132"/>
  <c r="P44" i="132"/>
  <c r="N44" i="132"/>
  <c r="M44" i="132"/>
  <c r="L44" i="132"/>
  <c r="E44" i="132"/>
  <c r="C44" i="132"/>
  <c r="P43" i="132"/>
  <c r="N43" i="132"/>
  <c r="M43" i="132"/>
  <c r="L43" i="132"/>
  <c r="P42" i="132"/>
  <c r="N42" i="132"/>
  <c r="M42" i="132"/>
  <c r="L42" i="132"/>
  <c r="E42" i="132"/>
  <c r="P41" i="132"/>
  <c r="N41" i="132"/>
  <c r="M41" i="132"/>
  <c r="L41" i="132"/>
  <c r="E41" i="132"/>
  <c r="C41" i="132"/>
  <c r="P40" i="132"/>
  <c r="N40" i="132"/>
  <c r="M40" i="132"/>
  <c r="L40" i="132"/>
  <c r="E40" i="132"/>
  <c r="P39" i="132"/>
  <c r="N39" i="132"/>
  <c r="M39" i="132"/>
  <c r="L39" i="132"/>
  <c r="E39" i="132"/>
  <c r="P38" i="132"/>
  <c r="N38" i="132"/>
  <c r="M38" i="132"/>
  <c r="L38" i="132"/>
  <c r="E38" i="132"/>
  <c r="P37" i="132"/>
  <c r="N37" i="132"/>
  <c r="M37" i="132"/>
  <c r="L37" i="132"/>
  <c r="E37" i="132"/>
  <c r="P36" i="132"/>
  <c r="N36" i="132"/>
  <c r="M36" i="132"/>
  <c r="L36" i="132"/>
  <c r="E36" i="132"/>
  <c r="P35" i="132"/>
  <c r="N35" i="132"/>
  <c r="M35" i="132"/>
  <c r="L35" i="132"/>
  <c r="E35" i="132"/>
  <c r="P34" i="132"/>
  <c r="N34" i="132"/>
  <c r="M34" i="132"/>
  <c r="L34" i="132"/>
  <c r="E34" i="132"/>
  <c r="C34" i="132"/>
  <c r="P33" i="132"/>
  <c r="N33" i="132"/>
  <c r="M33" i="132"/>
  <c r="L33" i="132"/>
  <c r="E33" i="132"/>
  <c r="P32" i="132"/>
  <c r="N32" i="132"/>
  <c r="M32" i="132"/>
  <c r="L32" i="132"/>
  <c r="E32" i="132"/>
  <c r="P31" i="132"/>
  <c r="N31" i="132"/>
  <c r="M31" i="132"/>
  <c r="L31" i="132"/>
  <c r="E31" i="132"/>
  <c r="P30" i="132"/>
  <c r="N30" i="132"/>
  <c r="M30" i="132"/>
  <c r="L30" i="132"/>
  <c r="E30" i="132"/>
  <c r="P29" i="132"/>
  <c r="N29" i="132"/>
  <c r="M29" i="132"/>
  <c r="L29" i="132"/>
  <c r="E29" i="132"/>
  <c r="P28" i="132"/>
  <c r="N28" i="132"/>
  <c r="M28" i="132"/>
  <c r="L28" i="132"/>
  <c r="E28" i="132"/>
  <c r="P27" i="132"/>
  <c r="N27" i="132"/>
  <c r="M27" i="132"/>
  <c r="L27" i="132"/>
  <c r="E27" i="132"/>
  <c r="C27" i="132"/>
  <c r="P26" i="132"/>
  <c r="N26" i="132"/>
  <c r="M26" i="132"/>
  <c r="L26" i="132"/>
  <c r="E26" i="132"/>
  <c r="P25" i="132"/>
  <c r="N25" i="132"/>
  <c r="M25" i="132"/>
  <c r="L25" i="132"/>
  <c r="E25" i="132"/>
  <c r="P24" i="132"/>
  <c r="N24" i="132"/>
  <c r="M24" i="132"/>
  <c r="L24" i="132"/>
  <c r="E24" i="132"/>
  <c r="P23" i="132"/>
  <c r="N23" i="132"/>
  <c r="M23" i="132"/>
  <c r="L23" i="132"/>
  <c r="E23" i="132"/>
  <c r="P22" i="132"/>
  <c r="N22" i="132"/>
  <c r="M22" i="132"/>
  <c r="L22" i="132"/>
  <c r="E22" i="132"/>
  <c r="P21" i="132"/>
  <c r="N21" i="132"/>
  <c r="M21" i="132"/>
  <c r="L21" i="132"/>
  <c r="E21" i="132"/>
  <c r="P20" i="132"/>
  <c r="N20" i="132"/>
  <c r="M20" i="132"/>
  <c r="L20" i="132"/>
  <c r="E20" i="132"/>
  <c r="C20" i="132"/>
  <c r="P19" i="132"/>
  <c r="N19" i="132"/>
  <c r="M19" i="132"/>
  <c r="L19" i="132"/>
  <c r="E19" i="132"/>
  <c r="P18" i="132"/>
  <c r="N18" i="132"/>
  <c r="M18" i="132"/>
  <c r="L18" i="132"/>
  <c r="E18" i="132"/>
  <c r="P17" i="132"/>
  <c r="N17" i="132"/>
  <c r="M17" i="132"/>
  <c r="L17" i="132"/>
  <c r="E17" i="132"/>
  <c r="P16" i="132"/>
  <c r="N16" i="132"/>
  <c r="M16" i="132"/>
  <c r="L16" i="132"/>
  <c r="E16" i="132"/>
  <c r="P15" i="132"/>
  <c r="N15" i="132"/>
  <c r="M15" i="132"/>
  <c r="L15" i="132"/>
  <c r="E15" i="132"/>
  <c r="P14" i="132"/>
  <c r="N14" i="132"/>
  <c r="M14" i="132"/>
  <c r="L14" i="132"/>
  <c r="E14" i="132"/>
  <c r="P13" i="132"/>
  <c r="N13" i="132"/>
  <c r="M13" i="132"/>
  <c r="L13" i="132"/>
  <c r="E13" i="132"/>
  <c r="P12" i="132"/>
  <c r="N12" i="132"/>
  <c r="M12" i="132"/>
  <c r="L12" i="132"/>
  <c r="E12" i="132"/>
  <c r="P11" i="132"/>
  <c r="N11" i="132"/>
  <c r="M11" i="132"/>
  <c r="L11" i="132"/>
  <c r="E11" i="132"/>
  <c r="P10" i="132"/>
  <c r="N10" i="132"/>
  <c r="M10" i="132"/>
  <c r="L10" i="132"/>
  <c r="E10" i="132"/>
  <c r="P9" i="132"/>
  <c r="N9" i="132"/>
  <c r="M9" i="132"/>
  <c r="L9" i="132"/>
  <c r="E9" i="132"/>
  <c r="P8" i="132"/>
  <c r="N8" i="132"/>
  <c r="M8" i="132"/>
  <c r="L8" i="132"/>
  <c r="E8" i="132"/>
  <c r="P7" i="132"/>
  <c r="N7" i="132"/>
  <c r="M7" i="132"/>
  <c r="L7" i="132"/>
  <c r="E7" i="132"/>
  <c r="P6" i="132"/>
  <c r="N6" i="132"/>
  <c r="M6" i="132"/>
  <c r="L6" i="132"/>
  <c r="E6" i="132"/>
  <c r="S623" i="131"/>
  <c r="Q623" i="131"/>
  <c r="O623" i="131"/>
  <c r="S622" i="131"/>
  <c r="Q622" i="131"/>
  <c r="O622" i="131"/>
  <c r="S621" i="131"/>
  <c r="Q621" i="131"/>
  <c r="O621" i="131"/>
  <c r="S620" i="131"/>
  <c r="Q620" i="131"/>
  <c r="O620" i="131"/>
  <c r="Q619" i="131"/>
  <c r="O619" i="131"/>
  <c r="S618" i="131"/>
  <c r="Q618" i="131"/>
  <c r="O618" i="131"/>
  <c r="S617" i="131"/>
  <c r="Q617" i="131"/>
  <c r="O617" i="131"/>
  <c r="S616" i="131"/>
  <c r="Q616" i="131"/>
  <c r="O616" i="131"/>
  <c r="S615" i="131"/>
  <c r="Q615" i="131"/>
  <c r="O615" i="131"/>
  <c r="Q614" i="131"/>
  <c r="O614" i="131"/>
  <c r="S613" i="131"/>
  <c r="Q613" i="131"/>
  <c r="O613" i="131"/>
  <c r="S612" i="131"/>
  <c r="Q612" i="131"/>
  <c r="O612" i="131"/>
  <c r="S611" i="131"/>
  <c r="Q611" i="131"/>
  <c r="O611" i="131"/>
  <c r="S610" i="131"/>
  <c r="Q610" i="131"/>
  <c r="O610" i="131"/>
  <c r="F610" i="131" s="1"/>
  <c r="Q609" i="131"/>
  <c r="O609" i="131"/>
  <c r="S608" i="131"/>
  <c r="Q608" i="131"/>
  <c r="O608" i="131"/>
  <c r="S607" i="131"/>
  <c r="Q607" i="131"/>
  <c r="O607" i="131"/>
  <c r="S606" i="131"/>
  <c r="Q606" i="131"/>
  <c r="O606" i="131"/>
  <c r="S605" i="131"/>
  <c r="Q605" i="131"/>
  <c r="O605" i="131"/>
  <c r="Q604" i="131"/>
  <c r="O604" i="131"/>
  <c r="S603" i="131"/>
  <c r="Q603" i="131"/>
  <c r="O603" i="131"/>
  <c r="S602" i="131"/>
  <c r="Q602" i="131"/>
  <c r="O602" i="131"/>
  <c r="S601" i="131"/>
  <c r="Q601" i="131"/>
  <c r="O601" i="131"/>
  <c r="S600" i="131"/>
  <c r="Q600" i="131"/>
  <c r="O600" i="131"/>
  <c r="Q599" i="131"/>
  <c r="O599" i="131"/>
  <c r="S598" i="131"/>
  <c r="Q598" i="131"/>
  <c r="O598" i="131"/>
  <c r="S597" i="131"/>
  <c r="Q597" i="131"/>
  <c r="O597" i="131"/>
  <c r="S596" i="131"/>
  <c r="Q596" i="131"/>
  <c r="O596" i="131"/>
  <c r="S595" i="131"/>
  <c r="Q595" i="131"/>
  <c r="O595" i="131"/>
  <c r="Q594" i="131"/>
  <c r="O594" i="131"/>
  <c r="S593" i="131"/>
  <c r="Q593" i="131"/>
  <c r="O593" i="131"/>
  <c r="S592" i="131"/>
  <c r="Q592" i="131"/>
  <c r="O592" i="131"/>
  <c r="S591" i="131"/>
  <c r="Q591" i="131"/>
  <c r="O591" i="131"/>
  <c r="S590" i="131"/>
  <c r="Q590" i="131"/>
  <c r="O590" i="131"/>
  <c r="S589" i="131"/>
  <c r="Q589" i="131"/>
  <c r="O589" i="131"/>
  <c r="S588" i="131"/>
  <c r="Q588" i="131"/>
  <c r="O588" i="131"/>
  <c r="S587" i="131"/>
  <c r="Q587" i="131"/>
  <c r="O587" i="131"/>
  <c r="Q586" i="131"/>
  <c r="O586" i="131"/>
  <c r="S585" i="131"/>
  <c r="Q585" i="131"/>
  <c r="O585" i="131"/>
  <c r="S584" i="131"/>
  <c r="Q584" i="131"/>
  <c r="O584" i="131"/>
  <c r="S583" i="131"/>
  <c r="Q583" i="131"/>
  <c r="O583" i="131"/>
  <c r="S582" i="131"/>
  <c r="Q582" i="131"/>
  <c r="O582" i="131"/>
  <c r="N582" i="131"/>
  <c r="M582" i="131"/>
  <c r="E576" i="131"/>
  <c r="E575" i="131"/>
  <c r="E574" i="131" s="1"/>
  <c r="S559" i="131"/>
  <c r="Q559" i="131"/>
  <c r="O559" i="131"/>
  <c r="S558" i="131"/>
  <c r="Q558" i="131"/>
  <c r="O558" i="131"/>
  <c r="S557" i="131"/>
  <c r="Q557" i="131"/>
  <c r="O557" i="131"/>
  <c r="S556" i="131"/>
  <c r="Q556" i="131"/>
  <c r="O556" i="131"/>
  <c r="S555" i="131"/>
  <c r="Q555" i="131"/>
  <c r="O555" i="131"/>
  <c r="S554" i="131"/>
  <c r="Q554" i="131"/>
  <c r="O554" i="131"/>
  <c r="S553" i="131"/>
  <c r="Q553" i="131"/>
  <c r="O553" i="131"/>
  <c r="Q552" i="131"/>
  <c r="O552" i="131"/>
  <c r="S551" i="131"/>
  <c r="Q551" i="131"/>
  <c r="O551" i="131"/>
  <c r="S550" i="131"/>
  <c r="Q550" i="131"/>
  <c r="O550" i="131"/>
  <c r="S549" i="131"/>
  <c r="Q549" i="131"/>
  <c r="O549" i="131"/>
  <c r="S548" i="131"/>
  <c r="Q548" i="131"/>
  <c r="O548" i="131"/>
  <c r="Q547" i="131"/>
  <c r="O547" i="131"/>
  <c r="S546" i="131"/>
  <c r="Q546" i="131"/>
  <c r="O546" i="131"/>
  <c r="S545" i="131"/>
  <c r="Q545" i="131"/>
  <c r="O545" i="131"/>
  <c r="S544" i="131"/>
  <c r="Q544" i="131"/>
  <c r="O544" i="131"/>
  <c r="S543" i="131"/>
  <c r="Q543" i="131"/>
  <c r="O543" i="131"/>
  <c r="Q542" i="131"/>
  <c r="O542" i="131"/>
  <c r="S541" i="131"/>
  <c r="Q541" i="131"/>
  <c r="O541" i="131"/>
  <c r="S540" i="131"/>
  <c r="Q540" i="131"/>
  <c r="O540" i="131"/>
  <c r="S539" i="131"/>
  <c r="Q539" i="131"/>
  <c r="O539" i="131"/>
  <c r="S538" i="131"/>
  <c r="Q538" i="131"/>
  <c r="O538" i="131"/>
  <c r="Q537" i="131"/>
  <c r="O537" i="131"/>
  <c r="S536" i="131"/>
  <c r="Q536" i="131"/>
  <c r="O536" i="131"/>
  <c r="S535" i="131"/>
  <c r="Q535" i="131"/>
  <c r="O535" i="131"/>
  <c r="S534" i="131"/>
  <c r="Q534" i="131"/>
  <c r="O534" i="131"/>
  <c r="S533" i="131"/>
  <c r="Q533" i="131"/>
  <c r="O533" i="131"/>
  <c r="Q532" i="131"/>
  <c r="O532" i="131"/>
  <c r="S531" i="131"/>
  <c r="Q531" i="131"/>
  <c r="O531" i="131"/>
  <c r="S530" i="131"/>
  <c r="Q530" i="131"/>
  <c r="O530" i="131"/>
  <c r="S529" i="131"/>
  <c r="Q529" i="131"/>
  <c r="O529" i="131"/>
  <c r="S528" i="131"/>
  <c r="Q528" i="131"/>
  <c r="O528" i="131"/>
  <c r="Q527" i="131"/>
  <c r="O527" i="131"/>
  <c r="S526" i="131"/>
  <c r="Q526" i="131"/>
  <c r="O526" i="131"/>
  <c r="S525" i="131"/>
  <c r="Q525" i="131"/>
  <c r="O525" i="131"/>
  <c r="S524" i="131"/>
  <c r="Q524" i="131"/>
  <c r="O524" i="131"/>
  <c r="S523" i="131"/>
  <c r="Q523" i="131"/>
  <c r="O523" i="131"/>
  <c r="S522" i="131"/>
  <c r="Q522" i="131"/>
  <c r="O522" i="131"/>
  <c r="S521" i="131"/>
  <c r="Q521" i="131"/>
  <c r="O521" i="131"/>
  <c r="S520" i="131"/>
  <c r="Q520" i="131"/>
  <c r="O520" i="131"/>
  <c r="Q519" i="131"/>
  <c r="O519" i="131"/>
  <c r="S518" i="131"/>
  <c r="Q518" i="131"/>
  <c r="O518" i="131"/>
  <c r="S517" i="131"/>
  <c r="Q517" i="131"/>
  <c r="O517" i="131"/>
  <c r="S516" i="131"/>
  <c r="Q516" i="131"/>
  <c r="O516" i="131"/>
  <c r="S515" i="131"/>
  <c r="Q515" i="131"/>
  <c r="O515" i="131"/>
  <c r="S514" i="131"/>
  <c r="Q514" i="131"/>
  <c r="O514" i="131"/>
  <c r="S513" i="131"/>
  <c r="Q513" i="131"/>
  <c r="O513" i="131"/>
  <c r="S512" i="131"/>
  <c r="Q512" i="131"/>
  <c r="O512" i="131"/>
  <c r="S511" i="131"/>
  <c r="Q511" i="131"/>
  <c r="O511" i="131"/>
  <c r="N511" i="131"/>
  <c r="M511" i="131"/>
  <c r="E505" i="131"/>
  <c r="E504" i="131"/>
  <c r="S488" i="131"/>
  <c r="Q488" i="131"/>
  <c r="O488" i="131"/>
  <c r="S487" i="131"/>
  <c r="Q487" i="131"/>
  <c r="O487" i="131"/>
  <c r="S486" i="131"/>
  <c r="Q486" i="131"/>
  <c r="O486" i="131"/>
  <c r="S485" i="131"/>
  <c r="Q485" i="131"/>
  <c r="O485" i="131"/>
  <c r="S484" i="131"/>
  <c r="Q484" i="131"/>
  <c r="O484" i="131"/>
  <c r="S483" i="131"/>
  <c r="Q483" i="131"/>
  <c r="O483" i="131"/>
  <c r="S482" i="131"/>
  <c r="Q482" i="131"/>
  <c r="O482" i="131"/>
  <c r="S481" i="131"/>
  <c r="Q481" i="131"/>
  <c r="O481" i="131"/>
  <c r="S480" i="131"/>
  <c r="Q480" i="131"/>
  <c r="O480" i="131"/>
  <c r="S479" i="131"/>
  <c r="Q479" i="131"/>
  <c r="O479" i="131"/>
  <c r="Q478" i="131"/>
  <c r="O478" i="131"/>
  <c r="S477" i="131"/>
  <c r="Q477" i="131"/>
  <c r="O477" i="131"/>
  <c r="S476" i="131"/>
  <c r="Q476" i="131"/>
  <c r="O476" i="131"/>
  <c r="S475" i="131"/>
  <c r="Q475" i="131"/>
  <c r="O475" i="131"/>
  <c r="S474" i="131"/>
  <c r="Q474" i="131"/>
  <c r="O474" i="131"/>
  <c r="Q473" i="131"/>
  <c r="O473" i="131"/>
  <c r="S472" i="131"/>
  <c r="Q472" i="131"/>
  <c r="O472" i="131"/>
  <c r="S471" i="131"/>
  <c r="Q471" i="131"/>
  <c r="O471" i="131"/>
  <c r="S470" i="131"/>
  <c r="Q470" i="131"/>
  <c r="O470" i="131"/>
  <c r="S469" i="131"/>
  <c r="Q469" i="131"/>
  <c r="O469" i="131"/>
  <c r="Q468" i="131"/>
  <c r="O468" i="131"/>
  <c r="S467" i="131"/>
  <c r="Q467" i="131"/>
  <c r="O467" i="131"/>
  <c r="S466" i="131"/>
  <c r="Q466" i="131"/>
  <c r="O466" i="131"/>
  <c r="S465" i="131"/>
  <c r="Q465" i="131"/>
  <c r="O465" i="131"/>
  <c r="S464" i="131"/>
  <c r="Q464" i="131"/>
  <c r="O464" i="131"/>
  <c r="Q463" i="131"/>
  <c r="O463" i="131"/>
  <c r="S462" i="131"/>
  <c r="Q462" i="131"/>
  <c r="O462" i="131"/>
  <c r="S461" i="131"/>
  <c r="Q461" i="131"/>
  <c r="O461" i="131"/>
  <c r="S460" i="131"/>
  <c r="Q460" i="131"/>
  <c r="O460" i="131"/>
  <c r="S459" i="131"/>
  <c r="Q459" i="131"/>
  <c r="O459" i="131"/>
  <c r="Q458" i="131"/>
  <c r="O458" i="131"/>
  <c r="S457" i="131"/>
  <c r="Q457" i="131"/>
  <c r="O457" i="131"/>
  <c r="S456" i="131"/>
  <c r="Q456" i="131"/>
  <c r="O456" i="131"/>
  <c r="S455" i="131"/>
  <c r="Q455" i="131"/>
  <c r="O455" i="131"/>
  <c r="S454" i="131"/>
  <c r="Q454" i="131"/>
  <c r="O454" i="131"/>
  <c r="Q453" i="131"/>
  <c r="O453" i="131"/>
  <c r="S452" i="131"/>
  <c r="Q452" i="131"/>
  <c r="O452" i="131"/>
  <c r="S451" i="131"/>
  <c r="Q451" i="131"/>
  <c r="O451" i="131"/>
  <c r="S450" i="131"/>
  <c r="Q450" i="131"/>
  <c r="O450" i="131"/>
  <c r="S449" i="131"/>
  <c r="Q449" i="131"/>
  <c r="O449" i="131"/>
  <c r="S448" i="131"/>
  <c r="Q448" i="131"/>
  <c r="O448" i="131"/>
  <c r="S447" i="131"/>
  <c r="Q447" i="131"/>
  <c r="O447" i="131"/>
  <c r="S446" i="131"/>
  <c r="Q446" i="131"/>
  <c r="O446" i="131"/>
  <c r="Q445" i="131"/>
  <c r="O445" i="131"/>
  <c r="S444" i="131"/>
  <c r="Q444" i="131"/>
  <c r="O444" i="131"/>
  <c r="S443" i="131"/>
  <c r="Q443" i="131"/>
  <c r="O443" i="131"/>
  <c r="S442" i="131"/>
  <c r="Q442" i="131"/>
  <c r="O442" i="131"/>
  <c r="S441" i="131"/>
  <c r="Q441" i="131"/>
  <c r="O441" i="131"/>
  <c r="S440" i="131"/>
  <c r="Q440" i="131"/>
  <c r="O440" i="131"/>
  <c r="S439" i="131"/>
  <c r="Q439" i="131"/>
  <c r="O439" i="131"/>
  <c r="S438" i="131"/>
  <c r="Q438" i="131"/>
  <c r="O438" i="131"/>
  <c r="S437" i="131"/>
  <c r="Q437" i="131"/>
  <c r="O437" i="131"/>
  <c r="S436" i="131"/>
  <c r="Q436" i="131"/>
  <c r="O436" i="131"/>
  <c r="S435" i="131"/>
  <c r="Q435" i="131"/>
  <c r="O435" i="131"/>
  <c r="S434" i="131"/>
  <c r="Q434" i="131"/>
  <c r="O434" i="131"/>
  <c r="N434" i="131"/>
  <c r="M434" i="131"/>
  <c r="E428" i="131"/>
  <c r="E427" i="131"/>
  <c r="S411" i="131"/>
  <c r="Q411" i="131"/>
  <c r="O411" i="131"/>
  <c r="N411" i="131"/>
  <c r="M411" i="131"/>
  <c r="S410" i="131"/>
  <c r="Q410" i="131"/>
  <c r="O410" i="131"/>
  <c r="N410" i="131"/>
  <c r="M410" i="131"/>
  <c r="Q409" i="131"/>
  <c r="O409" i="131"/>
  <c r="N409" i="131"/>
  <c r="M409" i="131"/>
  <c r="S408" i="131"/>
  <c r="Q408" i="131"/>
  <c r="O408" i="131"/>
  <c r="N408" i="131"/>
  <c r="M408" i="131"/>
  <c r="Q407" i="131"/>
  <c r="O407" i="131"/>
  <c r="N407" i="131"/>
  <c r="M407" i="131"/>
  <c r="S406" i="131"/>
  <c r="Q406" i="131"/>
  <c r="O406" i="131"/>
  <c r="N406" i="131"/>
  <c r="M406" i="131"/>
  <c r="S405" i="131"/>
  <c r="Q405" i="131"/>
  <c r="O405" i="131"/>
  <c r="S404" i="131"/>
  <c r="Q404" i="131"/>
  <c r="O404" i="131"/>
  <c r="N404" i="131"/>
  <c r="M404" i="131"/>
  <c r="E398" i="131"/>
  <c r="E397" i="131"/>
  <c r="S381" i="131"/>
  <c r="T381" i="131" s="1"/>
  <c r="Q381" i="131"/>
  <c r="O381" i="131"/>
  <c r="N381" i="131"/>
  <c r="M381" i="131"/>
  <c r="Q380" i="131"/>
  <c r="O380" i="131"/>
  <c r="N380" i="131"/>
  <c r="M380" i="131"/>
  <c r="S379" i="131"/>
  <c r="Q379" i="131"/>
  <c r="O379" i="131"/>
  <c r="N379" i="131"/>
  <c r="M379" i="131"/>
  <c r="Q378" i="131"/>
  <c r="O378" i="131"/>
  <c r="N378" i="131"/>
  <c r="M378" i="131"/>
  <c r="S377" i="131"/>
  <c r="Q377" i="131"/>
  <c r="O377" i="131"/>
  <c r="S376" i="131"/>
  <c r="Q376" i="131"/>
  <c r="O376" i="131"/>
  <c r="S375" i="131"/>
  <c r="Q375" i="131"/>
  <c r="O375" i="131"/>
  <c r="S374" i="131"/>
  <c r="Q374" i="131"/>
  <c r="O374" i="131"/>
  <c r="S373" i="131"/>
  <c r="Q373" i="131"/>
  <c r="O373" i="131"/>
  <c r="N373" i="131"/>
  <c r="M373" i="131"/>
  <c r="E367" i="131"/>
  <c r="E366" i="131"/>
  <c r="S350" i="131"/>
  <c r="Q350" i="131"/>
  <c r="O350" i="131"/>
  <c r="N350" i="131"/>
  <c r="M350" i="131"/>
  <c r="Q349" i="131"/>
  <c r="O349" i="131"/>
  <c r="N349" i="131"/>
  <c r="M349" i="131"/>
  <c r="S348" i="131"/>
  <c r="Q348" i="131"/>
  <c r="O348" i="131"/>
  <c r="N348" i="131"/>
  <c r="M348" i="131"/>
  <c r="Q347" i="131"/>
  <c r="O347" i="131"/>
  <c r="N347" i="131"/>
  <c r="M347" i="131"/>
  <c r="S346" i="131"/>
  <c r="Q346" i="131"/>
  <c r="O346" i="131"/>
  <c r="N346" i="131"/>
  <c r="M346" i="131"/>
  <c r="Q345" i="131"/>
  <c r="O345" i="131"/>
  <c r="N345" i="131"/>
  <c r="M345" i="131"/>
  <c r="S344" i="131"/>
  <c r="Q344" i="131"/>
  <c r="O344" i="131"/>
  <c r="N344" i="131"/>
  <c r="M344" i="131"/>
  <c r="S343" i="131"/>
  <c r="Q343" i="131"/>
  <c r="O343" i="131"/>
  <c r="N343" i="131"/>
  <c r="M343" i="131"/>
  <c r="S342" i="131"/>
  <c r="Q342" i="131"/>
  <c r="O342" i="131"/>
  <c r="N342" i="131"/>
  <c r="M342" i="131"/>
  <c r="S341" i="131"/>
  <c r="Q341" i="131"/>
  <c r="O341" i="131"/>
  <c r="N341" i="131"/>
  <c r="M341" i="131"/>
  <c r="S340" i="131"/>
  <c r="Q340" i="131"/>
  <c r="O340" i="131"/>
  <c r="N340" i="131"/>
  <c r="M340" i="131"/>
  <c r="S339" i="131"/>
  <c r="Q339" i="131"/>
  <c r="O339" i="131"/>
  <c r="S338" i="131"/>
  <c r="Q338" i="131"/>
  <c r="O338" i="131"/>
  <c r="S337" i="131"/>
  <c r="Q337" i="131"/>
  <c r="O337" i="131"/>
  <c r="S336" i="131"/>
  <c r="Q336" i="131"/>
  <c r="O336" i="131"/>
  <c r="S335" i="131"/>
  <c r="Q335" i="131"/>
  <c r="O335" i="131"/>
  <c r="N335" i="131"/>
  <c r="M335" i="131"/>
  <c r="E329" i="131"/>
  <c r="E328" i="131"/>
  <c r="S312" i="131"/>
  <c r="Q312" i="131"/>
  <c r="O312" i="131"/>
  <c r="S311" i="131"/>
  <c r="Q311" i="131"/>
  <c r="O311" i="131"/>
  <c r="Q310" i="131"/>
  <c r="O310" i="131"/>
  <c r="S309" i="131"/>
  <c r="Q309" i="131"/>
  <c r="O309" i="131"/>
  <c r="S308" i="131"/>
  <c r="Q308" i="131"/>
  <c r="O308" i="131"/>
  <c r="S307" i="131"/>
  <c r="Q307" i="131"/>
  <c r="O307" i="131"/>
  <c r="Q306" i="131"/>
  <c r="O306" i="131"/>
  <c r="S305" i="131"/>
  <c r="Q305" i="131"/>
  <c r="O305" i="131"/>
  <c r="N305" i="131"/>
  <c r="M305" i="131"/>
  <c r="S304" i="131"/>
  <c r="Q304" i="131"/>
  <c r="O304" i="131"/>
  <c r="N304" i="131"/>
  <c r="M304" i="131"/>
  <c r="Q303" i="131"/>
  <c r="O303" i="131"/>
  <c r="N303" i="131"/>
  <c r="M303" i="131"/>
  <c r="S302" i="131"/>
  <c r="Q302" i="131"/>
  <c r="O302" i="131"/>
  <c r="N302" i="131"/>
  <c r="M302" i="131"/>
  <c r="Q301" i="131"/>
  <c r="O301" i="131"/>
  <c r="N301" i="131"/>
  <c r="M301" i="131"/>
  <c r="S300" i="131"/>
  <c r="Q300" i="131"/>
  <c r="O300" i="131"/>
  <c r="N300" i="131"/>
  <c r="M300" i="131"/>
  <c r="Q299" i="131"/>
  <c r="O299" i="131"/>
  <c r="N299" i="131"/>
  <c r="M299" i="131"/>
  <c r="S298" i="131"/>
  <c r="Q298" i="131"/>
  <c r="O298" i="131"/>
  <c r="N298" i="131"/>
  <c r="M298" i="131"/>
  <c r="S297" i="131"/>
  <c r="Q297" i="131"/>
  <c r="O297" i="131"/>
  <c r="N297" i="131"/>
  <c r="M297" i="131"/>
  <c r="S296" i="131"/>
  <c r="Q296" i="131"/>
  <c r="O296" i="131"/>
  <c r="N296" i="131"/>
  <c r="M296" i="131"/>
  <c r="S295" i="131"/>
  <c r="Q295" i="131"/>
  <c r="O295" i="131"/>
  <c r="N295" i="131"/>
  <c r="M295" i="131"/>
  <c r="S294" i="131"/>
  <c r="Q294" i="131"/>
  <c r="O294" i="131"/>
  <c r="N294" i="131"/>
  <c r="M294" i="131"/>
  <c r="S293" i="131"/>
  <c r="Q293" i="131"/>
  <c r="O293" i="131"/>
  <c r="N293" i="131"/>
  <c r="M293" i="131"/>
  <c r="S292" i="131"/>
  <c r="Q292" i="131"/>
  <c r="O292" i="131"/>
  <c r="N292" i="131"/>
  <c r="M292" i="131"/>
  <c r="S291" i="131"/>
  <c r="Q291" i="131"/>
  <c r="O291" i="131"/>
  <c r="N291" i="131"/>
  <c r="M291" i="131"/>
  <c r="Q290" i="131"/>
  <c r="O290" i="131"/>
  <c r="N290" i="131"/>
  <c r="M290" i="131"/>
  <c r="S289" i="131"/>
  <c r="Q289" i="131"/>
  <c r="O289" i="131"/>
  <c r="N289" i="131"/>
  <c r="M289" i="131"/>
  <c r="S288" i="131"/>
  <c r="Q288" i="131"/>
  <c r="O288" i="131"/>
  <c r="N288" i="131"/>
  <c r="M288" i="131"/>
  <c r="S287" i="131"/>
  <c r="Q287" i="131"/>
  <c r="O287" i="131"/>
  <c r="N287" i="131"/>
  <c r="M287" i="131"/>
  <c r="S286" i="131"/>
  <c r="Q286" i="131"/>
  <c r="O286" i="131"/>
  <c r="N286" i="131"/>
  <c r="M286" i="131"/>
  <c r="S285" i="131"/>
  <c r="Q285" i="131"/>
  <c r="O285" i="131"/>
  <c r="N285" i="131"/>
  <c r="M285" i="131"/>
  <c r="S284" i="131"/>
  <c r="Q284" i="131"/>
  <c r="O284" i="131"/>
  <c r="S283" i="131"/>
  <c r="Q283" i="131"/>
  <c r="O283" i="131"/>
  <c r="S282" i="131"/>
  <c r="Q282" i="131"/>
  <c r="O282" i="131"/>
  <c r="S281" i="131"/>
  <c r="Q281" i="131"/>
  <c r="O281" i="131"/>
  <c r="S280" i="131"/>
  <c r="Q280" i="131"/>
  <c r="O280" i="131"/>
  <c r="N280" i="131"/>
  <c r="M280" i="131"/>
  <c r="E274" i="131"/>
  <c r="E273" i="131"/>
  <c r="S257" i="131"/>
  <c r="Q257" i="131"/>
  <c r="O257" i="131"/>
  <c r="Q256" i="131"/>
  <c r="O256" i="131"/>
  <c r="N256" i="131"/>
  <c r="M256" i="131"/>
  <c r="S255" i="131"/>
  <c r="Q255" i="131"/>
  <c r="O255" i="131"/>
  <c r="N255" i="131"/>
  <c r="M255" i="131"/>
  <c r="S254" i="131"/>
  <c r="Q254" i="131"/>
  <c r="O254" i="131"/>
  <c r="N254" i="131"/>
  <c r="M254" i="131"/>
  <c r="Q253" i="131"/>
  <c r="O253" i="131"/>
  <c r="N253" i="131"/>
  <c r="M253" i="131"/>
  <c r="S252" i="131"/>
  <c r="Q252" i="131"/>
  <c r="O252" i="131"/>
  <c r="N252" i="131"/>
  <c r="M252" i="131"/>
  <c r="S251" i="131"/>
  <c r="Q251" i="131"/>
  <c r="O251" i="131"/>
  <c r="N251" i="131"/>
  <c r="M251" i="131"/>
  <c r="S250" i="131"/>
  <c r="Q250" i="131"/>
  <c r="O250" i="131"/>
  <c r="N250" i="131"/>
  <c r="M250" i="131"/>
  <c r="S249" i="131"/>
  <c r="Q249" i="131"/>
  <c r="O249" i="131"/>
  <c r="N249" i="131"/>
  <c r="M249" i="131"/>
  <c r="S248" i="131"/>
  <c r="Q248" i="131"/>
  <c r="O248" i="131"/>
  <c r="N248" i="131"/>
  <c r="M248" i="131"/>
  <c r="S247" i="131"/>
  <c r="Q247" i="131"/>
  <c r="O247" i="131"/>
  <c r="N247" i="131"/>
  <c r="M247" i="131"/>
  <c r="S246" i="131"/>
  <c r="Q246" i="131"/>
  <c r="O246" i="131"/>
  <c r="N246" i="131"/>
  <c r="M246" i="131"/>
  <c r="S245" i="131"/>
  <c r="Q245" i="131"/>
  <c r="O245" i="131"/>
  <c r="N245" i="131"/>
  <c r="M245" i="131"/>
  <c r="S244" i="131"/>
  <c r="Q244" i="131"/>
  <c r="O244" i="131"/>
  <c r="N244" i="131"/>
  <c r="M244" i="131"/>
  <c r="Q243" i="131"/>
  <c r="O243" i="131"/>
  <c r="N243" i="131"/>
  <c r="M243" i="131"/>
  <c r="S242" i="131"/>
  <c r="Q242" i="131"/>
  <c r="O242" i="131"/>
  <c r="N242" i="131"/>
  <c r="M242" i="131"/>
  <c r="S241" i="131"/>
  <c r="Q241" i="131"/>
  <c r="O241" i="131"/>
  <c r="N241" i="131"/>
  <c r="M241" i="131"/>
  <c r="Q240" i="131"/>
  <c r="O240" i="131"/>
  <c r="N240" i="131"/>
  <c r="M240" i="131"/>
  <c r="S239" i="131"/>
  <c r="Q239" i="131"/>
  <c r="O239" i="131"/>
  <c r="N239" i="131"/>
  <c r="M239" i="131"/>
  <c r="Q238" i="131"/>
  <c r="O238" i="131"/>
  <c r="N238" i="131"/>
  <c r="M238" i="131"/>
  <c r="S237" i="131"/>
  <c r="Q237" i="131"/>
  <c r="O237" i="131"/>
  <c r="N237" i="131"/>
  <c r="M237" i="131"/>
  <c r="Q236" i="131"/>
  <c r="O236" i="131"/>
  <c r="N236" i="131"/>
  <c r="M236" i="131"/>
  <c r="S235" i="131"/>
  <c r="Q235" i="131"/>
  <c r="O235" i="131"/>
  <c r="N235" i="131"/>
  <c r="M235" i="131"/>
  <c r="S234" i="131"/>
  <c r="Q234" i="131"/>
  <c r="O234" i="131"/>
  <c r="N234" i="131"/>
  <c r="M234" i="131"/>
  <c r="S233" i="131"/>
  <c r="Q233" i="131"/>
  <c r="O233" i="131"/>
  <c r="N233" i="131"/>
  <c r="M233" i="131"/>
  <c r="S232" i="131"/>
  <c r="Q232" i="131"/>
  <c r="O232" i="131"/>
  <c r="N232" i="131"/>
  <c r="M232" i="131"/>
  <c r="S231" i="131"/>
  <c r="Q231" i="131"/>
  <c r="O231" i="131"/>
  <c r="N231" i="131"/>
  <c r="M231" i="131"/>
  <c r="S230" i="131"/>
  <c r="Q230" i="131"/>
  <c r="O230" i="131"/>
  <c r="N230" i="131"/>
  <c r="M230" i="131"/>
  <c r="S229" i="131"/>
  <c r="Q229" i="131"/>
  <c r="O229" i="131"/>
  <c r="N229" i="131"/>
  <c r="M229" i="131"/>
  <c r="S228" i="131"/>
  <c r="Q228" i="131"/>
  <c r="O228" i="131"/>
  <c r="N228" i="131"/>
  <c r="M228" i="131"/>
  <c r="Q227" i="131"/>
  <c r="O227" i="131"/>
  <c r="N227" i="131"/>
  <c r="M227" i="131"/>
  <c r="S226" i="131"/>
  <c r="Q226" i="131"/>
  <c r="O226" i="131"/>
  <c r="N226" i="131"/>
  <c r="M226" i="131"/>
  <c r="S225" i="131"/>
  <c r="Q225" i="131"/>
  <c r="O225" i="131"/>
  <c r="N225" i="131"/>
  <c r="M225" i="131"/>
  <c r="S224" i="131"/>
  <c r="Q224" i="131"/>
  <c r="O224" i="131"/>
  <c r="N224" i="131"/>
  <c r="M224" i="131"/>
  <c r="S223" i="131"/>
  <c r="Q223" i="131"/>
  <c r="O223" i="131"/>
  <c r="N223" i="131"/>
  <c r="M223" i="131"/>
  <c r="S222" i="131"/>
  <c r="Q222" i="131"/>
  <c r="O222" i="131"/>
  <c r="N222" i="131"/>
  <c r="M222" i="131"/>
  <c r="S221" i="131"/>
  <c r="Q221" i="131"/>
  <c r="O221" i="131"/>
  <c r="N221" i="131"/>
  <c r="M221" i="131"/>
  <c r="S220" i="131"/>
  <c r="Q220" i="131"/>
  <c r="O220" i="131"/>
  <c r="N220" i="131"/>
  <c r="M220" i="131"/>
  <c r="Q219" i="131"/>
  <c r="O219" i="131"/>
  <c r="N219" i="131"/>
  <c r="M219" i="131"/>
  <c r="S218" i="131"/>
  <c r="Q218" i="131"/>
  <c r="O218" i="131"/>
  <c r="N218" i="131"/>
  <c r="M218" i="131"/>
  <c r="S217" i="131"/>
  <c r="Q217" i="131"/>
  <c r="O217" i="131"/>
  <c r="N217" i="131"/>
  <c r="M217" i="131"/>
  <c r="S216" i="131"/>
  <c r="Q216" i="131"/>
  <c r="O216" i="131"/>
  <c r="S215" i="131"/>
  <c r="Q215" i="131"/>
  <c r="O215" i="131"/>
  <c r="N215" i="131"/>
  <c r="M215" i="131"/>
  <c r="E209" i="131"/>
  <c r="E208" i="131"/>
  <c r="S192" i="131"/>
  <c r="Q192" i="131"/>
  <c r="O192" i="131"/>
  <c r="N192" i="131"/>
  <c r="M192" i="131"/>
  <c r="Q191" i="131"/>
  <c r="O191" i="131"/>
  <c r="N191" i="131"/>
  <c r="M191" i="131"/>
  <c r="S190" i="131"/>
  <c r="Q190" i="131"/>
  <c r="O190" i="131"/>
  <c r="N190" i="131"/>
  <c r="M190" i="131"/>
  <c r="S189" i="131"/>
  <c r="Q189" i="131"/>
  <c r="O189" i="131"/>
  <c r="N189" i="131"/>
  <c r="M189" i="131"/>
  <c r="Q188" i="131"/>
  <c r="O188" i="131"/>
  <c r="N188" i="131"/>
  <c r="M188" i="131"/>
  <c r="S187" i="131"/>
  <c r="Q187" i="131"/>
  <c r="O187" i="131"/>
  <c r="N187" i="131"/>
  <c r="M187" i="131"/>
  <c r="S186" i="131"/>
  <c r="Q186" i="131"/>
  <c r="O186" i="131"/>
  <c r="N186" i="131"/>
  <c r="M186" i="131"/>
  <c r="Q185" i="131"/>
  <c r="O185" i="131"/>
  <c r="N185" i="131"/>
  <c r="M185" i="131"/>
  <c r="S184" i="131"/>
  <c r="Q184" i="131"/>
  <c r="O184" i="131"/>
  <c r="N184" i="131"/>
  <c r="M184" i="131"/>
  <c r="S183" i="131"/>
  <c r="Q183" i="131"/>
  <c r="O183" i="131"/>
  <c r="N183" i="131"/>
  <c r="M183" i="131"/>
  <c r="S182" i="131"/>
  <c r="Q182" i="131"/>
  <c r="O182" i="131"/>
  <c r="N182" i="131"/>
  <c r="M182" i="131"/>
  <c r="Q181" i="131"/>
  <c r="O181" i="131"/>
  <c r="N181" i="131"/>
  <c r="M181" i="131"/>
  <c r="S180" i="131"/>
  <c r="Q180" i="131"/>
  <c r="O180" i="131"/>
  <c r="N180" i="131"/>
  <c r="M180" i="131"/>
  <c r="S179" i="131"/>
  <c r="Q179" i="131"/>
  <c r="O179" i="131"/>
  <c r="N179" i="131"/>
  <c r="M179" i="131"/>
  <c r="Q178" i="131"/>
  <c r="O178" i="131"/>
  <c r="N178" i="131"/>
  <c r="M178" i="131"/>
  <c r="S177" i="131"/>
  <c r="Q177" i="131"/>
  <c r="O177" i="131"/>
  <c r="N177" i="131"/>
  <c r="M177" i="131"/>
  <c r="S176" i="131"/>
  <c r="Q176" i="131"/>
  <c r="O176" i="131"/>
  <c r="N176" i="131"/>
  <c r="M176" i="131"/>
  <c r="Q175" i="131"/>
  <c r="O175" i="131"/>
  <c r="N175" i="131"/>
  <c r="M175" i="131"/>
  <c r="S174" i="131"/>
  <c r="Q174" i="131"/>
  <c r="O174" i="131"/>
  <c r="N174" i="131"/>
  <c r="M174" i="131"/>
  <c r="S173" i="131"/>
  <c r="Q173" i="131"/>
  <c r="O173" i="131"/>
  <c r="N173" i="131"/>
  <c r="M173" i="131"/>
  <c r="Q172" i="131"/>
  <c r="O172" i="131"/>
  <c r="N172" i="131"/>
  <c r="M172" i="131"/>
  <c r="S171" i="131"/>
  <c r="Q171" i="131"/>
  <c r="O171" i="131"/>
  <c r="N171" i="131"/>
  <c r="M171" i="131"/>
  <c r="Q170" i="131"/>
  <c r="O170" i="131"/>
  <c r="N170" i="131"/>
  <c r="M170" i="131"/>
  <c r="S169" i="131"/>
  <c r="Q169" i="131"/>
  <c r="O169" i="131"/>
  <c r="N169" i="131"/>
  <c r="M169" i="131"/>
  <c r="Q168" i="131"/>
  <c r="O168" i="131"/>
  <c r="N168" i="131"/>
  <c r="M168" i="131"/>
  <c r="S167" i="131"/>
  <c r="Q167" i="131"/>
  <c r="O167" i="131"/>
  <c r="N167" i="131"/>
  <c r="M167" i="131"/>
  <c r="S166" i="131"/>
  <c r="Q166" i="131"/>
  <c r="O166" i="131"/>
  <c r="N166" i="131"/>
  <c r="M166" i="131"/>
  <c r="S165" i="131"/>
  <c r="Q165" i="131"/>
  <c r="O165" i="131"/>
  <c r="N165" i="131"/>
  <c r="M165" i="131"/>
  <c r="S164" i="131"/>
  <c r="Q164" i="131"/>
  <c r="O164" i="131"/>
  <c r="N164" i="131"/>
  <c r="M164" i="131"/>
  <c r="S163" i="131"/>
  <c r="Q163" i="131"/>
  <c r="O163" i="131"/>
  <c r="N163" i="131"/>
  <c r="M163" i="131"/>
  <c r="S162" i="131"/>
  <c r="Q162" i="131"/>
  <c r="O162" i="131"/>
  <c r="N162" i="131"/>
  <c r="M162" i="131"/>
  <c r="S161" i="131"/>
  <c r="Q161" i="131"/>
  <c r="O161" i="131"/>
  <c r="N161" i="131"/>
  <c r="M161" i="131"/>
  <c r="S160" i="131"/>
  <c r="Q160" i="131"/>
  <c r="O160" i="131"/>
  <c r="N160" i="131"/>
  <c r="M160" i="131"/>
  <c r="Q159" i="131"/>
  <c r="O159" i="131"/>
  <c r="N159" i="131"/>
  <c r="M159" i="131"/>
  <c r="S158" i="131"/>
  <c r="Q158" i="131"/>
  <c r="O158" i="131"/>
  <c r="N158" i="131"/>
  <c r="M158" i="131"/>
  <c r="S157" i="131"/>
  <c r="Q157" i="131"/>
  <c r="O157" i="131"/>
  <c r="N157" i="131"/>
  <c r="M157" i="131"/>
  <c r="S156" i="131"/>
  <c r="Q156" i="131"/>
  <c r="O156" i="131"/>
  <c r="N156" i="131"/>
  <c r="M156" i="131"/>
  <c r="S155" i="131"/>
  <c r="Q155" i="131"/>
  <c r="O155" i="131"/>
  <c r="N155" i="131"/>
  <c r="M155" i="131"/>
  <c r="S154" i="131"/>
  <c r="Q154" i="131"/>
  <c r="O154" i="131"/>
  <c r="N154" i="131"/>
  <c r="M154" i="131"/>
  <c r="S153" i="131"/>
  <c r="Q153" i="131"/>
  <c r="O153" i="131"/>
  <c r="N153" i="131"/>
  <c r="M153" i="131"/>
  <c r="S152" i="131"/>
  <c r="Q152" i="131"/>
  <c r="O152" i="131"/>
  <c r="N152" i="131"/>
  <c r="M152" i="131"/>
  <c r="S151" i="131"/>
  <c r="Q151" i="131"/>
  <c r="O151" i="131"/>
  <c r="N151" i="131"/>
  <c r="M151" i="131"/>
  <c r="Q150" i="131"/>
  <c r="O150" i="131"/>
  <c r="N150" i="131"/>
  <c r="M150" i="131"/>
  <c r="S149" i="131"/>
  <c r="Q149" i="131"/>
  <c r="O149" i="131"/>
  <c r="N149" i="131"/>
  <c r="M149" i="131"/>
  <c r="S148" i="131"/>
  <c r="Q148" i="131"/>
  <c r="O148" i="131"/>
  <c r="N148" i="131"/>
  <c r="M148" i="131"/>
  <c r="S147" i="131"/>
  <c r="Q147" i="131"/>
  <c r="O147" i="131"/>
  <c r="N147" i="131"/>
  <c r="M147" i="131"/>
  <c r="S146" i="131"/>
  <c r="Q146" i="131"/>
  <c r="O146" i="131"/>
  <c r="N146" i="131"/>
  <c r="M146" i="131"/>
  <c r="S145" i="131"/>
  <c r="Q145" i="131"/>
  <c r="O145" i="131"/>
  <c r="N145" i="131"/>
  <c r="M145" i="131"/>
  <c r="S144" i="131"/>
  <c r="Q144" i="131"/>
  <c r="O144" i="131"/>
  <c r="S143" i="131"/>
  <c r="Q143" i="131"/>
  <c r="O143" i="131"/>
  <c r="S142" i="131"/>
  <c r="T142" i="131" s="1"/>
  <c r="Q142" i="131"/>
  <c r="O142" i="131"/>
  <c r="N142" i="131"/>
  <c r="M142" i="131"/>
  <c r="E136" i="131"/>
  <c r="E135" i="131"/>
  <c r="S119" i="131"/>
  <c r="Q119" i="131"/>
  <c r="O119" i="131"/>
  <c r="N119" i="131"/>
  <c r="M119" i="131"/>
  <c r="Q118" i="131"/>
  <c r="O118" i="131"/>
  <c r="N118" i="131"/>
  <c r="M118" i="131"/>
  <c r="S117" i="131"/>
  <c r="Q117" i="131"/>
  <c r="O117" i="131"/>
  <c r="N117" i="131"/>
  <c r="M117" i="131"/>
  <c r="S116" i="131"/>
  <c r="Q116" i="131"/>
  <c r="O116" i="131"/>
  <c r="N116" i="131"/>
  <c r="M116" i="131"/>
  <c r="S115" i="131"/>
  <c r="Q115" i="131"/>
  <c r="O115" i="131"/>
  <c r="N115" i="131"/>
  <c r="M115" i="131"/>
  <c r="S114" i="131"/>
  <c r="Q114" i="131"/>
  <c r="O114" i="131"/>
  <c r="N114" i="131"/>
  <c r="M114" i="131"/>
  <c r="S113" i="131"/>
  <c r="Q113" i="131"/>
  <c r="O113" i="131"/>
  <c r="N113" i="131"/>
  <c r="M113" i="131"/>
  <c r="S112" i="131"/>
  <c r="Q112" i="131"/>
  <c r="O112" i="131"/>
  <c r="N112" i="131"/>
  <c r="M112" i="131"/>
  <c r="S111" i="131"/>
  <c r="Q111" i="131"/>
  <c r="O111" i="131"/>
  <c r="N111" i="131"/>
  <c r="M111" i="131"/>
  <c r="S110" i="131"/>
  <c r="Q110" i="131"/>
  <c r="O110" i="131"/>
  <c r="N110" i="131"/>
  <c r="M110" i="131"/>
  <c r="Q109" i="131"/>
  <c r="O109" i="131"/>
  <c r="N109" i="131"/>
  <c r="M109" i="131"/>
  <c r="S108" i="131"/>
  <c r="Q108" i="131"/>
  <c r="O108" i="131"/>
  <c r="N108" i="131"/>
  <c r="M108" i="131"/>
  <c r="S107" i="131"/>
  <c r="Q107" i="131"/>
  <c r="O107" i="131"/>
  <c r="N107" i="131"/>
  <c r="M107" i="131"/>
  <c r="Q106" i="131"/>
  <c r="O106" i="131"/>
  <c r="N106" i="131"/>
  <c r="M106" i="131"/>
  <c r="S105" i="131"/>
  <c r="Q105" i="131"/>
  <c r="O105" i="131"/>
  <c r="N105" i="131"/>
  <c r="M105" i="131"/>
  <c r="S104" i="131"/>
  <c r="Q104" i="131"/>
  <c r="O104" i="131"/>
  <c r="N104" i="131"/>
  <c r="M104" i="131"/>
  <c r="Q103" i="131"/>
  <c r="O103" i="131"/>
  <c r="N103" i="131"/>
  <c r="M103" i="131"/>
  <c r="S102" i="131"/>
  <c r="Q102" i="131"/>
  <c r="O102" i="131"/>
  <c r="N102" i="131"/>
  <c r="M102" i="131"/>
  <c r="S101" i="131"/>
  <c r="Q101" i="131"/>
  <c r="O101" i="131"/>
  <c r="N101" i="131"/>
  <c r="M101" i="131"/>
  <c r="S100" i="131"/>
  <c r="Q100" i="131"/>
  <c r="O100" i="131"/>
  <c r="N100" i="131"/>
  <c r="M100" i="131"/>
  <c r="Q99" i="131"/>
  <c r="O99" i="131"/>
  <c r="N99" i="131"/>
  <c r="M99" i="131"/>
  <c r="S98" i="131"/>
  <c r="Q98" i="131"/>
  <c r="O98" i="131"/>
  <c r="N98" i="131"/>
  <c r="M98" i="131"/>
  <c r="S97" i="131"/>
  <c r="Q97" i="131"/>
  <c r="O97" i="131"/>
  <c r="N97" i="131"/>
  <c r="M97" i="131"/>
  <c r="Q96" i="131"/>
  <c r="O96" i="131"/>
  <c r="N96" i="131"/>
  <c r="M96" i="131"/>
  <c r="S95" i="131"/>
  <c r="Q95" i="131"/>
  <c r="O95" i="131"/>
  <c r="N95" i="131"/>
  <c r="M95" i="131"/>
  <c r="S94" i="131"/>
  <c r="Q94" i="131"/>
  <c r="O94" i="131"/>
  <c r="N94" i="131"/>
  <c r="M94" i="131"/>
  <c r="Q93" i="131"/>
  <c r="O93" i="131"/>
  <c r="N93" i="131"/>
  <c r="M93" i="131"/>
  <c r="S92" i="131"/>
  <c r="Q92" i="131"/>
  <c r="O92" i="131"/>
  <c r="N92" i="131"/>
  <c r="M92" i="131"/>
  <c r="S91" i="131"/>
  <c r="Q91" i="131"/>
  <c r="O91" i="131"/>
  <c r="N91" i="131"/>
  <c r="M91" i="131"/>
  <c r="Q90" i="131"/>
  <c r="O90" i="131"/>
  <c r="N90" i="131"/>
  <c r="M90" i="131"/>
  <c r="S89" i="131"/>
  <c r="Q89" i="131"/>
  <c r="O89" i="131"/>
  <c r="N89" i="131"/>
  <c r="M89" i="131"/>
  <c r="Q88" i="131"/>
  <c r="O88" i="131"/>
  <c r="N88" i="131"/>
  <c r="M88" i="131"/>
  <c r="S87" i="131"/>
  <c r="Q87" i="131"/>
  <c r="O87" i="131"/>
  <c r="N87" i="131"/>
  <c r="M87" i="131"/>
  <c r="Q86" i="131"/>
  <c r="O86" i="131"/>
  <c r="N86" i="131"/>
  <c r="M86" i="131"/>
  <c r="S85" i="131"/>
  <c r="Q85" i="131"/>
  <c r="O85" i="131"/>
  <c r="N85" i="131"/>
  <c r="M85" i="131"/>
  <c r="S84" i="131"/>
  <c r="Q84" i="131"/>
  <c r="O84" i="131"/>
  <c r="N84" i="131"/>
  <c r="M84" i="131"/>
  <c r="S83" i="131"/>
  <c r="Q83" i="131"/>
  <c r="O83" i="131"/>
  <c r="N83" i="131"/>
  <c r="M83" i="131"/>
  <c r="S82" i="131"/>
  <c r="Q82" i="131"/>
  <c r="O82" i="131"/>
  <c r="N82" i="131"/>
  <c r="M82" i="131"/>
  <c r="S81" i="131"/>
  <c r="Q81" i="131"/>
  <c r="O81" i="131"/>
  <c r="N81" i="131"/>
  <c r="M81" i="131"/>
  <c r="S80" i="131"/>
  <c r="Q80" i="131"/>
  <c r="O80" i="131"/>
  <c r="N80" i="131"/>
  <c r="M80" i="131"/>
  <c r="S79" i="131"/>
  <c r="Q79" i="131"/>
  <c r="O79" i="131"/>
  <c r="N79" i="131"/>
  <c r="M79" i="131"/>
  <c r="S78" i="131"/>
  <c r="Q78" i="131"/>
  <c r="O78" i="131"/>
  <c r="N78" i="131"/>
  <c r="M78" i="131"/>
  <c r="Q77" i="131"/>
  <c r="O77" i="131"/>
  <c r="N77" i="131"/>
  <c r="M77" i="131"/>
  <c r="S76" i="131"/>
  <c r="Q76" i="131"/>
  <c r="O76" i="131"/>
  <c r="N76" i="131"/>
  <c r="M76" i="131"/>
  <c r="S75" i="131"/>
  <c r="Q75" i="131"/>
  <c r="O75" i="131"/>
  <c r="N75" i="131"/>
  <c r="M75" i="131"/>
  <c r="S74" i="131"/>
  <c r="Q74" i="131"/>
  <c r="O74" i="131"/>
  <c r="N74" i="131"/>
  <c r="M74" i="131"/>
  <c r="S73" i="131"/>
  <c r="Q73" i="131"/>
  <c r="O73" i="131"/>
  <c r="N73" i="131"/>
  <c r="M73" i="131"/>
  <c r="S72" i="131"/>
  <c r="Q72" i="131"/>
  <c r="O72" i="131"/>
  <c r="N72" i="131"/>
  <c r="M72" i="131"/>
  <c r="S71" i="131"/>
  <c r="Q71" i="131"/>
  <c r="O71" i="131"/>
  <c r="N71" i="131"/>
  <c r="M71" i="131"/>
  <c r="S70" i="131"/>
  <c r="Q70" i="131"/>
  <c r="O70" i="131"/>
  <c r="N70" i="131"/>
  <c r="M70" i="131"/>
  <c r="S69" i="131"/>
  <c r="Q69" i="131"/>
  <c r="O69" i="131"/>
  <c r="N69" i="131"/>
  <c r="M69" i="131"/>
  <c r="Q68" i="131"/>
  <c r="O68" i="131"/>
  <c r="N68" i="131"/>
  <c r="M68" i="131"/>
  <c r="S67" i="131"/>
  <c r="Q67" i="131"/>
  <c r="O67" i="131"/>
  <c r="N67" i="131"/>
  <c r="M67" i="131"/>
  <c r="S66" i="131"/>
  <c r="Q66" i="131"/>
  <c r="O66" i="131"/>
  <c r="N66" i="131"/>
  <c r="M66" i="131"/>
  <c r="S65" i="131"/>
  <c r="Q65" i="131"/>
  <c r="O65" i="131"/>
  <c r="N65" i="131"/>
  <c r="M65" i="131"/>
  <c r="S64" i="131"/>
  <c r="Q64" i="131"/>
  <c r="O64" i="131"/>
  <c r="N64" i="131"/>
  <c r="M64" i="131"/>
  <c r="S63" i="131"/>
  <c r="Q63" i="131"/>
  <c r="O63" i="131"/>
  <c r="N63" i="131"/>
  <c r="M63" i="131"/>
  <c r="S62" i="131"/>
  <c r="Q62" i="131"/>
  <c r="O62" i="131"/>
  <c r="N62" i="131"/>
  <c r="M62" i="131"/>
  <c r="S61" i="131"/>
  <c r="Q61" i="131"/>
  <c r="O61" i="131"/>
  <c r="N61" i="131"/>
  <c r="M61" i="131"/>
  <c r="S60" i="131"/>
  <c r="Q60" i="131"/>
  <c r="O60" i="131"/>
  <c r="N60" i="131"/>
  <c r="M60" i="131"/>
  <c r="S59" i="131"/>
  <c r="Q59" i="131"/>
  <c r="O59" i="131"/>
  <c r="N59" i="131"/>
  <c r="M59" i="131"/>
  <c r="S58" i="131"/>
  <c r="Q58" i="131"/>
  <c r="O58" i="131"/>
  <c r="N58" i="131"/>
  <c r="M58" i="131"/>
  <c r="S57" i="131"/>
  <c r="Q57" i="131"/>
  <c r="O57" i="131"/>
  <c r="N57" i="131"/>
  <c r="M57" i="131"/>
  <c r="S56" i="131"/>
  <c r="Q56" i="131"/>
  <c r="O56" i="131"/>
  <c r="S55" i="131"/>
  <c r="Q55" i="131"/>
  <c r="O55" i="131"/>
  <c r="S54" i="131"/>
  <c r="Q54" i="131"/>
  <c r="O54" i="131"/>
  <c r="S53" i="131"/>
  <c r="Q53" i="131"/>
  <c r="O53" i="131"/>
  <c r="N53" i="131"/>
  <c r="M53" i="131"/>
  <c r="E47" i="131"/>
  <c r="E46" i="131"/>
  <c r="N209" i="130"/>
  <c r="E209" i="130" s="1"/>
  <c r="N208" i="130"/>
  <c r="E208" i="130"/>
  <c r="N207" i="130"/>
  <c r="E207" i="130" s="1"/>
  <c r="N206" i="130"/>
  <c r="E206" i="130"/>
  <c r="N205" i="130"/>
  <c r="E205" i="130" s="1"/>
  <c r="N204" i="130"/>
  <c r="E204" i="130"/>
  <c r="N203" i="130"/>
  <c r="E203" i="130"/>
  <c r="N202" i="130"/>
  <c r="E202" i="130" s="1"/>
  <c r="N201" i="130"/>
  <c r="E201" i="130" s="1"/>
  <c r="N200" i="130"/>
  <c r="E200" i="130"/>
  <c r="N199" i="130"/>
  <c r="E199" i="130"/>
  <c r="F199" i="130" s="1"/>
  <c r="S199" i="130" s="1"/>
  <c r="U196" i="130"/>
  <c r="D195" i="130"/>
  <c r="D194" i="130" s="1"/>
  <c r="N181" i="130"/>
  <c r="E181" i="130" s="1"/>
  <c r="N180" i="130"/>
  <c r="E180" i="130"/>
  <c r="N179" i="130"/>
  <c r="E179" i="130"/>
  <c r="N178" i="130"/>
  <c r="E178" i="130" s="1"/>
  <c r="N177" i="130"/>
  <c r="E177" i="130"/>
  <c r="N176" i="130"/>
  <c r="E176" i="130" s="1"/>
  <c r="N175" i="130"/>
  <c r="E175" i="130"/>
  <c r="N174" i="130"/>
  <c r="E174" i="130" s="1"/>
  <c r="N173" i="130"/>
  <c r="E173" i="130" s="1"/>
  <c r="N172" i="130"/>
  <c r="E172" i="130"/>
  <c r="N171" i="130"/>
  <c r="E171" i="130"/>
  <c r="F171" i="130" s="1"/>
  <c r="U168" i="130"/>
  <c r="D167" i="130"/>
  <c r="D166" i="130"/>
  <c r="N155" i="130"/>
  <c r="E155" i="130" s="1"/>
  <c r="N154" i="130"/>
  <c r="E154" i="130" s="1"/>
  <c r="N153" i="130"/>
  <c r="E153" i="130" s="1"/>
  <c r="N152" i="130"/>
  <c r="E152" i="130"/>
  <c r="N151" i="130"/>
  <c r="E151" i="130"/>
  <c r="N150" i="130"/>
  <c r="E150" i="130" s="1"/>
  <c r="N149" i="130"/>
  <c r="E149" i="130" s="1"/>
  <c r="N148" i="130"/>
  <c r="E148" i="130"/>
  <c r="N147" i="130"/>
  <c r="E147" i="130" s="1"/>
  <c r="N146" i="130"/>
  <c r="E146" i="130" s="1"/>
  <c r="F146" i="130"/>
  <c r="S147" i="130" s="1"/>
  <c r="D143" i="130"/>
  <c r="D142" i="130"/>
  <c r="U141" i="130"/>
  <c r="R132" i="130"/>
  <c r="P132" i="130"/>
  <c r="N132" i="130"/>
  <c r="M132" i="130"/>
  <c r="L132" i="130"/>
  <c r="E132" i="130"/>
  <c r="R131" i="130"/>
  <c r="P131" i="130"/>
  <c r="M131" i="130"/>
  <c r="L131" i="130"/>
  <c r="R130" i="130"/>
  <c r="P130" i="130"/>
  <c r="N130" i="130"/>
  <c r="M130" i="130"/>
  <c r="L130" i="130"/>
  <c r="R129" i="130"/>
  <c r="P129" i="130"/>
  <c r="N129" i="130"/>
  <c r="M129" i="130"/>
  <c r="L129" i="130"/>
  <c r="R128" i="130"/>
  <c r="S128" i="130" s="1"/>
  <c r="P128" i="130"/>
  <c r="M128" i="130"/>
  <c r="N128" i="130" s="1"/>
  <c r="L128" i="130"/>
  <c r="R127" i="130"/>
  <c r="S127" i="130" s="1"/>
  <c r="P127" i="130"/>
  <c r="N127" i="130"/>
  <c r="M127" i="130"/>
  <c r="L127" i="130"/>
  <c r="E127" i="130"/>
  <c r="D124" i="130"/>
  <c r="D123" i="130"/>
  <c r="U120" i="130"/>
  <c r="N111" i="130"/>
  <c r="E111" i="130"/>
  <c r="N110" i="130"/>
  <c r="E110" i="130"/>
  <c r="N109" i="130"/>
  <c r="E109" i="130" s="1"/>
  <c r="N108" i="130"/>
  <c r="E108" i="130" s="1"/>
  <c r="N107" i="130"/>
  <c r="E107" i="130"/>
  <c r="N106" i="130"/>
  <c r="E106" i="130"/>
  <c r="N105" i="130"/>
  <c r="E105" i="130" s="1"/>
  <c r="N104" i="130"/>
  <c r="E104" i="130" s="1"/>
  <c r="N103" i="130"/>
  <c r="E103" i="130"/>
  <c r="N102" i="130"/>
  <c r="E102" i="130"/>
  <c r="N101" i="130"/>
  <c r="E101" i="130"/>
  <c r="F101" i="130" s="1"/>
  <c r="U98" i="130"/>
  <c r="D97" i="130"/>
  <c r="D96" i="130" s="1"/>
  <c r="N83" i="130"/>
  <c r="E83" i="130"/>
  <c r="N82" i="130"/>
  <c r="E82" i="130" s="1"/>
  <c r="N81" i="130"/>
  <c r="E81" i="130" s="1"/>
  <c r="N80" i="130"/>
  <c r="E80" i="130"/>
  <c r="N79" i="130"/>
  <c r="E79" i="130"/>
  <c r="N78" i="130"/>
  <c r="E78" i="130" s="1"/>
  <c r="N77" i="130"/>
  <c r="E77" i="130"/>
  <c r="N76" i="130"/>
  <c r="E76" i="130" s="1"/>
  <c r="N75" i="130"/>
  <c r="E75" i="130"/>
  <c r="N74" i="130"/>
  <c r="E74" i="130" s="1"/>
  <c r="N73" i="130"/>
  <c r="E73" i="130" s="1"/>
  <c r="F73" i="130" s="1"/>
  <c r="U70" i="130"/>
  <c r="D69" i="130"/>
  <c r="D68" i="130"/>
  <c r="N57" i="130"/>
  <c r="E57" i="130"/>
  <c r="N56" i="130"/>
  <c r="E56" i="130" s="1"/>
  <c r="N55" i="130"/>
  <c r="E55" i="130" s="1"/>
  <c r="N54" i="130"/>
  <c r="E54" i="130"/>
  <c r="N53" i="130"/>
  <c r="E53" i="130" s="1"/>
  <c r="N52" i="130"/>
  <c r="E52" i="130" s="1"/>
  <c r="N51" i="130"/>
  <c r="E51" i="130" s="1"/>
  <c r="N50" i="130"/>
  <c r="E50" i="130"/>
  <c r="N49" i="130"/>
  <c r="E49" i="130"/>
  <c r="N48" i="130"/>
  <c r="E48" i="130" s="1"/>
  <c r="N47" i="130"/>
  <c r="E47" i="130"/>
  <c r="F47" i="130" s="1"/>
  <c r="U46" i="130"/>
  <c r="D44" i="130"/>
  <c r="D43" i="130" s="1"/>
  <c r="P33" i="130"/>
  <c r="N33" i="130"/>
  <c r="M33" i="130"/>
  <c r="L33" i="130"/>
  <c r="P32" i="130"/>
  <c r="M32" i="130"/>
  <c r="L32" i="130"/>
  <c r="N32" i="130" s="1"/>
  <c r="P31" i="130"/>
  <c r="E31" i="130" s="1"/>
  <c r="N31" i="130"/>
  <c r="M31" i="130"/>
  <c r="L31" i="130"/>
  <c r="P30" i="130"/>
  <c r="N30" i="130"/>
  <c r="M30" i="130"/>
  <c r="L30" i="130"/>
  <c r="P29" i="130"/>
  <c r="M29" i="130"/>
  <c r="L29" i="130"/>
  <c r="N29" i="130" s="1"/>
  <c r="E29" i="130" s="1"/>
  <c r="R28" i="130"/>
  <c r="S28" i="130" s="1"/>
  <c r="P28" i="130"/>
  <c r="N28" i="130"/>
  <c r="E28" i="130" s="1"/>
  <c r="M28" i="130"/>
  <c r="L28" i="130"/>
  <c r="D25" i="130"/>
  <c r="D24" i="130"/>
  <c r="U21" i="130"/>
  <c r="B68" i="129"/>
  <c r="B67" i="129"/>
  <c r="B66" i="129"/>
  <c r="B65" i="129"/>
  <c r="B64" i="129"/>
  <c r="B63" i="129"/>
  <c r="B62" i="129"/>
  <c r="B61" i="129"/>
  <c r="B60" i="129"/>
  <c r="B59" i="129"/>
  <c r="B58" i="129"/>
  <c r="D53" i="129"/>
  <c r="C53" i="129"/>
  <c r="D49" i="129"/>
  <c r="C49" i="129"/>
  <c r="D46" i="129"/>
  <c r="C46" i="129"/>
  <c r="D43" i="129"/>
  <c r="C43" i="129"/>
  <c r="D36" i="129"/>
  <c r="C36" i="129"/>
  <c r="D27" i="129"/>
  <c r="C27" i="129"/>
  <c r="D23" i="129"/>
  <c r="C23" i="129"/>
  <c r="O18" i="129"/>
  <c r="D18" i="129"/>
  <c r="C18" i="129"/>
  <c r="O17" i="129"/>
  <c r="N17" i="129"/>
  <c r="O16" i="129"/>
  <c r="N16" i="129"/>
  <c r="M16" i="129"/>
  <c r="O15" i="129"/>
  <c r="N15" i="129"/>
  <c r="M15" i="129"/>
  <c r="L15" i="129"/>
  <c r="O14" i="129"/>
  <c r="N14" i="129"/>
  <c r="M14" i="129"/>
  <c r="L14" i="129"/>
  <c r="K14" i="129"/>
  <c r="D14" i="129"/>
  <c r="C14" i="129"/>
  <c r="O13" i="129"/>
  <c r="N13" i="129"/>
  <c r="M13" i="129"/>
  <c r="L13" i="129"/>
  <c r="K13" i="129"/>
  <c r="J13" i="129"/>
  <c r="O12" i="129"/>
  <c r="N12" i="129"/>
  <c r="M12" i="129"/>
  <c r="L12" i="129"/>
  <c r="K12" i="129"/>
  <c r="J12" i="129"/>
  <c r="I12" i="129"/>
  <c r="D9" i="129"/>
  <c r="C9" i="129"/>
  <c r="I7" i="129"/>
  <c r="I6" i="129"/>
  <c r="I5" i="129"/>
  <c r="I4" i="129"/>
  <c r="C4" i="129"/>
  <c r="P224" i="128"/>
  <c r="N224" i="128"/>
  <c r="M224" i="128"/>
  <c r="L224" i="128"/>
  <c r="E224" i="128"/>
  <c r="C224" i="128"/>
  <c r="P223" i="128"/>
  <c r="N223" i="128"/>
  <c r="M223" i="128"/>
  <c r="L223" i="128"/>
  <c r="E223" i="128"/>
  <c r="P222" i="128"/>
  <c r="N222" i="128"/>
  <c r="M222" i="128"/>
  <c r="L222" i="128"/>
  <c r="E222" i="128"/>
  <c r="P221" i="128"/>
  <c r="N221" i="128"/>
  <c r="M221" i="128"/>
  <c r="L221" i="128"/>
  <c r="E221" i="128"/>
  <c r="P220" i="128"/>
  <c r="N220" i="128"/>
  <c r="M220" i="128"/>
  <c r="L220" i="128"/>
  <c r="E220" i="128"/>
  <c r="P219" i="128"/>
  <c r="N219" i="128"/>
  <c r="M219" i="128"/>
  <c r="L219" i="128"/>
  <c r="E219" i="128"/>
  <c r="P218" i="128"/>
  <c r="N218" i="128"/>
  <c r="M218" i="128"/>
  <c r="L218" i="128"/>
  <c r="E218" i="128"/>
  <c r="P217" i="128"/>
  <c r="N217" i="128"/>
  <c r="M217" i="128"/>
  <c r="L217" i="128"/>
  <c r="E217" i="128"/>
  <c r="P216" i="128"/>
  <c r="N216" i="128"/>
  <c r="M216" i="128"/>
  <c r="L216" i="128"/>
  <c r="E216" i="128"/>
  <c r="P215" i="128"/>
  <c r="N215" i="128"/>
  <c r="M215" i="128"/>
  <c r="L215" i="128"/>
  <c r="E215" i="128"/>
  <c r="C215" i="128"/>
  <c r="P214" i="128"/>
  <c r="N214" i="128"/>
  <c r="M214" i="128"/>
  <c r="L214" i="128"/>
  <c r="E214" i="128"/>
  <c r="P213" i="128"/>
  <c r="N213" i="128"/>
  <c r="M213" i="128"/>
  <c r="L213" i="128"/>
  <c r="E213" i="128"/>
  <c r="P212" i="128"/>
  <c r="N212" i="128"/>
  <c r="M212" i="128"/>
  <c r="L212" i="128"/>
  <c r="E212" i="128"/>
  <c r="P211" i="128"/>
  <c r="N211" i="128"/>
  <c r="M211" i="128"/>
  <c r="L211" i="128"/>
  <c r="E211" i="128"/>
  <c r="P210" i="128"/>
  <c r="N210" i="128"/>
  <c r="M210" i="128"/>
  <c r="L210" i="128"/>
  <c r="E210" i="128"/>
  <c r="P209" i="128"/>
  <c r="N209" i="128"/>
  <c r="M209" i="128"/>
  <c r="L209" i="128"/>
  <c r="E209" i="128"/>
  <c r="P208" i="128"/>
  <c r="N208" i="128"/>
  <c r="M208" i="128"/>
  <c r="L208" i="128"/>
  <c r="E208" i="128"/>
  <c r="C208" i="128"/>
  <c r="P207" i="128"/>
  <c r="N207" i="128"/>
  <c r="M207" i="128"/>
  <c r="L207" i="128"/>
  <c r="E207" i="128"/>
  <c r="P206" i="128"/>
  <c r="N206" i="128"/>
  <c r="M206" i="128"/>
  <c r="L206" i="128"/>
  <c r="E206" i="128"/>
  <c r="P205" i="128"/>
  <c r="N205" i="128"/>
  <c r="M205" i="128"/>
  <c r="L205" i="128"/>
  <c r="E205" i="128"/>
  <c r="P204" i="128"/>
  <c r="N204" i="128"/>
  <c r="M204" i="128"/>
  <c r="L204" i="128"/>
  <c r="E204" i="128"/>
  <c r="P203" i="128"/>
  <c r="N203" i="128"/>
  <c r="M203" i="128"/>
  <c r="L203" i="128"/>
  <c r="E203" i="128"/>
  <c r="P202" i="128"/>
  <c r="N202" i="128"/>
  <c r="M202" i="128"/>
  <c r="L202" i="128"/>
  <c r="E202" i="128"/>
  <c r="P201" i="128"/>
  <c r="N201" i="128"/>
  <c r="M201" i="128"/>
  <c r="L201" i="128"/>
  <c r="E201" i="128"/>
  <c r="C201" i="128"/>
  <c r="P200" i="128"/>
  <c r="N200" i="128"/>
  <c r="M200" i="128"/>
  <c r="L200" i="128"/>
  <c r="E200" i="128"/>
  <c r="P199" i="128"/>
  <c r="N199" i="128"/>
  <c r="M199" i="128"/>
  <c r="L199" i="128"/>
  <c r="E199" i="128"/>
  <c r="P198" i="128"/>
  <c r="N198" i="128"/>
  <c r="M198" i="128"/>
  <c r="L198" i="128"/>
  <c r="E198" i="128"/>
  <c r="P197" i="128"/>
  <c r="N197" i="128"/>
  <c r="M197" i="128"/>
  <c r="L197" i="128"/>
  <c r="E197" i="128"/>
  <c r="P196" i="128"/>
  <c r="N196" i="128"/>
  <c r="M196" i="128"/>
  <c r="L196" i="128"/>
  <c r="E196" i="128"/>
  <c r="P195" i="128"/>
  <c r="N195" i="128"/>
  <c r="M195" i="128"/>
  <c r="L195" i="128"/>
  <c r="E195" i="128"/>
  <c r="P194" i="128"/>
  <c r="N194" i="128"/>
  <c r="M194" i="128"/>
  <c r="L194" i="128"/>
  <c r="E194" i="128"/>
  <c r="C194" i="128"/>
  <c r="P193" i="128"/>
  <c r="N193" i="128"/>
  <c r="M193" i="128"/>
  <c r="L193" i="128"/>
  <c r="E193" i="128"/>
  <c r="P192" i="128"/>
  <c r="N192" i="128"/>
  <c r="M192" i="128"/>
  <c r="L192" i="128"/>
  <c r="E192" i="128"/>
  <c r="P191" i="128"/>
  <c r="N191" i="128"/>
  <c r="M191" i="128"/>
  <c r="L191" i="128"/>
  <c r="E191" i="128"/>
  <c r="P190" i="128"/>
  <c r="N190" i="128"/>
  <c r="M190" i="128"/>
  <c r="L190" i="128"/>
  <c r="E190" i="128"/>
  <c r="P189" i="128"/>
  <c r="N189" i="128"/>
  <c r="M189" i="128"/>
  <c r="L189" i="128"/>
  <c r="E189" i="128"/>
  <c r="P188" i="128"/>
  <c r="N188" i="128"/>
  <c r="M188" i="128"/>
  <c r="L188" i="128"/>
  <c r="E188" i="128"/>
  <c r="P187" i="128"/>
  <c r="N187" i="128"/>
  <c r="M187" i="128"/>
  <c r="L187" i="128"/>
  <c r="E187" i="128"/>
  <c r="P186" i="128"/>
  <c r="N186" i="128"/>
  <c r="M186" i="128"/>
  <c r="L186" i="128"/>
  <c r="E186" i="128"/>
  <c r="P185" i="128"/>
  <c r="N185" i="128"/>
  <c r="M185" i="128"/>
  <c r="L185" i="128"/>
  <c r="E185" i="128"/>
  <c r="P184" i="128"/>
  <c r="N184" i="128"/>
  <c r="M184" i="128"/>
  <c r="L184" i="128"/>
  <c r="E184" i="128"/>
  <c r="P183" i="128"/>
  <c r="N183" i="128"/>
  <c r="M183" i="128"/>
  <c r="L183" i="128"/>
  <c r="E183" i="128"/>
  <c r="P182" i="128"/>
  <c r="N182" i="128"/>
  <c r="M182" i="128"/>
  <c r="L182" i="128"/>
  <c r="E182" i="128"/>
  <c r="P181" i="128"/>
  <c r="N181" i="128"/>
  <c r="M181" i="128"/>
  <c r="L181" i="128"/>
  <c r="E181" i="128"/>
  <c r="P180" i="128"/>
  <c r="N180" i="128"/>
  <c r="M180" i="128"/>
  <c r="L180" i="128"/>
  <c r="E180" i="128"/>
  <c r="P179" i="128"/>
  <c r="N179" i="128"/>
  <c r="M179" i="128"/>
  <c r="L179" i="128"/>
  <c r="E179" i="128"/>
  <c r="P178" i="128"/>
  <c r="N178" i="128"/>
  <c r="M178" i="128"/>
  <c r="L178" i="128"/>
  <c r="E178" i="128"/>
  <c r="P177" i="128"/>
  <c r="N177" i="128"/>
  <c r="M177" i="128"/>
  <c r="L177" i="128"/>
  <c r="E177" i="128"/>
  <c r="P176" i="128"/>
  <c r="N176" i="128"/>
  <c r="M176" i="128"/>
  <c r="L176" i="128"/>
  <c r="E176" i="128"/>
  <c r="P175" i="128"/>
  <c r="N175" i="128"/>
  <c r="M175" i="128"/>
  <c r="L175" i="128"/>
  <c r="E175" i="128"/>
  <c r="P174" i="128"/>
  <c r="N174" i="128"/>
  <c r="M174" i="128"/>
  <c r="L174" i="128"/>
  <c r="E174" i="128"/>
  <c r="P173" i="128"/>
  <c r="N173" i="128"/>
  <c r="M173" i="128"/>
  <c r="L173" i="128"/>
  <c r="E173" i="128"/>
  <c r="P172" i="128"/>
  <c r="N172" i="128"/>
  <c r="M172" i="128"/>
  <c r="L172" i="128"/>
  <c r="E172" i="128"/>
  <c r="P171" i="128"/>
  <c r="N171" i="128"/>
  <c r="M171" i="128"/>
  <c r="L171" i="128"/>
  <c r="E171" i="128"/>
  <c r="P170" i="128"/>
  <c r="N170" i="128"/>
  <c r="M170" i="128"/>
  <c r="L170" i="128"/>
  <c r="E170" i="128"/>
  <c r="P169" i="128"/>
  <c r="N169" i="128"/>
  <c r="M169" i="128"/>
  <c r="L169" i="128"/>
  <c r="E169" i="128"/>
  <c r="P168" i="128"/>
  <c r="N168" i="128"/>
  <c r="M168" i="128"/>
  <c r="L168" i="128"/>
  <c r="E168" i="128"/>
  <c r="P167" i="128"/>
  <c r="N167" i="128"/>
  <c r="M167" i="128"/>
  <c r="L167" i="128"/>
  <c r="E167" i="128"/>
  <c r="P166" i="128"/>
  <c r="N166" i="128"/>
  <c r="M166" i="128"/>
  <c r="L166" i="128"/>
  <c r="E166" i="128"/>
  <c r="P165" i="128"/>
  <c r="N165" i="128"/>
  <c r="M165" i="128"/>
  <c r="L165" i="128"/>
  <c r="E165" i="128"/>
  <c r="P164" i="128"/>
  <c r="N164" i="128"/>
  <c r="M164" i="128"/>
  <c r="L164" i="128"/>
  <c r="E164" i="128"/>
  <c r="P163" i="128"/>
  <c r="N163" i="128"/>
  <c r="M163" i="128"/>
  <c r="L163" i="128"/>
  <c r="E163" i="128"/>
  <c r="P162" i="128"/>
  <c r="N162" i="128"/>
  <c r="M162" i="128"/>
  <c r="L162" i="128"/>
  <c r="E162" i="128"/>
  <c r="P161" i="128"/>
  <c r="N161" i="128"/>
  <c r="M161" i="128"/>
  <c r="L161" i="128"/>
  <c r="E161" i="128"/>
  <c r="P160" i="128"/>
  <c r="N160" i="128"/>
  <c r="M160" i="128"/>
  <c r="L160" i="128"/>
  <c r="E160" i="128"/>
  <c r="P159" i="128"/>
  <c r="N159" i="128"/>
  <c r="M159" i="128"/>
  <c r="L159" i="128"/>
  <c r="E159" i="128"/>
  <c r="P158" i="128"/>
  <c r="N158" i="128"/>
  <c r="M158" i="128"/>
  <c r="L158" i="128"/>
  <c r="E158" i="128"/>
  <c r="P157" i="128"/>
  <c r="N157" i="128"/>
  <c r="M157" i="128"/>
  <c r="L157" i="128"/>
  <c r="E157" i="128"/>
  <c r="P156" i="128"/>
  <c r="N156" i="128"/>
  <c r="M156" i="128"/>
  <c r="L156" i="128"/>
  <c r="E156" i="128"/>
  <c r="P155" i="128"/>
  <c r="N155" i="128"/>
  <c r="M155" i="128"/>
  <c r="L155" i="128"/>
  <c r="E155" i="128"/>
  <c r="P154" i="128"/>
  <c r="N154" i="128"/>
  <c r="M154" i="128"/>
  <c r="L154" i="128"/>
  <c r="E154" i="128"/>
  <c r="P153" i="128"/>
  <c r="N153" i="128"/>
  <c r="M153" i="128"/>
  <c r="L153" i="128"/>
  <c r="E153" i="128"/>
  <c r="P152" i="128"/>
  <c r="N152" i="128"/>
  <c r="M152" i="128"/>
  <c r="L152" i="128"/>
  <c r="E152" i="128"/>
  <c r="P151" i="128"/>
  <c r="N151" i="128"/>
  <c r="M151" i="128"/>
  <c r="L151" i="128"/>
  <c r="E151" i="128"/>
  <c r="P150" i="128"/>
  <c r="N150" i="128"/>
  <c r="M150" i="128"/>
  <c r="L150" i="128"/>
  <c r="E150" i="128"/>
  <c r="P149" i="128"/>
  <c r="N149" i="128"/>
  <c r="M149" i="128"/>
  <c r="L149" i="128"/>
  <c r="E149" i="128"/>
  <c r="P148" i="128"/>
  <c r="N148" i="128"/>
  <c r="M148" i="128"/>
  <c r="L148" i="128"/>
  <c r="E148" i="128"/>
  <c r="P147" i="128"/>
  <c r="N147" i="128"/>
  <c r="M147" i="128"/>
  <c r="L147" i="128"/>
  <c r="E147" i="128"/>
  <c r="P146" i="128"/>
  <c r="N146" i="128"/>
  <c r="M146" i="128"/>
  <c r="L146" i="128"/>
  <c r="E146" i="128"/>
  <c r="P145" i="128"/>
  <c r="N145" i="128"/>
  <c r="M145" i="128"/>
  <c r="L145" i="128"/>
  <c r="E145" i="128"/>
  <c r="P144" i="128"/>
  <c r="N144" i="128"/>
  <c r="M144" i="128"/>
  <c r="L144" i="128"/>
  <c r="E144" i="128"/>
  <c r="P143" i="128"/>
  <c r="N143" i="128"/>
  <c r="M143" i="128"/>
  <c r="L143" i="128"/>
  <c r="E143" i="128"/>
  <c r="P142" i="128"/>
  <c r="N142" i="128"/>
  <c r="M142" i="128"/>
  <c r="L142" i="128"/>
  <c r="E142" i="128"/>
  <c r="P141" i="128"/>
  <c r="N141" i="128"/>
  <c r="M141" i="128"/>
  <c r="L141" i="128"/>
  <c r="E141" i="128"/>
  <c r="P140" i="128"/>
  <c r="N140" i="128"/>
  <c r="M140" i="128"/>
  <c r="L140" i="128"/>
  <c r="E140" i="128"/>
  <c r="P139" i="128"/>
  <c r="N139" i="128"/>
  <c r="M139" i="128"/>
  <c r="L139" i="128"/>
  <c r="E139" i="128"/>
  <c r="P138" i="128"/>
  <c r="N138" i="128"/>
  <c r="M138" i="128"/>
  <c r="L138" i="128"/>
  <c r="E138" i="128"/>
  <c r="P137" i="128"/>
  <c r="N137" i="128"/>
  <c r="M137" i="128"/>
  <c r="L137" i="128"/>
  <c r="E137" i="128"/>
  <c r="P136" i="128"/>
  <c r="N136" i="128"/>
  <c r="M136" i="128"/>
  <c r="L136" i="128"/>
  <c r="E136" i="128"/>
  <c r="P135" i="128"/>
  <c r="N135" i="128"/>
  <c r="M135" i="128"/>
  <c r="L135" i="128"/>
  <c r="E135" i="128"/>
  <c r="P134" i="128"/>
  <c r="N134" i="128"/>
  <c r="M134" i="128"/>
  <c r="L134" i="128"/>
  <c r="E134" i="128"/>
  <c r="P133" i="128"/>
  <c r="N133" i="128"/>
  <c r="M133" i="128"/>
  <c r="L133" i="128"/>
  <c r="E133" i="128"/>
  <c r="P132" i="128"/>
  <c r="N132" i="128"/>
  <c r="M132" i="128"/>
  <c r="L132" i="128"/>
  <c r="E132" i="128"/>
  <c r="P131" i="128"/>
  <c r="N131" i="128"/>
  <c r="M131" i="128"/>
  <c r="L131" i="128"/>
  <c r="E131" i="128"/>
  <c r="P130" i="128"/>
  <c r="N130" i="128"/>
  <c r="M130" i="128"/>
  <c r="L130" i="128"/>
  <c r="E130" i="128"/>
  <c r="P129" i="128"/>
  <c r="N129" i="128"/>
  <c r="M129" i="128"/>
  <c r="L129" i="128"/>
  <c r="E129" i="128"/>
  <c r="P128" i="128"/>
  <c r="N128" i="128"/>
  <c r="M128" i="128"/>
  <c r="L128" i="128"/>
  <c r="E128" i="128"/>
  <c r="P127" i="128"/>
  <c r="N127" i="128"/>
  <c r="M127" i="128"/>
  <c r="L127" i="128"/>
  <c r="F127" i="128"/>
  <c r="F128" i="128" s="1"/>
  <c r="F129" i="128" s="1"/>
  <c r="F132" i="128" s="1"/>
  <c r="E127" i="128"/>
  <c r="P126" i="128"/>
  <c r="N126" i="128"/>
  <c r="E126" i="128"/>
  <c r="P125" i="128"/>
  <c r="N125" i="128"/>
  <c r="P124" i="128"/>
  <c r="N124" i="128"/>
  <c r="F124" i="128"/>
  <c r="E124" i="128"/>
  <c r="P123" i="128"/>
  <c r="N123" i="128"/>
  <c r="E123" i="128"/>
  <c r="P122" i="128"/>
  <c r="N122" i="128"/>
  <c r="P121" i="128"/>
  <c r="N121" i="128"/>
  <c r="F121" i="128"/>
  <c r="E121" i="128"/>
  <c r="P120" i="128"/>
  <c r="N120" i="128"/>
  <c r="E120" i="128"/>
  <c r="P119" i="128"/>
  <c r="N119" i="128"/>
  <c r="P118" i="128"/>
  <c r="N118" i="128"/>
  <c r="F118" i="128"/>
  <c r="E118" i="128"/>
  <c r="P117" i="128"/>
  <c r="N117" i="128"/>
  <c r="E117" i="128"/>
  <c r="P116" i="128"/>
  <c r="N116" i="128"/>
  <c r="P115" i="128"/>
  <c r="N115" i="128"/>
  <c r="F115" i="128"/>
  <c r="E115" i="128"/>
  <c r="P114" i="128"/>
  <c r="N114" i="128"/>
  <c r="E114" i="128"/>
  <c r="P113" i="128"/>
  <c r="N113" i="128"/>
  <c r="P112" i="128"/>
  <c r="N112" i="128"/>
  <c r="F112" i="128"/>
  <c r="E112" i="128"/>
  <c r="P111" i="128"/>
  <c r="N111" i="128"/>
  <c r="M111" i="128"/>
  <c r="L111" i="128"/>
  <c r="E111" i="128"/>
  <c r="P110" i="128"/>
  <c r="N110" i="128"/>
  <c r="M110" i="128"/>
  <c r="L110" i="128"/>
  <c r="E110" i="128"/>
  <c r="P109" i="128"/>
  <c r="N109" i="128"/>
  <c r="M109" i="128"/>
  <c r="L109" i="128"/>
  <c r="E109" i="128"/>
  <c r="P108" i="128"/>
  <c r="N108" i="128"/>
  <c r="M108" i="128"/>
  <c r="L108" i="128"/>
  <c r="F108" i="128"/>
  <c r="F109" i="128" s="1"/>
  <c r="F110" i="128" s="1"/>
  <c r="F111" i="128" s="1"/>
  <c r="R137" i="126" s="1"/>
  <c r="S137" i="126" s="1"/>
  <c r="E108" i="128"/>
  <c r="P107" i="128"/>
  <c r="P106" i="128"/>
  <c r="P105" i="128"/>
  <c r="P104" i="128"/>
  <c r="P103" i="128"/>
  <c r="N103" i="128"/>
  <c r="M103" i="128"/>
  <c r="L103" i="128"/>
  <c r="E103" i="128"/>
  <c r="P102" i="128"/>
  <c r="N102" i="128"/>
  <c r="M102" i="128"/>
  <c r="L102" i="128"/>
  <c r="E102" i="128"/>
  <c r="P101" i="128"/>
  <c r="N101" i="128"/>
  <c r="M101" i="128"/>
  <c r="L101" i="128"/>
  <c r="E101" i="128"/>
  <c r="P100" i="128"/>
  <c r="N100" i="128"/>
  <c r="M100" i="128"/>
  <c r="L100" i="128"/>
  <c r="E100" i="128"/>
  <c r="P99" i="128"/>
  <c r="N99" i="128"/>
  <c r="M99" i="128"/>
  <c r="L99" i="128"/>
  <c r="E99" i="128"/>
  <c r="P98" i="128"/>
  <c r="N98" i="128"/>
  <c r="M98" i="128"/>
  <c r="L98" i="128"/>
  <c r="E98" i="128"/>
  <c r="P97" i="128"/>
  <c r="N97" i="128"/>
  <c r="M97" i="128"/>
  <c r="L97" i="128"/>
  <c r="E97" i="128"/>
  <c r="P96" i="128"/>
  <c r="N96" i="128"/>
  <c r="M96" i="128"/>
  <c r="L96" i="128"/>
  <c r="E96" i="128"/>
  <c r="P95" i="128"/>
  <c r="N95" i="128"/>
  <c r="M95" i="128"/>
  <c r="L95" i="128"/>
  <c r="E95" i="128"/>
  <c r="P94" i="128"/>
  <c r="N94" i="128"/>
  <c r="M94" i="128"/>
  <c r="L94" i="128"/>
  <c r="E94" i="128"/>
  <c r="P93" i="128"/>
  <c r="N93" i="128"/>
  <c r="M93" i="128"/>
  <c r="L93" i="128"/>
  <c r="E93" i="128"/>
  <c r="P92" i="128"/>
  <c r="N92" i="128"/>
  <c r="M92" i="128"/>
  <c r="L92" i="128"/>
  <c r="E92" i="128"/>
  <c r="P91" i="128"/>
  <c r="N91" i="128"/>
  <c r="M91" i="128"/>
  <c r="L91" i="128"/>
  <c r="E91" i="128"/>
  <c r="P90" i="128"/>
  <c r="N90" i="128"/>
  <c r="M90" i="128"/>
  <c r="L90" i="128"/>
  <c r="E90" i="128"/>
  <c r="P89" i="128"/>
  <c r="N89" i="128"/>
  <c r="M89" i="128"/>
  <c r="L89" i="128"/>
  <c r="E89" i="128"/>
  <c r="P88" i="128"/>
  <c r="N88" i="128"/>
  <c r="M88" i="128"/>
  <c r="L88" i="128"/>
  <c r="E88" i="128"/>
  <c r="P87" i="128"/>
  <c r="N87" i="128"/>
  <c r="M87" i="128"/>
  <c r="L87" i="128"/>
  <c r="E87" i="128"/>
  <c r="P86" i="128"/>
  <c r="N86" i="128"/>
  <c r="M86" i="128"/>
  <c r="L86" i="128"/>
  <c r="E86" i="128"/>
  <c r="P85" i="128"/>
  <c r="N85" i="128"/>
  <c r="M85" i="128"/>
  <c r="L85" i="128"/>
  <c r="E85" i="128"/>
  <c r="P84" i="128"/>
  <c r="N84" i="128"/>
  <c r="M84" i="128"/>
  <c r="L84" i="128"/>
  <c r="E84" i="128"/>
  <c r="P83" i="128"/>
  <c r="N83" i="128"/>
  <c r="M83" i="128"/>
  <c r="L83" i="128"/>
  <c r="E83" i="128"/>
  <c r="P82" i="128"/>
  <c r="N82" i="128"/>
  <c r="M82" i="128"/>
  <c r="L82" i="128"/>
  <c r="E82" i="128"/>
  <c r="P81" i="128"/>
  <c r="N81" i="128"/>
  <c r="M81" i="128"/>
  <c r="L81" i="128"/>
  <c r="E81" i="128"/>
  <c r="P80" i="128"/>
  <c r="N80" i="128"/>
  <c r="M80" i="128"/>
  <c r="L80" i="128"/>
  <c r="E80" i="128"/>
  <c r="P79" i="128"/>
  <c r="N79" i="128"/>
  <c r="M79" i="128"/>
  <c r="L79" i="128"/>
  <c r="E79" i="128"/>
  <c r="P78" i="128"/>
  <c r="N78" i="128"/>
  <c r="M78" i="128"/>
  <c r="L78" i="128"/>
  <c r="E78" i="128"/>
  <c r="P77" i="128"/>
  <c r="N77" i="128"/>
  <c r="M77" i="128"/>
  <c r="L77" i="128"/>
  <c r="E77" i="128"/>
  <c r="P76" i="128"/>
  <c r="N76" i="128"/>
  <c r="M76" i="128"/>
  <c r="L76" i="128"/>
  <c r="E76" i="128"/>
  <c r="P75" i="128"/>
  <c r="N75" i="128"/>
  <c r="M75" i="128"/>
  <c r="L75" i="128"/>
  <c r="E75" i="128"/>
  <c r="P74" i="128"/>
  <c r="N74" i="128"/>
  <c r="M74" i="128"/>
  <c r="L74" i="128"/>
  <c r="E74" i="128"/>
  <c r="P73" i="128"/>
  <c r="N73" i="128"/>
  <c r="M73" i="128"/>
  <c r="L73" i="128"/>
  <c r="E73" i="128"/>
  <c r="P72" i="128"/>
  <c r="N72" i="128"/>
  <c r="M72" i="128"/>
  <c r="L72" i="128"/>
  <c r="E72" i="128"/>
  <c r="P71" i="128"/>
  <c r="N71" i="128"/>
  <c r="M71" i="128"/>
  <c r="L71" i="128"/>
  <c r="E71" i="128"/>
  <c r="P70" i="128"/>
  <c r="N70" i="128"/>
  <c r="M70" i="128"/>
  <c r="L70" i="128"/>
  <c r="E70" i="128"/>
  <c r="P69" i="128"/>
  <c r="N69" i="128"/>
  <c r="M69" i="128"/>
  <c r="L69" i="128"/>
  <c r="E69" i="128"/>
  <c r="P68" i="128"/>
  <c r="N68" i="128"/>
  <c r="M68" i="128"/>
  <c r="L68" i="128"/>
  <c r="E68" i="128"/>
  <c r="P67" i="128"/>
  <c r="N67" i="128"/>
  <c r="M67" i="128"/>
  <c r="L67" i="128"/>
  <c r="E67" i="128"/>
  <c r="P66" i="128"/>
  <c r="N66" i="128"/>
  <c r="M66" i="128"/>
  <c r="L66" i="128"/>
  <c r="E66" i="128"/>
  <c r="P65" i="128"/>
  <c r="N65" i="128"/>
  <c r="M65" i="128"/>
  <c r="L65" i="128"/>
  <c r="E65" i="128"/>
  <c r="P64" i="128"/>
  <c r="N64" i="128"/>
  <c r="M64" i="128"/>
  <c r="L64" i="128"/>
  <c r="E64" i="128"/>
  <c r="P63" i="128"/>
  <c r="N63" i="128"/>
  <c r="M63" i="128"/>
  <c r="L63" i="128"/>
  <c r="E63" i="128"/>
  <c r="P62" i="128"/>
  <c r="N62" i="128"/>
  <c r="M62" i="128"/>
  <c r="L62" i="128"/>
  <c r="E62" i="128"/>
  <c r="P61" i="128"/>
  <c r="N61" i="128"/>
  <c r="M61" i="128"/>
  <c r="L61" i="128"/>
  <c r="E61" i="128"/>
  <c r="P59" i="128"/>
  <c r="N59" i="128"/>
  <c r="M59" i="128"/>
  <c r="L59" i="128"/>
  <c r="E59" i="128"/>
  <c r="P58" i="128"/>
  <c r="N58" i="128"/>
  <c r="M58" i="128"/>
  <c r="L58" i="128"/>
  <c r="E58" i="128"/>
  <c r="P57" i="128"/>
  <c r="N57" i="128"/>
  <c r="M57" i="128"/>
  <c r="L57" i="128"/>
  <c r="E57" i="128"/>
  <c r="C57" i="128"/>
  <c r="P56" i="128"/>
  <c r="N56" i="128"/>
  <c r="M56" i="128"/>
  <c r="L56" i="128"/>
  <c r="E56" i="128"/>
  <c r="P55" i="128"/>
  <c r="N55" i="128"/>
  <c r="M55" i="128"/>
  <c r="L55" i="128"/>
  <c r="E55" i="128"/>
  <c r="P54" i="128"/>
  <c r="N54" i="128"/>
  <c r="M54" i="128"/>
  <c r="L54" i="128"/>
  <c r="E54" i="128"/>
  <c r="P53" i="128"/>
  <c r="N53" i="128"/>
  <c r="M53" i="128"/>
  <c r="L53" i="128"/>
  <c r="E53" i="128"/>
  <c r="P52" i="128"/>
  <c r="N52" i="128"/>
  <c r="M52" i="128"/>
  <c r="L52" i="128"/>
  <c r="E52" i="128"/>
  <c r="P51" i="128"/>
  <c r="N51" i="128"/>
  <c r="M51" i="128"/>
  <c r="L51" i="128"/>
  <c r="E51" i="128"/>
  <c r="P50" i="128"/>
  <c r="N50" i="128"/>
  <c r="M50" i="128"/>
  <c r="L50" i="128"/>
  <c r="E50" i="128"/>
  <c r="P49" i="128"/>
  <c r="N49" i="128"/>
  <c r="M49" i="128"/>
  <c r="L49" i="128"/>
  <c r="E49" i="128"/>
  <c r="P48" i="128"/>
  <c r="N48" i="128"/>
  <c r="M48" i="128"/>
  <c r="L48" i="128"/>
  <c r="E48" i="128"/>
  <c r="P47" i="128"/>
  <c r="N47" i="128"/>
  <c r="M47" i="128"/>
  <c r="L47" i="128"/>
  <c r="E47" i="128"/>
  <c r="C47" i="128"/>
  <c r="P46" i="128"/>
  <c r="N46" i="128"/>
  <c r="M46" i="128"/>
  <c r="L46" i="128"/>
  <c r="E46" i="128"/>
  <c r="P45" i="128"/>
  <c r="N45" i="128"/>
  <c r="M45" i="128"/>
  <c r="L45" i="128"/>
  <c r="E45" i="128"/>
  <c r="P44" i="128"/>
  <c r="N44" i="128"/>
  <c r="M44" i="128"/>
  <c r="L44" i="128"/>
  <c r="E44" i="128"/>
  <c r="P43" i="128"/>
  <c r="N43" i="128"/>
  <c r="M43" i="128"/>
  <c r="L43" i="128"/>
  <c r="E43" i="128"/>
  <c r="P42" i="128"/>
  <c r="N42" i="128"/>
  <c r="M42" i="128"/>
  <c r="L42" i="128"/>
  <c r="E42" i="128"/>
  <c r="P41" i="128"/>
  <c r="N41" i="128"/>
  <c r="M41" i="128"/>
  <c r="L41" i="128"/>
  <c r="E41" i="128"/>
  <c r="P40" i="128"/>
  <c r="N40" i="128"/>
  <c r="M40" i="128"/>
  <c r="L40" i="128"/>
  <c r="E40" i="128"/>
  <c r="P39" i="128"/>
  <c r="N39" i="128"/>
  <c r="M39" i="128"/>
  <c r="L39" i="128"/>
  <c r="E39" i="128"/>
  <c r="P38" i="128"/>
  <c r="N38" i="128"/>
  <c r="M38" i="128"/>
  <c r="L38" i="128"/>
  <c r="E38" i="128"/>
  <c r="P37" i="128"/>
  <c r="N37" i="128"/>
  <c r="M37" i="128"/>
  <c r="L37" i="128"/>
  <c r="E37" i="128"/>
  <c r="C37" i="128"/>
  <c r="P36" i="128"/>
  <c r="N36" i="128"/>
  <c r="M36" i="128"/>
  <c r="L36" i="128"/>
  <c r="E36" i="128"/>
  <c r="P35" i="128"/>
  <c r="N35" i="128"/>
  <c r="M35" i="128"/>
  <c r="L35" i="128"/>
  <c r="E35" i="128"/>
  <c r="P34" i="128"/>
  <c r="N34" i="128"/>
  <c r="M34" i="128"/>
  <c r="L34" i="128"/>
  <c r="E34" i="128"/>
  <c r="P33" i="128"/>
  <c r="N33" i="128"/>
  <c r="M33" i="128"/>
  <c r="L33" i="128"/>
  <c r="E33" i="128"/>
  <c r="P32" i="128"/>
  <c r="N32" i="128"/>
  <c r="M32" i="128"/>
  <c r="L32" i="128"/>
  <c r="E32" i="128"/>
  <c r="P31" i="128"/>
  <c r="N31" i="128"/>
  <c r="M31" i="128"/>
  <c r="L31" i="128"/>
  <c r="E31" i="128"/>
  <c r="P30" i="128"/>
  <c r="N30" i="128"/>
  <c r="M30" i="128"/>
  <c r="L30" i="128"/>
  <c r="E30" i="128"/>
  <c r="P29" i="128"/>
  <c r="N29" i="128"/>
  <c r="M29" i="128"/>
  <c r="L29" i="128"/>
  <c r="F29" i="128"/>
  <c r="F30" i="128" s="1"/>
  <c r="F31" i="128" s="1"/>
  <c r="F32" i="128" s="1"/>
  <c r="F33" i="128" s="1"/>
  <c r="F34" i="128" s="1"/>
  <c r="F35" i="128" s="1"/>
  <c r="F36" i="128" s="1"/>
  <c r="F37" i="128" s="1"/>
  <c r="E29" i="128"/>
  <c r="P28" i="128"/>
  <c r="N28" i="128"/>
  <c r="M28" i="128"/>
  <c r="L28" i="128"/>
  <c r="E28" i="128"/>
  <c r="C28" i="128"/>
  <c r="P27" i="128"/>
  <c r="N27" i="128"/>
  <c r="M27" i="128"/>
  <c r="L27" i="128"/>
  <c r="E27" i="128"/>
  <c r="P26" i="128"/>
  <c r="N26" i="128"/>
  <c r="M26" i="128"/>
  <c r="L26" i="128"/>
  <c r="E26" i="128"/>
  <c r="P25" i="128"/>
  <c r="N25" i="128"/>
  <c r="M25" i="128"/>
  <c r="L25" i="128"/>
  <c r="E25" i="128"/>
  <c r="P24" i="128"/>
  <c r="N24" i="128"/>
  <c r="M24" i="128"/>
  <c r="L24" i="128"/>
  <c r="E24" i="128"/>
  <c r="P23" i="128"/>
  <c r="N23" i="128"/>
  <c r="M23" i="128"/>
  <c r="L23" i="128"/>
  <c r="E23" i="128"/>
  <c r="P22" i="128"/>
  <c r="N22" i="128"/>
  <c r="M22" i="128"/>
  <c r="L22" i="128"/>
  <c r="E22" i="128"/>
  <c r="P21" i="128"/>
  <c r="N21" i="128"/>
  <c r="M21" i="128"/>
  <c r="L21" i="128"/>
  <c r="E21" i="128"/>
  <c r="C21" i="128"/>
  <c r="P20" i="128"/>
  <c r="N20" i="128"/>
  <c r="M20" i="128"/>
  <c r="L20" i="128"/>
  <c r="E20" i="128"/>
  <c r="P19" i="128"/>
  <c r="N19" i="128"/>
  <c r="M19" i="128"/>
  <c r="L19" i="128"/>
  <c r="E19" i="128"/>
  <c r="P18" i="128"/>
  <c r="N18" i="128"/>
  <c r="M18" i="128"/>
  <c r="L18" i="128"/>
  <c r="E18" i="128"/>
  <c r="P17" i="128"/>
  <c r="N17" i="128"/>
  <c r="M17" i="128"/>
  <c r="L17" i="128"/>
  <c r="E17" i="128"/>
  <c r="P16" i="128"/>
  <c r="N16" i="128"/>
  <c r="M16" i="128"/>
  <c r="L16" i="128"/>
  <c r="E16" i="128"/>
  <c r="P15" i="128"/>
  <c r="N15" i="128"/>
  <c r="M15" i="128"/>
  <c r="L15" i="128"/>
  <c r="E15" i="128"/>
  <c r="P14" i="128"/>
  <c r="N14" i="128"/>
  <c r="M14" i="128"/>
  <c r="L14" i="128"/>
  <c r="E14" i="128"/>
  <c r="P13" i="128"/>
  <c r="N13" i="128"/>
  <c r="M13" i="128"/>
  <c r="L13" i="128"/>
  <c r="E13" i="128"/>
  <c r="P12" i="128"/>
  <c r="N12" i="128"/>
  <c r="M12" i="128"/>
  <c r="L12" i="128"/>
  <c r="E12" i="128"/>
  <c r="P11" i="128"/>
  <c r="N11" i="128"/>
  <c r="M11" i="128"/>
  <c r="L11" i="128"/>
  <c r="E11" i="128"/>
  <c r="P10" i="128"/>
  <c r="N10" i="128"/>
  <c r="M10" i="128"/>
  <c r="L10" i="128"/>
  <c r="E10" i="128"/>
  <c r="C10" i="128"/>
  <c r="P9" i="128"/>
  <c r="N9" i="128"/>
  <c r="M9" i="128"/>
  <c r="L9" i="128"/>
  <c r="E9" i="128"/>
  <c r="P8" i="128"/>
  <c r="N8" i="128"/>
  <c r="M8" i="128"/>
  <c r="L8" i="128"/>
  <c r="E8" i="128"/>
  <c r="P7" i="128"/>
  <c r="N7" i="128"/>
  <c r="M7" i="128"/>
  <c r="L7" i="128"/>
  <c r="E7" i="128"/>
  <c r="P6" i="128"/>
  <c r="N6" i="128"/>
  <c r="M6" i="128"/>
  <c r="L6" i="128"/>
  <c r="F6" i="128"/>
  <c r="F7" i="128" s="1"/>
  <c r="F8" i="128" s="1"/>
  <c r="F9" i="128" s="1"/>
  <c r="F10" i="128" s="1"/>
  <c r="R13" i="126" s="1"/>
  <c r="E6" i="128"/>
  <c r="R251" i="126"/>
  <c r="P251" i="126"/>
  <c r="N251" i="126"/>
  <c r="M251" i="126"/>
  <c r="L251" i="126"/>
  <c r="R250" i="126"/>
  <c r="P250" i="126"/>
  <c r="M250" i="126"/>
  <c r="L250" i="126"/>
  <c r="N250" i="126" s="1"/>
  <c r="H250" i="126"/>
  <c r="R249" i="126"/>
  <c r="P249" i="126"/>
  <c r="N249" i="126"/>
  <c r="M249" i="126"/>
  <c r="L249" i="126"/>
  <c r="H249" i="126"/>
  <c r="E249" i="126" s="1"/>
  <c r="R248" i="126"/>
  <c r="P248" i="126"/>
  <c r="N248" i="126"/>
  <c r="M248" i="126"/>
  <c r="L248" i="126"/>
  <c r="H248" i="126"/>
  <c r="E248" i="126" s="1"/>
  <c r="R247" i="126"/>
  <c r="P247" i="126"/>
  <c r="N247" i="126"/>
  <c r="M247" i="126"/>
  <c r="L247" i="126"/>
  <c r="H247" i="126"/>
  <c r="R246" i="126"/>
  <c r="P246" i="126"/>
  <c r="N246" i="126"/>
  <c r="M246" i="126"/>
  <c r="L246" i="126"/>
  <c r="P245" i="126"/>
  <c r="N245" i="126"/>
  <c r="M245" i="126"/>
  <c r="L245" i="126"/>
  <c r="H245" i="126"/>
  <c r="E245" i="126" s="1"/>
  <c r="R244" i="126"/>
  <c r="P244" i="126"/>
  <c r="N244" i="126"/>
  <c r="M244" i="126"/>
  <c r="L244" i="126"/>
  <c r="H244" i="126"/>
  <c r="R243" i="126"/>
  <c r="P243" i="126"/>
  <c r="N243" i="126"/>
  <c r="M243" i="126"/>
  <c r="L243" i="126"/>
  <c r="R242" i="126"/>
  <c r="P242" i="126"/>
  <c r="N242" i="126"/>
  <c r="M242" i="126"/>
  <c r="L242" i="126"/>
  <c r="R241" i="126"/>
  <c r="P241" i="126"/>
  <c r="N241" i="126"/>
  <c r="M241" i="126"/>
  <c r="L241" i="126"/>
  <c r="H241" i="126"/>
  <c r="R240" i="126"/>
  <c r="P240" i="126"/>
  <c r="N240" i="126"/>
  <c r="M240" i="126"/>
  <c r="L240" i="126"/>
  <c r="H240" i="126"/>
  <c r="R239" i="126"/>
  <c r="P239" i="126"/>
  <c r="N239" i="126"/>
  <c r="M239" i="126"/>
  <c r="L239" i="126"/>
  <c r="H239" i="126"/>
  <c r="E239" i="126" s="1"/>
  <c r="R238" i="126"/>
  <c r="P238" i="126"/>
  <c r="N238" i="126"/>
  <c r="M238" i="126"/>
  <c r="L238" i="126"/>
  <c r="H238" i="126"/>
  <c r="E238" i="126" s="1"/>
  <c r="R237" i="126"/>
  <c r="P237" i="126"/>
  <c r="N237" i="126"/>
  <c r="M237" i="126"/>
  <c r="L237" i="126"/>
  <c r="H237" i="126"/>
  <c r="R236" i="126"/>
  <c r="P236" i="126"/>
  <c r="N236" i="126"/>
  <c r="M236" i="126"/>
  <c r="L236" i="126"/>
  <c r="H236" i="126"/>
  <c r="R235" i="126"/>
  <c r="P235" i="126"/>
  <c r="N235" i="126"/>
  <c r="M235" i="126"/>
  <c r="L235" i="126"/>
  <c r="R234" i="126"/>
  <c r="P234" i="126"/>
  <c r="N234" i="126"/>
  <c r="M234" i="126"/>
  <c r="L234" i="126"/>
  <c r="H234" i="126"/>
  <c r="R233" i="126"/>
  <c r="P233" i="126"/>
  <c r="N233" i="126"/>
  <c r="M233" i="126"/>
  <c r="L233" i="126"/>
  <c r="H233" i="126"/>
  <c r="R232" i="126"/>
  <c r="P232" i="126"/>
  <c r="N232" i="126"/>
  <c r="M232" i="126"/>
  <c r="L232" i="126"/>
  <c r="H232" i="126"/>
  <c r="E232" i="126" s="1"/>
  <c r="R231" i="126"/>
  <c r="H231" i="126"/>
  <c r="R230" i="126"/>
  <c r="P230" i="126"/>
  <c r="N230" i="126"/>
  <c r="M230" i="126"/>
  <c r="L230" i="126"/>
  <c r="R229" i="126"/>
  <c r="P229" i="126"/>
  <c r="N229" i="126"/>
  <c r="M229" i="126"/>
  <c r="L229" i="126"/>
  <c r="H229" i="126"/>
  <c r="E229" i="126" s="1"/>
  <c r="P228" i="126"/>
  <c r="N228" i="126"/>
  <c r="M228" i="126"/>
  <c r="L228" i="126"/>
  <c r="H228" i="126"/>
  <c r="R227" i="126"/>
  <c r="P227" i="126"/>
  <c r="N227" i="126"/>
  <c r="M227" i="126"/>
  <c r="L227" i="126"/>
  <c r="H227" i="126"/>
  <c r="E227" i="126" s="1"/>
  <c r="R226" i="126"/>
  <c r="P226" i="126"/>
  <c r="N226" i="126"/>
  <c r="M226" i="126"/>
  <c r="L226" i="126"/>
  <c r="H226" i="126"/>
  <c r="E226" i="126" s="1"/>
  <c r="R225" i="126"/>
  <c r="P225" i="126"/>
  <c r="N225" i="126"/>
  <c r="M225" i="126"/>
  <c r="L225" i="126"/>
  <c r="R224" i="126"/>
  <c r="P224" i="126"/>
  <c r="N224" i="126"/>
  <c r="M224" i="126"/>
  <c r="L224" i="126"/>
  <c r="H224" i="126"/>
  <c r="R223" i="126"/>
  <c r="P223" i="126"/>
  <c r="N223" i="126"/>
  <c r="M223" i="126"/>
  <c r="L223" i="126"/>
  <c r="H223" i="126"/>
  <c r="E223" i="126"/>
  <c r="R222" i="126"/>
  <c r="P222" i="126"/>
  <c r="N222" i="126"/>
  <c r="M222" i="126"/>
  <c r="L222" i="126"/>
  <c r="R221" i="126"/>
  <c r="P221" i="126"/>
  <c r="N221" i="126"/>
  <c r="M221" i="126"/>
  <c r="L221" i="126"/>
  <c r="H221" i="126"/>
  <c r="R220" i="126"/>
  <c r="P220" i="126"/>
  <c r="N220" i="126"/>
  <c r="M220" i="126"/>
  <c r="L220" i="126"/>
  <c r="H220" i="126"/>
  <c r="R219" i="126"/>
  <c r="P219" i="126"/>
  <c r="N219" i="126"/>
  <c r="M219" i="126"/>
  <c r="L219" i="126"/>
  <c r="H219" i="126"/>
  <c r="E219" i="126" s="1"/>
  <c r="R218" i="126"/>
  <c r="H218" i="126"/>
  <c r="R217" i="126"/>
  <c r="P217" i="126"/>
  <c r="N217" i="126"/>
  <c r="M217" i="126"/>
  <c r="L217" i="126"/>
  <c r="R216" i="126"/>
  <c r="P216" i="126"/>
  <c r="N216" i="126"/>
  <c r="M216" i="126"/>
  <c r="L216" i="126"/>
  <c r="H216" i="126"/>
  <c r="P215" i="126"/>
  <c r="N215" i="126"/>
  <c r="E215" i="126" s="1"/>
  <c r="M215" i="126"/>
  <c r="L215" i="126"/>
  <c r="H215" i="126"/>
  <c r="R214" i="126"/>
  <c r="P214" i="126"/>
  <c r="N214" i="126"/>
  <c r="M214" i="126"/>
  <c r="L214" i="126"/>
  <c r="H214" i="126"/>
  <c r="E214" i="126" s="1"/>
  <c r="R213" i="126"/>
  <c r="P213" i="126"/>
  <c r="N213" i="126"/>
  <c r="M213" i="126"/>
  <c r="L213" i="126"/>
  <c r="H213" i="126"/>
  <c r="E213" i="126" s="1"/>
  <c r="R212" i="126"/>
  <c r="P212" i="126"/>
  <c r="N212" i="126"/>
  <c r="M212" i="126"/>
  <c r="L212" i="126"/>
  <c r="R211" i="126"/>
  <c r="P211" i="126"/>
  <c r="N211" i="126"/>
  <c r="M211" i="126"/>
  <c r="L211" i="126"/>
  <c r="R210" i="126"/>
  <c r="P210" i="126"/>
  <c r="N210" i="126"/>
  <c r="M210" i="126"/>
  <c r="L210" i="126"/>
  <c r="R209" i="126"/>
  <c r="P209" i="126"/>
  <c r="N209" i="126"/>
  <c r="M209" i="126"/>
  <c r="L209" i="126"/>
  <c r="H209" i="126"/>
  <c r="R208" i="126"/>
  <c r="P208" i="126"/>
  <c r="N208" i="126"/>
  <c r="M208" i="126"/>
  <c r="L208" i="126"/>
  <c r="H208" i="126"/>
  <c r="R207" i="126"/>
  <c r="P207" i="126"/>
  <c r="N207" i="126"/>
  <c r="M207" i="126"/>
  <c r="L207" i="126"/>
  <c r="R206" i="126"/>
  <c r="P206" i="126"/>
  <c r="N206" i="126"/>
  <c r="M206" i="126"/>
  <c r="L206" i="126"/>
  <c r="H206" i="126"/>
  <c r="R205" i="126"/>
  <c r="P205" i="126"/>
  <c r="N205" i="126"/>
  <c r="M205" i="126"/>
  <c r="L205" i="126"/>
  <c r="H205" i="126"/>
  <c r="R204" i="126"/>
  <c r="P204" i="126"/>
  <c r="N204" i="126"/>
  <c r="M204" i="126"/>
  <c r="L204" i="126"/>
  <c r="R203" i="126"/>
  <c r="P203" i="126"/>
  <c r="N203" i="126"/>
  <c r="M203" i="126"/>
  <c r="L203" i="126"/>
  <c r="H203" i="126"/>
  <c r="R202" i="126"/>
  <c r="P202" i="126"/>
  <c r="N202" i="126"/>
  <c r="M202" i="126"/>
  <c r="L202" i="126"/>
  <c r="H202" i="126"/>
  <c r="R201" i="126"/>
  <c r="P201" i="126"/>
  <c r="N201" i="126"/>
  <c r="M201" i="126"/>
  <c r="L201" i="126"/>
  <c r="R200" i="126"/>
  <c r="P200" i="126"/>
  <c r="N200" i="126"/>
  <c r="M200" i="126"/>
  <c r="L200" i="126"/>
  <c r="H200" i="126"/>
  <c r="E200" i="126" s="1"/>
  <c r="R199" i="126"/>
  <c r="P199" i="126"/>
  <c r="N199" i="126"/>
  <c r="M199" i="126"/>
  <c r="L199" i="126"/>
  <c r="H199" i="126"/>
  <c r="P198" i="126"/>
  <c r="N198" i="126"/>
  <c r="M198" i="126"/>
  <c r="L198" i="126"/>
  <c r="H198" i="126"/>
  <c r="R197" i="126"/>
  <c r="P197" i="126"/>
  <c r="N197" i="126"/>
  <c r="M197" i="126"/>
  <c r="L197" i="126"/>
  <c r="H197" i="126"/>
  <c r="E197" i="126" s="1"/>
  <c r="H196" i="126"/>
  <c r="R195" i="126"/>
  <c r="P195" i="126"/>
  <c r="N195" i="126"/>
  <c r="M195" i="126"/>
  <c r="L195" i="126"/>
  <c r="R194" i="126"/>
  <c r="P194" i="126"/>
  <c r="N194" i="126"/>
  <c r="M194" i="126"/>
  <c r="L194" i="126"/>
  <c r="H194" i="126"/>
  <c r="P193" i="126"/>
  <c r="N193" i="126"/>
  <c r="M193" i="126"/>
  <c r="L193" i="126"/>
  <c r="H193" i="126"/>
  <c r="E193" i="126" s="1"/>
  <c r="R192" i="126"/>
  <c r="P192" i="126"/>
  <c r="N192" i="126"/>
  <c r="M192" i="126"/>
  <c r="L192" i="126"/>
  <c r="H192" i="126"/>
  <c r="E192" i="126" s="1"/>
  <c r="H191" i="126"/>
  <c r="R190" i="126"/>
  <c r="P190" i="126"/>
  <c r="N190" i="126"/>
  <c r="M190" i="126"/>
  <c r="L190" i="126"/>
  <c r="R189" i="126"/>
  <c r="P189" i="126"/>
  <c r="N189" i="126"/>
  <c r="M189" i="126"/>
  <c r="L189" i="126"/>
  <c r="H189" i="126"/>
  <c r="P188" i="126"/>
  <c r="N188" i="126"/>
  <c r="M188" i="126"/>
  <c r="L188" i="126"/>
  <c r="H188" i="126"/>
  <c r="E188" i="126" s="1"/>
  <c r="R187" i="126"/>
  <c r="P187" i="126"/>
  <c r="N187" i="126"/>
  <c r="M187" i="126"/>
  <c r="L187" i="126"/>
  <c r="H187" i="126"/>
  <c r="H186" i="126"/>
  <c r="R185" i="126"/>
  <c r="P185" i="126"/>
  <c r="N185" i="126"/>
  <c r="M185" i="126"/>
  <c r="L185" i="126"/>
  <c r="R184" i="126"/>
  <c r="P184" i="126"/>
  <c r="N184" i="126"/>
  <c r="M184" i="126"/>
  <c r="L184" i="126"/>
  <c r="H184" i="126"/>
  <c r="P183" i="126"/>
  <c r="N183" i="126"/>
  <c r="M183" i="126"/>
  <c r="L183" i="126"/>
  <c r="H183" i="126"/>
  <c r="E183" i="126" s="1"/>
  <c r="R182" i="126"/>
  <c r="P182" i="126"/>
  <c r="N182" i="126"/>
  <c r="M182" i="126"/>
  <c r="L182" i="126"/>
  <c r="H182" i="126"/>
  <c r="R181" i="126"/>
  <c r="P181" i="126"/>
  <c r="N181" i="126"/>
  <c r="M181" i="126"/>
  <c r="L181" i="126"/>
  <c r="H181" i="126"/>
  <c r="R180" i="126"/>
  <c r="P180" i="126"/>
  <c r="N180" i="126"/>
  <c r="M180" i="126"/>
  <c r="L180" i="126"/>
  <c r="R179" i="126"/>
  <c r="P179" i="126"/>
  <c r="N179" i="126"/>
  <c r="M179" i="126"/>
  <c r="L179" i="126"/>
  <c r="H179" i="126"/>
  <c r="E179" i="126" s="1"/>
  <c r="R178" i="126"/>
  <c r="P178" i="126"/>
  <c r="N178" i="126"/>
  <c r="M178" i="126"/>
  <c r="L178" i="126"/>
  <c r="H178" i="126"/>
  <c r="P177" i="126"/>
  <c r="N177" i="126"/>
  <c r="M177" i="126"/>
  <c r="L177" i="126"/>
  <c r="R176" i="126"/>
  <c r="P176" i="126"/>
  <c r="N176" i="126"/>
  <c r="M176" i="126"/>
  <c r="L176" i="126"/>
  <c r="H176" i="126"/>
  <c r="R175" i="126"/>
  <c r="P175" i="126"/>
  <c r="N175" i="126"/>
  <c r="M175" i="126"/>
  <c r="L175" i="126"/>
  <c r="H175" i="126"/>
  <c r="R174" i="126"/>
  <c r="P174" i="126"/>
  <c r="N174" i="126"/>
  <c r="M174" i="126"/>
  <c r="L174" i="126"/>
  <c r="H174" i="126"/>
  <c r="R173" i="126"/>
  <c r="P173" i="126"/>
  <c r="N173" i="126"/>
  <c r="M173" i="126"/>
  <c r="L173" i="126"/>
  <c r="H173" i="126"/>
  <c r="E173" i="126" s="1"/>
  <c r="R172" i="126"/>
  <c r="P172" i="126"/>
  <c r="N172" i="126"/>
  <c r="M172" i="126"/>
  <c r="L172" i="126"/>
  <c r="R171" i="126"/>
  <c r="P171" i="126"/>
  <c r="N171" i="126"/>
  <c r="M171" i="126"/>
  <c r="L171" i="126"/>
  <c r="R170" i="126"/>
  <c r="P170" i="126"/>
  <c r="N170" i="126"/>
  <c r="M170" i="126"/>
  <c r="L170" i="126"/>
  <c r="H170" i="126"/>
  <c r="E170" i="126" s="1"/>
  <c r="R169" i="126"/>
  <c r="P169" i="126"/>
  <c r="N169" i="126"/>
  <c r="M169" i="126"/>
  <c r="L169" i="126"/>
  <c r="H169" i="126"/>
  <c r="E169" i="126" s="1"/>
  <c r="P168" i="126"/>
  <c r="N168" i="126"/>
  <c r="M168" i="126"/>
  <c r="L168" i="126"/>
  <c r="R167" i="126"/>
  <c r="P167" i="126"/>
  <c r="N167" i="126"/>
  <c r="M167" i="126"/>
  <c r="L167" i="126"/>
  <c r="H167" i="126"/>
  <c r="E167" i="126" s="1"/>
  <c r="R166" i="126"/>
  <c r="P166" i="126"/>
  <c r="N166" i="126"/>
  <c r="M166" i="126"/>
  <c r="L166" i="126"/>
  <c r="H166" i="126"/>
  <c r="P165" i="126"/>
  <c r="N165" i="126"/>
  <c r="M165" i="126"/>
  <c r="L165" i="126"/>
  <c r="R164" i="126"/>
  <c r="P164" i="126"/>
  <c r="N164" i="126"/>
  <c r="M164" i="126"/>
  <c r="L164" i="126"/>
  <c r="H164" i="126"/>
  <c r="E164" i="126" s="1"/>
  <c r="R163" i="126"/>
  <c r="P163" i="126"/>
  <c r="N163" i="126"/>
  <c r="M163" i="126"/>
  <c r="L163" i="126"/>
  <c r="H163" i="126"/>
  <c r="P162" i="126"/>
  <c r="N162" i="126"/>
  <c r="M162" i="126"/>
  <c r="L162" i="126"/>
  <c r="H162" i="126"/>
  <c r="R161" i="126"/>
  <c r="P161" i="126"/>
  <c r="N161" i="126"/>
  <c r="M161" i="126"/>
  <c r="L161" i="126"/>
  <c r="H161" i="126"/>
  <c r="E161" i="126" s="1"/>
  <c r="R160" i="126"/>
  <c r="P160" i="126"/>
  <c r="N160" i="126"/>
  <c r="M160" i="126"/>
  <c r="L160" i="126"/>
  <c r="H160" i="126"/>
  <c r="E160" i="126" s="1"/>
  <c r="R159" i="126"/>
  <c r="P159" i="126"/>
  <c r="N159" i="126"/>
  <c r="M159" i="126"/>
  <c r="L159" i="126"/>
  <c r="H159" i="126"/>
  <c r="R158" i="126"/>
  <c r="P158" i="126"/>
  <c r="N158" i="126"/>
  <c r="M158" i="126"/>
  <c r="L158" i="126"/>
  <c r="R157" i="126"/>
  <c r="P157" i="126"/>
  <c r="N157" i="126"/>
  <c r="M157" i="126"/>
  <c r="L157" i="126"/>
  <c r="H157" i="126"/>
  <c r="E157" i="126" s="1"/>
  <c r="R156" i="126"/>
  <c r="P156" i="126"/>
  <c r="N156" i="126"/>
  <c r="M156" i="126"/>
  <c r="L156" i="126"/>
  <c r="H156" i="126"/>
  <c r="R155" i="126"/>
  <c r="P155" i="126"/>
  <c r="N155" i="126"/>
  <c r="M155" i="126"/>
  <c r="L155" i="126"/>
  <c r="R154" i="126"/>
  <c r="P154" i="126"/>
  <c r="N154" i="126"/>
  <c r="M154" i="126"/>
  <c r="L154" i="126"/>
  <c r="H154" i="126"/>
  <c r="E154" i="126" s="1"/>
  <c r="R153" i="126"/>
  <c r="P153" i="126"/>
  <c r="N153" i="126"/>
  <c r="M153" i="126"/>
  <c r="L153" i="126"/>
  <c r="H153" i="126"/>
  <c r="E153" i="126" s="1"/>
  <c r="P152" i="126"/>
  <c r="N152" i="126"/>
  <c r="M152" i="126"/>
  <c r="L152" i="126"/>
  <c r="H152" i="126"/>
  <c r="R151" i="126"/>
  <c r="P151" i="126"/>
  <c r="N151" i="126"/>
  <c r="M151" i="126"/>
  <c r="L151" i="126"/>
  <c r="H151" i="126"/>
  <c r="R150" i="126"/>
  <c r="P150" i="126"/>
  <c r="N150" i="126"/>
  <c r="M150" i="126"/>
  <c r="L150" i="126"/>
  <c r="H150" i="126"/>
  <c r="E150" i="126" s="1"/>
  <c r="P149" i="126"/>
  <c r="N149" i="126"/>
  <c r="M149" i="126"/>
  <c r="L149" i="126"/>
  <c r="R148" i="126"/>
  <c r="P148" i="126"/>
  <c r="N148" i="126"/>
  <c r="M148" i="126"/>
  <c r="L148" i="126"/>
  <c r="H148" i="126"/>
  <c r="P147" i="126"/>
  <c r="N147" i="126"/>
  <c r="M147" i="126"/>
  <c r="L147" i="126"/>
  <c r="R146" i="126"/>
  <c r="P146" i="126"/>
  <c r="N146" i="126"/>
  <c r="M146" i="126"/>
  <c r="L146" i="126"/>
  <c r="H146" i="126"/>
  <c r="P145" i="126"/>
  <c r="N145" i="126"/>
  <c r="M145" i="126"/>
  <c r="L145" i="126"/>
  <c r="H145" i="126"/>
  <c r="E145" i="126" s="1"/>
  <c r="R144" i="126"/>
  <c r="P144" i="126"/>
  <c r="N144" i="126"/>
  <c r="M144" i="126"/>
  <c r="L144" i="126"/>
  <c r="H144" i="126"/>
  <c r="E144" i="126" s="1"/>
  <c r="R143" i="126"/>
  <c r="P143" i="126"/>
  <c r="N143" i="126"/>
  <c r="M143" i="126"/>
  <c r="L143" i="126"/>
  <c r="H143" i="126"/>
  <c r="R142" i="126"/>
  <c r="P142" i="126"/>
  <c r="N142" i="126"/>
  <c r="M142" i="126"/>
  <c r="L142" i="126"/>
  <c r="R141" i="126"/>
  <c r="P141" i="126"/>
  <c r="N141" i="126"/>
  <c r="M141" i="126"/>
  <c r="L141" i="126"/>
  <c r="H141" i="126"/>
  <c r="E141" i="126" s="1"/>
  <c r="R140" i="126"/>
  <c r="P140" i="126"/>
  <c r="N140" i="126"/>
  <c r="M140" i="126"/>
  <c r="L140" i="126"/>
  <c r="H140" i="126"/>
  <c r="R139" i="126"/>
  <c r="P139" i="126"/>
  <c r="N139" i="126"/>
  <c r="M139" i="126"/>
  <c r="L139" i="126"/>
  <c r="R138" i="126"/>
  <c r="P138" i="126"/>
  <c r="N138" i="126"/>
  <c r="M138" i="126"/>
  <c r="L138" i="126"/>
  <c r="E138" i="126"/>
  <c r="P137" i="126"/>
  <c r="N137" i="126"/>
  <c r="M137" i="126"/>
  <c r="L137" i="126"/>
  <c r="H137" i="126"/>
  <c r="R136" i="126"/>
  <c r="S136" i="126" s="1"/>
  <c r="P136" i="126"/>
  <c r="N136" i="126"/>
  <c r="M136" i="126"/>
  <c r="L136" i="126"/>
  <c r="R131" i="126"/>
  <c r="P131" i="126"/>
  <c r="N131" i="126"/>
  <c r="M131" i="126"/>
  <c r="L131" i="126"/>
  <c r="H131" i="126"/>
  <c r="E131" i="126" s="1"/>
  <c r="R130" i="126"/>
  <c r="P130" i="126"/>
  <c r="N130" i="126"/>
  <c r="M130" i="126"/>
  <c r="L130" i="126"/>
  <c r="H130" i="126"/>
  <c r="E130" i="126" s="1"/>
  <c r="R129" i="126"/>
  <c r="P129" i="126"/>
  <c r="N129" i="126"/>
  <c r="M129" i="126"/>
  <c r="L129" i="126"/>
  <c r="H129" i="126"/>
  <c r="R128" i="126"/>
  <c r="P128" i="126"/>
  <c r="N128" i="126"/>
  <c r="M128" i="126"/>
  <c r="L128" i="126"/>
  <c r="R127" i="126"/>
  <c r="P127" i="126"/>
  <c r="N127" i="126"/>
  <c r="M127" i="126"/>
  <c r="L127" i="126"/>
  <c r="H127" i="126"/>
  <c r="E127" i="126" s="1"/>
  <c r="R126" i="126"/>
  <c r="P126" i="126"/>
  <c r="N126" i="126"/>
  <c r="M126" i="126"/>
  <c r="L126" i="126"/>
  <c r="H126" i="126"/>
  <c r="R125" i="126"/>
  <c r="P125" i="126"/>
  <c r="N125" i="126"/>
  <c r="M125" i="126"/>
  <c r="L125" i="126"/>
  <c r="R124" i="126"/>
  <c r="P124" i="126"/>
  <c r="N124" i="126"/>
  <c r="M124" i="126"/>
  <c r="L124" i="126"/>
  <c r="H124" i="126"/>
  <c r="E124" i="126" s="1"/>
  <c r="P123" i="126"/>
  <c r="N123" i="126"/>
  <c r="M123" i="126"/>
  <c r="L123" i="126"/>
  <c r="H123" i="126"/>
  <c r="R122" i="126"/>
  <c r="P122" i="126"/>
  <c r="N122" i="126"/>
  <c r="M122" i="126"/>
  <c r="L122" i="126"/>
  <c r="H122" i="126"/>
  <c r="R121" i="126"/>
  <c r="P121" i="126"/>
  <c r="N121" i="126"/>
  <c r="M121" i="126"/>
  <c r="L121" i="126"/>
  <c r="H121" i="126"/>
  <c r="R120" i="126"/>
  <c r="P120" i="126"/>
  <c r="N120" i="126"/>
  <c r="M120" i="126"/>
  <c r="L120" i="126"/>
  <c r="H120" i="126"/>
  <c r="E120" i="126" s="1"/>
  <c r="R119" i="126"/>
  <c r="P119" i="126"/>
  <c r="N119" i="126"/>
  <c r="M119" i="126"/>
  <c r="L119" i="126"/>
  <c r="R118" i="126"/>
  <c r="P118" i="126"/>
  <c r="N118" i="126"/>
  <c r="M118" i="126"/>
  <c r="L118" i="126"/>
  <c r="H118" i="126"/>
  <c r="R117" i="126"/>
  <c r="P117" i="126"/>
  <c r="N117" i="126"/>
  <c r="M117" i="126"/>
  <c r="L117" i="126"/>
  <c r="H117" i="126"/>
  <c r="E117" i="126" s="1"/>
  <c r="R116" i="126"/>
  <c r="P116" i="126"/>
  <c r="N116" i="126"/>
  <c r="M116" i="126"/>
  <c r="L116" i="126"/>
  <c r="R115" i="126"/>
  <c r="P115" i="126"/>
  <c r="N115" i="126"/>
  <c r="M115" i="126"/>
  <c r="L115" i="126"/>
  <c r="H115" i="126"/>
  <c r="P114" i="126"/>
  <c r="N114" i="126"/>
  <c r="M114" i="126"/>
  <c r="L114" i="126"/>
  <c r="H114" i="126"/>
  <c r="E114" i="126" s="1"/>
  <c r="R113" i="126"/>
  <c r="P113" i="126"/>
  <c r="N113" i="126"/>
  <c r="M113" i="126"/>
  <c r="L113" i="126"/>
  <c r="H113" i="126"/>
  <c r="E113" i="126" s="1"/>
  <c r="R112" i="126"/>
  <c r="P112" i="126"/>
  <c r="N112" i="126"/>
  <c r="M112" i="126"/>
  <c r="L112" i="126"/>
  <c r="H112" i="126"/>
  <c r="R111" i="126"/>
  <c r="P111" i="126"/>
  <c r="N111" i="126"/>
  <c r="M111" i="126"/>
  <c r="L111" i="126"/>
  <c r="H111" i="126"/>
  <c r="R110" i="126"/>
  <c r="P110" i="126"/>
  <c r="N110" i="126"/>
  <c r="M110" i="126"/>
  <c r="L110" i="126"/>
  <c r="R109" i="126"/>
  <c r="P109" i="126"/>
  <c r="N109" i="126"/>
  <c r="M109" i="126"/>
  <c r="L109" i="126"/>
  <c r="H109" i="126"/>
  <c r="R108" i="126"/>
  <c r="P108" i="126"/>
  <c r="N108" i="126"/>
  <c r="M108" i="126"/>
  <c r="L108" i="126"/>
  <c r="H108" i="126"/>
  <c r="R107" i="126"/>
  <c r="P107" i="126"/>
  <c r="N107" i="126"/>
  <c r="M107" i="126"/>
  <c r="L107" i="126"/>
  <c r="R106" i="126"/>
  <c r="P106" i="126"/>
  <c r="N106" i="126"/>
  <c r="M106" i="126"/>
  <c r="L106" i="126"/>
  <c r="H106" i="126"/>
  <c r="E106" i="126"/>
  <c r="R105" i="126"/>
  <c r="P105" i="126"/>
  <c r="N105" i="126"/>
  <c r="M105" i="126"/>
  <c r="L105" i="126"/>
  <c r="R104" i="126"/>
  <c r="P104" i="126"/>
  <c r="N104" i="126"/>
  <c r="M104" i="126"/>
  <c r="L104" i="126"/>
  <c r="R103" i="126"/>
  <c r="P103" i="126"/>
  <c r="N103" i="126"/>
  <c r="M103" i="126"/>
  <c r="L103" i="126"/>
  <c r="H103" i="126"/>
  <c r="E103" i="126" s="1"/>
  <c r="R102" i="126"/>
  <c r="P102" i="126"/>
  <c r="N102" i="126"/>
  <c r="M102" i="126"/>
  <c r="L102" i="126"/>
  <c r="H102" i="126"/>
  <c r="R101" i="126"/>
  <c r="P101" i="126"/>
  <c r="N101" i="126"/>
  <c r="M101" i="126"/>
  <c r="L101" i="126"/>
  <c r="H101" i="126"/>
  <c r="R100" i="126"/>
  <c r="P100" i="126"/>
  <c r="N100" i="126"/>
  <c r="M100" i="126"/>
  <c r="L100" i="126"/>
  <c r="R99" i="126"/>
  <c r="P99" i="126"/>
  <c r="N99" i="126"/>
  <c r="M99" i="126"/>
  <c r="L99" i="126"/>
  <c r="H99" i="126"/>
  <c r="E99" i="126" s="1"/>
  <c r="R98" i="126"/>
  <c r="P98" i="126"/>
  <c r="N98" i="126"/>
  <c r="M98" i="126"/>
  <c r="L98" i="126"/>
  <c r="R97" i="126"/>
  <c r="P97" i="126"/>
  <c r="N97" i="126"/>
  <c r="M97" i="126"/>
  <c r="L97" i="126"/>
  <c r="H97" i="126"/>
  <c r="P96" i="126"/>
  <c r="N96" i="126"/>
  <c r="M96" i="126"/>
  <c r="L96" i="126"/>
  <c r="H96" i="126"/>
  <c r="E96" i="126" s="1"/>
  <c r="R91" i="126"/>
  <c r="P91" i="126"/>
  <c r="N91" i="126"/>
  <c r="M91" i="126"/>
  <c r="L91" i="126"/>
  <c r="H91" i="126"/>
  <c r="R90" i="126"/>
  <c r="P90" i="126"/>
  <c r="N90" i="126"/>
  <c r="M90" i="126"/>
  <c r="L90" i="126"/>
  <c r="R89" i="126"/>
  <c r="P89" i="126"/>
  <c r="N89" i="126"/>
  <c r="M89" i="126"/>
  <c r="L89" i="126"/>
  <c r="H89" i="126"/>
  <c r="E89" i="126" s="1"/>
  <c r="P88" i="126"/>
  <c r="N88" i="126"/>
  <c r="M88" i="126"/>
  <c r="L88" i="126"/>
  <c r="H88" i="126"/>
  <c r="R87" i="126"/>
  <c r="P87" i="126"/>
  <c r="N87" i="126"/>
  <c r="M87" i="126"/>
  <c r="L87" i="126"/>
  <c r="H87" i="126"/>
  <c r="R86" i="126"/>
  <c r="H86" i="126"/>
  <c r="R85" i="126"/>
  <c r="P85" i="126"/>
  <c r="N85" i="126"/>
  <c r="M85" i="126"/>
  <c r="L85" i="126"/>
  <c r="R84" i="126"/>
  <c r="P84" i="126"/>
  <c r="N84" i="126"/>
  <c r="M84" i="126"/>
  <c r="L84" i="126"/>
  <c r="H84" i="126"/>
  <c r="E84" i="126" s="1"/>
  <c r="P83" i="126"/>
  <c r="N83" i="126"/>
  <c r="M83" i="126"/>
  <c r="L83" i="126"/>
  <c r="H83" i="126"/>
  <c r="R82" i="126"/>
  <c r="P82" i="126"/>
  <c r="N82" i="126"/>
  <c r="M82" i="126"/>
  <c r="L82" i="126"/>
  <c r="H82" i="126"/>
  <c r="R81" i="126"/>
  <c r="P81" i="126"/>
  <c r="N81" i="126"/>
  <c r="M81" i="126"/>
  <c r="L81" i="126"/>
  <c r="H81" i="126"/>
  <c r="R80" i="126"/>
  <c r="P80" i="126"/>
  <c r="N80" i="126"/>
  <c r="M80" i="126"/>
  <c r="L80" i="126"/>
  <c r="R79" i="126"/>
  <c r="P79" i="126"/>
  <c r="N79" i="126"/>
  <c r="M79" i="126"/>
  <c r="L79" i="126"/>
  <c r="H79" i="126"/>
  <c r="R78" i="126"/>
  <c r="P78" i="126"/>
  <c r="N78" i="126"/>
  <c r="M78" i="126"/>
  <c r="L78" i="126"/>
  <c r="H78" i="126"/>
  <c r="R77" i="126"/>
  <c r="P77" i="126"/>
  <c r="N77" i="126"/>
  <c r="M77" i="126"/>
  <c r="L77" i="126"/>
  <c r="R76" i="126"/>
  <c r="P76" i="126"/>
  <c r="N76" i="126"/>
  <c r="M76" i="126"/>
  <c r="L76" i="126"/>
  <c r="H76" i="126"/>
  <c r="R75" i="126"/>
  <c r="P75" i="126"/>
  <c r="N75" i="126"/>
  <c r="M75" i="126"/>
  <c r="L75" i="126"/>
  <c r="H75" i="126"/>
  <c r="R74" i="126"/>
  <c r="P74" i="126"/>
  <c r="N74" i="126"/>
  <c r="M74" i="126"/>
  <c r="L74" i="126"/>
  <c r="H74" i="126"/>
  <c r="R73" i="126"/>
  <c r="P73" i="126"/>
  <c r="N73" i="126"/>
  <c r="M73" i="126"/>
  <c r="L73" i="126"/>
  <c r="H73" i="126"/>
  <c r="E73" i="126" s="1"/>
  <c r="R72" i="126"/>
  <c r="P72" i="126"/>
  <c r="N72" i="126"/>
  <c r="M72" i="126"/>
  <c r="L72" i="126"/>
  <c r="H72" i="126"/>
  <c r="R71" i="126"/>
  <c r="P71" i="126"/>
  <c r="N71" i="126"/>
  <c r="M71" i="126"/>
  <c r="L71" i="126"/>
  <c r="R70" i="126"/>
  <c r="P70" i="126"/>
  <c r="N70" i="126"/>
  <c r="M70" i="126"/>
  <c r="L70" i="126"/>
  <c r="H70" i="126"/>
  <c r="E70" i="126" s="1"/>
  <c r="R69" i="126"/>
  <c r="P69" i="126"/>
  <c r="N69" i="126"/>
  <c r="M69" i="126"/>
  <c r="L69" i="126"/>
  <c r="H69" i="126"/>
  <c r="E69" i="126" s="1"/>
  <c r="R68" i="126"/>
  <c r="P68" i="126"/>
  <c r="N68" i="126"/>
  <c r="M68" i="126"/>
  <c r="L68" i="126"/>
  <c r="R67" i="126"/>
  <c r="P67" i="126"/>
  <c r="N67" i="126"/>
  <c r="M67" i="126"/>
  <c r="L67" i="126"/>
  <c r="H67" i="126"/>
  <c r="R66" i="126"/>
  <c r="P66" i="126"/>
  <c r="N66" i="126"/>
  <c r="M66" i="126"/>
  <c r="L66" i="126"/>
  <c r="H66" i="126"/>
  <c r="E66" i="126" s="1"/>
  <c r="R65" i="126"/>
  <c r="P65" i="126"/>
  <c r="N65" i="126"/>
  <c r="M65" i="126"/>
  <c r="L65" i="126"/>
  <c r="R64" i="126"/>
  <c r="P64" i="126"/>
  <c r="N64" i="126"/>
  <c r="M64" i="126"/>
  <c r="L64" i="126"/>
  <c r="H64" i="126"/>
  <c r="R63" i="126"/>
  <c r="P63" i="126"/>
  <c r="N63" i="126"/>
  <c r="M63" i="126"/>
  <c r="L63" i="126"/>
  <c r="H63" i="126"/>
  <c r="E63" i="126" s="1"/>
  <c r="R62" i="126"/>
  <c r="P62" i="126"/>
  <c r="N62" i="126"/>
  <c r="M62" i="126"/>
  <c r="L62" i="126"/>
  <c r="R61" i="126"/>
  <c r="P61" i="126"/>
  <c r="N61" i="126"/>
  <c r="M61" i="126"/>
  <c r="L61" i="126"/>
  <c r="R60" i="126"/>
  <c r="P60" i="126"/>
  <c r="N60" i="126"/>
  <c r="M60" i="126"/>
  <c r="L60" i="126"/>
  <c r="R59" i="126"/>
  <c r="P59" i="126"/>
  <c r="N59" i="126"/>
  <c r="M59" i="126"/>
  <c r="L59" i="126"/>
  <c r="H59" i="126"/>
  <c r="R58" i="126"/>
  <c r="P58" i="126"/>
  <c r="N58" i="126"/>
  <c r="M58" i="126"/>
  <c r="L58" i="126"/>
  <c r="H58" i="126"/>
  <c r="R57" i="126"/>
  <c r="P57" i="126"/>
  <c r="N57" i="126"/>
  <c r="M57" i="126"/>
  <c r="L57" i="126"/>
  <c r="H57" i="126"/>
  <c r="R56" i="126"/>
  <c r="P56" i="126"/>
  <c r="N56" i="126"/>
  <c r="M56" i="126"/>
  <c r="L56" i="126"/>
  <c r="H56" i="126"/>
  <c r="E56" i="126" s="1"/>
  <c r="R55" i="126"/>
  <c r="P55" i="126"/>
  <c r="N55" i="126"/>
  <c r="M55" i="126"/>
  <c r="L55" i="126"/>
  <c r="R54" i="126"/>
  <c r="P54" i="126"/>
  <c r="N54" i="126"/>
  <c r="M54" i="126"/>
  <c r="L54" i="126"/>
  <c r="H54" i="126"/>
  <c r="R53" i="126"/>
  <c r="H53" i="126"/>
  <c r="E53" i="126" s="1"/>
  <c r="R52" i="126"/>
  <c r="P52" i="126"/>
  <c r="N52" i="126"/>
  <c r="M52" i="126"/>
  <c r="L52" i="126"/>
  <c r="R51" i="126"/>
  <c r="P51" i="126"/>
  <c r="N51" i="126"/>
  <c r="M51" i="126"/>
  <c r="L51" i="126"/>
  <c r="H51" i="126"/>
  <c r="E51" i="126" s="1"/>
  <c r="P50" i="126"/>
  <c r="N50" i="126"/>
  <c r="M50" i="126"/>
  <c r="L50" i="126"/>
  <c r="H50" i="126"/>
  <c r="R49" i="126"/>
  <c r="P49" i="126"/>
  <c r="N49" i="126"/>
  <c r="M49" i="126"/>
  <c r="L49" i="126"/>
  <c r="H49" i="126"/>
  <c r="R48" i="126"/>
  <c r="P48" i="126"/>
  <c r="N48" i="126"/>
  <c r="M48" i="126"/>
  <c r="L48" i="126"/>
  <c r="H48" i="126"/>
  <c r="E48" i="126" s="1"/>
  <c r="R47" i="126"/>
  <c r="P47" i="126"/>
  <c r="N47" i="126"/>
  <c r="M47" i="126"/>
  <c r="L47" i="126"/>
  <c r="R46" i="126"/>
  <c r="P46" i="126"/>
  <c r="N46" i="126"/>
  <c r="M46" i="126"/>
  <c r="L46" i="126"/>
  <c r="H46" i="126"/>
  <c r="R45" i="126"/>
  <c r="P45" i="126"/>
  <c r="N45" i="126"/>
  <c r="M45" i="126"/>
  <c r="L45" i="126"/>
  <c r="H45" i="126"/>
  <c r="R44" i="126"/>
  <c r="P44" i="126"/>
  <c r="N44" i="126"/>
  <c r="M44" i="126"/>
  <c r="L44" i="126"/>
  <c r="R43" i="126"/>
  <c r="P43" i="126"/>
  <c r="N43" i="126"/>
  <c r="M43" i="126"/>
  <c r="L43" i="126"/>
  <c r="H43" i="126"/>
  <c r="R42" i="126"/>
  <c r="P42" i="126"/>
  <c r="N42" i="126"/>
  <c r="M42" i="126"/>
  <c r="L42" i="126"/>
  <c r="H42" i="126"/>
  <c r="R41" i="126"/>
  <c r="P41" i="126"/>
  <c r="N41" i="126"/>
  <c r="M41" i="126"/>
  <c r="L41" i="126"/>
  <c r="H41" i="126"/>
  <c r="E41" i="126" s="1"/>
  <c r="R40" i="126"/>
  <c r="H40" i="126"/>
  <c r="R39" i="126"/>
  <c r="P39" i="126"/>
  <c r="N39" i="126"/>
  <c r="M39" i="126"/>
  <c r="L39" i="126"/>
  <c r="R38" i="126"/>
  <c r="P38" i="126"/>
  <c r="N38" i="126"/>
  <c r="M38" i="126"/>
  <c r="L38" i="126"/>
  <c r="H38" i="126"/>
  <c r="P37" i="126"/>
  <c r="N37" i="126"/>
  <c r="M37" i="126"/>
  <c r="L37" i="126"/>
  <c r="H37" i="126"/>
  <c r="R36" i="126"/>
  <c r="P36" i="126"/>
  <c r="E36" i="126" s="1"/>
  <c r="N36" i="126"/>
  <c r="M36" i="126"/>
  <c r="L36" i="126"/>
  <c r="H36" i="126"/>
  <c r="R35" i="126"/>
  <c r="P35" i="126"/>
  <c r="N35" i="126"/>
  <c r="M35" i="126"/>
  <c r="L35" i="126"/>
  <c r="H35" i="126"/>
  <c r="E35" i="126" s="1"/>
  <c r="R34" i="126"/>
  <c r="P34" i="126"/>
  <c r="N34" i="126"/>
  <c r="M34" i="126"/>
  <c r="L34" i="126"/>
  <c r="R33" i="126"/>
  <c r="P33" i="126"/>
  <c r="N33" i="126"/>
  <c r="M33" i="126"/>
  <c r="L33" i="126"/>
  <c r="H33" i="126"/>
  <c r="R32" i="126"/>
  <c r="P32" i="126"/>
  <c r="N32" i="126"/>
  <c r="M32" i="126"/>
  <c r="L32" i="126"/>
  <c r="H32" i="126"/>
  <c r="E32" i="126" s="1"/>
  <c r="R31" i="126"/>
  <c r="P31" i="126"/>
  <c r="N31" i="126"/>
  <c r="M31" i="126"/>
  <c r="L31" i="126"/>
  <c r="H31" i="126"/>
  <c r="P30" i="126"/>
  <c r="N30" i="126"/>
  <c r="M30" i="126"/>
  <c r="L30" i="126"/>
  <c r="H30" i="126"/>
  <c r="R29" i="126"/>
  <c r="P29" i="126"/>
  <c r="N29" i="126"/>
  <c r="M29" i="126"/>
  <c r="L29" i="126"/>
  <c r="H29" i="126"/>
  <c r="R28" i="126"/>
  <c r="P28" i="126"/>
  <c r="N28" i="126"/>
  <c r="M28" i="126"/>
  <c r="L28" i="126"/>
  <c r="H28" i="126"/>
  <c r="E28" i="126" s="1"/>
  <c r="R27" i="126"/>
  <c r="P27" i="126"/>
  <c r="N27" i="126"/>
  <c r="M27" i="126"/>
  <c r="L27" i="126"/>
  <c r="R26" i="126"/>
  <c r="P26" i="126"/>
  <c r="N26" i="126"/>
  <c r="M26" i="126"/>
  <c r="L26" i="126"/>
  <c r="H26" i="126"/>
  <c r="R25" i="126"/>
  <c r="P25" i="126"/>
  <c r="N25" i="126"/>
  <c r="M25" i="126"/>
  <c r="L25" i="126"/>
  <c r="H25" i="126"/>
  <c r="E25" i="126" s="1"/>
  <c r="R24" i="126"/>
  <c r="P24" i="126"/>
  <c r="N24" i="126"/>
  <c r="M24" i="126"/>
  <c r="L24" i="126"/>
  <c r="R23" i="126"/>
  <c r="P23" i="126"/>
  <c r="N23" i="126"/>
  <c r="M23" i="126"/>
  <c r="L23" i="126"/>
  <c r="H23" i="126"/>
  <c r="R22" i="126"/>
  <c r="P22" i="126"/>
  <c r="N22" i="126"/>
  <c r="M22" i="126"/>
  <c r="L22" i="126"/>
  <c r="H22" i="126"/>
  <c r="R21" i="126"/>
  <c r="P21" i="126"/>
  <c r="N21" i="126"/>
  <c r="M21" i="126"/>
  <c r="L21" i="126"/>
  <c r="R20" i="126"/>
  <c r="P20" i="126"/>
  <c r="N20" i="126"/>
  <c r="M20" i="126"/>
  <c r="L20" i="126"/>
  <c r="H20" i="126"/>
  <c r="R19" i="126"/>
  <c r="P19" i="126"/>
  <c r="N19" i="126"/>
  <c r="M19" i="126"/>
  <c r="L19" i="126"/>
  <c r="H19" i="126"/>
  <c r="R18" i="126"/>
  <c r="P18" i="126"/>
  <c r="N18" i="126"/>
  <c r="M18" i="126"/>
  <c r="L18" i="126"/>
  <c r="R17" i="126"/>
  <c r="P17" i="126"/>
  <c r="N17" i="126"/>
  <c r="M17" i="126"/>
  <c r="L17" i="126"/>
  <c r="H17" i="126"/>
  <c r="R16" i="126"/>
  <c r="P16" i="126"/>
  <c r="N16" i="126"/>
  <c r="M16" i="126"/>
  <c r="L16" i="126"/>
  <c r="H16" i="126"/>
  <c r="R15" i="126"/>
  <c r="P15" i="126"/>
  <c r="N15" i="126"/>
  <c r="M15" i="126"/>
  <c r="L15" i="126"/>
  <c r="R14" i="126"/>
  <c r="P14" i="126"/>
  <c r="N14" i="126"/>
  <c r="M14" i="126"/>
  <c r="L14" i="126"/>
  <c r="H14" i="126"/>
  <c r="E14" i="126" s="1"/>
  <c r="P13" i="126"/>
  <c r="N13" i="126"/>
  <c r="M13" i="126"/>
  <c r="L13" i="126"/>
  <c r="H13" i="126"/>
  <c r="R12" i="126"/>
  <c r="P12" i="126"/>
  <c r="N12" i="126"/>
  <c r="M12" i="126"/>
  <c r="L12" i="126"/>
  <c r="H12" i="126"/>
  <c r="R11" i="126"/>
  <c r="P11" i="126"/>
  <c r="M11" i="126"/>
  <c r="L11" i="126"/>
  <c r="N11" i="126" s="1"/>
  <c r="H11" i="126"/>
  <c r="R10" i="126"/>
  <c r="P10" i="126"/>
  <c r="N10" i="126"/>
  <c r="M10" i="126"/>
  <c r="L10" i="126"/>
  <c r="R9" i="126"/>
  <c r="P9" i="126"/>
  <c r="M9" i="126"/>
  <c r="L9" i="126"/>
  <c r="N9" i="126" s="1"/>
  <c r="H9" i="126"/>
  <c r="R8" i="126"/>
  <c r="S8" i="126" s="1"/>
  <c r="P8" i="126"/>
  <c r="N8" i="126"/>
  <c r="M8" i="126"/>
  <c r="L8" i="126"/>
  <c r="H8" i="126"/>
  <c r="E8" i="126" s="1"/>
  <c r="R7" i="126"/>
  <c r="P7" i="126"/>
  <c r="N7" i="126"/>
  <c r="M7" i="126"/>
  <c r="L7" i="126"/>
  <c r="B66" i="125"/>
  <c r="B54" i="125"/>
  <c r="B42" i="125"/>
  <c r="B30" i="125"/>
  <c r="B18" i="125"/>
  <c r="M184" i="100"/>
  <c r="L184" i="100"/>
  <c r="K184" i="100"/>
  <c r="J184" i="100"/>
  <c r="H184" i="100"/>
  <c r="G184" i="100"/>
  <c r="F184" i="100"/>
  <c r="E184" i="100"/>
  <c r="D184" i="100"/>
  <c r="C184" i="100"/>
  <c r="B184" i="100"/>
  <c r="M183" i="100"/>
  <c r="L183" i="100"/>
  <c r="K183" i="100"/>
  <c r="J183" i="100"/>
  <c r="H183" i="100"/>
  <c r="G183" i="100"/>
  <c r="F183" i="100"/>
  <c r="E183" i="100"/>
  <c r="D183" i="100"/>
  <c r="C183" i="100"/>
  <c r="B183" i="100"/>
  <c r="M182" i="100"/>
  <c r="L182" i="100"/>
  <c r="K182" i="100"/>
  <c r="J182" i="100"/>
  <c r="H182" i="100"/>
  <c r="G182" i="100"/>
  <c r="F182" i="100"/>
  <c r="E182" i="100"/>
  <c r="D182" i="100"/>
  <c r="C182" i="100"/>
  <c r="B182" i="100"/>
  <c r="M181" i="100"/>
  <c r="L181" i="100"/>
  <c r="K181" i="100"/>
  <c r="J181" i="100"/>
  <c r="H181" i="100"/>
  <c r="G181" i="100"/>
  <c r="F181" i="100"/>
  <c r="E181" i="100"/>
  <c r="D181" i="100"/>
  <c r="C181" i="100"/>
  <c r="B181" i="100"/>
  <c r="M180" i="100"/>
  <c r="L180" i="100"/>
  <c r="K180" i="100"/>
  <c r="J180" i="100"/>
  <c r="H180" i="100"/>
  <c r="G180" i="100"/>
  <c r="F180" i="100"/>
  <c r="E180" i="100"/>
  <c r="D180" i="100"/>
  <c r="C180" i="100"/>
  <c r="B180" i="100"/>
  <c r="M179" i="100"/>
  <c r="L179" i="100"/>
  <c r="K179" i="100"/>
  <c r="J179" i="100"/>
  <c r="H179" i="100"/>
  <c r="G179" i="100"/>
  <c r="F179" i="100"/>
  <c r="E179" i="100"/>
  <c r="D179" i="100"/>
  <c r="C179" i="100"/>
  <c r="B179" i="100"/>
  <c r="M178" i="100"/>
  <c r="L178" i="100"/>
  <c r="K178" i="100"/>
  <c r="J178" i="100"/>
  <c r="H178" i="100"/>
  <c r="G178" i="100"/>
  <c r="F178" i="100"/>
  <c r="E178" i="100"/>
  <c r="D178" i="100"/>
  <c r="C178" i="100"/>
  <c r="B178" i="100"/>
  <c r="M177" i="100"/>
  <c r="L177" i="100"/>
  <c r="K177" i="100"/>
  <c r="J177" i="100"/>
  <c r="H177" i="100"/>
  <c r="G177" i="100"/>
  <c r="F177" i="100"/>
  <c r="E177" i="100"/>
  <c r="D177" i="100"/>
  <c r="C177" i="100"/>
  <c r="B177" i="100"/>
  <c r="M176" i="100"/>
  <c r="L176" i="100"/>
  <c r="K176" i="100"/>
  <c r="J176" i="100"/>
  <c r="H176" i="100"/>
  <c r="G176" i="100"/>
  <c r="F176" i="100"/>
  <c r="E176" i="100"/>
  <c r="D176" i="100"/>
  <c r="C176" i="100"/>
  <c r="B176" i="100"/>
  <c r="M175" i="100"/>
  <c r="L175" i="100"/>
  <c r="K175" i="100"/>
  <c r="J175" i="100"/>
  <c r="H175" i="100"/>
  <c r="G175" i="100"/>
  <c r="F175" i="100"/>
  <c r="E175" i="100"/>
  <c r="D175" i="100"/>
  <c r="C175" i="100"/>
  <c r="B175" i="100"/>
  <c r="M174" i="100"/>
  <c r="L174" i="100"/>
  <c r="K174" i="100"/>
  <c r="J174" i="100"/>
  <c r="H174" i="100"/>
  <c r="G174" i="100"/>
  <c r="F174" i="100"/>
  <c r="E174" i="100"/>
  <c r="D174" i="100"/>
  <c r="C174" i="100"/>
  <c r="B174" i="100"/>
  <c r="M173" i="100"/>
  <c r="L173" i="100"/>
  <c r="K173" i="100"/>
  <c r="J173" i="100"/>
  <c r="H173" i="100"/>
  <c r="G173" i="100"/>
  <c r="F173" i="100"/>
  <c r="E173" i="100"/>
  <c r="D173" i="100"/>
  <c r="C173" i="100"/>
  <c r="B173" i="100"/>
  <c r="M172" i="100"/>
  <c r="L172" i="100"/>
  <c r="K172" i="100"/>
  <c r="J172" i="100"/>
  <c r="H172" i="100"/>
  <c r="G172" i="100"/>
  <c r="F172" i="100"/>
  <c r="E172" i="100"/>
  <c r="D172" i="100"/>
  <c r="C172" i="100"/>
  <c r="B172" i="100"/>
  <c r="M171" i="100"/>
  <c r="L171" i="100"/>
  <c r="K171" i="100"/>
  <c r="J171" i="100"/>
  <c r="H171" i="100"/>
  <c r="G171" i="100"/>
  <c r="F171" i="100"/>
  <c r="E171" i="100"/>
  <c r="D171" i="100"/>
  <c r="C171" i="100"/>
  <c r="B171" i="100"/>
  <c r="M170" i="100"/>
  <c r="L170" i="100"/>
  <c r="K170" i="100"/>
  <c r="J170" i="100"/>
  <c r="H170" i="100"/>
  <c r="G170" i="100"/>
  <c r="F170" i="100"/>
  <c r="E170" i="100"/>
  <c r="D170" i="100"/>
  <c r="C170" i="100"/>
  <c r="B170" i="100"/>
  <c r="M169" i="100"/>
  <c r="L169" i="100"/>
  <c r="K169" i="100"/>
  <c r="J169" i="100"/>
  <c r="H169" i="100"/>
  <c r="G169" i="100"/>
  <c r="F169" i="100"/>
  <c r="E169" i="100"/>
  <c r="D169" i="100"/>
  <c r="C169" i="100"/>
  <c r="B169" i="100"/>
  <c r="M168" i="100"/>
  <c r="L168" i="100"/>
  <c r="K168" i="100"/>
  <c r="J168" i="100"/>
  <c r="H168" i="100"/>
  <c r="G168" i="100"/>
  <c r="F168" i="100"/>
  <c r="E168" i="100"/>
  <c r="D168" i="100"/>
  <c r="C168" i="100"/>
  <c r="B168" i="100"/>
  <c r="M167" i="100"/>
  <c r="L167" i="100"/>
  <c r="K167" i="100"/>
  <c r="J167" i="100"/>
  <c r="H167" i="100"/>
  <c r="G167" i="100"/>
  <c r="F167" i="100"/>
  <c r="E167" i="100"/>
  <c r="D167" i="100"/>
  <c r="C167" i="100"/>
  <c r="B167" i="100"/>
  <c r="M166" i="100"/>
  <c r="L166" i="100"/>
  <c r="K166" i="100"/>
  <c r="J166" i="100"/>
  <c r="H166" i="100"/>
  <c r="G166" i="100"/>
  <c r="F166" i="100"/>
  <c r="E166" i="100"/>
  <c r="D166" i="100"/>
  <c r="C166" i="100"/>
  <c r="B166" i="100"/>
  <c r="M165" i="100"/>
  <c r="L165" i="100"/>
  <c r="K165" i="100"/>
  <c r="J165" i="100"/>
  <c r="H165" i="100"/>
  <c r="G165" i="100"/>
  <c r="F165" i="100"/>
  <c r="E165" i="100"/>
  <c r="D165" i="100"/>
  <c r="C165" i="100"/>
  <c r="B165" i="100"/>
  <c r="M164" i="100"/>
  <c r="L164" i="100"/>
  <c r="K164" i="100"/>
  <c r="J164" i="100"/>
  <c r="H164" i="100"/>
  <c r="G164" i="100"/>
  <c r="F164" i="100"/>
  <c r="E164" i="100"/>
  <c r="D164" i="100"/>
  <c r="C164" i="100"/>
  <c r="B164" i="100"/>
  <c r="M163" i="100"/>
  <c r="L163" i="100"/>
  <c r="K163" i="100"/>
  <c r="J163" i="100"/>
  <c r="H163" i="100"/>
  <c r="G163" i="100"/>
  <c r="F163" i="100"/>
  <c r="E163" i="100"/>
  <c r="D163" i="100"/>
  <c r="C163" i="100"/>
  <c r="B163" i="100"/>
  <c r="M162" i="100"/>
  <c r="L162" i="100"/>
  <c r="K162" i="100"/>
  <c r="J162" i="100"/>
  <c r="H162" i="100"/>
  <c r="G162" i="100"/>
  <c r="F162" i="100"/>
  <c r="E162" i="100"/>
  <c r="D162" i="100"/>
  <c r="C162" i="100"/>
  <c r="B162" i="100"/>
  <c r="M161" i="100"/>
  <c r="L161" i="100"/>
  <c r="K161" i="100"/>
  <c r="J161" i="100"/>
  <c r="H161" i="100"/>
  <c r="G161" i="100"/>
  <c r="F161" i="100"/>
  <c r="E161" i="100"/>
  <c r="D161" i="100"/>
  <c r="C161" i="100"/>
  <c r="B161" i="100"/>
  <c r="M160" i="100"/>
  <c r="L160" i="100"/>
  <c r="K160" i="100"/>
  <c r="J160" i="100"/>
  <c r="H160" i="100"/>
  <c r="G160" i="100"/>
  <c r="F160" i="100"/>
  <c r="E160" i="100"/>
  <c r="D160" i="100"/>
  <c r="C160" i="100"/>
  <c r="B160" i="100"/>
  <c r="M159" i="100"/>
  <c r="L159" i="100"/>
  <c r="K159" i="100"/>
  <c r="J159" i="100"/>
  <c r="H159" i="100"/>
  <c r="G159" i="100"/>
  <c r="F159" i="100"/>
  <c r="E159" i="100"/>
  <c r="D159" i="100"/>
  <c r="C159" i="100"/>
  <c r="B159" i="100"/>
  <c r="M158" i="100"/>
  <c r="L158" i="100"/>
  <c r="K158" i="100"/>
  <c r="J158" i="100"/>
  <c r="H158" i="100"/>
  <c r="G158" i="100"/>
  <c r="F158" i="100"/>
  <c r="E158" i="100"/>
  <c r="D158" i="100"/>
  <c r="C158" i="100"/>
  <c r="B158" i="100"/>
  <c r="M157" i="100"/>
  <c r="L157" i="100"/>
  <c r="K157" i="100"/>
  <c r="J157" i="100"/>
  <c r="H157" i="100"/>
  <c r="G157" i="100"/>
  <c r="F157" i="100"/>
  <c r="E157" i="100"/>
  <c r="D157" i="100"/>
  <c r="C157" i="100"/>
  <c r="B157" i="100"/>
  <c r="M156" i="100"/>
  <c r="L156" i="100"/>
  <c r="K156" i="100"/>
  <c r="J156" i="100"/>
  <c r="H156" i="100"/>
  <c r="G156" i="100"/>
  <c r="F156" i="100"/>
  <c r="E156" i="100"/>
  <c r="D156" i="100"/>
  <c r="C156" i="100"/>
  <c r="B156" i="100"/>
  <c r="M155" i="100"/>
  <c r="L155" i="100"/>
  <c r="K155" i="100"/>
  <c r="J155" i="100"/>
  <c r="H155" i="100"/>
  <c r="G155" i="100"/>
  <c r="F155" i="100"/>
  <c r="E155" i="100"/>
  <c r="D155" i="100"/>
  <c r="C155" i="100"/>
  <c r="B155" i="100"/>
  <c r="M154" i="100"/>
  <c r="L154" i="100"/>
  <c r="K154" i="100"/>
  <c r="J154" i="100"/>
  <c r="H154" i="100"/>
  <c r="G154" i="100"/>
  <c r="F154" i="100"/>
  <c r="E154" i="100"/>
  <c r="D154" i="100"/>
  <c r="C154" i="100"/>
  <c r="B154" i="100"/>
  <c r="M153" i="100"/>
  <c r="L153" i="100"/>
  <c r="K153" i="100"/>
  <c r="J153" i="100"/>
  <c r="H153" i="100"/>
  <c r="G153" i="100"/>
  <c r="F153" i="100"/>
  <c r="E153" i="100"/>
  <c r="D153" i="100"/>
  <c r="C153" i="100"/>
  <c r="B153" i="100"/>
  <c r="M152" i="100"/>
  <c r="L152" i="100"/>
  <c r="K152" i="100"/>
  <c r="J152" i="100"/>
  <c r="H152" i="100"/>
  <c r="G152" i="100"/>
  <c r="F152" i="100"/>
  <c r="E152" i="100"/>
  <c r="D152" i="100"/>
  <c r="C152" i="100"/>
  <c r="B152" i="100"/>
  <c r="M151" i="100"/>
  <c r="L151" i="100"/>
  <c r="K151" i="100"/>
  <c r="J151" i="100"/>
  <c r="H151" i="100"/>
  <c r="G151" i="100"/>
  <c r="F151" i="100"/>
  <c r="E151" i="100"/>
  <c r="D151" i="100"/>
  <c r="C151" i="100"/>
  <c r="B151" i="100"/>
  <c r="M150" i="100"/>
  <c r="L150" i="100"/>
  <c r="K150" i="100"/>
  <c r="J150" i="100"/>
  <c r="H150" i="100"/>
  <c r="G150" i="100"/>
  <c r="F150" i="100"/>
  <c r="E150" i="100"/>
  <c r="D150" i="100"/>
  <c r="C150" i="100"/>
  <c r="B150" i="100"/>
  <c r="M149" i="100"/>
  <c r="L149" i="100"/>
  <c r="K149" i="100"/>
  <c r="J149" i="100"/>
  <c r="H149" i="100"/>
  <c r="G149" i="100"/>
  <c r="F149" i="100"/>
  <c r="E149" i="100"/>
  <c r="D149" i="100"/>
  <c r="C149" i="100"/>
  <c r="B149" i="100"/>
  <c r="M148" i="100"/>
  <c r="L148" i="100"/>
  <c r="K148" i="100"/>
  <c r="J148" i="100"/>
  <c r="H148" i="100"/>
  <c r="G148" i="100"/>
  <c r="F148" i="100"/>
  <c r="E148" i="100"/>
  <c r="D148" i="100"/>
  <c r="C148" i="100"/>
  <c r="B148" i="100"/>
  <c r="M147" i="100"/>
  <c r="L147" i="100"/>
  <c r="K147" i="100"/>
  <c r="J147" i="100"/>
  <c r="H147" i="100"/>
  <c r="G147" i="100"/>
  <c r="F147" i="100"/>
  <c r="E147" i="100"/>
  <c r="D147" i="100"/>
  <c r="C147" i="100"/>
  <c r="B147" i="100"/>
  <c r="M146" i="100"/>
  <c r="L146" i="100"/>
  <c r="K146" i="100"/>
  <c r="J146" i="100"/>
  <c r="H146" i="100"/>
  <c r="G146" i="100"/>
  <c r="F146" i="100"/>
  <c r="E146" i="100"/>
  <c r="D146" i="100"/>
  <c r="C146" i="100"/>
  <c r="B146" i="100"/>
  <c r="M145" i="100"/>
  <c r="L145" i="100"/>
  <c r="K145" i="100"/>
  <c r="J145" i="100"/>
  <c r="H145" i="100"/>
  <c r="G145" i="100"/>
  <c r="F145" i="100"/>
  <c r="E145" i="100"/>
  <c r="D145" i="100"/>
  <c r="C145" i="100"/>
  <c r="B145" i="100"/>
  <c r="M144" i="100"/>
  <c r="L144" i="100"/>
  <c r="K144" i="100"/>
  <c r="J144" i="100"/>
  <c r="H144" i="100"/>
  <c r="G144" i="100"/>
  <c r="F144" i="100"/>
  <c r="E144" i="100"/>
  <c r="D144" i="100"/>
  <c r="C144" i="100"/>
  <c r="B144" i="100"/>
  <c r="M143" i="100"/>
  <c r="L143" i="100"/>
  <c r="K143" i="100"/>
  <c r="J143" i="100"/>
  <c r="H143" i="100"/>
  <c r="G143" i="100"/>
  <c r="F143" i="100"/>
  <c r="E143" i="100"/>
  <c r="D143" i="100"/>
  <c r="C143" i="100"/>
  <c r="B143" i="100"/>
  <c r="M142" i="100"/>
  <c r="L142" i="100"/>
  <c r="K142" i="100"/>
  <c r="J142" i="100"/>
  <c r="H142" i="100"/>
  <c r="G142" i="100"/>
  <c r="F142" i="100"/>
  <c r="E142" i="100"/>
  <c r="D142" i="100"/>
  <c r="C142" i="100"/>
  <c r="B142" i="100"/>
  <c r="M141" i="100"/>
  <c r="L141" i="100"/>
  <c r="K141" i="100"/>
  <c r="J141" i="100"/>
  <c r="H141" i="100"/>
  <c r="G141" i="100"/>
  <c r="F141" i="100"/>
  <c r="E141" i="100"/>
  <c r="D141" i="100"/>
  <c r="C141" i="100"/>
  <c r="B141" i="100"/>
  <c r="M140" i="100"/>
  <c r="L140" i="100"/>
  <c r="K140" i="100"/>
  <c r="J140" i="100"/>
  <c r="H140" i="100"/>
  <c r="G140" i="100"/>
  <c r="F140" i="100"/>
  <c r="E140" i="100"/>
  <c r="D140" i="100"/>
  <c r="C140" i="100"/>
  <c r="B140" i="100"/>
  <c r="M139" i="100"/>
  <c r="L139" i="100"/>
  <c r="K139" i="100"/>
  <c r="J139" i="100"/>
  <c r="H139" i="100"/>
  <c r="G139" i="100"/>
  <c r="F139" i="100"/>
  <c r="E139" i="100"/>
  <c r="D139" i="100"/>
  <c r="C139" i="100"/>
  <c r="B139" i="100"/>
  <c r="M138" i="100"/>
  <c r="L138" i="100"/>
  <c r="K138" i="100"/>
  <c r="J138" i="100"/>
  <c r="H138" i="100"/>
  <c r="G138" i="100"/>
  <c r="F138" i="100"/>
  <c r="E138" i="100"/>
  <c r="D138" i="100"/>
  <c r="C138" i="100"/>
  <c r="B138" i="100"/>
  <c r="M137" i="100"/>
  <c r="L137" i="100"/>
  <c r="K137" i="100"/>
  <c r="J137" i="100"/>
  <c r="H137" i="100"/>
  <c r="G137" i="100"/>
  <c r="F137" i="100"/>
  <c r="E137" i="100"/>
  <c r="D137" i="100"/>
  <c r="C137" i="100"/>
  <c r="B137" i="100"/>
  <c r="M136" i="100"/>
  <c r="L136" i="100"/>
  <c r="K136" i="100"/>
  <c r="J136" i="100"/>
  <c r="H136" i="100"/>
  <c r="G136" i="100"/>
  <c r="F136" i="100"/>
  <c r="E136" i="100"/>
  <c r="D136" i="100"/>
  <c r="C136" i="100"/>
  <c r="B136" i="100"/>
  <c r="M135" i="100"/>
  <c r="L135" i="100"/>
  <c r="K135" i="100"/>
  <c r="J135" i="100"/>
  <c r="H135" i="100"/>
  <c r="G135" i="100"/>
  <c r="F135" i="100"/>
  <c r="E135" i="100"/>
  <c r="D135" i="100"/>
  <c r="C135" i="100"/>
  <c r="B135" i="100"/>
  <c r="M134" i="100"/>
  <c r="L134" i="100"/>
  <c r="K134" i="100"/>
  <c r="J134" i="100"/>
  <c r="H134" i="100"/>
  <c r="G134" i="100"/>
  <c r="F134" i="100"/>
  <c r="E134" i="100"/>
  <c r="D134" i="100"/>
  <c r="C134" i="100"/>
  <c r="B134" i="100"/>
  <c r="M133" i="100"/>
  <c r="L133" i="100"/>
  <c r="K133" i="100"/>
  <c r="J133" i="100"/>
  <c r="H133" i="100"/>
  <c r="G133" i="100"/>
  <c r="F133" i="100"/>
  <c r="E133" i="100"/>
  <c r="D133" i="100"/>
  <c r="C133" i="100"/>
  <c r="B133" i="100"/>
  <c r="M132" i="100"/>
  <c r="L132" i="100"/>
  <c r="K132" i="100"/>
  <c r="J132" i="100"/>
  <c r="H132" i="100"/>
  <c r="G132" i="100"/>
  <c r="F132" i="100"/>
  <c r="E132" i="100"/>
  <c r="D132" i="100"/>
  <c r="C132" i="100"/>
  <c r="B132" i="100"/>
  <c r="M131" i="100"/>
  <c r="L131" i="100"/>
  <c r="K131" i="100"/>
  <c r="J131" i="100"/>
  <c r="H131" i="100"/>
  <c r="G131" i="100"/>
  <c r="F131" i="100"/>
  <c r="E131" i="100"/>
  <c r="D131" i="100"/>
  <c r="C131" i="100"/>
  <c r="B131" i="100"/>
  <c r="M130" i="100"/>
  <c r="L130" i="100"/>
  <c r="K130" i="100"/>
  <c r="J130" i="100"/>
  <c r="H130" i="100"/>
  <c r="G130" i="100"/>
  <c r="F130" i="100"/>
  <c r="E130" i="100"/>
  <c r="D130" i="100"/>
  <c r="C130" i="100"/>
  <c r="B130" i="100"/>
  <c r="M129" i="100"/>
  <c r="L129" i="100"/>
  <c r="K129" i="100"/>
  <c r="J129" i="100"/>
  <c r="H129" i="100"/>
  <c r="G129" i="100"/>
  <c r="F129" i="100"/>
  <c r="E129" i="100"/>
  <c r="D129" i="100"/>
  <c r="C129" i="100"/>
  <c r="B129" i="100"/>
  <c r="M128" i="100"/>
  <c r="L128" i="100"/>
  <c r="K128" i="100"/>
  <c r="J128" i="100"/>
  <c r="H128" i="100"/>
  <c r="G128" i="100"/>
  <c r="F128" i="100"/>
  <c r="E128" i="100"/>
  <c r="D128" i="100"/>
  <c r="C128" i="100"/>
  <c r="B128" i="100"/>
  <c r="M127" i="100"/>
  <c r="L127" i="100"/>
  <c r="K127" i="100"/>
  <c r="J127" i="100"/>
  <c r="H127" i="100"/>
  <c r="G127" i="100"/>
  <c r="F127" i="100"/>
  <c r="E127" i="100"/>
  <c r="D127" i="100"/>
  <c r="C127" i="100"/>
  <c r="B127" i="100"/>
  <c r="M126" i="100"/>
  <c r="L126" i="100"/>
  <c r="K126" i="100"/>
  <c r="J126" i="100"/>
  <c r="H126" i="100"/>
  <c r="G126" i="100"/>
  <c r="F126" i="100"/>
  <c r="E126" i="100"/>
  <c r="D126" i="100"/>
  <c r="C126" i="100"/>
  <c r="B126" i="100"/>
  <c r="M125" i="100"/>
  <c r="L125" i="100"/>
  <c r="K125" i="100"/>
  <c r="J125" i="100"/>
  <c r="H125" i="100"/>
  <c r="G125" i="100"/>
  <c r="F125" i="100"/>
  <c r="E125" i="100"/>
  <c r="D125" i="100"/>
  <c r="C125" i="100"/>
  <c r="B125" i="100"/>
  <c r="M124" i="100"/>
  <c r="L124" i="100"/>
  <c r="K124" i="100"/>
  <c r="J124" i="100"/>
  <c r="H124" i="100"/>
  <c r="G124" i="100"/>
  <c r="F124" i="100"/>
  <c r="E124" i="100"/>
  <c r="D124" i="100"/>
  <c r="C124" i="100"/>
  <c r="B124" i="100"/>
  <c r="M123" i="100"/>
  <c r="L123" i="100"/>
  <c r="K123" i="100"/>
  <c r="J123" i="100"/>
  <c r="H123" i="100"/>
  <c r="G123" i="100"/>
  <c r="F123" i="100"/>
  <c r="E123" i="100"/>
  <c r="D123" i="100"/>
  <c r="C123" i="100"/>
  <c r="B123" i="100"/>
  <c r="M122" i="100"/>
  <c r="L122" i="100"/>
  <c r="K122" i="100"/>
  <c r="J122" i="100"/>
  <c r="H122" i="100"/>
  <c r="G122" i="100"/>
  <c r="F122" i="100"/>
  <c r="E122" i="100"/>
  <c r="D122" i="100"/>
  <c r="C122" i="100"/>
  <c r="B122" i="100"/>
  <c r="M121" i="100"/>
  <c r="L121" i="100"/>
  <c r="K121" i="100"/>
  <c r="J121" i="100"/>
  <c r="H121" i="100"/>
  <c r="G121" i="100"/>
  <c r="F121" i="100"/>
  <c r="E121" i="100"/>
  <c r="D121" i="100"/>
  <c r="C121" i="100"/>
  <c r="B121" i="100"/>
  <c r="M120" i="100"/>
  <c r="L120" i="100"/>
  <c r="K120" i="100"/>
  <c r="J120" i="100"/>
  <c r="H120" i="100"/>
  <c r="G120" i="100"/>
  <c r="F120" i="100"/>
  <c r="E120" i="100"/>
  <c r="D120" i="100"/>
  <c r="C120" i="100"/>
  <c r="B120" i="100"/>
  <c r="M119" i="100"/>
  <c r="L119" i="100"/>
  <c r="K119" i="100"/>
  <c r="J119" i="100"/>
  <c r="H119" i="100"/>
  <c r="G119" i="100"/>
  <c r="F119" i="100"/>
  <c r="E119" i="100"/>
  <c r="D119" i="100"/>
  <c r="C119" i="100"/>
  <c r="B119" i="100"/>
  <c r="M118" i="100"/>
  <c r="L118" i="100"/>
  <c r="K118" i="100"/>
  <c r="J118" i="100"/>
  <c r="H118" i="100"/>
  <c r="G118" i="100"/>
  <c r="F118" i="100"/>
  <c r="E118" i="100"/>
  <c r="D118" i="100"/>
  <c r="C118" i="100"/>
  <c r="B118" i="100"/>
  <c r="M117" i="100"/>
  <c r="L117" i="100"/>
  <c r="K117" i="100"/>
  <c r="J117" i="100"/>
  <c r="H117" i="100"/>
  <c r="G117" i="100"/>
  <c r="F117" i="100"/>
  <c r="E117" i="100"/>
  <c r="D117" i="100"/>
  <c r="C117" i="100"/>
  <c r="B117" i="100"/>
  <c r="M116" i="100"/>
  <c r="L116" i="100"/>
  <c r="K116" i="100"/>
  <c r="J116" i="100"/>
  <c r="H116" i="100"/>
  <c r="G116" i="100"/>
  <c r="F116" i="100"/>
  <c r="E116" i="100"/>
  <c r="D116" i="100"/>
  <c r="C116" i="100"/>
  <c r="B116" i="100"/>
  <c r="M115" i="100"/>
  <c r="L115" i="100"/>
  <c r="K115" i="100"/>
  <c r="J115" i="100"/>
  <c r="H115" i="100"/>
  <c r="G115" i="100"/>
  <c r="F115" i="100"/>
  <c r="E115" i="100"/>
  <c r="D115" i="100"/>
  <c r="C115" i="100"/>
  <c r="B115" i="100"/>
  <c r="M114" i="100"/>
  <c r="L114" i="100"/>
  <c r="K114" i="100"/>
  <c r="J114" i="100"/>
  <c r="H114" i="100"/>
  <c r="G114" i="100"/>
  <c r="F114" i="100"/>
  <c r="E114" i="100"/>
  <c r="D114" i="100"/>
  <c r="C114" i="100"/>
  <c r="B114" i="100"/>
  <c r="M113" i="100"/>
  <c r="L113" i="100"/>
  <c r="K113" i="100"/>
  <c r="J113" i="100"/>
  <c r="H113" i="100"/>
  <c r="G113" i="100"/>
  <c r="F113" i="100"/>
  <c r="E113" i="100"/>
  <c r="D113" i="100"/>
  <c r="C113" i="100"/>
  <c r="B113" i="100"/>
  <c r="M112" i="100"/>
  <c r="L112" i="100"/>
  <c r="K112" i="100"/>
  <c r="J112" i="100"/>
  <c r="H112" i="100"/>
  <c r="G112" i="100"/>
  <c r="F112" i="100"/>
  <c r="E112" i="100"/>
  <c r="D112" i="100"/>
  <c r="C112" i="100"/>
  <c r="B112" i="100"/>
  <c r="M111" i="100"/>
  <c r="L111" i="100"/>
  <c r="K111" i="100"/>
  <c r="J111" i="100"/>
  <c r="H111" i="100"/>
  <c r="G111" i="100"/>
  <c r="F111" i="100"/>
  <c r="E111" i="100"/>
  <c r="D111" i="100"/>
  <c r="C111" i="100"/>
  <c r="B111" i="100"/>
  <c r="M110" i="100"/>
  <c r="L110" i="100"/>
  <c r="K110" i="100"/>
  <c r="J110" i="100"/>
  <c r="H110" i="100"/>
  <c r="G110" i="100"/>
  <c r="F110" i="100"/>
  <c r="E110" i="100"/>
  <c r="D110" i="100"/>
  <c r="C110" i="100"/>
  <c r="B110" i="100"/>
  <c r="M109" i="100"/>
  <c r="L109" i="100"/>
  <c r="K109" i="100"/>
  <c r="J109" i="100"/>
  <c r="H109" i="100"/>
  <c r="G109" i="100"/>
  <c r="F109" i="100"/>
  <c r="E109" i="100"/>
  <c r="D109" i="100"/>
  <c r="C109" i="100"/>
  <c r="B109" i="100"/>
  <c r="M108" i="100"/>
  <c r="L108" i="100"/>
  <c r="K108" i="100"/>
  <c r="J108" i="100"/>
  <c r="H108" i="100"/>
  <c r="G108" i="100"/>
  <c r="F108" i="100"/>
  <c r="E108" i="100"/>
  <c r="D108" i="100"/>
  <c r="C108" i="100"/>
  <c r="B108" i="100"/>
  <c r="M107" i="100"/>
  <c r="L107" i="100"/>
  <c r="K107" i="100"/>
  <c r="J107" i="100"/>
  <c r="H107" i="100"/>
  <c r="G107" i="100"/>
  <c r="F107" i="100"/>
  <c r="E107" i="100"/>
  <c r="D107" i="100"/>
  <c r="C107" i="100"/>
  <c r="B107" i="100"/>
  <c r="M106" i="100"/>
  <c r="L106" i="100"/>
  <c r="K106" i="100"/>
  <c r="J106" i="100"/>
  <c r="H106" i="100"/>
  <c r="G106" i="100"/>
  <c r="F106" i="100"/>
  <c r="E106" i="100"/>
  <c r="D106" i="100"/>
  <c r="C106" i="100"/>
  <c r="B106" i="100"/>
  <c r="M105" i="100"/>
  <c r="L105" i="100"/>
  <c r="K105" i="100"/>
  <c r="J105" i="100"/>
  <c r="H105" i="100"/>
  <c r="G105" i="100"/>
  <c r="F105" i="100"/>
  <c r="E105" i="100"/>
  <c r="D105" i="100"/>
  <c r="C105" i="100"/>
  <c r="B105" i="100"/>
  <c r="M104" i="100"/>
  <c r="L104" i="100"/>
  <c r="K104" i="100"/>
  <c r="J104" i="100"/>
  <c r="H104" i="100"/>
  <c r="G104" i="100"/>
  <c r="F104" i="100"/>
  <c r="E104" i="100"/>
  <c r="D104" i="100"/>
  <c r="C104" i="100"/>
  <c r="B104" i="100"/>
  <c r="M103" i="100"/>
  <c r="L103" i="100"/>
  <c r="K103" i="100"/>
  <c r="J103" i="100"/>
  <c r="H103" i="100"/>
  <c r="G103" i="100"/>
  <c r="F103" i="100"/>
  <c r="E103" i="100"/>
  <c r="D103" i="100"/>
  <c r="C103" i="100"/>
  <c r="B103" i="100"/>
  <c r="M102" i="100"/>
  <c r="L102" i="100"/>
  <c r="K102" i="100"/>
  <c r="J102" i="100"/>
  <c r="H102" i="100"/>
  <c r="G102" i="100"/>
  <c r="F102" i="100"/>
  <c r="E102" i="100"/>
  <c r="D102" i="100"/>
  <c r="C102" i="100"/>
  <c r="B102" i="100"/>
  <c r="M101" i="100"/>
  <c r="L101" i="100"/>
  <c r="K101" i="100"/>
  <c r="J101" i="100"/>
  <c r="H101" i="100"/>
  <c r="G101" i="100"/>
  <c r="F101" i="100"/>
  <c r="E101" i="100"/>
  <c r="D101" i="100"/>
  <c r="C101" i="100"/>
  <c r="B101" i="100"/>
  <c r="M100" i="100"/>
  <c r="L100" i="100"/>
  <c r="K100" i="100"/>
  <c r="J100" i="100"/>
  <c r="H100" i="100"/>
  <c r="G100" i="100"/>
  <c r="F100" i="100"/>
  <c r="E100" i="100"/>
  <c r="D100" i="100"/>
  <c r="C100" i="100"/>
  <c r="B100" i="100"/>
  <c r="M99" i="100"/>
  <c r="L99" i="100"/>
  <c r="K99" i="100"/>
  <c r="J99" i="100"/>
  <c r="H99" i="100"/>
  <c r="G99" i="100"/>
  <c r="F99" i="100"/>
  <c r="E99" i="100"/>
  <c r="D99" i="100"/>
  <c r="C99" i="100"/>
  <c r="B99" i="100"/>
  <c r="M98" i="100"/>
  <c r="L98" i="100"/>
  <c r="K98" i="100"/>
  <c r="J98" i="100"/>
  <c r="H98" i="100"/>
  <c r="G98" i="100"/>
  <c r="F98" i="100"/>
  <c r="E98" i="100"/>
  <c r="D98" i="100"/>
  <c r="C98" i="100"/>
  <c r="B98" i="100"/>
  <c r="M97" i="100"/>
  <c r="L97" i="100"/>
  <c r="K97" i="100"/>
  <c r="J97" i="100"/>
  <c r="H97" i="100"/>
  <c r="G97" i="100"/>
  <c r="F97" i="100"/>
  <c r="E97" i="100"/>
  <c r="D97" i="100"/>
  <c r="C97" i="100"/>
  <c r="B97" i="100"/>
  <c r="M96" i="100"/>
  <c r="L96" i="100"/>
  <c r="K96" i="100"/>
  <c r="J96" i="100"/>
  <c r="H96" i="100"/>
  <c r="G96" i="100"/>
  <c r="F96" i="100"/>
  <c r="E96" i="100"/>
  <c r="D96" i="100"/>
  <c r="C96" i="100"/>
  <c r="B96" i="100"/>
  <c r="M95" i="100"/>
  <c r="L95" i="100"/>
  <c r="K95" i="100"/>
  <c r="J95" i="100"/>
  <c r="H95" i="100"/>
  <c r="G95" i="100"/>
  <c r="F95" i="100"/>
  <c r="E95" i="100"/>
  <c r="D95" i="100"/>
  <c r="C95" i="100"/>
  <c r="B95" i="100"/>
  <c r="M94" i="100"/>
  <c r="L94" i="100"/>
  <c r="K94" i="100"/>
  <c r="J94" i="100"/>
  <c r="H94" i="100"/>
  <c r="G94" i="100"/>
  <c r="F94" i="100"/>
  <c r="E94" i="100"/>
  <c r="D94" i="100"/>
  <c r="C94" i="100"/>
  <c r="B94" i="100"/>
  <c r="M93" i="100"/>
  <c r="L93" i="100"/>
  <c r="K93" i="100"/>
  <c r="J93" i="100"/>
  <c r="H93" i="100"/>
  <c r="G93" i="100"/>
  <c r="F93" i="100"/>
  <c r="E93" i="100"/>
  <c r="D93" i="100"/>
  <c r="C93" i="100"/>
  <c r="B93" i="100"/>
  <c r="M92" i="100"/>
  <c r="L92" i="100"/>
  <c r="K92" i="100"/>
  <c r="J92" i="100"/>
  <c r="H92" i="100"/>
  <c r="G92" i="100"/>
  <c r="F92" i="100"/>
  <c r="E92" i="100"/>
  <c r="D92" i="100"/>
  <c r="C92" i="100"/>
  <c r="B92" i="100"/>
  <c r="M91" i="100"/>
  <c r="L91" i="100"/>
  <c r="K91" i="100"/>
  <c r="J91" i="100"/>
  <c r="H91" i="100"/>
  <c r="G91" i="100"/>
  <c r="F91" i="100"/>
  <c r="E91" i="100"/>
  <c r="D91" i="100"/>
  <c r="C91" i="100"/>
  <c r="B91" i="100"/>
  <c r="M90" i="100"/>
  <c r="L90" i="100"/>
  <c r="K90" i="100"/>
  <c r="J90" i="100"/>
  <c r="H90" i="100"/>
  <c r="G90" i="100"/>
  <c r="F90" i="100"/>
  <c r="E90" i="100"/>
  <c r="D90" i="100"/>
  <c r="C90" i="100"/>
  <c r="B90" i="100"/>
  <c r="M89" i="100"/>
  <c r="L89" i="100"/>
  <c r="K89" i="100"/>
  <c r="J89" i="100"/>
  <c r="H89" i="100"/>
  <c r="G89" i="100"/>
  <c r="F89" i="100"/>
  <c r="E89" i="100"/>
  <c r="D89" i="100"/>
  <c r="C89" i="100"/>
  <c r="B89" i="100"/>
  <c r="M88" i="100"/>
  <c r="L88" i="100"/>
  <c r="K88" i="100"/>
  <c r="J88" i="100"/>
  <c r="H88" i="100"/>
  <c r="G88" i="100"/>
  <c r="F88" i="100"/>
  <c r="E88" i="100"/>
  <c r="D88" i="100"/>
  <c r="C88" i="100"/>
  <c r="B88" i="100"/>
  <c r="M87" i="100"/>
  <c r="L87" i="100"/>
  <c r="K87" i="100"/>
  <c r="J87" i="100"/>
  <c r="H87" i="100"/>
  <c r="G87" i="100"/>
  <c r="F87" i="100"/>
  <c r="E87" i="100"/>
  <c r="D87" i="100"/>
  <c r="C87" i="100"/>
  <c r="B87" i="100"/>
  <c r="M86" i="100"/>
  <c r="L86" i="100"/>
  <c r="K86" i="100"/>
  <c r="J86" i="100"/>
  <c r="H86" i="100"/>
  <c r="G86" i="100"/>
  <c r="F86" i="100"/>
  <c r="E86" i="100"/>
  <c r="D86" i="100"/>
  <c r="C86" i="100"/>
  <c r="B86" i="100"/>
  <c r="M85" i="100"/>
  <c r="L85" i="100"/>
  <c r="K85" i="100"/>
  <c r="J85" i="100"/>
  <c r="H85" i="100"/>
  <c r="G85" i="100"/>
  <c r="F85" i="100"/>
  <c r="E85" i="100"/>
  <c r="D85" i="100"/>
  <c r="C85" i="100"/>
  <c r="B85" i="100"/>
  <c r="M84" i="100"/>
  <c r="L84" i="100"/>
  <c r="K84" i="100"/>
  <c r="J84" i="100"/>
  <c r="H84" i="100"/>
  <c r="G84" i="100"/>
  <c r="F84" i="100"/>
  <c r="E84" i="100"/>
  <c r="D84" i="100"/>
  <c r="C84" i="100"/>
  <c r="B84" i="100"/>
  <c r="M83" i="100"/>
  <c r="L83" i="100"/>
  <c r="K83" i="100"/>
  <c r="J83" i="100"/>
  <c r="H83" i="100"/>
  <c r="G83" i="100"/>
  <c r="F83" i="100"/>
  <c r="E83" i="100"/>
  <c r="D83" i="100"/>
  <c r="C83" i="100"/>
  <c r="B83" i="100"/>
  <c r="M82" i="100"/>
  <c r="L82" i="100"/>
  <c r="K82" i="100"/>
  <c r="J82" i="100"/>
  <c r="H82" i="100"/>
  <c r="G82" i="100"/>
  <c r="F82" i="100"/>
  <c r="E82" i="100"/>
  <c r="D82" i="100"/>
  <c r="C82" i="100"/>
  <c r="B82" i="100"/>
  <c r="M81" i="100"/>
  <c r="L81" i="100"/>
  <c r="K81" i="100"/>
  <c r="J81" i="100"/>
  <c r="H81" i="100"/>
  <c r="G81" i="100"/>
  <c r="F81" i="100"/>
  <c r="E81" i="100"/>
  <c r="D81" i="100"/>
  <c r="C81" i="100"/>
  <c r="B81" i="100"/>
  <c r="M80" i="100"/>
  <c r="L80" i="100"/>
  <c r="K80" i="100"/>
  <c r="J80" i="100"/>
  <c r="H80" i="100"/>
  <c r="G80" i="100"/>
  <c r="F80" i="100"/>
  <c r="E80" i="100"/>
  <c r="D80" i="100"/>
  <c r="C80" i="100"/>
  <c r="B80" i="100"/>
  <c r="M79" i="100"/>
  <c r="L79" i="100"/>
  <c r="K79" i="100"/>
  <c r="J79" i="100"/>
  <c r="H79" i="100"/>
  <c r="G79" i="100"/>
  <c r="F79" i="100"/>
  <c r="E79" i="100"/>
  <c r="D79" i="100"/>
  <c r="C79" i="100"/>
  <c r="B79" i="100"/>
  <c r="M78" i="100"/>
  <c r="L78" i="100"/>
  <c r="K78" i="100"/>
  <c r="J78" i="100"/>
  <c r="H78" i="100"/>
  <c r="G78" i="100"/>
  <c r="F78" i="100"/>
  <c r="E78" i="100"/>
  <c r="D78" i="100"/>
  <c r="C78" i="100"/>
  <c r="B78" i="100"/>
  <c r="M77" i="100"/>
  <c r="L77" i="100"/>
  <c r="K77" i="100"/>
  <c r="J77" i="100"/>
  <c r="H77" i="100"/>
  <c r="G77" i="100"/>
  <c r="F77" i="100"/>
  <c r="E77" i="100"/>
  <c r="D77" i="100"/>
  <c r="C77" i="100"/>
  <c r="B77" i="100"/>
  <c r="M76" i="100"/>
  <c r="L76" i="100"/>
  <c r="K76" i="100"/>
  <c r="J76" i="100"/>
  <c r="H76" i="100"/>
  <c r="G76" i="100"/>
  <c r="F76" i="100"/>
  <c r="E76" i="100"/>
  <c r="D76" i="100"/>
  <c r="C76" i="100"/>
  <c r="B76" i="100"/>
  <c r="M75" i="100"/>
  <c r="L75" i="100"/>
  <c r="K75" i="100"/>
  <c r="J75" i="100"/>
  <c r="H75" i="100"/>
  <c r="G75" i="100"/>
  <c r="F75" i="100"/>
  <c r="E75" i="100"/>
  <c r="D75" i="100"/>
  <c r="C75" i="100"/>
  <c r="B75" i="100"/>
  <c r="M74" i="100"/>
  <c r="L74" i="100"/>
  <c r="K74" i="100"/>
  <c r="J74" i="100"/>
  <c r="H74" i="100"/>
  <c r="G74" i="100"/>
  <c r="F74" i="100"/>
  <c r="E74" i="100"/>
  <c r="D74" i="100"/>
  <c r="C74" i="100"/>
  <c r="B74" i="100"/>
  <c r="M73" i="100"/>
  <c r="L73" i="100"/>
  <c r="K73" i="100"/>
  <c r="J73" i="100"/>
  <c r="H73" i="100"/>
  <c r="G73" i="100"/>
  <c r="F73" i="100"/>
  <c r="E73" i="100"/>
  <c r="D73" i="100"/>
  <c r="C73" i="100"/>
  <c r="B73" i="100"/>
  <c r="M72" i="100"/>
  <c r="L72" i="100"/>
  <c r="K72" i="100"/>
  <c r="J72" i="100"/>
  <c r="H72" i="100"/>
  <c r="G72" i="100"/>
  <c r="F72" i="100"/>
  <c r="E72" i="100"/>
  <c r="D72" i="100"/>
  <c r="C72" i="100"/>
  <c r="B72" i="100"/>
  <c r="M71" i="100"/>
  <c r="L71" i="100"/>
  <c r="K71" i="100"/>
  <c r="J71" i="100"/>
  <c r="H71" i="100"/>
  <c r="G71" i="100"/>
  <c r="F71" i="100"/>
  <c r="E71" i="100"/>
  <c r="D71" i="100"/>
  <c r="C71" i="100"/>
  <c r="B71" i="100"/>
  <c r="M70" i="100"/>
  <c r="L70" i="100"/>
  <c r="K70" i="100"/>
  <c r="J70" i="100"/>
  <c r="H70" i="100"/>
  <c r="G70" i="100"/>
  <c r="F70" i="100"/>
  <c r="E70" i="100"/>
  <c r="D70" i="100"/>
  <c r="C70" i="100"/>
  <c r="B70" i="100"/>
  <c r="M69" i="100"/>
  <c r="L69" i="100"/>
  <c r="K69" i="100"/>
  <c r="J69" i="100"/>
  <c r="H69" i="100"/>
  <c r="G69" i="100"/>
  <c r="F69" i="100"/>
  <c r="E69" i="100"/>
  <c r="D69" i="100"/>
  <c r="C69" i="100"/>
  <c r="B69" i="100"/>
  <c r="M68" i="100"/>
  <c r="L68" i="100"/>
  <c r="K68" i="100"/>
  <c r="J68" i="100"/>
  <c r="H68" i="100"/>
  <c r="G68" i="100"/>
  <c r="F68" i="100"/>
  <c r="E68" i="100"/>
  <c r="D68" i="100"/>
  <c r="C68" i="100"/>
  <c r="B68" i="100"/>
  <c r="M67" i="100"/>
  <c r="L67" i="100"/>
  <c r="K67" i="100"/>
  <c r="J67" i="100"/>
  <c r="H67" i="100"/>
  <c r="G67" i="100"/>
  <c r="F67" i="100"/>
  <c r="E67" i="100"/>
  <c r="D67" i="100"/>
  <c r="C67" i="100"/>
  <c r="B67" i="100"/>
  <c r="M66" i="100"/>
  <c r="L66" i="100"/>
  <c r="K66" i="100"/>
  <c r="J66" i="100"/>
  <c r="H66" i="100"/>
  <c r="G66" i="100"/>
  <c r="F66" i="100"/>
  <c r="E66" i="100"/>
  <c r="D66" i="100"/>
  <c r="C66" i="100"/>
  <c r="B66" i="100"/>
  <c r="M65" i="100"/>
  <c r="L65" i="100"/>
  <c r="K65" i="100"/>
  <c r="J65" i="100"/>
  <c r="H65" i="100"/>
  <c r="G65" i="100"/>
  <c r="F65" i="100"/>
  <c r="E65" i="100"/>
  <c r="D65" i="100"/>
  <c r="C65" i="100"/>
  <c r="B65" i="100"/>
  <c r="M64" i="100"/>
  <c r="L64" i="100"/>
  <c r="K64" i="100"/>
  <c r="J64" i="100"/>
  <c r="H64" i="100"/>
  <c r="G64" i="100"/>
  <c r="F64" i="100"/>
  <c r="E64" i="100"/>
  <c r="D64" i="100"/>
  <c r="C64" i="100"/>
  <c r="B64" i="100"/>
  <c r="M63" i="100"/>
  <c r="L63" i="100"/>
  <c r="K63" i="100"/>
  <c r="J63" i="100"/>
  <c r="H63" i="100"/>
  <c r="G63" i="100"/>
  <c r="F63" i="100"/>
  <c r="E63" i="100"/>
  <c r="D63" i="100"/>
  <c r="C63" i="100"/>
  <c r="B63" i="100"/>
  <c r="M62" i="100"/>
  <c r="L62" i="100"/>
  <c r="K62" i="100"/>
  <c r="J62" i="100"/>
  <c r="H62" i="100"/>
  <c r="G62" i="100"/>
  <c r="F62" i="100"/>
  <c r="E62" i="100"/>
  <c r="D62" i="100"/>
  <c r="C62" i="100"/>
  <c r="B62" i="100"/>
  <c r="M61" i="100"/>
  <c r="L61" i="100"/>
  <c r="K61" i="100"/>
  <c r="J61" i="100"/>
  <c r="H61" i="100"/>
  <c r="G61" i="100"/>
  <c r="F61" i="100"/>
  <c r="E61" i="100"/>
  <c r="D61" i="100"/>
  <c r="C61" i="100"/>
  <c r="B61" i="100"/>
  <c r="M60" i="100"/>
  <c r="L60" i="100"/>
  <c r="K60" i="100"/>
  <c r="J60" i="100"/>
  <c r="H60" i="100"/>
  <c r="G60" i="100"/>
  <c r="F60" i="100"/>
  <c r="E60" i="100"/>
  <c r="D60" i="100"/>
  <c r="C60" i="100"/>
  <c r="B60" i="100"/>
  <c r="M59" i="100"/>
  <c r="L59" i="100"/>
  <c r="K59" i="100"/>
  <c r="J59" i="100"/>
  <c r="H59" i="100"/>
  <c r="G59" i="100"/>
  <c r="F59" i="100"/>
  <c r="E59" i="100"/>
  <c r="D59" i="100"/>
  <c r="C59" i="100"/>
  <c r="B59" i="100"/>
  <c r="M58" i="100"/>
  <c r="L58" i="100"/>
  <c r="K58" i="100"/>
  <c r="J58" i="100"/>
  <c r="H58" i="100"/>
  <c r="G58" i="100"/>
  <c r="F58" i="100"/>
  <c r="E58" i="100"/>
  <c r="D58" i="100"/>
  <c r="C58" i="100"/>
  <c r="B58" i="100"/>
  <c r="M57" i="100"/>
  <c r="L57" i="100"/>
  <c r="K57" i="100"/>
  <c r="J57" i="100"/>
  <c r="H57" i="100"/>
  <c r="G57" i="100"/>
  <c r="F57" i="100"/>
  <c r="E57" i="100"/>
  <c r="D57" i="100"/>
  <c r="C57" i="100"/>
  <c r="B57" i="100"/>
  <c r="M56" i="100"/>
  <c r="L56" i="100"/>
  <c r="K56" i="100"/>
  <c r="J56" i="100"/>
  <c r="H56" i="100"/>
  <c r="G56" i="100"/>
  <c r="F56" i="100"/>
  <c r="E56" i="100"/>
  <c r="D56" i="100"/>
  <c r="C56" i="100"/>
  <c r="B56" i="100"/>
  <c r="M55" i="100"/>
  <c r="L55" i="100"/>
  <c r="K55" i="100"/>
  <c r="J55" i="100"/>
  <c r="H55" i="100"/>
  <c r="G55" i="100"/>
  <c r="F55" i="100"/>
  <c r="E55" i="100"/>
  <c r="D55" i="100"/>
  <c r="C55" i="100"/>
  <c r="B55" i="100"/>
  <c r="M54" i="100"/>
  <c r="L54" i="100"/>
  <c r="K54" i="100"/>
  <c r="J54" i="100"/>
  <c r="H54" i="100"/>
  <c r="G54" i="100"/>
  <c r="F54" i="100"/>
  <c r="E54" i="100"/>
  <c r="D54" i="100"/>
  <c r="C54" i="100"/>
  <c r="B54" i="100"/>
  <c r="M53" i="100"/>
  <c r="L53" i="100"/>
  <c r="K53" i="100"/>
  <c r="J53" i="100"/>
  <c r="H53" i="100"/>
  <c r="G53" i="100"/>
  <c r="F53" i="100"/>
  <c r="E53" i="100"/>
  <c r="D53" i="100"/>
  <c r="C53" i="100"/>
  <c r="B53" i="100"/>
  <c r="M52" i="100"/>
  <c r="L52" i="100"/>
  <c r="K52" i="100"/>
  <c r="J52" i="100"/>
  <c r="H52" i="100"/>
  <c r="G52" i="100"/>
  <c r="F52" i="100"/>
  <c r="E52" i="100"/>
  <c r="D52" i="100"/>
  <c r="C52" i="100"/>
  <c r="B52" i="100"/>
  <c r="M51" i="100"/>
  <c r="L51" i="100"/>
  <c r="K51" i="100"/>
  <c r="J51" i="100"/>
  <c r="H51" i="100"/>
  <c r="G51" i="100"/>
  <c r="F51" i="100"/>
  <c r="E51" i="100"/>
  <c r="D51" i="100"/>
  <c r="C51" i="100"/>
  <c r="B51" i="100"/>
  <c r="M50" i="100"/>
  <c r="L50" i="100"/>
  <c r="K50" i="100"/>
  <c r="J50" i="100"/>
  <c r="H50" i="100"/>
  <c r="G50" i="100"/>
  <c r="F50" i="100"/>
  <c r="E50" i="100"/>
  <c r="D50" i="100"/>
  <c r="C50" i="100"/>
  <c r="B50" i="100"/>
  <c r="M49" i="100"/>
  <c r="L49" i="100"/>
  <c r="K49" i="100"/>
  <c r="J49" i="100"/>
  <c r="H49" i="100"/>
  <c r="G49" i="100"/>
  <c r="F49" i="100"/>
  <c r="E49" i="100"/>
  <c r="D49" i="100"/>
  <c r="C49" i="100"/>
  <c r="B49" i="100"/>
  <c r="M48" i="100"/>
  <c r="L48" i="100"/>
  <c r="K48" i="100"/>
  <c r="J48" i="100"/>
  <c r="H48" i="100"/>
  <c r="G48" i="100"/>
  <c r="F48" i="100"/>
  <c r="E48" i="100"/>
  <c r="D48" i="100"/>
  <c r="C48" i="100"/>
  <c r="B48" i="100"/>
  <c r="M47" i="100"/>
  <c r="L47" i="100"/>
  <c r="K47" i="100"/>
  <c r="J47" i="100"/>
  <c r="H47" i="100"/>
  <c r="G47" i="100"/>
  <c r="F47" i="100"/>
  <c r="E47" i="100"/>
  <c r="D47" i="100"/>
  <c r="C47" i="100"/>
  <c r="B47" i="100"/>
  <c r="M46" i="100"/>
  <c r="L46" i="100"/>
  <c r="K46" i="100"/>
  <c r="J46" i="100"/>
  <c r="H46" i="100"/>
  <c r="G46" i="100"/>
  <c r="F46" i="100"/>
  <c r="E46" i="100"/>
  <c r="D46" i="100"/>
  <c r="C46" i="100"/>
  <c r="B46" i="100"/>
  <c r="M45" i="100"/>
  <c r="L45" i="100"/>
  <c r="K45" i="100"/>
  <c r="J45" i="100"/>
  <c r="H45" i="100"/>
  <c r="G45" i="100"/>
  <c r="F45" i="100"/>
  <c r="E45" i="100"/>
  <c r="D45" i="100"/>
  <c r="C45" i="100"/>
  <c r="B45" i="100"/>
  <c r="M44" i="100"/>
  <c r="L44" i="100"/>
  <c r="K44" i="100"/>
  <c r="J44" i="100"/>
  <c r="H44" i="100"/>
  <c r="G44" i="100"/>
  <c r="F44" i="100"/>
  <c r="E44" i="100"/>
  <c r="D44" i="100"/>
  <c r="C44" i="100"/>
  <c r="B44" i="100"/>
  <c r="M43" i="100"/>
  <c r="L43" i="100"/>
  <c r="K43" i="100"/>
  <c r="J43" i="100"/>
  <c r="H43" i="100"/>
  <c r="G43" i="100"/>
  <c r="F43" i="100"/>
  <c r="E43" i="100"/>
  <c r="D43" i="100"/>
  <c r="C43" i="100"/>
  <c r="B43" i="100"/>
  <c r="M42" i="100"/>
  <c r="L42" i="100"/>
  <c r="K42" i="100"/>
  <c r="J42" i="100"/>
  <c r="H42" i="100"/>
  <c r="G42" i="100"/>
  <c r="F42" i="100"/>
  <c r="E42" i="100"/>
  <c r="D42" i="100"/>
  <c r="C42" i="100"/>
  <c r="B42" i="100"/>
  <c r="M41" i="100"/>
  <c r="L41" i="100"/>
  <c r="K41" i="100"/>
  <c r="J41" i="100"/>
  <c r="H41" i="100"/>
  <c r="G41" i="100"/>
  <c r="F41" i="100"/>
  <c r="E41" i="100"/>
  <c r="D41" i="100"/>
  <c r="C41" i="100"/>
  <c r="B41" i="100"/>
  <c r="M40" i="100"/>
  <c r="L40" i="100"/>
  <c r="K40" i="100"/>
  <c r="J40" i="100"/>
  <c r="H40" i="100"/>
  <c r="G40" i="100"/>
  <c r="F40" i="100"/>
  <c r="E40" i="100"/>
  <c r="D40" i="100"/>
  <c r="C40" i="100"/>
  <c r="B40" i="100"/>
  <c r="M39" i="100"/>
  <c r="L39" i="100"/>
  <c r="K39" i="100"/>
  <c r="J39" i="100"/>
  <c r="H39" i="100"/>
  <c r="G39" i="100"/>
  <c r="F39" i="100"/>
  <c r="E39" i="100"/>
  <c r="D39" i="100"/>
  <c r="C39" i="100"/>
  <c r="B39" i="100"/>
  <c r="M38" i="100"/>
  <c r="L38" i="100"/>
  <c r="K38" i="100"/>
  <c r="J38" i="100"/>
  <c r="H38" i="100"/>
  <c r="G38" i="100"/>
  <c r="F38" i="100"/>
  <c r="E38" i="100"/>
  <c r="D38" i="100"/>
  <c r="C38" i="100"/>
  <c r="B38" i="100"/>
  <c r="M37" i="100"/>
  <c r="L37" i="100"/>
  <c r="K37" i="100"/>
  <c r="J37" i="100"/>
  <c r="H37" i="100"/>
  <c r="G37" i="100"/>
  <c r="F37" i="100"/>
  <c r="E37" i="100"/>
  <c r="D37" i="100"/>
  <c r="C37" i="100"/>
  <c r="B37" i="100"/>
  <c r="M36" i="100"/>
  <c r="L36" i="100"/>
  <c r="K36" i="100"/>
  <c r="J36" i="100"/>
  <c r="H36" i="100"/>
  <c r="G36" i="100"/>
  <c r="F36" i="100"/>
  <c r="E36" i="100"/>
  <c r="D36" i="100"/>
  <c r="C36" i="100"/>
  <c r="B36" i="100"/>
  <c r="M35" i="100"/>
  <c r="L35" i="100"/>
  <c r="K35" i="100"/>
  <c r="J35" i="100"/>
  <c r="H35" i="100"/>
  <c r="G35" i="100"/>
  <c r="F35" i="100"/>
  <c r="E35" i="100"/>
  <c r="D35" i="100"/>
  <c r="C35" i="100"/>
  <c r="B35" i="100"/>
  <c r="M34" i="100"/>
  <c r="L34" i="100"/>
  <c r="K34" i="100"/>
  <c r="J34" i="100"/>
  <c r="H34" i="100"/>
  <c r="G34" i="100"/>
  <c r="F34" i="100"/>
  <c r="E34" i="100"/>
  <c r="D34" i="100"/>
  <c r="C34" i="100"/>
  <c r="B34" i="100"/>
  <c r="M33" i="100"/>
  <c r="L33" i="100"/>
  <c r="K33" i="100"/>
  <c r="J33" i="100"/>
  <c r="H33" i="100"/>
  <c r="G33" i="100"/>
  <c r="F33" i="100"/>
  <c r="E33" i="100"/>
  <c r="D33" i="100"/>
  <c r="C33" i="100"/>
  <c r="B33" i="100"/>
  <c r="M32" i="100"/>
  <c r="L32" i="100"/>
  <c r="K32" i="100"/>
  <c r="J32" i="100"/>
  <c r="H32" i="100"/>
  <c r="G32" i="100"/>
  <c r="F32" i="100"/>
  <c r="E32" i="100"/>
  <c r="D32" i="100"/>
  <c r="C32" i="100"/>
  <c r="B32" i="100"/>
  <c r="M31" i="100"/>
  <c r="L31" i="100"/>
  <c r="K31" i="100"/>
  <c r="J31" i="100"/>
  <c r="H31" i="100"/>
  <c r="G31" i="100"/>
  <c r="F31" i="100"/>
  <c r="E31" i="100"/>
  <c r="D31" i="100"/>
  <c r="C31" i="100"/>
  <c r="B31" i="100"/>
  <c r="M30" i="100"/>
  <c r="L30" i="100"/>
  <c r="K30" i="100"/>
  <c r="J30" i="100"/>
  <c r="H30" i="100"/>
  <c r="G30" i="100"/>
  <c r="F30" i="100"/>
  <c r="E30" i="100"/>
  <c r="D30" i="100"/>
  <c r="C30" i="100"/>
  <c r="B30" i="100"/>
  <c r="M29" i="100"/>
  <c r="L29" i="100"/>
  <c r="K29" i="100"/>
  <c r="J29" i="100"/>
  <c r="H29" i="100"/>
  <c r="G29" i="100"/>
  <c r="F29" i="100"/>
  <c r="E29" i="100"/>
  <c r="D29" i="100"/>
  <c r="C29" i="100"/>
  <c r="B29" i="100"/>
  <c r="M28" i="100"/>
  <c r="L28" i="100"/>
  <c r="K28" i="100"/>
  <c r="J28" i="100"/>
  <c r="H28" i="100"/>
  <c r="G28" i="100"/>
  <c r="F28" i="100"/>
  <c r="E28" i="100"/>
  <c r="D28" i="100"/>
  <c r="C28" i="100"/>
  <c r="B28" i="100"/>
  <c r="M27" i="100"/>
  <c r="L27" i="100"/>
  <c r="K27" i="100"/>
  <c r="J27" i="100"/>
  <c r="H27" i="100"/>
  <c r="G27" i="100"/>
  <c r="F27" i="100"/>
  <c r="E27" i="100"/>
  <c r="D27" i="100"/>
  <c r="C27" i="100"/>
  <c r="B27" i="100"/>
  <c r="M26" i="100"/>
  <c r="L26" i="100"/>
  <c r="K26" i="100"/>
  <c r="J26" i="100"/>
  <c r="H26" i="100"/>
  <c r="G26" i="100"/>
  <c r="F26" i="100"/>
  <c r="E26" i="100"/>
  <c r="D26" i="100"/>
  <c r="C26" i="100"/>
  <c r="B26" i="100"/>
  <c r="M25" i="100"/>
  <c r="L25" i="100"/>
  <c r="K25" i="100"/>
  <c r="J25" i="100"/>
  <c r="H25" i="100"/>
  <c r="G25" i="100"/>
  <c r="F25" i="100"/>
  <c r="E25" i="100"/>
  <c r="D25" i="100"/>
  <c r="C25" i="100"/>
  <c r="B25" i="100"/>
  <c r="M24" i="100"/>
  <c r="L24" i="100"/>
  <c r="K24" i="100"/>
  <c r="J24" i="100"/>
  <c r="H24" i="100"/>
  <c r="G24" i="100"/>
  <c r="F24" i="100"/>
  <c r="E24" i="100"/>
  <c r="D24" i="100"/>
  <c r="C24" i="100"/>
  <c r="B24" i="100"/>
  <c r="M23" i="100"/>
  <c r="L23" i="100"/>
  <c r="K23" i="100"/>
  <c r="J23" i="100"/>
  <c r="H23" i="100"/>
  <c r="G23" i="100"/>
  <c r="F23" i="100"/>
  <c r="E23" i="100"/>
  <c r="D23" i="100"/>
  <c r="C23" i="100"/>
  <c r="B23" i="100"/>
  <c r="M22" i="100"/>
  <c r="L22" i="100"/>
  <c r="K22" i="100"/>
  <c r="J22" i="100"/>
  <c r="H22" i="100"/>
  <c r="G22" i="100"/>
  <c r="F22" i="100"/>
  <c r="E22" i="100"/>
  <c r="D22" i="100"/>
  <c r="C22" i="100"/>
  <c r="B22" i="100"/>
  <c r="M21" i="100"/>
  <c r="L21" i="100"/>
  <c r="K21" i="100"/>
  <c r="J21" i="100"/>
  <c r="H21" i="100"/>
  <c r="G21" i="100"/>
  <c r="F21" i="100"/>
  <c r="E21" i="100"/>
  <c r="D21" i="100"/>
  <c r="C21" i="100"/>
  <c r="B21" i="100"/>
  <c r="M20" i="100"/>
  <c r="L20" i="100"/>
  <c r="K20" i="100"/>
  <c r="J20" i="100"/>
  <c r="H20" i="100"/>
  <c r="G20" i="100"/>
  <c r="F20" i="100"/>
  <c r="E20" i="100"/>
  <c r="D20" i="100"/>
  <c r="C20" i="100"/>
  <c r="B20" i="100"/>
  <c r="M19" i="100"/>
  <c r="L19" i="100"/>
  <c r="K19" i="100"/>
  <c r="J19" i="100"/>
  <c r="H19" i="100"/>
  <c r="G19" i="100"/>
  <c r="F19" i="100"/>
  <c r="E19" i="100"/>
  <c r="D19" i="100"/>
  <c r="C19" i="100"/>
  <c r="B19" i="100"/>
  <c r="M18" i="100"/>
  <c r="L18" i="100"/>
  <c r="K18" i="100"/>
  <c r="J18" i="100"/>
  <c r="H18" i="100"/>
  <c r="G18" i="100"/>
  <c r="F18" i="100"/>
  <c r="E18" i="100"/>
  <c r="D18" i="100"/>
  <c r="C18" i="100"/>
  <c r="B18" i="100"/>
  <c r="M17" i="100"/>
  <c r="L17" i="100"/>
  <c r="K17" i="100"/>
  <c r="J17" i="100"/>
  <c r="H17" i="100"/>
  <c r="G17" i="100"/>
  <c r="F17" i="100"/>
  <c r="E17" i="100"/>
  <c r="D17" i="100"/>
  <c r="C17" i="100"/>
  <c r="B17" i="100"/>
  <c r="M16" i="100"/>
  <c r="L16" i="100"/>
  <c r="K16" i="100"/>
  <c r="J16" i="100"/>
  <c r="I16" i="100"/>
  <c r="H16" i="100"/>
  <c r="G16" i="100"/>
  <c r="F16" i="100"/>
  <c r="E16" i="100"/>
  <c r="D16" i="100"/>
  <c r="C16" i="100"/>
  <c r="B16" i="100"/>
  <c r="M15" i="100"/>
  <c r="L15" i="100"/>
  <c r="K15" i="100"/>
  <c r="J15" i="100"/>
  <c r="I15" i="100"/>
  <c r="H15" i="100"/>
  <c r="G15" i="100"/>
  <c r="F15" i="100"/>
  <c r="E15" i="100"/>
  <c r="D15" i="100"/>
  <c r="C15" i="100"/>
  <c r="B15" i="100"/>
  <c r="M14" i="100"/>
  <c r="L14" i="100"/>
  <c r="K14" i="100"/>
  <c r="J14" i="100"/>
  <c r="H14" i="100"/>
  <c r="G14" i="100"/>
  <c r="F14" i="100"/>
  <c r="E14" i="100"/>
  <c r="D14" i="100"/>
  <c r="C14" i="100"/>
  <c r="B14" i="100"/>
  <c r="M13" i="100"/>
  <c r="L13" i="100"/>
  <c r="K13" i="100"/>
  <c r="J13" i="100"/>
  <c r="I13" i="100"/>
  <c r="H13" i="100"/>
  <c r="G13" i="100"/>
  <c r="F13" i="100"/>
  <c r="E13" i="100"/>
  <c r="D13" i="100"/>
  <c r="C13" i="100"/>
  <c r="B13" i="100"/>
  <c r="M12" i="100"/>
  <c r="L12" i="100"/>
  <c r="K12" i="100"/>
  <c r="J12" i="100"/>
  <c r="I12" i="100"/>
  <c r="H12" i="100"/>
  <c r="G12" i="100"/>
  <c r="F12" i="100"/>
  <c r="E12" i="100"/>
  <c r="D12" i="100"/>
  <c r="C12" i="100"/>
  <c r="B12" i="100"/>
  <c r="M11" i="100"/>
  <c r="L11" i="100"/>
  <c r="K11" i="100"/>
  <c r="J11" i="100"/>
  <c r="I11" i="100"/>
  <c r="H11" i="100"/>
  <c r="G11" i="100"/>
  <c r="F11" i="100"/>
  <c r="E11" i="100"/>
  <c r="D11" i="100"/>
  <c r="C11" i="100"/>
  <c r="B11" i="100"/>
  <c r="M10" i="100"/>
  <c r="L10" i="100"/>
  <c r="K10" i="100"/>
  <c r="J10" i="100"/>
  <c r="I10" i="100"/>
  <c r="H10" i="100"/>
  <c r="G10" i="100"/>
  <c r="F10" i="100"/>
  <c r="E10" i="100"/>
  <c r="D10" i="100"/>
  <c r="C10" i="100"/>
  <c r="B10" i="100"/>
  <c r="U9" i="100"/>
  <c r="P9" i="100"/>
  <c r="M9" i="100"/>
  <c r="L9" i="100"/>
  <c r="K9" i="100"/>
  <c r="J9" i="100"/>
  <c r="I9" i="100"/>
  <c r="H9" i="100"/>
  <c r="G9" i="100"/>
  <c r="F9" i="100"/>
  <c r="E9" i="100"/>
  <c r="D9" i="100"/>
  <c r="C9" i="100"/>
  <c r="B9" i="100"/>
  <c r="M8" i="100"/>
  <c r="L8" i="100"/>
  <c r="K8" i="100"/>
  <c r="J8" i="100"/>
  <c r="I8" i="100"/>
  <c r="H8" i="100"/>
  <c r="G8" i="100"/>
  <c r="F8" i="100"/>
  <c r="E8" i="100"/>
  <c r="D8" i="100"/>
  <c r="C8" i="100"/>
  <c r="B8" i="100"/>
  <c r="U7" i="100"/>
  <c r="P7" i="100"/>
  <c r="M7" i="100"/>
  <c r="L7" i="100"/>
  <c r="K7" i="100"/>
  <c r="J7" i="100"/>
  <c r="I7" i="100"/>
  <c r="H7" i="100"/>
  <c r="G7" i="100"/>
  <c r="F7" i="100"/>
  <c r="E7" i="100"/>
  <c r="D7" i="100"/>
  <c r="C7" i="100"/>
  <c r="B7" i="100"/>
  <c r="M6" i="100"/>
  <c r="L6" i="100"/>
  <c r="K6" i="100"/>
  <c r="J6" i="100"/>
  <c r="I6" i="100"/>
  <c r="H6" i="100"/>
  <c r="G6" i="100"/>
  <c r="F6" i="100"/>
  <c r="E6" i="100"/>
  <c r="D6" i="100"/>
  <c r="C6" i="100"/>
  <c r="B6" i="100"/>
  <c r="U5" i="100"/>
  <c r="P5" i="100"/>
  <c r="M5" i="100"/>
  <c r="L5" i="100"/>
  <c r="K5" i="100"/>
  <c r="J5" i="100"/>
  <c r="I5" i="100"/>
  <c r="H5" i="100"/>
  <c r="G5" i="100"/>
  <c r="F5" i="100"/>
  <c r="E5" i="100"/>
  <c r="D5" i="100"/>
  <c r="C5" i="100"/>
  <c r="B5" i="100"/>
  <c r="M4" i="100"/>
  <c r="L4" i="100"/>
  <c r="K4" i="100"/>
  <c r="J4" i="100"/>
  <c r="I4" i="100"/>
  <c r="H4" i="100"/>
  <c r="G4" i="100"/>
  <c r="F4" i="100"/>
  <c r="E4" i="100"/>
  <c r="D4" i="100"/>
  <c r="C4" i="100"/>
  <c r="B4" i="100"/>
  <c r="M3" i="100"/>
  <c r="L3" i="100"/>
  <c r="K3" i="100"/>
  <c r="J3" i="100"/>
  <c r="I3" i="100"/>
  <c r="H3" i="100"/>
  <c r="G3" i="100"/>
  <c r="F3" i="100"/>
  <c r="E3" i="100"/>
  <c r="D3" i="100"/>
  <c r="C3" i="100"/>
  <c r="B3" i="100"/>
  <c r="U2" i="100"/>
  <c r="P2" i="100"/>
  <c r="C222" i="98"/>
  <c r="C221" i="98"/>
  <c r="C220" i="98"/>
  <c r="D219" i="98"/>
  <c r="C219" i="98"/>
  <c r="D215" i="98"/>
  <c r="C215" i="98"/>
  <c r="D212" i="98"/>
  <c r="C212" i="98"/>
  <c r="C209" i="98"/>
  <c r="D207" i="98"/>
  <c r="C205" i="98"/>
  <c r="D204" i="98"/>
  <c r="D203" i="98"/>
  <c r="D202" i="98"/>
  <c r="D201" i="98"/>
  <c r="D200" i="98"/>
  <c r="D199" i="98"/>
  <c r="D198" i="98"/>
  <c r="D197" i="98"/>
  <c r="D196" i="98"/>
  <c r="D195" i="98"/>
  <c r="D194" i="98"/>
  <c r="D193" i="98"/>
  <c r="D192" i="98"/>
  <c r="D191" i="98"/>
  <c r="D190" i="98"/>
  <c r="D189" i="98"/>
  <c r="D188" i="98"/>
  <c r="D187" i="98"/>
  <c r="D186" i="98"/>
  <c r="D185" i="98"/>
  <c r="D184" i="98"/>
  <c r="D183" i="98"/>
  <c r="D182" i="98"/>
  <c r="C181" i="98"/>
  <c r="D180" i="98"/>
  <c r="D179" i="98"/>
  <c r="D178" i="98"/>
  <c r="D177" i="98"/>
  <c r="D176" i="98"/>
  <c r="D175" i="98"/>
  <c r="D174" i="98"/>
  <c r="D173" i="98"/>
  <c r="D172" i="98"/>
  <c r="D171" i="98"/>
  <c r="D170" i="98"/>
  <c r="D169" i="98"/>
  <c r="D168" i="98"/>
  <c r="D167" i="98"/>
  <c r="D166" i="98"/>
  <c r="D165" i="98"/>
  <c r="D164" i="98"/>
  <c r="D163" i="98"/>
  <c r="D162" i="98"/>
  <c r="D161" i="98"/>
  <c r="D160" i="98"/>
  <c r="D159" i="98"/>
  <c r="D158" i="98"/>
  <c r="C157" i="98"/>
  <c r="D156" i="98"/>
  <c r="D157" i="98" s="1"/>
  <c r="C152" i="98"/>
  <c r="D151" i="98"/>
  <c r="D152" i="98" s="1"/>
  <c r="C148" i="98"/>
  <c r="D147" i="98"/>
  <c r="D148" i="98" s="1"/>
  <c r="C142" i="98"/>
  <c r="D141" i="98"/>
  <c r="D142" i="98" s="1"/>
  <c r="C137" i="98"/>
  <c r="D135" i="98"/>
  <c r="D134" i="98"/>
  <c r="D132" i="98"/>
  <c r="C132" i="98"/>
  <c r="D131" i="98"/>
  <c r="D130" i="98"/>
  <c r="C127" i="98"/>
  <c r="D126" i="98"/>
  <c r="D123" i="98"/>
  <c r="C122" i="98"/>
  <c r="D120" i="98"/>
  <c r="D122" i="98" s="1"/>
  <c r="C117" i="98"/>
  <c r="D116" i="98"/>
  <c r="D113" i="98"/>
  <c r="C112" i="98"/>
  <c r="D111" i="98"/>
  <c r="D108" i="98"/>
  <c r="C107" i="98"/>
  <c r="D106" i="98"/>
  <c r="D103" i="98"/>
  <c r="C102" i="98"/>
  <c r="D101" i="98"/>
  <c r="D98" i="98"/>
  <c r="C97" i="98"/>
  <c r="C95" i="98"/>
  <c r="D94" i="98"/>
  <c r="D91" i="98"/>
  <c r="C90" i="98"/>
  <c r="D89" i="98"/>
  <c r="D86" i="98"/>
  <c r="C85" i="98"/>
  <c r="D84" i="98"/>
  <c r="D83" i="98"/>
  <c r="D82" i="98"/>
  <c r="D81" i="98"/>
  <c r="C80" i="98"/>
  <c r="D78" i="98"/>
  <c r="C76" i="98"/>
  <c r="D75" i="98"/>
  <c r="D74" i="98"/>
  <c r="D73" i="98"/>
  <c r="D72" i="98"/>
  <c r="D71" i="98"/>
  <c r="D70" i="98"/>
  <c r="D69" i="98"/>
  <c r="C68" i="98"/>
  <c r="D67" i="98"/>
  <c r="D66" i="98"/>
  <c r="D65" i="98"/>
  <c r="D64" i="98"/>
  <c r="D63" i="98"/>
  <c r="D62" i="98"/>
  <c r="D61" i="98"/>
  <c r="D60" i="98"/>
  <c r="C60" i="98"/>
  <c r="D31" i="98"/>
  <c r="C31" i="98"/>
  <c r="D25" i="98"/>
  <c r="C25" i="98"/>
  <c r="D17" i="98"/>
  <c r="C17" i="98"/>
  <c r="D14" i="98"/>
  <c r="C14" i="98"/>
  <c r="D11" i="98"/>
  <c r="C11" i="98"/>
  <c r="D8" i="98"/>
  <c r="C8" i="98"/>
  <c r="C4" i="98"/>
  <c r="C195" i="99"/>
  <c r="C194" i="99"/>
  <c r="C193" i="99"/>
  <c r="D192" i="99"/>
  <c r="C192" i="99"/>
  <c r="D187" i="99"/>
  <c r="C187" i="99"/>
  <c r="D182" i="99"/>
  <c r="C182" i="99"/>
  <c r="D177" i="99"/>
  <c r="C177" i="99"/>
  <c r="C173" i="99"/>
  <c r="D172" i="99"/>
  <c r="D169" i="99"/>
  <c r="D173" i="99" s="1"/>
  <c r="C168" i="99"/>
  <c r="D167" i="99"/>
  <c r="D166" i="99"/>
  <c r="D165" i="99"/>
  <c r="D164" i="99"/>
  <c r="D163" i="99"/>
  <c r="D161" i="99"/>
  <c r="C160" i="99"/>
  <c r="D159" i="99"/>
  <c r="D157" i="99"/>
  <c r="C156" i="99"/>
  <c r="D154" i="99"/>
  <c r="D153" i="99"/>
  <c r="D152" i="99"/>
  <c r="D151" i="99"/>
  <c r="C150" i="99"/>
  <c r="D149" i="99"/>
  <c r="D147" i="99"/>
  <c r="C146" i="99"/>
  <c r="D145" i="99"/>
  <c r="D144" i="99"/>
  <c r="D143" i="99"/>
  <c r="C142" i="99"/>
  <c r="D141" i="99"/>
  <c r="D136" i="99"/>
  <c r="D142" i="99" s="1"/>
  <c r="D135" i="99"/>
  <c r="C135" i="99"/>
  <c r="C130" i="99"/>
  <c r="D129" i="99"/>
  <c r="D128" i="99"/>
  <c r="D127" i="99"/>
  <c r="D126" i="99"/>
  <c r="D125" i="99"/>
  <c r="D124" i="99"/>
  <c r="D123" i="99"/>
  <c r="D122" i="99"/>
  <c r="D121" i="99"/>
  <c r="D120" i="99"/>
  <c r="D119" i="99"/>
  <c r="D118" i="99"/>
  <c r="D117" i="99"/>
  <c r="D116" i="99"/>
  <c r="D115" i="99"/>
  <c r="D114" i="99"/>
  <c r="D113" i="99"/>
  <c r="D112" i="99"/>
  <c r="D111" i="99"/>
  <c r="D110" i="99"/>
  <c r="D109" i="99"/>
  <c r="D108" i="99"/>
  <c r="D107" i="99"/>
  <c r="C106" i="99"/>
  <c r="D105" i="99"/>
  <c r="D102" i="99"/>
  <c r="D101" i="99"/>
  <c r="C101" i="99"/>
  <c r="C94" i="99"/>
  <c r="C93" i="99"/>
  <c r="D91" i="99"/>
  <c r="D90" i="99"/>
  <c r="C84" i="99"/>
  <c r="D83" i="99"/>
  <c r="D80" i="99"/>
  <c r="C79" i="99"/>
  <c r="D78" i="99"/>
  <c r="D77" i="99"/>
  <c r="D76" i="99"/>
  <c r="D75" i="99"/>
  <c r="D74" i="99"/>
  <c r="D73" i="99"/>
  <c r="D72" i="99"/>
  <c r="D71" i="99"/>
  <c r="C71" i="99"/>
  <c r="C66" i="99"/>
  <c r="D65" i="99"/>
  <c r="D64" i="99"/>
  <c r="D63" i="99"/>
  <c r="D62" i="99"/>
  <c r="C61" i="99"/>
  <c r="D60" i="99"/>
  <c r="D59" i="99"/>
  <c r="D58" i="99"/>
  <c r="D57" i="99"/>
  <c r="D56" i="99"/>
  <c r="C55" i="99"/>
  <c r="D54" i="99"/>
  <c r="D52" i="99"/>
  <c r="C51" i="99"/>
  <c r="D50" i="99"/>
  <c r="D49" i="99"/>
  <c r="D48" i="99"/>
  <c r="D47" i="99"/>
  <c r="D46" i="99"/>
  <c r="D45" i="99"/>
  <c r="D44" i="99"/>
  <c r="C43" i="99"/>
  <c r="D42" i="99"/>
  <c r="D40" i="99"/>
  <c r="C39" i="99"/>
  <c r="D38" i="99"/>
  <c r="D37" i="99"/>
  <c r="D36" i="99"/>
  <c r="D35" i="99"/>
  <c r="D34" i="99"/>
  <c r="D33" i="99"/>
  <c r="D32" i="99"/>
  <c r="D31" i="99"/>
  <c r="C31" i="99"/>
  <c r="D28" i="99"/>
  <c r="C28" i="99"/>
  <c r="D25" i="99"/>
  <c r="C25" i="99"/>
  <c r="D19" i="99"/>
  <c r="C19" i="99"/>
  <c r="D11" i="99"/>
  <c r="C11" i="99"/>
  <c r="C8" i="99"/>
  <c r="D6" i="99"/>
  <c r="D8" i="99" s="1"/>
  <c r="C4" i="99"/>
  <c r="D289" i="97"/>
  <c r="D286" i="97"/>
  <c r="D281" i="97"/>
  <c r="D280" i="97"/>
  <c r="D279" i="97"/>
  <c r="D278" i="97"/>
  <c r="D277" i="97"/>
  <c r="D272" i="97"/>
  <c r="D266" i="97"/>
  <c r="D261" i="97"/>
  <c r="D256" i="97"/>
  <c r="D252" i="97"/>
  <c r="D248" i="97"/>
  <c r="D243" i="97"/>
  <c r="D233" i="97"/>
  <c r="D138" i="97"/>
  <c r="D135" i="97"/>
  <c r="D132" i="97"/>
  <c r="D123" i="97"/>
  <c r="D117" i="97"/>
  <c r="F107" i="97"/>
  <c r="D107" i="97"/>
  <c r="D106" i="97"/>
  <c r="F104" i="97"/>
  <c r="D104" i="97"/>
  <c r="D103" i="97"/>
  <c r="F101" i="97"/>
  <c r="D101" i="97"/>
  <c r="D100" i="97"/>
  <c r="F98" i="97"/>
  <c r="D98" i="97"/>
  <c r="D97" i="97"/>
  <c r="F95" i="97"/>
  <c r="D95" i="97"/>
  <c r="D94" i="97"/>
  <c r="F92" i="97"/>
  <c r="D92" i="97"/>
  <c r="D91" i="97"/>
  <c r="D88" i="97"/>
  <c r="F85" i="97"/>
  <c r="D85" i="97"/>
  <c r="D84" i="97"/>
  <c r="F82" i="97"/>
  <c r="D82" i="97"/>
  <c r="D81" i="97"/>
  <c r="F79" i="97"/>
  <c r="D79" i="97"/>
  <c r="D78" i="97"/>
  <c r="F76" i="97"/>
  <c r="D76" i="97"/>
  <c r="D75" i="97"/>
  <c r="F73" i="97"/>
  <c r="D73" i="97"/>
  <c r="D72" i="97"/>
  <c r="F70" i="97"/>
  <c r="D70" i="97"/>
  <c r="D69" i="97"/>
  <c r="D66" i="97"/>
  <c r="D63" i="97"/>
  <c r="D58" i="97"/>
  <c r="D53" i="97"/>
  <c r="D46" i="97"/>
  <c r="D42" i="97"/>
  <c r="D38" i="97"/>
  <c r="D33" i="97"/>
  <c r="D29" i="97"/>
  <c r="D25" i="97"/>
  <c r="D18" i="97"/>
  <c r="D9" i="97"/>
  <c r="F4" i="97"/>
  <c r="I17" i="100" l="1"/>
  <c r="I18" i="100" s="1"/>
  <c r="I19" i="100" s="1"/>
  <c r="I20" i="100" s="1"/>
  <c r="I21" i="100" s="1"/>
  <c r="I22" i="100" s="1"/>
  <c r="I23" i="100" s="1"/>
  <c r="I24" i="100" s="1"/>
  <c r="I25" i="100" s="1"/>
  <c r="I26" i="100" s="1"/>
  <c r="I27" i="100" s="1"/>
  <c r="I28" i="100" s="1"/>
  <c r="I29" i="100" s="1"/>
  <c r="I30" i="100" s="1"/>
  <c r="I31" i="100" s="1"/>
  <c r="I32" i="100" s="1"/>
  <c r="I33" i="100" s="1"/>
  <c r="I34" i="100" s="1"/>
  <c r="I35" i="100" s="1"/>
  <c r="I36" i="100" s="1"/>
  <c r="I37" i="100" s="1"/>
  <c r="I38" i="100" s="1"/>
  <c r="I39" i="100" s="1"/>
  <c r="I40" i="100" s="1"/>
  <c r="I41" i="100" s="1"/>
  <c r="I42" i="100" s="1"/>
  <c r="I43" i="100" s="1"/>
  <c r="I44" i="100" s="1"/>
  <c r="I45" i="100" s="1"/>
  <c r="I46" i="100" s="1"/>
  <c r="I47" i="100" s="1"/>
  <c r="I48" i="100" s="1"/>
  <c r="I49" i="100" s="1"/>
  <c r="I50" i="100" s="1"/>
  <c r="I51" i="100" s="1"/>
  <c r="I52" i="100" s="1"/>
  <c r="I53" i="100" s="1"/>
  <c r="I54" i="100" s="1"/>
  <c r="I55" i="100" s="1"/>
  <c r="I56" i="100" s="1"/>
  <c r="I57" i="100" s="1"/>
  <c r="I58" i="100" s="1"/>
  <c r="I59" i="100" s="1"/>
  <c r="I60" i="100" s="1"/>
  <c r="I61" i="100" s="1"/>
  <c r="I62" i="100" s="1"/>
  <c r="I63" i="100" s="1"/>
  <c r="I64" i="100" s="1"/>
  <c r="E255" i="115"/>
  <c r="E309" i="115"/>
  <c r="E317" i="115"/>
  <c r="N323" i="115"/>
  <c r="E323" i="115" s="1"/>
  <c r="E319" i="115"/>
  <c r="E249" i="115"/>
  <c r="E279" i="115"/>
  <c r="E299" i="115"/>
  <c r="E302" i="115"/>
  <c r="E313" i="115"/>
  <c r="E243" i="115"/>
  <c r="N291" i="115"/>
  <c r="E291" i="115" s="1"/>
  <c r="E296" i="115"/>
  <c r="E324" i="115"/>
  <c r="E265" i="115"/>
  <c r="E284" i="115"/>
  <c r="N293" i="115"/>
  <c r="E293" i="115" s="1"/>
  <c r="E67" i="115"/>
  <c r="E85" i="115"/>
  <c r="E145" i="115"/>
  <c r="E133" i="115"/>
  <c r="E148" i="115"/>
  <c r="E194" i="115"/>
  <c r="E343" i="115"/>
  <c r="E7" i="115"/>
  <c r="E30" i="115"/>
  <c r="E36" i="115"/>
  <c r="E42" i="115"/>
  <c r="N57" i="115"/>
  <c r="E57" i="115" s="1"/>
  <c r="E78" i="115"/>
  <c r="E81" i="115"/>
  <c r="E84" i="115"/>
  <c r="E114" i="115"/>
  <c r="E130" i="115"/>
  <c r="N148" i="115"/>
  <c r="E150" i="115"/>
  <c r="E179" i="115"/>
  <c r="E182" i="115"/>
  <c r="N194" i="115"/>
  <c r="E220" i="115"/>
  <c r="E254" i="115"/>
  <c r="E260" i="115"/>
  <c r="E266" i="115"/>
  <c r="E271" i="115"/>
  <c r="N287" i="115"/>
  <c r="E287" i="115" s="1"/>
  <c r="N305" i="115"/>
  <c r="E305" i="115" s="1"/>
  <c r="E318" i="115"/>
  <c r="E321" i="115"/>
  <c r="E327" i="115"/>
  <c r="E330" i="115"/>
  <c r="E333" i="115"/>
  <c r="E346" i="115"/>
  <c r="E354" i="115"/>
  <c r="E383" i="115"/>
  <c r="E485" i="115"/>
  <c r="E91" i="115"/>
  <c r="E165" i="115"/>
  <c r="E399" i="115"/>
  <c r="E405" i="115"/>
  <c r="E79" i="115"/>
  <c r="E387" i="115"/>
  <c r="E416" i="115"/>
  <c r="F416" i="115" s="1"/>
  <c r="F417" i="115" s="1"/>
  <c r="U341" i="113" s="1"/>
  <c r="E336" i="115"/>
  <c r="F488" i="115"/>
  <c r="E486" i="115"/>
  <c r="E18" i="115"/>
  <c r="E24" i="115"/>
  <c r="E27" i="115"/>
  <c r="E33" i="115"/>
  <c r="E39" i="115"/>
  <c r="E47" i="115"/>
  <c r="E50" i="115"/>
  <c r="E62" i="115"/>
  <c r="E68" i="115"/>
  <c r="E101" i="115"/>
  <c r="E110" i="115"/>
  <c r="E120" i="115"/>
  <c r="E123" i="115"/>
  <c r="E135" i="115"/>
  <c r="E169" i="115"/>
  <c r="E187" i="115"/>
  <c r="E274" i="115"/>
  <c r="E277" i="115"/>
  <c r="E280" i="115"/>
  <c r="E301" i="115"/>
  <c r="E312" i="115"/>
  <c r="E315" i="115"/>
  <c r="E348" i="115"/>
  <c r="E365" i="115"/>
  <c r="E428" i="115"/>
  <c r="E44" i="115"/>
  <c r="E94" i="115"/>
  <c r="E104" i="115"/>
  <c r="E107" i="115"/>
  <c r="E124" i="115"/>
  <c r="E163" i="115"/>
  <c r="E166" i="115"/>
  <c r="E172" i="115"/>
  <c r="E175" i="115"/>
  <c r="E178" i="115"/>
  <c r="E181" i="115"/>
  <c r="E190" i="115"/>
  <c r="E202" i="115"/>
  <c r="E225" i="115"/>
  <c r="E236" i="115"/>
  <c r="E242" i="115"/>
  <c r="E253" i="115"/>
  <c r="E256" i="115"/>
  <c r="E262" i="115"/>
  <c r="E268" i="115"/>
  <c r="E283" i="115"/>
  <c r="E320" i="115"/>
  <c r="E342" i="115"/>
  <c r="E377" i="115"/>
  <c r="E422" i="115"/>
  <c r="E14" i="115"/>
  <c r="E341" i="115"/>
  <c r="E6" i="115"/>
  <c r="E17" i="115"/>
  <c r="E20" i="115"/>
  <c r="E26" i="115"/>
  <c r="N53" i="115"/>
  <c r="E53" i="115" s="1"/>
  <c r="E83" i="115"/>
  <c r="E88" i="115"/>
  <c r="E97" i="115"/>
  <c r="N138" i="115"/>
  <c r="E138" i="115" s="1"/>
  <c r="E140" i="115"/>
  <c r="E160" i="115"/>
  <c r="N172" i="115"/>
  <c r="E184" i="115"/>
  <c r="E219" i="115"/>
  <c r="E222" i="115"/>
  <c r="E233" i="115"/>
  <c r="E247" i="115"/>
  <c r="E250" i="115"/>
  <c r="N283" i="115"/>
  <c r="E306" i="115"/>
  <c r="E314" i="115"/>
  <c r="E353" i="115"/>
  <c r="E430" i="115"/>
  <c r="E484" i="115"/>
  <c r="E445" i="115"/>
  <c r="E471" i="115"/>
  <c r="E10" i="115"/>
  <c r="E16" i="115"/>
  <c r="E46" i="115"/>
  <c r="E56" i="115"/>
  <c r="E59" i="115"/>
  <c r="E75" i="115"/>
  <c r="E87" i="115"/>
  <c r="E93" i="115"/>
  <c r="E109" i="115"/>
  <c r="E147" i="115"/>
  <c r="E153" i="115"/>
  <c r="E159" i="115"/>
  <c r="E171" i="115"/>
  <c r="E174" i="115"/>
  <c r="E177" i="115"/>
  <c r="E193" i="115"/>
  <c r="E196" i="115"/>
  <c r="E199" i="115"/>
  <c r="E205" i="115"/>
  <c r="E208" i="115"/>
  <c r="E211" i="115"/>
  <c r="E214" i="115"/>
  <c r="E217" i="115"/>
  <c r="E232" i="115"/>
  <c r="E246" i="115"/>
  <c r="E252" i="115"/>
  <c r="E270" i="115"/>
  <c r="E273" i="115"/>
  <c r="E276" i="115"/>
  <c r="E286" i="115"/>
  <c r="E289" i="115"/>
  <c r="E292" i="115"/>
  <c r="E295" i="115"/>
  <c r="E298" i="115"/>
  <c r="E308" i="115"/>
  <c r="E326" i="115"/>
  <c r="E329" i="115"/>
  <c r="E332" i="115"/>
  <c r="E357" i="115"/>
  <c r="E373" i="115"/>
  <c r="E379" i="115"/>
  <c r="E395" i="115"/>
  <c r="E413" i="115"/>
  <c r="F413" i="115" s="1"/>
  <c r="F414" i="115" s="1"/>
  <c r="E432" i="115"/>
  <c r="E435" i="115"/>
  <c r="E438" i="115"/>
  <c r="E448" i="115"/>
  <c r="E451" i="115"/>
  <c r="E454" i="115"/>
  <c r="E457" i="115"/>
  <c r="E467" i="115"/>
  <c r="E476" i="115"/>
  <c r="E482" i="115"/>
  <c r="E487" i="115"/>
  <c r="E363" i="115"/>
  <c r="E366" i="115"/>
  <c r="E376" i="115"/>
  <c r="E382" i="115"/>
  <c r="E423" i="115"/>
  <c r="E426" i="115"/>
  <c r="E460" i="115"/>
  <c r="E473" i="115"/>
  <c r="E479" i="115"/>
  <c r="E28" i="115"/>
  <c r="E34" i="115"/>
  <c r="E40" i="115"/>
  <c r="E52" i="115"/>
  <c r="E55" i="115"/>
  <c r="E58" i="115"/>
  <c r="E65" i="115"/>
  <c r="E71" i="115"/>
  <c r="E105" i="115"/>
  <c r="E115" i="115"/>
  <c r="E131" i="115"/>
  <c r="E137" i="115"/>
  <c r="E143" i="115"/>
  <c r="E146" i="115"/>
  <c r="E149" i="115"/>
  <c r="E155" i="115"/>
  <c r="E161" i="115"/>
  <c r="E167" i="115"/>
  <c r="E170" i="115"/>
  <c r="E173" i="115"/>
  <c r="E183" i="115"/>
  <c r="E189" i="115"/>
  <c r="E192" i="115"/>
  <c r="E195" i="115"/>
  <c r="E207" i="115"/>
  <c r="E213" i="115"/>
  <c r="E223" i="115"/>
  <c r="E226" i="115"/>
  <c r="E272" i="115"/>
  <c r="E282" i="115"/>
  <c r="E285" i="115"/>
  <c r="E288" i="115"/>
  <c r="E294" i="115"/>
  <c r="E304" i="115"/>
  <c r="E307" i="115"/>
  <c r="E310" i="115"/>
  <c r="E316" i="115"/>
  <c r="E322" i="115"/>
  <c r="E325" i="115"/>
  <c r="E328" i="115"/>
  <c r="E345" i="115"/>
  <c r="E351" i="115"/>
  <c r="E369" i="115"/>
  <c r="E391" i="115"/>
  <c r="E397" i="115"/>
  <c r="E403" i="115"/>
  <c r="E409" i="115"/>
  <c r="E434" i="115"/>
  <c r="E444" i="115"/>
  <c r="E447" i="115"/>
  <c r="E450" i="115"/>
  <c r="E456" i="115"/>
  <c r="E463" i="115"/>
  <c r="E470" i="115"/>
  <c r="E385" i="115"/>
  <c r="E388" i="115"/>
  <c r="E400" i="115"/>
  <c r="E406" i="115"/>
  <c r="E429" i="115"/>
  <c r="E441" i="115"/>
  <c r="E9" i="115"/>
  <c r="E12" i="115"/>
  <c r="E15" i="115"/>
  <c r="E21" i="115"/>
  <c r="E45" i="115"/>
  <c r="E74" i="115"/>
  <c r="E77" i="115"/>
  <c r="E80" i="115"/>
  <c r="E86" i="115"/>
  <c r="E89" i="115"/>
  <c r="E92" i="115"/>
  <c r="E95" i="115"/>
  <c r="E98" i="115"/>
  <c r="E108" i="115"/>
  <c r="E111" i="115"/>
  <c r="E118" i="115"/>
  <c r="E121" i="115"/>
  <c r="E152" i="115"/>
  <c r="E158" i="115"/>
  <c r="E176" i="115"/>
  <c r="E198" i="115"/>
  <c r="E204" i="115"/>
  <c r="E210" i="115"/>
  <c r="E216" i="115"/>
  <c r="E245" i="115"/>
  <c r="E248" i="115"/>
  <c r="E251" i="115"/>
  <c r="E257" i="115"/>
  <c r="E263" i="115"/>
  <c r="E269" i="115"/>
  <c r="E275" i="115"/>
  <c r="E297" i="115"/>
  <c r="E331" i="115"/>
  <c r="F335" i="115"/>
  <c r="F336" i="115" s="1"/>
  <c r="E356" i="115"/>
  <c r="E359" i="115"/>
  <c r="E362" i="115"/>
  <c r="E372" i="115"/>
  <c r="E375" i="115"/>
  <c r="E378" i="115"/>
  <c r="E381" i="115"/>
  <c r="E384" i="115"/>
  <c r="E394" i="115"/>
  <c r="E412" i="115"/>
  <c r="E425" i="115"/>
  <c r="E431" i="115"/>
  <c r="E437" i="115"/>
  <c r="E453" i="115"/>
  <c r="E466" i="115"/>
  <c r="E475" i="115"/>
  <c r="E481" i="115"/>
  <c r="E13" i="111"/>
  <c r="E19" i="111"/>
  <c r="E10" i="111"/>
  <c r="E30" i="111"/>
  <c r="E36" i="111"/>
  <c r="E42" i="111"/>
  <c r="E66" i="111"/>
  <c r="E99" i="111"/>
  <c r="E59" i="111"/>
  <c r="E6" i="111"/>
  <c r="E9" i="111"/>
  <c r="E12" i="111"/>
  <c r="F124" i="111" s="1"/>
  <c r="E18" i="111"/>
  <c r="E38" i="111"/>
  <c r="E44" i="111"/>
  <c r="E50" i="111"/>
  <c r="F123" i="111" s="1"/>
  <c r="E62" i="111"/>
  <c r="E111" i="111"/>
  <c r="E54" i="111"/>
  <c r="E21" i="111"/>
  <c r="E24" i="111"/>
  <c r="E33" i="111"/>
  <c r="E56" i="111"/>
  <c r="E69" i="111"/>
  <c r="E81" i="111"/>
  <c r="E84" i="111"/>
  <c r="E87" i="111"/>
  <c r="E90" i="111"/>
  <c r="E102" i="111"/>
  <c r="E105" i="111"/>
  <c r="E108" i="111"/>
  <c r="E23" i="111"/>
  <c r="E29" i="111"/>
  <c r="E32" i="111"/>
  <c r="E35" i="111"/>
  <c r="E41" i="111"/>
  <c r="E55" i="111"/>
  <c r="E65" i="111"/>
  <c r="E68" i="111"/>
  <c r="E71" i="111"/>
  <c r="E92" i="111"/>
  <c r="E98" i="111"/>
  <c r="E101" i="111"/>
  <c r="E104" i="111"/>
  <c r="E114" i="111"/>
  <c r="E117" i="111"/>
  <c r="E120" i="111"/>
  <c r="E11" i="111"/>
  <c r="E28" i="111"/>
  <c r="E34" i="111"/>
  <c r="E15" i="111"/>
  <c r="E27" i="111"/>
  <c r="E47" i="111"/>
  <c r="E53" i="111"/>
  <c r="E72" i="111"/>
  <c r="E75" i="111"/>
  <c r="E78" i="111"/>
  <c r="E93" i="111"/>
  <c r="E96" i="111"/>
  <c r="E8" i="111"/>
  <c r="E14" i="111"/>
  <c r="E17" i="111"/>
  <c r="E20" i="111"/>
  <c r="E26" i="111"/>
  <c r="E46" i="111"/>
  <c r="E52" i="111"/>
  <c r="E58" i="111"/>
  <c r="E89" i="111"/>
  <c r="E95" i="111"/>
  <c r="E107" i="111"/>
  <c r="R120" i="110"/>
  <c r="N7" i="110"/>
  <c r="N19" i="110"/>
  <c r="N21" i="110"/>
  <c r="N55" i="110"/>
  <c r="N57" i="110"/>
  <c r="E57" i="110" s="1"/>
  <c r="R23" i="110"/>
  <c r="N75" i="110"/>
  <c r="E75" i="110" s="1"/>
  <c r="N77" i="110"/>
  <c r="R32" i="134"/>
  <c r="N49" i="110"/>
  <c r="N79" i="110"/>
  <c r="R40" i="119"/>
  <c r="E80" i="120"/>
  <c r="R89" i="119"/>
  <c r="E33" i="120"/>
  <c r="E39" i="120"/>
  <c r="E53" i="120"/>
  <c r="E59" i="120"/>
  <c r="E65" i="120"/>
  <c r="E97" i="120"/>
  <c r="W53" i="122"/>
  <c r="E10" i="120"/>
  <c r="E30" i="120"/>
  <c r="E50" i="120"/>
  <c r="E100" i="120"/>
  <c r="E148" i="120"/>
  <c r="E17" i="120"/>
  <c r="E89" i="120"/>
  <c r="R92" i="119"/>
  <c r="E19" i="120"/>
  <c r="E68" i="120"/>
  <c r="E71" i="120"/>
  <c r="E77" i="120"/>
  <c r="E83" i="120"/>
  <c r="E91" i="120"/>
  <c r="E103" i="120"/>
  <c r="E106" i="120"/>
  <c r="E7" i="120"/>
  <c r="E13" i="120"/>
  <c r="E21" i="120"/>
  <c r="E27" i="120"/>
  <c r="E41" i="120"/>
  <c r="E47" i="120"/>
  <c r="E67" i="120"/>
  <c r="E73" i="120"/>
  <c r="E79" i="120"/>
  <c r="E82" i="120"/>
  <c r="E85" i="120"/>
  <c r="E105" i="120"/>
  <c r="E116" i="120"/>
  <c r="E127" i="120"/>
  <c r="E133" i="120"/>
  <c r="E139" i="120"/>
  <c r="E142" i="120"/>
  <c r="E151" i="120"/>
  <c r="E57" i="120"/>
  <c r="E28" i="120"/>
  <c r="R139" i="119"/>
  <c r="E24" i="120"/>
  <c r="E32" i="120"/>
  <c r="E58" i="120"/>
  <c r="E61" i="120"/>
  <c r="E70" i="120"/>
  <c r="E76" i="120"/>
  <c r="E102" i="120"/>
  <c r="E113" i="120"/>
  <c r="E121" i="120"/>
  <c r="E124" i="120"/>
  <c r="E130" i="120"/>
  <c r="E136" i="120"/>
  <c r="R218" i="119"/>
  <c r="E6" i="120"/>
  <c r="E9" i="120"/>
  <c r="E12" i="120"/>
  <c r="E15" i="120"/>
  <c r="E29" i="120"/>
  <c r="E35" i="120"/>
  <c r="E43" i="120"/>
  <c r="E49" i="120"/>
  <c r="E55" i="120"/>
  <c r="E81" i="120"/>
  <c r="E87" i="120"/>
  <c r="E99" i="120"/>
  <c r="E110" i="120"/>
  <c r="E118" i="120"/>
  <c r="E141" i="120"/>
  <c r="E147" i="120"/>
  <c r="E153" i="120"/>
  <c r="E156" i="120"/>
  <c r="E37" i="120"/>
  <c r="R228" i="119"/>
  <c r="E8" i="120"/>
  <c r="E48" i="120"/>
  <c r="R249" i="119"/>
  <c r="E18" i="120"/>
  <c r="E38" i="120"/>
  <c r="E52" i="120"/>
  <c r="E64" i="120"/>
  <c r="E90" i="120"/>
  <c r="E93" i="120"/>
  <c r="E96" i="120"/>
  <c r="R18" i="119"/>
  <c r="R106" i="119"/>
  <c r="E20" i="120"/>
  <c r="E23" i="120"/>
  <c r="E26" i="120"/>
  <c r="E40" i="120"/>
  <c r="E46" i="120"/>
  <c r="E60" i="120"/>
  <c r="E66" i="120"/>
  <c r="E72" i="120"/>
  <c r="E75" i="120"/>
  <c r="E78" i="120"/>
  <c r="E84" i="120"/>
  <c r="E92" i="120"/>
  <c r="E104" i="120"/>
  <c r="E107" i="120"/>
  <c r="E115" i="120"/>
  <c r="E126" i="120"/>
  <c r="E132" i="120"/>
  <c r="E135" i="120"/>
  <c r="E138" i="120"/>
  <c r="E144" i="120"/>
  <c r="E150" i="120"/>
  <c r="R31" i="119"/>
  <c r="R210" i="119"/>
  <c r="R7" i="119"/>
  <c r="S7" i="119" s="1"/>
  <c r="R59" i="119"/>
  <c r="R72" i="119"/>
  <c r="R77" i="119"/>
  <c r="R105" i="119"/>
  <c r="R138" i="119"/>
  <c r="R155" i="119"/>
  <c r="R242" i="119"/>
  <c r="R12" i="119"/>
  <c r="E18" i="119"/>
  <c r="N19" i="119"/>
  <c r="E19" i="119" s="1"/>
  <c r="R25" i="119"/>
  <c r="R53" i="119"/>
  <c r="E111" i="119"/>
  <c r="R113" i="119"/>
  <c r="R141" i="119"/>
  <c r="R152" i="119"/>
  <c r="E193" i="119"/>
  <c r="E198" i="119"/>
  <c r="E226" i="119"/>
  <c r="R233" i="119"/>
  <c r="R238" i="119"/>
  <c r="R158" i="119"/>
  <c r="E48" i="119"/>
  <c r="R50" i="119"/>
  <c r="R160" i="119"/>
  <c r="E213" i="119"/>
  <c r="E23" i="119"/>
  <c r="R33" i="119"/>
  <c r="E69" i="119"/>
  <c r="R79" i="119"/>
  <c r="R82" i="119"/>
  <c r="E108" i="119"/>
  <c r="R146" i="119"/>
  <c r="R170" i="119"/>
  <c r="R178" i="119"/>
  <c r="E205" i="119"/>
  <c r="E246" i="119"/>
  <c r="R251" i="119"/>
  <c r="E254" i="119"/>
  <c r="N17" i="119"/>
  <c r="X28" i="122" s="1"/>
  <c r="X29" i="122" s="1"/>
  <c r="X30" i="122" s="1"/>
  <c r="R9" i="119"/>
  <c r="R22" i="119"/>
  <c r="R257" i="119"/>
  <c r="E12" i="119"/>
  <c r="R57" i="119"/>
  <c r="E66" i="119"/>
  <c r="R70" i="119"/>
  <c r="E83" i="119"/>
  <c r="R93" i="119"/>
  <c r="R98" i="119"/>
  <c r="E127" i="119"/>
  <c r="E136" i="119"/>
  <c r="R143" i="119"/>
  <c r="E166" i="119"/>
  <c r="R175" i="119"/>
  <c r="E179" i="119"/>
  <c r="R188" i="119"/>
  <c r="R10" i="119"/>
  <c r="R45" i="119"/>
  <c r="R195" i="119"/>
  <c r="R68" i="119"/>
  <c r="R85" i="119"/>
  <c r="R149" i="119"/>
  <c r="E169" i="119"/>
  <c r="R230" i="119"/>
  <c r="E22" i="119"/>
  <c r="R29" i="119"/>
  <c r="R32" i="119"/>
  <c r="R43" i="119"/>
  <c r="R46" i="119"/>
  <c r="R64" i="119"/>
  <c r="N136" i="119"/>
  <c r="R180" i="119"/>
  <c r="E189" i="119"/>
  <c r="E202" i="119"/>
  <c r="E212" i="119"/>
  <c r="R221" i="119"/>
  <c r="R247" i="119"/>
  <c r="N260" i="119"/>
  <c r="E336" i="140"/>
  <c r="E338" i="140"/>
  <c r="E410" i="140"/>
  <c r="E514" i="140"/>
  <c r="E591" i="140"/>
  <c r="R31" i="130"/>
  <c r="E69" i="140"/>
  <c r="E97" i="140"/>
  <c r="E105" i="140"/>
  <c r="E189" i="140"/>
  <c r="N411" i="140"/>
  <c r="E449" i="140"/>
  <c r="N469" i="140"/>
  <c r="E366" i="140"/>
  <c r="S420" i="139"/>
  <c r="E582" i="140"/>
  <c r="E86" i="140"/>
  <c r="E91" i="140"/>
  <c r="E99" i="140"/>
  <c r="N131" i="140"/>
  <c r="N208" i="140"/>
  <c r="E224" i="140"/>
  <c r="N227" i="140"/>
  <c r="E227" i="140" s="1"/>
  <c r="E239" i="140"/>
  <c r="E241" i="140"/>
  <c r="N266" i="140"/>
  <c r="E284" i="140"/>
  <c r="E286" i="140"/>
  <c r="E292" i="140"/>
  <c r="N295" i="140"/>
  <c r="E302" i="140"/>
  <c r="E305" i="140"/>
  <c r="E308" i="140"/>
  <c r="N318" i="140"/>
  <c r="S242" i="139"/>
  <c r="E437" i="140"/>
  <c r="E439" i="140"/>
  <c r="E486" i="140"/>
  <c r="E346" i="140"/>
  <c r="S326" i="139"/>
  <c r="R30" i="130"/>
  <c r="E406" i="140"/>
  <c r="E11" i="140"/>
  <c r="E152" i="140"/>
  <c r="N163" i="140"/>
  <c r="E177" i="140"/>
  <c r="E202" i="140"/>
  <c r="E212" i="140"/>
  <c r="E233" i="140"/>
  <c r="N240" i="140"/>
  <c r="E261" i="140"/>
  <c r="S297" i="139"/>
  <c r="E270" i="140"/>
  <c r="N362" i="140"/>
  <c r="E403" i="140"/>
  <c r="E452" i="140"/>
  <c r="N516" i="140"/>
  <c r="E522" i="140"/>
  <c r="E526" i="140"/>
  <c r="N535" i="140"/>
  <c r="E535" i="140" s="1"/>
  <c r="N578" i="140"/>
  <c r="E184" i="140"/>
  <c r="E310" i="140"/>
  <c r="E13" i="140"/>
  <c r="N78" i="140"/>
  <c r="E94" i="140"/>
  <c r="E102" i="140"/>
  <c r="E128" i="140"/>
  <c r="E130" i="140"/>
  <c r="N141" i="140"/>
  <c r="E141" i="140" s="1"/>
  <c r="N158" i="140"/>
  <c r="E158" i="140" s="1"/>
  <c r="E172" i="140"/>
  <c r="E181" i="140"/>
  <c r="E226" i="140"/>
  <c r="E334" i="140"/>
  <c r="E349" i="140"/>
  <c r="E355" i="140"/>
  <c r="S254" i="139"/>
  <c r="N367" i="140"/>
  <c r="E367" i="140" s="1"/>
  <c r="N399" i="140"/>
  <c r="E399" i="140" s="1"/>
  <c r="E405" i="140"/>
  <c r="N418" i="140"/>
  <c r="E418" i="140" s="1"/>
  <c r="E424" i="140"/>
  <c r="E426" i="140"/>
  <c r="N429" i="140"/>
  <c r="E429" i="140" s="1"/>
  <c r="N446" i="140"/>
  <c r="N478" i="140"/>
  <c r="E478" i="140" s="1"/>
  <c r="E510" i="140"/>
  <c r="N513" i="140"/>
  <c r="N551" i="140"/>
  <c r="E551" i="140" s="1"/>
  <c r="N583" i="140"/>
  <c r="E295" i="140"/>
  <c r="E623" i="140"/>
  <c r="S327" i="139"/>
  <c r="N41" i="140"/>
  <c r="E41" i="140" s="1"/>
  <c r="E96" i="140"/>
  <c r="N129" i="140"/>
  <c r="E129" i="140" s="1"/>
  <c r="E253" i="140"/>
  <c r="E272" i="140"/>
  <c r="E339" i="140"/>
  <c r="E369" i="140"/>
  <c r="E389" i="140"/>
  <c r="S427" i="139"/>
  <c r="N425" i="140"/>
  <c r="E425" i="140" s="1"/>
  <c r="N436" i="140"/>
  <c r="E436" i="140" s="1"/>
  <c r="E444" i="140"/>
  <c r="N457" i="140"/>
  <c r="S471" i="139"/>
  <c r="N530" i="140"/>
  <c r="N560" i="140"/>
  <c r="E560" i="140" s="1"/>
  <c r="E568" i="140"/>
  <c r="E587" i="140"/>
  <c r="N592" i="140"/>
  <c r="E592" i="140" s="1"/>
  <c r="E631" i="140"/>
  <c r="E633" i="140"/>
  <c r="E43" i="140"/>
  <c r="N323" i="140"/>
  <c r="E323" i="140" s="1"/>
  <c r="E562" i="140"/>
  <c r="N29" i="140"/>
  <c r="E29" i="140" s="1"/>
  <c r="E87" i="140"/>
  <c r="E127" i="140"/>
  <c r="E150" i="140"/>
  <c r="E167" i="140"/>
  <c r="E174" i="140"/>
  <c r="E193" i="140"/>
  <c r="N370" i="140"/>
  <c r="E370" i="140" s="1"/>
  <c r="E492" i="140"/>
  <c r="E494" i="140"/>
  <c r="E556" i="140"/>
  <c r="S539" i="139"/>
  <c r="E605" i="140"/>
  <c r="E613" i="140"/>
  <c r="E90" i="140"/>
  <c r="E106" i="140"/>
  <c r="S356" i="139"/>
  <c r="R49" i="138"/>
  <c r="S49" i="138" s="1"/>
  <c r="S283" i="139"/>
  <c r="E10" i="140"/>
  <c r="N19" i="140"/>
  <c r="E19" i="140" s="1"/>
  <c r="N27" i="140"/>
  <c r="E27" i="140" s="1"/>
  <c r="E33" i="140"/>
  <c r="E54" i="140"/>
  <c r="E67" i="140"/>
  <c r="E108" i="140"/>
  <c r="N134" i="140"/>
  <c r="E134" i="140" s="1"/>
  <c r="E142" i="140"/>
  <c r="E144" i="140"/>
  <c r="E157" i="140"/>
  <c r="E165" i="140"/>
  <c r="E171" i="140"/>
  <c r="E192" i="140"/>
  <c r="N220" i="140"/>
  <c r="E220" i="140" s="1"/>
  <c r="E238" i="140"/>
  <c r="E244" i="140"/>
  <c r="E275" i="140"/>
  <c r="E279" i="140"/>
  <c r="E321" i="140"/>
  <c r="E466" i="140"/>
  <c r="N471" i="140"/>
  <c r="E471" i="140" s="1"/>
  <c r="N495" i="140"/>
  <c r="E541" i="140"/>
  <c r="E550" i="140"/>
  <c r="N555" i="140"/>
  <c r="E555" i="140" s="1"/>
  <c r="F72" i="139"/>
  <c r="F151" i="139"/>
  <c r="F191" i="139"/>
  <c r="F195" i="139"/>
  <c r="F199" i="139"/>
  <c r="F211" i="139"/>
  <c r="F219" i="139"/>
  <c r="F250" i="139"/>
  <c r="F287" i="139"/>
  <c r="F298" i="139"/>
  <c r="F429" i="139"/>
  <c r="F515" i="139"/>
  <c r="F59" i="139"/>
  <c r="F98" i="139"/>
  <c r="F100" i="139"/>
  <c r="F104" i="139"/>
  <c r="F142" i="139"/>
  <c r="F144" i="139"/>
  <c r="F159" i="139"/>
  <c r="F289" i="139"/>
  <c r="F293" i="139"/>
  <c r="F300" i="139"/>
  <c r="F485" i="139"/>
  <c r="F487" i="139"/>
  <c r="F74" i="139"/>
  <c r="F67" i="139"/>
  <c r="F83" i="139"/>
  <c r="F192" i="139"/>
  <c r="F200" i="139"/>
  <c r="F202" i="139"/>
  <c r="F210" i="139"/>
  <c r="F281" i="139"/>
  <c r="F295" i="139"/>
  <c r="F371" i="139"/>
  <c r="F402" i="139"/>
  <c r="F426" i="139"/>
  <c r="F215" i="139"/>
  <c r="F137" i="139"/>
  <c r="F154" i="139"/>
  <c r="F297" i="139"/>
  <c r="F354" i="139"/>
  <c r="G354" i="139" s="1"/>
  <c r="F360" i="139"/>
  <c r="F414" i="139"/>
  <c r="F68" i="139"/>
  <c r="F82" i="139"/>
  <c r="F134" i="139"/>
  <c r="F164" i="139"/>
  <c r="F193" i="139"/>
  <c r="F203" i="139"/>
  <c r="F207" i="139"/>
  <c r="F213" i="139"/>
  <c r="F372" i="139"/>
  <c r="F399" i="139"/>
  <c r="F403" i="139"/>
  <c r="F405" i="139"/>
  <c r="F427" i="139"/>
  <c r="F434" i="139"/>
  <c r="F532" i="139"/>
  <c r="F60" i="139"/>
  <c r="F64" i="139"/>
  <c r="F91" i="139"/>
  <c r="F139" i="139"/>
  <c r="F143" i="139"/>
  <c r="F158" i="139"/>
  <c r="F162" i="139"/>
  <c r="F253" i="139"/>
  <c r="F290" i="139"/>
  <c r="F329" i="139"/>
  <c r="F331" i="139"/>
  <c r="F410" i="139"/>
  <c r="F486" i="139"/>
  <c r="F61" i="139"/>
  <c r="F65" i="139"/>
  <c r="F358" i="139"/>
  <c r="F473" i="139"/>
  <c r="F525" i="139"/>
  <c r="F52" i="139"/>
  <c r="G52" i="139" s="1"/>
  <c r="F86" i="140" s="1"/>
  <c r="F87" i="140" s="1"/>
  <c r="F76" i="139"/>
  <c r="F78" i="139"/>
  <c r="F127" i="139"/>
  <c r="G127" i="139" s="1"/>
  <c r="F113" i="140" s="1"/>
  <c r="F132" i="139"/>
  <c r="F156" i="139"/>
  <c r="F481" i="139"/>
  <c r="F489" i="139"/>
  <c r="F535" i="139"/>
  <c r="F71" i="139"/>
  <c r="F97" i="139"/>
  <c r="F99" i="139"/>
  <c r="F141" i="139"/>
  <c r="F325" i="139"/>
  <c r="G325" i="139" s="1"/>
  <c r="F328" i="139"/>
  <c r="F364" i="139"/>
  <c r="F457" i="139"/>
  <c r="G457" i="139" s="1"/>
  <c r="F490" i="140" s="1"/>
  <c r="F459" i="139"/>
  <c r="F467" i="139"/>
  <c r="F469" i="139"/>
  <c r="F484" i="139"/>
  <c r="F519" i="139"/>
  <c r="F521" i="139"/>
  <c r="F540" i="139"/>
  <c r="F73" i="139"/>
  <c r="F103" i="139"/>
  <c r="F526" i="139"/>
  <c r="F58" i="139"/>
  <c r="F62" i="139"/>
  <c r="F77" i="139"/>
  <c r="F81" i="139"/>
  <c r="F133" i="139"/>
  <c r="F157" i="139"/>
  <c r="F416" i="139"/>
  <c r="F475" i="139"/>
  <c r="F482" i="139"/>
  <c r="F490" i="139"/>
  <c r="F529" i="139"/>
  <c r="F537" i="139"/>
  <c r="F63" i="139"/>
  <c r="F89" i="139"/>
  <c r="F102" i="139"/>
  <c r="F357" i="139"/>
  <c r="F135" i="139"/>
  <c r="F140" i="139"/>
  <c r="F242" i="139"/>
  <c r="G242" i="139" s="1"/>
  <c r="T242" i="139" s="1"/>
  <c r="F326" i="139"/>
  <c r="F363" i="139"/>
  <c r="F365" i="139"/>
  <c r="F408" i="139"/>
  <c r="F462" i="139"/>
  <c r="F466" i="139"/>
  <c r="F539" i="139"/>
  <c r="E8" i="134"/>
  <c r="E15" i="134"/>
  <c r="E27" i="134"/>
  <c r="E39" i="134"/>
  <c r="R67" i="134"/>
  <c r="E71" i="134"/>
  <c r="R131" i="134"/>
  <c r="E18" i="134"/>
  <c r="F76" i="134" s="1"/>
  <c r="E61" i="134"/>
  <c r="R70" i="134"/>
  <c r="E12" i="134"/>
  <c r="E45" i="134"/>
  <c r="E68" i="134"/>
  <c r="E73" i="134"/>
  <c r="R128" i="134"/>
  <c r="R207" i="134"/>
  <c r="E24" i="134"/>
  <c r="E31" i="134"/>
  <c r="E33" i="134"/>
  <c r="E42" i="134"/>
  <c r="E67" i="134"/>
  <c r="E36" i="134"/>
  <c r="E47" i="134"/>
  <c r="E54" i="134"/>
  <c r="E65" i="134"/>
  <c r="E70" i="134"/>
  <c r="E19" i="134"/>
  <c r="E44" i="134"/>
  <c r="E55" i="134"/>
  <c r="E62" i="134"/>
  <c r="R169" i="134"/>
  <c r="F555" i="131"/>
  <c r="E11" i="126"/>
  <c r="E12" i="126"/>
  <c r="E22" i="126"/>
  <c r="E29" i="126"/>
  <c r="E45" i="126"/>
  <c r="E57" i="126"/>
  <c r="E67" i="126"/>
  <c r="E74" i="126"/>
  <c r="E81" i="126"/>
  <c r="E281" i="140"/>
  <c r="E578" i="140"/>
  <c r="S406" i="139"/>
  <c r="S411" i="139"/>
  <c r="S515" i="139"/>
  <c r="N17" i="140"/>
  <c r="E17" i="140" s="1"/>
  <c r="E47" i="140"/>
  <c r="N66" i="140"/>
  <c r="E66" i="140" s="1"/>
  <c r="E92" i="140"/>
  <c r="E95" i="140"/>
  <c r="E104" i="140"/>
  <c r="E120" i="140"/>
  <c r="E155" i="140"/>
  <c r="E214" i="140"/>
  <c r="E216" i="140"/>
  <c r="N242" i="140"/>
  <c r="E242" i="140" s="1"/>
  <c r="E303" i="140"/>
  <c r="F303" i="140" s="1"/>
  <c r="E306" i="140"/>
  <c r="F306" i="140" s="1"/>
  <c r="E309" i="140"/>
  <c r="E348" i="140"/>
  <c r="E351" i="140"/>
  <c r="F351" i="140" s="1"/>
  <c r="E354" i="140"/>
  <c r="F354" i="140" s="1"/>
  <c r="E373" i="140"/>
  <c r="E375" i="140"/>
  <c r="E428" i="140"/>
  <c r="E470" i="140"/>
  <c r="E531" i="140"/>
  <c r="E533" i="140"/>
  <c r="E539" i="140"/>
  <c r="N542" i="140"/>
  <c r="N553" i="140"/>
  <c r="E553" i="140" s="1"/>
  <c r="N567" i="140"/>
  <c r="E567" i="140" s="1"/>
  <c r="E584" i="140"/>
  <c r="E586" i="140"/>
  <c r="E594" i="140"/>
  <c r="E229" i="140"/>
  <c r="N290" i="140"/>
  <c r="E290" i="140" s="1"/>
  <c r="E317" i="140"/>
  <c r="N340" i="140"/>
  <c r="E340" i="140" s="1"/>
  <c r="E469" i="140"/>
  <c r="E495" i="140"/>
  <c r="E517" i="140"/>
  <c r="E519" i="140"/>
  <c r="N540" i="140"/>
  <c r="E540" i="140" s="1"/>
  <c r="E563" i="140"/>
  <c r="E580" i="140"/>
  <c r="E583" i="140"/>
  <c r="E603" i="140"/>
  <c r="S398" i="139"/>
  <c r="N44" i="140"/>
  <c r="E44" i="140" s="1"/>
  <c r="N46" i="140"/>
  <c r="E46" i="140" s="1"/>
  <c r="E60" i="140"/>
  <c r="N63" i="140"/>
  <c r="E63" i="140" s="1"/>
  <c r="N71" i="140"/>
  <c r="E160" i="140"/>
  <c r="E162" i="140"/>
  <c r="E180" i="140"/>
  <c r="N222" i="140"/>
  <c r="E222" i="140" s="1"/>
  <c r="N320" i="140"/>
  <c r="E326" i="140"/>
  <c r="E359" i="140"/>
  <c r="E363" i="140"/>
  <c r="E378" i="140"/>
  <c r="E380" i="140"/>
  <c r="E385" i="140"/>
  <c r="E433" i="140"/>
  <c r="N438" i="140"/>
  <c r="N467" i="140"/>
  <c r="E467" i="140" s="1"/>
  <c r="N480" i="140"/>
  <c r="E480" i="140" s="1"/>
  <c r="N491" i="140"/>
  <c r="E491" i="140" s="1"/>
  <c r="N518" i="140"/>
  <c r="E518" i="140" s="1"/>
  <c r="N528" i="140"/>
  <c r="E528" i="140" s="1"/>
  <c r="N564" i="140"/>
  <c r="E564" i="140" s="1"/>
  <c r="E599" i="140"/>
  <c r="E601" i="140"/>
  <c r="N604" i="140"/>
  <c r="E604" i="140" s="1"/>
  <c r="E611" i="140"/>
  <c r="F611" i="140" s="1"/>
  <c r="S430" i="139"/>
  <c r="S396" i="139"/>
  <c r="T396" i="139" s="1"/>
  <c r="N48" i="140"/>
  <c r="E48" i="140" s="1"/>
  <c r="N121" i="140"/>
  <c r="E121" i="140" s="1"/>
  <c r="S361" i="139"/>
  <c r="S246" i="139"/>
  <c r="S417" i="139"/>
  <c r="N12" i="140"/>
  <c r="E12" i="140" s="1"/>
  <c r="S149" i="139"/>
  <c r="E26" i="140"/>
  <c r="E36" i="140"/>
  <c r="N61" i="140"/>
  <c r="E61" i="140" s="1"/>
  <c r="E115" i="140"/>
  <c r="E117" i="140"/>
  <c r="N126" i="140"/>
  <c r="E126" i="140" s="1"/>
  <c r="E135" i="140"/>
  <c r="E154" i="140"/>
  <c r="N161" i="140"/>
  <c r="E161" i="140" s="1"/>
  <c r="N200" i="140"/>
  <c r="E200" i="140" s="1"/>
  <c r="E234" i="140"/>
  <c r="N237" i="140"/>
  <c r="E237" i="140" s="1"/>
  <c r="E257" i="140"/>
  <c r="N293" i="140"/>
  <c r="E293" i="140" s="1"/>
  <c r="E301" i="140"/>
  <c r="E322" i="140"/>
  <c r="N337" i="140"/>
  <c r="E337" i="140" s="1"/>
  <c r="E400" i="140"/>
  <c r="N474" i="140"/>
  <c r="E474" i="140" s="1"/>
  <c r="E482" i="140"/>
  <c r="E493" i="140"/>
  <c r="E497" i="140"/>
  <c r="N502" i="140"/>
  <c r="E502" i="140" s="1"/>
  <c r="E524" i="140"/>
  <c r="N537" i="140"/>
  <c r="E537" i="140" s="1"/>
  <c r="E545" i="140"/>
  <c r="E547" i="140"/>
  <c r="E566" i="140"/>
  <c r="N571" i="140"/>
  <c r="N588" i="140"/>
  <c r="E588" i="140" s="1"/>
  <c r="N600" i="140"/>
  <c r="E600" i="140" s="1"/>
  <c r="N614" i="140"/>
  <c r="E614" i="140" s="1"/>
  <c r="S405" i="139"/>
  <c r="E89" i="140"/>
  <c r="E101" i="140"/>
  <c r="N116" i="140"/>
  <c r="E116" i="140" s="1"/>
  <c r="N153" i="140"/>
  <c r="E153" i="140" s="1"/>
  <c r="N210" i="140"/>
  <c r="E210" i="140" s="1"/>
  <c r="E256" i="140"/>
  <c r="S284" i="139"/>
  <c r="N283" i="140"/>
  <c r="E283" i="140" s="1"/>
  <c r="E343" i="140"/>
  <c r="S434" i="139"/>
  <c r="N455" i="140"/>
  <c r="E455" i="140" s="1"/>
  <c r="N485" i="140"/>
  <c r="E485" i="140" s="1"/>
  <c r="N500" i="140"/>
  <c r="E500" i="140" s="1"/>
  <c r="N569" i="140"/>
  <c r="E569" i="140" s="1"/>
  <c r="S466" i="139"/>
  <c r="S483" i="139"/>
  <c r="S459" i="139"/>
  <c r="S470" i="139"/>
  <c r="S465" i="139"/>
  <c r="E276" i="140"/>
  <c r="S373" i="139"/>
  <c r="T373" i="139" s="1"/>
  <c r="S370" i="139"/>
  <c r="S357" i="139"/>
  <c r="T357" i="139" s="1"/>
  <c r="S360" i="139"/>
  <c r="S364" i="139"/>
  <c r="S354" i="139"/>
  <c r="T354" i="139" s="1"/>
  <c r="S363" i="139"/>
  <c r="E503" i="140"/>
  <c r="E515" i="140"/>
  <c r="S467" i="139"/>
  <c r="E42" i="140"/>
  <c r="E159" i="140"/>
  <c r="E249" i="140"/>
  <c r="N273" i="140"/>
  <c r="E273" i="140" s="1"/>
  <c r="E331" i="140"/>
  <c r="E499" i="140"/>
  <c r="E538" i="140"/>
  <c r="N581" i="140"/>
  <c r="E581" i="140" s="1"/>
  <c r="R57" i="138"/>
  <c r="R33" i="138"/>
  <c r="R54" i="138"/>
  <c r="R50" i="138"/>
  <c r="S50" i="138" s="1"/>
  <c r="F50" i="138" s="1"/>
  <c r="R51" i="138"/>
  <c r="R58" i="138"/>
  <c r="R55" i="138"/>
  <c r="R32" i="138"/>
  <c r="R59" i="138"/>
  <c r="S245" i="139"/>
  <c r="T245" i="139" s="1"/>
  <c r="S487" i="139"/>
  <c r="S127" i="139"/>
  <c r="T127" i="139" s="1"/>
  <c r="R53" i="138"/>
  <c r="R78" i="138"/>
  <c r="S78" i="138" s="1"/>
  <c r="S408" i="139"/>
  <c r="S484" i="139"/>
  <c r="S518" i="139"/>
  <c r="N32" i="140"/>
  <c r="E32" i="140" s="1"/>
  <c r="E113" i="140"/>
  <c r="E191" i="140"/>
  <c r="E197" i="140"/>
  <c r="E201" i="140"/>
  <c r="E203" i="140"/>
  <c r="S211" i="139"/>
  <c r="E311" i="140"/>
  <c r="N372" i="140"/>
  <c r="E372" i="140" s="1"/>
  <c r="E397" i="140"/>
  <c r="N585" i="140"/>
  <c r="E585" i="140" s="1"/>
  <c r="E83" i="140"/>
  <c r="E282" i="140"/>
  <c r="E376" i="140"/>
  <c r="E536" i="140"/>
  <c r="S473" i="139"/>
  <c r="E34" i="140"/>
  <c r="E280" i="140"/>
  <c r="E368" i="140"/>
  <c r="S369" i="139"/>
  <c r="S219" i="139"/>
  <c r="E246" i="140"/>
  <c r="E251" i="140"/>
  <c r="S249" i="139"/>
  <c r="S252" i="139"/>
  <c r="S244" i="139"/>
  <c r="S243" i="139"/>
  <c r="S248" i="139"/>
  <c r="E364" i="140"/>
  <c r="S194" i="139"/>
  <c r="S421" i="139"/>
  <c r="S431" i="139"/>
  <c r="S464" i="139"/>
  <c r="S490" i="139"/>
  <c r="T490" i="139" s="1"/>
  <c r="S521" i="139"/>
  <c r="S535" i="139"/>
  <c r="N9" i="140"/>
  <c r="E9" i="140" s="1"/>
  <c r="E23" i="140"/>
  <c r="E25" i="140"/>
  <c r="E82" i="140"/>
  <c r="N156" i="140"/>
  <c r="E156" i="140" s="1"/>
  <c r="E173" i="140"/>
  <c r="N205" i="140"/>
  <c r="E205" i="140" s="1"/>
  <c r="E221" i="140"/>
  <c r="S291" i="139"/>
  <c r="E577" i="140"/>
  <c r="E627" i="140"/>
  <c r="S480" i="139"/>
  <c r="E188" i="140"/>
  <c r="E505" i="140"/>
  <c r="S460" i="139"/>
  <c r="E40" i="140"/>
  <c r="E501" i="140"/>
  <c r="E534" i="140"/>
  <c r="S355" i="139"/>
  <c r="T355" i="139" s="1"/>
  <c r="G355" i="139" s="1"/>
  <c r="S372" i="139"/>
  <c r="S462" i="139"/>
  <c r="E6" i="140"/>
  <c r="E254" i="140"/>
  <c r="E411" i="140"/>
  <c r="S428" i="139"/>
  <c r="S423" i="139"/>
  <c r="S418" i="139"/>
  <c r="S412" i="139"/>
  <c r="S407" i="139"/>
  <c r="S399" i="139"/>
  <c r="S425" i="139"/>
  <c r="S397" i="139"/>
  <c r="S433" i="139"/>
  <c r="S424" i="139"/>
  <c r="S402" i="139"/>
  <c r="S414" i="139"/>
  <c r="S401" i="139"/>
  <c r="E629" i="140"/>
  <c r="S359" i="139"/>
  <c r="S409" i="139"/>
  <c r="S415" i="139"/>
  <c r="S457" i="139"/>
  <c r="T457" i="139" s="1"/>
  <c r="S477" i="139"/>
  <c r="N7" i="140"/>
  <c r="E7" i="140" s="1"/>
  <c r="S95" i="139"/>
  <c r="S162" i="139"/>
  <c r="N51" i="140"/>
  <c r="E51" i="140" s="1"/>
  <c r="E123" i="140"/>
  <c r="N139" i="140"/>
  <c r="E139" i="140" s="1"/>
  <c r="E170" i="140"/>
  <c r="E219" i="140"/>
  <c r="E319" i="140"/>
  <c r="E386" i="140"/>
  <c r="S517" i="139"/>
  <c r="E596" i="140"/>
  <c r="E598" i="140"/>
  <c r="E610" i="140"/>
  <c r="E622" i="140"/>
  <c r="E350" i="140"/>
  <c r="E362" i="140"/>
  <c r="E384" i="140"/>
  <c r="E438" i="140"/>
  <c r="E542" i="140"/>
  <c r="E8" i="140"/>
  <c r="S98" i="139"/>
  <c r="S61" i="139"/>
  <c r="E16" i="140"/>
  <c r="E18" i="140"/>
  <c r="E20" i="140"/>
  <c r="E30" i="140"/>
  <c r="E37" i="140"/>
  <c r="E57" i="140"/>
  <c r="E59" i="140"/>
  <c r="E65" i="140"/>
  <c r="E77" i="140"/>
  <c r="E79" i="140"/>
  <c r="E88" i="140"/>
  <c r="E132" i="140"/>
  <c r="E138" i="140"/>
  <c r="E140" i="140"/>
  <c r="N143" i="140"/>
  <c r="E143" i="140" s="1"/>
  <c r="N151" i="140"/>
  <c r="E151" i="140" s="1"/>
  <c r="E175" i="140"/>
  <c r="N225" i="140"/>
  <c r="E225" i="140" s="1"/>
  <c r="E294" i="140"/>
  <c r="E296" i="140"/>
  <c r="E371" i="140"/>
  <c r="N374" i="140"/>
  <c r="E374" i="140" s="1"/>
  <c r="E381" i="140"/>
  <c r="E387" i="140"/>
  <c r="E390" i="140"/>
  <c r="E398" i="140"/>
  <c r="E402" i="140"/>
  <c r="E413" i="140"/>
  <c r="E419" i="140"/>
  <c r="E421" i="140"/>
  <c r="N450" i="140"/>
  <c r="E450" i="140" s="1"/>
  <c r="N460" i="140"/>
  <c r="E523" i="140"/>
  <c r="E527" i="140"/>
  <c r="E548" i="140"/>
  <c r="S540" i="139"/>
  <c r="T540" i="139" s="1"/>
  <c r="S519" i="139"/>
  <c r="S529" i="139"/>
  <c r="S513" i="139"/>
  <c r="T513" i="139" s="1"/>
  <c r="N602" i="140"/>
  <c r="E602" i="140" s="1"/>
  <c r="N606" i="140"/>
  <c r="E606" i="140" s="1"/>
  <c r="E615" i="140"/>
  <c r="N198" i="140"/>
  <c r="E198" i="140" s="1"/>
  <c r="E248" i="140"/>
  <c r="E269" i="140"/>
  <c r="E329" i="140"/>
  <c r="N335" i="140"/>
  <c r="E335" i="140" s="1"/>
  <c r="N365" i="140"/>
  <c r="E365" i="140" s="1"/>
  <c r="E382" i="140"/>
  <c r="E388" i="140"/>
  <c r="F388" i="140" s="1"/>
  <c r="F389" i="140" s="1"/>
  <c r="S251" i="139" s="1"/>
  <c r="E401" i="140"/>
  <c r="N498" i="140"/>
  <c r="E498" i="140" s="1"/>
  <c r="E565" i="140"/>
  <c r="E620" i="140"/>
  <c r="S282" i="139"/>
  <c r="S520" i="139"/>
  <c r="S524" i="139"/>
  <c r="E70" i="140"/>
  <c r="E74" i="140"/>
  <c r="N114" i="140"/>
  <c r="E114" i="140" s="1"/>
  <c r="N124" i="140"/>
  <c r="E124" i="140" s="1"/>
  <c r="E182" i="140"/>
  <c r="E185" i="140"/>
  <c r="E209" i="140"/>
  <c r="E211" i="140"/>
  <c r="E245" i="140"/>
  <c r="E252" i="140"/>
  <c r="E265" i="140"/>
  <c r="E277" i="140"/>
  <c r="N300" i="140"/>
  <c r="E300" i="140" s="1"/>
  <c r="E313" i="140"/>
  <c r="E327" i="140"/>
  <c r="E333" i="140"/>
  <c r="E447" i="140"/>
  <c r="E475" i="140"/>
  <c r="E516" i="140"/>
  <c r="E520" i="140"/>
  <c r="E543" i="140"/>
  <c r="N546" i="140"/>
  <c r="E546" i="140" s="1"/>
  <c r="E589" i="140"/>
  <c r="N595" i="140"/>
  <c r="E595" i="140" s="1"/>
  <c r="S206" i="139"/>
  <c r="S207" i="139"/>
  <c r="E217" i="140"/>
  <c r="E267" i="140"/>
  <c r="S302" i="139"/>
  <c r="S296" i="139"/>
  <c r="S290" i="139"/>
  <c r="S278" i="139"/>
  <c r="T278" i="139" s="1"/>
  <c r="G278" i="139" s="1"/>
  <c r="E391" i="140"/>
  <c r="F391" i="140" s="1"/>
  <c r="S331" i="139"/>
  <c r="T331" i="139" s="1"/>
  <c r="E477" i="140"/>
  <c r="E490" i="140"/>
  <c r="E496" i="140"/>
  <c r="E571" i="140"/>
  <c r="E575" i="140"/>
  <c r="E579" i="140"/>
  <c r="S189" i="139"/>
  <c r="S325" i="139"/>
  <c r="T325" i="139" s="1"/>
  <c r="S328" i="139"/>
  <c r="T328" i="139" s="1"/>
  <c r="S514" i="139"/>
  <c r="T514" i="139" s="1"/>
  <c r="G514" i="139" s="1"/>
  <c r="E35" i="140"/>
  <c r="N53" i="140"/>
  <c r="E53" i="140" s="1"/>
  <c r="E85" i="140"/>
  <c r="E107" i="140"/>
  <c r="E190" i="140"/>
  <c r="E240" i="140"/>
  <c r="N298" i="140"/>
  <c r="E298" i="140" s="1"/>
  <c r="E320" i="140"/>
  <c r="N328" i="140"/>
  <c r="E328" i="140" s="1"/>
  <c r="E353" i="140"/>
  <c r="N415" i="140"/>
  <c r="E415" i="140" s="1"/>
  <c r="N427" i="140"/>
  <c r="E427" i="140" s="1"/>
  <c r="E435" i="140"/>
  <c r="E445" i="140"/>
  <c r="N448" i="140"/>
  <c r="E451" i="140"/>
  <c r="E461" i="140"/>
  <c r="E463" i="140"/>
  <c r="S479" i="139"/>
  <c r="S489" i="139"/>
  <c r="S486" i="139"/>
  <c r="S476" i="139"/>
  <c r="S468" i="139"/>
  <c r="S458" i="139"/>
  <c r="S482" i="139"/>
  <c r="S474" i="139"/>
  <c r="E506" i="140"/>
  <c r="N544" i="140"/>
  <c r="E544" i="140" s="1"/>
  <c r="E552" i="140"/>
  <c r="N14" i="140"/>
  <c r="E14" i="140" s="1"/>
  <c r="N22" i="140"/>
  <c r="E22" i="140" s="1"/>
  <c r="E58" i="140"/>
  <c r="E71" i="140"/>
  <c r="E81" i="140"/>
  <c r="E84" i="140"/>
  <c r="E98" i="140"/>
  <c r="E118" i="140"/>
  <c r="E122" i="140"/>
  <c r="E147" i="140"/>
  <c r="E149" i="140"/>
  <c r="E183" i="140"/>
  <c r="E236" i="140"/>
  <c r="E250" i="140"/>
  <c r="E287" i="140"/>
  <c r="E307" i="140"/>
  <c r="E324" i="140"/>
  <c r="E341" i="140"/>
  <c r="E345" i="140"/>
  <c r="N379" i="140"/>
  <c r="E379" i="140" s="1"/>
  <c r="E412" i="140"/>
  <c r="E416" i="140"/>
  <c r="E422" i="140"/>
  <c r="E430" i="140"/>
  <c r="N443" i="140"/>
  <c r="E443" i="140" s="1"/>
  <c r="E458" i="140"/>
  <c r="E464" i="140"/>
  <c r="E468" i="140"/>
  <c r="E472" i="140"/>
  <c r="N525" i="140"/>
  <c r="E525" i="140" s="1"/>
  <c r="E572" i="140"/>
  <c r="E574" i="140"/>
  <c r="E593" i="140"/>
  <c r="E618" i="140"/>
  <c r="E24" i="140"/>
  <c r="N39" i="140"/>
  <c r="E39" i="140" s="1"/>
  <c r="N68" i="140"/>
  <c r="E68" i="140" s="1"/>
  <c r="N76" i="140"/>
  <c r="E78" i="140"/>
  <c r="E145" i="140"/>
  <c r="E169" i="140"/>
  <c r="E176" i="140"/>
  <c r="E186" i="140"/>
  <c r="E199" i="140"/>
  <c r="E204" i="140"/>
  <c r="E206" i="140"/>
  <c r="E243" i="140"/>
  <c r="E260" i="140"/>
  <c r="S300" i="139"/>
  <c r="E274" i="140"/>
  <c r="N288" i="140"/>
  <c r="E288" i="140" s="1"/>
  <c r="E291" i="140"/>
  <c r="E297" i="140"/>
  <c r="E304" i="140"/>
  <c r="E318" i="140"/>
  <c r="N325" i="140"/>
  <c r="E325" i="140" s="1"/>
  <c r="N342" i="140"/>
  <c r="E342" i="140" s="1"/>
  <c r="E352" i="140"/>
  <c r="N423" i="140"/>
  <c r="E423" i="140" s="1"/>
  <c r="N441" i="140"/>
  <c r="E441" i="140" s="1"/>
  <c r="E454" i="140"/>
  <c r="N465" i="140"/>
  <c r="E465" i="140" s="1"/>
  <c r="N483" i="140"/>
  <c r="E483" i="140" s="1"/>
  <c r="N509" i="140"/>
  <c r="E509" i="140" s="1"/>
  <c r="N511" i="140"/>
  <c r="E511" i="140" s="1"/>
  <c r="E561" i="140"/>
  <c r="E570" i="140"/>
  <c r="N573" i="140"/>
  <c r="E573" i="140" s="1"/>
  <c r="E607" i="140"/>
  <c r="N628" i="140"/>
  <c r="E628" i="140" s="1"/>
  <c r="F628" i="140" s="1"/>
  <c r="N630" i="140"/>
  <c r="E630" i="140" s="1"/>
  <c r="S64" i="139"/>
  <c r="S67" i="139"/>
  <c r="S86" i="139"/>
  <c r="S104" i="139"/>
  <c r="S134" i="139"/>
  <c r="S137" i="139"/>
  <c r="S140" i="139"/>
  <c r="S146" i="139"/>
  <c r="S152" i="139"/>
  <c r="S197" i="139"/>
  <c r="S209" i="139"/>
  <c r="S214" i="139"/>
  <c r="E266" i="140"/>
  <c r="F266" i="140" s="1"/>
  <c r="F267" i="140" s="1"/>
  <c r="S53" i="139"/>
  <c r="S56" i="139"/>
  <c r="S59" i="139"/>
  <c r="S75" i="139"/>
  <c r="S80" i="139"/>
  <c r="S83" i="139"/>
  <c r="S131" i="139"/>
  <c r="T131" i="139" s="1"/>
  <c r="S192" i="139"/>
  <c r="S204" i="139"/>
  <c r="S216" i="139"/>
  <c r="S279" i="139"/>
  <c r="S299" i="139"/>
  <c r="E75" i="140"/>
  <c r="E131" i="140"/>
  <c r="E179" i="140"/>
  <c r="E512" i="140"/>
  <c r="S55" i="139"/>
  <c r="S82" i="139"/>
  <c r="S130" i="139"/>
  <c r="S201" i="139"/>
  <c r="S213" i="139"/>
  <c r="S58" i="139"/>
  <c r="S71" i="139"/>
  <c r="S74" i="139"/>
  <c r="S79" i="139"/>
  <c r="S97" i="139"/>
  <c r="S154" i="139"/>
  <c r="S191" i="139"/>
  <c r="S203" i="139"/>
  <c r="S285" i="139"/>
  <c r="E55" i="140"/>
  <c r="E72" i="140"/>
  <c r="E76" i="140"/>
  <c r="E93" i="140"/>
  <c r="E100" i="140"/>
  <c r="E109" i="140"/>
  <c r="E137" i="140"/>
  <c r="E392" i="140"/>
  <c r="N590" i="140"/>
  <c r="E590" i="140" s="1"/>
  <c r="S77" i="139"/>
  <c r="S157" i="139"/>
  <c r="S65" i="139"/>
  <c r="S87" i="139"/>
  <c r="S92" i="139"/>
  <c r="S100" i="139"/>
  <c r="S129" i="139"/>
  <c r="S135" i="139"/>
  <c r="S141" i="139"/>
  <c r="S144" i="139"/>
  <c r="S150" i="139"/>
  <c r="S165" i="139"/>
  <c r="S188" i="139"/>
  <c r="S198" i="139"/>
  <c r="S210" i="139"/>
  <c r="S277" i="139"/>
  <c r="T277" i="139" s="1"/>
  <c r="S288" i="139"/>
  <c r="N56" i="140"/>
  <c r="E56" i="140" s="1"/>
  <c r="N73" i="140"/>
  <c r="E73" i="140" s="1"/>
  <c r="N136" i="140"/>
  <c r="E136" i="140" s="1"/>
  <c r="N268" i="140"/>
  <c r="E268" i="140" s="1"/>
  <c r="E344" i="140"/>
  <c r="S54" i="139"/>
  <c r="S68" i="139"/>
  <c r="S73" i="139"/>
  <c r="S76" i="139"/>
  <c r="S89" i="139"/>
  <c r="S102" i="139"/>
  <c r="S132" i="139"/>
  <c r="T132" i="139" s="1"/>
  <c r="S138" i="139"/>
  <c r="S147" i="139"/>
  <c r="S153" i="139"/>
  <c r="S156" i="139"/>
  <c r="S159" i="139"/>
  <c r="S200" i="139"/>
  <c r="E80" i="140"/>
  <c r="S57" i="139"/>
  <c r="S62" i="139"/>
  <c r="S70" i="139"/>
  <c r="S84" i="139"/>
  <c r="S96" i="139"/>
  <c r="S99" i="139"/>
  <c r="S128" i="139"/>
  <c r="S143" i="139"/>
  <c r="S190" i="139"/>
  <c r="S195" i="139"/>
  <c r="S280" i="139"/>
  <c r="S287" i="139"/>
  <c r="E21" i="140"/>
  <c r="E38" i="140"/>
  <c r="E52" i="140"/>
  <c r="N119" i="140"/>
  <c r="E119" i="140" s="1"/>
  <c r="E255" i="140"/>
  <c r="E312" i="140"/>
  <c r="F312" i="140" s="1"/>
  <c r="E404" i="140"/>
  <c r="E448" i="140"/>
  <c r="S537" i="139"/>
  <c r="S533" i="139"/>
  <c r="S527" i="139"/>
  <c r="S532" i="139"/>
  <c r="S526" i="139"/>
  <c r="S536" i="139"/>
  <c r="S530" i="139"/>
  <c r="S523" i="139"/>
  <c r="N166" i="140"/>
  <c r="E166" i="140" s="1"/>
  <c r="N168" i="140"/>
  <c r="E168" i="140" s="1"/>
  <c r="E178" i="140"/>
  <c r="E187" i="140"/>
  <c r="N230" i="140"/>
  <c r="E230" i="140" s="1"/>
  <c r="N232" i="140"/>
  <c r="E232" i="140" s="1"/>
  <c r="E259" i="140"/>
  <c r="N377" i="140"/>
  <c r="E377" i="140" s="1"/>
  <c r="E383" i="140"/>
  <c r="E417" i="140"/>
  <c r="N420" i="140"/>
  <c r="E420" i="140" s="1"/>
  <c r="E459" i="140"/>
  <c r="N462" i="140"/>
  <c r="E462" i="140" s="1"/>
  <c r="N507" i="140"/>
  <c r="E507" i="140" s="1"/>
  <c r="E530" i="140"/>
  <c r="E554" i="140"/>
  <c r="E164" i="140"/>
  <c r="N218" i="140"/>
  <c r="E218" i="140" s="1"/>
  <c r="E228" i="140"/>
  <c r="E258" i="140"/>
  <c r="E299" i="140"/>
  <c r="N360" i="140"/>
  <c r="E360" i="140" s="1"/>
  <c r="E414" i="140"/>
  <c r="E431" i="140"/>
  <c r="N434" i="140"/>
  <c r="E434" i="140" s="1"/>
  <c r="E456" i="140"/>
  <c r="E460" i="140"/>
  <c r="E473" i="140"/>
  <c r="N476" i="140"/>
  <c r="E476" i="140" s="1"/>
  <c r="N521" i="140"/>
  <c r="E521" i="140" s="1"/>
  <c r="N576" i="140"/>
  <c r="E208" i="140"/>
  <c r="N235" i="140"/>
  <c r="E235" i="140" s="1"/>
  <c r="N271" i="140"/>
  <c r="E271" i="140" s="1"/>
  <c r="E347" i="140"/>
  <c r="E442" i="140"/>
  <c r="E446" i="140"/>
  <c r="E484" i="140"/>
  <c r="E513" i="140"/>
  <c r="E529" i="140"/>
  <c r="N532" i="140"/>
  <c r="E532" i="140" s="1"/>
  <c r="E559" i="140"/>
  <c r="E576" i="140"/>
  <c r="N146" i="140"/>
  <c r="E146" i="140" s="1"/>
  <c r="N148" i="140"/>
  <c r="E148" i="140" s="1"/>
  <c r="E163" i="140"/>
  <c r="N213" i="140"/>
  <c r="E213" i="140" s="1"/>
  <c r="N215" i="140"/>
  <c r="E215" i="140" s="1"/>
  <c r="E247" i="140"/>
  <c r="N285" i="140"/>
  <c r="E285" i="140" s="1"/>
  <c r="N330" i="140"/>
  <c r="E330" i="140" s="1"/>
  <c r="E432" i="140"/>
  <c r="E457" i="140"/>
  <c r="E504" i="140"/>
  <c r="N549" i="140"/>
  <c r="E549" i="140" s="1"/>
  <c r="N612" i="140"/>
  <c r="E612" i="140" s="1"/>
  <c r="N619" i="140"/>
  <c r="E619" i="140" s="1"/>
  <c r="F619" i="140" s="1"/>
  <c r="N621" i="140"/>
  <c r="E621" i="140" s="1"/>
  <c r="F309" i="140"/>
  <c r="H116" i="113"/>
  <c r="H388" i="113"/>
  <c r="Q104" i="113"/>
  <c r="H104" i="113" s="1"/>
  <c r="Q154" i="113"/>
  <c r="H154" i="113" s="1"/>
  <c r="Q240" i="113"/>
  <c r="H240" i="113" s="1"/>
  <c r="Q308" i="113"/>
  <c r="Q388" i="113"/>
  <c r="Q48" i="113"/>
  <c r="H86" i="113"/>
  <c r="Q306" i="113"/>
  <c r="Q322" i="113"/>
  <c r="H120" i="113"/>
  <c r="Q54" i="113"/>
  <c r="Q84" i="113"/>
  <c r="H100" i="113"/>
  <c r="Q232" i="113"/>
  <c r="Q234" i="113"/>
  <c r="Q270" i="113"/>
  <c r="H270" i="113" s="1"/>
  <c r="Q274" i="113"/>
  <c r="Q278" i="113"/>
  <c r="H310" i="113"/>
  <c r="H384" i="113"/>
  <c r="F485" i="115"/>
  <c r="F489" i="115" s="1"/>
  <c r="H82" i="113"/>
  <c r="Q394" i="113"/>
  <c r="H394" i="113" s="1"/>
  <c r="Q250" i="113"/>
  <c r="H250" i="113" s="1"/>
  <c r="Q254" i="113"/>
  <c r="Q258" i="113"/>
  <c r="H258" i="113" s="1"/>
  <c r="Q314" i="113"/>
  <c r="H314" i="113" s="1"/>
  <c r="Q318" i="113"/>
  <c r="Q326" i="113"/>
  <c r="H326" i="113" s="1"/>
  <c r="Q78" i="113"/>
  <c r="Q338" i="113"/>
  <c r="Q92" i="113"/>
  <c r="H92" i="113" s="1"/>
  <c r="Q146" i="113"/>
  <c r="Q156" i="113"/>
  <c r="H204" i="113"/>
  <c r="Q310" i="113"/>
  <c r="Q368" i="113"/>
  <c r="Q380" i="113"/>
  <c r="E77" i="110"/>
  <c r="E119" i="110"/>
  <c r="R16" i="110"/>
  <c r="N113" i="110"/>
  <c r="E79" i="110"/>
  <c r="E88" i="110"/>
  <c r="R107" i="110"/>
  <c r="R24" i="134"/>
  <c r="R31" i="134"/>
  <c r="R5" i="110"/>
  <c r="R115" i="110"/>
  <c r="E6" i="110"/>
  <c r="N9" i="110"/>
  <c r="E9" i="110" s="1"/>
  <c r="N13" i="110"/>
  <c r="E13" i="110" s="1"/>
  <c r="N63" i="110"/>
  <c r="E63" i="110" s="1"/>
  <c r="E73" i="110"/>
  <c r="E81" i="110"/>
  <c r="E101" i="110"/>
  <c r="N121" i="110"/>
  <c r="R23" i="134"/>
  <c r="E42" i="110"/>
  <c r="N47" i="110"/>
  <c r="E47" i="110" s="1"/>
  <c r="E51" i="110"/>
  <c r="N67" i="110"/>
  <c r="E67" i="110" s="1"/>
  <c r="R102" i="110"/>
  <c r="E16" i="110"/>
  <c r="E31" i="110"/>
  <c r="E93" i="110"/>
  <c r="E25" i="110"/>
  <c r="N38" i="110"/>
  <c r="E38" i="110" s="1"/>
  <c r="N53" i="110"/>
  <c r="E53" i="110" s="1"/>
  <c r="N103" i="110"/>
  <c r="E103" i="110" s="1"/>
  <c r="N105" i="110"/>
  <c r="N107" i="110"/>
  <c r="E109" i="110"/>
  <c r="N131" i="110"/>
  <c r="N133" i="110"/>
  <c r="N135" i="110"/>
  <c r="N137" i="110"/>
  <c r="R148" i="110"/>
  <c r="R123" i="110"/>
  <c r="R109" i="110"/>
  <c r="R62" i="110"/>
  <c r="R14" i="110"/>
  <c r="R119" i="110"/>
  <c r="R101" i="110"/>
  <c r="R58" i="110"/>
  <c r="R11" i="110"/>
  <c r="R6" i="110"/>
  <c r="R116" i="110"/>
  <c r="R108" i="110"/>
  <c r="R61" i="110"/>
  <c r="R36" i="110"/>
  <c r="R24" i="110"/>
  <c r="R27" i="110"/>
  <c r="R125" i="110"/>
  <c r="R20" i="110"/>
  <c r="R34" i="110"/>
  <c r="R64" i="110"/>
  <c r="R126" i="110"/>
  <c r="R153" i="110"/>
  <c r="R137" i="110"/>
  <c r="R118" i="110"/>
  <c r="R117" i="110"/>
  <c r="R100" i="110"/>
  <c r="R98" i="110"/>
  <c r="R96" i="110"/>
  <c r="R94" i="110"/>
  <c r="R92" i="110"/>
  <c r="R90" i="110"/>
  <c r="R89" i="110"/>
  <c r="R87" i="110"/>
  <c r="S87" i="110" s="1"/>
  <c r="R72" i="110"/>
  <c r="R56" i="110"/>
  <c r="R55" i="110"/>
  <c r="R41" i="110"/>
  <c r="R40" i="110"/>
  <c r="R33" i="110"/>
  <c r="R4" i="110"/>
  <c r="R151" i="110"/>
  <c r="R150" i="110"/>
  <c r="R132" i="110"/>
  <c r="R130" i="110"/>
  <c r="R114" i="110"/>
  <c r="R113" i="110"/>
  <c r="R68" i="110"/>
  <c r="R67" i="110"/>
  <c r="R52" i="110"/>
  <c r="R51" i="110"/>
  <c r="R30" i="110"/>
  <c r="R154" i="110"/>
  <c r="R149" i="110"/>
  <c r="R112" i="110"/>
  <c r="R111" i="110"/>
  <c r="R66" i="110"/>
  <c r="R50" i="110"/>
  <c r="R49" i="110"/>
  <c r="R29" i="110"/>
  <c r="R21" i="110"/>
  <c r="R145" i="110"/>
  <c r="R144" i="110"/>
  <c r="R141" i="110"/>
  <c r="R140" i="110"/>
  <c r="R122" i="110"/>
  <c r="R121" i="110"/>
  <c r="R106" i="110"/>
  <c r="R105" i="110"/>
  <c r="R103" i="110"/>
  <c r="R60" i="110"/>
  <c r="R44" i="110"/>
  <c r="R43" i="110"/>
  <c r="R33" i="134"/>
  <c r="R15" i="110"/>
  <c r="R28" i="110"/>
  <c r="E30" i="110"/>
  <c r="R46" i="110"/>
  <c r="R54" i="110"/>
  <c r="R69" i="110"/>
  <c r="E71" i="110"/>
  <c r="E99" i="110"/>
  <c r="E113" i="110"/>
  <c r="R135" i="110"/>
  <c r="E137" i="110"/>
  <c r="E147" i="110"/>
  <c r="E55" i="110"/>
  <c r="R139" i="110"/>
  <c r="E150" i="110"/>
  <c r="R7" i="110"/>
  <c r="R8" i="110"/>
  <c r="R12" i="110"/>
  <c r="R19" i="110"/>
  <c r="R26" i="110"/>
  <c r="E28" i="110"/>
  <c r="R32" i="110"/>
  <c r="R39" i="110"/>
  <c r="R57" i="110"/>
  <c r="R63" i="110"/>
  <c r="E97" i="110"/>
  <c r="R110" i="110"/>
  <c r="R124" i="110"/>
  <c r="R138" i="110"/>
  <c r="E36" i="110"/>
  <c r="E5" i="110"/>
  <c r="R9" i="110"/>
  <c r="R17" i="110"/>
  <c r="R18" i="110"/>
  <c r="R31" i="110"/>
  <c r="E34" i="110"/>
  <c r="R48" i="110"/>
  <c r="E91" i="110"/>
  <c r="R133" i="110"/>
  <c r="R143" i="110"/>
  <c r="R147" i="110"/>
  <c r="E33" i="110"/>
  <c r="E7" i="110"/>
  <c r="E12" i="110"/>
  <c r="E19" i="110"/>
  <c r="R25" i="110"/>
  <c r="R37" i="110"/>
  <c r="R42" i="110"/>
  <c r="N59" i="110"/>
  <c r="R70" i="110"/>
  <c r="E95" i="110"/>
  <c r="N115" i="110"/>
  <c r="E115" i="110" s="1"/>
  <c r="N125" i="110"/>
  <c r="E125" i="110" s="1"/>
  <c r="E129" i="110"/>
  <c r="R136" i="110"/>
  <c r="E138" i="110"/>
  <c r="N140" i="110"/>
  <c r="R142" i="110"/>
  <c r="R146" i="110"/>
  <c r="E69" i="110"/>
  <c r="E131" i="110"/>
  <c r="E133" i="110"/>
  <c r="E135" i="110"/>
  <c r="E152" i="110"/>
  <c r="E157" i="110" s="1"/>
  <c r="E40" i="110"/>
  <c r="E43" i="110"/>
  <c r="E105" i="110"/>
  <c r="E121" i="110"/>
  <c r="E140" i="110"/>
  <c r="E18" i="110"/>
  <c r="E45" i="110"/>
  <c r="E61" i="110"/>
  <c r="E107" i="110"/>
  <c r="E123" i="110"/>
  <c r="E142" i="110"/>
  <c r="E146" i="110"/>
  <c r="E10" i="110"/>
  <c r="E21" i="110"/>
  <c r="E23" i="110"/>
  <c r="E26" i="110"/>
  <c r="E29" i="110"/>
  <c r="E49" i="110"/>
  <c r="E65" i="110"/>
  <c r="E111" i="110"/>
  <c r="E127" i="110"/>
  <c r="E149" i="110"/>
  <c r="E154" i="110"/>
  <c r="U413" i="123"/>
  <c r="W413" i="123"/>
  <c r="X413" i="123"/>
  <c r="V413" i="123"/>
  <c r="G46" i="123"/>
  <c r="H46" i="123" s="1"/>
  <c r="F201" i="124" s="1"/>
  <c r="F202" i="124" s="1"/>
  <c r="F203" i="124" s="1"/>
  <c r="Y413" i="123"/>
  <c r="U505" i="123"/>
  <c r="V505" i="123"/>
  <c r="W505" i="123"/>
  <c r="X505" i="123"/>
  <c r="Y505" i="123"/>
  <c r="AA28" i="122"/>
  <c r="AA29" i="122" s="1"/>
  <c r="AA30" i="122" s="1"/>
  <c r="AA31" i="122" s="1"/>
  <c r="Y28" i="122"/>
  <c r="Y29" i="122" s="1"/>
  <c r="Y30" i="122" s="1"/>
  <c r="Y31" i="122" s="1"/>
  <c r="W54" i="122"/>
  <c r="W55" i="122" s="1"/>
  <c r="W56" i="122" s="1"/>
  <c r="AA53" i="122"/>
  <c r="AA54" i="122" s="1"/>
  <c r="AA55" i="122" s="1"/>
  <c r="AA56" i="122" s="1"/>
  <c r="AB53" i="122"/>
  <c r="AB54" i="122" s="1"/>
  <c r="AB55" i="122" s="1"/>
  <c r="AB56" i="122" s="1"/>
  <c r="Y53" i="122"/>
  <c r="Y54" i="122" s="1"/>
  <c r="Y55" i="122" s="1"/>
  <c r="Y56" i="122" s="1"/>
  <c r="X53" i="122"/>
  <c r="X54" i="122" s="1"/>
  <c r="X55" i="122" s="1"/>
  <c r="X56" i="122" s="1"/>
  <c r="Z53" i="122"/>
  <c r="Z54" i="122" s="1"/>
  <c r="Z55" i="122" s="1"/>
  <c r="Z56" i="122" s="1"/>
  <c r="E15" i="119"/>
  <c r="E50" i="119"/>
  <c r="E63" i="119"/>
  <c r="E101" i="119"/>
  <c r="E20" i="119"/>
  <c r="E29" i="119"/>
  <c r="E58" i="119"/>
  <c r="E68" i="119"/>
  <c r="E89" i="119"/>
  <c r="E124" i="119"/>
  <c r="E168" i="119"/>
  <c r="E203" i="119"/>
  <c r="E208" i="119"/>
  <c r="E219" i="119"/>
  <c r="E243" i="119"/>
  <c r="E8" i="119"/>
  <c r="E11" i="119"/>
  <c r="E121" i="119"/>
  <c r="E159" i="119"/>
  <c r="E176" i="119"/>
  <c r="E258" i="119"/>
  <c r="R183" i="119"/>
  <c r="R94" i="119"/>
  <c r="R87" i="119"/>
  <c r="R80" i="119"/>
  <c r="R55" i="119"/>
  <c r="R34" i="119"/>
  <c r="R27" i="119"/>
  <c r="R20" i="119"/>
  <c r="R16" i="119"/>
  <c r="R173" i="119"/>
  <c r="R137" i="119"/>
  <c r="R108" i="119"/>
  <c r="R63" i="119"/>
  <c r="R41" i="119"/>
  <c r="R256" i="119"/>
  <c r="R252" i="119"/>
  <c r="R248" i="119"/>
  <c r="R241" i="119"/>
  <c r="R234" i="119"/>
  <c r="R211" i="119"/>
  <c r="R204" i="119"/>
  <c r="R201" i="119"/>
  <c r="R194" i="119"/>
  <c r="R191" i="119"/>
  <c r="R184" i="119"/>
  <c r="R181" i="119"/>
  <c r="R174" i="119"/>
  <c r="R171" i="119"/>
  <c r="R24" i="119"/>
  <c r="R36" i="119"/>
  <c r="R39" i="119"/>
  <c r="E43" i="119"/>
  <c r="R75" i="119"/>
  <c r="R78" i="119"/>
  <c r="R84" i="119"/>
  <c r="R96" i="119"/>
  <c r="R99" i="119"/>
  <c r="E103" i="119"/>
  <c r="R110" i="119"/>
  <c r="E118" i="119"/>
  <c r="E140" i="119"/>
  <c r="R142" i="119"/>
  <c r="R145" i="119"/>
  <c r="R148" i="119"/>
  <c r="R151" i="119"/>
  <c r="R154" i="119"/>
  <c r="R157" i="119"/>
  <c r="R163" i="119"/>
  <c r="E173" i="119"/>
  <c r="E178" i="119"/>
  <c r="R185" i="119"/>
  <c r="R212" i="119"/>
  <c r="R220" i="119"/>
  <c r="E229" i="119"/>
  <c r="R253" i="119"/>
  <c r="E260" i="119"/>
  <c r="E73" i="119"/>
  <c r="E239" i="119"/>
  <c r="E36" i="119"/>
  <c r="E75" i="119"/>
  <c r="E96" i="119"/>
  <c r="R168" i="119"/>
  <c r="E196" i="119"/>
  <c r="R200" i="119"/>
  <c r="R208" i="119"/>
  <c r="E223" i="119"/>
  <c r="E236" i="119"/>
  <c r="E250" i="119"/>
  <c r="R255" i="119"/>
  <c r="R14" i="119"/>
  <c r="R26" i="119"/>
  <c r="R52" i="119"/>
  <c r="R86" i="119"/>
  <c r="R112" i="119"/>
  <c r="E130" i="119"/>
  <c r="R165" i="119"/>
  <c r="R205" i="119"/>
  <c r="R240" i="119"/>
  <c r="R245" i="119"/>
  <c r="R260" i="119"/>
  <c r="R13" i="119"/>
  <c r="R17" i="119"/>
  <c r="E26" i="119"/>
  <c r="R28" i="119"/>
  <c r="E33" i="119"/>
  <c r="R35" i="119"/>
  <c r="E40" i="119"/>
  <c r="R42" i="119"/>
  <c r="R49" i="119"/>
  <c r="R56" i="119"/>
  <c r="E65" i="119"/>
  <c r="R67" i="119"/>
  <c r="E72" i="119"/>
  <c r="R74" i="119"/>
  <c r="E79" i="119"/>
  <c r="E86" i="119"/>
  <c r="R88" i="119"/>
  <c r="E93" i="119"/>
  <c r="R95" i="119"/>
  <c r="R102" i="119"/>
  <c r="R109" i="119"/>
  <c r="E114" i="119"/>
  <c r="E117" i="119"/>
  <c r="E120" i="119"/>
  <c r="E123" i="119"/>
  <c r="E126" i="119"/>
  <c r="E129" i="119"/>
  <c r="R135" i="119"/>
  <c r="S135" i="119" s="1"/>
  <c r="E139" i="119"/>
  <c r="E143" i="119"/>
  <c r="E146" i="119"/>
  <c r="E149" i="119"/>
  <c r="E152" i="119"/>
  <c r="E155" i="119"/>
  <c r="E158" i="119"/>
  <c r="E165" i="119"/>
  <c r="R167" i="119"/>
  <c r="E172" i="119"/>
  <c r="E175" i="119"/>
  <c r="R177" i="119"/>
  <c r="E182" i="119"/>
  <c r="E185" i="119"/>
  <c r="R187" i="119"/>
  <c r="E192" i="119"/>
  <c r="E195" i="119"/>
  <c r="R197" i="119"/>
  <c r="R207" i="119"/>
  <c r="R217" i="119"/>
  <c r="R227" i="119"/>
  <c r="R237" i="119"/>
  <c r="R244" i="119"/>
  <c r="E249" i="119"/>
  <c r="E253" i="119"/>
  <c r="E257" i="119"/>
  <c r="R259" i="119"/>
  <c r="E25" i="119"/>
  <c r="E32" i="119"/>
  <c r="E60" i="119"/>
  <c r="E78" i="119"/>
  <c r="E85" i="119"/>
  <c r="E92" i="119"/>
  <c r="E99" i="119"/>
  <c r="E106" i="119"/>
  <c r="E171" i="119"/>
  <c r="R216" i="119"/>
  <c r="E241" i="119"/>
  <c r="R243" i="119"/>
  <c r="E252" i="119"/>
  <c r="E256" i="119"/>
  <c r="R8" i="119"/>
  <c r="E13" i="119"/>
  <c r="E21" i="119"/>
  <c r="E28" i="119"/>
  <c r="E35" i="119"/>
  <c r="R37" i="119"/>
  <c r="E42" i="119"/>
  <c r="R44" i="119"/>
  <c r="E49" i="119"/>
  <c r="R51" i="119"/>
  <c r="E56" i="119"/>
  <c r="R66" i="119"/>
  <c r="R73" i="119"/>
  <c r="E81" i="119"/>
  <c r="E88" i="119"/>
  <c r="R90" i="119"/>
  <c r="E95" i="119"/>
  <c r="R97" i="119"/>
  <c r="E102" i="119"/>
  <c r="R104" i="119"/>
  <c r="E109" i="119"/>
  <c r="R115" i="119"/>
  <c r="R118" i="119"/>
  <c r="R121" i="119"/>
  <c r="R124" i="119"/>
  <c r="R127" i="119"/>
  <c r="R130" i="119"/>
  <c r="R140" i="119"/>
  <c r="R159" i="119"/>
  <c r="R166" i="119"/>
  <c r="R176" i="119"/>
  <c r="R186" i="119"/>
  <c r="R196" i="119"/>
  <c r="R206" i="119"/>
  <c r="E214" i="119"/>
  <c r="E217" i="119"/>
  <c r="R219" i="119"/>
  <c r="E224" i="119"/>
  <c r="E227" i="119"/>
  <c r="R229" i="119"/>
  <c r="R232" i="119"/>
  <c r="E237" i="119"/>
  <c r="R239" i="119"/>
  <c r="E244" i="119"/>
  <c r="R246" i="119"/>
  <c r="R250" i="119"/>
  <c r="R254" i="119"/>
  <c r="R258" i="119"/>
  <c r="E39" i="119"/>
  <c r="E46" i="119"/>
  <c r="E53" i="119"/>
  <c r="E71" i="119"/>
  <c r="E113" i="119"/>
  <c r="E142" i="119"/>
  <c r="E145" i="119"/>
  <c r="E148" i="119"/>
  <c r="E151" i="119"/>
  <c r="E154" i="119"/>
  <c r="E157" i="119"/>
  <c r="E161" i="119"/>
  <c r="E164" i="119"/>
  <c r="E181" i="119"/>
  <c r="E191" i="119"/>
  <c r="R193" i="119"/>
  <c r="E201" i="119"/>
  <c r="R203" i="119"/>
  <c r="E211" i="119"/>
  <c r="R223" i="119"/>
  <c r="R226" i="119"/>
  <c r="E231" i="119"/>
  <c r="E234" i="119"/>
  <c r="R236" i="119"/>
  <c r="E248" i="119"/>
  <c r="F264" i="119" s="1"/>
  <c r="E9" i="119"/>
  <c r="R11" i="119"/>
  <c r="R15" i="119"/>
  <c r="R19" i="119"/>
  <c r="R23" i="119"/>
  <c r="R30" i="119"/>
  <c r="E38" i="119"/>
  <c r="E45" i="119"/>
  <c r="R47" i="119"/>
  <c r="E52" i="119"/>
  <c r="R54" i="119"/>
  <c r="E59" i="119"/>
  <c r="R69" i="119"/>
  <c r="R76" i="119"/>
  <c r="R83" i="119"/>
  <c r="E91" i="119"/>
  <c r="E98" i="119"/>
  <c r="R100" i="119"/>
  <c r="E105" i="119"/>
  <c r="R107" i="119"/>
  <c r="E112" i="119"/>
  <c r="E141" i="119"/>
  <c r="E160" i="119"/>
  <c r="R162" i="119"/>
  <c r="R169" i="119"/>
  <c r="R179" i="119"/>
  <c r="R189" i="119"/>
  <c r="R199" i="119"/>
  <c r="R209" i="119"/>
  <c r="R215" i="119"/>
  <c r="E220" i="119"/>
  <c r="R222" i="119"/>
  <c r="R225" i="119"/>
  <c r="E230" i="119"/>
  <c r="E233" i="119"/>
  <c r="R235" i="119"/>
  <c r="E240" i="119"/>
  <c r="E247" i="119"/>
  <c r="E251" i="119"/>
  <c r="E255" i="119"/>
  <c r="R35" i="134"/>
  <c r="R51" i="134"/>
  <c r="R66" i="134"/>
  <c r="R69" i="134"/>
  <c r="R112" i="134"/>
  <c r="S112" i="134" s="1"/>
  <c r="R204" i="134"/>
  <c r="R29" i="134"/>
  <c r="R63" i="134"/>
  <c r="R86" i="134"/>
  <c r="R140" i="134"/>
  <c r="R154" i="134"/>
  <c r="R196" i="134"/>
  <c r="R182" i="134"/>
  <c r="R157" i="134"/>
  <c r="R149" i="134"/>
  <c r="R139" i="134"/>
  <c r="R130" i="134"/>
  <c r="R57" i="134"/>
  <c r="R53" i="134"/>
  <c r="R203" i="134"/>
  <c r="R200" i="134"/>
  <c r="R179" i="134"/>
  <c r="R176" i="134"/>
  <c r="R171" i="134"/>
  <c r="R168" i="134"/>
  <c r="R146" i="134"/>
  <c r="R133" i="134"/>
  <c r="R124" i="134"/>
  <c r="R118" i="134"/>
  <c r="R79" i="134"/>
  <c r="R72" i="134"/>
  <c r="R187" i="134"/>
  <c r="R114" i="134"/>
  <c r="R82" i="134"/>
  <c r="R121" i="134"/>
  <c r="R111" i="134"/>
  <c r="S111" i="134" s="1"/>
  <c r="R11" i="134"/>
  <c r="R38" i="134"/>
  <c r="R115" i="134"/>
  <c r="R125" i="134"/>
  <c r="R197" i="134"/>
  <c r="R10" i="134"/>
  <c r="R26" i="134"/>
  <c r="N9" i="134"/>
  <c r="E9" i="134" s="1"/>
  <c r="R46" i="134"/>
  <c r="R83" i="134"/>
  <c r="R137" i="134"/>
  <c r="R7" i="134"/>
  <c r="R20" i="134"/>
  <c r="R43" i="134"/>
  <c r="R55" i="134"/>
  <c r="R80" i="134"/>
  <c r="R134" i="134"/>
  <c r="R147" i="134"/>
  <c r="R188" i="134"/>
  <c r="R16" i="134"/>
  <c r="R28" i="134"/>
  <c r="E35" i="134"/>
  <c r="R37" i="134"/>
  <c r="R40" i="134"/>
  <c r="R48" i="134"/>
  <c r="E83" i="134"/>
  <c r="R85" i="134"/>
  <c r="R88" i="134"/>
  <c r="R91" i="134"/>
  <c r="R94" i="134"/>
  <c r="R97" i="134"/>
  <c r="R100" i="134"/>
  <c r="R103" i="134"/>
  <c r="R110" i="134"/>
  <c r="S110" i="134" s="1"/>
  <c r="E115" i="134"/>
  <c r="R117" i="134"/>
  <c r="R142" i="134"/>
  <c r="R145" i="134"/>
  <c r="E150" i="134"/>
  <c r="F211" i="134" s="1"/>
  <c r="R161" i="134"/>
  <c r="R164" i="134"/>
  <c r="R167" i="134"/>
  <c r="R178" i="134"/>
  <c r="E183" i="134"/>
  <c r="R190" i="134"/>
  <c r="R193" i="134"/>
  <c r="E197" i="134"/>
  <c r="R199" i="134"/>
  <c r="R202" i="134"/>
  <c r="R9" i="134"/>
  <c r="E38" i="134"/>
  <c r="R45" i="134"/>
  <c r="R56" i="134"/>
  <c r="R59" i="134"/>
  <c r="R65" i="134"/>
  <c r="R81" i="134"/>
  <c r="E89" i="134"/>
  <c r="E92" i="134"/>
  <c r="E95" i="134"/>
  <c r="E98" i="134"/>
  <c r="E101" i="134"/>
  <c r="E104" i="134"/>
  <c r="E111" i="134"/>
  <c r="E118" i="134"/>
  <c r="R120" i="134"/>
  <c r="R123" i="134"/>
  <c r="E143" i="134"/>
  <c r="E146" i="134"/>
  <c r="R148" i="134"/>
  <c r="R151" i="134"/>
  <c r="E159" i="134"/>
  <c r="E162" i="134"/>
  <c r="E165" i="134"/>
  <c r="E168" i="134"/>
  <c r="R170" i="134"/>
  <c r="R173" i="134"/>
  <c r="E179" i="134"/>
  <c r="R181" i="134"/>
  <c r="R184" i="134"/>
  <c r="E191" i="134"/>
  <c r="E194" i="134"/>
  <c r="E200" i="134"/>
  <c r="E203" i="134"/>
  <c r="R205" i="134"/>
  <c r="R208" i="134"/>
  <c r="R119" i="134"/>
  <c r="E11" i="134"/>
  <c r="E112" i="134"/>
  <c r="F216" i="134" s="1"/>
  <c r="E207" i="134"/>
  <c r="F212" i="134" s="1"/>
  <c r="R12" i="134"/>
  <c r="R15" i="134"/>
  <c r="R27" i="134"/>
  <c r="R52" i="134"/>
  <c r="E57" i="134"/>
  <c r="E82" i="134"/>
  <c r="R113" i="134"/>
  <c r="S113" i="134" s="1"/>
  <c r="F113" i="134" s="1"/>
  <c r="R126" i="134"/>
  <c r="E130" i="134"/>
  <c r="R135" i="134"/>
  <c r="R138" i="134"/>
  <c r="R141" i="134"/>
  <c r="E149" i="134"/>
  <c r="E174" i="134"/>
  <c r="E182" i="134"/>
  <c r="E187" i="134"/>
  <c r="R189" i="134"/>
  <c r="R192" i="134"/>
  <c r="R195" i="134"/>
  <c r="E206" i="134"/>
  <c r="R8" i="134"/>
  <c r="E13" i="134"/>
  <c r="E16" i="134"/>
  <c r="R18" i="134"/>
  <c r="R21" i="134"/>
  <c r="E25" i="134"/>
  <c r="E28" i="134"/>
  <c r="R30" i="134"/>
  <c r="E34" i="134"/>
  <c r="R36" i="134"/>
  <c r="R41" i="134"/>
  <c r="R44" i="134"/>
  <c r="R49" i="134"/>
  <c r="R61" i="134"/>
  <c r="R64" i="134"/>
  <c r="R84" i="134"/>
  <c r="R87" i="134"/>
  <c r="R90" i="134"/>
  <c r="R93" i="134"/>
  <c r="R96" i="134"/>
  <c r="R99" i="134"/>
  <c r="R102" i="134"/>
  <c r="R105" i="134"/>
  <c r="R116" i="134"/>
  <c r="E127" i="134"/>
  <c r="E142" i="134"/>
  <c r="R144" i="134"/>
  <c r="E153" i="134"/>
  <c r="R160" i="134"/>
  <c r="R163" i="134"/>
  <c r="R166" i="134"/>
  <c r="R172" i="134"/>
  <c r="R175" i="134"/>
  <c r="R180" i="134"/>
  <c r="E190" i="134"/>
  <c r="E193" i="134"/>
  <c r="R198" i="134"/>
  <c r="E31" i="126"/>
  <c r="E102" i="126"/>
  <c r="E109" i="126"/>
  <c r="E123" i="126"/>
  <c r="E126" i="126"/>
  <c r="E137" i="126"/>
  <c r="F258" i="126" s="1"/>
  <c r="E140" i="126"/>
  <c r="E156" i="126"/>
  <c r="E163" i="126"/>
  <c r="E166" i="126"/>
  <c r="E176" i="126"/>
  <c r="E187" i="126"/>
  <c r="E203" i="126"/>
  <c r="E17" i="126"/>
  <c r="E38" i="126"/>
  <c r="E59" i="126"/>
  <c r="E72" i="126"/>
  <c r="E76" i="126"/>
  <c r="E83" i="126"/>
  <c r="E88" i="126"/>
  <c r="E91" i="126"/>
  <c r="E112" i="126"/>
  <c r="E129" i="126"/>
  <c r="E143" i="126"/>
  <c r="E159" i="126"/>
  <c r="E182" i="126"/>
  <c r="E199" i="126"/>
  <c r="E206" i="126"/>
  <c r="E216" i="126"/>
  <c r="E234" i="126"/>
  <c r="E43" i="126"/>
  <c r="E108" i="126"/>
  <c r="E146" i="126"/>
  <c r="E209" i="126"/>
  <c r="E221" i="126"/>
  <c r="E237" i="126"/>
  <c r="E241" i="126"/>
  <c r="E244" i="126"/>
  <c r="E13" i="126"/>
  <c r="E16" i="126"/>
  <c r="E23" i="126"/>
  <c r="E30" i="126"/>
  <c r="E46" i="126"/>
  <c r="E58" i="126"/>
  <c r="E75" i="126"/>
  <c r="E82" i="126"/>
  <c r="E87" i="126"/>
  <c r="E111" i="126"/>
  <c r="E118" i="126"/>
  <c r="E162" i="126"/>
  <c r="E181" i="126"/>
  <c r="E189" i="126"/>
  <c r="E205" i="126"/>
  <c r="E228" i="126"/>
  <c r="E233" i="126"/>
  <c r="E20" i="126"/>
  <c r="E50" i="126"/>
  <c r="E79" i="126"/>
  <c r="E101" i="126"/>
  <c r="E115" i="126"/>
  <c r="E122" i="126"/>
  <c r="E152" i="126"/>
  <c r="E175" i="126"/>
  <c r="E178" i="126"/>
  <c r="E194" i="126"/>
  <c r="E202" i="126"/>
  <c r="E247" i="126"/>
  <c r="E9" i="126"/>
  <c r="E19" i="126"/>
  <c r="E26" i="126"/>
  <c r="E33" i="126"/>
  <c r="E37" i="126"/>
  <c r="E42" i="126"/>
  <c r="E49" i="126"/>
  <c r="E54" i="126"/>
  <c r="E64" i="126"/>
  <c r="E78" i="126"/>
  <c r="E97" i="126"/>
  <c r="E121" i="126"/>
  <c r="E148" i="126"/>
  <c r="E151" i="126"/>
  <c r="E174" i="126"/>
  <c r="E184" i="126"/>
  <c r="E198" i="126"/>
  <c r="E208" i="126"/>
  <c r="E220" i="126"/>
  <c r="E224" i="126"/>
  <c r="F254" i="126" s="1"/>
  <c r="E236" i="126"/>
  <c r="E240" i="126"/>
  <c r="E250" i="126"/>
  <c r="F623" i="131"/>
  <c r="D90" i="98"/>
  <c r="D117" i="98"/>
  <c r="D137" i="98"/>
  <c r="H225" i="126" s="1"/>
  <c r="E225" i="126" s="1"/>
  <c r="D102" i="98"/>
  <c r="D95" i="98"/>
  <c r="H85" i="126" s="1"/>
  <c r="E85" i="126" s="1"/>
  <c r="H29" i="134"/>
  <c r="E29" i="134" s="1"/>
  <c r="D68" i="98"/>
  <c r="H71" i="126" s="1"/>
  <c r="E71" i="126" s="1"/>
  <c r="D107" i="98"/>
  <c r="H77" i="126" s="1"/>
  <c r="E77" i="126" s="1"/>
  <c r="H39" i="126"/>
  <c r="E39" i="126" s="1"/>
  <c r="D181" i="98"/>
  <c r="U444" i="139" s="1"/>
  <c r="U445" i="139" s="1"/>
  <c r="F215" i="134"/>
  <c r="D112" i="98"/>
  <c r="H190" i="126" s="1"/>
  <c r="E190" i="126" s="1"/>
  <c r="D127" i="98"/>
  <c r="H217" i="126" s="1"/>
  <c r="E217" i="126" s="1"/>
  <c r="H139" i="134"/>
  <c r="E139" i="134" s="1"/>
  <c r="D205" i="98"/>
  <c r="V341" i="139" s="1"/>
  <c r="V342" i="139" s="1"/>
  <c r="H98" i="126"/>
  <c r="E98" i="126" s="1"/>
  <c r="H246" i="126"/>
  <c r="E246" i="126" s="1"/>
  <c r="H66" i="134"/>
  <c r="E66" i="134" s="1"/>
  <c r="Y48" i="130"/>
  <c r="Y49" i="130" s="1"/>
  <c r="Y50" i="130" s="1"/>
  <c r="F95" i="126"/>
  <c r="Z48" i="130"/>
  <c r="Z49" i="130" s="1"/>
  <c r="Z50" i="130" s="1"/>
  <c r="F135" i="126"/>
  <c r="V48" i="130"/>
  <c r="V49" i="130" s="1"/>
  <c r="V50" i="130" s="1"/>
  <c r="H48" i="134"/>
  <c r="E48" i="134" s="1"/>
  <c r="H204" i="134"/>
  <c r="E204" i="134" s="1"/>
  <c r="H180" i="134"/>
  <c r="E180" i="134" s="1"/>
  <c r="H148" i="134"/>
  <c r="E148" i="134" s="1"/>
  <c r="H117" i="134"/>
  <c r="E117" i="134" s="1"/>
  <c r="H17" i="134"/>
  <c r="E17" i="134" s="1"/>
  <c r="H195" i="126"/>
  <c r="E195" i="126" s="1"/>
  <c r="H104" i="126"/>
  <c r="E104" i="126" s="1"/>
  <c r="H202" i="134"/>
  <c r="E202" i="134" s="1"/>
  <c r="H172" i="134"/>
  <c r="E172" i="134" s="1"/>
  <c r="H171" i="134"/>
  <c r="E171" i="134" s="1"/>
  <c r="H170" i="134"/>
  <c r="E170" i="134" s="1"/>
  <c r="H157" i="134"/>
  <c r="E157" i="134" s="1"/>
  <c r="H79" i="134"/>
  <c r="E79" i="134" s="1"/>
  <c r="H235" i="126"/>
  <c r="E235" i="126" s="1"/>
  <c r="H222" i="126"/>
  <c r="E222" i="126" s="1"/>
  <c r="H180" i="126"/>
  <c r="E180" i="126" s="1"/>
  <c r="H171" i="126"/>
  <c r="E171" i="126" s="1"/>
  <c r="H136" i="126"/>
  <c r="E136" i="126" s="1"/>
  <c r="H196" i="134"/>
  <c r="E196" i="134" s="1"/>
  <c r="H195" i="134"/>
  <c r="E195" i="134" s="1"/>
  <c r="H86" i="134"/>
  <c r="E86" i="134" s="1"/>
  <c r="H85" i="134"/>
  <c r="E85" i="134" s="1"/>
  <c r="H10" i="134"/>
  <c r="E10" i="134" s="1"/>
  <c r="H230" i="126"/>
  <c r="E230" i="126" s="1"/>
  <c r="H139" i="126"/>
  <c r="E139" i="126" s="1"/>
  <c r="H105" i="126"/>
  <c r="E105" i="126" s="1"/>
  <c r="H184" i="134"/>
  <c r="E184" i="134" s="1"/>
  <c r="H114" i="134"/>
  <c r="E114" i="134" s="1"/>
  <c r="H251" i="126"/>
  <c r="E251" i="126" s="1"/>
  <c r="H185" i="126"/>
  <c r="E185" i="126" s="1"/>
  <c r="H62" i="126"/>
  <c r="E62" i="126" s="1"/>
  <c r="H60" i="126"/>
  <c r="E60" i="126" s="1"/>
  <c r="H44" i="126"/>
  <c r="E44" i="126" s="1"/>
  <c r="H18" i="126"/>
  <c r="E18" i="126" s="1"/>
  <c r="H7" i="126"/>
  <c r="E7" i="126" s="1"/>
  <c r="S7" i="126" s="1"/>
  <c r="H178" i="134"/>
  <c r="E178" i="134" s="1"/>
  <c r="H53" i="134"/>
  <c r="E53" i="134" s="1"/>
  <c r="H52" i="134"/>
  <c r="E52" i="134" s="1"/>
  <c r="H51" i="134"/>
  <c r="E51" i="134" s="1"/>
  <c r="H14" i="134"/>
  <c r="E14" i="134" s="1"/>
  <c r="H242" i="126"/>
  <c r="E242" i="126" s="1"/>
  <c r="H211" i="126"/>
  <c r="E211" i="126" s="1"/>
  <c r="H55" i="126"/>
  <c r="E55" i="126" s="1"/>
  <c r="H37" i="134"/>
  <c r="E37" i="134" s="1"/>
  <c r="H34" i="126"/>
  <c r="E34" i="126" s="1"/>
  <c r="H208" i="134"/>
  <c r="E208" i="134" s="1"/>
  <c r="H7" i="134"/>
  <c r="E7" i="134" s="1"/>
  <c r="H47" i="126"/>
  <c r="E47" i="126" s="1"/>
  <c r="H24" i="126"/>
  <c r="E24" i="126" s="1"/>
  <c r="H188" i="134"/>
  <c r="E188" i="134" s="1"/>
  <c r="H46" i="134"/>
  <c r="E46" i="134" s="1"/>
  <c r="H243" i="126"/>
  <c r="E243" i="126" s="1"/>
  <c r="H210" i="126"/>
  <c r="E210" i="126" s="1"/>
  <c r="H61" i="126"/>
  <c r="E61" i="126" s="1"/>
  <c r="H27" i="126"/>
  <c r="E27" i="126" s="1"/>
  <c r="H172" i="126"/>
  <c r="E172" i="126" s="1"/>
  <c r="F255" i="126"/>
  <c r="F259" i="126"/>
  <c r="H212" i="126"/>
  <c r="E212" i="126" s="1"/>
  <c r="W48" i="130"/>
  <c r="W49" i="130" s="1"/>
  <c r="W50" i="130" s="1"/>
  <c r="H43" i="134"/>
  <c r="E43" i="134" s="1"/>
  <c r="T383" i="139"/>
  <c r="T384" i="139" s="1"/>
  <c r="H10" i="126"/>
  <c r="E10" i="126" s="1"/>
  <c r="H80" i="126"/>
  <c r="E80" i="126" s="1"/>
  <c r="H192" i="134"/>
  <c r="E192" i="134" s="1"/>
  <c r="D76" i="98"/>
  <c r="H88" i="134" s="1"/>
  <c r="E88" i="134" s="1"/>
  <c r="H140" i="134"/>
  <c r="E140" i="134" s="1"/>
  <c r="H52" i="126"/>
  <c r="E52" i="126" s="1"/>
  <c r="X48" i="130"/>
  <c r="X49" i="130" s="1"/>
  <c r="X50" i="130" s="1"/>
  <c r="D85" i="98"/>
  <c r="H21" i="126" s="1"/>
  <c r="E21" i="126" s="1"/>
  <c r="H15" i="126"/>
  <c r="E15" i="126" s="1"/>
  <c r="AA48" i="130"/>
  <c r="AA49" i="130" s="1"/>
  <c r="AA50" i="130" s="1"/>
  <c r="H20" i="134"/>
  <c r="E20" i="134" s="1"/>
  <c r="H110" i="134"/>
  <c r="E110" i="134" s="1"/>
  <c r="H199" i="134"/>
  <c r="E199" i="134" s="1"/>
  <c r="F8" i="126"/>
  <c r="S9" i="126" s="1"/>
  <c r="F9" i="126" s="1"/>
  <c r="S10" i="126" s="1"/>
  <c r="J209" i="123"/>
  <c r="N209" i="123" s="1"/>
  <c r="D39" i="99"/>
  <c r="D43" i="99"/>
  <c r="D150" i="99"/>
  <c r="D160" i="99"/>
  <c r="K329" i="113"/>
  <c r="H329" i="113" s="1"/>
  <c r="K309" i="113"/>
  <c r="H309" i="113" s="1"/>
  <c r="D93" i="99"/>
  <c r="K331" i="113" s="1"/>
  <c r="H331" i="113" s="1"/>
  <c r="D168" i="99"/>
  <c r="J437" i="123"/>
  <c r="N437" i="123" s="1"/>
  <c r="D55" i="99"/>
  <c r="J364" i="123"/>
  <c r="N364" i="123" s="1"/>
  <c r="H44" i="110"/>
  <c r="E44" i="110" s="1"/>
  <c r="K181" i="113"/>
  <c r="H181" i="113" s="1"/>
  <c r="J548" i="123"/>
  <c r="N548" i="123" s="1"/>
  <c r="J475" i="123"/>
  <c r="N475" i="123" s="1"/>
  <c r="D156" i="99"/>
  <c r="H228" i="119" s="1"/>
  <c r="E228" i="119" s="1"/>
  <c r="K304" i="113"/>
  <c r="H304" i="113" s="1"/>
  <c r="I304" i="113" s="1"/>
  <c r="H61" i="119"/>
  <c r="E61" i="119" s="1"/>
  <c r="K327" i="113"/>
  <c r="H327" i="113" s="1"/>
  <c r="H153" i="110"/>
  <c r="E153" i="110" s="1"/>
  <c r="D66" i="99"/>
  <c r="H39" i="110" s="1"/>
  <c r="E39" i="110" s="1"/>
  <c r="D130" i="99"/>
  <c r="D146" i="99"/>
  <c r="J219" i="123"/>
  <c r="N219" i="123" s="1"/>
  <c r="J251" i="123"/>
  <c r="N251" i="123" s="1"/>
  <c r="J260" i="123"/>
  <c r="N260" i="123" s="1"/>
  <c r="H4" i="110"/>
  <c r="E4" i="110" s="1"/>
  <c r="F4" i="110" s="1"/>
  <c r="J516" i="123"/>
  <c r="G516" i="123" s="1"/>
  <c r="H516" i="123" s="1"/>
  <c r="U517" i="123" s="1"/>
  <c r="K230" i="113"/>
  <c r="H230" i="113" s="1"/>
  <c r="I230" i="113" s="1"/>
  <c r="F242" i="115" s="1"/>
  <c r="F243" i="115" s="1"/>
  <c r="F244" i="115" s="1"/>
  <c r="H112" i="110"/>
  <c r="E112" i="110" s="1"/>
  <c r="H104" i="119"/>
  <c r="E104" i="119" s="1"/>
  <c r="H137" i="119"/>
  <c r="E137" i="119" s="1"/>
  <c r="H180" i="119"/>
  <c r="E180" i="119" s="1"/>
  <c r="H225" i="119"/>
  <c r="E225" i="119" s="1"/>
  <c r="J199" i="123"/>
  <c r="N199" i="123" s="1"/>
  <c r="J248" i="123"/>
  <c r="N248" i="123" s="1"/>
  <c r="H41" i="110"/>
  <c r="E41" i="110" s="1"/>
  <c r="K145" i="113"/>
  <c r="H145" i="113" s="1"/>
  <c r="K149" i="113"/>
  <c r="H149" i="113" s="1"/>
  <c r="K183" i="113"/>
  <c r="H183" i="113" s="1"/>
  <c r="K385" i="113"/>
  <c r="H385" i="113" s="1"/>
  <c r="K339" i="113"/>
  <c r="H339" i="113" s="1"/>
  <c r="K325" i="113"/>
  <c r="H325" i="113" s="1"/>
  <c r="K179" i="113"/>
  <c r="H179" i="113" s="1"/>
  <c r="K151" i="113"/>
  <c r="H151" i="113" s="1"/>
  <c r="K117" i="113"/>
  <c r="H117" i="113" s="1"/>
  <c r="K115" i="113"/>
  <c r="H115" i="113" s="1"/>
  <c r="K89" i="113"/>
  <c r="H143" i="110"/>
  <c r="E143" i="110" s="1"/>
  <c r="H118" i="110"/>
  <c r="E118" i="110" s="1"/>
  <c r="H100" i="110"/>
  <c r="E100" i="110" s="1"/>
  <c r="H98" i="110"/>
  <c r="E98" i="110" s="1"/>
  <c r="H96" i="110"/>
  <c r="E96" i="110" s="1"/>
  <c r="H94" i="110"/>
  <c r="E94" i="110" s="1"/>
  <c r="H92" i="110"/>
  <c r="E92" i="110" s="1"/>
  <c r="H90" i="110"/>
  <c r="E90" i="110" s="1"/>
  <c r="H76" i="110"/>
  <c r="E76" i="110" s="1"/>
  <c r="H24" i="110"/>
  <c r="E24" i="110" s="1"/>
  <c r="J551" i="123"/>
  <c r="N551" i="123" s="1"/>
  <c r="J367" i="123"/>
  <c r="N367" i="123" s="1"/>
  <c r="J335" i="123"/>
  <c r="N335" i="123" s="1"/>
  <c r="J163" i="123"/>
  <c r="N163" i="123" s="1"/>
  <c r="J153" i="123"/>
  <c r="N153" i="123" s="1"/>
  <c r="J143" i="123"/>
  <c r="N143" i="123" s="1"/>
  <c r="J133" i="123"/>
  <c r="N133" i="123" s="1"/>
  <c r="J127" i="123"/>
  <c r="N127" i="123" s="1"/>
  <c r="J121" i="123"/>
  <c r="N121" i="123" s="1"/>
  <c r="J115" i="123"/>
  <c r="N115" i="123" s="1"/>
  <c r="J83" i="123"/>
  <c r="N83" i="123" s="1"/>
  <c r="J73" i="123"/>
  <c r="N73" i="123" s="1"/>
  <c r="J63" i="123"/>
  <c r="N63" i="123" s="1"/>
  <c r="J53" i="123"/>
  <c r="N53" i="123" s="1"/>
  <c r="H259" i="119"/>
  <c r="E259" i="119" s="1"/>
  <c r="H200" i="119"/>
  <c r="E200" i="119" s="1"/>
  <c r="H144" i="119"/>
  <c r="E144" i="119" s="1"/>
  <c r="H135" i="119"/>
  <c r="E135" i="119" s="1"/>
  <c r="H97" i="119"/>
  <c r="E97" i="119" s="1"/>
  <c r="H94" i="119"/>
  <c r="E94" i="119" s="1"/>
  <c r="H27" i="119"/>
  <c r="E27" i="119" s="1"/>
  <c r="K395" i="113"/>
  <c r="H395" i="113" s="1"/>
  <c r="K373" i="113"/>
  <c r="H373" i="113" s="1"/>
  <c r="K235" i="113"/>
  <c r="H235" i="113" s="1"/>
  <c r="K203" i="113"/>
  <c r="H203" i="113" s="1"/>
  <c r="K177" i="113"/>
  <c r="H177" i="113" s="1"/>
  <c r="K123" i="113"/>
  <c r="H123" i="113" s="1"/>
  <c r="K51" i="113"/>
  <c r="H145" i="110"/>
  <c r="E145" i="110" s="1"/>
  <c r="H141" i="110"/>
  <c r="E141" i="110" s="1"/>
  <c r="H136" i="110"/>
  <c r="E136" i="110" s="1"/>
  <c r="H134" i="110"/>
  <c r="E134" i="110" s="1"/>
  <c r="H56" i="110"/>
  <c r="E56" i="110" s="1"/>
  <c r="H14" i="110"/>
  <c r="E14" i="110" s="1"/>
  <c r="J494" i="123"/>
  <c r="N494" i="123" s="1"/>
  <c r="J472" i="123"/>
  <c r="N472" i="123" s="1"/>
  <c r="J427" i="123"/>
  <c r="N427" i="123" s="1"/>
  <c r="J424" i="123"/>
  <c r="G424" i="123" s="1"/>
  <c r="H424" i="123" s="1"/>
  <c r="J379" i="123"/>
  <c r="N379" i="123" s="1"/>
  <c r="J325" i="123"/>
  <c r="G325" i="123" s="1"/>
  <c r="J289" i="123"/>
  <c r="N289" i="123" s="1"/>
  <c r="J279" i="123"/>
  <c r="N279" i="123" s="1"/>
  <c r="J269" i="123"/>
  <c r="N269" i="123" s="1"/>
  <c r="J257" i="123"/>
  <c r="N257" i="123" s="1"/>
  <c r="H221" i="119"/>
  <c r="E221" i="119" s="1"/>
  <c r="H218" i="119"/>
  <c r="E218" i="119" s="1"/>
  <c r="H147" i="119"/>
  <c r="E147" i="119" s="1"/>
  <c r="H138" i="119"/>
  <c r="E138" i="119" s="1"/>
  <c r="H64" i="119"/>
  <c r="E64" i="119" s="1"/>
  <c r="H24" i="119"/>
  <c r="E24" i="119" s="1"/>
  <c r="H23" i="134"/>
  <c r="E23" i="134" s="1"/>
  <c r="K383" i="113"/>
  <c r="H383" i="113" s="1"/>
  <c r="K265" i="113"/>
  <c r="H265" i="113" s="1"/>
  <c r="K191" i="113"/>
  <c r="H191" i="113" s="1"/>
  <c r="K155" i="113"/>
  <c r="K87" i="113"/>
  <c r="H87" i="113" s="1"/>
  <c r="K53" i="113"/>
  <c r="H132" i="110"/>
  <c r="E132" i="110" s="1"/>
  <c r="H130" i="110"/>
  <c r="E130" i="110" s="1"/>
  <c r="H8" i="110"/>
  <c r="E8" i="110" s="1"/>
  <c r="J554" i="123"/>
  <c r="N554" i="123" s="1"/>
  <c r="J542" i="123"/>
  <c r="N542" i="123" s="1"/>
  <c r="J525" i="123"/>
  <c r="N525" i="123" s="1"/>
  <c r="J392" i="123"/>
  <c r="N392" i="123" s="1"/>
  <c r="J370" i="123"/>
  <c r="N370" i="123" s="1"/>
  <c r="H245" i="119"/>
  <c r="E245" i="119" s="1"/>
  <c r="H242" i="119"/>
  <c r="E242" i="119" s="1"/>
  <c r="H215" i="119"/>
  <c r="E215" i="119" s="1"/>
  <c r="H150" i="119"/>
  <c r="E150" i="119" s="1"/>
  <c r="H47" i="119"/>
  <c r="E47" i="119" s="1"/>
  <c r="H41" i="119"/>
  <c r="E41" i="119" s="1"/>
  <c r="H10" i="119"/>
  <c r="E10" i="119" s="1"/>
  <c r="H7" i="119"/>
  <c r="E7" i="119" s="1"/>
  <c r="F7" i="119" s="1"/>
  <c r="K381" i="113"/>
  <c r="K317" i="113"/>
  <c r="H317" i="113" s="1"/>
  <c r="K283" i="113"/>
  <c r="H283" i="113" s="1"/>
  <c r="K209" i="113"/>
  <c r="H209" i="113" s="1"/>
  <c r="K161" i="113"/>
  <c r="H161" i="113" s="1"/>
  <c r="K144" i="113"/>
  <c r="H144" i="113" s="1"/>
  <c r="I144" i="113" s="1"/>
  <c r="F130" i="115" s="1"/>
  <c r="F131" i="115" s="1"/>
  <c r="F132" i="115" s="1"/>
  <c r="F133" i="115" s="1"/>
  <c r="F134" i="115" s="1"/>
  <c r="F135" i="115" s="1"/>
  <c r="F136" i="115" s="1"/>
  <c r="U146" i="113" s="1"/>
  <c r="K97" i="113"/>
  <c r="H97" i="113" s="1"/>
  <c r="K85" i="113"/>
  <c r="H85" i="113" s="1"/>
  <c r="H50" i="110"/>
  <c r="E50" i="110" s="1"/>
  <c r="J545" i="123"/>
  <c r="G545" i="123" s="1"/>
  <c r="J395" i="123"/>
  <c r="N395" i="123" s="1"/>
  <c r="J385" i="123"/>
  <c r="N385" i="123" s="1"/>
  <c r="J373" i="123"/>
  <c r="N373" i="123" s="1"/>
  <c r="J140" i="123"/>
  <c r="N140" i="123" s="1"/>
  <c r="J124" i="123"/>
  <c r="N124" i="123" s="1"/>
  <c r="J118" i="123"/>
  <c r="N118" i="123" s="1"/>
  <c r="J112" i="123"/>
  <c r="N112" i="123" s="1"/>
  <c r="J56" i="123"/>
  <c r="N56" i="123" s="1"/>
  <c r="H156" i="119"/>
  <c r="E156" i="119" s="1"/>
  <c r="H32" i="134"/>
  <c r="E32" i="134" s="1"/>
  <c r="H52" i="110"/>
  <c r="E52" i="110" s="1"/>
  <c r="H122" i="110"/>
  <c r="E122" i="110" s="1"/>
  <c r="H151" i="110"/>
  <c r="E151" i="110" s="1"/>
  <c r="K111" i="113"/>
  <c r="H111" i="113" s="1"/>
  <c r="K245" i="113"/>
  <c r="H245" i="113" s="1"/>
  <c r="K366" i="113"/>
  <c r="H366" i="113" s="1"/>
  <c r="I366" i="113" s="1"/>
  <c r="H170" i="119"/>
  <c r="E170" i="119" s="1"/>
  <c r="J557" i="123"/>
  <c r="N557" i="123" s="1"/>
  <c r="K81" i="113"/>
  <c r="H81" i="113" s="1"/>
  <c r="V132" i="113"/>
  <c r="V133" i="113" s="1"/>
  <c r="T412" i="123"/>
  <c r="T413" i="123" s="1"/>
  <c r="Y354" i="113"/>
  <c r="Y355" i="113" s="1"/>
  <c r="D51" i="99"/>
  <c r="H44" i="119" s="1"/>
  <c r="E44" i="119" s="1"/>
  <c r="H31" i="119"/>
  <c r="E31" i="119" s="1"/>
  <c r="H34" i="119"/>
  <c r="E34" i="119" s="1"/>
  <c r="H37" i="119"/>
  <c r="E37" i="119" s="1"/>
  <c r="H74" i="119"/>
  <c r="E74" i="119" s="1"/>
  <c r="H190" i="119"/>
  <c r="E190" i="119" s="1"/>
  <c r="H232" i="119"/>
  <c r="E232" i="119" s="1"/>
  <c r="H235" i="119"/>
  <c r="E235" i="119" s="1"/>
  <c r="H238" i="119"/>
  <c r="E238" i="119" s="1"/>
  <c r="H20" i="110"/>
  <c r="E20" i="110" s="1"/>
  <c r="H35" i="110"/>
  <c r="E35" i="110" s="1"/>
  <c r="H124" i="110"/>
  <c r="E124" i="110" s="1"/>
  <c r="K105" i="113"/>
  <c r="H105" i="113" s="1"/>
  <c r="K271" i="113"/>
  <c r="H271" i="113" s="1"/>
  <c r="K341" i="113"/>
  <c r="H341" i="113" s="1"/>
  <c r="D79" i="99"/>
  <c r="J517" i="123" s="1"/>
  <c r="G517" i="123" s="1"/>
  <c r="D84" i="99"/>
  <c r="H110" i="119" s="1"/>
  <c r="E110" i="119" s="1"/>
  <c r="J376" i="123"/>
  <c r="N376" i="123" s="1"/>
  <c r="J469" i="123"/>
  <c r="N469" i="123" s="1"/>
  <c r="H11" i="110"/>
  <c r="E11" i="110" s="1"/>
  <c r="H22" i="110"/>
  <c r="E22" i="110" s="1"/>
  <c r="H62" i="110"/>
  <c r="E62" i="110" s="1"/>
  <c r="H148" i="110"/>
  <c r="E148" i="110" s="1"/>
  <c r="K197" i="113"/>
  <c r="H197" i="113" s="1"/>
  <c r="K199" i="113"/>
  <c r="H199" i="113" s="1"/>
  <c r="K257" i="113"/>
  <c r="H257" i="113" s="1"/>
  <c r="K273" i="113"/>
  <c r="H273" i="113" s="1"/>
  <c r="K173" i="113"/>
  <c r="H173" i="113" s="1"/>
  <c r="J318" i="123"/>
  <c r="G318" i="123" s="1"/>
  <c r="H318" i="123" s="1"/>
  <c r="F369" i="124" s="1"/>
  <c r="F370" i="124" s="1"/>
  <c r="F371" i="124" s="1"/>
  <c r="F372" i="124" s="1"/>
  <c r="F373" i="124" s="1"/>
  <c r="F374" i="124" s="1"/>
  <c r="F375" i="124" s="1"/>
  <c r="F376" i="124" s="1"/>
  <c r="W34" i="113"/>
  <c r="W35" i="113" s="1"/>
  <c r="D106" i="99"/>
  <c r="J157" i="123" s="1"/>
  <c r="H153" i="119"/>
  <c r="E153" i="119" s="1"/>
  <c r="H210" i="119"/>
  <c r="E210" i="119" s="1"/>
  <c r="J192" i="123"/>
  <c r="G192" i="123" s="1"/>
  <c r="H192" i="123" s="1"/>
  <c r="U193" i="123" s="1"/>
  <c r="J254" i="123"/>
  <c r="N254" i="123" s="1"/>
  <c r="J263" i="123"/>
  <c r="N263" i="123" s="1"/>
  <c r="J478" i="123"/>
  <c r="N478" i="123" s="1"/>
  <c r="J487" i="123"/>
  <c r="N487" i="123" s="1"/>
  <c r="H15" i="110"/>
  <c r="E15" i="110" s="1"/>
  <c r="H17" i="110"/>
  <c r="E17" i="110" s="1"/>
  <c r="H64" i="110"/>
  <c r="E64" i="110" s="1"/>
  <c r="H87" i="110"/>
  <c r="E87" i="110" s="1"/>
  <c r="H89" i="110"/>
  <c r="E89" i="110" s="1"/>
  <c r="H102" i="110"/>
  <c r="E102" i="110" s="1"/>
  <c r="K241" i="113"/>
  <c r="H241" i="113" s="1"/>
  <c r="K259" i="113"/>
  <c r="H259" i="113" s="1"/>
  <c r="K277" i="113"/>
  <c r="K279" i="113"/>
  <c r="H279" i="113" s="1"/>
  <c r="K315" i="113"/>
  <c r="H315" i="113" s="1"/>
  <c r="K345" i="113"/>
  <c r="H345" i="113" s="1"/>
  <c r="K391" i="113"/>
  <c r="H391" i="113" s="1"/>
  <c r="K46" i="113"/>
  <c r="H46" i="113" s="1"/>
  <c r="I46" i="113" s="1"/>
  <c r="F6" i="115" s="1"/>
  <c r="F7" i="115" s="1"/>
  <c r="F8" i="115" s="1"/>
  <c r="K99" i="113"/>
  <c r="H99" i="113" s="1"/>
  <c r="D61" i="99"/>
  <c r="H54" i="119" s="1"/>
  <c r="E54" i="119" s="1"/>
  <c r="H51" i="119"/>
  <c r="E51" i="119" s="1"/>
  <c r="H84" i="119"/>
  <c r="E84" i="119" s="1"/>
  <c r="H87" i="119"/>
  <c r="E87" i="119" s="1"/>
  <c r="H90" i="119"/>
  <c r="E90" i="119" s="1"/>
  <c r="J466" i="123"/>
  <c r="N466" i="123" s="1"/>
  <c r="J519" i="123"/>
  <c r="N519" i="123" s="1"/>
  <c r="H27" i="110"/>
  <c r="E27" i="110" s="1"/>
  <c r="H68" i="110"/>
  <c r="E68" i="110" s="1"/>
  <c r="H106" i="110"/>
  <c r="E106" i="110" s="1"/>
  <c r="K55" i="113"/>
  <c r="K57" i="113"/>
  <c r="K59" i="113"/>
  <c r="K61" i="113"/>
  <c r="K63" i="113"/>
  <c r="K65" i="113"/>
  <c r="K69" i="113"/>
  <c r="K163" i="113"/>
  <c r="H163" i="113" s="1"/>
  <c r="K261" i="113"/>
  <c r="H261" i="113" s="1"/>
  <c r="H122" i="113"/>
  <c r="G242" i="123"/>
  <c r="H340" i="113"/>
  <c r="G152" i="123"/>
  <c r="G429" i="123"/>
  <c r="G536" i="123"/>
  <c r="G159" i="123"/>
  <c r="G226" i="123"/>
  <c r="G561" i="123"/>
  <c r="G428" i="123"/>
  <c r="G473" i="123"/>
  <c r="H277" i="113"/>
  <c r="H316" i="113"/>
  <c r="H260" i="113"/>
  <c r="G213" i="123"/>
  <c r="H178" i="113"/>
  <c r="G197" i="123"/>
  <c r="T80" i="122"/>
  <c r="G80" i="122" s="1"/>
  <c r="T81" i="122" s="1"/>
  <c r="G81" i="122" s="1"/>
  <c r="T82" i="122" s="1"/>
  <c r="G82" i="122" s="1"/>
  <c r="H118" i="113"/>
  <c r="H306" i="113"/>
  <c r="G476" i="123"/>
  <c r="G520" i="123"/>
  <c r="H114" i="113"/>
  <c r="G88" i="123"/>
  <c r="H98" i="113"/>
  <c r="G401" i="123"/>
  <c r="G168" i="123"/>
  <c r="G464" i="123"/>
  <c r="T79" i="122"/>
  <c r="H108" i="113"/>
  <c r="H112" i="113"/>
  <c r="G50" i="123"/>
  <c r="G361" i="123"/>
  <c r="G434" i="123"/>
  <c r="G490" i="123"/>
  <c r="G97" i="123"/>
  <c r="G450" i="123"/>
  <c r="G470" i="123"/>
  <c r="G553" i="123"/>
  <c r="G349" i="123"/>
  <c r="G55" i="123"/>
  <c r="G57" i="123"/>
  <c r="G61" i="123"/>
  <c r="G294" i="123"/>
  <c r="G139" i="123"/>
  <c r="G439" i="123"/>
  <c r="G532" i="123"/>
  <c r="N532" i="123"/>
  <c r="G171" i="123"/>
  <c r="G432" i="123"/>
  <c r="G547" i="123"/>
  <c r="F227" i="111"/>
  <c r="G96" i="123"/>
  <c r="G230" i="123"/>
  <c r="G486" i="123"/>
  <c r="G489" i="123"/>
  <c r="G431" i="123"/>
  <c r="G457" i="123"/>
  <c r="H78" i="113"/>
  <c r="H80" i="113"/>
  <c r="H344" i="113"/>
  <c r="G518" i="123"/>
  <c r="G527" i="123"/>
  <c r="H88" i="113"/>
  <c r="H282" i="113"/>
  <c r="G120" i="123"/>
  <c r="G229" i="123"/>
  <c r="G236" i="123"/>
  <c r="G326" i="123"/>
  <c r="G342" i="123"/>
  <c r="G442" i="123"/>
  <c r="G485" i="123"/>
  <c r="H234" i="113"/>
  <c r="H324" i="113"/>
  <c r="H156" i="113"/>
  <c r="H380" i="113"/>
  <c r="N196" i="123"/>
  <c r="G196" i="123"/>
  <c r="T163" i="122"/>
  <c r="G163" i="122" s="1"/>
  <c r="T164" i="122" s="1"/>
  <c r="G164" i="122" s="1"/>
  <c r="T165" i="122" s="1"/>
  <c r="G165" i="122" s="1"/>
  <c r="T166" i="122" s="1"/>
  <c r="G166" i="122" s="1"/>
  <c r="T167" i="122" s="1"/>
  <c r="G167" i="122" s="1"/>
  <c r="G168" i="122" s="1"/>
  <c r="F130" i="128"/>
  <c r="N77" i="123"/>
  <c r="G77" i="123"/>
  <c r="G492" i="123"/>
  <c r="N106" i="123"/>
  <c r="G106" i="123"/>
  <c r="F4" i="120"/>
  <c r="F5" i="120" s="1"/>
  <c r="F6" i="120" s="1"/>
  <c r="R21" i="119" s="1"/>
  <c r="F135" i="119"/>
  <c r="G52" i="123"/>
  <c r="G58" i="123"/>
  <c r="G217" i="123"/>
  <c r="G145" i="123"/>
  <c r="G426" i="123"/>
  <c r="N553" i="123"/>
  <c r="N84" i="123"/>
  <c r="G84" i="123"/>
  <c r="G138" i="123"/>
  <c r="G552" i="123"/>
  <c r="Y57" i="122"/>
  <c r="G54" i="122"/>
  <c r="T55" i="122" s="1"/>
  <c r="G55" i="122" s="1"/>
  <c r="T56" i="122" s="1"/>
  <c r="G56" i="122" s="1"/>
  <c r="T57" i="122" s="1"/>
  <c r="G57" i="122" s="1"/>
  <c r="T58" i="122" s="1"/>
  <c r="T132" i="122"/>
  <c r="G128" i="123"/>
  <c r="G132" i="123"/>
  <c r="G460" i="123"/>
  <c r="G479" i="123"/>
  <c r="G539" i="123"/>
  <c r="T188" i="122"/>
  <c r="G188" i="122" s="1"/>
  <c r="T189" i="122" s="1"/>
  <c r="G189" i="122" s="1"/>
  <c r="T190" i="122" s="1"/>
  <c r="G190" i="122" s="1"/>
  <c r="T191" i="122" s="1"/>
  <c r="G191" i="122" s="1"/>
  <c r="T192" i="122" s="1"/>
  <c r="G192" i="122" s="1"/>
  <c r="G448" i="123"/>
  <c r="T107" i="122"/>
  <c r="G107" i="122" s="1"/>
  <c r="T108" i="122" s="1"/>
  <c r="G108" i="122" s="1"/>
  <c r="F21" i="124" s="1"/>
  <c r="F22" i="124" s="1"/>
  <c r="F23" i="124" s="1"/>
  <c r="F24" i="124" s="1"/>
  <c r="G344" i="123"/>
  <c r="G358" i="123"/>
  <c r="G444" i="123"/>
  <c r="G445" i="123"/>
  <c r="G454" i="123"/>
  <c r="G467" i="123"/>
  <c r="G474" i="123"/>
  <c r="N474" i="123"/>
  <c r="G441" i="123"/>
  <c r="AA32" i="122"/>
  <c r="G29" i="122"/>
  <c r="T29" i="122" s="1"/>
  <c r="G75" i="123"/>
  <c r="G80" i="123"/>
  <c r="G123" i="123"/>
  <c r="G483" i="123"/>
  <c r="G535" i="123"/>
  <c r="T106" i="122"/>
  <c r="T187" i="122"/>
  <c r="G108" i="123"/>
  <c r="G465" i="123"/>
  <c r="G477" i="123"/>
  <c r="G495" i="123"/>
  <c r="G556" i="123"/>
  <c r="T133" i="122"/>
  <c r="G133" i="122" s="1"/>
  <c r="T134" i="122" s="1"/>
  <c r="G51" i="123"/>
  <c r="G129" i="123"/>
  <c r="G201" i="123"/>
  <c r="G277" i="123"/>
  <c r="G453" i="123"/>
  <c r="G456" i="123"/>
  <c r="G468" i="123"/>
  <c r="G471" i="123"/>
  <c r="G482" i="123"/>
  <c r="G533" i="123"/>
  <c r="G559" i="123"/>
  <c r="T162" i="122"/>
  <c r="H166" i="113"/>
  <c r="H194" i="113"/>
  <c r="G74" i="123"/>
  <c r="G136" i="123"/>
  <c r="G165" i="123"/>
  <c r="G169" i="123"/>
  <c r="G459" i="123"/>
  <c r="G462" i="123"/>
  <c r="H308" i="113"/>
  <c r="H370" i="113"/>
  <c r="F228" i="111"/>
  <c r="H164" i="113"/>
  <c r="H182" i="113"/>
  <c r="H200" i="113"/>
  <c r="G29" i="114"/>
  <c r="H84" i="113"/>
  <c r="H232" i="113"/>
  <c r="H238" i="113"/>
  <c r="H368" i="113"/>
  <c r="H160" i="113"/>
  <c r="H96" i="113"/>
  <c r="H94" i="113"/>
  <c r="H236" i="113"/>
  <c r="H242" i="113"/>
  <c r="H256" i="113"/>
  <c r="H274" i="113"/>
  <c r="H276" i="113"/>
  <c r="H328" i="113"/>
  <c r="H382" i="113"/>
  <c r="H110" i="113"/>
  <c r="H246" i="113"/>
  <c r="H248" i="113"/>
  <c r="H278" i="113"/>
  <c r="H106" i="113"/>
  <c r="H280" i="113"/>
  <c r="U263" i="113"/>
  <c r="U46" i="113"/>
  <c r="U307" i="113"/>
  <c r="U101" i="113"/>
  <c r="U77" i="113"/>
  <c r="U379" i="113"/>
  <c r="U375" i="113"/>
  <c r="U385" i="113"/>
  <c r="H378" i="113"/>
  <c r="H90" i="113"/>
  <c r="Q76" i="113"/>
  <c r="H76" i="113" s="1"/>
  <c r="H206" i="113"/>
  <c r="H386" i="113"/>
  <c r="H48" i="113"/>
  <c r="H202" i="113"/>
  <c r="Q186" i="113"/>
  <c r="H186" i="113" s="1"/>
  <c r="H198" i="113"/>
  <c r="U327" i="113"/>
  <c r="H330" i="113"/>
  <c r="H372" i="113"/>
  <c r="U344" i="113"/>
  <c r="H102" i="113"/>
  <c r="H152" i="113"/>
  <c r="Q208" i="113"/>
  <c r="H208" i="113" s="1"/>
  <c r="H262" i="113"/>
  <c r="H334" i="113"/>
  <c r="H376" i="113"/>
  <c r="H174" i="113"/>
  <c r="H318" i="113"/>
  <c r="Q176" i="113"/>
  <c r="H196" i="113"/>
  <c r="Q272" i="113"/>
  <c r="H272" i="113" s="1"/>
  <c r="H381" i="113"/>
  <c r="U115" i="113"/>
  <c r="U249" i="113"/>
  <c r="H342" i="113"/>
  <c r="U54" i="113"/>
  <c r="H89" i="113"/>
  <c r="H162" i="113"/>
  <c r="H266" i="113"/>
  <c r="H390" i="113"/>
  <c r="Q158" i="113"/>
  <c r="H158" i="113" s="1"/>
  <c r="Q192" i="113"/>
  <c r="H254" i="113"/>
  <c r="Q268" i="113"/>
  <c r="H268" i="113" s="1"/>
  <c r="H322" i="113"/>
  <c r="H338" i="113"/>
  <c r="Q392" i="113"/>
  <c r="H392" i="113" s="1"/>
  <c r="U206" i="113"/>
  <c r="U238" i="113"/>
  <c r="Q148" i="113"/>
  <c r="H148" i="113" s="1"/>
  <c r="Q150" i="113"/>
  <c r="H150" i="113" s="1"/>
  <c r="H155" i="113"/>
  <c r="Q168" i="113"/>
  <c r="H168" i="113" s="1"/>
  <c r="Q190" i="113"/>
  <c r="H190" i="113" s="1"/>
  <c r="Q170" i="113"/>
  <c r="H170" i="113" s="1"/>
  <c r="Q180" i="113"/>
  <c r="H180" i="113" s="1"/>
  <c r="H192" i="113"/>
  <c r="H172" i="113"/>
  <c r="H146" i="113"/>
  <c r="H176" i="113"/>
  <c r="H184" i="113"/>
  <c r="H188" i="113"/>
  <c r="U51" i="113"/>
  <c r="U56" i="113"/>
  <c r="U63" i="113"/>
  <c r="U70" i="113"/>
  <c r="U81" i="113"/>
  <c r="U95" i="113"/>
  <c r="U99" i="113"/>
  <c r="U47" i="113"/>
  <c r="U55" i="113"/>
  <c r="U62" i="113"/>
  <c r="U79" i="113"/>
  <c r="U93" i="113"/>
  <c r="U153" i="113"/>
  <c r="S32" i="114"/>
  <c r="U68" i="113"/>
  <c r="U108" i="113"/>
  <c r="U60" i="113"/>
  <c r="U72" i="113"/>
  <c r="U113" i="113"/>
  <c r="U105" i="113"/>
  <c r="U111" i="113"/>
  <c r="U120" i="113"/>
  <c r="U123" i="113"/>
  <c r="U67" i="113"/>
  <c r="U89" i="113"/>
  <c r="U52" i="113"/>
  <c r="U59" i="113"/>
  <c r="U64" i="113"/>
  <c r="U71" i="113"/>
  <c r="U87" i="113"/>
  <c r="U159" i="113"/>
  <c r="U274" i="113"/>
  <c r="U145" i="113"/>
  <c r="U149" i="113"/>
  <c r="U165" i="113"/>
  <c r="U187" i="113"/>
  <c r="U247" i="113"/>
  <c r="U317" i="113"/>
  <c r="U339" i="113"/>
  <c r="S75" i="114"/>
  <c r="T75" i="114" s="1"/>
  <c r="S57" i="114"/>
  <c r="S55" i="114"/>
  <c r="S53" i="114"/>
  <c r="T53" i="114" s="1"/>
  <c r="G53" i="114" s="1"/>
  <c r="U209" i="113"/>
  <c r="U194" i="113"/>
  <c r="U183" i="113"/>
  <c r="U167" i="113"/>
  <c r="U197" i="113"/>
  <c r="U191" i="113"/>
  <c r="U175" i="113"/>
  <c r="U144" i="113"/>
  <c r="S29" i="114"/>
  <c r="U155" i="113"/>
  <c r="U199" i="113"/>
  <c r="U234" i="113"/>
  <c r="U368" i="113"/>
  <c r="S56" i="114"/>
  <c r="U283" i="113"/>
  <c r="U280" i="113"/>
  <c r="U277" i="113"/>
  <c r="U244" i="113"/>
  <c r="U265" i="113"/>
  <c r="U255" i="113"/>
  <c r="U231" i="113"/>
  <c r="U161" i="113"/>
  <c r="U173" i="113"/>
  <c r="U195" i="113"/>
  <c r="U240" i="113"/>
  <c r="S54" i="114"/>
  <c r="S79" i="114"/>
  <c r="U323" i="113"/>
  <c r="U329" i="113"/>
  <c r="U313" i="113"/>
  <c r="U309" i="113"/>
  <c r="U305" i="113"/>
  <c r="V305" i="113" s="1"/>
  <c r="U342" i="113"/>
  <c r="U331" i="113"/>
  <c r="U315" i="113"/>
  <c r="U337" i="113"/>
  <c r="U306" i="113"/>
  <c r="U343" i="113"/>
  <c r="U338" i="113"/>
  <c r="U310" i="113"/>
  <c r="U345" i="113"/>
  <c r="U311" i="113"/>
  <c r="U304" i="113"/>
  <c r="V304" i="113" s="1"/>
  <c r="U335" i="113"/>
  <c r="U321" i="113"/>
  <c r="U312" i="113"/>
  <c r="U325" i="113"/>
  <c r="U308" i="113"/>
  <c r="U369" i="113"/>
  <c r="U377" i="113"/>
  <c r="U371" i="113"/>
  <c r="U393" i="113"/>
  <c r="U387" i="113"/>
  <c r="U383" i="113"/>
  <c r="U366" i="113"/>
  <c r="U395" i="113"/>
  <c r="U391" i="113"/>
  <c r="U151" i="113"/>
  <c r="U181" i="113"/>
  <c r="U333" i="113"/>
  <c r="U367" i="113"/>
  <c r="S36" i="114"/>
  <c r="S52" i="114"/>
  <c r="T52" i="114" s="1"/>
  <c r="S77" i="114"/>
  <c r="U205" i="113"/>
  <c r="U157" i="113"/>
  <c r="U201" i="113"/>
  <c r="U236" i="113"/>
  <c r="S78" i="114"/>
  <c r="U147" i="113"/>
  <c r="U163" i="113"/>
  <c r="U171" i="113"/>
  <c r="U189" i="113"/>
  <c r="U319" i="113"/>
  <c r="U53" i="113"/>
  <c r="U61" i="113"/>
  <c r="U69" i="113"/>
  <c r="U75" i="113"/>
  <c r="U91" i="113"/>
  <c r="U97" i="113"/>
  <c r="U103" i="113"/>
  <c r="U107" i="113"/>
  <c r="U114" i="113"/>
  <c r="U121" i="113"/>
  <c r="U148" i="113"/>
  <c r="U152" i="113"/>
  <c r="U156" i="113"/>
  <c r="U160" i="113"/>
  <c r="U164" i="113"/>
  <c r="U169" i="113"/>
  <c r="U185" i="113"/>
  <c r="U200" i="113"/>
  <c r="U207" i="113"/>
  <c r="U235" i="113"/>
  <c r="U242" i="113"/>
  <c r="S31" i="114"/>
  <c r="S80" i="114"/>
  <c r="U281" i="113"/>
  <c r="U261" i="113"/>
  <c r="U245" i="113"/>
  <c r="U241" i="113"/>
  <c r="U267" i="113"/>
  <c r="U251" i="113"/>
  <c r="U279" i="113"/>
  <c r="U275" i="113"/>
  <c r="U269" i="113"/>
  <c r="U253" i="113"/>
  <c r="U243" i="113"/>
  <c r="U239" i="113"/>
  <c r="U50" i="113"/>
  <c r="U58" i="113"/>
  <c r="U66" i="113"/>
  <c r="U85" i="113"/>
  <c r="U96" i="113"/>
  <c r="U102" i="113"/>
  <c r="U117" i="113"/>
  <c r="U179" i="113"/>
  <c r="U203" i="113"/>
  <c r="U230" i="113"/>
  <c r="U259" i="113"/>
  <c r="U273" i="113"/>
  <c r="S35" i="114"/>
  <c r="S76" i="114"/>
  <c r="T76" i="114" s="1"/>
  <c r="G76" i="114" s="1"/>
  <c r="S33" i="114"/>
  <c r="S34" i="114"/>
  <c r="U49" i="113"/>
  <c r="U57" i="113"/>
  <c r="U65" i="113"/>
  <c r="U73" i="113"/>
  <c r="U83" i="113"/>
  <c r="U109" i="113"/>
  <c r="U119" i="113"/>
  <c r="U150" i="113"/>
  <c r="U154" i="113"/>
  <c r="U158" i="113"/>
  <c r="U162" i="113"/>
  <c r="U177" i="113"/>
  <c r="U193" i="113"/>
  <c r="U233" i="113"/>
  <c r="U237" i="113"/>
  <c r="U257" i="113"/>
  <c r="U271" i="113"/>
  <c r="S30" i="114"/>
  <c r="U389" i="113"/>
  <c r="U381" i="113"/>
  <c r="U373" i="113"/>
  <c r="U394" i="113"/>
  <c r="AB57" i="122"/>
  <c r="T66" i="123"/>
  <c r="T98" i="123"/>
  <c r="T162" i="123"/>
  <c r="T59" i="123"/>
  <c r="T101" i="123"/>
  <c r="G340" i="123"/>
  <c r="G343" i="123"/>
  <c r="G369" i="123"/>
  <c r="G334" i="123"/>
  <c r="G345" i="123"/>
  <c r="G337" i="123"/>
  <c r="G375" i="123"/>
  <c r="G360" i="123"/>
  <c r="G387" i="123"/>
  <c r="G330" i="123"/>
  <c r="N342" i="123"/>
  <c r="G372" i="123"/>
  <c r="G380" i="123"/>
  <c r="G383" i="123"/>
  <c r="G329" i="123"/>
  <c r="G374" i="123"/>
  <c r="N326" i="123"/>
  <c r="G393" i="123"/>
  <c r="G403" i="123"/>
  <c r="G320" i="123"/>
  <c r="G363" i="123"/>
  <c r="G332" i="123"/>
  <c r="G352" i="123"/>
  <c r="G355" i="123"/>
  <c r="G371" i="123"/>
  <c r="G388" i="123"/>
  <c r="G351" i="123"/>
  <c r="G396" i="123"/>
  <c r="G322" i="123"/>
  <c r="G391" i="123"/>
  <c r="G324" i="123"/>
  <c r="G348" i="123"/>
  <c r="G210" i="123"/>
  <c r="G239" i="123"/>
  <c r="G253" i="123"/>
  <c r="G258" i="123"/>
  <c r="G271" i="123"/>
  <c r="G246" i="123"/>
  <c r="G206" i="123"/>
  <c r="G250" i="123"/>
  <c r="G284" i="123"/>
  <c r="G223" i="123"/>
  <c r="G228" i="123"/>
  <c r="G247" i="123"/>
  <c r="G262" i="123"/>
  <c r="G270" i="123"/>
  <c r="G227" i="123"/>
  <c r="G238" i="123"/>
  <c r="G285" i="123"/>
  <c r="G203" i="123"/>
  <c r="G207" i="123"/>
  <c r="G194" i="123"/>
  <c r="G249" i="123"/>
  <c r="G267" i="123"/>
  <c r="G198" i="123"/>
  <c r="G281" i="123"/>
  <c r="G288" i="123"/>
  <c r="G245" i="123"/>
  <c r="G252" i="123"/>
  <c r="G255" i="123"/>
  <c r="G261" i="123"/>
  <c r="G204" i="123"/>
  <c r="G221" i="123"/>
  <c r="G241" i="123"/>
  <c r="G290" i="123"/>
  <c r="G292" i="123"/>
  <c r="G216" i="123"/>
  <c r="G275" i="123"/>
  <c r="N242" i="123"/>
  <c r="G214" i="123"/>
  <c r="G287" i="123"/>
  <c r="G297" i="123"/>
  <c r="G278" i="123"/>
  <c r="G209" i="123"/>
  <c r="G259" i="123"/>
  <c r="G220" i="123"/>
  <c r="G235" i="123"/>
  <c r="G244" i="123"/>
  <c r="G291" i="123"/>
  <c r="T48" i="123"/>
  <c r="T62" i="123"/>
  <c r="G65" i="123"/>
  <c r="G68" i="123"/>
  <c r="G82" i="123"/>
  <c r="T100" i="123"/>
  <c r="T117" i="123"/>
  <c r="G131" i="123"/>
  <c r="T161" i="123"/>
  <c r="T164" i="123"/>
  <c r="T58" i="123"/>
  <c r="G64" i="123"/>
  <c r="G78" i="123"/>
  <c r="T82" i="123"/>
  <c r="G91" i="123"/>
  <c r="T97" i="123"/>
  <c r="G114" i="123"/>
  <c r="G119" i="123"/>
  <c r="T120" i="123"/>
  <c r="T128" i="123"/>
  <c r="T131" i="123"/>
  <c r="T149" i="123"/>
  <c r="T83" i="123"/>
  <c r="T132" i="123"/>
  <c r="G161" i="123"/>
  <c r="G81" i="123"/>
  <c r="G99" i="123"/>
  <c r="G116" i="123"/>
  <c r="G122" i="123"/>
  <c r="T144" i="123"/>
  <c r="G146" i="123"/>
  <c r="G151" i="123"/>
  <c r="T152" i="123"/>
  <c r="T157" i="123"/>
  <c r="T163" i="123"/>
  <c r="T64" i="123"/>
  <c r="T67" i="123"/>
  <c r="T81" i="123"/>
  <c r="G148" i="123"/>
  <c r="G154" i="123"/>
  <c r="T46" i="123"/>
  <c r="G71" i="123"/>
  <c r="T77" i="123"/>
  <c r="G126" i="123"/>
  <c r="T130" i="123"/>
  <c r="G156" i="123"/>
  <c r="G162" i="123"/>
  <c r="T156" i="123"/>
  <c r="G94" i="123"/>
  <c r="G100" i="123"/>
  <c r="G110" i="123"/>
  <c r="T129" i="123"/>
  <c r="G142" i="123"/>
  <c r="G164" i="123"/>
  <c r="T61" i="123"/>
  <c r="T78" i="123"/>
  <c r="T57" i="123"/>
  <c r="G87" i="123"/>
  <c r="T88" i="123"/>
  <c r="G111" i="123"/>
  <c r="T160" i="123"/>
  <c r="G48" i="123"/>
  <c r="G72" i="123"/>
  <c r="T76" i="123"/>
  <c r="T133" i="123"/>
  <c r="G144" i="123"/>
  <c r="G67" i="123"/>
  <c r="N72" i="123"/>
  <c r="G85" i="123"/>
  <c r="G90" i="123"/>
  <c r="G135" i="123"/>
  <c r="G158" i="123"/>
  <c r="F509" i="124"/>
  <c r="F510" i="124" s="1"/>
  <c r="F511" i="124" s="1"/>
  <c r="T383" i="123" s="1"/>
  <c r="F360" i="124"/>
  <c r="F361" i="124" s="1"/>
  <c r="F362" i="124" s="1"/>
  <c r="T287" i="123" s="1"/>
  <c r="G155" i="123"/>
  <c r="G62" i="123"/>
  <c r="G70" i="123"/>
  <c r="G93" i="123"/>
  <c r="G113" i="123"/>
  <c r="N168" i="123"/>
  <c r="G233" i="123"/>
  <c r="G265" i="123"/>
  <c r="G336" i="123"/>
  <c r="G60" i="123"/>
  <c r="G92" i="123"/>
  <c r="G103" i="123"/>
  <c r="G105" i="123"/>
  <c r="N194" i="123"/>
  <c r="N268" i="123"/>
  <c r="G268" i="123"/>
  <c r="G125" i="123"/>
  <c r="N207" i="123"/>
  <c r="F41" i="123"/>
  <c r="N136" i="123"/>
  <c r="G200" i="123"/>
  <c r="N239" i="123"/>
  <c r="T65" i="123"/>
  <c r="T84" i="123"/>
  <c r="T85" i="123"/>
  <c r="T89" i="123"/>
  <c r="T91" i="123"/>
  <c r="T92" i="123"/>
  <c r="G117" i="123"/>
  <c r="T122" i="123"/>
  <c r="T123" i="123"/>
  <c r="G149" i="123"/>
  <c r="T153" i="123"/>
  <c r="T154" i="123"/>
  <c r="G218" i="123"/>
  <c r="G232" i="123"/>
  <c r="G295" i="123"/>
  <c r="F313" i="123"/>
  <c r="G365" i="123"/>
  <c r="G390" i="123"/>
  <c r="G544" i="123"/>
  <c r="N544" i="123"/>
  <c r="T49" i="123"/>
  <c r="T68" i="123"/>
  <c r="T69" i="123"/>
  <c r="T72" i="123"/>
  <c r="G109" i="123"/>
  <c r="T113" i="123"/>
  <c r="T114" i="123"/>
  <c r="T116" i="123"/>
  <c r="G141" i="123"/>
  <c r="T146" i="123"/>
  <c r="T147" i="123"/>
  <c r="T148" i="123"/>
  <c r="G211" i="123"/>
  <c r="G333" i="123"/>
  <c r="G436" i="123"/>
  <c r="G447" i="123"/>
  <c r="T51" i="123"/>
  <c r="G54" i="123"/>
  <c r="T73" i="123"/>
  <c r="G102" i="123"/>
  <c r="T104" i="123"/>
  <c r="T109" i="123"/>
  <c r="G134" i="123"/>
  <c r="T136" i="123"/>
  <c r="T141" i="123"/>
  <c r="G166" i="123"/>
  <c r="T168" i="123"/>
  <c r="N357" i="123"/>
  <c r="G357" i="123"/>
  <c r="G550" i="123"/>
  <c r="N550" i="123"/>
  <c r="F29" i="124"/>
  <c r="F30" i="124" s="1"/>
  <c r="F31" i="124" s="1"/>
  <c r="F32" i="124" s="1"/>
  <c r="F33" i="124" s="1"/>
  <c r="F34" i="124" s="1"/>
  <c r="F35" i="124" s="1"/>
  <c r="F36" i="124" s="1"/>
  <c r="T50" i="123" s="1"/>
  <c r="S83" i="122"/>
  <c r="S84" i="122"/>
  <c r="S85" i="122"/>
  <c r="T167" i="123"/>
  <c r="T159" i="123"/>
  <c r="T151" i="123"/>
  <c r="T143" i="123"/>
  <c r="T127" i="123"/>
  <c r="T119" i="123"/>
  <c r="T111" i="123"/>
  <c r="T103" i="123"/>
  <c r="T87" i="123"/>
  <c r="T79" i="123"/>
  <c r="T71" i="123"/>
  <c r="T63" i="123"/>
  <c r="T55" i="123"/>
  <c r="T47" i="123"/>
  <c r="T166" i="123"/>
  <c r="T158" i="123"/>
  <c r="T150" i="123"/>
  <c r="T142" i="123"/>
  <c r="T134" i="123"/>
  <c r="T126" i="123"/>
  <c r="T110" i="123"/>
  <c r="T94" i="123"/>
  <c r="T86" i="123"/>
  <c r="T52" i="123"/>
  <c r="T53" i="123"/>
  <c r="T54" i="123"/>
  <c r="T56" i="123"/>
  <c r="T74" i="123"/>
  <c r="T75" i="123"/>
  <c r="T106" i="123"/>
  <c r="T107" i="123"/>
  <c r="T137" i="123"/>
  <c r="T138" i="123"/>
  <c r="T139" i="123"/>
  <c r="T140" i="123"/>
  <c r="T169" i="123"/>
  <c r="T170" i="123"/>
  <c r="T171" i="123"/>
  <c r="N327" i="123"/>
  <c r="G327" i="123"/>
  <c r="N546" i="123"/>
  <c r="G546" i="123"/>
  <c r="G256" i="123"/>
  <c r="G282" i="123"/>
  <c r="G323" i="123"/>
  <c r="G346" i="123"/>
  <c r="G366" i="123"/>
  <c r="G368" i="123"/>
  <c r="G378" i="123"/>
  <c r="G384" i="123"/>
  <c r="G398" i="123"/>
  <c r="G435" i="123"/>
  <c r="G493" i="123"/>
  <c r="G522" i="123"/>
  <c r="G524" i="123"/>
  <c r="G538" i="123"/>
  <c r="G208" i="123"/>
  <c r="G224" i="123"/>
  <c r="G274" i="123"/>
  <c r="G339" i="123"/>
  <c r="G354" i="123"/>
  <c r="G362" i="123"/>
  <c r="G386" i="123"/>
  <c r="G394" i="123"/>
  <c r="G400" i="123"/>
  <c r="F419" i="123"/>
  <c r="G438" i="123"/>
  <c r="G446" i="123"/>
  <c r="G451" i="123"/>
  <c r="G526" i="123"/>
  <c r="G381" i="123"/>
  <c r="G264" i="123"/>
  <c r="G272" i="123"/>
  <c r="G280" i="123"/>
  <c r="G377" i="123"/>
  <c r="G397" i="123"/>
  <c r="N483" i="123"/>
  <c r="G521" i="123"/>
  <c r="G463" i="123"/>
  <c r="G480" i="123"/>
  <c r="G488" i="123"/>
  <c r="G541" i="123"/>
  <c r="G555" i="123"/>
  <c r="G530" i="123"/>
  <c r="G540" i="123"/>
  <c r="G543" i="123"/>
  <c r="G558" i="123"/>
  <c r="G523" i="123"/>
  <c r="G529" i="123"/>
  <c r="G549" i="123"/>
  <c r="F179" i="140"/>
  <c r="F80" i="140"/>
  <c r="F191" i="140"/>
  <c r="F96" i="139"/>
  <c r="F347" i="140"/>
  <c r="F396" i="140"/>
  <c r="F344" i="140"/>
  <c r="F345" i="140" s="1"/>
  <c r="F346" i="140" s="1"/>
  <c r="S366" i="139" s="1"/>
  <c r="F384" i="140"/>
  <c r="F317" i="140"/>
  <c r="F381" i="140"/>
  <c r="F404" i="140"/>
  <c r="F405" i="140" s="1"/>
  <c r="F406" i="140" s="1"/>
  <c r="F401" i="140"/>
  <c r="F397" i="139"/>
  <c r="F201" i="139"/>
  <c r="F212" i="139"/>
  <c r="F54" i="139"/>
  <c r="F198" i="139"/>
  <c r="F359" i="140"/>
  <c r="E272" i="139"/>
  <c r="F92" i="139"/>
  <c r="F188" i="139"/>
  <c r="G188" i="139" s="1"/>
  <c r="F369" i="139"/>
  <c r="F79" i="139"/>
  <c r="F205" i="139"/>
  <c r="F464" i="139"/>
  <c r="F470" i="139"/>
  <c r="F70" i="139"/>
  <c r="F86" i="139"/>
  <c r="E183" i="139"/>
  <c r="F218" i="139"/>
  <c r="F520" i="139"/>
  <c r="F101" i="139"/>
  <c r="F194" i="139"/>
  <c r="F197" i="139"/>
  <c r="F208" i="139"/>
  <c r="F214" i="139"/>
  <c r="F461" i="139"/>
  <c r="F559" i="140"/>
  <c r="F69" i="139"/>
  <c r="F85" i="139"/>
  <c r="F94" i="139"/>
  <c r="F190" i="139"/>
  <c r="F204" i="139"/>
  <c r="F217" i="139"/>
  <c r="F330" i="139"/>
  <c r="F373" i="139"/>
  <c r="E452" i="139"/>
  <c r="F189" i="139"/>
  <c r="F368" i="139"/>
  <c r="F398" i="139"/>
  <c r="F401" i="139"/>
  <c r="F93" i="139"/>
  <c r="F196" i="139"/>
  <c r="F206" i="139"/>
  <c r="F209" i="139"/>
  <c r="F216" i="139"/>
  <c r="F407" i="139"/>
  <c r="F465" i="139"/>
  <c r="F396" i="139"/>
  <c r="G396" i="139" s="1"/>
  <c r="F400" i="139"/>
  <c r="F417" i="139"/>
  <c r="F463" i="139"/>
  <c r="F534" i="139"/>
  <c r="F460" i="139"/>
  <c r="F468" i="139"/>
  <c r="F476" i="139"/>
  <c r="S30" i="138"/>
  <c r="F30" i="138" s="1"/>
  <c r="F616" i="131"/>
  <c r="F600" i="131"/>
  <c r="F615" i="131"/>
  <c r="F447" i="131"/>
  <c r="F542" i="131"/>
  <c r="F526" i="131"/>
  <c r="F598" i="131"/>
  <c r="F592" i="131"/>
  <c r="F55" i="131"/>
  <c r="F514" i="131"/>
  <c r="F342" i="131"/>
  <c r="F299" i="131"/>
  <c r="F479" i="131"/>
  <c r="F468" i="131"/>
  <c r="F441" i="131"/>
  <c r="F285" i="131"/>
  <c r="F345" i="131"/>
  <c r="F68" i="131"/>
  <c r="F159" i="131"/>
  <c r="F215" i="131"/>
  <c r="G215" i="131" s="1"/>
  <c r="F138" i="132" s="1"/>
  <c r="F139" i="132" s="1"/>
  <c r="F140" i="132" s="1"/>
  <c r="F141" i="132" s="1"/>
  <c r="F142" i="132" s="1"/>
  <c r="F143" i="132" s="1"/>
  <c r="F144" i="132" s="1"/>
  <c r="F145" i="132" s="1"/>
  <c r="S219" i="131" s="1"/>
  <c r="F222" i="131"/>
  <c r="F246" i="131"/>
  <c r="F310" i="131"/>
  <c r="F186" i="131"/>
  <c r="E272" i="131"/>
  <c r="E275" i="131" s="1"/>
  <c r="F297" i="131"/>
  <c r="F53" i="131"/>
  <c r="G53" i="131" s="1"/>
  <c r="F6" i="132" s="1"/>
  <c r="F7" i="132" s="1"/>
  <c r="F8" i="132" s="1"/>
  <c r="F9" i="132" s="1"/>
  <c r="F10" i="132" s="1"/>
  <c r="F11" i="132" s="1"/>
  <c r="F12" i="132" s="1"/>
  <c r="F13" i="132" s="1"/>
  <c r="S68" i="131" s="1"/>
  <c r="F97" i="131"/>
  <c r="F166" i="131"/>
  <c r="F173" i="131"/>
  <c r="F373" i="131"/>
  <c r="G373" i="131" s="1"/>
  <c r="T373" i="131" s="1"/>
  <c r="F407" i="131"/>
  <c r="F94" i="131"/>
  <c r="F168" i="131"/>
  <c r="F54" i="131"/>
  <c r="F61" i="131"/>
  <c r="F84" i="131"/>
  <c r="F147" i="131"/>
  <c r="F248" i="131"/>
  <c r="F544" i="131"/>
  <c r="F472" i="131"/>
  <c r="F65" i="131"/>
  <c r="F436" i="131"/>
  <c r="F104" i="131"/>
  <c r="F301" i="131"/>
  <c r="F449" i="131"/>
  <c r="E503" i="131"/>
  <c r="E506" i="131" s="1"/>
  <c r="F516" i="131"/>
  <c r="F602" i="131"/>
  <c r="F58" i="131"/>
  <c r="F257" i="131"/>
  <c r="F308" i="131"/>
  <c r="F250" i="131"/>
  <c r="F255" i="131"/>
  <c r="F477" i="131"/>
  <c r="F56" i="131"/>
  <c r="E207" i="131"/>
  <c r="F234" i="131"/>
  <c r="F284" i="131"/>
  <c r="F287" i="131"/>
  <c r="F298" i="131"/>
  <c r="E327" i="131"/>
  <c r="E330" i="131" s="1"/>
  <c r="F338" i="131"/>
  <c r="F340" i="131"/>
  <c r="F235" i="131"/>
  <c r="E45" i="131"/>
  <c r="F189" i="131"/>
  <c r="F223" i="131"/>
  <c r="F219" i="131"/>
  <c r="F283" i="131"/>
  <c r="F445" i="131"/>
  <c r="F534" i="131"/>
  <c r="F596" i="131"/>
  <c r="F86" i="131"/>
  <c r="F115" i="131"/>
  <c r="F146" i="131"/>
  <c r="F251" i="131"/>
  <c r="F256" i="131"/>
  <c r="F484" i="131"/>
  <c r="F586" i="131"/>
  <c r="F609" i="131"/>
  <c r="F622" i="131"/>
  <c r="F170" i="131"/>
  <c r="F442" i="131"/>
  <c r="F621" i="131"/>
  <c r="F543" i="131"/>
  <c r="F67" i="131"/>
  <c r="F87" i="131"/>
  <c r="F192" i="131"/>
  <c r="F244" i="131"/>
  <c r="F300" i="131"/>
  <c r="E396" i="131"/>
  <c r="E399" i="131" s="1"/>
  <c r="F408" i="131"/>
  <c r="E426" i="131"/>
  <c r="E429" i="131" s="1"/>
  <c r="F453" i="131"/>
  <c r="F520" i="131"/>
  <c r="F522" i="131"/>
  <c r="F530" i="131"/>
  <c r="F620" i="131"/>
  <c r="F62" i="131"/>
  <c r="F188" i="131"/>
  <c r="F336" i="131"/>
  <c r="F79" i="131"/>
  <c r="F286" i="131"/>
  <c r="F380" i="131"/>
  <c r="F410" i="131"/>
  <c r="F549" i="131"/>
  <c r="F583" i="131"/>
  <c r="F106" i="131"/>
  <c r="F116" i="131"/>
  <c r="E134" i="131"/>
  <c r="F143" i="131"/>
  <c r="F155" i="131"/>
  <c r="F158" i="131"/>
  <c r="F177" i="131"/>
  <c r="F185" i="131"/>
  <c r="F236" i="131"/>
  <c r="F343" i="131"/>
  <c r="F438" i="131"/>
  <c r="F457" i="131"/>
  <c r="F538" i="131"/>
  <c r="F619" i="131"/>
  <c r="F108" i="131"/>
  <c r="F160" i="131"/>
  <c r="F348" i="131"/>
  <c r="F411" i="131"/>
  <c r="F455" i="131"/>
  <c r="F525" i="131"/>
  <c r="F528" i="131"/>
  <c r="F607" i="131"/>
  <c r="F64" i="131"/>
  <c r="F72" i="131"/>
  <c r="F75" i="131"/>
  <c r="F88" i="131"/>
  <c r="F95" i="131"/>
  <c r="F105" i="131"/>
  <c r="F118" i="131"/>
  <c r="F145" i="131"/>
  <c r="F149" i="131"/>
  <c r="F174" i="131"/>
  <c r="F176" i="131"/>
  <c r="F184" i="131"/>
  <c r="F187" i="131"/>
  <c r="F243" i="131"/>
  <c r="F245" i="131"/>
  <c r="F254" i="131"/>
  <c r="F289" i="131"/>
  <c r="F337" i="131"/>
  <c r="F476" i="131"/>
  <c r="F512" i="131"/>
  <c r="F521" i="131"/>
  <c r="F531" i="131"/>
  <c r="F541" i="131"/>
  <c r="F546" i="131"/>
  <c r="F551" i="131"/>
  <c r="F554" i="131"/>
  <c r="F584" i="131"/>
  <c r="F587" i="131"/>
  <c r="F226" i="131"/>
  <c r="F237" i="131"/>
  <c r="F347" i="131"/>
  <c r="F439" i="131"/>
  <c r="F444" i="131"/>
  <c r="F60" i="131"/>
  <c r="F102" i="131"/>
  <c r="F142" i="131"/>
  <c r="G142" i="131" s="1"/>
  <c r="F75" i="132" s="1"/>
  <c r="F76" i="132" s="1"/>
  <c r="F77" i="132" s="1"/>
  <c r="F78" i="132" s="1"/>
  <c r="F79" i="132" s="1"/>
  <c r="F80" i="132" s="1"/>
  <c r="F81" i="132" s="1"/>
  <c r="F82" i="132" s="1"/>
  <c r="S150" i="131" s="1"/>
  <c r="F148" i="131"/>
  <c r="F288" i="131"/>
  <c r="F451" i="131"/>
  <c r="F456" i="131"/>
  <c r="F524" i="131"/>
  <c r="F532" i="131"/>
  <c r="F547" i="131"/>
  <c r="F585" i="131"/>
  <c r="F588" i="131"/>
  <c r="F82" i="131"/>
  <c r="F107" i="131"/>
  <c r="F63" i="131"/>
  <c r="F66" i="131"/>
  <c r="F71" i="131"/>
  <c r="F81" i="131"/>
  <c r="F89" i="131"/>
  <c r="F91" i="131"/>
  <c r="F119" i="131"/>
  <c r="F161" i="131"/>
  <c r="F164" i="131"/>
  <c r="F167" i="131"/>
  <c r="F191" i="131"/>
  <c r="F247" i="131"/>
  <c r="F282" i="131"/>
  <c r="F296" i="131"/>
  <c r="F311" i="131"/>
  <c r="F409" i="131"/>
  <c r="F462" i="131"/>
  <c r="F527" i="131"/>
  <c r="F553" i="131"/>
  <c r="F76" i="131"/>
  <c r="F98" i="131"/>
  <c r="F464" i="131"/>
  <c r="F154" i="131"/>
  <c r="F157" i="131"/>
  <c r="F224" i="131"/>
  <c r="F376" i="131"/>
  <c r="F443" i="131"/>
  <c r="F518" i="131"/>
  <c r="F545" i="131"/>
  <c r="F117" i="131"/>
  <c r="F151" i="131"/>
  <c r="F218" i="131"/>
  <c r="E365" i="131"/>
  <c r="E368" i="131" s="1"/>
  <c r="F404" i="131"/>
  <c r="T404" i="131" s="1"/>
  <c r="F459" i="131"/>
  <c r="F486" i="131"/>
  <c r="F537" i="131"/>
  <c r="F612" i="131"/>
  <c r="F381" i="131"/>
  <c r="E577" i="131"/>
  <c r="F557" i="131"/>
  <c r="F69" i="131"/>
  <c r="F99" i="131"/>
  <c r="F169" i="131"/>
  <c r="F172" i="131"/>
  <c r="F180" i="131"/>
  <c r="F238" i="131"/>
  <c r="F304" i="131"/>
  <c r="F306" i="131"/>
  <c r="F460" i="131"/>
  <c r="F613" i="131"/>
  <c r="F59" i="131"/>
  <c r="F103" i="131"/>
  <c r="F227" i="131"/>
  <c r="F232" i="131"/>
  <c r="F83" i="131"/>
  <c r="F114" i="131"/>
  <c r="F156" i="131"/>
  <c r="F175" i="131"/>
  <c r="F228" i="131"/>
  <c r="F344" i="131"/>
  <c r="F349" i="131"/>
  <c r="F454" i="131"/>
  <c r="F144" i="131"/>
  <c r="F485" i="131"/>
  <c r="F536" i="131"/>
  <c r="F229" i="131"/>
  <c r="F249" i="131"/>
  <c r="F293" i="131"/>
  <c r="F309" i="131"/>
  <c r="F339" i="131"/>
  <c r="F440" i="131"/>
  <c r="F467" i="131"/>
  <c r="F475" i="131"/>
  <c r="F599" i="131"/>
  <c r="F617" i="131"/>
  <c r="F74" i="131"/>
  <c r="F85" i="131"/>
  <c r="F93" i="131"/>
  <c r="F96" i="131"/>
  <c r="F101" i="131"/>
  <c r="F111" i="131"/>
  <c r="F163" i="131"/>
  <c r="F171" i="131"/>
  <c r="F182" i="131"/>
  <c r="F220" i="131"/>
  <c r="F242" i="131"/>
  <c r="F307" i="131"/>
  <c r="F312" i="131"/>
  <c r="F346" i="131"/>
  <c r="F378" i="131"/>
  <c r="F406" i="131"/>
  <c r="F452" i="131"/>
  <c r="F465" i="131"/>
  <c r="F470" i="131"/>
  <c r="F478" i="131"/>
  <c r="F483" i="131"/>
  <c r="F488" i="131"/>
  <c r="F519" i="131"/>
  <c r="F529" i="131"/>
  <c r="F552" i="131"/>
  <c r="F582" i="131"/>
  <c r="G582" i="131" s="1"/>
  <c r="F450" i="132" s="1"/>
  <c r="F451" i="132" s="1"/>
  <c r="F452" i="132" s="1"/>
  <c r="F453" i="132" s="1"/>
  <c r="F454" i="132" s="1"/>
  <c r="F455" i="132" s="1"/>
  <c r="F456" i="132" s="1"/>
  <c r="F457" i="132" s="1"/>
  <c r="F458" i="132" s="1"/>
  <c r="S586" i="131" s="1"/>
  <c r="F597" i="131"/>
  <c r="F608" i="131"/>
  <c r="F303" i="131"/>
  <c r="F341" i="131"/>
  <c r="F405" i="131"/>
  <c r="T405" i="131" s="1"/>
  <c r="G405" i="131" s="1"/>
  <c r="F435" i="131"/>
  <c r="F450" i="131"/>
  <c r="F473" i="131"/>
  <c r="F540" i="131"/>
  <c r="F590" i="131"/>
  <c r="F603" i="131"/>
  <c r="F606" i="131"/>
  <c r="F57" i="131"/>
  <c r="F73" i="131"/>
  <c r="F78" i="131"/>
  <c r="F92" i="131"/>
  <c r="F110" i="131"/>
  <c r="F162" i="131"/>
  <c r="F190" i="131"/>
  <c r="F241" i="131"/>
  <c r="F281" i="131"/>
  <c r="F350" i="131"/>
  <c r="F375" i="131"/>
  <c r="F377" i="131"/>
  <c r="F448" i="131"/>
  <c r="F466" i="131"/>
  <c r="F471" i="131"/>
  <c r="F474" i="131"/>
  <c r="F511" i="131"/>
  <c r="G511" i="131" s="1"/>
  <c r="T512" i="131" s="1"/>
  <c r="F513" i="131"/>
  <c r="F515" i="131"/>
  <c r="F535" i="131"/>
  <c r="F548" i="131"/>
  <c r="F556" i="131"/>
  <c r="F559" i="131"/>
  <c r="F593" i="131"/>
  <c r="F611" i="131"/>
  <c r="F70" i="131"/>
  <c r="F80" i="131"/>
  <c r="F112" i="131"/>
  <c r="F152" i="131"/>
  <c r="F181" i="131"/>
  <c r="F225" i="131"/>
  <c r="F230" i="131"/>
  <c r="F233" i="131"/>
  <c r="F294" i="131"/>
  <c r="F302" i="131"/>
  <c r="F379" i="131"/>
  <c r="F437" i="131"/>
  <c r="F591" i="131"/>
  <c r="F604" i="131"/>
  <c r="F614" i="131"/>
  <c r="F109" i="131"/>
  <c r="F77" i="131"/>
  <c r="F221" i="131"/>
  <c r="F446" i="131"/>
  <c r="F150" i="131"/>
  <c r="F252" i="131"/>
  <c r="F291" i="131"/>
  <c r="F292" i="131"/>
  <c r="F113" i="131"/>
  <c r="F165" i="131"/>
  <c r="F216" i="131"/>
  <c r="F179" i="131"/>
  <c r="F240" i="131"/>
  <c r="F183" i="131"/>
  <c r="F231" i="131"/>
  <c r="F239" i="131"/>
  <c r="F374" i="131"/>
  <c r="F90" i="131"/>
  <c r="F253" i="131"/>
  <c r="F280" i="131"/>
  <c r="F290" i="131"/>
  <c r="F558" i="131"/>
  <c r="F100" i="131"/>
  <c r="F153" i="131"/>
  <c r="F178" i="131"/>
  <c r="F217" i="131"/>
  <c r="F295" i="131"/>
  <c r="F335" i="131"/>
  <c r="G335" i="131" s="1"/>
  <c r="F251" i="132" s="1"/>
  <c r="F252" i="132" s="1"/>
  <c r="F253" i="132" s="1"/>
  <c r="F254" i="132" s="1"/>
  <c r="F255" i="132" s="1"/>
  <c r="F256" i="132" s="1"/>
  <c r="F257" i="132" s="1"/>
  <c r="S345" i="131" s="1"/>
  <c r="F305" i="131"/>
  <c r="F481" i="131"/>
  <c r="F533" i="131"/>
  <c r="F601" i="131"/>
  <c r="T215" i="131"/>
  <c r="F523" i="131"/>
  <c r="F550" i="131"/>
  <c r="F434" i="131"/>
  <c r="F461" i="131"/>
  <c r="F480" i="131"/>
  <c r="F463" i="131"/>
  <c r="F458" i="131"/>
  <c r="F469" i="131"/>
  <c r="F487" i="131"/>
  <c r="F517" i="131"/>
  <c r="F594" i="131"/>
  <c r="F482" i="131"/>
  <c r="F539" i="131"/>
  <c r="F589" i="131"/>
  <c r="F618" i="131"/>
  <c r="F595" i="131"/>
  <c r="F605" i="131"/>
  <c r="S73" i="130"/>
  <c r="S74" i="130"/>
  <c r="F74" i="130" s="1"/>
  <c r="S75" i="130" s="1"/>
  <c r="F75" i="130" s="1"/>
  <c r="S76" i="130" s="1"/>
  <c r="F76" i="130" s="1"/>
  <c r="S77" i="130" s="1"/>
  <c r="F77" i="130" s="1"/>
  <c r="S78" i="130" s="1"/>
  <c r="F78" i="130" s="1"/>
  <c r="S79" i="130" s="1"/>
  <c r="F79" i="130" s="1"/>
  <c r="S80" i="130" s="1"/>
  <c r="F80" i="130" s="1"/>
  <c r="S81" i="130" s="1"/>
  <c r="F81" i="130" s="1"/>
  <c r="S82" i="130" s="1"/>
  <c r="F82" i="130" s="1"/>
  <c r="S83" i="130" s="1"/>
  <c r="F83" i="130" s="1"/>
  <c r="F84" i="130" s="1"/>
  <c r="E32" i="130"/>
  <c r="E128" i="130"/>
  <c r="E130" i="130"/>
  <c r="E30" i="130"/>
  <c r="N131" i="130"/>
  <c r="E131" i="130" s="1"/>
  <c r="F29" i="130"/>
  <c r="S30" i="130" s="1"/>
  <c r="F30" i="130" s="1"/>
  <c r="S31" i="130" s="1"/>
  <c r="F31" i="130" s="1"/>
  <c r="S32" i="130" s="1"/>
  <c r="F32" i="130" s="1"/>
  <c r="S33" i="130" s="1"/>
  <c r="S102" i="130"/>
  <c r="F102" i="130" s="1"/>
  <c r="S103" i="130" s="1"/>
  <c r="F103" i="130" s="1"/>
  <c r="S104" i="130" s="1"/>
  <c r="F104" i="130" s="1"/>
  <c r="S105" i="130" s="1"/>
  <c r="F105" i="130" s="1"/>
  <c r="S106" i="130" s="1"/>
  <c r="F106" i="130" s="1"/>
  <c r="S107" i="130" s="1"/>
  <c r="F107" i="130" s="1"/>
  <c r="S108" i="130" s="1"/>
  <c r="F108" i="130" s="1"/>
  <c r="S109" i="130" s="1"/>
  <c r="F109" i="130" s="1"/>
  <c r="S110" i="130" s="1"/>
  <c r="F110" i="130" s="1"/>
  <c r="S111" i="130" s="1"/>
  <c r="F111" i="130" s="1"/>
  <c r="F112" i="130" s="1"/>
  <c r="S101" i="130"/>
  <c r="F147" i="130"/>
  <c r="S148" i="130" s="1"/>
  <c r="F148" i="130" s="1"/>
  <c r="S149" i="130" s="1"/>
  <c r="F149" i="130" s="1"/>
  <c r="S150" i="130" s="1"/>
  <c r="F150" i="130" s="1"/>
  <c r="S151" i="130" s="1"/>
  <c r="F151" i="130" s="1"/>
  <c r="S152" i="130" s="1"/>
  <c r="F152" i="130" s="1"/>
  <c r="S153" i="130" s="1"/>
  <c r="F153" i="130" s="1"/>
  <c r="S154" i="130" s="1"/>
  <c r="F154" i="130" s="1"/>
  <c r="S155" i="130" s="1"/>
  <c r="F155" i="130" s="1"/>
  <c r="F156" i="130" s="1"/>
  <c r="F128" i="130"/>
  <c r="S129" i="130" s="1"/>
  <c r="S47" i="130"/>
  <c r="S48" i="130"/>
  <c r="F48" i="130" s="1"/>
  <c r="S49" i="130" s="1"/>
  <c r="F49" i="130" s="1"/>
  <c r="S50" i="130" s="1"/>
  <c r="F50" i="130" s="1"/>
  <c r="S51" i="130" s="1"/>
  <c r="F51" i="130" s="1"/>
  <c r="S52" i="130" s="1"/>
  <c r="F52" i="130" s="1"/>
  <c r="S53" i="130" s="1"/>
  <c r="F53" i="130" s="1"/>
  <c r="S54" i="130" s="1"/>
  <c r="F54" i="130" s="1"/>
  <c r="S55" i="130" s="1"/>
  <c r="F55" i="130" s="1"/>
  <c r="S56" i="130" s="1"/>
  <c r="F56" i="130" s="1"/>
  <c r="S57" i="130" s="1"/>
  <c r="F57" i="130" s="1"/>
  <c r="F58" i="130" s="1"/>
  <c r="E129" i="130"/>
  <c r="S146" i="130"/>
  <c r="S172" i="130"/>
  <c r="F172" i="130" s="1"/>
  <c r="S173" i="130" s="1"/>
  <c r="F173" i="130" s="1"/>
  <c r="S174" i="130" s="1"/>
  <c r="F174" i="130" s="1"/>
  <c r="S175" i="130" s="1"/>
  <c r="F175" i="130" s="1"/>
  <c r="S176" i="130" s="1"/>
  <c r="F176" i="130" s="1"/>
  <c r="S177" i="130" s="1"/>
  <c r="F177" i="130" s="1"/>
  <c r="S178" i="130" s="1"/>
  <c r="F178" i="130" s="1"/>
  <c r="S179" i="130" s="1"/>
  <c r="F179" i="130" s="1"/>
  <c r="S180" i="130" s="1"/>
  <c r="F180" i="130" s="1"/>
  <c r="S181" i="130" s="1"/>
  <c r="F181" i="130" s="1"/>
  <c r="F182" i="130" s="1"/>
  <c r="S171" i="130"/>
  <c r="E33" i="130"/>
  <c r="S200" i="130"/>
  <c r="F200" i="130" s="1"/>
  <c r="S201" i="130" s="1"/>
  <c r="F201" i="130" s="1"/>
  <c r="S202" i="130" s="1"/>
  <c r="F202" i="130" s="1"/>
  <c r="S203" i="130" s="1"/>
  <c r="F203" i="130" s="1"/>
  <c r="S204" i="130" s="1"/>
  <c r="F204" i="130" s="1"/>
  <c r="S205" i="130" s="1"/>
  <c r="F205" i="130" s="1"/>
  <c r="S206" i="130" s="1"/>
  <c r="F206" i="130" s="1"/>
  <c r="S207" i="130" s="1"/>
  <c r="F207" i="130" s="1"/>
  <c r="S208" i="130" s="1"/>
  <c r="F208" i="130" s="1"/>
  <c r="S209" i="130" s="1"/>
  <c r="F209" i="130" s="1"/>
  <c r="F210" i="130" s="1"/>
  <c r="U10" i="100" l="1"/>
  <c r="U11" i="100" s="1"/>
  <c r="I65" i="100"/>
  <c r="I66" i="100" s="1"/>
  <c r="I67" i="100" s="1"/>
  <c r="I68" i="100" s="1"/>
  <c r="I69" i="100" s="1"/>
  <c r="I70" i="100" s="1"/>
  <c r="I71" i="100" s="1"/>
  <c r="I72" i="100" s="1"/>
  <c r="I73" i="100" s="1"/>
  <c r="I74" i="100" s="1"/>
  <c r="I75" i="100" s="1"/>
  <c r="I76" i="100" s="1"/>
  <c r="I77" i="100" s="1"/>
  <c r="I78" i="100" s="1"/>
  <c r="I79" i="100" s="1"/>
  <c r="I80" i="100" s="1"/>
  <c r="I81" i="100" s="1"/>
  <c r="I82" i="100" s="1"/>
  <c r="I83" i="100" s="1"/>
  <c r="I84" i="100" s="1"/>
  <c r="I85" i="100" s="1"/>
  <c r="I86" i="100" s="1"/>
  <c r="I87" i="100" s="1"/>
  <c r="I88" i="100" s="1"/>
  <c r="I89" i="100" s="1"/>
  <c r="I90" i="100" s="1"/>
  <c r="I91" i="100" s="1"/>
  <c r="I92" i="100" s="1"/>
  <c r="I93" i="100" s="1"/>
  <c r="I94" i="100" s="1"/>
  <c r="I95" i="100" s="1"/>
  <c r="I96" i="100" s="1"/>
  <c r="I97" i="100" s="1"/>
  <c r="I98" i="100" s="1"/>
  <c r="I99" i="100" s="1"/>
  <c r="I100" i="100" s="1"/>
  <c r="I101" i="100" s="1"/>
  <c r="I102" i="100" s="1"/>
  <c r="I103" i="100" s="1"/>
  <c r="I104" i="100" s="1"/>
  <c r="I105" i="100" s="1"/>
  <c r="I106" i="100" s="1"/>
  <c r="I107" i="100" s="1"/>
  <c r="I108" i="100" s="1"/>
  <c r="I109" i="100" s="1"/>
  <c r="I110" i="100" s="1"/>
  <c r="I111" i="100" s="1"/>
  <c r="I112" i="100" s="1"/>
  <c r="I113" i="100" s="1"/>
  <c r="I114" i="100" s="1"/>
  <c r="I115" i="100" s="1"/>
  <c r="I116" i="100" s="1"/>
  <c r="I117" i="100" s="1"/>
  <c r="I118" i="100" s="1"/>
  <c r="I119" i="100" s="1"/>
  <c r="I120" i="100" s="1"/>
  <c r="I121" i="100" s="1"/>
  <c r="I122" i="100" s="1"/>
  <c r="I123" i="100" s="1"/>
  <c r="I124" i="100" s="1"/>
  <c r="I125" i="100" s="1"/>
  <c r="I126" i="100" s="1"/>
  <c r="I127" i="100" s="1"/>
  <c r="I128" i="100" s="1"/>
  <c r="I129" i="100" s="1"/>
  <c r="I130" i="100" s="1"/>
  <c r="I131" i="100" s="1"/>
  <c r="I132" i="100" s="1"/>
  <c r="I133" i="100" s="1"/>
  <c r="I134" i="100" s="1"/>
  <c r="I135" i="100" s="1"/>
  <c r="I136" i="100" s="1"/>
  <c r="I137" i="100" s="1"/>
  <c r="I138" i="100" s="1"/>
  <c r="I139" i="100" s="1"/>
  <c r="I140" i="100" s="1"/>
  <c r="I141" i="100" s="1"/>
  <c r="I142" i="100" s="1"/>
  <c r="I143" i="100" s="1"/>
  <c r="I144" i="100" s="1"/>
  <c r="I145" i="100" s="1"/>
  <c r="I146" i="100" s="1"/>
  <c r="I147" i="100" s="1"/>
  <c r="I148" i="100" s="1"/>
  <c r="I149" i="100" s="1"/>
  <c r="I150" i="100" s="1"/>
  <c r="I151" i="100" s="1"/>
  <c r="I152" i="100" s="1"/>
  <c r="I153" i="100" s="1"/>
  <c r="I154" i="100" s="1"/>
  <c r="I155" i="100" s="1"/>
  <c r="I156" i="100" s="1"/>
  <c r="I157" i="100" s="1"/>
  <c r="I158" i="100" s="1"/>
  <c r="I159" i="100" s="1"/>
  <c r="I160" i="100" s="1"/>
  <c r="I161" i="100" s="1"/>
  <c r="I162" i="100" s="1"/>
  <c r="I163" i="100" s="1"/>
  <c r="I164" i="100" s="1"/>
  <c r="I165" i="100" s="1"/>
  <c r="I166" i="100" s="1"/>
  <c r="I167" i="100" s="1"/>
  <c r="I168" i="100" s="1"/>
  <c r="I169" i="100" s="1"/>
  <c r="I170" i="100" s="1"/>
  <c r="I171" i="100" s="1"/>
  <c r="I172" i="100" s="1"/>
  <c r="I173" i="100" s="1"/>
  <c r="I174" i="100" s="1"/>
  <c r="I175" i="100" s="1"/>
  <c r="I176" i="100" s="1"/>
  <c r="I177" i="100" s="1"/>
  <c r="I178" i="100" s="1"/>
  <c r="I179" i="100" s="1"/>
  <c r="I180" i="100" s="1"/>
  <c r="I181" i="100" s="1"/>
  <c r="I182" i="100" s="1"/>
  <c r="I183" i="100" s="1"/>
  <c r="I184" i="100" s="1"/>
  <c r="U14" i="100"/>
  <c r="U15" i="100" s="1"/>
  <c r="P10" i="100"/>
  <c r="P11" i="100" s="1"/>
  <c r="U16" i="100"/>
  <c r="U17" i="100" s="1"/>
  <c r="P14" i="100"/>
  <c r="P15" i="100" s="1"/>
  <c r="U12" i="100"/>
  <c r="U13" i="100" s="1"/>
  <c r="P12" i="100"/>
  <c r="P13" i="100" s="1"/>
  <c r="P16" i="100"/>
  <c r="P17" i="100" s="1"/>
  <c r="U28" i="100"/>
  <c r="U29" i="100" s="1"/>
  <c r="U30" i="100" s="1"/>
  <c r="U19" i="100"/>
  <c r="U24" i="100"/>
  <c r="F9" i="115"/>
  <c r="F10" i="115" s="1"/>
  <c r="F11" i="115" s="1"/>
  <c r="F12" i="115" s="1"/>
  <c r="U48" i="113" s="1"/>
  <c r="F245" i="115"/>
  <c r="F246" i="115" s="1"/>
  <c r="F247" i="115" s="1"/>
  <c r="F248" i="115" s="1"/>
  <c r="U232" i="113" s="1"/>
  <c r="S114" i="134"/>
  <c r="W28" i="114"/>
  <c r="Y28" i="114" s="1"/>
  <c r="Y29" i="114" s="1"/>
  <c r="Y30" i="114" s="1"/>
  <c r="X57" i="122"/>
  <c r="X31" i="122"/>
  <c r="X32" i="122"/>
  <c r="F263" i="119"/>
  <c r="Z28" i="122"/>
  <c r="Z29" i="122" s="1"/>
  <c r="Z30" i="122" s="1"/>
  <c r="Z32" i="122" s="1"/>
  <c r="E133" i="119"/>
  <c r="AB28" i="122"/>
  <c r="AB29" i="122" s="1"/>
  <c r="AB30" i="122" s="1"/>
  <c r="W28" i="122"/>
  <c r="W29" i="122" s="1"/>
  <c r="W30" i="122" s="1"/>
  <c r="E134" i="119"/>
  <c r="F268" i="119" s="1"/>
  <c r="Z57" i="122"/>
  <c r="E17" i="119"/>
  <c r="T326" i="139"/>
  <c r="G326" i="139" s="1"/>
  <c r="T327" i="139" s="1"/>
  <c r="G327" i="139" s="1"/>
  <c r="T356" i="139"/>
  <c r="G356" i="139" s="1"/>
  <c r="F322" i="140" s="1"/>
  <c r="F560" i="140"/>
  <c r="F192" i="140"/>
  <c r="F193" i="140" s="1"/>
  <c r="F310" i="140"/>
  <c r="S295" i="139" s="1"/>
  <c r="F81" i="140"/>
  <c r="F82" i="140" s="1"/>
  <c r="S103" i="139" s="1"/>
  <c r="S51" i="138"/>
  <c r="F51" i="138" s="1"/>
  <c r="S54" i="138" s="1"/>
  <c r="F397" i="140"/>
  <c r="F398" i="140" s="1"/>
  <c r="F399" i="140" s="1"/>
  <c r="F400" i="140" s="1"/>
  <c r="S329" i="139" s="1"/>
  <c r="T329" i="139" s="1"/>
  <c r="F348" i="140"/>
  <c r="F349" i="140" s="1"/>
  <c r="F88" i="140"/>
  <c r="F355" i="140"/>
  <c r="F92" i="140"/>
  <c r="T53" i="139"/>
  <c r="G53" i="139" s="1"/>
  <c r="T54" i="139" s="1"/>
  <c r="G54" i="139" s="1"/>
  <c r="T515" i="139"/>
  <c r="G515" i="139" s="1"/>
  <c r="F566" i="140" s="1"/>
  <c r="F567" i="140" s="1"/>
  <c r="F568" i="140" s="1"/>
  <c r="F569" i="140" s="1"/>
  <c r="F570" i="140" s="1"/>
  <c r="F571" i="140" s="1"/>
  <c r="F572" i="140" s="1"/>
  <c r="F573" i="140" s="1"/>
  <c r="F574" i="140" s="1"/>
  <c r="S522" i="139" s="1"/>
  <c r="T128" i="139"/>
  <c r="G128" i="139" s="1"/>
  <c r="T129" i="139" s="1"/>
  <c r="G129" i="139" s="1"/>
  <c r="T130" i="139" s="1"/>
  <c r="G130" i="139" s="1"/>
  <c r="G131" i="139" s="1"/>
  <c r="G132" i="139" s="1"/>
  <c r="G328" i="139"/>
  <c r="F256" i="140"/>
  <c r="F257" i="140" s="1"/>
  <c r="F104" i="140"/>
  <c r="F105" i="140" s="1"/>
  <c r="F106" i="140" s="1"/>
  <c r="F83" i="140"/>
  <c r="F84" i="140" s="1"/>
  <c r="F85" i="140" s="1"/>
  <c r="F170" i="140"/>
  <c r="F171" i="140" s="1"/>
  <c r="F172" i="140" s="1"/>
  <c r="F244" i="140"/>
  <c r="F245" i="140" s="1"/>
  <c r="F246" i="140" s="1"/>
  <c r="S218" i="139" s="1"/>
  <c r="F89" i="140"/>
  <c r="F90" i="140" s="1"/>
  <c r="F91" i="140" s="1"/>
  <c r="F11" i="140"/>
  <c r="F12" i="140" s="1"/>
  <c r="F13" i="140" s="1"/>
  <c r="F14" i="140" s="1"/>
  <c r="F15" i="140" s="1"/>
  <c r="S133" i="139" s="1"/>
  <c r="F101" i="140"/>
  <c r="F102" i="140" s="1"/>
  <c r="F103" i="140" s="1"/>
  <c r="F182" i="140"/>
  <c r="F183" i="140" s="1"/>
  <c r="F184" i="140" s="1"/>
  <c r="F247" i="140"/>
  <c r="F248" i="140" s="1"/>
  <c r="F249" i="140" s="1"/>
  <c r="F491" i="140"/>
  <c r="F492" i="140" s="1"/>
  <c r="F493" i="140" s="1"/>
  <c r="F494" i="140" s="1"/>
  <c r="F495" i="140" s="1"/>
  <c r="F496" i="140" s="1"/>
  <c r="S461" i="139" s="1"/>
  <c r="F98" i="140"/>
  <c r="F99" i="140" s="1"/>
  <c r="F100" i="140" s="1"/>
  <c r="F173" i="140"/>
  <c r="F174" i="140" s="1"/>
  <c r="F175" i="140" s="1"/>
  <c r="F95" i="140"/>
  <c r="F96" i="140" s="1"/>
  <c r="F97" i="140" s="1"/>
  <c r="T458" i="139"/>
  <c r="G458" i="139" s="1"/>
  <c r="T459" i="139" s="1"/>
  <c r="G459" i="139" s="1"/>
  <c r="F497" i="140" s="1"/>
  <c r="F498" i="140" s="1"/>
  <c r="F499" i="140" s="1"/>
  <c r="F500" i="140" s="1"/>
  <c r="F501" i="140" s="1"/>
  <c r="F502" i="140" s="1"/>
  <c r="F503" i="140" s="1"/>
  <c r="F504" i="140" s="1"/>
  <c r="F505" i="140" s="1"/>
  <c r="S463" i="139" s="1"/>
  <c r="T279" i="139"/>
  <c r="G279" i="139" s="1"/>
  <c r="F270" i="140" s="1"/>
  <c r="F271" i="140" s="1"/>
  <c r="F272" i="140" s="1"/>
  <c r="F273" i="140" s="1"/>
  <c r="F274" i="140" s="1"/>
  <c r="S286" i="139" s="1"/>
  <c r="T243" i="139"/>
  <c r="G243" i="139" s="1"/>
  <c r="T244" i="139" s="1"/>
  <c r="G244" i="139" s="1"/>
  <c r="G245" i="139" s="1"/>
  <c r="T246" i="139" s="1"/>
  <c r="G246" i="139" s="1"/>
  <c r="F259" i="140"/>
  <c r="F260" i="140" s="1"/>
  <c r="F261" i="140" s="1"/>
  <c r="F107" i="140"/>
  <c r="F108" i="140" s="1"/>
  <c r="F109" i="140" s="1"/>
  <c r="F185" i="140"/>
  <c r="F188" i="140"/>
  <c r="F189" i="140" s="1"/>
  <c r="F190" i="140" s="1"/>
  <c r="F250" i="140"/>
  <c r="F251" i="140" s="1"/>
  <c r="F252" i="140" s="1"/>
  <c r="F176" i="140"/>
  <c r="F177" i="140" s="1"/>
  <c r="F178" i="140" s="1"/>
  <c r="T52" i="139"/>
  <c r="F253" i="140"/>
  <c r="F254" i="140" s="1"/>
  <c r="F255" i="140" s="1"/>
  <c r="F108" i="134"/>
  <c r="F134" i="126"/>
  <c r="F313" i="140"/>
  <c r="F629" i="140"/>
  <c r="F630" i="140" s="1"/>
  <c r="F631" i="140" s="1"/>
  <c r="F633" i="140" s="1"/>
  <c r="F323" i="140"/>
  <c r="F324" i="140" s="1"/>
  <c r="F325" i="140" s="1"/>
  <c r="F326" i="140" s="1"/>
  <c r="S362" i="139" s="1"/>
  <c r="F186" i="140"/>
  <c r="F187" i="140" s="1"/>
  <c r="F180" i="140"/>
  <c r="F181" i="140" s="1"/>
  <c r="F93" i="140"/>
  <c r="F94" i="140" s="1"/>
  <c r="S161" i="139" s="1"/>
  <c r="F620" i="140"/>
  <c r="F621" i="140" s="1"/>
  <c r="F622" i="140" s="1"/>
  <c r="F623" i="140" s="1"/>
  <c r="F402" i="140"/>
  <c r="F403" i="140" s="1"/>
  <c r="S330" i="139" s="1"/>
  <c r="F352" i="140"/>
  <c r="S368" i="139" s="1"/>
  <c r="F382" i="140"/>
  <c r="F383" i="140" s="1"/>
  <c r="S253" i="139" s="1"/>
  <c r="F561" i="140"/>
  <c r="F562" i="140" s="1"/>
  <c r="F563" i="140" s="1"/>
  <c r="F564" i="140" s="1"/>
  <c r="F565" i="140" s="1"/>
  <c r="S516" i="139" s="1"/>
  <c r="F385" i="140"/>
  <c r="F392" i="140"/>
  <c r="F612" i="140"/>
  <c r="F613" i="140" s="1"/>
  <c r="F614" i="140" s="1"/>
  <c r="F615" i="140" s="1"/>
  <c r="R31" i="138" s="1"/>
  <c r="S31" i="138" s="1"/>
  <c r="F31" i="138" s="1"/>
  <c r="S32" i="138" s="1"/>
  <c r="F32" i="138" s="1"/>
  <c r="S33" i="138" s="1"/>
  <c r="F33" i="138" s="1"/>
  <c r="F34" i="138" s="1"/>
  <c r="F307" i="140"/>
  <c r="F304" i="140"/>
  <c r="S293" i="139" s="1"/>
  <c r="F318" i="140"/>
  <c r="F319" i="140" s="1"/>
  <c r="F320" i="140" s="1"/>
  <c r="F321" i="140" s="1"/>
  <c r="S358" i="139" s="1"/>
  <c r="F386" i="140"/>
  <c r="F258" i="140"/>
  <c r="F624" i="140"/>
  <c r="R56" i="138" s="1"/>
  <c r="F268" i="140"/>
  <c r="F269" i="140" s="1"/>
  <c r="S281" i="139" s="1"/>
  <c r="F114" i="140"/>
  <c r="F115" i="140" s="1"/>
  <c r="F116" i="140" s="1"/>
  <c r="F117" i="140" s="1"/>
  <c r="F360" i="140"/>
  <c r="F361" i="140" s="1"/>
  <c r="F362" i="140" s="1"/>
  <c r="F363" i="140" s="1"/>
  <c r="S247" i="139" s="1"/>
  <c r="F486" i="115"/>
  <c r="E158" i="110"/>
  <c r="E85" i="110"/>
  <c r="E59" i="110"/>
  <c r="E86" i="110"/>
  <c r="E7" i="108" s="1"/>
  <c r="AB28" i="114"/>
  <c r="AB29" i="114" s="1"/>
  <c r="AB30" i="114" s="1"/>
  <c r="Z28" i="114"/>
  <c r="Z29" i="114" s="1"/>
  <c r="Z30" i="114" s="1"/>
  <c r="AA28" i="114"/>
  <c r="AA29" i="114" s="1"/>
  <c r="AA30" i="114" s="1"/>
  <c r="G269" i="123"/>
  <c r="F357" i="124"/>
  <c r="F358" i="124" s="1"/>
  <c r="F359" i="124" s="1"/>
  <c r="T277" i="123" s="1"/>
  <c r="F354" i="124"/>
  <c r="F355" i="124" s="1"/>
  <c r="F356" i="124" s="1"/>
  <c r="T267" i="123" s="1"/>
  <c r="F363" i="124"/>
  <c r="F364" i="124" s="1"/>
  <c r="F365" i="124" s="1"/>
  <c r="T297" i="123" s="1"/>
  <c r="F754" i="124"/>
  <c r="F755" i="124" s="1"/>
  <c r="F756" i="124" s="1"/>
  <c r="F515" i="124"/>
  <c r="F516" i="124" s="1"/>
  <c r="F517" i="124" s="1"/>
  <c r="T403" i="123" s="1"/>
  <c r="F81" i="124"/>
  <c r="F82" i="124" s="1"/>
  <c r="F83" i="124" s="1"/>
  <c r="T95" i="123" s="1"/>
  <c r="F512" i="124"/>
  <c r="F513" i="124" s="1"/>
  <c r="F514" i="124" s="1"/>
  <c r="T393" i="123" s="1"/>
  <c r="U46" i="123"/>
  <c r="F640" i="124"/>
  <c r="F641" i="124" s="1"/>
  <c r="F642" i="124" s="1"/>
  <c r="T485" i="123" s="1"/>
  <c r="F643" i="124"/>
  <c r="F644" i="124" s="1"/>
  <c r="F645" i="124" s="1"/>
  <c r="T495" i="123" s="1"/>
  <c r="G551" i="123"/>
  <c r="U47" i="123"/>
  <c r="G251" i="123"/>
  <c r="G219" i="123"/>
  <c r="G487" i="123"/>
  <c r="G133" i="123"/>
  <c r="G437" i="123"/>
  <c r="Z31" i="122"/>
  <c r="Y32" i="122"/>
  <c r="AA57" i="122"/>
  <c r="W57" i="122"/>
  <c r="S8" i="119"/>
  <c r="F8" i="119" s="1"/>
  <c r="S9" i="119" s="1"/>
  <c r="F9" i="119" s="1"/>
  <c r="S10" i="119" s="1"/>
  <c r="F10" i="119" s="1"/>
  <c r="S11" i="119" s="1"/>
  <c r="F109" i="134"/>
  <c r="F77" i="134"/>
  <c r="V96" i="138"/>
  <c r="V97" i="138"/>
  <c r="F137" i="126"/>
  <c r="S138" i="126" s="1"/>
  <c r="F138" i="126" s="1"/>
  <c r="S139" i="126" s="1"/>
  <c r="F139" i="126" s="1"/>
  <c r="S140" i="126" s="1"/>
  <c r="F140" i="126" s="1"/>
  <c r="S141" i="126" s="1"/>
  <c r="F141" i="126" s="1"/>
  <c r="S142" i="126" s="1"/>
  <c r="F94" i="126"/>
  <c r="H158" i="126"/>
  <c r="E158" i="126" s="1"/>
  <c r="X115" i="138"/>
  <c r="S202" i="131"/>
  <c r="H90" i="126"/>
  <c r="E90" i="126" s="1"/>
  <c r="Z100" i="130" s="1"/>
  <c r="H69" i="134"/>
  <c r="E69" i="134" s="1"/>
  <c r="H65" i="126"/>
  <c r="E65" i="126" s="1"/>
  <c r="V40" i="131"/>
  <c r="V41" i="131" s="1"/>
  <c r="H68" i="126"/>
  <c r="E68" i="126" s="1"/>
  <c r="S391" i="131"/>
  <c r="S392" i="131" s="1"/>
  <c r="S394" i="131" s="1"/>
  <c r="X175" i="139"/>
  <c r="X176" i="139" s="1"/>
  <c r="H168" i="126"/>
  <c r="E168" i="126" s="1"/>
  <c r="H72" i="134"/>
  <c r="E72" i="134" s="1"/>
  <c r="H58" i="134"/>
  <c r="E58" i="134" s="1"/>
  <c r="V39" i="139"/>
  <c r="V40" i="139" s="1"/>
  <c r="V41" i="139" s="1"/>
  <c r="S264" i="139"/>
  <c r="S265" i="139" s="1"/>
  <c r="W341" i="139"/>
  <c r="W342" i="139" s="1"/>
  <c r="W344" i="139" s="1"/>
  <c r="H60" i="134"/>
  <c r="E60" i="134" s="1"/>
  <c r="H155" i="126"/>
  <c r="E155" i="126" s="1"/>
  <c r="T341" i="139"/>
  <c r="T342" i="139" s="1"/>
  <c r="T343" i="139" s="1"/>
  <c r="U175" i="139"/>
  <c r="U176" i="139" s="1"/>
  <c r="T202" i="131"/>
  <c r="T203" i="131" s="1"/>
  <c r="T205" i="131" s="1"/>
  <c r="U114" i="139"/>
  <c r="U115" i="139" s="1"/>
  <c r="U116" i="139" s="1"/>
  <c r="V175" i="139"/>
  <c r="V176" i="139" s="1"/>
  <c r="U341" i="139"/>
  <c r="U342" i="139" s="1"/>
  <c r="U343" i="139" s="1"/>
  <c r="H145" i="134"/>
  <c r="E145" i="134" s="1"/>
  <c r="H56" i="134"/>
  <c r="E56" i="134" s="1"/>
  <c r="X40" i="131"/>
  <c r="X41" i="131" s="1"/>
  <c r="U264" i="139"/>
  <c r="U265" i="139" s="1"/>
  <c r="S39" i="139"/>
  <c r="S40" i="139" s="1"/>
  <c r="S42" i="139" s="1"/>
  <c r="T267" i="131"/>
  <c r="T268" i="131" s="1"/>
  <c r="X267" i="131"/>
  <c r="X268" i="131" s="1"/>
  <c r="X269" i="131" s="1"/>
  <c r="U40" i="131"/>
  <c r="U41" i="131" s="1"/>
  <c r="T569" i="131"/>
  <c r="T570" i="131" s="1"/>
  <c r="T571" i="131" s="1"/>
  <c r="V444" i="139"/>
  <c r="V445" i="139" s="1"/>
  <c r="V446" i="139" s="1"/>
  <c r="H63" i="134"/>
  <c r="E63" i="134" s="1"/>
  <c r="H204" i="126"/>
  <c r="E204" i="126" s="1"/>
  <c r="F220" i="134"/>
  <c r="S500" i="139"/>
  <c r="S501" i="139" s="1"/>
  <c r="S502" i="139" s="1"/>
  <c r="T500" i="139"/>
  <c r="T501" i="139" s="1"/>
  <c r="T502" i="139" s="1"/>
  <c r="W500" i="139"/>
  <c r="W501" i="139" s="1"/>
  <c r="W503" i="139" s="1"/>
  <c r="W170" i="130"/>
  <c r="S569" i="131"/>
  <c r="S570" i="131" s="1"/>
  <c r="S571" i="131" s="1"/>
  <c r="Y115" i="138"/>
  <c r="T444" i="139"/>
  <c r="T445" i="139" s="1"/>
  <c r="T447" i="139" s="1"/>
  <c r="H142" i="126"/>
  <c r="E142" i="126" s="1"/>
  <c r="U383" i="139"/>
  <c r="U384" i="139" s="1"/>
  <c r="U385" i="139" s="1"/>
  <c r="X569" i="131"/>
  <c r="X570" i="131" s="1"/>
  <c r="X572" i="131" s="1"/>
  <c r="W498" i="131"/>
  <c r="W499" i="131" s="1"/>
  <c r="S444" i="139"/>
  <c r="S445" i="139" s="1"/>
  <c r="U498" i="131"/>
  <c r="U499" i="131" s="1"/>
  <c r="S421" i="131"/>
  <c r="S422" i="131" s="1"/>
  <c r="S383" i="139"/>
  <c r="S384" i="139" s="1"/>
  <c r="S385" i="139" s="1"/>
  <c r="U421" i="131"/>
  <c r="U422" i="131" s="1"/>
  <c r="F7" i="133"/>
  <c r="F44" i="133" s="1"/>
  <c r="F45" i="133" s="1"/>
  <c r="V500" i="139"/>
  <c r="V501" i="139" s="1"/>
  <c r="V503" i="139" s="1"/>
  <c r="U569" i="131"/>
  <c r="U570" i="131" s="1"/>
  <c r="U572" i="131" s="1"/>
  <c r="V421" i="131"/>
  <c r="V422" i="131" s="1"/>
  <c r="T421" i="131"/>
  <c r="T422" i="131" s="1"/>
  <c r="W569" i="131"/>
  <c r="W570" i="131" s="1"/>
  <c r="W572" i="131" s="1"/>
  <c r="X421" i="131"/>
  <c r="X422" i="131" s="1"/>
  <c r="V498" i="131"/>
  <c r="V499" i="131" s="1"/>
  <c r="S498" i="131"/>
  <c r="S499" i="131" s="1"/>
  <c r="X498" i="131"/>
  <c r="X499" i="131" s="1"/>
  <c r="T498" i="131"/>
  <c r="T499" i="131" s="1"/>
  <c r="W383" i="139"/>
  <c r="W384" i="139" s="1"/>
  <c r="X444" i="139"/>
  <c r="X445" i="139" s="1"/>
  <c r="X383" i="139"/>
  <c r="X384" i="139" s="1"/>
  <c r="X385" i="139" s="1"/>
  <c r="V569" i="131"/>
  <c r="V570" i="131" s="1"/>
  <c r="V572" i="131" s="1"/>
  <c r="W444" i="139"/>
  <c r="W445" i="139" s="1"/>
  <c r="W446" i="139" s="1"/>
  <c r="H161" i="134"/>
  <c r="E161" i="134" s="1"/>
  <c r="H207" i="126"/>
  <c r="E207" i="126" s="1"/>
  <c r="H164" i="134"/>
  <c r="E164" i="134" s="1"/>
  <c r="H201" i="126"/>
  <c r="E201" i="126" s="1"/>
  <c r="X500" i="139"/>
  <c r="X501" i="139" s="1"/>
  <c r="X503" i="139" s="1"/>
  <c r="W421" i="131"/>
  <c r="W422" i="131" s="1"/>
  <c r="V383" i="139"/>
  <c r="V384" i="139" s="1"/>
  <c r="V385" i="139" s="1"/>
  <c r="U500" i="139"/>
  <c r="U501" i="139" s="1"/>
  <c r="U502" i="139" s="1"/>
  <c r="H167" i="134"/>
  <c r="E167" i="134" s="1"/>
  <c r="Z199" i="130"/>
  <c r="V115" i="138"/>
  <c r="Z171" i="130"/>
  <c r="Z42" i="138"/>
  <c r="Z43" i="138" s="1"/>
  <c r="Z44" i="138" s="1"/>
  <c r="Z45" i="138" s="1"/>
  <c r="S267" i="131"/>
  <c r="S268" i="131" s="1"/>
  <c r="S40" i="131"/>
  <c r="S41" i="131" s="1"/>
  <c r="U129" i="131"/>
  <c r="U130" i="131" s="1"/>
  <c r="H40" i="134"/>
  <c r="E40" i="134" s="1"/>
  <c r="AA115" i="138"/>
  <c r="Z115" i="138"/>
  <c r="Y116" i="138"/>
  <c r="Y117" i="138" s="1"/>
  <c r="Y118" i="138" s="1"/>
  <c r="H119" i="126"/>
  <c r="E119" i="126" s="1"/>
  <c r="X101" i="130"/>
  <c r="H175" i="134"/>
  <c r="E175" i="134" s="1"/>
  <c r="F114" i="134"/>
  <c r="S115" i="134" s="1"/>
  <c r="F115" i="134" s="1"/>
  <c r="S116" i="134" s="1"/>
  <c r="F116" i="134" s="1"/>
  <c r="S117" i="134" s="1"/>
  <c r="F117" i="134" s="1"/>
  <c r="S118" i="134" s="1"/>
  <c r="F118" i="134" s="1"/>
  <c r="F181" i="136" s="1"/>
  <c r="F182" i="136" s="1"/>
  <c r="F183" i="136" s="1"/>
  <c r="F184" i="136" s="1"/>
  <c r="F185" i="136" s="1"/>
  <c r="F186" i="136" s="1"/>
  <c r="F187" i="136" s="1"/>
  <c r="F188" i="136" s="1"/>
  <c r="F189" i="136" s="1"/>
  <c r="R122" i="134" s="1"/>
  <c r="H151" i="134"/>
  <c r="E151" i="134" s="1"/>
  <c r="H26" i="134"/>
  <c r="E26" i="134" s="1"/>
  <c r="Y42" i="138"/>
  <c r="Y43" i="138" s="1"/>
  <c r="Y44" i="138" s="1"/>
  <c r="Y46" i="138" s="1"/>
  <c r="F224" i="134"/>
  <c r="T391" i="131"/>
  <c r="T392" i="131" s="1"/>
  <c r="T393" i="131" s="1"/>
  <c r="S129" i="131"/>
  <c r="S130" i="131" s="1"/>
  <c r="W202" i="131"/>
  <c r="W203" i="131" s="1"/>
  <c r="W204" i="131" s="1"/>
  <c r="T114" i="139"/>
  <c r="T115" i="139" s="1"/>
  <c r="T117" i="139" s="1"/>
  <c r="D206" i="98"/>
  <c r="S341" i="139"/>
  <c r="S342" i="139" s="1"/>
  <c r="S344" i="139" s="1"/>
  <c r="T129" i="131"/>
  <c r="T130" i="131" s="1"/>
  <c r="U202" i="131"/>
  <c r="U203" i="131" s="1"/>
  <c r="O7" i="125"/>
  <c r="O45" i="125" s="1"/>
  <c r="H165" i="126"/>
  <c r="E165" i="126" s="1"/>
  <c r="W40" i="131"/>
  <c r="W41" i="131" s="1"/>
  <c r="W43" i="131" s="1"/>
  <c r="T39" i="139"/>
  <c r="T40" i="139" s="1"/>
  <c r="T42" i="139" s="1"/>
  <c r="T264" i="139"/>
  <c r="T265" i="139" s="1"/>
  <c r="V391" i="131"/>
  <c r="V392" i="131" s="1"/>
  <c r="V394" i="131" s="1"/>
  <c r="V267" i="131"/>
  <c r="V268" i="131" s="1"/>
  <c r="H81" i="134"/>
  <c r="E81" i="134" s="1"/>
  <c r="X202" i="131"/>
  <c r="X203" i="131" s="1"/>
  <c r="X204" i="131" s="1"/>
  <c r="V129" i="131"/>
  <c r="V130" i="131" s="1"/>
  <c r="X341" i="139"/>
  <c r="X342" i="139" s="1"/>
  <c r="X344" i="139" s="1"/>
  <c r="X114" i="139"/>
  <c r="X115" i="139" s="1"/>
  <c r="X116" i="139" s="1"/>
  <c r="T40" i="131"/>
  <c r="T41" i="131" s="1"/>
  <c r="U391" i="131"/>
  <c r="U392" i="131" s="1"/>
  <c r="U394" i="131" s="1"/>
  <c r="V114" i="139"/>
  <c r="V115" i="139" s="1"/>
  <c r="V116" i="139" s="1"/>
  <c r="T175" i="139"/>
  <c r="T176" i="139" s="1"/>
  <c r="T177" i="139" s="1"/>
  <c r="H116" i="126"/>
  <c r="E116" i="126" s="1"/>
  <c r="Y170" i="130"/>
  <c r="X391" i="131"/>
  <c r="X392" i="131" s="1"/>
  <c r="X393" i="131" s="1"/>
  <c r="H94" i="134"/>
  <c r="E94" i="134" s="1"/>
  <c r="H154" i="134"/>
  <c r="E154" i="134" s="1"/>
  <c r="AA170" i="130"/>
  <c r="H97" i="134"/>
  <c r="E97" i="134" s="1"/>
  <c r="U267" i="131"/>
  <c r="U268" i="131" s="1"/>
  <c r="X129" i="131"/>
  <c r="X130" i="131" s="1"/>
  <c r="W129" i="131"/>
  <c r="W130" i="131" s="1"/>
  <c r="W175" i="139"/>
  <c r="W176" i="139" s="1"/>
  <c r="W391" i="131"/>
  <c r="W392" i="131" s="1"/>
  <c r="W393" i="131" s="1"/>
  <c r="W39" i="139"/>
  <c r="W40" i="139" s="1"/>
  <c r="S175" i="139"/>
  <c r="S176" i="139" s="1"/>
  <c r="W264" i="139"/>
  <c r="W265" i="139" s="1"/>
  <c r="W267" i="139" s="1"/>
  <c r="AA72" i="130"/>
  <c r="AA73" i="130" s="1"/>
  <c r="AA74" i="130" s="1"/>
  <c r="AA75" i="130" s="1"/>
  <c r="X39" i="139"/>
  <c r="X40" i="139" s="1"/>
  <c r="X42" i="139" s="1"/>
  <c r="W114" i="139"/>
  <c r="W115" i="139" s="1"/>
  <c r="W117" i="139" s="1"/>
  <c r="AA116" i="138"/>
  <c r="H136" i="134"/>
  <c r="E136" i="134" s="1"/>
  <c r="Z72" i="130"/>
  <c r="Z73" i="130" s="1"/>
  <c r="Z74" i="130" s="1"/>
  <c r="Z75" i="130" s="1"/>
  <c r="H133" i="134"/>
  <c r="E133" i="134" s="1"/>
  <c r="H177" i="126"/>
  <c r="E177" i="126" s="1"/>
  <c r="U39" i="139"/>
  <c r="U40" i="139" s="1"/>
  <c r="U41" i="139" s="1"/>
  <c r="V202" i="131"/>
  <c r="V203" i="131" s="1"/>
  <c r="V204" i="131" s="1"/>
  <c r="W267" i="131"/>
  <c r="W268" i="131" s="1"/>
  <c r="W269" i="131" s="1"/>
  <c r="X264" i="139"/>
  <c r="X265" i="139" s="1"/>
  <c r="X266" i="139" s="1"/>
  <c r="D208" i="98"/>
  <c r="S114" i="139"/>
  <c r="S115" i="139" s="1"/>
  <c r="V264" i="139"/>
  <c r="V265" i="139" s="1"/>
  <c r="V266" i="139" s="1"/>
  <c r="F10" i="126"/>
  <c r="S11" i="126" s="1"/>
  <c r="F11" i="126" s="1"/>
  <c r="S12" i="126" s="1"/>
  <c r="F12" i="126" s="1"/>
  <c r="F11" i="128" s="1"/>
  <c r="F12" i="128" s="1"/>
  <c r="F13" i="128" s="1"/>
  <c r="F14" i="128" s="1"/>
  <c r="F15" i="128" s="1"/>
  <c r="F16" i="128" s="1"/>
  <c r="F17" i="128" s="1"/>
  <c r="F18" i="128" s="1"/>
  <c r="F19" i="128" s="1"/>
  <c r="F20" i="128" s="1"/>
  <c r="F21" i="128" s="1"/>
  <c r="R30" i="126" s="1"/>
  <c r="F112" i="134"/>
  <c r="X72" i="130"/>
  <c r="X73" i="130" s="1"/>
  <c r="X74" i="130" s="1"/>
  <c r="X76" i="130" s="1"/>
  <c r="Z101" i="130"/>
  <c r="V199" i="130"/>
  <c r="Y101" i="130"/>
  <c r="D79" i="98"/>
  <c r="D77" i="98"/>
  <c r="H110" i="126"/>
  <c r="E110" i="126" s="1"/>
  <c r="W115" i="138"/>
  <c r="H91" i="134"/>
  <c r="E91" i="134" s="1"/>
  <c r="W199" i="130"/>
  <c r="V72" i="130"/>
  <c r="V73" i="130" s="1"/>
  <c r="V74" i="130" s="1"/>
  <c r="V77" i="130" s="1"/>
  <c r="H100" i="126"/>
  <c r="E100" i="126" s="1"/>
  <c r="W116" i="138"/>
  <c r="E7" i="125"/>
  <c r="AA42" i="138"/>
  <c r="AA43" i="138" s="1"/>
  <c r="AA44" i="138" s="1"/>
  <c r="V42" i="138"/>
  <c r="V43" i="138" s="1"/>
  <c r="V44" i="138" s="1"/>
  <c r="F262" i="126"/>
  <c r="P7" i="125"/>
  <c r="F7" i="134"/>
  <c r="V170" i="130"/>
  <c r="X170" i="130"/>
  <c r="X116" i="138"/>
  <c r="AA101" i="130"/>
  <c r="X199" i="130"/>
  <c r="Y171" i="130"/>
  <c r="P7" i="133"/>
  <c r="AA171" i="130"/>
  <c r="W171" i="130"/>
  <c r="V171" i="130"/>
  <c r="W42" i="138"/>
  <c r="W43" i="138" s="1"/>
  <c r="W44" i="138" s="1"/>
  <c r="Y199" i="130"/>
  <c r="X42" i="138"/>
  <c r="X43" i="138" s="1"/>
  <c r="X44" i="138" s="1"/>
  <c r="F267" i="126"/>
  <c r="Z170" i="130"/>
  <c r="W72" i="130"/>
  <c r="W73" i="130" s="1"/>
  <c r="W74" i="130" s="1"/>
  <c r="W75" i="130" s="1"/>
  <c r="F266" i="126"/>
  <c r="F7" i="125"/>
  <c r="Z116" i="138"/>
  <c r="X171" i="130"/>
  <c r="V116" i="138"/>
  <c r="V117" i="138" s="1"/>
  <c r="V118" i="138" s="1"/>
  <c r="V198" i="130"/>
  <c r="AA100" i="130"/>
  <c r="W100" i="130"/>
  <c r="X100" i="130"/>
  <c r="V101" i="130"/>
  <c r="AA199" i="130"/>
  <c r="F263" i="126"/>
  <c r="Y72" i="130"/>
  <c r="Y73" i="130" s="1"/>
  <c r="Y74" i="130" s="1"/>
  <c r="Y76" i="130" s="1"/>
  <c r="H107" i="126"/>
  <c r="E107" i="126" s="1"/>
  <c r="W101" i="130"/>
  <c r="N545" i="123"/>
  <c r="V366" i="113"/>
  <c r="G153" i="123"/>
  <c r="G279" i="123"/>
  <c r="G367" i="123"/>
  <c r="W132" i="122"/>
  <c r="G472" i="123"/>
  <c r="G385" i="123"/>
  <c r="G427" i="123"/>
  <c r="G554" i="123"/>
  <c r="G248" i="123"/>
  <c r="K389" i="113"/>
  <c r="H389" i="113" s="1"/>
  <c r="K319" i="113"/>
  <c r="H319" i="113" s="1"/>
  <c r="K249" i="113"/>
  <c r="H249" i="113" s="1"/>
  <c r="J458" i="123"/>
  <c r="J104" i="123"/>
  <c r="K371" i="113"/>
  <c r="H371" i="113" s="1"/>
  <c r="H80" i="110"/>
  <c r="E80" i="110" s="1"/>
  <c r="K255" i="113"/>
  <c r="H255" i="113" s="1"/>
  <c r="G335" i="123"/>
  <c r="G395" i="123"/>
  <c r="G364" i="123"/>
  <c r="J461" i="123"/>
  <c r="N461" i="123" s="1"/>
  <c r="J531" i="123"/>
  <c r="K107" i="113"/>
  <c r="H107" i="113" s="1"/>
  <c r="J234" i="123"/>
  <c r="K387" i="113"/>
  <c r="H387" i="113" s="1"/>
  <c r="J347" i="123"/>
  <c r="N347" i="123" s="1"/>
  <c r="J528" i="123"/>
  <c r="N528" i="123" s="1"/>
  <c r="K171" i="113"/>
  <c r="H171" i="113" s="1"/>
  <c r="J328" i="123"/>
  <c r="N328" i="123" s="1"/>
  <c r="J205" i="123"/>
  <c r="N205" i="123" s="1"/>
  <c r="J389" i="123"/>
  <c r="N389" i="123" s="1"/>
  <c r="J481" i="123"/>
  <c r="N481" i="123" s="1"/>
  <c r="H82" i="110"/>
  <c r="E82" i="110" s="1"/>
  <c r="K83" i="113"/>
  <c r="H83" i="113" s="1"/>
  <c r="H107" i="119"/>
  <c r="E107" i="119" s="1"/>
  <c r="K379" i="113"/>
  <c r="H379" i="113" s="1"/>
  <c r="H125" i="119"/>
  <c r="E125" i="119" s="1"/>
  <c r="AB135" i="122" s="1"/>
  <c r="J98" i="123"/>
  <c r="N98" i="123" s="1"/>
  <c r="K333" i="113"/>
  <c r="H333" i="113" s="1"/>
  <c r="K75" i="113"/>
  <c r="H75" i="113" s="1"/>
  <c r="K77" i="113"/>
  <c r="H77" i="113" s="1"/>
  <c r="H78" i="110"/>
  <c r="E78" i="110" s="1"/>
  <c r="K169" i="113"/>
  <c r="H169" i="113" s="1"/>
  <c r="J237" i="123"/>
  <c r="H116" i="119"/>
  <c r="E116" i="119" s="1"/>
  <c r="J231" i="123"/>
  <c r="N231" i="123" s="1"/>
  <c r="J534" i="123"/>
  <c r="N534" i="123" s="1"/>
  <c r="K79" i="113"/>
  <c r="H79" i="113" s="1"/>
  <c r="G143" i="123"/>
  <c r="H128" i="119"/>
  <c r="E128" i="119" s="1"/>
  <c r="K167" i="113"/>
  <c r="H167" i="113" s="1"/>
  <c r="H32" i="110"/>
  <c r="E32" i="110" s="1"/>
  <c r="K247" i="113"/>
  <c r="H247" i="113" s="1"/>
  <c r="H114" i="110"/>
  <c r="E114" i="110" s="1"/>
  <c r="J95" i="123"/>
  <c r="N95" i="123" s="1"/>
  <c r="K375" i="113"/>
  <c r="H375" i="113" s="1"/>
  <c r="K263" i="113"/>
  <c r="H263" i="113" s="1"/>
  <c r="J537" i="123"/>
  <c r="H122" i="119"/>
  <c r="E122" i="119" s="1"/>
  <c r="J353" i="123"/>
  <c r="N353" i="123" s="1"/>
  <c r="G289" i="123"/>
  <c r="V367" i="113"/>
  <c r="K95" i="113"/>
  <c r="H95" i="113" s="1"/>
  <c r="K377" i="113"/>
  <c r="H377" i="113" s="1"/>
  <c r="K93" i="113"/>
  <c r="H93" i="113" s="1"/>
  <c r="K91" i="113"/>
  <c r="H91" i="113" s="1"/>
  <c r="K185" i="113"/>
  <c r="H185" i="113" s="1"/>
  <c r="H119" i="119"/>
  <c r="E119" i="119" s="1"/>
  <c r="K237" i="113"/>
  <c r="H237" i="113" s="1"/>
  <c r="AB132" i="122"/>
  <c r="J455" i="123"/>
  <c r="K253" i="113"/>
  <c r="H253" i="113" s="1"/>
  <c r="X186" i="122"/>
  <c r="J101" i="123"/>
  <c r="J243" i="123"/>
  <c r="N243" i="123" s="1"/>
  <c r="J359" i="123"/>
  <c r="G115" i="123"/>
  <c r="K321" i="113"/>
  <c r="H321" i="113" s="1"/>
  <c r="J350" i="123"/>
  <c r="J449" i="123"/>
  <c r="N449" i="123" s="1"/>
  <c r="N325" i="123"/>
  <c r="K175" i="113"/>
  <c r="H175" i="113" s="1"/>
  <c r="J240" i="123"/>
  <c r="N240" i="123" s="1"/>
  <c r="J452" i="123"/>
  <c r="N452" i="123" s="1"/>
  <c r="AB186" i="122"/>
  <c r="J356" i="123"/>
  <c r="K311" i="113"/>
  <c r="H311" i="113" s="1"/>
  <c r="J430" i="123"/>
  <c r="N430" i="123" s="1"/>
  <c r="K251" i="113"/>
  <c r="H251" i="113" s="1"/>
  <c r="K49" i="113"/>
  <c r="K323" i="113"/>
  <c r="H323" i="113" s="1"/>
  <c r="J107" i="123"/>
  <c r="J215" i="123"/>
  <c r="N215" i="123" s="1"/>
  <c r="H74" i="110"/>
  <c r="E74" i="110" s="1"/>
  <c r="V354" i="113"/>
  <c r="V355" i="113" s="1"/>
  <c r="V357" i="113" s="1"/>
  <c r="T34" i="123"/>
  <c r="T35" i="123" s="1"/>
  <c r="T37" i="123" s="1"/>
  <c r="V218" i="113"/>
  <c r="V219" i="113" s="1"/>
  <c r="U132" i="113"/>
  <c r="U133" i="113" s="1"/>
  <c r="U135" i="113" s="1"/>
  <c r="V292" i="113"/>
  <c r="V293" i="113" s="1"/>
  <c r="V295" i="113" s="1"/>
  <c r="V34" i="113"/>
  <c r="V35" i="113" s="1"/>
  <c r="V37" i="113" s="1"/>
  <c r="V34" i="123"/>
  <c r="V35" i="123" s="1"/>
  <c r="Z132" i="113"/>
  <c r="Z133" i="113" s="1"/>
  <c r="Z135" i="113" s="1"/>
  <c r="Z218" i="113"/>
  <c r="Z219" i="113" s="1"/>
  <c r="J150" i="123"/>
  <c r="J402" i="123"/>
  <c r="G469" i="123"/>
  <c r="G140" i="123"/>
  <c r="Z354" i="113"/>
  <c r="Z355" i="113" s="1"/>
  <c r="Z357" i="113" s="1"/>
  <c r="K207" i="113"/>
  <c r="H207" i="113" s="1"/>
  <c r="H207" i="119"/>
  <c r="E207" i="119" s="1"/>
  <c r="U306" i="123"/>
  <c r="U307" i="123" s="1"/>
  <c r="U309" i="123" s="1"/>
  <c r="H187" i="119"/>
  <c r="E187" i="119" s="1"/>
  <c r="T180" i="123"/>
  <c r="T181" i="123" s="1"/>
  <c r="T183" i="123" s="1"/>
  <c r="V180" i="123"/>
  <c r="V181" i="123" s="1"/>
  <c r="V183" i="123" s="1"/>
  <c r="X180" i="123"/>
  <c r="X181" i="123" s="1"/>
  <c r="X183" i="123" s="1"/>
  <c r="J160" i="123"/>
  <c r="Z73" i="114"/>
  <c r="X34" i="113"/>
  <c r="X35" i="113" s="1"/>
  <c r="X37" i="113" s="1"/>
  <c r="W34" i="123"/>
  <c r="W35" i="123" s="1"/>
  <c r="W37" i="123" s="1"/>
  <c r="H167" i="119"/>
  <c r="E167" i="119" s="1"/>
  <c r="G56" i="123"/>
  <c r="G257" i="123"/>
  <c r="K71" i="113"/>
  <c r="J319" i="123"/>
  <c r="G319" i="123" s="1"/>
  <c r="W218" i="113"/>
  <c r="W219" i="113" s="1"/>
  <c r="W221" i="113" s="1"/>
  <c r="H204" i="119"/>
  <c r="E204" i="119" s="1"/>
  <c r="W306" i="123"/>
  <c r="W307" i="123" s="1"/>
  <c r="W309" i="123" s="1"/>
  <c r="K189" i="113"/>
  <c r="H189" i="113" s="1"/>
  <c r="J283" i="123"/>
  <c r="H184" i="119"/>
  <c r="E184" i="119" s="1"/>
  <c r="V306" i="123"/>
  <c r="V307" i="123" s="1"/>
  <c r="X306" i="123"/>
  <c r="X307" i="123" s="1"/>
  <c r="X309" i="123" s="1"/>
  <c r="T504" i="123"/>
  <c r="T505" i="123" s="1"/>
  <c r="K157" i="113"/>
  <c r="H157" i="113" s="1"/>
  <c r="T306" i="123"/>
  <c r="T307" i="123" s="1"/>
  <c r="J170" i="123"/>
  <c r="H37" i="110"/>
  <c r="E37" i="110" s="1"/>
  <c r="H139" i="110"/>
  <c r="E139" i="110" s="1"/>
  <c r="H116" i="110"/>
  <c r="E116" i="110" s="1"/>
  <c r="K121" i="113"/>
  <c r="H121" i="113" s="1"/>
  <c r="K337" i="113"/>
  <c r="H337" i="113" s="1"/>
  <c r="H197" i="119"/>
  <c r="E197" i="119" s="1"/>
  <c r="J89" i="123"/>
  <c r="J137" i="123"/>
  <c r="N137" i="123" s="1"/>
  <c r="H120" i="110"/>
  <c r="E120" i="110" s="1"/>
  <c r="W292" i="113"/>
  <c r="W293" i="113" s="1"/>
  <c r="W295" i="113" s="1"/>
  <c r="U516" i="123"/>
  <c r="X34" i="123"/>
  <c r="X35" i="123" s="1"/>
  <c r="G63" i="123"/>
  <c r="H104" i="110"/>
  <c r="X132" i="113"/>
  <c r="X133" i="113" s="1"/>
  <c r="X135" i="113" s="1"/>
  <c r="H128" i="110"/>
  <c r="E128" i="110" s="1"/>
  <c r="J276" i="123"/>
  <c r="K195" i="113"/>
  <c r="H195" i="113" s="1"/>
  <c r="G121" i="123"/>
  <c r="U34" i="123"/>
  <c r="U35" i="123" s="1"/>
  <c r="K281" i="113"/>
  <c r="H281" i="113" s="1"/>
  <c r="H57" i="119"/>
  <c r="E57" i="119" s="1"/>
  <c r="X160" i="122" s="1"/>
  <c r="K343" i="113"/>
  <c r="H343" i="113" s="1"/>
  <c r="J193" i="123"/>
  <c r="G193" i="123" s="1"/>
  <c r="H193" i="123" s="1"/>
  <c r="U194" i="123" s="1"/>
  <c r="H194" i="123" s="1"/>
  <c r="U195" i="123" s="1"/>
  <c r="H77" i="119"/>
  <c r="E77" i="119" s="1"/>
  <c r="W132" i="113"/>
  <c r="W133" i="113" s="1"/>
  <c r="W135" i="113" s="1"/>
  <c r="Y34" i="123"/>
  <c r="Y35" i="123" s="1"/>
  <c r="U218" i="113"/>
  <c r="U219" i="113" s="1"/>
  <c r="K103" i="113"/>
  <c r="H103" i="113" s="1"/>
  <c r="H67" i="119"/>
  <c r="E67" i="119" s="1"/>
  <c r="J491" i="123"/>
  <c r="K201" i="113"/>
  <c r="H201" i="113" s="1"/>
  <c r="X218" i="113"/>
  <c r="X219" i="113" s="1"/>
  <c r="X221" i="113" s="1"/>
  <c r="J296" i="123"/>
  <c r="Y180" i="123"/>
  <c r="Y181" i="123" s="1"/>
  <c r="Y183" i="123" s="1"/>
  <c r="J266" i="123"/>
  <c r="Y34" i="113"/>
  <c r="Y35" i="113" s="1"/>
  <c r="Y37" i="113" s="1"/>
  <c r="Y132" i="113"/>
  <c r="Y133" i="113" s="1"/>
  <c r="U34" i="113"/>
  <c r="U35" i="113" s="1"/>
  <c r="U37" i="113" s="1"/>
  <c r="J286" i="123"/>
  <c r="X292" i="113"/>
  <c r="X293" i="113" s="1"/>
  <c r="X295" i="113" s="1"/>
  <c r="G557" i="123"/>
  <c r="G260" i="123"/>
  <c r="G83" i="123"/>
  <c r="Y218" i="113"/>
  <c r="Y219" i="113" s="1"/>
  <c r="Y221" i="113" s="1"/>
  <c r="W180" i="123"/>
  <c r="W181" i="123" s="1"/>
  <c r="W183" i="123" s="1"/>
  <c r="U292" i="113"/>
  <c r="U293" i="113" s="1"/>
  <c r="U295" i="113" s="1"/>
  <c r="Z292" i="113"/>
  <c r="Z293" i="113" s="1"/>
  <c r="Z295" i="113" s="1"/>
  <c r="Z34" i="113"/>
  <c r="Z35" i="113" s="1"/>
  <c r="Z37" i="113" s="1"/>
  <c r="H110" i="110"/>
  <c r="E110" i="110" s="1"/>
  <c r="K275" i="113"/>
  <c r="H275" i="113" s="1"/>
  <c r="K335" i="113"/>
  <c r="H335" i="113" s="1"/>
  <c r="K193" i="113"/>
  <c r="H193" i="113" s="1"/>
  <c r="J49" i="123"/>
  <c r="N49" i="123" s="1"/>
  <c r="H177" i="119"/>
  <c r="E177" i="119" s="1"/>
  <c r="G392" i="123"/>
  <c r="K393" i="113"/>
  <c r="H393" i="113" s="1"/>
  <c r="G475" i="123"/>
  <c r="G466" i="123"/>
  <c r="X354" i="113"/>
  <c r="X355" i="113" s="1"/>
  <c r="X357" i="113" s="1"/>
  <c r="K109" i="113"/>
  <c r="H109" i="113" s="1"/>
  <c r="G548" i="123"/>
  <c r="G199" i="123"/>
  <c r="G112" i="123"/>
  <c r="J560" i="123"/>
  <c r="W354" i="113"/>
  <c r="W355" i="113" s="1"/>
  <c r="W357" i="113" s="1"/>
  <c r="U180" i="123"/>
  <c r="U181" i="123" s="1"/>
  <c r="U183" i="123" s="1"/>
  <c r="Y292" i="113"/>
  <c r="Y293" i="113" s="1"/>
  <c r="Y295" i="113" s="1"/>
  <c r="Y306" i="123"/>
  <c r="Y307" i="123" s="1"/>
  <c r="Y309" i="123" s="1"/>
  <c r="U354" i="113"/>
  <c r="U355" i="113" s="1"/>
  <c r="U357" i="113" s="1"/>
  <c r="K269" i="113"/>
  <c r="H269" i="113" s="1"/>
  <c r="J130" i="123"/>
  <c r="J382" i="123"/>
  <c r="W186" i="122"/>
  <c r="J484" i="123"/>
  <c r="N484" i="123" s="1"/>
  <c r="J167" i="123"/>
  <c r="N167" i="123" s="1"/>
  <c r="H174" i="119"/>
  <c r="E174" i="119" s="1"/>
  <c r="H108" i="110"/>
  <c r="E108" i="110" s="1"/>
  <c r="D270" i="119"/>
  <c r="W130" i="122"/>
  <c r="AA130" i="122"/>
  <c r="Z130" i="122"/>
  <c r="X130" i="122"/>
  <c r="N157" i="123"/>
  <c r="G157" i="123"/>
  <c r="W105" i="122"/>
  <c r="W106" i="122" s="1"/>
  <c r="W107" i="122" s="1"/>
  <c r="G163" i="123"/>
  <c r="Y73" i="114"/>
  <c r="Z186" i="122"/>
  <c r="J79" i="123"/>
  <c r="G494" i="123"/>
  <c r="G263" i="123"/>
  <c r="V230" i="113"/>
  <c r="V46" i="113"/>
  <c r="AB73" i="114"/>
  <c r="C270" i="119"/>
  <c r="AA186" i="122"/>
  <c r="AB130" i="122"/>
  <c r="K73" i="113"/>
  <c r="J425" i="123"/>
  <c r="G425" i="123" s="1"/>
  <c r="J273" i="123"/>
  <c r="J433" i="123"/>
  <c r="K159" i="113"/>
  <c r="H159" i="113" s="1"/>
  <c r="J341" i="123"/>
  <c r="K205" i="113"/>
  <c r="H205" i="113" s="1"/>
  <c r="K369" i="113"/>
  <c r="H369" i="113" s="1"/>
  <c r="H70" i="119"/>
  <c r="E70" i="119" s="1"/>
  <c r="J399" i="123"/>
  <c r="K47" i="113"/>
  <c r="K153" i="113"/>
  <c r="H153" i="113" s="1"/>
  <c r="K305" i="113"/>
  <c r="H305" i="113" s="1"/>
  <c r="J202" i="123"/>
  <c r="H517" i="123"/>
  <c r="U518" i="123" s="1"/>
  <c r="H518" i="123" s="1"/>
  <c r="U519" i="123" s="1"/>
  <c r="W73" i="114"/>
  <c r="G373" i="123"/>
  <c r="G73" i="123"/>
  <c r="G525" i="123"/>
  <c r="J321" i="123"/>
  <c r="J331" i="123"/>
  <c r="H72" i="110"/>
  <c r="E72" i="110" s="1"/>
  <c r="G370" i="123"/>
  <c r="G542" i="123"/>
  <c r="G118" i="123"/>
  <c r="V231" i="113"/>
  <c r="V47" i="113"/>
  <c r="I47" i="113" s="1"/>
  <c r="V48" i="113" s="1"/>
  <c r="I48" i="113" s="1"/>
  <c r="F124" i="115" s="1"/>
  <c r="G127" i="123"/>
  <c r="Y186" i="122"/>
  <c r="Y132" i="122"/>
  <c r="Y130" i="122"/>
  <c r="K67" i="113"/>
  <c r="J195" i="123"/>
  <c r="H46" i="110"/>
  <c r="J212" i="123"/>
  <c r="J222" i="123"/>
  <c r="K113" i="113"/>
  <c r="H113" i="113" s="1"/>
  <c r="J66" i="123"/>
  <c r="K187" i="113"/>
  <c r="H187" i="113" s="1"/>
  <c r="H163" i="119"/>
  <c r="E163" i="119" s="1"/>
  <c r="J443" i="123"/>
  <c r="K367" i="113"/>
  <c r="H367" i="113" s="1"/>
  <c r="J59" i="123"/>
  <c r="J147" i="123"/>
  <c r="K267" i="113"/>
  <c r="H267" i="113" s="1"/>
  <c r="G376" i="123"/>
  <c r="H66" i="110"/>
  <c r="E66" i="110" s="1"/>
  <c r="K239" i="113"/>
  <c r="H239" i="113" s="1"/>
  <c r="H100" i="119"/>
  <c r="E100" i="119" s="1"/>
  <c r="G124" i="123"/>
  <c r="F87" i="110"/>
  <c r="F126" i="111" s="1"/>
  <c r="F127" i="111" s="1"/>
  <c r="F128" i="111" s="1"/>
  <c r="F129" i="111" s="1"/>
  <c r="R88" i="110" s="1"/>
  <c r="S88" i="110" s="1"/>
  <c r="G53" i="123"/>
  <c r="X132" i="122"/>
  <c r="Z132" i="122"/>
  <c r="AA73" i="114"/>
  <c r="J225" i="123"/>
  <c r="J293" i="123"/>
  <c r="J76" i="123"/>
  <c r="H126" i="110"/>
  <c r="E126" i="110" s="1"/>
  <c r="H54" i="110"/>
  <c r="E54" i="110" s="1"/>
  <c r="K101" i="113"/>
  <c r="H101" i="113" s="1"/>
  <c r="K231" i="113"/>
  <c r="H231" i="113" s="1"/>
  <c r="H58" i="110"/>
  <c r="E58" i="110" s="1"/>
  <c r="X73" i="114"/>
  <c r="H48" i="110"/>
  <c r="E48" i="110" s="1"/>
  <c r="G379" i="123"/>
  <c r="G519" i="123"/>
  <c r="AA132" i="122"/>
  <c r="G254" i="123"/>
  <c r="G478" i="123"/>
  <c r="K313" i="113"/>
  <c r="H313" i="113" s="1"/>
  <c r="K165" i="113"/>
  <c r="H165" i="113" s="1"/>
  <c r="H60" i="110"/>
  <c r="E60" i="110" s="1"/>
  <c r="J86" i="123"/>
  <c r="K243" i="113"/>
  <c r="H243" i="113" s="1"/>
  <c r="H70" i="110"/>
  <c r="E70" i="110" s="1"/>
  <c r="K307" i="113"/>
  <c r="H307" i="113" s="1"/>
  <c r="J47" i="123"/>
  <c r="G47" i="123" s="1"/>
  <c r="J338" i="123"/>
  <c r="K119" i="113"/>
  <c r="H119" i="113" s="1"/>
  <c r="K233" i="113"/>
  <c r="H233" i="113" s="1"/>
  <c r="H194" i="119"/>
  <c r="E194" i="119" s="1"/>
  <c r="J69" i="123"/>
  <c r="J440" i="123"/>
  <c r="K147" i="113"/>
  <c r="H147" i="113" s="1"/>
  <c r="H80" i="119"/>
  <c r="E80" i="119" s="1"/>
  <c r="T30" i="114"/>
  <c r="G30" i="114" s="1"/>
  <c r="T31" i="114" s="1"/>
  <c r="G31" i="114" s="1"/>
  <c r="T32" i="114" s="1"/>
  <c r="G32" i="114" s="1"/>
  <c r="T33" i="114" s="1"/>
  <c r="G33" i="114" s="1"/>
  <c r="T34" i="114" s="1"/>
  <c r="T29" i="114"/>
  <c r="V145" i="113"/>
  <c r="I145" i="113" s="1"/>
  <c r="V146" i="113" s="1"/>
  <c r="I146" i="113" s="1"/>
  <c r="V147" i="113" s="1"/>
  <c r="G264" i="119"/>
  <c r="E161" i="110"/>
  <c r="F7" i="108"/>
  <c r="T30" i="122"/>
  <c r="G30" i="122" s="1"/>
  <c r="T31" i="122" s="1"/>
  <c r="G31" i="122" s="1"/>
  <c r="T32" i="122" s="1"/>
  <c r="G32" i="122" s="1"/>
  <c r="T33" i="122" s="1"/>
  <c r="G33" i="122" s="1"/>
  <c r="T34" i="122" s="1"/>
  <c r="G34" i="122" s="1"/>
  <c r="T35" i="122" s="1"/>
  <c r="G35" i="122" s="1"/>
  <c r="T36" i="122" s="1"/>
  <c r="G36" i="122" s="1"/>
  <c r="G37" i="122" s="1"/>
  <c r="X34" i="122" s="1"/>
  <c r="F161" i="120"/>
  <c r="F162" i="120" s="1"/>
  <c r="F163" i="120" s="1"/>
  <c r="F164" i="120" s="1"/>
  <c r="F165" i="120" s="1"/>
  <c r="F166" i="120" s="1"/>
  <c r="F167" i="120" s="1"/>
  <c r="R136" i="119" s="1"/>
  <c r="S136" i="119" s="1"/>
  <c r="F168" i="120"/>
  <c r="F169" i="120" s="1"/>
  <c r="F170" i="120" s="1"/>
  <c r="F171" i="120" s="1"/>
  <c r="F172" i="120" s="1"/>
  <c r="F173" i="120" s="1"/>
  <c r="F174" i="120" s="1"/>
  <c r="R144" i="119" s="1"/>
  <c r="O7" i="133"/>
  <c r="F219" i="134"/>
  <c r="E162" i="110"/>
  <c r="F267" i="119"/>
  <c r="F7" i="117"/>
  <c r="F73" i="111"/>
  <c r="F85" i="111"/>
  <c r="S5" i="110"/>
  <c r="F5" i="110" s="1"/>
  <c r="S6" i="110" s="1"/>
  <c r="F6" i="110" s="1"/>
  <c r="S7" i="110" s="1"/>
  <c r="F7" i="110" s="1"/>
  <c r="S8" i="110" s="1"/>
  <c r="F79" i="111"/>
  <c r="F6" i="111"/>
  <c r="F7" i="111" s="1"/>
  <c r="F8" i="111" s="1"/>
  <c r="F9" i="111" s="1"/>
  <c r="F82" i="111"/>
  <c r="F110" i="120"/>
  <c r="F113" i="120"/>
  <c r="S4" i="110"/>
  <c r="F107" i="120"/>
  <c r="F76" i="111"/>
  <c r="F116" i="120"/>
  <c r="F119" i="120"/>
  <c r="F223" i="134"/>
  <c r="E7" i="133"/>
  <c r="U319" i="123"/>
  <c r="V144" i="113"/>
  <c r="T54" i="122"/>
  <c r="V507" i="123"/>
  <c r="Y507" i="123"/>
  <c r="U318" i="123"/>
  <c r="F133" i="128"/>
  <c r="R145" i="126"/>
  <c r="F111" i="134"/>
  <c r="T77" i="114"/>
  <c r="G77" i="114" s="1"/>
  <c r="T78" i="114" s="1"/>
  <c r="G78" i="114" s="1"/>
  <c r="T79" i="114" s="1"/>
  <c r="G79" i="114" s="1"/>
  <c r="T80" i="114" s="1"/>
  <c r="G80" i="114" s="1"/>
  <c r="G81" i="114" s="1"/>
  <c r="W37" i="113"/>
  <c r="Z221" i="113"/>
  <c r="V221" i="113"/>
  <c r="Y357" i="113"/>
  <c r="F233" i="115"/>
  <c r="F230" i="115"/>
  <c r="F227" i="115"/>
  <c r="F236" i="115"/>
  <c r="Y135" i="113"/>
  <c r="V135" i="113"/>
  <c r="T54" i="114"/>
  <c r="T109" i="122"/>
  <c r="G109" i="122" s="1"/>
  <c r="T110" i="122" s="1"/>
  <c r="G110" i="122" s="1"/>
  <c r="T111" i="122" s="1"/>
  <c r="G111" i="122" s="1"/>
  <c r="S112" i="122"/>
  <c r="S193" i="122"/>
  <c r="T193" i="122" s="1"/>
  <c r="G193" i="122" s="1"/>
  <c r="T194" i="122" s="1"/>
  <c r="G194" i="122" s="1"/>
  <c r="G195" i="122" s="1"/>
  <c r="U192" i="123"/>
  <c r="G58" i="122"/>
  <c r="T59" i="122" s="1"/>
  <c r="G59" i="122" s="1"/>
  <c r="T60" i="122" s="1"/>
  <c r="G60" i="122" s="1"/>
  <c r="T61" i="122" s="1"/>
  <c r="G61" i="122" s="1"/>
  <c r="G62" i="122" s="1"/>
  <c r="AB59" i="122" s="1"/>
  <c r="V415" i="123"/>
  <c r="U415" i="123"/>
  <c r="G134" i="122"/>
  <c r="T83" i="122"/>
  <c r="T507" i="123"/>
  <c r="X507" i="123"/>
  <c r="U507" i="123"/>
  <c r="U425" i="123"/>
  <c r="U424" i="123"/>
  <c r="W507" i="123"/>
  <c r="U446" i="139"/>
  <c r="U447" i="139"/>
  <c r="W386" i="139"/>
  <c r="W385" i="139"/>
  <c r="W42" i="139"/>
  <c r="W41" i="139"/>
  <c r="S447" i="139"/>
  <c r="S446" i="139"/>
  <c r="F197" i="140"/>
  <c r="F198" i="140" s="1"/>
  <c r="F199" i="140" s="1"/>
  <c r="F200" i="140" s="1"/>
  <c r="F201" i="140" s="1"/>
  <c r="S193" i="139" s="1"/>
  <c r="T188" i="139"/>
  <c r="T189" i="139"/>
  <c r="G189" i="139" s="1"/>
  <c r="T190" i="139" s="1"/>
  <c r="G190" i="139" s="1"/>
  <c r="T191" i="139" s="1"/>
  <c r="G191" i="139" s="1"/>
  <c r="T192" i="139" s="1"/>
  <c r="G192" i="139" s="1"/>
  <c r="V447" i="139"/>
  <c r="G357" i="139"/>
  <c r="S164" i="139"/>
  <c r="S94" i="139"/>
  <c r="V344" i="139"/>
  <c r="V343" i="139"/>
  <c r="F410" i="140"/>
  <c r="F411" i="140" s="1"/>
  <c r="F412" i="140" s="1"/>
  <c r="F413" i="140" s="1"/>
  <c r="F414" i="140" s="1"/>
  <c r="F415" i="140" s="1"/>
  <c r="F416" i="140" s="1"/>
  <c r="S400" i="139" s="1"/>
  <c r="T397" i="139"/>
  <c r="F33" i="130"/>
  <c r="F34" i="130" s="1"/>
  <c r="T385" i="139"/>
  <c r="T386" i="139"/>
  <c r="S52" i="138"/>
  <c r="F52" i="138" s="1"/>
  <c r="S53" i="138" s="1"/>
  <c r="F53" i="138" s="1"/>
  <c r="S55" i="138" s="1"/>
  <c r="F111" i="132"/>
  <c r="F132" i="132"/>
  <c r="F258" i="132"/>
  <c r="F259" i="132" s="1"/>
  <c r="F260" i="132" s="1"/>
  <c r="F242" i="132"/>
  <c r="F129" i="132"/>
  <c r="F267" i="132"/>
  <c r="F268" i="132" s="1"/>
  <c r="F269" i="132" s="1"/>
  <c r="F180" i="132"/>
  <c r="F183" i="132"/>
  <c r="F174" i="132"/>
  <c r="F63" i="132"/>
  <c r="F219" i="132"/>
  <c r="F54" i="132"/>
  <c r="E210" i="131"/>
  <c r="F123" i="132"/>
  <c r="F42" i="132"/>
  <c r="F264" i="132"/>
  <c r="F265" i="132" s="1"/>
  <c r="F266" i="132" s="1"/>
  <c r="S347" i="131" s="1"/>
  <c r="F177" i="132"/>
  <c r="T374" i="131"/>
  <c r="G374" i="131" s="1"/>
  <c r="T375" i="131" s="1"/>
  <c r="G375" i="131" s="1"/>
  <c r="T376" i="131" s="1"/>
  <c r="G376" i="131" s="1"/>
  <c r="T377" i="131" s="1"/>
  <c r="G377" i="131" s="1"/>
  <c r="F66" i="132"/>
  <c r="F51" i="132"/>
  <c r="F245" i="132"/>
  <c r="F189" i="132"/>
  <c r="F117" i="132"/>
  <c r="F48" i="132"/>
  <c r="F57" i="132"/>
  <c r="F114" i="132"/>
  <c r="F216" i="132"/>
  <c r="T54" i="131"/>
  <c r="G54" i="131" s="1"/>
  <c r="T55" i="131" s="1"/>
  <c r="G55" i="131" s="1"/>
  <c r="T56" i="131" s="1"/>
  <c r="G56" i="131" s="1"/>
  <c r="T57" i="131" s="1"/>
  <c r="F45" i="132"/>
  <c r="F60" i="132"/>
  <c r="F61" i="132" s="1"/>
  <c r="F62" i="132" s="1"/>
  <c r="S90" i="131" s="1"/>
  <c r="F186" i="132"/>
  <c r="F283" i="132"/>
  <c r="F284" i="132" s="1"/>
  <c r="F285" i="132" s="1"/>
  <c r="F261" i="132"/>
  <c r="F262" i="132" s="1"/>
  <c r="F263" i="132" s="1"/>
  <c r="F120" i="132"/>
  <c r="F69" i="132"/>
  <c r="F222" i="132"/>
  <c r="T53" i="131"/>
  <c r="T335" i="131"/>
  <c r="F225" i="132"/>
  <c r="F280" i="132"/>
  <c r="F281" i="132" s="1"/>
  <c r="F282" i="132" s="1"/>
  <c r="S409" i="131" s="1"/>
  <c r="F231" i="132"/>
  <c r="F232" i="132" s="1"/>
  <c r="F233" i="132" s="1"/>
  <c r="F234" i="132" s="1"/>
  <c r="F235" i="132" s="1"/>
  <c r="F236" i="132" s="1"/>
  <c r="F237" i="132" s="1"/>
  <c r="F238" i="132" s="1"/>
  <c r="F239" i="132" s="1"/>
  <c r="F240" i="132" s="1"/>
  <c r="F241" i="132" s="1"/>
  <c r="S378" i="131" s="1"/>
  <c r="F126" i="132"/>
  <c r="E48" i="131"/>
  <c r="T582" i="131"/>
  <c r="S203" i="131"/>
  <c r="S204" i="131" s="1"/>
  <c r="T583" i="131"/>
  <c r="G583" i="131" s="1"/>
  <c r="T584" i="131" s="1"/>
  <c r="G584" i="131" s="1"/>
  <c r="T585" i="131" s="1"/>
  <c r="G585" i="131" s="1"/>
  <c r="F459" i="132" s="1"/>
  <c r="F460" i="132" s="1"/>
  <c r="F461" i="132" s="1"/>
  <c r="F462" i="132" s="1"/>
  <c r="F463" i="132" s="1"/>
  <c r="F464" i="132" s="1"/>
  <c r="F465" i="132" s="1"/>
  <c r="F466" i="132" s="1"/>
  <c r="F467" i="132" s="1"/>
  <c r="F468" i="132" s="1"/>
  <c r="S594" i="131" s="1"/>
  <c r="T143" i="131"/>
  <c r="G143" i="131" s="1"/>
  <c r="T144" i="131" s="1"/>
  <c r="G144" i="131" s="1"/>
  <c r="T145" i="131" s="1"/>
  <c r="G512" i="131"/>
  <c r="T513" i="131" s="1"/>
  <c r="G513" i="131" s="1"/>
  <c r="T514" i="131" s="1"/>
  <c r="T406" i="131"/>
  <c r="G406" i="131" s="1"/>
  <c r="T407" i="131" s="1"/>
  <c r="G407" i="131" s="1"/>
  <c r="T408" i="131" s="1"/>
  <c r="G408" i="131" s="1"/>
  <c r="E137" i="131"/>
  <c r="T511" i="131"/>
  <c r="F385" i="132"/>
  <c r="F386" i="132" s="1"/>
  <c r="F387" i="132" s="1"/>
  <c r="F388" i="132" s="1"/>
  <c r="F389" i="132" s="1"/>
  <c r="F390" i="132" s="1"/>
  <c r="F391" i="132" s="1"/>
  <c r="F392" i="132" s="1"/>
  <c r="F393" i="132" s="1"/>
  <c r="S519" i="131" s="1"/>
  <c r="G434" i="131"/>
  <c r="T216" i="131"/>
  <c r="G216" i="131" s="1"/>
  <c r="T217" i="131" s="1"/>
  <c r="G217" i="131" s="1"/>
  <c r="T218" i="131" s="1"/>
  <c r="G218" i="131" s="1"/>
  <c r="T219" i="131" s="1"/>
  <c r="G219" i="131" s="1"/>
  <c r="T220" i="131" s="1"/>
  <c r="G220" i="131" s="1"/>
  <c r="T221" i="131" s="1"/>
  <c r="G221" i="131" s="1"/>
  <c r="T222" i="131" s="1"/>
  <c r="G222" i="131" s="1"/>
  <c r="T223" i="131" s="1"/>
  <c r="G223" i="131" s="1"/>
  <c r="T224" i="131" s="1"/>
  <c r="G224" i="131" s="1"/>
  <c r="T225" i="131" s="1"/>
  <c r="G225" i="131" s="1"/>
  <c r="T226" i="131" s="1"/>
  <c r="G226" i="131" s="1"/>
  <c r="T336" i="131"/>
  <c r="G280" i="131"/>
  <c r="T280" i="131"/>
  <c r="X54" i="130"/>
  <c r="X53" i="130"/>
  <c r="X51" i="130"/>
  <c r="X52" i="130"/>
  <c r="Y54" i="130"/>
  <c r="Y53" i="130"/>
  <c r="Y51" i="130"/>
  <c r="Y52" i="130"/>
  <c r="Z78" i="130"/>
  <c r="V51" i="130"/>
  <c r="V54" i="130"/>
  <c r="V53" i="130"/>
  <c r="V52" i="130"/>
  <c r="F129" i="130"/>
  <c r="S130" i="130" s="1"/>
  <c r="F130" i="130" s="1"/>
  <c r="S131" i="130" s="1"/>
  <c r="F131" i="130" s="1"/>
  <c r="S132" i="130" s="1"/>
  <c r="F132" i="130" s="1"/>
  <c r="E133" i="130" s="1"/>
  <c r="Z53" i="130"/>
  <c r="Z52" i="130"/>
  <c r="Z51" i="130"/>
  <c r="Z54" i="130"/>
  <c r="AA53" i="130"/>
  <c r="AA52" i="130"/>
  <c r="AA51" i="130"/>
  <c r="AA54" i="130"/>
  <c r="W51" i="130"/>
  <c r="W54" i="130"/>
  <c r="W52" i="130"/>
  <c r="W53" i="130"/>
  <c r="P24" i="100" l="1"/>
  <c r="U6" i="100"/>
  <c r="U8" i="100"/>
  <c r="P19" i="100"/>
  <c r="P28" i="100"/>
  <c r="P29" i="100" s="1"/>
  <c r="P30" i="100" s="1"/>
  <c r="T561" i="123"/>
  <c r="W29" i="114"/>
  <c r="W30" i="114" s="1"/>
  <c r="X28" i="114"/>
  <c r="X29" i="114" s="1"/>
  <c r="X30" i="114" s="1"/>
  <c r="G534" i="123"/>
  <c r="E7" i="117"/>
  <c r="AB31" i="122"/>
  <c r="AB32" i="122"/>
  <c r="W31" i="122"/>
  <c r="W32" i="122"/>
  <c r="G134" i="119"/>
  <c r="T280" i="139"/>
  <c r="G280" i="139" s="1"/>
  <c r="T358" i="139"/>
  <c r="G358" i="139" s="1"/>
  <c r="T359" i="139" s="1"/>
  <c r="G359" i="139" s="1"/>
  <c r="T360" i="139" s="1"/>
  <c r="G360" i="139" s="1"/>
  <c r="T361" i="139" s="1"/>
  <c r="G361" i="139" s="1"/>
  <c r="T516" i="139"/>
  <c r="T133" i="139"/>
  <c r="G133" i="139" s="1"/>
  <c r="T344" i="139"/>
  <c r="T460" i="139"/>
  <c r="G460" i="139" s="1"/>
  <c r="T461" i="139" s="1"/>
  <c r="G461" i="139" s="1"/>
  <c r="T462" i="139" s="1"/>
  <c r="G462" i="139" s="1"/>
  <c r="T281" i="139"/>
  <c r="G281" i="139" s="1"/>
  <c r="T282" i="139" s="1"/>
  <c r="G282" i="139" s="1"/>
  <c r="V98" i="138"/>
  <c r="V99" i="138" s="1"/>
  <c r="F632" i="140"/>
  <c r="S91" i="139"/>
  <c r="S60" i="139"/>
  <c r="T247" i="139"/>
  <c r="G247" i="139" s="1"/>
  <c r="F364" i="140" s="1"/>
  <c r="F365" i="140" s="1"/>
  <c r="F366" i="140" s="1"/>
  <c r="F367" i="140" s="1"/>
  <c r="F368" i="140" s="1"/>
  <c r="Z31" i="114"/>
  <c r="Z32" i="114"/>
  <c r="Y31" i="114"/>
  <c r="Y32" i="114"/>
  <c r="X31" i="114"/>
  <c r="X32" i="114"/>
  <c r="AA31" i="114"/>
  <c r="AA32" i="114"/>
  <c r="W32" i="114"/>
  <c r="W31" i="114"/>
  <c r="AB31" i="114"/>
  <c r="AB32" i="114"/>
  <c r="G430" i="123"/>
  <c r="G95" i="123"/>
  <c r="G231" i="123"/>
  <c r="G389" i="123"/>
  <c r="G98" i="123"/>
  <c r="G243" i="123"/>
  <c r="H519" i="123"/>
  <c r="F649" i="124" s="1"/>
  <c r="F650" i="124" s="1"/>
  <c r="F651" i="124" s="1"/>
  <c r="F652" i="124" s="1"/>
  <c r="F653" i="124" s="1"/>
  <c r="F654" i="124" s="1"/>
  <c r="F655" i="124" s="1"/>
  <c r="F656" i="124" s="1"/>
  <c r="F657" i="124" s="1"/>
  <c r="F658" i="124" s="1"/>
  <c r="F659" i="124" s="1"/>
  <c r="G528" i="123"/>
  <c r="W160" i="122"/>
  <c r="AA160" i="122"/>
  <c r="X117" i="138"/>
  <c r="X118" i="138" s="1"/>
  <c r="AA117" i="138"/>
  <c r="AA118" i="138" s="1"/>
  <c r="W143" i="138"/>
  <c r="F93" i="126"/>
  <c r="O5" i="125" s="1"/>
  <c r="O67" i="125" s="1"/>
  <c r="W343" i="139"/>
  <c r="V42" i="139"/>
  <c r="W198" i="130"/>
  <c r="Y71" i="138"/>
  <c r="Y72" i="138" s="1"/>
  <c r="Y73" i="138" s="1"/>
  <c r="Y198" i="130"/>
  <c r="Y200" i="130" s="1"/>
  <c r="Y201" i="130" s="1"/>
  <c r="D80" i="98"/>
  <c r="H128" i="126" s="1"/>
  <c r="E128" i="126" s="1"/>
  <c r="V100" i="130"/>
  <c r="V102" i="130" s="1"/>
  <c r="V103" i="130" s="1"/>
  <c r="V107" i="130" s="1"/>
  <c r="U344" i="139"/>
  <c r="T41" i="139"/>
  <c r="AA198" i="130"/>
  <c r="Z198" i="130"/>
  <c r="Y100" i="130"/>
  <c r="Y102" i="130" s="1"/>
  <c r="Y103" i="130" s="1"/>
  <c r="Y106" i="130" s="1"/>
  <c r="O33" i="125"/>
  <c r="U386" i="139"/>
  <c r="U117" i="139"/>
  <c r="X198" i="130"/>
  <c r="X200" i="130" s="1"/>
  <c r="X201" i="130" s="1"/>
  <c r="Y143" i="138"/>
  <c r="AA78" i="130"/>
  <c r="T178" i="139"/>
  <c r="S386" i="139"/>
  <c r="V143" i="138"/>
  <c r="F75" i="134"/>
  <c r="O5" i="133" s="1"/>
  <c r="AA77" i="130"/>
  <c r="V117" i="139"/>
  <c r="Z143" i="138"/>
  <c r="X267" i="139"/>
  <c r="S41" i="139"/>
  <c r="X143" i="138"/>
  <c r="V502" i="139"/>
  <c r="G28" i="139" s="1"/>
  <c r="R42" i="133" s="1"/>
  <c r="R43" i="133" s="1"/>
  <c r="AA143" i="138"/>
  <c r="X386" i="139"/>
  <c r="W172" i="130"/>
  <c r="W173" i="130" s="1"/>
  <c r="W177" i="130" s="1"/>
  <c r="AA71" i="138"/>
  <c r="AA72" i="138" s="1"/>
  <c r="AA73" i="138" s="1"/>
  <c r="AA74" i="138" s="1"/>
  <c r="F142" i="126"/>
  <c r="S143" i="126" s="1"/>
  <c r="F143" i="126" s="1"/>
  <c r="S144" i="126" s="1"/>
  <c r="F144" i="126" s="1"/>
  <c r="F131" i="128" s="1"/>
  <c r="F134" i="128" s="1"/>
  <c r="F135" i="128" s="1"/>
  <c r="F136" i="128" s="1"/>
  <c r="F137" i="128" s="1"/>
  <c r="R152" i="126" s="1"/>
  <c r="U503" i="139"/>
  <c r="F29" i="139" s="1"/>
  <c r="R32" i="133" s="1"/>
  <c r="R33" i="133" s="1"/>
  <c r="T503" i="139"/>
  <c r="E29" i="139" s="1"/>
  <c r="R20" i="133" s="1"/>
  <c r="S503" i="139"/>
  <c r="O57" i="125"/>
  <c r="W502" i="139"/>
  <c r="H28" i="139" s="1"/>
  <c r="R54" i="133" s="1"/>
  <c r="Z144" i="138"/>
  <c r="P20" i="125"/>
  <c r="P21" i="125" s="1"/>
  <c r="T446" i="139"/>
  <c r="Z200" i="130"/>
  <c r="Z201" i="130" s="1"/>
  <c r="Z202" i="130" s="1"/>
  <c r="F253" i="126"/>
  <c r="F261" i="126" s="1"/>
  <c r="V267" i="139"/>
  <c r="Z77" i="130"/>
  <c r="AA172" i="130"/>
  <c r="AA173" i="130" s="1"/>
  <c r="AA176" i="130" s="1"/>
  <c r="F56" i="133"/>
  <c r="F57" i="133" s="1"/>
  <c r="F20" i="133"/>
  <c r="F21" i="133" s="1"/>
  <c r="Z76" i="130"/>
  <c r="F28" i="139"/>
  <c r="R30" i="133" s="1"/>
  <c r="R31" i="133" s="1"/>
  <c r="W447" i="139"/>
  <c r="H29" i="139" s="1"/>
  <c r="R56" i="133" s="1"/>
  <c r="O20" i="125"/>
  <c r="O21" i="125" s="1"/>
  <c r="O69" i="125"/>
  <c r="W144" i="138"/>
  <c r="V386" i="139"/>
  <c r="G29" i="139" s="1"/>
  <c r="R44" i="133" s="1"/>
  <c r="R45" i="133" s="1"/>
  <c r="X502" i="139"/>
  <c r="W76" i="130"/>
  <c r="Y172" i="130"/>
  <c r="Y173" i="130" s="1"/>
  <c r="Y174" i="130" s="1"/>
  <c r="X41" i="139"/>
  <c r="W116" i="139"/>
  <c r="U42" i="139"/>
  <c r="X102" i="130"/>
  <c r="X103" i="130" s="1"/>
  <c r="X104" i="130" s="1"/>
  <c r="Z117" i="138"/>
  <c r="Z118" i="138" s="1"/>
  <c r="Z120" i="138" s="1"/>
  <c r="Z46" i="138"/>
  <c r="F32" i="133"/>
  <c r="F33" i="133" s="1"/>
  <c r="S343" i="139"/>
  <c r="F68" i="133"/>
  <c r="F69" i="133" s="1"/>
  <c r="W77" i="130"/>
  <c r="X343" i="139"/>
  <c r="Y45" i="138"/>
  <c r="W78" i="130"/>
  <c r="V75" i="130"/>
  <c r="T116" i="139"/>
  <c r="D209" i="98"/>
  <c r="U312" i="139" s="1"/>
  <c r="U313" i="139" s="1"/>
  <c r="W97" i="138"/>
  <c r="AA102" i="130"/>
  <c r="AA103" i="130" s="1"/>
  <c r="AA105" i="130" s="1"/>
  <c r="Z172" i="130"/>
  <c r="Z173" i="130" s="1"/>
  <c r="S119" i="134"/>
  <c r="F119" i="134" s="1"/>
  <c r="S120" i="134" s="1"/>
  <c r="F120" i="134" s="1"/>
  <c r="S121" i="134" s="1"/>
  <c r="U205" i="131"/>
  <c r="U204" i="131"/>
  <c r="X71" i="138"/>
  <c r="X72" i="138" s="1"/>
  <c r="X73" i="138" s="1"/>
  <c r="X77" i="138" s="1"/>
  <c r="V76" i="130"/>
  <c r="AA76" i="130"/>
  <c r="F210" i="134"/>
  <c r="AA144" i="138"/>
  <c r="X229" i="139"/>
  <c r="X230" i="139" s="1"/>
  <c r="X322" i="131"/>
  <c r="X323" i="131" s="1"/>
  <c r="X325" i="131" s="1"/>
  <c r="V144" i="138"/>
  <c r="Y144" i="138"/>
  <c r="Y145" i="138" s="1"/>
  <c r="Y146" i="138" s="1"/>
  <c r="S117" i="139"/>
  <c r="S116" i="139"/>
  <c r="V78" i="130"/>
  <c r="U393" i="131"/>
  <c r="X144" i="138"/>
  <c r="X145" i="138" s="1"/>
  <c r="X146" i="138" s="1"/>
  <c r="F209" i="134"/>
  <c r="W270" i="131"/>
  <c r="W266" i="139"/>
  <c r="W102" i="130"/>
  <c r="W103" i="130" s="1"/>
  <c r="W107" i="130" s="1"/>
  <c r="V312" i="139"/>
  <c r="V313" i="139" s="1"/>
  <c r="V71" i="138"/>
  <c r="V72" i="138" s="1"/>
  <c r="V73" i="138" s="1"/>
  <c r="V75" i="138" s="1"/>
  <c r="W71" i="138"/>
  <c r="W72" i="138" s="1"/>
  <c r="W73" i="138" s="1"/>
  <c r="W77" i="138" s="1"/>
  <c r="Z71" i="138"/>
  <c r="Z72" i="138" s="1"/>
  <c r="Z73" i="138" s="1"/>
  <c r="Z74" i="138" s="1"/>
  <c r="V122" i="138"/>
  <c r="V120" i="138"/>
  <c r="V119" i="138"/>
  <c r="V121" i="138"/>
  <c r="P18" i="125"/>
  <c r="P19" i="125" s="1"/>
  <c r="O18" i="125"/>
  <c r="O19" i="125" s="1"/>
  <c r="O55" i="125"/>
  <c r="AA200" i="130"/>
  <c r="AA201" i="130" s="1"/>
  <c r="AA205" i="130" s="1"/>
  <c r="F33" i="125"/>
  <c r="F45" i="125"/>
  <c r="F69" i="125"/>
  <c r="F57" i="125"/>
  <c r="X46" i="138"/>
  <c r="X45" i="138"/>
  <c r="P33" i="133"/>
  <c r="P69" i="133"/>
  <c r="P57" i="133"/>
  <c r="P45" i="133"/>
  <c r="Y75" i="138"/>
  <c r="Y74" i="138"/>
  <c r="Y77" i="138"/>
  <c r="Y76" i="138"/>
  <c r="W46" i="138"/>
  <c r="W45" i="138"/>
  <c r="E33" i="125"/>
  <c r="F20" i="125"/>
  <c r="F21" i="125" s="1"/>
  <c r="E57" i="125"/>
  <c r="E69" i="125"/>
  <c r="E20" i="125"/>
  <c r="E21" i="125" s="1"/>
  <c r="E45" i="125"/>
  <c r="W117" i="138"/>
  <c r="W118" i="138" s="1"/>
  <c r="F6" i="136"/>
  <c r="F7" i="136" s="1"/>
  <c r="F8" i="136" s="1"/>
  <c r="F9" i="136" s="1"/>
  <c r="R13" i="134" s="1"/>
  <c r="S8" i="134"/>
  <c r="F8" i="134" s="1"/>
  <c r="S9" i="134" s="1"/>
  <c r="F9" i="134" s="1"/>
  <c r="S10" i="134" s="1"/>
  <c r="S7" i="134"/>
  <c r="X120" i="138"/>
  <c r="X121" i="138"/>
  <c r="X119" i="138"/>
  <c r="X122" i="138"/>
  <c r="X78" i="130"/>
  <c r="Y78" i="130"/>
  <c r="P69" i="125"/>
  <c r="P57" i="125"/>
  <c r="P45" i="125"/>
  <c r="P33" i="125"/>
  <c r="V200" i="130"/>
  <c r="V201" i="130" s="1"/>
  <c r="V46" i="138"/>
  <c r="V45" i="138"/>
  <c r="Y77" i="130"/>
  <c r="Y75" i="130"/>
  <c r="S13" i="126"/>
  <c r="F13" i="126" s="1"/>
  <c r="S14" i="126" s="1"/>
  <c r="F14" i="126" s="1"/>
  <c r="S15" i="126" s="1"/>
  <c r="Y122" i="138"/>
  <c r="Y120" i="138"/>
  <c r="Y121" i="138"/>
  <c r="Y119" i="138"/>
  <c r="X172" i="130"/>
  <c r="X173" i="130" s="1"/>
  <c r="X117" i="139"/>
  <c r="W200" i="130"/>
  <c r="W201" i="130" s="1"/>
  <c r="Z102" i="130"/>
  <c r="Z103" i="130" s="1"/>
  <c r="V100" i="138"/>
  <c r="V101" i="138"/>
  <c r="V102" i="138"/>
  <c r="V103" i="138"/>
  <c r="AA121" i="138"/>
  <c r="AA120" i="138"/>
  <c r="AA119" i="138"/>
  <c r="AA122" i="138"/>
  <c r="X77" i="130"/>
  <c r="X75" i="130"/>
  <c r="V172" i="130"/>
  <c r="V173" i="130" s="1"/>
  <c r="AA45" i="138"/>
  <c r="AA46" i="138"/>
  <c r="G240" i="123"/>
  <c r="Z185" i="122"/>
  <c r="X185" i="122"/>
  <c r="X187" i="122" s="1"/>
  <c r="X188" i="122" s="1"/>
  <c r="X189" i="122" s="1"/>
  <c r="G452" i="123"/>
  <c r="AB160" i="122"/>
  <c r="Y185" i="122"/>
  <c r="Y187" i="122" s="1"/>
  <c r="Y188" i="122" s="1"/>
  <c r="Y189" i="122" s="1"/>
  <c r="W134" i="122"/>
  <c r="Z134" i="122"/>
  <c r="G353" i="123"/>
  <c r="Z160" i="122"/>
  <c r="W185" i="122"/>
  <c r="W187" i="122" s="1"/>
  <c r="W188" i="122" s="1"/>
  <c r="W189" i="122" s="1"/>
  <c r="G347" i="123"/>
  <c r="Y135" i="122"/>
  <c r="AA134" i="122"/>
  <c r="X134" i="122"/>
  <c r="F130" i="111"/>
  <c r="F131" i="111" s="1"/>
  <c r="F132" i="111" s="1"/>
  <c r="F133" i="111" s="1"/>
  <c r="R91" i="110" s="1"/>
  <c r="Y356" i="113"/>
  <c r="U220" i="113"/>
  <c r="X135" i="122"/>
  <c r="X105" i="122"/>
  <c r="X106" i="122" s="1"/>
  <c r="X107" i="122" s="1"/>
  <c r="G328" i="123"/>
  <c r="AB134" i="122"/>
  <c r="Y134" i="122"/>
  <c r="AA135" i="122"/>
  <c r="N234" i="123"/>
  <c r="G234" i="123"/>
  <c r="N107" i="123"/>
  <c r="G107" i="123"/>
  <c r="N531" i="123"/>
  <c r="G531" i="123"/>
  <c r="H425" i="123"/>
  <c r="U426" i="123" s="1"/>
  <c r="H426" i="123" s="1"/>
  <c r="U427" i="123" s="1"/>
  <c r="H427" i="123" s="1"/>
  <c r="U428" i="123" s="1"/>
  <c r="H428" i="123" s="1"/>
  <c r="U429" i="123" s="1"/>
  <c r="H429" i="123" s="1"/>
  <c r="U430" i="123" s="1"/>
  <c r="I147" i="113"/>
  <c r="V148" i="113" s="1"/>
  <c r="I148" i="113" s="1"/>
  <c r="V149" i="113" s="1"/>
  <c r="I149" i="113" s="1"/>
  <c r="V150" i="113" s="1"/>
  <c r="I150" i="113" s="1"/>
  <c r="V151" i="113" s="1"/>
  <c r="I151" i="113" s="1"/>
  <c r="V152" i="113" s="1"/>
  <c r="I152" i="113" s="1"/>
  <c r="V153" i="113" s="1"/>
  <c r="I153" i="113" s="1"/>
  <c r="AA162" i="122"/>
  <c r="G461" i="123"/>
  <c r="Z135" i="122"/>
  <c r="X131" i="122"/>
  <c r="Z162" i="122"/>
  <c r="AB185" i="122"/>
  <c r="AB187" i="122" s="1"/>
  <c r="AB188" i="122" s="1"/>
  <c r="AB192" i="122" s="1"/>
  <c r="W162" i="122"/>
  <c r="N104" i="123"/>
  <c r="G104" i="123"/>
  <c r="X72" i="114"/>
  <c r="X74" i="114" s="1"/>
  <c r="X75" i="114" s="1"/>
  <c r="X78" i="114" s="1"/>
  <c r="Y134" i="113"/>
  <c r="Y72" i="114"/>
  <c r="Y74" i="114" s="1"/>
  <c r="Y75" i="114" s="1"/>
  <c r="AA72" i="114"/>
  <c r="AA74" i="114" s="1"/>
  <c r="AA75" i="114" s="1"/>
  <c r="AA78" i="114" s="1"/>
  <c r="N350" i="123"/>
  <c r="G350" i="123"/>
  <c r="Z187" i="122"/>
  <c r="Z188" i="122" s="1"/>
  <c r="Z189" i="122" s="1"/>
  <c r="W72" i="114"/>
  <c r="W74" i="114" s="1"/>
  <c r="W75" i="114" s="1"/>
  <c r="N237" i="123"/>
  <c r="G237" i="123"/>
  <c r="N458" i="123"/>
  <c r="G458" i="123"/>
  <c r="Y34" i="122"/>
  <c r="U221" i="113"/>
  <c r="W356" i="113"/>
  <c r="W135" i="122"/>
  <c r="G215" i="123"/>
  <c r="W294" i="113"/>
  <c r="Y162" i="122"/>
  <c r="AB72" i="114"/>
  <c r="AB74" i="114" s="1"/>
  <c r="AB75" i="114" s="1"/>
  <c r="AB77" i="114" s="1"/>
  <c r="AA185" i="122"/>
  <c r="AA187" i="122" s="1"/>
  <c r="AA188" i="122" s="1"/>
  <c r="AA190" i="122" s="1"/>
  <c r="G449" i="123"/>
  <c r="N455" i="123"/>
  <c r="G455" i="123"/>
  <c r="N359" i="123"/>
  <c r="G359" i="123"/>
  <c r="G481" i="123"/>
  <c r="Z220" i="113"/>
  <c r="Z72" i="114"/>
  <c r="Z74" i="114" s="1"/>
  <c r="Z75" i="114" s="1"/>
  <c r="Z77" i="114" s="1"/>
  <c r="AB162" i="122"/>
  <c r="G205" i="123"/>
  <c r="X161" i="122"/>
  <c r="N101" i="123"/>
  <c r="G101" i="123"/>
  <c r="N537" i="123"/>
  <c r="G537" i="123"/>
  <c r="N356" i="123"/>
  <c r="G356" i="123"/>
  <c r="V356" i="113"/>
  <c r="W36" i="113"/>
  <c r="I367" i="113"/>
  <c r="F421" i="115" s="1"/>
  <c r="F422" i="115" s="1"/>
  <c r="F423" i="115" s="1"/>
  <c r="F424" i="115" s="1"/>
  <c r="F425" i="115" s="1"/>
  <c r="F426" i="115" s="1"/>
  <c r="U370" i="113" s="1"/>
  <c r="X162" i="122"/>
  <c r="Y160" i="122"/>
  <c r="N491" i="123"/>
  <c r="G491" i="123"/>
  <c r="U36" i="113"/>
  <c r="Z131" i="122"/>
  <c r="N382" i="123"/>
  <c r="G382" i="123"/>
  <c r="N560" i="123"/>
  <c r="G560" i="123"/>
  <c r="N276" i="123"/>
  <c r="G276" i="123"/>
  <c r="V294" i="113"/>
  <c r="AA161" i="122"/>
  <c r="I231" i="113"/>
  <c r="V232" i="113" s="1"/>
  <c r="I232" i="113" s="1"/>
  <c r="V233" i="113" s="1"/>
  <c r="I233" i="113" s="1"/>
  <c r="Y78" i="122"/>
  <c r="Y79" i="122" s="1"/>
  <c r="Y80" i="122" s="1"/>
  <c r="Y81" i="122" s="1"/>
  <c r="G167" i="123"/>
  <c r="AA131" i="122"/>
  <c r="G283" i="123"/>
  <c r="N283" i="123"/>
  <c r="N402" i="123"/>
  <c r="G402" i="123"/>
  <c r="W51" i="114"/>
  <c r="N150" i="123"/>
  <c r="G150" i="123"/>
  <c r="H319" i="123"/>
  <c r="U320" i="123" s="1"/>
  <c r="H320" i="123" s="1"/>
  <c r="U321" i="123" s="1"/>
  <c r="Z36" i="113"/>
  <c r="G137" i="123"/>
  <c r="F262" i="119"/>
  <c r="G263" i="119" s="1"/>
  <c r="Z134" i="113"/>
  <c r="E104" i="110"/>
  <c r="E156" i="110" s="1"/>
  <c r="N89" i="123"/>
  <c r="G89" i="123"/>
  <c r="N160" i="123"/>
  <c r="G160" i="123"/>
  <c r="N286" i="123"/>
  <c r="G286" i="123"/>
  <c r="V220" i="113"/>
  <c r="X79" i="114"/>
  <c r="N130" i="123"/>
  <c r="G130" i="123"/>
  <c r="N266" i="123"/>
  <c r="G266" i="123"/>
  <c r="X356" i="113"/>
  <c r="V134" i="113"/>
  <c r="Y220" i="113"/>
  <c r="AB131" i="122"/>
  <c r="U294" i="113"/>
  <c r="G49" i="123"/>
  <c r="G170" i="123"/>
  <c r="N170" i="123"/>
  <c r="G484" i="123"/>
  <c r="W131" i="122"/>
  <c r="N296" i="123"/>
  <c r="G296" i="123"/>
  <c r="Y131" i="122"/>
  <c r="N76" i="123"/>
  <c r="G76" i="123"/>
  <c r="N147" i="123"/>
  <c r="G147" i="123"/>
  <c r="N222" i="123"/>
  <c r="G222" i="123"/>
  <c r="N433" i="123"/>
  <c r="G433" i="123"/>
  <c r="N293" i="123"/>
  <c r="G293" i="123"/>
  <c r="N59" i="123"/>
  <c r="G59" i="123"/>
  <c r="N212" i="123"/>
  <c r="G212" i="123"/>
  <c r="G273" i="123"/>
  <c r="N273" i="123"/>
  <c r="W78" i="122"/>
  <c r="W79" i="122" s="1"/>
  <c r="W80" i="122" s="1"/>
  <c r="Y294" i="113"/>
  <c r="X134" i="113"/>
  <c r="X220" i="113"/>
  <c r="Z294" i="113"/>
  <c r="N338" i="123"/>
  <c r="G338" i="123"/>
  <c r="G225" i="123"/>
  <c r="N225" i="123"/>
  <c r="W161" i="122"/>
  <c r="E46" i="110"/>
  <c r="Z161" i="122"/>
  <c r="N331" i="123"/>
  <c r="G331" i="123"/>
  <c r="N399" i="123"/>
  <c r="G399" i="123"/>
  <c r="Y161" i="122"/>
  <c r="X133" i="122"/>
  <c r="Y133" i="122"/>
  <c r="W133" i="122"/>
  <c r="AB133" i="122"/>
  <c r="AA133" i="122"/>
  <c r="Z133" i="122"/>
  <c r="E132" i="119"/>
  <c r="AA78" i="122"/>
  <c r="AA79" i="122" s="1"/>
  <c r="AA80" i="122" s="1"/>
  <c r="Z356" i="113"/>
  <c r="Y36" i="113"/>
  <c r="V36" i="113"/>
  <c r="N440" i="123"/>
  <c r="G440" i="123"/>
  <c r="Z78" i="122"/>
  <c r="Z79" i="122" s="1"/>
  <c r="Z80" i="122" s="1"/>
  <c r="I305" i="113"/>
  <c r="V306" i="113" s="1"/>
  <c r="I306" i="113" s="1"/>
  <c r="V307" i="113" s="1"/>
  <c r="I307" i="113" s="1"/>
  <c r="N443" i="123"/>
  <c r="G443" i="123"/>
  <c r="N321" i="123"/>
  <c r="G321" i="123"/>
  <c r="X36" i="113"/>
  <c r="U134" i="113"/>
  <c r="X294" i="113"/>
  <c r="H47" i="123"/>
  <c r="U48" i="123" s="1"/>
  <c r="H48" i="123" s="1"/>
  <c r="U49" i="123" s="1"/>
  <c r="N69" i="123"/>
  <c r="G69" i="123"/>
  <c r="AB78" i="122"/>
  <c r="AB79" i="122" s="1"/>
  <c r="AB80" i="122" s="1"/>
  <c r="N66" i="123"/>
  <c r="G66" i="123"/>
  <c r="N202" i="123"/>
  <c r="G202" i="123"/>
  <c r="N341" i="123"/>
  <c r="G341" i="123"/>
  <c r="N79" i="123"/>
  <c r="G79" i="123"/>
  <c r="AB161" i="122"/>
  <c r="X78" i="122"/>
  <c r="X79" i="122" s="1"/>
  <c r="X80" i="122" s="1"/>
  <c r="W220" i="113"/>
  <c r="N195" i="123"/>
  <c r="G195" i="123"/>
  <c r="U356" i="113"/>
  <c r="W134" i="113"/>
  <c r="N86" i="123"/>
  <c r="G86" i="123"/>
  <c r="W190" i="122"/>
  <c r="Z78" i="114"/>
  <c r="F112" i="115"/>
  <c r="F136" i="119"/>
  <c r="S137" i="119" s="1"/>
  <c r="F137" i="119" s="1"/>
  <c r="S138" i="119" s="1"/>
  <c r="F138" i="119" s="1"/>
  <c r="S139" i="119" s="1"/>
  <c r="F139" i="119" s="1"/>
  <c r="S140" i="119" s="1"/>
  <c r="F140" i="119" s="1"/>
  <c r="F8" i="110"/>
  <c r="F118" i="115"/>
  <c r="V49" i="113"/>
  <c r="I49" i="113" s="1"/>
  <c r="AB34" i="122"/>
  <c r="Y33" i="122"/>
  <c r="F56" i="108"/>
  <c r="F57" i="108" s="1"/>
  <c r="F32" i="108"/>
  <c r="F33" i="108" s="1"/>
  <c r="F20" i="108"/>
  <c r="F21" i="108" s="1"/>
  <c r="F68" i="108"/>
  <c r="F69" i="108" s="1"/>
  <c r="F44" i="108"/>
  <c r="F45" i="108" s="1"/>
  <c r="O69" i="133"/>
  <c r="O45" i="133"/>
  <c r="O57" i="133"/>
  <c r="O33" i="133"/>
  <c r="P20" i="133"/>
  <c r="P21" i="133" s="1"/>
  <c r="O20" i="133"/>
  <c r="O21" i="133" s="1"/>
  <c r="AA33" i="122"/>
  <c r="X33" i="122"/>
  <c r="F88" i="110"/>
  <c r="S89" i="110" s="1"/>
  <c r="F89" i="110" s="1"/>
  <c r="S90" i="110" s="1"/>
  <c r="F90" i="110" s="1"/>
  <c r="E56" i="133"/>
  <c r="E57" i="133" s="1"/>
  <c r="E20" i="133"/>
  <c r="E44" i="133"/>
  <c r="E45" i="133" s="1"/>
  <c r="E32" i="133"/>
  <c r="E33" i="133" s="1"/>
  <c r="E68" i="133"/>
  <c r="E69" i="133" s="1"/>
  <c r="AA34" i="122"/>
  <c r="W34" i="122"/>
  <c r="G268" i="119"/>
  <c r="F11" i="119"/>
  <c r="S12" i="119" s="1"/>
  <c r="F12" i="119" s="1"/>
  <c r="S13" i="119" s="1"/>
  <c r="F13" i="119" s="1"/>
  <c r="S14" i="119" s="1"/>
  <c r="F14" i="119" s="1"/>
  <c r="S15" i="119" s="1"/>
  <c r="F15" i="119" s="1"/>
  <c r="S16" i="119" s="1"/>
  <c r="F16" i="119" s="1"/>
  <c r="S17" i="119" s="1"/>
  <c r="F17" i="119" s="1"/>
  <c r="S18" i="119" s="1"/>
  <c r="F18" i="119" s="1"/>
  <c r="S19" i="119" s="1"/>
  <c r="F19" i="119" s="1"/>
  <c r="S20" i="119" s="1"/>
  <c r="F20" i="119" s="1"/>
  <c r="S21" i="119" s="1"/>
  <c r="F21" i="119" s="1"/>
  <c r="S22" i="119" s="1"/>
  <c r="F22" i="119" s="1"/>
  <c r="E32" i="108"/>
  <c r="E33" i="108" s="1"/>
  <c r="E20" i="108"/>
  <c r="E21" i="108" s="1"/>
  <c r="E68" i="108"/>
  <c r="E69" i="108" s="1"/>
  <c r="E44" i="108"/>
  <c r="E45" i="108" s="1"/>
  <c r="E56" i="108"/>
  <c r="E57" i="108" s="1"/>
  <c r="R152" i="110"/>
  <c r="R10" i="110"/>
  <c r="Z190" i="122"/>
  <c r="W108" i="122"/>
  <c r="W109" i="122"/>
  <c r="Z34" i="122"/>
  <c r="E68" i="117"/>
  <c r="E56" i="117"/>
  <c r="E20" i="117"/>
  <c r="E44" i="117"/>
  <c r="E32" i="117"/>
  <c r="W33" i="122"/>
  <c r="AB33" i="122"/>
  <c r="F32" i="117"/>
  <c r="F56" i="117"/>
  <c r="F20" i="117"/>
  <c r="F68" i="117"/>
  <c r="F44" i="117"/>
  <c r="Z33" i="122"/>
  <c r="G34" i="114"/>
  <c r="T35" i="114" s="1"/>
  <c r="G35" i="114" s="1"/>
  <c r="T36" i="114" s="1"/>
  <c r="G36" i="114" s="1"/>
  <c r="G37" i="114" s="1"/>
  <c r="H24" i="113"/>
  <c r="G24" i="113"/>
  <c r="J24" i="113"/>
  <c r="H68" i="108" s="1"/>
  <c r="E24" i="113"/>
  <c r="H7" i="108" s="1"/>
  <c r="F24" i="113"/>
  <c r="H20" i="108" s="1"/>
  <c r="H21" i="108" s="1"/>
  <c r="I24" i="113"/>
  <c r="H56" i="108" s="1"/>
  <c r="H57" i="108" s="1"/>
  <c r="G54" i="114"/>
  <c r="T55" i="114" s="1"/>
  <c r="T112" i="122"/>
  <c r="G112" i="122" s="1"/>
  <c r="T113" i="122" s="1"/>
  <c r="G113" i="122" s="1"/>
  <c r="G114" i="122" s="1"/>
  <c r="AA58" i="122"/>
  <c r="X59" i="122"/>
  <c r="Z59" i="122"/>
  <c r="AB58" i="122"/>
  <c r="W58" i="122"/>
  <c r="AA59" i="122"/>
  <c r="Y59" i="122"/>
  <c r="W59" i="122"/>
  <c r="X58" i="122"/>
  <c r="Z58" i="122"/>
  <c r="Y58" i="122"/>
  <c r="Y415" i="123"/>
  <c r="V309" i="123"/>
  <c r="X37" i="123"/>
  <c r="X415" i="123"/>
  <c r="V37" i="123"/>
  <c r="W415" i="123"/>
  <c r="H24" i="123" s="1"/>
  <c r="H44" i="117" s="1"/>
  <c r="T135" i="122"/>
  <c r="F14" i="124"/>
  <c r="F15" i="124" s="1"/>
  <c r="F16" i="124" s="1"/>
  <c r="F17" i="124" s="1"/>
  <c r="U37" i="123"/>
  <c r="F24" i="123" s="1"/>
  <c r="H20" i="117" s="1"/>
  <c r="Y37" i="123"/>
  <c r="G83" i="122"/>
  <c r="Z192" i="122"/>
  <c r="X192" i="122"/>
  <c r="W192" i="122"/>
  <c r="T415" i="123"/>
  <c r="T309" i="123"/>
  <c r="X191" i="122"/>
  <c r="E28" i="139"/>
  <c r="R18" i="133" s="1"/>
  <c r="R19" i="133" s="1"/>
  <c r="T193" i="139"/>
  <c r="G193" i="139" s="1"/>
  <c r="T194" i="139" s="1"/>
  <c r="G194" i="139" s="1"/>
  <c r="T195" i="139" s="1"/>
  <c r="G195" i="139" s="1"/>
  <c r="F369" i="140"/>
  <c r="F370" i="140" s="1"/>
  <c r="F371" i="140" s="1"/>
  <c r="F372" i="140" s="1"/>
  <c r="F373" i="140" s="1"/>
  <c r="F374" i="140" s="1"/>
  <c r="F375" i="140" s="1"/>
  <c r="S250" i="139" s="1"/>
  <c r="S177" i="139"/>
  <c r="S178" i="139"/>
  <c r="D28" i="139"/>
  <c r="R5" i="133" s="1"/>
  <c r="W177" i="139"/>
  <c r="W178" i="139"/>
  <c r="X446" i="139"/>
  <c r="X447" i="139"/>
  <c r="S267" i="139"/>
  <c r="S266" i="139"/>
  <c r="X178" i="139"/>
  <c r="X177" i="139"/>
  <c r="F6" i="140"/>
  <c r="F7" i="140" s="1"/>
  <c r="F8" i="140" s="1"/>
  <c r="F9" i="140" s="1"/>
  <c r="F10" i="140" s="1"/>
  <c r="S63" i="139" s="1"/>
  <c r="T55" i="139"/>
  <c r="U177" i="139"/>
  <c r="U178" i="139"/>
  <c r="G397" i="139"/>
  <c r="T398" i="139" s="1"/>
  <c r="T266" i="139"/>
  <c r="T267" i="139"/>
  <c r="F327" i="140"/>
  <c r="F328" i="140" s="1"/>
  <c r="F329" i="140" s="1"/>
  <c r="F330" i="140" s="1"/>
  <c r="F331" i="140" s="1"/>
  <c r="F332" i="140" s="1"/>
  <c r="F333" i="140" s="1"/>
  <c r="S365" i="139" s="1"/>
  <c r="T362" i="139"/>
  <c r="V177" i="139"/>
  <c r="V178" i="139"/>
  <c r="G516" i="139"/>
  <c r="T517" i="139" s="1"/>
  <c r="G329" i="139"/>
  <c r="T330" i="139" s="1"/>
  <c r="U266" i="139"/>
  <c r="U267" i="139"/>
  <c r="T463" i="139"/>
  <c r="F506" i="140"/>
  <c r="F507" i="140" s="1"/>
  <c r="F508" i="140" s="1"/>
  <c r="F509" i="140" s="1"/>
  <c r="F510" i="140" s="1"/>
  <c r="F511" i="140" s="1"/>
  <c r="F512" i="140" s="1"/>
  <c r="F513" i="140" s="1"/>
  <c r="F514" i="140" s="1"/>
  <c r="S469" i="139" s="1"/>
  <c r="F54" i="138"/>
  <c r="F55" i="138" s="1"/>
  <c r="S56" i="138" s="1"/>
  <c r="F56" i="138" s="1"/>
  <c r="S57" i="138" s="1"/>
  <c r="V205" i="131"/>
  <c r="U571" i="131"/>
  <c r="X394" i="131"/>
  <c r="T204" i="131"/>
  <c r="S99" i="131"/>
  <c r="X205" i="131"/>
  <c r="W394" i="131"/>
  <c r="T409" i="131"/>
  <c r="G409" i="131" s="1"/>
  <c r="T410" i="131" s="1"/>
  <c r="G410" i="131" s="1"/>
  <c r="T411" i="131" s="1"/>
  <c r="G411" i="131" s="1"/>
  <c r="G412" i="131" s="1"/>
  <c r="U396" i="131" s="1"/>
  <c r="W205" i="131"/>
  <c r="T378" i="131"/>
  <c r="G378" i="131" s="1"/>
  <c r="T379" i="131" s="1"/>
  <c r="V131" i="131"/>
  <c r="S205" i="131"/>
  <c r="W42" i="131"/>
  <c r="S572" i="131"/>
  <c r="T572" i="131"/>
  <c r="T586" i="131"/>
  <c r="G586" i="131" s="1"/>
  <c r="T587" i="131" s="1"/>
  <c r="G587" i="131" s="1"/>
  <c r="T588" i="131" s="1"/>
  <c r="G588" i="131" s="1"/>
  <c r="T589" i="131" s="1"/>
  <c r="G589" i="131" s="1"/>
  <c r="T590" i="131" s="1"/>
  <c r="G590" i="131" s="1"/>
  <c r="T591" i="131" s="1"/>
  <c r="G591" i="131" s="1"/>
  <c r="T592" i="131" s="1"/>
  <c r="G592" i="131" s="1"/>
  <c r="T593" i="131" s="1"/>
  <c r="G593" i="131" s="1"/>
  <c r="F469" i="132" s="1"/>
  <c r="F470" i="132" s="1"/>
  <c r="F471" i="132" s="1"/>
  <c r="F472" i="132" s="1"/>
  <c r="F473" i="132" s="1"/>
  <c r="F474" i="132" s="1"/>
  <c r="F475" i="132" s="1"/>
  <c r="F476" i="132" s="1"/>
  <c r="F477" i="132" s="1"/>
  <c r="F478" i="132" s="1"/>
  <c r="F479" i="132" s="1"/>
  <c r="T394" i="131"/>
  <c r="T131" i="131"/>
  <c r="V393" i="131"/>
  <c r="S393" i="131"/>
  <c r="S131" i="131"/>
  <c r="S132" i="131"/>
  <c r="X571" i="131"/>
  <c r="X270" i="131"/>
  <c r="W571" i="131"/>
  <c r="V571" i="131"/>
  <c r="W423" i="131"/>
  <c r="W424" i="131"/>
  <c r="V423" i="131"/>
  <c r="V424" i="131"/>
  <c r="G336" i="131"/>
  <c r="T337" i="131" s="1"/>
  <c r="X42" i="131"/>
  <c r="X43" i="131"/>
  <c r="T501" i="131"/>
  <c r="T500" i="131"/>
  <c r="S270" i="131"/>
  <c r="S269" i="131"/>
  <c r="W500" i="131"/>
  <c r="W501" i="131"/>
  <c r="S43" i="131"/>
  <c r="S42" i="131"/>
  <c r="T42" i="131"/>
  <c r="T43" i="131"/>
  <c r="U269" i="131"/>
  <c r="U270" i="131"/>
  <c r="S424" i="131"/>
  <c r="S423" i="131"/>
  <c r="V501" i="131"/>
  <c r="V500" i="131"/>
  <c r="F298" i="132"/>
  <c r="F299" i="132" s="1"/>
  <c r="F300" i="132" s="1"/>
  <c r="F301" i="132" s="1"/>
  <c r="F302" i="132" s="1"/>
  <c r="F303" i="132" s="1"/>
  <c r="F304" i="132" s="1"/>
  <c r="F305" i="132" s="1"/>
  <c r="F306" i="132" s="1"/>
  <c r="F289" i="132"/>
  <c r="F290" i="132" s="1"/>
  <c r="F291" i="132" s="1"/>
  <c r="F292" i="132" s="1"/>
  <c r="F293" i="132" s="1"/>
  <c r="F294" i="132" s="1"/>
  <c r="F295" i="132" s="1"/>
  <c r="F296" i="132" s="1"/>
  <c r="F297" i="132" s="1"/>
  <c r="S445" i="131" s="1"/>
  <c r="T435" i="131"/>
  <c r="G435" i="131" s="1"/>
  <c r="T436" i="131" s="1"/>
  <c r="G436" i="131" s="1"/>
  <c r="T437" i="131" s="1"/>
  <c r="G437" i="131" s="1"/>
  <c r="T438" i="131" s="1"/>
  <c r="G438" i="131" s="1"/>
  <c r="T439" i="131" s="1"/>
  <c r="G439" i="131" s="1"/>
  <c r="T440" i="131" s="1"/>
  <c r="G440" i="131" s="1"/>
  <c r="T441" i="131" s="1"/>
  <c r="G441" i="131" s="1"/>
  <c r="T442" i="131" s="1"/>
  <c r="G442" i="131" s="1"/>
  <c r="T443" i="131" s="1"/>
  <c r="G443" i="131" s="1"/>
  <c r="T444" i="131" s="1"/>
  <c r="G444" i="131" s="1"/>
  <c r="T434" i="131"/>
  <c r="F146" i="132"/>
  <c r="F147" i="132" s="1"/>
  <c r="F148" i="132" s="1"/>
  <c r="F149" i="132" s="1"/>
  <c r="F150" i="132" s="1"/>
  <c r="F151" i="132" s="1"/>
  <c r="F152" i="132" s="1"/>
  <c r="S227" i="131" s="1"/>
  <c r="T227" i="131" s="1"/>
  <c r="G227" i="131" s="1"/>
  <c r="T228" i="131" s="1"/>
  <c r="G228" i="131" s="1"/>
  <c r="T229" i="131" s="1"/>
  <c r="G229" i="131" s="1"/>
  <c r="T230" i="131" s="1"/>
  <c r="G230" i="131" s="1"/>
  <c r="T231" i="131" s="1"/>
  <c r="G231" i="131" s="1"/>
  <c r="T232" i="131" s="1"/>
  <c r="G232" i="131" s="1"/>
  <c r="T233" i="131" s="1"/>
  <c r="G233" i="131" s="1"/>
  <c r="T234" i="131" s="1"/>
  <c r="G234" i="131" s="1"/>
  <c r="T235" i="131" s="1"/>
  <c r="G235" i="131" s="1"/>
  <c r="F153" i="132"/>
  <c r="F154" i="132" s="1"/>
  <c r="F155" i="132" s="1"/>
  <c r="F156" i="132" s="1"/>
  <c r="F157" i="132" s="1"/>
  <c r="F158" i="132" s="1"/>
  <c r="F159" i="132" s="1"/>
  <c r="S236" i="131" s="1"/>
  <c r="X423" i="131"/>
  <c r="X424" i="131"/>
  <c r="X501" i="131"/>
  <c r="X500" i="131"/>
  <c r="T423" i="131"/>
  <c r="T424" i="131"/>
  <c r="S500" i="131"/>
  <c r="S501" i="131"/>
  <c r="U42" i="131"/>
  <c r="U43" i="131"/>
  <c r="V270" i="131"/>
  <c r="V269" i="131"/>
  <c r="F195" i="132"/>
  <c r="F196" i="132" s="1"/>
  <c r="F197" i="132" s="1"/>
  <c r="F198" i="132" s="1"/>
  <c r="F199" i="132" s="1"/>
  <c r="F200" i="132" s="1"/>
  <c r="F201" i="132" s="1"/>
  <c r="S290" i="131" s="1"/>
  <c r="T281" i="131"/>
  <c r="G281" i="131" s="1"/>
  <c r="T282" i="131" s="1"/>
  <c r="G282" i="131" s="1"/>
  <c r="T283" i="131" s="1"/>
  <c r="G283" i="131" s="1"/>
  <c r="T284" i="131" s="1"/>
  <c r="G284" i="131" s="1"/>
  <c r="T285" i="131" s="1"/>
  <c r="G285" i="131" s="1"/>
  <c r="T286" i="131" s="1"/>
  <c r="G286" i="131" s="1"/>
  <c r="T287" i="131" s="1"/>
  <c r="G287" i="131" s="1"/>
  <c r="T288" i="131" s="1"/>
  <c r="G288" i="131" s="1"/>
  <c r="T289" i="131" s="1"/>
  <c r="G289" i="131" s="1"/>
  <c r="U424" i="131"/>
  <c r="U423" i="131"/>
  <c r="V43" i="131"/>
  <c r="V42" i="131"/>
  <c r="T269" i="131"/>
  <c r="T270" i="131"/>
  <c r="U501" i="131"/>
  <c r="U500" i="131"/>
  <c r="G57" i="131"/>
  <c r="T58" i="131" s="1"/>
  <c r="G514" i="131"/>
  <c r="T515" i="131" s="1"/>
  <c r="G145" i="131"/>
  <c r="T146" i="131" s="1"/>
  <c r="P6" i="100" l="1"/>
  <c r="P8" i="100"/>
  <c r="W77" i="114"/>
  <c r="W79" i="114"/>
  <c r="Z76" i="114"/>
  <c r="H430" i="123"/>
  <c r="U431" i="123" s="1"/>
  <c r="H431" i="123" s="1"/>
  <c r="U432" i="123" s="1"/>
  <c r="H432" i="123" s="1"/>
  <c r="U433" i="123" s="1"/>
  <c r="Z191" i="122"/>
  <c r="T248" i="139"/>
  <c r="G248" i="139" s="1"/>
  <c r="T249" i="139" s="1"/>
  <c r="G249" i="139" s="1"/>
  <c r="T250" i="139" s="1"/>
  <c r="G250" i="139" s="1"/>
  <c r="T251" i="139" s="1"/>
  <c r="G251" i="139" s="1"/>
  <c r="F376" i="140" s="1"/>
  <c r="F377" i="140" s="1"/>
  <c r="F378" i="140" s="1"/>
  <c r="F379" i="140" s="1"/>
  <c r="F380" i="140" s="1"/>
  <c r="D29" i="139"/>
  <c r="R7" i="133" s="1"/>
  <c r="F275" i="140"/>
  <c r="F276" i="140" s="1"/>
  <c r="F277" i="140" s="1"/>
  <c r="F278" i="140" s="1"/>
  <c r="F279" i="140" s="1"/>
  <c r="S289" i="139" s="1"/>
  <c r="T283" i="139"/>
  <c r="G283" i="139" s="1"/>
  <c r="T284" i="139" s="1"/>
  <c r="G284" i="139" s="1"/>
  <c r="T285" i="139" s="1"/>
  <c r="G285" i="139" s="1"/>
  <c r="T286" i="139" s="1"/>
  <c r="G286" i="139" s="1"/>
  <c r="W145" i="138"/>
  <c r="W146" i="138" s="1"/>
  <c r="W150" i="138" s="1"/>
  <c r="O31" i="125"/>
  <c r="O43" i="125"/>
  <c r="X76" i="114"/>
  <c r="W191" i="122"/>
  <c r="H321" i="123"/>
  <c r="F377" i="124" s="1"/>
  <c r="F378" i="124" s="1"/>
  <c r="F379" i="124" s="1"/>
  <c r="F380" i="124" s="1"/>
  <c r="F381" i="124" s="1"/>
  <c r="F382" i="124" s="1"/>
  <c r="F383" i="124" s="1"/>
  <c r="T332" i="123" s="1"/>
  <c r="X190" i="122"/>
  <c r="AB136" i="122"/>
  <c r="AB137" i="122" s="1"/>
  <c r="AB138" i="122" s="1"/>
  <c r="AB191" i="122"/>
  <c r="Z145" i="138"/>
  <c r="Z146" i="138" s="1"/>
  <c r="Z148" i="138" s="1"/>
  <c r="S145" i="126"/>
  <c r="F145" i="126" s="1"/>
  <c r="S146" i="126" s="1"/>
  <c r="F146" i="126" s="1"/>
  <c r="Z204" i="130"/>
  <c r="P5" i="125"/>
  <c r="P31" i="125" s="1"/>
  <c r="H100" i="134"/>
  <c r="E100" i="134" s="1"/>
  <c r="Y177" i="130"/>
  <c r="V322" i="131"/>
  <c r="V323" i="131" s="1"/>
  <c r="V324" i="131" s="1"/>
  <c r="H125" i="126"/>
  <c r="E125" i="126" s="1"/>
  <c r="F218" i="134"/>
  <c r="H103" i="134"/>
  <c r="E103" i="134" s="1"/>
  <c r="Y175" i="130"/>
  <c r="T360" i="131"/>
  <c r="T361" i="131" s="1"/>
  <c r="T363" i="131" s="1"/>
  <c r="S360" i="131"/>
  <c r="S361" i="131" s="1"/>
  <c r="S362" i="131" s="1"/>
  <c r="X360" i="131"/>
  <c r="X361" i="131" s="1"/>
  <c r="X362" i="131" s="1"/>
  <c r="S229" i="139"/>
  <c r="S230" i="139" s="1"/>
  <c r="S232" i="139" s="1"/>
  <c r="V145" i="138"/>
  <c r="V146" i="138" s="1"/>
  <c r="V150" i="138" s="1"/>
  <c r="D17" i="138" s="1"/>
  <c r="AA104" i="130"/>
  <c r="AA77" i="138"/>
  <c r="AA177" i="130"/>
  <c r="AA75" i="138"/>
  <c r="AA76" i="138"/>
  <c r="W174" i="130"/>
  <c r="W175" i="130"/>
  <c r="Z203" i="130"/>
  <c r="I29" i="139"/>
  <c r="R68" i="133" s="1"/>
  <c r="R69" i="133" s="1"/>
  <c r="W176" i="130"/>
  <c r="V360" i="131"/>
  <c r="V361" i="131" s="1"/>
  <c r="V362" i="131" s="1"/>
  <c r="H149" i="126"/>
  <c r="E149" i="126" s="1"/>
  <c r="AA145" i="138"/>
  <c r="AA146" i="138" s="1"/>
  <c r="AA148" i="138" s="1"/>
  <c r="AA174" i="130"/>
  <c r="Y176" i="130"/>
  <c r="T312" i="139"/>
  <c r="T313" i="139" s="1"/>
  <c r="T314" i="139" s="1"/>
  <c r="U360" i="131"/>
  <c r="U361" i="131" s="1"/>
  <c r="U363" i="131" s="1"/>
  <c r="AA175" i="130"/>
  <c r="Z205" i="130"/>
  <c r="T229" i="139"/>
  <c r="T230" i="139" s="1"/>
  <c r="T231" i="139" s="1"/>
  <c r="T322" i="131"/>
  <c r="T323" i="131" s="1"/>
  <c r="T325" i="131" s="1"/>
  <c r="S322" i="131"/>
  <c r="S323" i="131" s="1"/>
  <c r="S324" i="131" s="1"/>
  <c r="Z150" i="138"/>
  <c r="W105" i="130"/>
  <c r="I28" i="139"/>
  <c r="R66" i="133" s="1"/>
  <c r="W104" i="130"/>
  <c r="Z122" i="138"/>
  <c r="X105" i="130"/>
  <c r="W106" i="130"/>
  <c r="Z121" i="138"/>
  <c r="P5" i="133"/>
  <c r="P43" i="133" s="1"/>
  <c r="Z119" i="138"/>
  <c r="W149" i="138"/>
  <c r="X106" i="130"/>
  <c r="Y107" i="130"/>
  <c r="AA106" i="130"/>
  <c r="W76" i="138"/>
  <c r="W75" i="138"/>
  <c r="Y104" i="130"/>
  <c r="X107" i="130"/>
  <c r="Y105" i="130"/>
  <c r="X324" i="131"/>
  <c r="W74" i="138"/>
  <c r="G210" i="134"/>
  <c r="H128" i="134"/>
  <c r="E128" i="134" s="1"/>
  <c r="H131" i="134"/>
  <c r="E131" i="134" s="1"/>
  <c r="W312" i="139"/>
  <c r="W313" i="139" s="1"/>
  <c r="X312" i="139"/>
  <c r="X313" i="139" s="1"/>
  <c r="X316" i="139" s="1"/>
  <c r="S312" i="139"/>
  <c r="S313" i="139" s="1"/>
  <c r="S316" i="139" s="1"/>
  <c r="W229" i="139"/>
  <c r="W230" i="139" s="1"/>
  <c r="H147" i="126"/>
  <c r="E147" i="126" s="1"/>
  <c r="F257" i="126" s="1"/>
  <c r="F5" i="125" s="1"/>
  <c r="F55" i="125" s="1"/>
  <c r="W360" i="131"/>
  <c r="W361" i="131" s="1"/>
  <c r="W322" i="131"/>
  <c r="W323" i="131" s="1"/>
  <c r="V229" i="139"/>
  <c r="V230" i="139" s="1"/>
  <c r="H121" i="134"/>
  <c r="E121" i="134" s="1"/>
  <c r="H124" i="134"/>
  <c r="E124" i="134" s="1"/>
  <c r="U229" i="139"/>
  <c r="U230" i="139" s="1"/>
  <c r="U322" i="131"/>
  <c r="U323" i="131" s="1"/>
  <c r="X76" i="138"/>
  <c r="Z177" i="130"/>
  <c r="Z175" i="130"/>
  <c r="Z176" i="130"/>
  <c r="Z174" i="130"/>
  <c r="AA202" i="130"/>
  <c r="AA107" i="130"/>
  <c r="Z76" i="138"/>
  <c r="AA203" i="130"/>
  <c r="AA204" i="130"/>
  <c r="X149" i="138"/>
  <c r="X147" i="138"/>
  <c r="X150" i="138"/>
  <c r="X148" i="138"/>
  <c r="V76" i="138"/>
  <c r="X75" i="138"/>
  <c r="U314" i="139"/>
  <c r="U315" i="139"/>
  <c r="O55" i="133"/>
  <c r="V74" i="138"/>
  <c r="V315" i="139"/>
  <c r="V314" i="139"/>
  <c r="S363" i="131"/>
  <c r="X231" i="139"/>
  <c r="X232" i="139"/>
  <c r="V77" i="138"/>
  <c r="Z77" i="138"/>
  <c r="X74" i="138"/>
  <c r="Z75" i="138"/>
  <c r="V104" i="130"/>
  <c r="V106" i="130"/>
  <c r="V105" i="130"/>
  <c r="G211" i="134"/>
  <c r="G212" i="134"/>
  <c r="V177" i="130"/>
  <c r="V176" i="130"/>
  <c r="V175" i="130"/>
  <c r="V174" i="130"/>
  <c r="Z104" i="130"/>
  <c r="Z106" i="130"/>
  <c r="Z105" i="130"/>
  <c r="Z107" i="130"/>
  <c r="Y202" i="130"/>
  <c r="Y205" i="130"/>
  <c r="Y204" i="130"/>
  <c r="Y203" i="130"/>
  <c r="X203" i="130"/>
  <c r="X202" i="130"/>
  <c r="X204" i="130"/>
  <c r="X205" i="130"/>
  <c r="W120" i="138"/>
  <c r="W119" i="138"/>
  <c r="W122" i="138"/>
  <c r="W121" i="138"/>
  <c r="V148" i="138"/>
  <c r="D15" i="138" s="1"/>
  <c r="Q7" i="133" s="1"/>
  <c r="V149" i="138"/>
  <c r="D16" i="138" s="1"/>
  <c r="Q9" i="133" s="1"/>
  <c r="V147" i="138"/>
  <c r="D14" i="138" s="1"/>
  <c r="Q5" i="133" s="1"/>
  <c r="F133" i="126"/>
  <c r="X174" i="130"/>
  <c r="X176" i="130"/>
  <c r="X175" i="130"/>
  <c r="X177" i="130"/>
  <c r="W203" i="130"/>
  <c r="W202" i="130"/>
  <c r="W205" i="130"/>
  <c r="W204" i="130"/>
  <c r="V204" i="130"/>
  <c r="V203" i="130"/>
  <c r="V205" i="130"/>
  <c r="V202" i="130"/>
  <c r="P43" i="125"/>
  <c r="P67" i="125"/>
  <c r="P55" i="125"/>
  <c r="Y149" i="138"/>
  <c r="Y148" i="138"/>
  <c r="Y150" i="138"/>
  <c r="Y147" i="138"/>
  <c r="Y77" i="114"/>
  <c r="Y78" i="114"/>
  <c r="Z79" i="114"/>
  <c r="X77" i="114"/>
  <c r="E23" i="113"/>
  <c r="H5" i="108" s="1"/>
  <c r="V308" i="123"/>
  <c r="Z105" i="122"/>
  <c r="Z106" i="122" s="1"/>
  <c r="Z107" i="122" s="1"/>
  <c r="Z111" i="122" s="1"/>
  <c r="Y105" i="122"/>
  <c r="AA105" i="122" s="1"/>
  <c r="AA106" i="122" s="1"/>
  <c r="AA107" i="122" s="1"/>
  <c r="AA110" i="122" s="1"/>
  <c r="AB105" i="122"/>
  <c r="AB106" i="122" s="1"/>
  <c r="AB107" i="122" s="1"/>
  <c r="AB108" i="122" s="1"/>
  <c r="Z163" i="122"/>
  <c r="Z164" i="122" s="1"/>
  <c r="Z168" i="122" s="1"/>
  <c r="X163" i="122"/>
  <c r="X164" i="122" s="1"/>
  <c r="X167" i="122" s="1"/>
  <c r="X414" i="123"/>
  <c r="Y192" i="122"/>
  <c r="AA79" i="114"/>
  <c r="O67" i="133"/>
  <c r="AA163" i="122"/>
  <c r="AA164" i="122" s="1"/>
  <c r="Y163" i="122"/>
  <c r="Y164" i="122" s="1"/>
  <c r="Y167" i="122" s="1"/>
  <c r="O18" i="133"/>
  <c r="O19" i="133" s="1"/>
  <c r="AB190" i="122"/>
  <c r="W136" i="122"/>
  <c r="W137" i="122" s="1"/>
  <c r="W139" i="122" s="1"/>
  <c r="P18" i="133"/>
  <c r="P19" i="133" s="1"/>
  <c r="G23" i="113"/>
  <c r="V368" i="113"/>
  <c r="I368" i="113" s="1"/>
  <c r="V369" i="113" s="1"/>
  <c r="I369" i="113" s="1"/>
  <c r="F427" i="115" s="1"/>
  <c r="F428" i="115" s="1"/>
  <c r="F429" i="115" s="1"/>
  <c r="F430" i="115" s="1"/>
  <c r="F431" i="115" s="1"/>
  <c r="F432" i="115" s="1"/>
  <c r="F433" i="115" s="1"/>
  <c r="F434" i="115" s="1"/>
  <c r="F435" i="115" s="1"/>
  <c r="U372" i="113" s="1"/>
  <c r="O43" i="133"/>
  <c r="AA191" i="122"/>
  <c r="I23" i="113"/>
  <c r="H54" i="108" s="1"/>
  <c r="H55" i="108" s="1"/>
  <c r="J23" i="113"/>
  <c r="H66" i="108" s="1"/>
  <c r="H67" i="108" s="1"/>
  <c r="Y76" i="114"/>
  <c r="AB189" i="122"/>
  <c r="AB163" i="122"/>
  <c r="AB164" i="122" s="1"/>
  <c r="AB167" i="122" s="1"/>
  <c r="W163" i="122"/>
  <c r="W164" i="122" s="1"/>
  <c r="W166" i="122" s="1"/>
  <c r="Z136" i="122"/>
  <c r="Z137" i="122" s="1"/>
  <c r="Y79" i="114"/>
  <c r="AA192" i="122"/>
  <c r="F5" i="117"/>
  <c r="F42" i="117" s="1"/>
  <c r="F43" i="117" s="1"/>
  <c r="F137" i="115"/>
  <c r="F138" i="115" s="1"/>
  <c r="F139" i="115" s="1"/>
  <c r="F140" i="115" s="1"/>
  <c r="F141" i="115" s="1"/>
  <c r="V36" i="123"/>
  <c r="Y190" i="122"/>
  <c r="AA189" i="122"/>
  <c r="Y191" i="122"/>
  <c r="Y82" i="122"/>
  <c r="Y414" i="123"/>
  <c r="F23" i="113"/>
  <c r="H18" i="108" s="1"/>
  <c r="H19" i="108" s="1"/>
  <c r="V506" i="123"/>
  <c r="F5" i="108"/>
  <c r="F54" i="108" s="1"/>
  <c r="F55" i="108" s="1"/>
  <c r="E160" i="110"/>
  <c r="W76" i="114"/>
  <c r="X506" i="123"/>
  <c r="AA76" i="114"/>
  <c r="AB78" i="114"/>
  <c r="H433" i="123"/>
  <c r="F521" i="124" s="1"/>
  <c r="F522" i="124" s="1"/>
  <c r="F523" i="124" s="1"/>
  <c r="F524" i="124" s="1"/>
  <c r="F525" i="124" s="1"/>
  <c r="F526" i="124" s="1"/>
  <c r="F527" i="124" s="1"/>
  <c r="T444" i="123" s="1"/>
  <c r="AA51" i="114"/>
  <c r="AA52" i="114" s="1"/>
  <c r="AA53" i="114" s="1"/>
  <c r="Z51" i="114"/>
  <c r="Z52" i="114" s="1"/>
  <c r="Z53" i="114" s="1"/>
  <c r="Y51" i="114"/>
  <c r="Y52" i="114" s="1"/>
  <c r="Y53" i="114" s="1"/>
  <c r="AB51" i="114"/>
  <c r="AB52" i="114" s="1"/>
  <c r="AB53" i="114" s="1"/>
  <c r="X51" i="114"/>
  <c r="X52" i="114" s="1"/>
  <c r="X53" i="114" s="1"/>
  <c r="W52" i="114"/>
  <c r="W53" i="114" s="1"/>
  <c r="H23" i="113"/>
  <c r="H42" i="108" s="1"/>
  <c r="T36" i="123"/>
  <c r="U506" i="123"/>
  <c r="T414" i="123"/>
  <c r="W414" i="123"/>
  <c r="AA77" i="114"/>
  <c r="H49" i="123"/>
  <c r="Y506" i="123"/>
  <c r="W506" i="123"/>
  <c r="T506" i="123"/>
  <c r="AB76" i="114"/>
  <c r="W78" i="114"/>
  <c r="AB79" i="114"/>
  <c r="T308" i="123"/>
  <c r="W167" i="122"/>
  <c r="W165" i="122"/>
  <c r="AB139" i="122"/>
  <c r="Z82" i="122"/>
  <c r="Z81" i="122"/>
  <c r="W82" i="122"/>
  <c r="W81" i="122"/>
  <c r="AA136" i="122"/>
  <c r="AA137" i="122" s="1"/>
  <c r="X36" i="123"/>
  <c r="AB81" i="122"/>
  <c r="AB82" i="122"/>
  <c r="Y36" i="123"/>
  <c r="X136" i="122"/>
  <c r="X137" i="122" s="1"/>
  <c r="U36" i="123"/>
  <c r="W308" i="123"/>
  <c r="U308" i="123"/>
  <c r="Y308" i="123"/>
  <c r="X308" i="123"/>
  <c r="AA81" i="122"/>
  <c r="AA82" i="122"/>
  <c r="Y136" i="122"/>
  <c r="Y137" i="122" s="1"/>
  <c r="E84" i="110"/>
  <c r="E5" i="108" s="1"/>
  <c r="Y182" i="123"/>
  <c r="W182" i="123"/>
  <c r="T182" i="123"/>
  <c r="U182" i="123"/>
  <c r="H195" i="123"/>
  <c r="X182" i="123"/>
  <c r="V182" i="123"/>
  <c r="G133" i="119"/>
  <c r="E5" i="117"/>
  <c r="V414" i="123"/>
  <c r="U414" i="123"/>
  <c r="X82" i="122"/>
  <c r="X81" i="122"/>
  <c r="W36" i="123"/>
  <c r="F266" i="119"/>
  <c r="G267" i="119" s="1"/>
  <c r="W33" i="114"/>
  <c r="AA33" i="114"/>
  <c r="AB33" i="114"/>
  <c r="F15" i="126"/>
  <c r="S16" i="126" s="1"/>
  <c r="G24" i="123"/>
  <c r="H32" i="117" s="1"/>
  <c r="H33" i="117" s="1"/>
  <c r="F69" i="117"/>
  <c r="F203" i="120"/>
  <c r="F204" i="120" s="1"/>
  <c r="F205" i="120" s="1"/>
  <c r="F206" i="120" s="1"/>
  <c r="F207" i="120" s="1"/>
  <c r="F208" i="120" s="1"/>
  <c r="F209" i="120" s="1"/>
  <c r="F210" i="120" s="1"/>
  <c r="F211" i="120" s="1"/>
  <c r="F212" i="120" s="1"/>
  <c r="F213" i="120" s="1"/>
  <c r="F214" i="120" s="1"/>
  <c r="R161" i="119" s="1"/>
  <c r="S141" i="119"/>
  <c r="F57" i="117"/>
  <c r="F7" i="120"/>
  <c r="F8" i="120" s="1"/>
  <c r="F9" i="120" s="1"/>
  <c r="F10" i="120" s="1"/>
  <c r="F11" i="120" s="1"/>
  <c r="F12" i="120" s="1"/>
  <c r="R38" i="119" s="1"/>
  <c r="S23" i="119"/>
  <c r="F134" i="111"/>
  <c r="F135" i="111" s="1"/>
  <c r="F136" i="111" s="1"/>
  <c r="F137" i="111" s="1"/>
  <c r="R93" i="110" s="1"/>
  <c r="S91" i="110"/>
  <c r="E21" i="117"/>
  <c r="E21" i="133"/>
  <c r="F33" i="117"/>
  <c r="O31" i="133"/>
  <c r="E33" i="117"/>
  <c r="F10" i="111"/>
  <c r="F11" i="111" s="1"/>
  <c r="F12" i="111" s="1"/>
  <c r="F13" i="111" s="1"/>
  <c r="F14" i="111" s="1"/>
  <c r="F15" i="111" s="1"/>
  <c r="F16" i="111" s="1"/>
  <c r="F17" i="111" s="1"/>
  <c r="R13" i="110" s="1"/>
  <c r="S9" i="110"/>
  <c r="X108" i="122"/>
  <c r="X109" i="122"/>
  <c r="E57" i="117"/>
  <c r="F45" i="117"/>
  <c r="E69" i="117"/>
  <c r="F21" i="117"/>
  <c r="E45" i="117"/>
  <c r="F10" i="134"/>
  <c r="H44" i="108"/>
  <c r="X33" i="114"/>
  <c r="Y33" i="114"/>
  <c r="Z33" i="114"/>
  <c r="X34" i="114"/>
  <c r="W34" i="114"/>
  <c r="AB34" i="114"/>
  <c r="Z34" i="114"/>
  <c r="Y34" i="114"/>
  <c r="AA34" i="114"/>
  <c r="H33" i="108"/>
  <c r="G55" i="114"/>
  <c r="T56" i="114" s="1"/>
  <c r="X110" i="122"/>
  <c r="J24" i="123"/>
  <c r="H68" i="117" s="1"/>
  <c r="I24" i="123"/>
  <c r="H56" i="117" s="1"/>
  <c r="H57" i="117" s="1"/>
  <c r="W110" i="122"/>
  <c r="E24" i="123"/>
  <c r="H7" i="117" s="1"/>
  <c r="X111" i="122"/>
  <c r="W111" i="122"/>
  <c r="H45" i="117"/>
  <c r="F13" i="115"/>
  <c r="F14" i="115" s="1"/>
  <c r="F15" i="115" s="1"/>
  <c r="F16" i="115" s="1"/>
  <c r="F17" i="115" s="1"/>
  <c r="V50" i="113"/>
  <c r="F249" i="115"/>
  <c r="F250" i="115" s="1"/>
  <c r="F251" i="115" s="1"/>
  <c r="F252" i="115" s="1"/>
  <c r="F253" i="115" s="1"/>
  <c r="V234" i="113"/>
  <c r="F142" i="115"/>
  <c r="F143" i="115" s="1"/>
  <c r="F144" i="115" s="1"/>
  <c r="F145" i="115" s="1"/>
  <c r="F146" i="115" s="1"/>
  <c r="V154" i="113"/>
  <c r="H21" i="117"/>
  <c r="F340" i="115"/>
  <c r="F341" i="115" s="1"/>
  <c r="F342" i="115" s="1"/>
  <c r="F343" i="115" s="1"/>
  <c r="F344" i="115" s="1"/>
  <c r="V308" i="113"/>
  <c r="T84" i="122"/>
  <c r="F7" i="124"/>
  <c r="F8" i="124" s="1"/>
  <c r="F9" i="124" s="1"/>
  <c r="F10" i="124" s="1"/>
  <c r="S86" i="122" s="1"/>
  <c r="G135" i="122"/>
  <c r="T136" i="122" s="1"/>
  <c r="G136" i="122" s="1"/>
  <c r="T137" i="122" s="1"/>
  <c r="G137" i="122" s="1"/>
  <c r="T138" i="122" s="1"/>
  <c r="G138" i="122" s="1"/>
  <c r="T139" i="122" s="1"/>
  <c r="G139" i="122" s="1"/>
  <c r="G140" i="122" s="1"/>
  <c r="V316" i="139"/>
  <c r="G55" i="139"/>
  <c r="T56" i="139" s="1"/>
  <c r="G56" i="139" s="1"/>
  <c r="T57" i="139" s="1"/>
  <c r="G57" i="139" s="1"/>
  <c r="T58" i="139" s="1"/>
  <c r="G58" i="139" s="1"/>
  <c r="T59" i="139" s="1"/>
  <c r="G59" i="139" s="1"/>
  <c r="T60" i="139" s="1"/>
  <c r="G60" i="139" s="1"/>
  <c r="G330" i="139"/>
  <c r="G331" i="139" s="1"/>
  <c r="G332" i="139" s="1"/>
  <c r="U316" i="139"/>
  <c r="G517" i="139"/>
  <c r="T518" i="139" s="1"/>
  <c r="F118" i="140"/>
  <c r="F119" i="140" s="1"/>
  <c r="F120" i="140" s="1"/>
  <c r="F121" i="140" s="1"/>
  <c r="F122" i="140" s="1"/>
  <c r="T134" i="139"/>
  <c r="R57" i="133"/>
  <c r="G362" i="139"/>
  <c r="T363" i="139" s="1"/>
  <c r="G463" i="139"/>
  <c r="T464" i="139" s="1"/>
  <c r="G464" i="139" s="1"/>
  <c r="T465" i="139" s="1"/>
  <c r="G465" i="139" s="1"/>
  <c r="T466" i="139" s="1"/>
  <c r="G466" i="139" s="1"/>
  <c r="T467" i="139" s="1"/>
  <c r="G467" i="139" s="1"/>
  <c r="R67" i="133"/>
  <c r="R21" i="133"/>
  <c r="G398" i="139"/>
  <c r="R55" i="133"/>
  <c r="F57" i="138"/>
  <c r="S58" i="138" s="1"/>
  <c r="F58" i="138" s="1"/>
  <c r="S59" i="138" s="1"/>
  <c r="F59" i="138" s="1"/>
  <c r="F60" i="138" s="1"/>
  <c r="W48" i="138" s="1"/>
  <c r="T395" i="131"/>
  <c r="W396" i="131"/>
  <c r="V396" i="131"/>
  <c r="S396" i="131"/>
  <c r="V395" i="131"/>
  <c r="U395" i="131"/>
  <c r="X395" i="131"/>
  <c r="T396" i="131"/>
  <c r="T132" i="131"/>
  <c r="W395" i="131"/>
  <c r="X396" i="131"/>
  <c r="E28" i="131"/>
  <c r="R18" i="125" s="1"/>
  <c r="V132" i="131"/>
  <c r="S395" i="131"/>
  <c r="H29" i="131"/>
  <c r="R56" i="125" s="1"/>
  <c r="T594" i="131"/>
  <c r="G594" i="131" s="1"/>
  <c r="T595" i="131" s="1"/>
  <c r="G595" i="131" s="1"/>
  <c r="T596" i="131" s="1"/>
  <c r="G596" i="131" s="1"/>
  <c r="T597" i="131" s="1"/>
  <c r="F28" i="131"/>
  <c r="R30" i="125" s="1"/>
  <c r="W132" i="131"/>
  <c r="W131" i="131"/>
  <c r="U132" i="131"/>
  <c r="U131" i="131"/>
  <c r="X131" i="131"/>
  <c r="X132" i="131"/>
  <c r="D29" i="131"/>
  <c r="R7" i="125" s="1"/>
  <c r="I29" i="131"/>
  <c r="R68" i="125" s="1"/>
  <c r="D28" i="131"/>
  <c r="R5" i="125" s="1"/>
  <c r="E29" i="131"/>
  <c r="R20" i="125" s="1"/>
  <c r="G28" i="131"/>
  <c r="R42" i="125" s="1"/>
  <c r="T236" i="131"/>
  <c r="G236" i="131" s="1"/>
  <c r="T237" i="131" s="1"/>
  <c r="G237" i="131" s="1"/>
  <c r="F160" i="132"/>
  <c r="F161" i="132" s="1"/>
  <c r="F162" i="132" s="1"/>
  <c r="F163" i="132" s="1"/>
  <c r="F164" i="132" s="1"/>
  <c r="F165" i="132" s="1"/>
  <c r="F166" i="132" s="1"/>
  <c r="S243" i="131" s="1"/>
  <c r="T445" i="131"/>
  <c r="G445" i="131" s="1"/>
  <c r="T446" i="131" s="1"/>
  <c r="G446" i="131" s="1"/>
  <c r="T447" i="131" s="1"/>
  <c r="G447" i="131" s="1"/>
  <c r="T448" i="131" s="1"/>
  <c r="G448" i="131" s="1"/>
  <c r="T449" i="131" s="1"/>
  <c r="G449" i="131" s="1"/>
  <c r="T450" i="131" s="1"/>
  <c r="G450" i="131" s="1"/>
  <c r="T451" i="131" s="1"/>
  <c r="G451" i="131" s="1"/>
  <c r="T452" i="131" s="1"/>
  <c r="G452" i="131" s="1"/>
  <c r="F317" i="132" s="1"/>
  <c r="F318" i="132" s="1"/>
  <c r="F319" i="132" s="1"/>
  <c r="F320" i="132" s="1"/>
  <c r="F321" i="132" s="1"/>
  <c r="F322" i="132" s="1"/>
  <c r="F323" i="132" s="1"/>
  <c r="F324" i="132" s="1"/>
  <c r="F325" i="132" s="1"/>
  <c r="F326" i="132" s="1"/>
  <c r="F327" i="132" s="1"/>
  <c r="S458" i="131" s="1"/>
  <c r="F307" i="132"/>
  <c r="F308" i="132" s="1"/>
  <c r="F309" i="132" s="1"/>
  <c r="F310" i="132" s="1"/>
  <c r="F311" i="132" s="1"/>
  <c r="F312" i="132" s="1"/>
  <c r="F313" i="132" s="1"/>
  <c r="F314" i="132" s="1"/>
  <c r="F315" i="132" s="1"/>
  <c r="F316" i="132" s="1"/>
  <c r="S453" i="131" s="1"/>
  <c r="S599" i="131"/>
  <c r="S532" i="131"/>
  <c r="H28" i="131"/>
  <c r="R54" i="125" s="1"/>
  <c r="G337" i="131"/>
  <c r="T338" i="131" s="1"/>
  <c r="F29" i="131"/>
  <c r="R32" i="125" s="1"/>
  <c r="I28" i="131"/>
  <c r="R66" i="125" s="1"/>
  <c r="G29" i="131"/>
  <c r="R44" i="125" s="1"/>
  <c r="F202" i="132"/>
  <c r="F203" i="132" s="1"/>
  <c r="F204" i="132" s="1"/>
  <c r="F205" i="132" s="1"/>
  <c r="F206" i="132" s="1"/>
  <c r="F207" i="132" s="1"/>
  <c r="F208" i="132" s="1"/>
  <c r="S299" i="131" s="1"/>
  <c r="T290" i="131"/>
  <c r="G379" i="131"/>
  <c r="G58" i="131"/>
  <c r="T59" i="131" s="1"/>
  <c r="G515" i="131"/>
  <c r="T516" i="131" s="1"/>
  <c r="G146" i="131"/>
  <c r="T147" i="131" s="1"/>
  <c r="Z167" i="122" l="1"/>
  <c r="Z165" i="122"/>
  <c r="Z166" i="122"/>
  <c r="AA47" i="138"/>
  <c r="T232" i="139"/>
  <c r="F280" i="140"/>
  <c r="F281" i="140" s="1"/>
  <c r="F282" i="140" s="1"/>
  <c r="F283" i="140" s="1"/>
  <c r="F284" i="140" s="1"/>
  <c r="F285" i="140" s="1"/>
  <c r="F286" i="140" s="1"/>
  <c r="S292" i="139" s="1"/>
  <c r="T287" i="139"/>
  <c r="G287" i="139" s="1"/>
  <c r="T288" i="139" s="1"/>
  <c r="G288" i="139" s="1"/>
  <c r="T289" i="139" s="1"/>
  <c r="G289" i="139" s="1"/>
  <c r="W148" i="138"/>
  <c r="W147" i="138"/>
  <c r="T362" i="131"/>
  <c r="U322" i="123"/>
  <c r="H322" i="123" s="1"/>
  <c r="U323" i="123" s="1"/>
  <c r="H323" i="123" s="1"/>
  <c r="U324" i="123" s="1"/>
  <c r="H324" i="123" s="1"/>
  <c r="U325" i="123" s="1"/>
  <c r="H325" i="123" s="1"/>
  <c r="U326" i="123" s="1"/>
  <c r="T520" i="123"/>
  <c r="U520" i="123" s="1"/>
  <c r="H520" i="123" s="1"/>
  <c r="U521" i="123" s="1"/>
  <c r="H521" i="123" s="1"/>
  <c r="U522" i="123" s="1"/>
  <c r="H522" i="123" s="1"/>
  <c r="Y168" i="122"/>
  <c r="Y165" i="122"/>
  <c r="Z149" i="138"/>
  <c r="F107" i="134"/>
  <c r="E5" i="133" s="1"/>
  <c r="AA147" i="138"/>
  <c r="Z147" i="138"/>
  <c r="S5" i="133"/>
  <c r="X363" i="131"/>
  <c r="V325" i="131"/>
  <c r="S231" i="139"/>
  <c r="T315" i="139"/>
  <c r="E24" i="139" s="1"/>
  <c r="AA150" i="138"/>
  <c r="G23" i="131"/>
  <c r="H42" i="125" s="1"/>
  <c r="H43" i="125" s="1"/>
  <c r="U362" i="131"/>
  <c r="S325" i="131"/>
  <c r="D24" i="131" s="1"/>
  <c r="H7" i="125" s="1"/>
  <c r="D23" i="131"/>
  <c r="H5" i="125" s="1"/>
  <c r="E24" i="131"/>
  <c r="H20" i="125" s="1"/>
  <c r="H21" i="125" s="1"/>
  <c r="T324" i="131"/>
  <c r="E23" i="131" s="1"/>
  <c r="H18" i="125" s="1"/>
  <c r="H19" i="125" s="1"/>
  <c r="P31" i="133"/>
  <c r="E23" i="139"/>
  <c r="AA149" i="138"/>
  <c r="T316" i="139"/>
  <c r="V363" i="131"/>
  <c r="P67" i="133"/>
  <c r="P55" i="133"/>
  <c r="F18" i="125"/>
  <c r="F19" i="125" s="1"/>
  <c r="F67" i="125"/>
  <c r="F31" i="125"/>
  <c r="F43" i="125"/>
  <c r="I23" i="131"/>
  <c r="H66" i="125" s="1"/>
  <c r="H67" i="125" s="1"/>
  <c r="U231" i="139"/>
  <c r="F23" i="139" s="1"/>
  <c r="H30" i="133" s="1"/>
  <c r="H31" i="133" s="1"/>
  <c r="U232" i="139"/>
  <c r="F24" i="139" s="1"/>
  <c r="H32" i="133" s="1"/>
  <c r="H33" i="133" s="1"/>
  <c r="W315" i="139"/>
  <c r="W314" i="139"/>
  <c r="W325" i="131"/>
  <c r="W324" i="131"/>
  <c r="I24" i="131"/>
  <c r="H68" i="125" s="1"/>
  <c r="H69" i="125" s="1"/>
  <c r="W363" i="131"/>
  <c r="W362" i="131"/>
  <c r="S314" i="139"/>
  <c r="D23" i="139" s="1"/>
  <c r="H18" i="133" s="1"/>
  <c r="H19" i="133" s="1"/>
  <c r="S315" i="139"/>
  <c r="D24" i="139" s="1"/>
  <c r="H7" i="133" s="1"/>
  <c r="V231" i="139"/>
  <c r="G23" i="139" s="1"/>
  <c r="H42" i="133" s="1"/>
  <c r="H43" i="133" s="1"/>
  <c r="V232" i="139"/>
  <c r="G24" i="139" s="1"/>
  <c r="H44" i="133" s="1"/>
  <c r="H45" i="133" s="1"/>
  <c r="W316" i="139"/>
  <c r="X315" i="139"/>
  <c r="I24" i="139" s="1"/>
  <c r="H68" i="133" s="1"/>
  <c r="H69" i="133" s="1"/>
  <c r="X314" i="139"/>
  <c r="I23" i="139" s="1"/>
  <c r="H66" i="133" s="1"/>
  <c r="H67" i="133" s="1"/>
  <c r="F121" i="134"/>
  <c r="F214" i="134"/>
  <c r="U325" i="131"/>
  <c r="F24" i="131" s="1"/>
  <c r="H32" i="125" s="1"/>
  <c r="U324" i="131"/>
  <c r="W232" i="139"/>
  <c r="W231" i="139"/>
  <c r="Q11" i="133"/>
  <c r="Q6" i="133" s="1"/>
  <c r="S7" i="133"/>
  <c r="AB110" i="122"/>
  <c r="Y106" i="122"/>
  <c r="Y107" i="122" s="1"/>
  <c r="Y111" i="122" s="1"/>
  <c r="AB111" i="122"/>
  <c r="AB109" i="122"/>
  <c r="Z110" i="122"/>
  <c r="Z108" i="122"/>
  <c r="E5" i="125"/>
  <c r="F265" i="126"/>
  <c r="X165" i="122"/>
  <c r="F54" i="117"/>
  <c r="F55" i="117" s="1"/>
  <c r="Z109" i="122"/>
  <c r="H31" i="108"/>
  <c r="AB168" i="122"/>
  <c r="X168" i="122"/>
  <c r="X166" i="122"/>
  <c r="F18" i="108"/>
  <c r="F19" i="108" s="1"/>
  <c r="Y166" i="122"/>
  <c r="AA165" i="122"/>
  <c r="AA166" i="122"/>
  <c r="AA168" i="122"/>
  <c r="AA167" i="122"/>
  <c r="W138" i="122"/>
  <c r="D11" i="122" s="1"/>
  <c r="G5" i="117" s="1"/>
  <c r="AB166" i="122"/>
  <c r="V370" i="113"/>
  <c r="I370" i="113" s="1"/>
  <c r="V371" i="113" s="1"/>
  <c r="I371" i="113" s="1"/>
  <c r="V372" i="113" s="1"/>
  <c r="I372" i="113" s="1"/>
  <c r="V373" i="113" s="1"/>
  <c r="I373" i="113" s="1"/>
  <c r="AB165" i="122"/>
  <c r="W168" i="122"/>
  <c r="E23" i="123"/>
  <c r="H5" i="117" s="1"/>
  <c r="Z139" i="122"/>
  <c r="Z138" i="122"/>
  <c r="J23" i="123"/>
  <c r="H66" i="117" s="1"/>
  <c r="H67" i="117" s="1"/>
  <c r="F66" i="117"/>
  <c r="F67" i="117" s="1"/>
  <c r="F18" i="117"/>
  <c r="F19" i="117" s="1"/>
  <c r="F30" i="117"/>
  <c r="I11" i="122"/>
  <c r="G66" i="117" s="1"/>
  <c r="G67" i="117" s="1"/>
  <c r="G23" i="123"/>
  <c r="H30" i="117" s="1"/>
  <c r="H31" i="117" s="1"/>
  <c r="I23" i="123"/>
  <c r="H54" i="117" s="1"/>
  <c r="H55" i="117" s="1"/>
  <c r="AB55" i="114"/>
  <c r="I12" i="114" s="1"/>
  <c r="G68" i="108" s="1"/>
  <c r="I68" i="108" s="1"/>
  <c r="AB54" i="114"/>
  <c r="I11" i="114" s="1"/>
  <c r="G66" i="108" s="1"/>
  <c r="G67" i="108" s="1"/>
  <c r="AA54" i="114"/>
  <c r="H11" i="114" s="1"/>
  <c r="G54" i="108" s="1"/>
  <c r="G55" i="108" s="1"/>
  <c r="AA55" i="114"/>
  <c r="H12" i="114" s="1"/>
  <c r="G56" i="108" s="1"/>
  <c r="H23" i="123"/>
  <c r="H42" i="117" s="1"/>
  <c r="H43" i="117" s="1"/>
  <c r="D12" i="122"/>
  <c r="G7" i="117" s="1"/>
  <c r="I7" i="117" s="1"/>
  <c r="W54" i="114"/>
  <c r="D11" i="114" s="1"/>
  <c r="G5" i="108" s="1"/>
  <c r="I5" i="108" s="1"/>
  <c r="W55" i="114"/>
  <c r="D12" i="114" s="1"/>
  <c r="G7" i="108" s="1"/>
  <c r="I7" i="108" s="1"/>
  <c r="X55" i="114"/>
  <c r="E12" i="114" s="1"/>
  <c r="G20" i="108" s="1"/>
  <c r="G21" i="108" s="1"/>
  <c r="X54" i="114"/>
  <c r="E11" i="114" s="1"/>
  <c r="G18" i="108" s="1"/>
  <c r="G19" i="108" s="1"/>
  <c r="U434" i="123"/>
  <c r="H434" i="123" s="1"/>
  <c r="U435" i="123" s="1"/>
  <c r="H435" i="123" s="1"/>
  <c r="U436" i="123" s="1"/>
  <c r="H436" i="123" s="1"/>
  <c r="U437" i="123" s="1"/>
  <c r="H437" i="123" s="1"/>
  <c r="U438" i="123" s="1"/>
  <c r="H438" i="123" s="1"/>
  <c r="U439" i="123" s="1"/>
  <c r="H439" i="123" s="1"/>
  <c r="U440" i="123" s="1"/>
  <c r="H440" i="123" s="1"/>
  <c r="U441" i="123" s="1"/>
  <c r="H441" i="123" s="1"/>
  <c r="U442" i="123" s="1"/>
  <c r="H442" i="123" s="1"/>
  <c r="U443" i="123" s="1"/>
  <c r="H443" i="123" s="1"/>
  <c r="F528" i="124" s="1"/>
  <c r="F529" i="124" s="1"/>
  <c r="F530" i="124" s="1"/>
  <c r="F531" i="124" s="1"/>
  <c r="F532" i="124" s="1"/>
  <c r="F533" i="124" s="1"/>
  <c r="F534" i="124" s="1"/>
  <c r="F535" i="124" s="1"/>
  <c r="F536" i="124" s="1"/>
  <c r="F537" i="124" s="1"/>
  <c r="F538" i="124" s="1"/>
  <c r="T526" i="123" s="1"/>
  <c r="Y55" i="114"/>
  <c r="F12" i="114" s="1"/>
  <c r="G32" i="108" s="1"/>
  <c r="G33" i="108" s="1"/>
  <c r="I33" i="108" s="1"/>
  <c r="Y54" i="114"/>
  <c r="F11" i="114" s="1"/>
  <c r="G30" i="108" s="1"/>
  <c r="G31" i="108" s="1"/>
  <c r="U50" i="123"/>
  <c r="H50" i="123" s="1"/>
  <c r="U51" i="123" s="1"/>
  <c r="H51" i="123" s="1"/>
  <c r="F37" i="124"/>
  <c r="F38" i="124" s="1"/>
  <c r="F39" i="124" s="1"/>
  <c r="F40" i="124" s="1"/>
  <c r="F41" i="124" s="1"/>
  <c r="F42" i="124" s="1"/>
  <c r="F43" i="124" s="1"/>
  <c r="T60" i="123" s="1"/>
  <c r="Z54" i="114"/>
  <c r="G11" i="114" s="1"/>
  <c r="G42" i="108" s="1"/>
  <c r="G43" i="108" s="1"/>
  <c r="Z55" i="114"/>
  <c r="G12" i="114" s="1"/>
  <c r="G44" i="108" s="1"/>
  <c r="G45" i="108" s="1"/>
  <c r="F30" i="108"/>
  <c r="F31" i="108" s="1"/>
  <c r="F42" i="108"/>
  <c r="F43" i="108" s="1"/>
  <c r="F66" i="108"/>
  <c r="F67" i="108" s="1"/>
  <c r="E18" i="108"/>
  <c r="E19" i="108" s="1"/>
  <c r="E54" i="108"/>
  <c r="E55" i="108" s="1"/>
  <c r="E66" i="108"/>
  <c r="E67" i="108" s="1"/>
  <c r="E30" i="108"/>
  <c r="E31" i="108" s="1"/>
  <c r="E42" i="108"/>
  <c r="E43" i="108" s="1"/>
  <c r="U196" i="123"/>
  <c r="H196" i="123" s="1"/>
  <c r="U197" i="123" s="1"/>
  <c r="H197" i="123" s="1"/>
  <c r="U198" i="123" s="1"/>
  <c r="H198" i="123" s="1"/>
  <c r="U199" i="123" s="1"/>
  <c r="H199" i="123" s="1"/>
  <c r="U200" i="123" s="1"/>
  <c r="H200" i="123" s="1"/>
  <c r="U201" i="123" s="1"/>
  <c r="H201" i="123" s="1"/>
  <c r="U202" i="123" s="1"/>
  <c r="H202" i="123" s="1"/>
  <c r="U203" i="123" s="1"/>
  <c r="H203" i="123" s="1"/>
  <c r="U204" i="123" s="1"/>
  <c r="H204" i="123" s="1"/>
  <c r="U205" i="123" s="1"/>
  <c r="H205" i="123" s="1"/>
  <c r="F207" i="124"/>
  <c r="F208" i="124" s="1"/>
  <c r="F209" i="124" s="1"/>
  <c r="F210" i="124" s="1"/>
  <c r="F211" i="124" s="1"/>
  <c r="F212" i="124" s="1"/>
  <c r="F213" i="124" s="1"/>
  <c r="T206" i="123" s="1"/>
  <c r="Y139" i="122"/>
  <c r="Y138" i="122"/>
  <c r="F23" i="123"/>
  <c r="H18" i="117" s="1"/>
  <c r="H19" i="117" s="1"/>
  <c r="X139" i="122"/>
  <c r="E12" i="122" s="1"/>
  <c r="G20" i="117" s="1"/>
  <c r="G21" i="117" s="1"/>
  <c r="X138" i="122"/>
  <c r="E11" i="122" s="1"/>
  <c r="G18" i="117" s="1"/>
  <c r="E18" i="117"/>
  <c r="E19" i="117" s="1"/>
  <c r="E54" i="117"/>
  <c r="E55" i="117" s="1"/>
  <c r="E42" i="117"/>
  <c r="E43" i="117" s="1"/>
  <c r="E30" i="117"/>
  <c r="E66" i="117"/>
  <c r="E67" i="117" s="1"/>
  <c r="AA138" i="122"/>
  <c r="AA139" i="122"/>
  <c r="F141" i="119"/>
  <c r="S142" i="119" s="1"/>
  <c r="F142" i="119" s="1"/>
  <c r="S11" i="134"/>
  <c r="AA109" i="122"/>
  <c r="AA108" i="122"/>
  <c r="F9" i="110"/>
  <c r="S10" i="110" s="1"/>
  <c r="F10" i="110" s="1"/>
  <c r="S11" i="110" s="1"/>
  <c r="F11" i="110" s="1"/>
  <c r="S12" i="110" s="1"/>
  <c r="F12" i="110" s="1"/>
  <c r="S13" i="110" s="1"/>
  <c r="F13" i="110" s="1"/>
  <c r="S14" i="110" s="1"/>
  <c r="F14" i="110" s="1"/>
  <c r="S15" i="110" s="1"/>
  <c r="F15" i="110" s="1"/>
  <c r="F16" i="126"/>
  <c r="S17" i="126" s="1"/>
  <c r="F17" i="126" s="1"/>
  <c r="S18" i="126" s="1"/>
  <c r="F18" i="126" s="1"/>
  <c r="S19" i="126" s="1"/>
  <c r="F19" i="126" s="1"/>
  <c r="S20" i="126" s="1"/>
  <c r="F20" i="126" s="1"/>
  <c r="S21" i="126" s="1"/>
  <c r="F21" i="126" s="1"/>
  <c r="S22" i="126" s="1"/>
  <c r="F22" i="126" s="1"/>
  <c r="S23" i="126" s="1"/>
  <c r="F23" i="126" s="1"/>
  <c r="S24" i="126" s="1"/>
  <c r="F91" i="110"/>
  <c r="S92" i="110" s="1"/>
  <c r="F92" i="110" s="1"/>
  <c r="F23" i="119"/>
  <c r="S24" i="119" s="1"/>
  <c r="F24" i="119" s="1"/>
  <c r="S25" i="119" s="1"/>
  <c r="F25" i="119" s="1"/>
  <c r="S26" i="119" s="1"/>
  <c r="F26" i="119" s="1"/>
  <c r="S27" i="119" s="1"/>
  <c r="F27" i="119" s="1"/>
  <c r="AA111" i="122"/>
  <c r="H45" i="108"/>
  <c r="H43" i="108"/>
  <c r="G56" i="114"/>
  <c r="T57" i="114" s="1"/>
  <c r="X56" i="114" s="1"/>
  <c r="E13" i="114" s="1"/>
  <c r="G22" i="108" s="1"/>
  <c r="Z140" i="122"/>
  <c r="X141" i="122"/>
  <c r="AB141" i="122"/>
  <c r="AA141" i="122"/>
  <c r="Y141" i="122"/>
  <c r="Z141" i="122"/>
  <c r="W141" i="122"/>
  <c r="W140" i="122"/>
  <c r="I50" i="113"/>
  <c r="V51" i="113" s="1"/>
  <c r="I51" i="113" s="1"/>
  <c r="V52" i="113" s="1"/>
  <c r="I52" i="113" s="1"/>
  <c r="V53" i="113" s="1"/>
  <c r="I53" i="113" s="1"/>
  <c r="V54" i="113" s="1"/>
  <c r="I54" i="113" s="1"/>
  <c r="V55" i="113" s="1"/>
  <c r="I55" i="113" s="1"/>
  <c r="AB140" i="122"/>
  <c r="X140" i="122"/>
  <c r="G84" i="122"/>
  <c r="T85" i="122" s="1"/>
  <c r="G85" i="122" s="1"/>
  <c r="T86" i="122" s="1"/>
  <c r="G86" i="122" s="1"/>
  <c r="G87" i="122" s="1"/>
  <c r="W84" i="122" s="1"/>
  <c r="I308" i="113"/>
  <c r="V309" i="113" s="1"/>
  <c r="I309" i="113" s="1"/>
  <c r="V310" i="113" s="1"/>
  <c r="I310" i="113" s="1"/>
  <c r="V311" i="113" s="1"/>
  <c r="I311" i="113" s="1"/>
  <c r="I154" i="113"/>
  <c r="V155" i="113" s="1"/>
  <c r="AA140" i="122"/>
  <c r="Y140" i="122"/>
  <c r="I234" i="113"/>
  <c r="V235" i="113" s="1"/>
  <c r="I235" i="113" s="1"/>
  <c r="V236" i="113" s="1"/>
  <c r="I236" i="113" s="1"/>
  <c r="V237" i="113" s="1"/>
  <c r="I237" i="113" s="1"/>
  <c r="V238" i="113" s="1"/>
  <c r="I238" i="113" s="1"/>
  <c r="V239" i="113" s="1"/>
  <c r="I239" i="113" s="1"/>
  <c r="T252" i="139"/>
  <c r="G252" i="139" s="1"/>
  <c r="T253" i="139" s="1"/>
  <c r="X317" i="139"/>
  <c r="S317" i="139"/>
  <c r="T317" i="139"/>
  <c r="W317" i="139"/>
  <c r="U317" i="139"/>
  <c r="V317" i="139"/>
  <c r="F515" i="140"/>
  <c r="F516" i="140" s="1"/>
  <c r="F517" i="140" s="1"/>
  <c r="F518" i="140" s="1"/>
  <c r="F519" i="140" s="1"/>
  <c r="S472" i="139" s="1"/>
  <c r="T468" i="139"/>
  <c r="F16" i="140"/>
  <c r="F17" i="140" s="1"/>
  <c r="F18" i="140" s="1"/>
  <c r="F19" i="140" s="1"/>
  <c r="F20" i="140" s="1"/>
  <c r="T61" i="139"/>
  <c r="G61" i="139" s="1"/>
  <c r="T62" i="139" s="1"/>
  <c r="G62" i="139" s="1"/>
  <c r="T63" i="139" s="1"/>
  <c r="G63" i="139" s="1"/>
  <c r="F417" i="140"/>
  <c r="F418" i="140" s="1"/>
  <c r="F419" i="140" s="1"/>
  <c r="F420" i="140" s="1"/>
  <c r="F421" i="140" s="1"/>
  <c r="S403" i="139" s="1"/>
  <c r="T399" i="139"/>
  <c r="G134" i="139"/>
  <c r="T135" i="139" s="1"/>
  <c r="G135" i="139" s="1"/>
  <c r="G363" i="139"/>
  <c r="T364" i="139" s="1"/>
  <c r="G364" i="139" s="1"/>
  <c r="T365" i="139" s="1"/>
  <c r="G365" i="139" s="1"/>
  <c r="T366" i="139" s="1"/>
  <c r="G366" i="139" s="1"/>
  <c r="G518" i="139"/>
  <c r="T519" i="139" s="1"/>
  <c r="V47" i="138"/>
  <c r="Z48" i="138"/>
  <c r="AA48" i="138"/>
  <c r="Y47" i="138"/>
  <c r="X48" i="138"/>
  <c r="Y48" i="138"/>
  <c r="Z47" i="138"/>
  <c r="W47" i="138"/>
  <c r="V48" i="138"/>
  <c r="X47" i="138"/>
  <c r="T453" i="131"/>
  <c r="G453" i="131" s="1"/>
  <c r="T454" i="131" s="1"/>
  <c r="F372" i="132"/>
  <c r="F373" i="132" s="1"/>
  <c r="F374" i="132" s="1"/>
  <c r="F375" i="132" s="1"/>
  <c r="F376" i="132" s="1"/>
  <c r="F377" i="132" s="1"/>
  <c r="F378" i="132" s="1"/>
  <c r="F379" i="132" s="1"/>
  <c r="F380" i="132" s="1"/>
  <c r="F381" i="132" s="1"/>
  <c r="F382" i="132" s="1"/>
  <c r="S478" i="131" s="1"/>
  <c r="G290" i="131"/>
  <c r="T291" i="131" s="1"/>
  <c r="G338" i="131"/>
  <c r="T339" i="131" s="1"/>
  <c r="G597" i="131"/>
  <c r="T598" i="131" s="1"/>
  <c r="G147" i="131"/>
  <c r="T148" i="131" s="1"/>
  <c r="G516" i="131"/>
  <c r="T517" i="131" s="1"/>
  <c r="G59" i="131"/>
  <c r="T60" i="131" s="1"/>
  <c r="F440" i="124" l="1"/>
  <c r="F441" i="124" s="1"/>
  <c r="F442" i="124" s="1"/>
  <c r="F443" i="124" s="1"/>
  <c r="F444" i="124" s="1"/>
  <c r="F445" i="124" s="1"/>
  <c r="F446" i="124" s="1"/>
  <c r="F447" i="124" s="1"/>
  <c r="T351" i="123" s="1"/>
  <c r="F222" i="134"/>
  <c r="K68" i="125"/>
  <c r="K68" i="133"/>
  <c r="K7" i="125"/>
  <c r="K7" i="133"/>
  <c r="K5" i="125"/>
  <c r="K5" i="133"/>
  <c r="K33" i="125"/>
  <c r="K33" i="133"/>
  <c r="F436" i="115"/>
  <c r="F437" i="115" s="1"/>
  <c r="F438" i="115" s="1"/>
  <c r="F439" i="115" s="1"/>
  <c r="U374" i="113" s="1"/>
  <c r="G24" i="131"/>
  <c r="H56" i="125" s="1"/>
  <c r="H57" i="125" s="1"/>
  <c r="F23" i="131"/>
  <c r="H30" i="125" s="1"/>
  <c r="H5" i="133"/>
  <c r="G11" i="122"/>
  <c r="G42" i="117" s="1"/>
  <c r="G43" i="117" s="1"/>
  <c r="Y110" i="122"/>
  <c r="H20" i="133"/>
  <c r="H21" i="133" s="1"/>
  <c r="H24" i="139"/>
  <c r="H56" i="133" s="1"/>
  <c r="H57" i="133" s="1"/>
  <c r="H23" i="131"/>
  <c r="H54" i="125" s="1"/>
  <c r="H55" i="125" s="1"/>
  <c r="H24" i="131"/>
  <c r="H44" i="125"/>
  <c r="H45" i="125" s="1"/>
  <c r="Y109" i="122"/>
  <c r="F12" i="122" s="1"/>
  <c r="G32" i="117" s="1"/>
  <c r="H23" i="139"/>
  <c r="H54" i="133" s="1"/>
  <c r="H55" i="133" s="1"/>
  <c r="I12" i="122"/>
  <c r="G68" i="117" s="1"/>
  <c r="I68" i="117" s="1"/>
  <c r="I69" i="117" s="1"/>
  <c r="F190" i="136"/>
  <c r="F191" i="136" s="1"/>
  <c r="F192" i="136" s="1"/>
  <c r="F193" i="136" s="1"/>
  <c r="F194" i="136" s="1"/>
  <c r="R127" i="134" s="1"/>
  <c r="S122" i="134"/>
  <c r="F122" i="134" s="1"/>
  <c r="S123" i="134" s="1"/>
  <c r="F123" i="134" s="1"/>
  <c r="S124" i="134" s="1"/>
  <c r="F124" i="134" s="1"/>
  <c r="Y108" i="122"/>
  <c r="F11" i="122" s="1"/>
  <c r="G30" i="117" s="1"/>
  <c r="G31" i="117" s="1"/>
  <c r="E31" i="125"/>
  <c r="E43" i="125"/>
  <c r="E55" i="125"/>
  <c r="E67" i="125"/>
  <c r="E18" i="125"/>
  <c r="E19" i="125" s="1"/>
  <c r="Q8" i="133"/>
  <c r="E18" i="133"/>
  <c r="E19" i="133" s="1"/>
  <c r="E42" i="133"/>
  <c r="E43" i="133" s="1"/>
  <c r="E30" i="133"/>
  <c r="E31" i="133" s="1"/>
  <c r="E54" i="133"/>
  <c r="E55" i="133" s="1"/>
  <c r="E66" i="133"/>
  <c r="E67" i="133" s="1"/>
  <c r="I69" i="108"/>
  <c r="Q10" i="133"/>
  <c r="Q12" i="133"/>
  <c r="Q13" i="133"/>
  <c r="Q14" i="133" s="1"/>
  <c r="Q15" i="133" s="1"/>
  <c r="I18" i="108"/>
  <c r="G12" i="122"/>
  <c r="G44" i="117" s="1"/>
  <c r="G45" i="117" s="1"/>
  <c r="I45" i="117" s="1"/>
  <c r="I5" i="117"/>
  <c r="I44" i="108"/>
  <c r="I32" i="108"/>
  <c r="I45" i="108"/>
  <c r="I20" i="108"/>
  <c r="F29" i="117"/>
  <c r="F31" i="117"/>
  <c r="T450" i="123"/>
  <c r="H11" i="122"/>
  <c r="G54" i="117" s="1"/>
  <c r="G55" i="117" s="1"/>
  <c r="I66" i="108"/>
  <c r="G57" i="108"/>
  <c r="I57" i="108" s="1"/>
  <c r="I56" i="108"/>
  <c r="I42" i="108"/>
  <c r="I30" i="108"/>
  <c r="I54" i="108"/>
  <c r="U52" i="123"/>
  <c r="H52" i="123" s="1"/>
  <c r="U53" i="123" s="1"/>
  <c r="H53" i="123" s="1"/>
  <c r="U54" i="123" s="1"/>
  <c r="H54" i="123" s="1"/>
  <c r="U55" i="123" s="1"/>
  <c r="H55" i="123" s="1"/>
  <c r="U56" i="123" s="1"/>
  <c r="H56" i="123" s="1"/>
  <c r="U57" i="123" s="1"/>
  <c r="H57" i="123" s="1"/>
  <c r="U58" i="123" s="1"/>
  <c r="H58" i="123" s="1"/>
  <c r="U59" i="123" s="1"/>
  <c r="H59" i="123" s="1"/>
  <c r="U60" i="123" s="1"/>
  <c r="F118" i="124"/>
  <c r="F119" i="124" s="1"/>
  <c r="F120" i="124" s="1"/>
  <c r="F121" i="124" s="1"/>
  <c r="F122" i="124" s="1"/>
  <c r="F123" i="124" s="1"/>
  <c r="F124" i="124" s="1"/>
  <c r="F125" i="124" s="1"/>
  <c r="T99" i="123" s="1"/>
  <c r="F76" i="124"/>
  <c r="F77" i="124" s="1"/>
  <c r="F78" i="124" s="1"/>
  <c r="F79" i="124" s="1"/>
  <c r="F80" i="124" s="1"/>
  <c r="T93" i="123" s="1"/>
  <c r="U444" i="123"/>
  <c r="H444" i="123" s="1"/>
  <c r="U445" i="123" s="1"/>
  <c r="H445" i="123" s="1"/>
  <c r="U446" i="123" s="1"/>
  <c r="H446" i="123" s="1"/>
  <c r="F578" i="124" s="1"/>
  <c r="F579" i="124" s="1"/>
  <c r="F580" i="124" s="1"/>
  <c r="F581" i="124" s="1"/>
  <c r="F582" i="124" s="1"/>
  <c r="F583" i="124" s="1"/>
  <c r="F584" i="124" s="1"/>
  <c r="F585" i="124" s="1"/>
  <c r="G19" i="117"/>
  <c r="I18" i="117"/>
  <c r="I19" i="117" s="1"/>
  <c r="I20" i="117"/>
  <c r="I21" i="117" s="1"/>
  <c r="H12" i="122"/>
  <c r="G56" i="117" s="1"/>
  <c r="G57" i="117" s="1"/>
  <c r="I57" i="117" s="1"/>
  <c r="I66" i="117"/>
  <c r="I67" i="117" s="1"/>
  <c r="E31" i="117"/>
  <c r="E29" i="117"/>
  <c r="U206" i="123"/>
  <c r="H206" i="123" s="1"/>
  <c r="U207" i="123" s="1"/>
  <c r="H207" i="123" s="1"/>
  <c r="U208" i="123" s="1"/>
  <c r="H208" i="123" s="1"/>
  <c r="U209" i="123" s="1"/>
  <c r="H209" i="123" s="1"/>
  <c r="U210" i="123" s="1"/>
  <c r="H210" i="123" s="1"/>
  <c r="U211" i="123" s="1"/>
  <c r="H211" i="123" s="1"/>
  <c r="U212" i="123" s="1"/>
  <c r="H212" i="123" s="1"/>
  <c r="U213" i="123" s="1"/>
  <c r="H213" i="123" s="1"/>
  <c r="U214" i="123" s="1"/>
  <c r="H214" i="123" s="1"/>
  <c r="U215" i="123" s="1"/>
  <c r="H215" i="123" s="1"/>
  <c r="F221" i="124" s="1"/>
  <c r="F222" i="124" s="1"/>
  <c r="F223" i="124" s="1"/>
  <c r="F224" i="124" s="1"/>
  <c r="F225" i="124" s="1"/>
  <c r="F226" i="124" s="1"/>
  <c r="F227" i="124" s="1"/>
  <c r="T226" i="123" s="1"/>
  <c r="F214" i="124"/>
  <c r="F215" i="124" s="1"/>
  <c r="F216" i="124" s="1"/>
  <c r="F217" i="124" s="1"/>
  <c r="F218" i="124" s="1"/>
  <c r="F219" i="124" s="1"/>
  <c r="F220" i="124" s="1"/>
  <c r="T216" i="123" s="1"/>
  <c r="F175" i="120"/>
  <c r="F176" i="120" s="1"/>
  <c r="F177" i="120" s="1"/>
  <c r="F178" i="120" s="1"/>
  <c r="F179" i="120" s="1"/>
  <c r="F180" i="120" s="1"/>
  <c r="F181" i="120" s="1"/>
  <c r="R147" i="119" s="1"/>
  <c r="S143" i="119"/>
  <c r="F143" i="120"/>
  <c r="F144" i="120" s="1"/>
  <c r="F145" i="120" s="1"/>
  <c r="F146" i="120" s="1"/>
  <c r="F147" i="120" s="1"/>
  <c r="F148" i="120" s="1"/>
  <c r="F149" i="120" s="1"/>
  <c r="F25" i="111"/>
  <c r="F26" i="111" s="1"/>
  <c r="F27" i="111" s="1"/>
  <c r="F28" i="111" s="1"/>
  <c r="F29" i="111" s="1"/>
  <c r="F30" i="111" s="1"/>
  <c r="F31" i="111" s="1"/>
  <c r="F32" i="111" s="1"/>
  <c r="R22" i="110" s="1"/>
  <c r="S16" i="110"/>
  <c r="F11" i="134"/>
  <c r="S30" i="119"/>
  <c r="S28" i="119"/>
  <c r="F28" i="119" s="1"/>
  <c r="F138" i="111"/>
  <c r="F139" i="111" s="1"/>
  <c r="F140" i="111" s="1"/>
  <c r="F141" i="111" s="1"/>
  <c r="R95" i="110" s="1"/>
  <c r="S93" i="110"/>
  <c r="F93" i="110" s="1"/>
  <c r="S94" i="110" s="1"/>
  <c r="F94" i="110" s="1"/>
  <c r="H173" i="136"/>
  <c r="E173" i="136" s="1"/>
  <c r="F173" i="136" s="1"/>
  <c r="F174" i="136" s="1"/>
  <c r="H125" i="128"/>
  <c r="E125" i="128" s="1"/>
  <c r="F125" i="128" s="1"/>
  <c r="F126" i="128" s="1"/>
  <c r="R147" i="126" s="1"/>
  <c r="S147" i="126" s="1"/>
  <c r="F24" i="126"/>
  <c r="S25" i="126" s="1"/>
  <c r="F25" i="126" s="1"/>
  <c r="S26" i="126" s="1"/>
  <c r="F26" i="126" s="1"/>
  <c r="S27" i="126" s="1"/>
  <c r="F27" i="126" s="1"/>
  <c r="S28" i="126" s="1"/>
  <c r="F28" i="126" s="1"/>
  <c r="S29" i="126" s="1"/>
  <c r="F29" i="126" s="1"/>
  <c r="AA56" i="114"/>
  <c r="H13" i="114" s="1"/>
  <c r="G58" i="108" s="1"/>
  <c r="G59" i="108" s="1"/>
  <c r="G60" i="108" s="1"/>
  <c r="Y56" i="114"/>
  <c r="F13" i="114" s="1"/>
  <c r="G34" i="108" s="1"/>
  <c r="G37" i="108" s="1"/>
  <c r="G38" i="108" s="1"/>
  <c r="G39" i="108" s="1"/>
  <c r="G23" i="108"/>
  <c r="G24" i="108" s="1"/>
  <c r="G25" i="108"/>
  <c r="G26" i="108" s="1"/>
  <c r="G27" i="108" s="1"/>
  <c r="F440" i="115"/>
  <c r="F441" i="115" s="1"/>
  <c r="F442" i="115" s="1"/>
  <c r="F443" i="115" s="1"/>
  <c r="U376" i="113" s="1"/>
  <c r="V374" i="113"/>
  <c r="I374" i="113" s="1"/>
  <c r="V375" i="113" s="1"/>
  <c r="I375" i="113" s="1"/>
  <c r="G57" i="114"/>
  <c r="G58" i="114" s="1"/>
  <c r="AB56" i="114"/>
  <c r="I13" i="114" s="1"/>
  <c r="G70" i="108" s="1"/>
  <c r="W56" i="114"/>
  <c r="D13" i="114" s="1"/>
  <c r="G9" i="108" s="1"/>
  <c r="Z56" i="114"/>
  <c r="G13" i="114" s="1"/>
  <c r="G46" i="108" s="1"/>
  <c r="X83" i="122"/>
  <c r="E13" i="122" s="1"/>
  <c r="G22" i="117" s="1"/>
  <c r="Y83" i="122"/>
  <c r="W83" i="122"/>
  <c r="D13" i="122" s="1"/>
  <c r="G9" i="117" s="1"/>
  <c r="Z83" i="122"/>
  <c r="G13" i="122" s="1"/>
  <c r="AB83" i="122"/>
  <c r="I13" i="122" s="1"/>
  <c r="G70" i="117" s="1"/>
  <c r="AA83" i="122"/>
  <c r="H13" i="122" s="1"/>
  <c r="G58" i="117" s="1"/>
  <c r="V240" i="113"/>
  <c r="I240" i="113" s="1"/>
  <c r="V241" i="113" s="1"/>
  <c r="I241" i="113" s="1"/>
  <c r="V242" i="113" s="1"/>
  <c r="I242" i="113" s="1"/>
  <c r="V243" i="113" s="1"/>
  <c r="I243" i="113" s="1"/>
  <c r="F254" i="115"/>
  <c r="F255" i="115" s="1"/>
  <c r="F256" i="115" s="1"/>
  <c r="F257" i="115" s="1"/>
  <c r="F258" i="115" s="1"/>
  <c r="H326" i="123"/>
  <c r="U327" i="123" s="1"/>
  <c r="F345" i="115"/>
  <c r="F346" i="115" s="1"/>
  <c r="F347" i="115" s="1"/>
  <c r="F348" i="115" s="1"/>
  <c r="F349" i="115" s="1"/>
  <c r="F350" i="115" s="1"/>
  <c r="U314" i="113" s="1"/>
  <c r="V312" i="113"/>
  <c r="AB84" i="122"/>
  <c r="I14" i="122" s="1"/>
  <c r="AA84" i="122"/>
  <c r="H14" i="122" s="1"/>
  <c r="Z84" i="122"/>
  <c r="G14" i="122" s="1"/>
  <c r="X84" i="122"/>
  <c r="E14" i="122" s="1"/>
  <c r="D14" i="122"/>
  <c r="Y84" i="122"/>
  <c r="F14" i="122" s="1"/>
  <c r="F18" i="115"/>
  <c r="F19" i="115" s="1"/>
  <c r="F20" i="115" s="1"/>
  <c r="F21" i="115" s="1"/>
  <c r="F22" i="115" s="1"/>
  <c r="V56" i="113"/>
  <c r="I155" i="113"/>
  <c r="V156" i="113" s="1"/>
  <c r="F660" i="124"/>
  <c r="F661" i="124" s="1"/>
  <c r="F662" i="124" s="1"/>
  <c r="F663" i="124" s="1"/>
  <c r="F664" i="124" s="1"/>
  <c r="F699" i="124"/>
  <c r="F700" i="124" s="1"/>
  <c r="F701" i="124" s="1"/>
  <c r="F702" i="124" s="1"/>
  <c r="F703" i="124" s="1"/>
  <c r="F704" i="124" s="1"/>
  <c r="F705" i="124" s="1"/>
  <c r="F706" i="124" s="1"/>
  <c r="S66" i="139"/>
  <c r="S136" i="139"/>
  <c r="T136" i="139" s="1"/>
  <c r="G468" i="139"/>
  <c r="T469" i="139" s="1"/>
  <c r="G519" i="139"/>
  <c r="T520" i="139" s="1"/>
  <c r="F287" i="140"/>
  <c r="F288" i="140" s="1"/>
  <c r="F289" i="140" s="1"/>
  <c r="F290" i="140" s="1"/>
  <c r="F291" i="140" s="1"/>
  <c r="S294" i="139" s="1"/>
  <c r="T290" i="139"/>
  <c r="F202" i="140"/>
  <c r="F203" i="140" s="1"/>
  <c r="F204" i="140" s="1"/>
  <c r="F205" i="140" s="1"/>
  <c r="F206" i="140" s="1"/>
  <c r="S196" i="139" s="1"/>
  <c r="T196" i="139" s="1"/>
  <c r="F21" i="140"/>
  <c r="F22" i="140" s="1"/>
  <c r="F23" i="140" s="1"/>
  <c r="F24" i="140" s="1"/>
  <c r="F25" i="140" s="1"/>
  <c r="T64" i="139"/>
  <c r="G253" i="139"/>
  <c r="T254" i="139" s="1"/>
  <c r="S233" i="139" s="1"/>
  <c r="G399" i="139"/>
  <c r="T400" i="139" s="1"/>
  <c r="G400" i="139" s="1"/>
  <c r="F334" i="140"/>
  <c r="F335" i="140" s="1"/>
  <c r="F336" i="140" s="1"/>
  <c r="F337" i="140" s="1"/>
  <c r="F338" i="140" s="1"/>
  <c r="S367" i="139" s="1"/>
  <c r="T367" i="139" s="1"/>
  <c r="G339" i="131"/>
  <c r="G291" i="131"/>
  <c r="T292" i="131" s="1"/>
  <c r="G517" i="131"/>
  <c r="T518" i="131" s="1"/>
  <c r="G598" i="131"/>
  <c r="G454" i="131"/>
  <c r="T455" i="131" s="1"/>
  <c r="G60" i="131"/>
  <c r="T61" i="131" s="1"/>
  <c r="G148" i="131"/>
  <c r="T149" i="131" s="1"/>
  <c r="F539" i="124" l="1"/>
  <c r="F540" i="124" s="1"/>
  <c r="F541" i="124" s="1"/>
  <c r="F542" i="124" s="1"/>
  <c r="F543" i="124" s="1"/>
  <c r="K30" i="133"/>
  <c r="K30" i="125"/>
  <c r="I43" i="108"/>
  <c r="K42" i="125"/>
  <c r="K42" i="133"/>
  <c r="K20" i="125"/>
  <c r="K20" i="133"/>
  <c r="K56" i="133"/>
  <c r="K56" i="125"/>
  <c r="K57" i="125"/>
  <c r="K57" i="133"/>
  <c r="K32" i="125"/>
  <c r="K32" i="133"/>
  <c r="K69" i="133"/>
  <c r="K69" i="125"/>
  <c r="K66" i="125"/>
  <c r="K66" i="133"/>
  <c r="K44" i="133"/>
  <c r="K44" i="125"/>
  <c r="K45" i="133"/>
  <c r="K45" i="125"/>
  <c r="I55" i="108"/>
  <c r="K54" i="133"/>
  <c r="K54" i="125"/>
  <c r="K18" i="133"/>
  <c r="K18" i="125"/>
  <c r="F44" i="124"/>
  <c r="F45" i="124" s="1"/>
  <c r="F46" i="124" s="1"/>
  <c r="F47" i="124" s="1"/>
  <c r="F48" i="124" s="1"/>
  <c r="F49" i="124" s="1"/>
  <c r="F50" i="124" s="1"/>
  <c r="T70" i="123" s="1"/>
  <c r="I42" i="117"/>
  <c r="I43" i="117" s="1"/>
  <c r="F13" i="122"/>
  <c r="G33" i="117"/>
  <c r="I33" i="117" s="1"/>
  <c r="I32" i="117"/>
  <c r="I19" i="108"/>
  <c r="F195" i="136"/>
  <c r="F196" i="136" s="1"/>
  <c r="F197" i="136" s="1"/>
  <c r="F198" i="136" s="1"/>
  <c r="F199" i="136" s="1"/>
  <c r="R129" i="134" s="1"/>
  <c r="S125" i="134"/>
  <c r="F125" i="134" s="1"/>
  <c r="S126" i="134" s="1"/>
  <c r="F126" i="134" s="1"/>
  <c r="S127" i="134" s="1"/>
  <c r="F127" i="134" s="1"/>
  <c r="S128" i="134" s="1"/>
  <c r="F128" i="134" s="1"/>
  <c r="F200" i="136" s="1"/>
  <c r="F201" i="136" s="1"/>
  <c r="F202" i="136" s="1"/>
  <c r="F203" i="136" s="1"/>
  <c r="F204" i="136" s="1"/>
  <c r="R132" i="134" s="1"/>
  <c r="I44" i="117"/>
  <c r="I54" i="117"/>
  <c r="I55" i="117" s="1"/>
  <c r="I30" i="117"/>
  <c r="I31" i="117" s="1"/>
  <c r="I21" i="108"/>
  <c r="I31" i="108"/>
  <c r="U216" i="123"/>
  <c r="H216" i="123" s="1"/>
  <c r="U217" i="123" s="1"/>
  <c r="H217" i="123" s="1"/>
  <c r="U218" i="123" s="1"/>
  <c r="H218" i="123" s="1"/>
  <c r="U219" i="123" s="1"/>
  <c r="H219" i="123" s="1"/>
  <c r="U220" i="123" s="1"/>
  <c r="H220" i="123" s="1"/>
  <c r="U221" i="123" s="1"/>
  <c r="H221" i="123" s="1"/>
  <c r="U222" i="123" s="1"/>
  <c r="H222" i="123" s="1"/>
  <c r="U223" i="123" s="1"/>
  <c r="H223" i="123" s="1"/>
  <c r="U224" i="123" s="1"/>
  <c r="H224" i="123" s="1"/>
  <c r="U225" i="123" s="1"/>
  <c r="H225" i="123" s="1"/>
  <c r="I67" i="108"/>
  <c r="I56" i="117"/>
  <c r="F147" i="126"/>
  <c r="S148" i="126" s="1"/>
  <c r="F148" i="126" s="1"/>
  <c r="F142" i="111"/>
  <c r="F143" i="111" s="1"/>
  <c r="F144" i="111" s="1"/>
  <c r="F145" i="111" s="1"/>
  <c r="R97" i="110" s="1"/>
  <c r="S95" i="110"/>
  <c r="H170" i="136"/>
  <c r="E170" i="136" s="1"/>
  <c r="F170" i="136" s="1"/>
  <c r="F171" i="136" s="1"/>
  <c r="H122" i="128"/>
  <c r="E122" i="128" s="1"/>
  <c r="F122" i="128" s="1"/>
  <c r="F123" i="128" s="1"/>
  <c r="R149" i="126" s="1"/>
  <c r="S12" i="134"/>
  <c r="W96" i="138"/>
  <c r="W98" i="138" s="1"/>
  <c r="W99" i="138" s="1"/>
  <c r="F16" i="110"/>
  <c r="S29" i="119"/>
  <c r="F29" i="119" s="1"/>
  <c r="F30" i="119" s="1"/>
  <c r="S31" i="119"/>
  <c r="F143" i="119"/>
  <c r="S144" i="119" s="1"/>
  <c r="F144" i="119" s="1"/>
  <c r="S30" i="126"/>
  <c r="F30" i="126" s="1"/>
  <c r="S31" i="126" s="1"/>
  <c r="F31" i="126" s="1"/>
  <c r="S32" i="126" s="1"/>
  <c r="F32" i="126" s="1"/>
  <c r="S33" i="126" s="1"/>
  <c r="F33" i="126" s="1"/>
  <c r="S34" i="126" s="1"/>
  <c r="F22" i="128"/>
  <c r="F23" i="128" s="1"/>
  <c r="F24" i="128" s="1"/>
  <c r="F25" i="128" s="1"/>
  <c r="F26" i="128" s="1"/>
  <c r="F27" i="128" s="1"/>
  <c r="F28" i="128" s="1"/>
  <c r="R37" i="126" s="1"/>
  <c r="G61" i="108"/>
  <c r="G62" i="108" s="1"/>
  <c r="G63" i="108" s="1"/>
  <c r="G35" i="108"/>
  <c r="G36" i="108" s="1"/>
  <c r="G49" i="108"/>
  <c r="G50" i="108" s="1"/>
  <c r="G51" i="108" s="1"/>
  <c r="G47" i="108"/>
  <c r="G48" i="108" s="1"/>
  <c r="G13" i="108"/>
  <c r="G14" i="108" s="1"/>
  <c r="G15" i="108" s="1"/>
  <c r="G11" i="108"/>
  <c r="G10" i="108" s="1"/>
  <c r="G73" i="108"/>
  <c r="G74" i="108" s="1"/>
  <c r="G75" i="108" s="1"/>
  <c r="G71" i="108"/>
  <c r="V376" i="113"/>
  <c r="I376" i="113" s="1"/>
  <c r="V377" i="113" s="1"/>
  <c r="I377" i="113" s="1"/>
  <c r="F444" i="115"/>
  <c r="F445" i="115" s="1"/>
  <c r="F446" i="115" s="1"/>
  <c r="F447" i="115" s="1"/>
  <c r="U378" i="113" s="1"/>
  <c r="Z57" i="114"/>
  <c r="G14" i="114" s="1"/>
  <c r="X57" i="114"/>
  <c r="E14" i="114" s="1"/>
  <c r="AB57" i="114"/>
  <c r="I14" i="114" s="1"/>
  <c r="W57" i="114"/>
  <c r="D14" i="114" s="1"/>
  <c r="Y57" i="114"/>
  <c r="F14" i="114" s="1"/>
  <c r="AA57" i="114"/>
  <c r="H14" i="114" s="1"/>
  <c r="G46" i="117"/>
  <c r="G34" i="117"/>
  <c r="I156" i="113"/>
  <c r="V157" i="113" s="1"/>
  <c r="H327" i="123"/>
  <c r="U328" i="123" s="1"/>
  <c r="G59" i="117"/>
  <c r="G61" i="117"/>
  <c r="G13" i="117"/>
  <c r="G11" i="117"/>
  <c r="G10" i="117" s="1"/>
  <c r="I312" i="113"/>
  <c r="V313" i="113" s="1"/>
  <c r="G25" i="117"/>
  <c r="G23" i="117"/>
  <c r="G73" i="117"/>
  <c r="G71" i="117"/>
  <c r="F259" i="115"/>
  <c r="F260" i="115" s="1"/>
  <c r="F261" i="115" s="1"/>
  <c r="F262" i="115" s="1"/>
  <c r="F263" i="115" s="1"/>
  <c r="F264" i="115" s="1"/>
  <c r="U246" i="113" s="1"/>
  <c r="V244" i="113"/>
  <c r="I56" i="113"/>
  <c r="V57" i="113" s="1"/>
  <c r="I57" i="113" s="1"/>
  <c r="V58" i="113" s="1"/>
  <c r="I58" i="113" s="1"/>
  <c r="V59" i="113" s="1"/>
  <c r="I59" i="113" s="1"/>
  <c r="V60" i="113" s="1"/>
  <c r="I60" i="113" s="1"/>
  <c r="V61" i="113" s="1"/>
  <c r="I61" i="113" s="1"/>
  <c r="H60" i="123"/>
  <c r="U61" i="123" s="1"/>
  <c r="H61" i="123" s="1"/>
  <c r="U62" i="123" s="1"/>
  <c r="H62" i="123" s="1"/>
  <c r="U63" i="123" s="1"/>
  <c r="H63" i="123" s="1"/>
  <c r="U64" i="123" s="1"/>
  <c r="H64" i="123" s="1"/>
  <c r="U65" i="123" s="1"/>
  <c r="H65" i="123" s="1"/>
  <c r="U66" i="123" s="1"/>
  <c r="H66" i="123" s="1"/>
  <c r="U67" i="123" s="1"/>
  <c r="H67" i="123" s="1"/>
  <c r="U68" i="123" s="1"/>
  <c r="H68" i="123" s="1"/>
  <c r="U69" i="123" s="1"/>
  <c r="H69" i="123" s="1"/>
  <c r="T523" i="123"/>
  <c r="U523" i="123" s="1"/>
  <c r="T447" i="123"/>
  <c r="U447" i="123" s="1"/>
  <c r="T453" i="123"/>
  <c r="T529" i="123"/>
  <c r="G367" i="139"/>
  <c r="T368" i="139" s="1"/>
  <c r="G368" i="139" s="1"/>
  <c r="G136" i="139"/>
  <c r="G196" i="139"/>
  <c r="G290" i="139"/>
  <c r="T291" i="139" s="1"/>
  <c r="G291" i="139" s="1"/>
  <c r="T292" i="139" s="1"/>
  <c r="G292" i="139" s="1"/>
  <c r="T293" i="139" s="1"/>
  <c r="G293" i="139" s="1"/>
  <c r="G469" i="139"/>
  <c r="T470" i="139" s="1"/>
  <c r="G64" i="139"/>
  <c r="T65" i="139" s="1"/>
  <c r="S139" i="139"/>
  <c r="S69" i="139"/>
  <c r="F422" i="140"/>
  <c r="F423" i="140" s="1"/>
  <c r="F424" i="140" s="1"/>
  <c r="F425" i="140" s="1"/>
  <c r="F426" i="140" s="1"/>
  <c r="F427" i="140" s="1"/>
  <c r="F428" i="140" s="1"/>
  <c r="F429" i="140" s="1"/>
  <c r="F430" i="140" s="1"/>
  <c r="S404" i="139" s="1"/>
  <c r="F431" i="140"/>
  <c r="F432" i="140" s="1"/>
  <c r="F433" i="140" s="1"/>
  <c r="F434" i="140" s="1"/>
  <c r="F435" i="140" s="1"/>
  <c r="F436" i="140" s="1"/>
  <c r="F437" i="140" s="1"/>
  <c r="F438" i="140" s="1"/>
  <c r="F439" i="140" s="1"/>
  <c r="S410" i="139" s="1"/>
  <c r="T401" i="139"/>
  <c r="G254" i="139"/>
  <c r="G255" i="139" s="1"/>
  <c r="U233" i="139"/>
  <c r="T233" i="139"/>
  <c r="V233" i="139"/>
  <c r="W233" i="139"/>
  <c r="G520" i="139"/>
  <c r="X233" i="139"/>
  <c r="G292" i="131"/>
  <c r="T293" i="131" s="1"/>
  <c r="T345" i="131"/>
  <c r="T340" i="131"/>
  <c r="T599" i="131"/>
  <c r="F480" i="132"/>
  <c r="F481" i="132" s="1"/>
  <c r="F482" i="132" s="1"/>
  <c r="F483" i="132" s="1"/>
  <c r="F484" i="132" s="1"/>
  <c r="F485" i="132" s="1"/>
  <c r="F486" i="132" s="1"/>
  <c r="F487" i="132" s="1"/>
  <c r="F488" i="132" s="1"/>
  <c r="F489" i="132" s="1"/>
  <c r="F490" i="132" s="1"/>
  <c r="G61" i="131"/>
  <c r="T62" i="131" s="1"/>
  <c r="G518" i="131"/>
  <c r="G149" i="131"/>
  <c r="G455" i="131"/>
  <c r="T456" i="131" s="1"/>
  <c r="K19" i="133" l="1"/>
  <c r="K19" i="125"/>
  <c r="K31" i="125"/>
  <c r="K31" i="133"/>
  <c r="K21" i="133"/>
  <c r="K21" i="125"/>
  <c r="K55" i="133"/>
  <c r="K55" i="125"/>
  <c r="K43" i="133"/>
  <c r="K43" i="125"/>
  <c r="K67" i="125"/>
  <c r="K67" i="133"/>
  <c r="S129" i="134"/>
  <c r="F129" i="134" s="1"/>
  <c r="S130" i="134" s="1"/>
  <c r="F130" i="134" s="1"/>
  <c r="S131" i="134" s="1"/>
  <c r="F131" i="134" s="1"/>
  <c r="F205" i="136" s="1"/>
  <c r="F206" i="136" s="1"/>
  <c r="F207" i="136" s="1"/>
  <c r="F208" i="136" s="1"/>
  <c r="F209" i="136" s="1"/>
  <c r="R136" i="134" s="1"/>
  <c r="S149" i="126"/>
  <c r="F149" i="126" s="1"/>
  <c r="S150" i="126" s="1"/>
  <c r="F150" i="126" s="1"/>
  <c r="S151" i="126" s="1"/>
  <c r="F151" i="126" s="1"/>
  <c r="S152" i="126" s="1"/>
  <c r="F152" i="126" s="1"/>
  <c r="S153" i="126" s="1"/>
  <c r="F153" i="126" s="1"/>
  <c r="S154" i="126" s="1"/>
  <c r="F154" i="126" s="1"/>
  <c r="S155" i="126" s="1"/>
  <c r="F155" i="126" s="1"/>
  <c r="S156" i="126" s="1"/>
  <c r="F156" i="126" s="1"/>
  <c r="S157" i="126" s="1"/>
  <c r="F157" i="126" s="1"/>
  <c r="S158" i="126" s="1"/>
  <c r="F158" i="126" s="1"/>
  <c r="S159" i="126" s="1"/>
  <c r="F159" i="126" s="1"/>
  <c r="S160" i="126" s="1"/>
  <c r="F160" i="126" s="1"/>
  <c r="S161" i="126" s="1"/>
  <c r="F161" i="126" s="1"/>
  <c r="F95" i="110"/>
  <c r="S96" i="110" s="1"/>
  <c r="F96" i="110" s="1"/>
  <c r="W103" i="138"/>
  <c r="E17" i="138" s="1"/>
  <c r="W100" i="138"/>
  <c r="E14" i="138" s="1"/>
  <c r="Q18" i="133" s="1"/>
  <c r="W101" i="138"/>
  <c r="E15" i="138" s="1"/>
  <c r="Q20" i="133" s="1"/>
  <c r="W102" i="138"/>
  <c r="E16" i="138" s="1"/>
  <c r="Q22" i="133" s="1"/>
  <c r="F12" i="134"/>
  <c r="F31" i="119"/>
  <c r="S145" i="119"/>
  <c r="F145" i="119" s="1"/>
  <c r="F182" i="120"/>
  <c r="F183" i="120" s="1"/>
  <c r="F184" i="120" s="1"/>
  <c r="F185" i="120" s="1"/>
  <c r="F186" i="120" s="1"/>
  <c r="F187" i="120" s="1"/>
  <c r="F188" i="120" s="1"/>
  <c r="R150" i="119" s="1"/>
  <c r="S33" i="119"/>
  <c r="S32" i="119"/>
  <c r="F18" i="111"/>
  <c r="F19" i="111" s="1"/>
  <c r="F20" i="111" s="1"/>
  <c r="F21" i="111" s="1"/>
  <c r="F22" i="111" s="1"/>
  <c r="F23" i="111" s="1"/>
  <c r="F24" i="111" s="1"/>
  <c r="R35" i="110" s="1"/>
  <c r="S17" i="110"/>
  <c r="F34" i="126"/>
  <c r="S35" i="126" s="1"/>
  <c r="F35" i="126" s="1"/>
  <c r="S36" i="126" s="1"/>
  <c r="F36" i="126" s="1"/>
  <c r="S37" i="126" s="1"/>
  <c r="F37" i="126" s="1"/>
  <c r="S38" i="126" s="1"/>
  <c r="F38" i="126" s="1"/>
  <c r="S39" i="126" s="1"/>
  <c r="G12" i="108"/>
  <c r="G6" i="108"/>
  <c r="G8" i="108"/>
  <c r="G72" i="108"/>
  <c r="G69" i="108"/>
  <c r="V378" i="113"/>
  <c r="I378" i="113" s="1"/>
  <c r="V379" i="113" s="1"/>
  <c r="I379" i="113" s="1"/>
  <c r="F448" i="115"/>
  <c r="F449" i="115" s="1"/>
  <c r="F450" i="115" s="1"/>
  <c r="F451" i="115" s="1"/>
  <c r="U380" i="113" s="1"/>
  <c r="I157" i="113"/>
  <c r="V158" i="113" s="1"/>
  <c r="H447" i="123"/>
  <c r="U448" i="123" s="1"/>
  <c r="H448" i="123" s="1"/>
  <c r="U449" i="123" s="1"/>
  <c r="H449" i="123" s="1"/>
  <c r="U450" i="123" s="1"/>
  <c r="H450" i="123" s="1"/>
  <c r="G14" i="117"/>
  <c r="G15" i="117" s="1"/>
  <c r="G60" i="117"/>
  <c r="G74" i="117"/>
  <c r="G75" i="117" s="1"/>
  <c r="F51" i="124"/>
  <c r="F52" i="124" s="1"/>
  <c r="F53" i="124" s="1"/>
  <c r="F54" i="124" s="1"/>
  <c r="F55" i="124" s="1"/>
  <c r="F56" i="124" s="1"/>
  <c r="F57" i="124" s="1"/>
  <c r="T80" i="123" s="1"/>
  <c r="U70" i="123"/>
  <c r="I313" i="113"/>
  <c r="G72" i="117"/>
  <c r="G69" i="117"/>
  <c r="I244" i="113"/>
  <c r="V245" i="113" s="1"/>
  <c r="I245" i="113" s="1"/>
  <c r="G26" i="117"/>
  <c r="G27" i="117" s="1"/>
  <c r="H328" i="123"/>
  <c r="U329" i="123" s="1"/>
  <c r="H329" i="123" s="1"/>
  <c r="U330" i="123" s="1"/>
  <c r="H330" i="123" s="1"/>
  <c r="U331" i="123" s="1"/>
  <c r="H331" i="123" s="1"/>
  <c r="H523" i="123"/>
  <c r="U524" i="123" s="1"/>
  <c r="H524" i="123" s="1"/>
  <c r="U525" i="123" s="1"/>
  <c r="H525" i="123" s="1"/>
  <c r="U526" i="123" s="1"/>
  <c r="H526" i="123" s="1"/>
  <c r="G62" i="117"/>
  <c r="G63" i="117" s="1"/>
  <c r="G35" i="117"/>
  <c r="G37" i="117"/>
  <c r="F228" i="124"/>
  <c r="F229" i="124" s="1"/>
  <c r="F230" i="124" s="1"/>
  <c r="F231" i="124" s="1"/>
  <c r="F232" i="124" s="1"/>
  <c r="F233" i="124" s="1"/>
  <c r="F234" i="124" s="1"/>
  <c r="F235" i="124" s="1"/>
  <c r="F236" i="124" s="1"/>
  <c r="F237" i="124" s="1"/>
  <c r="F238" i="124" s="1"/>
  <c r="T232" i="123" s="1"/>
  <c r="U226" i="123"/>
  <c r="G47" i="117"/>
  <c r="G49" i="117"/>
  <c r="F23" i="115"/>
  <c r="F24" i="115" s="1"/>
  <c r="F25" i="115" s="1"/>
  <c r="F26" i="115" s="1"/>
  <c r="F27" i="115" s="1"/>
  <c r="V62" i="113"/>
  <c r="G24" i="117"/>
  <c r="G6" i="117"/>
  <c r="G8" i="117"/>
  <c r="G12" i="117"/>
  <c r="G65" i="139"/>
  <c r="T66" i="139" s="1"/>
  <c r="F123" i="140"/>
  <c r="F124" i="140" s="1"/>
  <c r="F125" i="140" s="1"/>
  <c r="F126" i="140" s="1"/>
  <c r="F127" i="140" s="1"/>
  <c r="T137" i="139"/>
  <c r="G137" i="139" s="1"/>
  <c r="T138" i="139" s="1"/>
  <c r="G138" i="139" s="1"/>
  <c r="T139" i="139" s="1"/>
  <c r="G139" i="139" s="1"/>
  <c r="G401" i="139"/>
  <c r="T402" i="139" s="1"/>
  <c r="F207" i="140"/>
  <c r="F208" i="140" s="1"/>
  <c r="F209" i="140" s="1"/>
  <c r="F210" i="140" s="1"/>
  <c r="F211" i="140" s="1"/>
  <c r="S199" i="139" s="1"/>
  <c r="F212" i="140"/>
  <c r="F213" i="140" s="1"/>
  <c r="F214" i="140" s="1"/>
  <c r="F215" i="140" s="1"/>
  <c r="F216" i="140" s="1"/>
  <c r="S202" i="139" s="1"/>
  <c r="T197" i="139"/>
  <c r="T521" i="139"/>
  <c r="F575" i="140"/>
  <c r="F576" i="140" s="1"/>
  <c r="F577" i="140" s="1"/>
  <c r="F578" i="140" s="1"/>
  <c r="F579" i="140" s="1"/>
  <c r="S525" i="139" s="1"/>
  <c r="F292" i="140"/>
  <c r="F293" i="140" s="1"/>
  <c r="F294" i="140" s="1"/>
  <c r="F295" i="140" s="1"/>
  <c r="F296" i="140" s="1"/>
  <c r="S298" i="139" s="1"/>
  <c r="T294" i="139"/>
  <c r="U234" i="139"/>
  <c r="W234" i="139"/>
  <c r="S234" i="139"/>
  <c r="T234" i="139"/>
  <c r="V234" i="139"/>
  <c r="X234" i="139"/>
  <c r="G470" i="139"/>
  <c r="T471" i="139" s="1"/>
  <c r="F339" i="140"/>
  <c r="F340" i="140" s="1"/>
  <c r="F341" i="140" s="1"/>
  <c r="F342" i="140" s="1"/>
  <c r="F343" i="140" s="1"/>
  <c r="S371" i="139" s="1"/>
  <c r="T369" i="139"/>
  <c r="G293" i="131"/>
  <c r="T294" i="131" s="1"/>
  <c r="G340" i="131"/>
  <c r="T341" i="131" s="1"/>
  <c r="G341" i="131" s="1"/>
  <c r="T342" i="131" s="1"/>
  <c r="G342" i="131" s="1"/>
  <c r="T343" i="131" s="1"/>
  <c r="G343" i="131" s="1"/>
  <c r="T344" i="131" s="1"/>
  <c r="G344" i="131" s="1"/>
  <c r="G345" i="131" s="1"/>
  <c r="T346" i="131" s="1"/>
  <c r="G346" i="131" s="1"/>
  <c r="T347" i="131" s="1"/>
  <c r="G347" i="131" s="1"/>
  <c r="T348" i="131" s="1"/>
  <c r="G348" i="131" s="1"/>
  <c r="G62" i="131"/>
  <c r="T63" i="131" s="1"/>
  <c r="G456" i="131"/>
  <c r="T457" i="131" s="1"/>
  <c r="G457" i="131" s="1"/>
  <c r="S604" i="131"/>
  <c r="S537" i="131"/>
  <c r="F394" i="132"/>
  <c r="F395" i="132" s="1"/>
  <c r="F396" i="132" s="1"/>
  <c r="F397" i="132" s="1"/>
  <c r="F398" i="132" s="1"/>
  <c r="F399" i="132" s="1"/>
  <c r="F400" i="132" s="1"/>
  <c r="F401" i="132" s="1"/>
  <c r="F402" i="132" s="1"/>
  <c r="F403" i="132" s="1"/>
  <c r="S527" i="131" s="1"/>
  <c r="T519" i="131"/>
  <c r="G599" i="131"/>
  <c r="T600" i="131" s="1"/>
  <c r="G600" i="131" s="1"/>
  <c r="T601" i="131" s="1"/>
  <c r="G601" i="131" s="1"/>
  <c r="T602" i="131" s="1"/>
  <c r="G602" i="131" s="1"/>
  <c r="T603" i="131" s="1"/>
  <c r="G603" i="131" s="1"/>
  <c r="F83" i="132"/>
  <c r="F84" i="132" s="1"/>
  <c r="F85" i="132" s="1"/>
  <c r="F86" i="132" s="1"/>
  <c r="F87" i="132" s="1"/>
  <c r="F88" i="132" s="1"/>
  <c r="F89" i="132" s="1"/>
  <c r="S159" i="131" s="1"/>
  <c r="T150" i="131"/>
  <c r="S132" i="134" l="1"/>
  <c r="F132" i="134" s="1"/>
  <c r="S133" i="134" s="1"/>
  <c r="F133" i="134" s="1"/>
  <c r="F210" i="136" s="1"/>
  <c r="F211" i="136" s="1"/>
  <c r="F212" i="136" s="1"/>
  <c r="F213" i="136" s="1"/>
  <c r="F214" i="136" s="1"/>
  <c r="R143" i="134" s="1"/>
  <c r="F138" i="128"/>
  <c r="F139" i="128" s="1"/>
  <c r="F140" i="128" s="1"/>
  <c r="F141" i="128" s="1"/>
  <c r="F142" i="128" s="1"/>
  <c r="F143" i="128" s="1"/>
  <c r="F144" i="128" s="1"/>
  <c r="R162" i="126" s="1"/>
  <c r="S162" i="126" s="1"/>
  <c r="F162" i="126" s="1"/>
  <c r="S163" i="126" s="1"/>
  <c r="F163" i="126" s="1"/>
  <c r="S164" i="126" s="1"/>
  <c r="F164" i="126" s="1"/>
  <c r="F32" i="119"/>
  <c r="F33" i="119" s="1"/>
  <c r="S34" i="119" s="1"/>
  <c r="F34" i="119" s="1"/>
  <c r="S35" i="119" s="1"/>
  <c r="F35" i="119" s="1"/>
  <c r="S36" i="119" s="1"/>
  <c r="F36" i="119" s="1"/>
  <c r="S37" i="119" s="1"/>
  <c r="F37" i="119" s="1"/>
  <c r="F10" i="136"/>
  <c r="F11" i="136" s="1"/>
  <c r="F12" i="136" s="1"/>
  <c r="F13" i="136" s="1"/>
  <c r="F14" i="136" s="1"/>
  <c r="F15" i="136" s="1"/>
  <c r="F16" i="136" s="1"/>
  <c r="R19" i="134" s="1"/>
  <c r="S13" i="134"/>
  <c r="F17" i="110"/>
  <c r="S18" i="110" s="1"/>
  <c r="F18" i="110" s="1"/>
  <c r="S19" i="110" s="1"/>
  <c r="F19" i="110" s="1"/>
  <c r="S20" i="110" s="1"/>
  <c r="F20" i="110" s="1"/>
  <c r="S21" i="110" s="1"/>
  <c r="F21" i="110" s="1"/>
  <c r="S22" i="110" s="1"/>
  <c r="F22" i="110" s="1"/>
  <c r="Q21" i="133"/>
  <c r="S21" i="133" s="1"/>
  <c r="S20" i="133"/>
  <c r="F150" i="120"/>
  <c r="F151" i="120" s="1"/>
  <c r="F152" i="120" s="1"/>
  <c r="F153" i="120" s="1"/>
  <c r="F154" i="120" s="1"/>
  <c r="F155" i="120" s="1"/>
  <c r="F156" i="120" s="1"/>
  <c r="S146" i="119"/>
  <c r="F146" i="119" s="1"/>
  <c r="S147" i="119" s="1"/>
  <c r="F147" i="119" s="1"/>
  <c r="Q23" i="133"/>
  <c r="Q19" i="133"/>
  <c r="S19" i="133" s="1"/>
  <c r="S18" i="133"/>
  <c r="F145" i="128"/>
  <c r="F146" i="128" s="1"/>
  <c r="F147" i="128" s="1"/>
  <c r="F167" i="128"/>
  <c r="F168" i="128" s="1"/>
  <c r="F169" i="128" s="1"/>
  <c r="F170" i="128" s="1"/>
  <c r="F171" i="128" s="1"/>
  <c r="F172" i="128" s="1"/>
  <c r="F173" i="128" s="1"/>
  <c r="F39" i="126"/>
  <c r="S40" i="126" s="1"/>
  <c r="F40" i="126" s="1"/>
  <c r="S41" i="126" s="1"/>
  <c r="F41" i="126" s="1"/>
  <c r="F146" i="111"/>
  <c r="F147" i="111" s="1"/>
  <c r="F148" i="111" s="1"/>
  <c r="F149" i="111" s="1"/>
  <c r="R99" i="110" s="1"/>
  <c r="S97" i="110"/>
  <c r="F97" i="110" s="1"/>
  <c r="S98" i="110" s="1"/>
  <c r="F98" i="110" s="1"/>
  <c r="H119" i="128"/>
  <c r="E119" i="128" s="1"/>
  <c r="F119" i="128" s="1"/>
  <c r="F120" i="128" s="1"/>
  <c r="R165" i="126" s="1"/>
  <c r="H167" i="136"/>
  <c r="E167" i="136" s="1"/>
  <c r="F167" i="136" s="1"/>
  <c r="F168" i="136" s="1"/>
  <c r="V380" i="113"/>
  <c r="I380" i="113" s="1"/>
  <c r="V381" i="113" s="1"/>
  <c r="I381" i="113" s="1"/>
  <c r="F452" i="115"/>
  <c r="F453" i="115" s="1"/>
  <c r="F454" i="115" s="1"/>
  <c r="F455" i="115" s="1"/>
  <c r="F456" i="115" s="1"/>
  <c r="F457" i="115" s="1"/>
  <c r="U382" i="113" s="1"/>
  <c r="U332" i="123"/>
  <c r="F384" i="124"/>
  <c r="F385" i="124" s="1"/>
  <c r="F386" i="124" s="1"/>
  <c r="F387" i="124" s="1"/>
  <c r="F388" i="124" s="1"/>
  <c r="F389" i="124" s="1"/>
  <c r="F390" i="124" s="1"/>
  <c r="T342" i="123" s="1"/>
  <c r="F351" i="115"/>
  <c r="F352" i="115" s="1"/>
  <c r="F353" i="115" s="1"/>
  <c r="F354" i="115" s="1"/>
  <c r="F355" i="115" s="1"/>
  <c r="F356" i="115" s="1"/>
  <c r="F357" i="115" s="1"/>
  <c r="F358" i="115" s="1"/>
  <c r="F359" i="115" s="1"/>
  <c r="U316" i="113" s="1"/>
  <c r="V314" i="113"/>
  <c r="H70" i="123"/>
  <c r="U71" i="123" s="1"/>
  <c r="F544" i="124"/>
  <c r="F545" i="124" s="1"/>
  <c r="F546" i="124" s="1"/>
  <c r="F547" i="124" s="1"/>
  <c r="F548" i="124" s="1"/>
  <c r="F549" i="124" s="1"/>
  <c r="F550" i="124" s="1"/>
  <c r="U451" i="123"/>
  <c r="G36" i="117"/>
  <c r="H226" i="123"/>
  <c r="U227" i="123" s="1"/>
  <c r="H227" i="123" s="1"/>
  <c r="U228" i="123" s="1"/>
  <c r="H228" i="123" s="1"/>
  <c r="F265" i="115"/>
  <c r="F266" i="115" s="1"/>
  <c r="F267" i="115" s="1"/>
  <c r="F268" i="115" s="1"/>
  <c r="F269" i="115" s="1"/>
  <c r="F270" i="115" s="1"/>
  <c r="F271" i="115" s="1"/>
  <c r="F272" i="115" s="1"/>
  <c r="F273" i="115" s="1"/>
  <c r="U248" i="113" s="1"/>
  <c r="V246" i="113"/>
  <c r="I246" i="113" s="1"/>
  <c r="V247" i="113" s="1"/>
  <c r="I247" i="113" s="1"/>
  <c r="I158" i="113"/>
  <c r="V159" i="113" s="1"/>
  <c r="I159" i="113" s="1"/>
  <c r="I62" i="113"/>
  <c r="V63" i="113" s="1"/>
  <c r="I63" i="113" s="1"/>
  <c r="G38" i="117"/>
  <c r="G39" i="117" s="1"/>
  <c r="G50" i="117"/>
  <c r="G51" i="117" s="1"/>
  <c r="G48" i="117"/>
  <c r="F665" i="124"/>
  <c r="F666" i="124" s="1"/>
  <c r="F667" i="124" s="1"/>
  <c r="F668" i="124" s="1"/>
  <c r="F669" i="124" s="1"/>
  <c r="F670" i="124" s="1"/>
  <c r="F671" i="124" s="1"/>
  <c r="U527" i="123"/>
  <c r="G402" i="139"/>
  <c r="T403" i="139" s="1"/>
  <c r="G521" i="139"/>
  <c r="T522" i="139" s="1"/>
  <c r="G522" i="139" s="1"/>
  <c r="T523" i="139" s="1"/>
  <c r="G523" i="139" s="1"/>
  <c r="T524" i="139" s="1"/>
  <c r="G524" i="139" s="1"/>
  <c r="F128" i="140"/>
  <c r="F129" i="140" s="1"/>
  <c r="F130" i="140" s="1"/>
  <c r="F131" i="140" s="1"/>
  <c r="F132" i="140" s="1"/>
  <c r="F133" i="140"/>
  <c r="F134" i="140" s="1"/>
  <c r="F135" i="140" s="1"/>
  <c r="F136" i="140" s="1"/>
  <c r="F137" i="140" s="1"/>
  <c r="T140" i="139"/>
  <c r="G140" i="139" s="1"/>
  <c r="T141" i="139" s="1"/>
  <c r="G141" i="139" s="1"/>
  <c r="G197" i="139"/>
  <c r="T198" i="139" s="1"/>
  <c r="G198" i="139" s="1"/>
  <c r="T199" i="139" s="1"/>
  <c r="G199" i="139" s="1"/>
  <c r="T200" i="139" s="1"/>
  <c r="G200" i="139" s="1"/>
  <c r="T201" i="139" s="1"/>
  <c r="G201" i="139" s="1"/>
  <c r="G369" i="139"/>
  <c r="T370" i="139" s="1"/>
  <c r="G370" i="139" s="1"/>
  <c r="T371" i="139" s="1"/>
  <c r="G371" i="139" s="1"/>
  <c r="T372" i="139" s="1"/>
  <c r="U345" i="139" s="1"/>
  <c r="G66" i="139"/>
  <c r="G471" i="139"/>
  <c r="G294" i="139"/>
  <c r="T295" i="139" s="1"/>
  <c r="T604" i="131"/>
  <c r="G604" i="131" s="1"/>
  <c r="T605" i="131" s="1"/>
  <c r="G605" i="131" s="1"/>
  <c r="T606" i="131" s="1"/>
  <c r="G606" i="131" s="1"/>
  <c r="T607" i="131" s="1"/>
  <c r="G607" i="131" s="1"/>
  <c r="T608" i="131" s="1"/>
  <c r="G608" i="131" s="1"/>
  <c r="F491" i="132" s="1"/>
  <c r="F492" i="132" s="1"/>
  <c r="F493" i="132" s="1"/>
  <c r="F494" i="132" s="1"/>
  <c r="F495" i="132" s="1"/>
  <c r="F496" i="132" s="1"/>
  <c r="F497" i="132" s="1"/>
  <c r="F498" i="132" s="1"/>
  <c r="F499" i="132" s="1"/>
  <c r="F500" i="132" s="1"/>
  <c r="F501" i="132" s="1"/>
  <c r="S609" i="131" s="1"/>
  <c r="T609" i="131" s="1"/>
  <c r="G609" i="131" s="1"/>
  <c r="T610" i="131" s="1"/>
  <c r="G610" i="131" s="1"/>
  <c r="T611" i="131" s="1"/>
  <c r="G611" i="131" s="1"/>
  <c r="T612" i="131" s="1"/>
  <c r="G612" i="131" s="1"/>
  <c r="T613" i="131" s="1"/>
  <c r="G613" i="131" s="1"/>
  <c r="G294" i="131"/>
  <c r="T295" i="131" s="1"/>
  <c r="G150" i="131"/>
  <c r="T151" i="131" s="1"/>
  <c r="G151" i="131" s="1"/>
  <c r="T152" i="131" s="1"/>
  <c r="G152" i="131" s="1"/>
  <c r="T153" i="131" s="1"/>
  <c r="G153" i="131" s="1"/>
  <c r="T154" i="131" s="1"/>
  <c r="G154" i="131" s="1"/>
  <c r="T155" i="131" s="1"/>
  <c r="G155" i="131" s="1"/>
  <c r="T156" i="131" s="1"/>
  <c r="G156" i="131" s="1"/>
  <c r="T157" i="131" s="1"/>
  <c r="G157" i="131" s="1"/>
  <c r="T158" i="131" s="1"/>
  <c r="G158" i="131" s="1"/>
  <c r="F328" i="132"/>
  <c r="F329" i="132" s="1"/>
  <c r="F330" i="132" s="1"/>
  <c r="F331" i="132" s="1"/>
  <c r="F332" i="132" s="1"/>
  <c r="F333" i="132" s="1"/>
  <c r="F334" i="132" s="1"/>
  <c r="F335" i="132" s="1"/>
  <c r="F336" i="132" s="1"/>
  <c r="F337" i="132" s="1"/>
  <c r="F338" i="132" s="1"/>
  <c r="S463" i="131" s="1"/>
  <c r="T458" i="131"/>
  <c r="G458" i="131" s="1"/>
  <c r="T459" i="131" s="1"/>
  <c r="G459" i="131" s="1"/>
  <c r="T460" i="131" s="1"/>
  <c r="G460" i="131" s="1"/>
  <c r="T461" i="131" s="1"/>
  <c r="G461" i="131" s="1"/>
  <c r="T462" i="131" s="1"/>
  <c r="G462" i="131" s="1"/>
  <c r="G519" i="131"/>
  <c r="T520" i="131" s="1"/>
  <c r="G520" i="131" s="1"/>
  <c r="T521" i="131" s="1"/>
  <c r="G521" i="131" s="1"/>
  <c r="T522" i="131" s="1"/>
  <c r="G522" i="131" s="1"/>
  <c r="T523" i="131" s="1"/>
  <c r="G523" i="131" s="1"/>
  <c r="T524" i="131" s="1"/>
  <c r="G524" i="131" s="1"/>
  <c r="T525" i="131" s="1"/>
  <c r="G525" i="131" s="1"/>
  <c r="T526" i="131" s="1"/>
  <c r="G526" i="131" s="1"/>
  <c r="G63" i="131"/>
  <c r="T64" i="131" s="1"/>
  <c r="G64" i="131" s="1"/>
  <c r="T65" i="131" s="1"/>
  <c r="G65" i="131" s="1"/>
  <c r="T66" i="131" s="1"/>
  <c r="G66" i="131" s="1"/>
  <c r="T67" i="131" s="1"/>
  <c r="G67" i="131" s="1"/>
  <c r="S134" i="134" l="1"/>
  <c r="F134" i="134" s="1"/>
  <c r="S135" i="134" s="1"/>
  <c r="F135" i="134" s="1"/>
  <c r="S136" i="134" s="1"/>
  <c r="F136" i="134" s="1"/>
  <c r="F215" i="136" s="1"/>
  <c r="F216" i="136" s="1"/>
  <c r="F217" i="136" s="1"/>
  <c r="F218" i="136" s="1"/>
  <c r="F219" i="136" s="1"/>
  <c r="F220" i="136" s="1"/>
  <c r="F221" i="136" s="1"/>
  <c r="F222" i="136" s="1"/>
  <c r="F223" i="136" s="1"/>
  <c r="R150" i="134" s="1"/>
  <c r="S38" i="119"/>
  <c r="F38" i="119" s="1"/>
  <c r="S40" i="119"/>
  <c r="S42" i="126"/>
  <c r="F42" i="126" s="1"/>
  <c r="S43" i="126" s="1"/>
  <c r="F43" i="126" s="1"/>
  <c r="S44" i="126" s="1"/>
  <c r="F38" i="128"/>
  <c r="F39" i="128" s="1"/>
  <c r="F40" i="128" s="1"/>
  <c r="F41" i="128" s="1"/>
  <c r="F42" i="128" s="1"/>
  <c r="F43" i="128" s="1"/>
  <c r="F44" i="128" s="1"/>
  <c r="F45" i="128" s="1"/>
  <c r="F46" i="128" s="1"/>
  <c r="F47" i="128" s="1"/>
  <c r="R50" i="126" s="1"/>
  <c r="S148" i="119"/>
  <c r="F148" i="119" s="1"/>
  <c r="S149" i="119" s="1"/>
  <c r="F149" i="119" s="1"/>
  <c r="S150" i="119" s="1"/>
  <c r="F150" i="119" s="1"/>
  <c r="F189" i="120"/>
  <c r="F190" i="120" s="1"/>
  <c r="F191" i="120" s="1"/>
  <c r="F192" i="120" s="1"/>
  <c r="F193" i="120" s="1"/>
  <c r="F194" i="120" s="1"/>
  <c r="F195" i="120" s="1"/>
  <c r="R153" i="119" s="1"/>
  <c r="F33" i="111"/>
  <c r="F34" i="111" s="1"/>
  <c r="F35" i="111" s="1"/>
  <c r="F36" i="111" s="1"/>
  <c r="F37" i="111" s="1"/>
  <c r="F38" i="111" s="1"/>
  <c r="F39" i="111" s="1"/>
  <c r="F40" i="111" s="1"/>
  <c r="R38" i="110" s="1"/>
  <c r="S23" i="110"/>
  <c r="Q25" i="133"/>
  <c r="Q26" i="133" s="1"/>
  <c r="Q27" i="133" s="1"/>
  <c r="Q24" i="133"/>
  <c r="F150" i="111"/>
  <c r="F151" i="111" s="1"/>
  <c r="F152" i="111" s="1"/>
  <c r="F153" i="111" s="1"/>
  <c r="F154" i="111" s="1"/>
  <c r="F155" i="111" s="1"/>
  <c r="F156" i="111" s="1"/>
  <c r="F157" i="111" s="1"/>
  <c r="S99" i="110"/>
  <c r="F99" i="110" s="1"/>
  <c r="S100" i="110" s="1"/>
  <c r="F100" i="110" s="1"/>
  <c r="H164" i="136"/>
  <c r="E164" i="136" s="1"/>
  <c r="F164" i="136" s="1"/>
  <c r="F165" i="136" s="1"/>
  <c r="H116" i="128"/>
  <c r="E116" i="128" s="1"/>
  <c r="F116" i="128" s="1"/>
  <c r="F117" i="128" s="1"/>
  <c r="R168" i="126" s="1"/>
  <c r="F148" i="128"/>
  <c r="F150" i="128" s="1"/>
  <c r="F152" i="128" s="1"/>
  <c r="F153" i="128" s="1"/>
  <c r="R183" i="126" s="1"/>
  <c r="F149" i="128"/>
  <c r="F151" i="128" s="1"/>
  <c r="S165" i="126"/>
  <c r="F165" i="126" s="1"/>
  <c r="S166" i="126" s="1"/>
  <c r="F166" i="126" s="1"/>
  <c r="S167" i="126" s="1"/>
  <c r="F167" i="126" s="1"/>
  <c r="F13" i="134"/>
  <c r="S14" i="134" s="1"/>
  <c r="F14" i="134" s="1"/>
  <c r="S15" i="134" s="1"/>
  <c r="F15" i="134" s="1"/>
  <c r="V382" i="113"/>
  <c r="I382" i="113" s="1"/>
  <c r="V383" i="113" s="1"/>
  <c r="I383" i="113" s="1"/>
  <c r="H243" i="132"/>
  <c r="E243" i="132" s="1"/>
  <c r="F243" i="132" s="1"/>
  <c r="F244" i="132" s="1"/>
  <c r="S380" i="131" s="1"/>
  <c r="T380" i="131" s="1"/>
  <c r="F458" i="115"/>
  <c r="F459" i="115" s="1"/>
  <c r="F460" i="115" s="1"/>
  <c r="F461" i="115" s="1"/>
  <c r="U384" i="113" s="1"/>
  <c r="F278" i="124"/>
  <c r="F279" i="124" s="1"/>
  <c r="F280" i="124" s="1"/>
  <c r="F281" i="124" s="1"/>
  <c r="F282" i="124" s="1"/>
  <c r="F283" i="124" s="1"/>
  <c r="F284" i="124" s="1"/>
  <c r="F285" i="124" s="1"/>
  <c r="T235" i="123" s="1"/>
  <c r="F239" i="124"/>
  <c r="F240" i="124" s="1"/>
  <c r="F241" i="124" s="1"/>
  <c r="F242" i="124" s="1"/>
  <c r="F243" i="124" s="1"/>
  <c r="T229" i="123" s="1"/>
  <c r="U229" i="123" s="1"/>
  <c r="H229" i="123" s="1"/>
  <c r="U230" i="123" s="1"/>
  <c r="H230" i="123" s="1"/>
  <c r="U231" i="123" s="1"/>
  <c r="H231" i="123" s="1"/>
  <c r="U232" i="123" s="1"/>
  <c r="H232" i="123" s="1"/>
  <c r="H71" i="123"/>
  <c r="U72" i="123" s="1"/>
  <c r="H72" i="123" s="1"/>
  <c r="U73" i="123" s="1"/>
  <c r="H73" i="123" s="1"/>
  <c r="U74" i="123" s="1"/>
  <c r="H74" i="123" s="1"/>
  <c r="U75" i="123" s="1"/>
  <c r="H75" i="123" s="1"/>
  <c r="U76" i="123" s="1"/>
  <c r="H76" i="123" s="1"/>
  <c r="U77" i="123" s="1"/>
  <c r="H77" i="123" s="1"/>
  <c r="U78" i="123" s="1"/>
  <c r="H78" i="123" s="1"/>
  <c r="U79" i="123" s="1"/>
  <c r="H79" i="123" s="1"/>
  <c r="F147" i="115"/>
  <c r="F148" i="115" s="1"/>
  <c r="F149" i="115" s="1"/>
  <c r="F150" i="115" s="1"/>
  <c r="F151" i="115" s="1"/>
  <c r="V160" i="113"/>
  <c r="I160" i="113" s="1"/>
  <c r="V161" i="113" s="1"/>
  <c r="I161" i="113" s="1"/>
  <c r="V162" i="113" s="1"/>
  <c r="I162" i="113" s="1"/>
  <c r="V163" i="113" s="1"/>
  <c r="I163" i="113" s="1"/>
  <c r="I314" i="113"/>
  <c r="V315" i="113" s="1"/>
  <c r="I315" i="113" s="1"/>
  <c r="F115" i="115"/>
  <c r="V64" i="113"/>
  <c r="I64" i="113" s="1"/>
  <c r="V65" i="113" s="1"/>
  <c r="I65" i="113" s="1"/>
  <c r="V66" i="113" s="1"/>
  <c r="I66" i="113" s="1"/>
  <c r="V67" i="113" s="1"/>
  <c r="I67" i="113" s="1"/>
  <c r="H527" i="123"/>
  <c r="U528" i="123" s="1"/>
  <c r="H528" i="123" s="1"/>
  <c r="U529" i="123" s="1"/>
  <c r="H529" i="123" s="1"/>
  <c r="T532" i="123"/>
  <c r="T456" i="123"/>
  <c r="F274" i="115"/>
  <c r="F275" i="115" s="1"/>
  <c r="F276" i="115" s="1"/>
  <c r="F277" i="115" s="1"/>
  <c r="U250" i="113" s="1"/>
  <c r="V248" i="113"/>
  <c r="I248" i="113" s="1"/>
  <c r="V249" i="113" s="1"/>
  <c r="I249" i="113" s="1"/>
  <c r="H451" i="123"/>
  <c r="U452" i="123" s="1"/>
  <c r="H452" i="123" s="1"/>
  <c r="U453" i="123" s="1"/>
  <c r="H453" i="123" s="1"/>
  <c r="H332" i="123"/>
  <c r="U333" i="123" s="1"/>
  <c r="H333" i="123" s="1"/>
  <c r="U334" i="123" s="1"/>
  <c r="H334" i="123" s="1"/>
  <c r="U335" i="123" s="1"/>
  <c r="H335" i="123" s="1"/>
  <c r="U336" i="123" s="1"/>
  <c r="H336" i="123" s="1"/>
  <c r="U337" i="123" s="1"/>
  <c r="H337" i="123" s="1"/>
  <c r="U338" i="123" s="1"/>
  <c r="H338" i="123" s="1"/>
  <c r="U339" i="123" s="1"/>
  <c r="H339" i="123" s="1"/>
  <c r="U340" i="123" s="1"/>
  <c r="H340" i="123" s="1"/>
  <c r="U341" i="123" s="1"/>
  <c r="H341" i="123" s="1"/>
  <c r="F26" i="140"/>
  <c r="F27" i="140" s="1"/>
  <c r="F28" i="140" s="1"/>
  <c r="F29" i="140" s="1"/>
  <c r="F30" i="140" s="1"/>
  <c r="T67" i="139"/>
  <c r="G67" i="139" s="1"/>
  <c r="T68" i="139" s="1"/>
  <c r="G68" i="139" s="1"/>
  <c r="T69" i="139" s="1"/>
  <c r="G69" i="139" s="1"/>
  <c r="F580" i="140"/>
  <c r="F581" i="140" s="1"/>
  <c r="F582" i="140" s="1"/>
  <c r="F583" i="140" s="1"/>
  <c r="F584" i="140" s="1"/>
  <c r="F585" i="140" s="1"/>
  <c r="F586" i="140" s="1"/>
  <c r="S528" i="139" s="1"/>
  <c r="T525" i="139"/>
  <c r="G525" i="139" s="1"/>
  <c r="T526" i="139" s="1"/>
  <c r="G526" i="139" s="1"/>
  <c r="T527" i="139" s="1"/>
  <c r="G527" i="139" s="1"/>
  <c r="G295" i="139"/>
  <c r="G372" i="139"/>
  <c r="G373" i="139" s="1"/>
  <c r="G374" i="139" s="1"/>
  <c r="T345" i="139"/>
  <c r="S345" i="139"/>
  <c r="X345" i="139"/>
  <c r="W345" i="139"/>
  <c r="V345" i="139"/>
  <c r="G403" i="139"/>
  <c r="T404" i="139" s="1"/>
  <c r="G404" i="139" s="1"/>
  <c r="T405" i="139" s="1"/>
  <c r="G405" i="139" s="1"/>
  <c r="T406" i="139" s="1"/>
  <c r="G406" i="139" s="1"/>
  <c r="T407" i="139" s="1"/>
  <c r="G407" i="139" s="1"/>
  <c r="T408" i="139" s="1"/>
  <c r="G408" i="139" s="1"/>
  <c r="T472" i="139"/>
  <c r="F520" i="140"/>
  <c r="F521" i="140" s="1"/>
  <c r="F522" i="140" s="1"/>
  <c r="F523" i="140" s="1"/>
  <c r="F524" i="140" s="1"/>
  <c r="F525" i="140" s="1"/>
  <c r="F526" i="140" s="1"/>
  <c r="S475" i="139" s="1"/>
  <c r="F224" i="140"/>
  <c r="F225" i="140" s="1"/>
  <c r="F226" i="140" s="1"/>
  <c r="F227" i="140" s="1"/>
  <c r="F228" i="140" s="1"/>
  <c r="S208" i="139" s="1"/>
  <c r="T202" i="139"/>
  <c r="F502" i="132"/>
  <c r="F503" i="132" s="1"/>
  <c r="F504" i="132" s="1"/>
  <c r="F505" i="132" s="1"/>
  <c r="F506" i="132" s="1"/>
  <c r="F507" i="132" s="1"/>
  <c r="F508" i="132" s="1"/>
  <c r="F509" i="132" s="1"/>
  <c r="F510" i="132" s="1"/>
  <c r="S614" i="131" s="1"/>
  <c r="T614" i="131" s="1"/>
  <c r="G614" i="131" s="1"/>
  <c r="T615" i="131" s="1"/>
  <c r="G615" i="131" s="1"/>
  <c r="T616" i="131" s="1"/>
  <c r="G616" i="131" s="1"/>
  <c r="T617" i="131" s="1"/>
  <c r="G617" i="131" s="1"/>
  <c r="T618" i="131" s="1"/>
  <c r="G618" i="131" s="1"/>
  <c r="F426" i="132"/>
  <c r="F427" i="132" s="1"/>
  <c r="F428" i="132" s="1"/>
  <c r="F429" i="132" s="1"/>
  <c r="F430" i="132" s="1"/>
  <c r="F431" i="132" s="1"/>
  <c r="F432" i="132" s="1"/>
  <c r="F433" i="132" s="1"/>
  <c r="F434" i="132" s="1"/>
  <c r="G295" i="131"/>
  <c r="T296" i="131" s="1"/>
  <c r="F511" i="132"/>
  <c r="F512" i="132" s="1"/>
  <c r="F513" i="132" s="1"/>
  <c r="F514" i="132" s="1"/>
  <c r="F515" i="132" s="1"/>
  <c r="F516" i="132" s="1"/>
  <c r="F517" i="132" s="1"/>
  <c r="F518" i="132" s="1"/>
  <c r="F519" i="132" s="1"/>
  <c r="F520" i="132" s="1"/>
  <c r="F521" i="132" s="1"/>
  <c r="F522" i="132" s="1"/>
  <c r="F523" i="132" s="1"/>
  <c r="S619" i="131" s="1"/>
  <c r="F90" i="132"/>
  <c r="F91" i="132" s="1"/>
  <c r="F92" i="132" s="1"/>
  <c r="F93" i="132" s="1"/>
  <c r="F94" i="132" s="1"/>
  <c r="F95" i="132" s="1"/>
  <c r="F96" i="132" s="1"/>
  <c r="S168" i="131" s="1"/>
  <c r="T159" i="131"/>
  <c r="G159" i="131" s="1"/>
  <c r="T160" i="131" s="1"/>
  <c r="G160" i="131" s="1"/>
  <c r="T161" i="131" s="1"/>
  <c r="G161" i="131" s="1"/>
  <c r="T162" i="131" s="1"/>
  <c r="G162" i="131" s="1"/>
  <c r="T163" i="131" s="1"/>
  <c r="G163" i="131" s="1"/>
  <c r="T164" i="131" s="1"/>
  <c r="G164" i="131" s="1"/>
  <c r="T165" i="131" s="1"/>
  <c r="G165" i="131" s="1"/>
  <c r="T166" i="131" s="1"/>
  <c r="G166" i="131" s="1"/>
  <c r="T167" i="131" s="1"/>
  <c r="G167" i="131" s="1"/>
  <c r="F14" i="132"/>
  <c r="F15" i="132" s="1"/>
  <c r="F16" i="132" s="1"/>
  <c r="F17" i="132" s="1"/>
  <c r="F18" i="132" s="1"/>
  <c r="F19" i="132" s="1"/>
  <c r="F20" i="132" s="1"/>
  <c r="S77" i="131" s="1"/>
  <c r="T68" i="131"/>
  <c r="G68" i="131" s="1"/>
  <c r="T69" i="131" s="1"/>
  <c r="G69" i="131" s="1"/>
  <c r="T70" i="131" s="1"/>
  <c r="G70" i="131" s="1"/>
  <c r="T71" i="131" s="1"/>
  <c r="G71" i="131" s="1"/>
  <c r="T72" i="131" s="1"/>
  <c r="G72" i="131" s="1"/>
  <c r="T73" i="131" s="1"/>
  <c r="G73" i="131" s="1"/>
  <c r="T74" i="131" s="1"/>
  <c r="G74" i="131" s="1"/>
  <c r="T75" i="131" s="1"/>
  <c r="G75" i="131" s="1"/>
  <c r="T76" i="131" s="1"/>
  <c r="G76" i="131" s="1"/>
  <c r="F339" i="132"/>
  <c r="F340" i="132" s="1"/>
  <c r="F341" i="132" s="1"/>
  <c r="F342" i="132" s="1"/>
  <c r="F343" i="132" s="1"/>
  <c r="F344" i="132" s="1"/>
  <c r="F345" i="132" s="1"/>
  <c r="F346" i="132" s="1"/>
  <c r="F347" i="132" s="1"/>
  <c r="F348" i="132" s="1"/>
  <c r="F349" i="132" s="1"/>
  <c r="S468" i="131" s="1"/>
  <c r="T463" i="131"/>
  <c r="G463" i="131" s="1"/>
  <c r="T464" i="131" s="1"/>
  <c r="G464" i="131" s="1"/>
  <c r="T465" i="131" s="1"/>
  <c r="G465" i="131" s="1"/>
  <c r="T466" i="131" s="1"/>
  <c r="G466" i="131" s="1"/>
  <c r="T467" i="131" s="1"/>
  <c r="G467" i="131" s="1"/>
  <c r="F404" i="132"/>
  <c r="F405" i="132" s="1"/>
  <c r="F406" i="132" s="1"/>
  <c r="F407" i="132" s="1"/>
  <c r="F408" i="132" s="1"/>
  <c r="F409" i="132" s="1"/>
  <c r="F410" i="132" s="1"/>
  <c r="F411" i="132" s="1"/>
  <c r="F412" i="132" s="1"/>
  <c r="F413" i="132" s="1"/>
  <c r="F414" i="132" s="1"/>
  <c r="S542" i="131" s="1"/>
  <c r="T527" i="131"/>
  <c r="S137" i="134" l="1"/>
  <c r="F137" i="134" s="1"/>
  <c r="S138" i="134" s="1"/>
  <c r="F138" i="134" s="1"/>
  <c r="S139" i="134" s="1"/>
  <c r="F139" i="134" s="1"/>
  <c r="S140" i="134" s="1"/>
  <c r="F140" i="134" s="1"/>
  <c r="S141" i="134" s="1"/>
  <c r="F141" i="134" s="1"/>
  <c r="S142" i="134" s="1"/>
  <c r="F142" i="134" s="1"/>
  <c r="S143" i="134" s="1"/>
  <c r="F143" i="134" s="1"/>
  <c r="S144" i="134" s="1"/>
  <c r="F144" i="134" s="1"/>
  <c r="S145" i="134" s="1"/>
  <c r="F145" i="134" s="1"/>
  <c r="S146" i="134" s="1"/>
  <c r="F146" i="134" s="1"/>
  <c r="S147" i="134" s="1"/>
  <c r="F147" i="134" s="1"/>
  <c r="S148" i="134" s="1"/>
  <c r="F148" i="134" s="1"/>
  <c r="S149" i="134" s="1"/>
  <c r="F149" i="134" s="1"/>
  <c r="F224" i="136" s="1"/>
  <c r="F225" i="136" s="1"/>
  <c r="F226" i="136" s="1"/>
  <c r="F227" i="136" s="1"/>
  <c r="F228" i="136" s="1"/>
  <c r="F229" i="136" s="1"/>
  <c r="F230" i="136" s="1"/>
  <c r="F231" i="136" s="1"/>
  <c r="F232" i="136" s="1"/>
  <c r="R153" i="134" s="1"/>
  <c r="F17" i="136"/>
  <c r="F18" i="136" s="1"/>
  <c r="F19" i="136" s="1"/>
  <c r="F20" i="136" s="1"/>
  <c r="F21" i="136" s="1"/>
  <c r="F22" i="136" s="1"/>
  <c r="F23" i="136" s="1"/>
  <c r="R25" i="134" s="1"/>
  <c r="S16" i="134"/>
  <c r="F16" i="134" s="1"/>
  <c r="S17" i="134" s="1"/>
  <c r="F17" i="134" s="1"/>
  <c r="S18" i="134" s="1"/>
  <c r="F18" i="134" s="1"/>
  <c r="S19" i="134" s="1"/>
  <c r="F19" i="134" s="1"/>
  <c r="S20" i="134" s="1"/>
  <c r="F20" i="134" s="1"/>
  <c r="S21" i="134" s="1"/>
  <c r="F21" i="134" s="1"/>
  <c r="S22" i="134" s="1"/>
  <c r="F22" i="134" s="1"/>
  <c r="S23" i="134" s="1"/>
  <c r="F23" i="134" s="1"/>
  <c r="S24" i="134" s="1"/>
  <c r="F24" i="134" s="1"/>
  <c r="F196" i="120"/>
  <c r="F197" i="120" s="1"/>
  <c r="F198" i="120" s="1"/>
  <c r="F199" i="120" s="1"/>
  <c r="F200" i="120" s="1"/>
  <c r="F201" i="120" s="1"/>
  <c r="F202" i="120" s="1"/>
  <c r="R156" i="119" s="1"/>
  <c r="S151" i="119"/>
  <c r="F151" i="119" s="1"/>
  <c r="S152" i="119" s="1"/>
  <c r="F152" i="119" s="1"/>
  <c r="S153" i="119" s="1"/>
  <c r="F153" i="119" s="1"/>
  <c r="S154" i="119" s="1"/>
  <c r="F154" i="119" s="1"/>
  <c r="S155" i="119" s="1"/>
  <c r="F155" i="119" s="1"/>
  <c r="S101" i="110"/>
  <c r="F101" i="110" s="1"/>
  <c r="S102" i="110" s="1"/>
  <c r="F102" i="110" s="1"/>
  <c r="F158" i="111"/>
  <c r="F159" i="111" s="1"/>
  <c r="F160" i="111" s="1"/>
  <c r="F161" i="111" s="1"/>
  <c r="F162" i="111" s="1"/>
  <c r="F163" i="111" s="1"/>
  <c r="R104" i="110" s="1"/>
  <c r="H161" i="136"/>
  <c r="E161" i="136" s="1"/>
  <c r="F161" i="136" s="1"/>
  <c r="F162" i="136" s="1"/>
  <c r="H113" i="128"/>
  <c r="E113" i="128" s="1"/>
  <c r="F113" i="128" s="1"/>
  <c r="F114" i="128" s="1"/>
  <c r="R177" i="126" s="1"/>
  <c r="F23" i="110"/>
  <c r="S24" i="110" s="1"/>
  <c r="F24" i="110" s="1"/>
  <c r="S25" i="110" s="1"/>
  <c r="F25" i="110" s="1"/>
  <c r="S26" i="110" s="1"/>
  <c r="F26" i="110" s="1"/>
  <c r="S27" i="110" s="1"/>
  <c r="F27" i="110" s="1"/>
  <c r="S28" i="110" s="1"/>
  <c r="F28" i="110" s="1"/>
  <c r="S29" i="110" s="1"/>
  <c r="F29" i="110" s="1"/>
  <c r="S30" i="110" s="1"/>
  <c r="F30" i="110" s="1"/>
  <c r="S31" i="110" s="1"/>
  <c r="F31" i="110" s="1"/>
  <c r="S32" i="110" s="1"/>
  <c r="F32" i="110" s="1"/>
  <c r="S33" i="110" s="1"/>
  <c r="F33" i="110" s="1"/>
  <c r="S34" i="110" s="1"/>
  <c r="F34" i="110" s="1"/>
  <c r="S35" i="110" s="1"/>
  <c r="F35" i="110" s="1"/>
  <c r="S168" i="126"/>
  <c r="F168" i="126" s="1"/>
  <c r="S169" i="126" s="1"/>
  <c r="F169" i="126" s="1"/>
  <c r="S170" i="126" s="1"/>
  <c r="F170" i="126" s="1"/>
  <c r="S171" i="126" s="1"/>
  <c r="F171" i="126" s="1"/>
  <c r="S172" i="126" s="1"/>
  <c r="F172" i="126" s="1"/>
  <c r="S173" i="126" s="1"/>
  <c r="F173" i="126" s="1"/>
  <c r="S174" i="126" s="1"/>
  <c r="F174" i="126" s="1"/>
  <c r="S175" i="126" s="1"/>
  <c r="F175" i="126" s="1"/>
  <c r="S176" i="126" s="1"/>
  <c r="F176" i="126" s="1"/>
  <c r="F44" i="126"/>
  <c r="S45" i="126" s="1"/>
  <c r="F45" i="126" s="1"/>
  <c r="S46" i="126" s="1"/>
  <c r="F46" i="126" s="1"/>
  <c r="S47" i="126" s="1"/>
  <c r="S41" i="119"/>
  <c r="F13" i="120"/>
  <c r="F14" i="120" s="1"/>
  <c r="F15" i="120" s="1"/>
  <c r="F16" i="120" s="1"/>
  <c r="F17" i="120" s="1"/>
  <c r="F18" i="120" s="1"/>
  <c r="F19" i="120" s="1"/>
  <c r="F20" i="120" s="1"/>
  <c r="F21" i="120" s="1"/>
  <c r="F22" i="120" s="1"/>
  <c r="F23" i="120" s="1"/>
  <c r="R48" i="119" s="1"/>
  <c r="S39" i="119"/>
  <c r="F39" i="119" s="1"/>
  <c r="F40" i="119" s="1"/>
  <c r="V364" i="131"/>
  <c r="G380" i="131"/>
  <c r="G381" i="131" s="1"/>
  <c r="G382" i="131" s="1"/>
  <c r="S364" i="131"/>
  <c r="U364" i="131"/>
  <c r="T364" i="131"/>
  <c r="W364" i="131"/>
  <c r="X364" i="131"/>
  <c r="V384" i="113"/>
  <c r="I384" i="113" s="1"/>
  <c r="V385" i="113" s="1"/>
  <c r="I385" i="113" s="1"/>
  <c r="F462" i="115"/>
  <c r="F463" i="115" s="1"/>
  <c r="F464" i="115" s="1"/>
  <c r="F465" i="115" s="1"/>
  <c r="U386" i="113" s="1"/>
  <c r="F244" i="124"/>
  <c r="F245" i="124" s="1"/>
  <c r="F246" i="124" s="1"/>
  <c r="F247" i="124" s="1"/>
  <c r="F248" i="124" s="1"/>
  <c r="F249" i="124" s="1"/>
  <c r="F250" i="124" s="1"/>
  <c r="T238" i="123" s="1"/>
  <c r="U233" i="123"/>
  <c r="H233" i="123" s="1"/>
  <c r="U234" i="123" s="1"/>
  <c r="H234" i="123" s="1"/>
  <c r="U235" i="123" s="1"/>
  <c r="H235" i="123" s="1"/>
  <c r="F672" i="124"/>
  <c r="F673" i="124" s="1"/>
  <c r="F674" i="124" s="1"/>
  <c r="F675" i="124" s="1"/>
  <c r="F676" i="124" s="1"/>
  <c r="F677" i="124" s="1"/>
  <c r="F678" i="124" s="1"/>
  <c r="U530" i="123"/>
  <c r="V68" i="113"/>
  <c r="I68" i="113" s="1"/>
  <c r="V69" i="113" s="1"/>
  <c r="I69" i="113" s="1"/>
  <c r="F28" i="115"/>
  <c r="F29" i="115" s="1"/>
  <c r="F30" i="115" s="1"/>
  <c r="F31" i="115" s="1"/>
  <c r="F32" i="115" s="1"/>
  <c r="U80" i="123"/>
  <c r="H80" i="123" s="1"/>
  <c r="U81" i="123" s="1"/>
  <c r="H81" i="123" s="1"/>
  <c r="U82" i="123" s="1"/>
  <c r="H82" i="123" s="1"/>
  <c r="U83" i="123" s="1"/>
  <c r="H83" i="123" s="1"/>
  <c r="U84" i="123" s="1"/>
  <c r="H84" i="123" s="1"/>
  <c r="U85" i="123" s="1"/>
  <c r="H85" i="123" s="1"/>
  <c r="U86" i="123" s="1"/>
  <c r="H86" i="123" s="1"/>
  <c r="U87" i="123" s="1"/>
  <c r="H87" i="123" s="1"/>
  <c r="U88" i="123" s="1"/>
  <c r="H88" i="123" s="1"/>
  <c r="U89" i="123" s="1"/>
  <c r="H89" i="123" s="1"/>
  <c r="F58" i="124"/>
  <c r="F59" i="124" s="1"/>
  <c r="F60" i="124" s="1"/>
  <c r="F61" i="124" s="1"/>
  <c r="F62" i="124" s="1"/>
  <c r="F63" i="124" s="1"/>
  <c r="F64" i="124" s="1"/>
  <c r="T90" i="123" s="1"/>
  <c r="V250" i="113"/>
  <c r="I250" i="113" s="1"/>
  <c r="V251" i="113" s="1"/>
  <c r="I251" i="113" s="1"/>
  <c r="F278" i="115"/>
  <c r="F279" i="115" s="1"/>
  <c r="F280" i="115" s="1"/>
  <c r="F281" i="115" s="1"/>
  <c r="U252" i="113" s="1"/>
  <c r="F391" i="124"/>
  <c r="F392" i="124" s="1"/>
  <c r="F393" i="124" s="1"/>
  <c r="F394" i="124" s="1"/>
  <c r="F395" i="124" s="1"/>
  <c r="F396" i="124" s="1"/>
  <c r="F397" i="124" s="1"/>
  <c r="F398" i="124" s="1"/>
  <c r="F399" i="124" s="1"/>
  <c r="F400" i="124" s="1"/>
  <c r="F401" i="124" s="1"/>
  <c r="T348" i="123" s="1"/>
  <c r="U342" i="123"/>
  <c r="H342" i="123" s="1"/>
  <c r="U343" i="123" s="1"/>
  <c r="H343" i="123" s="1"/>
  <c r="U344" i="123" s="1"/>
  <c r="H344" i="123" s="1"/>
  <c r="F152" i="115"/>
  <c r="F153" i="115" s="1"/>
  <c r="F154" i="115" s="1"/>
  <c r="F155" i="115" s="1"/>
  <c r="F156" i="115" s="1"/>
  <c r="F157" i="115" s="1"/>
  <c r="U166" i="113" s="1"/>
  <c r="V164" i="113"/>
  <c r="I164" i="113" s="1"/>
  <c r="V165" i="113" s="1"/>
  <c r="I165" i="113" s="1"/>
  <c r="V316" i="113"/>
  <c r="I316" i="113" s="1"/>
  <c r="V317" i="113" s="1"/>
  <c r="I317" i="113" s="1"/>
  <c r="F360" i="115"/>
  <c r="F361" i="115" s="1"/>
  <c r="F362" i="115" s="1"/>
  <c r="F363" i="115" s="1"/>
  <c r="U318" i="113" s="1"/>
  <c r="F551" i="124"/>
  <c r="F552" i="124" s="1"/>
  <c r="F553" i="124" s="1"/>
  <c r="F554" i="124" s="1"/>
  <c r="F555" i="124" s="1"/>
  <c r="F556" i="124" s="1"/>
  <c r="F557" i="124" s="1"/>
  <c r="U454" i="123"/>
  <c r="H454" i="123" s="1"/>
  <c r="U455" i="123" s="1"/>
  <c r="H455" i="123" s="1"/>
  <c r="U456" i="123" s="1"/>
  <c r="H456" i="123" s="1"/>
  <c r="F31" i="140"/>
  <c r="F32" i="140" s="1"/>
  <c r="F33" i="140" s="1"/>
  <c r="F34" i="140" s="1"/>
  <c r="F35" i="140" s="1"/>
  <c r="S145" i="139" s="1"/>
  <c r="T70" i="139"/>
  <c r="G70" i="139" s="1"/>
  <c r="T71" i="139" s="1"/>
  <c r="G71" i="139" s="1"/>
  <c r="G472" i="139"/>
  <c r="T473" i="139" s="1"/>
  <c r="G473" i="139" s="1"/>
  <c r="T474" i="139" s="1"/>
  <c r="G474" i="139" s="1"/>
  <c r="S72" i="139"/>
  <c r="S142" i="139"/>
  <c r="T142" i="139" s="1"/>
  <c r="G142" i="139" s="1"/>
  <c r="T143" i="139" s="1"/>
  <c r="G143" i="139" s="1"/>
  <c r="T144" i="139" s="1"/>
  <c r="G144" i="139" s="1"/>
  <c r="F297" i="140"/>
  <c r="F298" i="140" s="1"/>
  <c r="F299" i="140" s="1"/>
  <c r="F300" i="140" s="1"/>
  <c r="F301" i="140" s="1"/>
  <c r="S301" i="139" s="1"/>
  <c r="T296" i="139"/>
  <c r="T528" i="139"/>
  <c r="G528" i="139" s="1"/>
  <c r="T529" i="139" s="1"/>
  <c r="G529" i="139" s="1"/>
  <c r="T530" i="139" s="1"/>
  <c r="G530" i="139" s="1"/>
  <c r="F587" i="140"/>
  <c r="F588" i="140" s="1"/>
  <c r="F589" i="140" s="1"/>
  <c r="F590" i="140" s="1"/>
  <c r="F591" i="140" s="1"/>
  <c r="F592" i="140" s="1"/>
  <c r="F593" i="140" s="1"/>
  <c r="S531" i="139" s="1"/>
  <c r="G202" i="139"/>
  <c r="S346" i="139"/>
  <c r="W346" i="139"/>
  <c r="X346" i="139"/>
  <c r="U346" i="139"/>
  <c r="V346" i="139"/>
  <c r="T346" i="139"/>
  <c r="F440" i="140"/>
  <c r="F441" i="140" s="1"/>
  <c r="F442" i="140" s="1"/>
  <c r="F443" i="140" s="1"/>
  <c r="F444" i="140" s="1"/>
  <c r="S413" i="139" s="1"/>
  <c r="T409" i="139"/>
  <c r="G409" i="139" s="1"/>
  <c r="T410" i="139" s="1"/>
  <c r="G410" i="139" s="1"/>
  <c r="T411" i="139" s="1"/>
  <c r="G411" i="139" s="1"/>
  <c r="T412" i="139" s="1"/>
  <c r="G412" i="139" s="1"/>
  <c r="G296" i="131"/>
  <c r="T297" i="131" s="1"/>
  <c r="F21" i="132"/>
  <c r="F22" i="132" s="1"/>
  <c r="F23" i="132" s="1"/>
  <c r="F24" i="132" s="1"/>
  <c r="F25" i="132" s="1"/>
  <c r="F26" i="132" s="1"/>
  <c r="F27" i="132" s="1"/>
  <c r="S86" i="131" s="1"/>
  <c r="T77" i="131"/>
  <c r="G77" i="131" s="1"/>
  <c r="T78" i="131" s="1"/>
  <c r="G78" i="131" s="1"/>
  <c r="T79" i="131" s="1"/>
  <c r="G79" i="131" s="1"/>
  <c r="T80" i="131" s="1"/>
  <c r="G80" i="131" s="1"/>
  <c r="T81" i="131" s="1"/>
  <c r="G81" i="131" s="1"/>
  <c r="T82" i="131" s="1"/>
  <c r="G82" i="131" s="1"/>
  <c r="T83" i="131" s="1"/>
  <c r="G83" i="131" s="1"/>
  <c r="T84" i="131" s="1"/>
  <c r="G84" i="131" s="1"/>
  <c r="T85" i="131" s="1"/>
  <c r="G85" i="131" s="1"/>
  <c r="F97" i="132"/>
  <c r="F98" i="132" s="1"/>
  <c r="F99" i="132" s="1"/>
  <c r="F100" i="132" s="1"/>
  <c r="F101" i="132" s="1"/>
  <c r="F102" i="132" s="1"/>
  <c r="F103" i="132" s="1"/>
  <c r="T168" i="131"/>
  <c r="G168" i="131" s="1"/>
  <c r="T169" i="131" s="1"/>
  <c r="G169" i="131" s="1"/>
  <c r="G527" i="131"/>
  <c r="T528" i="131" s="1"/>
  <c r="G528" i="131" s="1"/>
  <c r="T529" i="131" s="1"/>
  <c r="G529" i="131" s="1"/>
  <c r="T530" i="131" s="1"/>
  <c r="G530" i="131" s="1"/>
  <c r="T531" i="131" s="1"/>
  <c r="G531" i="131" s="1"/>
  <c r="T619" i="131"/>
  <c r="G619" i="131" s="1"/>
  <c r="T620" i="131" s="1"/>
  <c r="G620" i="131" s="1"/>
  <c r="T621" i="131" s="1"/>
  <c r="G621" i="131" s="1"/>
  <c r="T622" i="131" s="1"/>
  <c r="T468" i="131"/>
  <c r="G468" i="131" s="1"/>
  <c r="T469" i="131" s="1"/>
  <c r="G469" i="131" s="1"/>
  <c r="T470" i="131" s="1"/>
  <c r="G470" i="131" s="1"/>
  <c r="T471" i="131" s="1"/>
  <c r="G471" i="131" s="1"/>
  <c r="T472" i="131" s="1"/>
  <c r="G472" i="131" s="1"/>
  <c r="F350" i="132"/>
  <c r="F351" i="132" s="1"/>
  <c r="F352" i="132" s="1"/>
  <c r="F353" i="132" s="1"/>
  <c r="F354" i="132" s="1"/>
  <c r="F355" i="132" s="1"/>
  <c r="F356" i="132" s="1"/>
  <c r="F357" i="132" s="1"/>
  <c r="F358" i="132" s="1"/>
  <c r="S473" i="131" s="1"/>
  <c r="S150" i="134" l="1"/>
  <c r="F150" i="134" s="1"/>
  <c r="S25" i="134"/>
  <c r="F25" i="134" s="1"/>
  <c r="S26" i="134" s="1"/>
  <c r="F26" i="134" s="1"/>
  <c r="S27" i="134" s="1"/>
  <c r="F27" i="134" s="1"/>
  <c r="S28" i="134" s="1"/>
  <c r="F28" i="134" s="1"/>
  <c r="S29" i="134" s="1"/>
  <c r="F29" i="134" s="1"/>
  <c r="S30" i="134" s="1"/>
  <c r="F30" i="134" s="1"/>
  <c r="S31" i="134" s="1"/>
  <c r="F31" i="134" s="1"/>
  <c r="S32" i="134" s="1"/>
  <c r="F32" i="134" s="1"/>
  <c r="S33" i="134" s="1"/>
  <c r="F33" i="134" s="1"/>
  <c r="F47" i="126"/>
  <c r="S48" i="126" s="1"/>
  <c r="F48" i="126" s="1"/>
  <c r="S49" i="126" s="1"/>
  <c r="F49" i="126" s="1"/>
  <c r="F164" i="111"/>
  <c r="F165" i="111" s="1"/>
  <c r="F166" i="111" s="1"/>
  <c r="F167" i="111" s="1"/>
  <c r="S103" i="110"/>
  <c r="F103" i="110" s="1"/>
  <c r="S104" i="110" s="1"/>
  <c r="F104" i="110" s="1"/>
  <c r="S105" i="110" s="1"/>
  <c r="F105" i="110" s="1"/>
  <c r="S106" i="110" s="1"/>
  <c r="F106" i="110" s="1"/>
  <c r="S107" i="110" s="1"/>
  <c r="F107" i="110" s="1"/>
  <c r="S108" i="110" s="1"/>
  <c r="F108" i="110" s="1"/>
  <c r="S156" i="119"/>
  <c r="F156" i="119" s="1"/>
  <c r="S157" i="119" s="1"/>
  <c r="F157" i="119" s="1"/>
  <c r="S158" i="119" s="1"/>
  <c r="F158" i="119" s="1"/>
  <c r="S159" i="119" s="1"/>
  <c r="F159" i="119" s="1"/>
  <c r="S160" i="119" s="1"/>
  <c r="F160" i="119" s="1"/>
  <c r="S161" i="119" s="1"/>
  <c r="F161" i="119" s="1"/>
  <c r="S162" i="119" s="1"/>
  <c r="F162" i="119" s="1"/>
  <c r="S163" i="119" s="1"/>
  <c r="F163" i="119" s="1"/>
  <c r="S42" i="119"/>
  <c r="S43" i="119"/>
  <c r="S177" i="126"/>
  <c r="F177" i="126" s="1"/>
  <c r="S178" i="126" s="1"/>
  <c r="F178" i="126" s="1"/>
  <c r="S179" i="126" s="1"/>
  <c r="F179" i="126" s="1"/>
  <c r="S180" i="126" s="1"/>
  <c r="F180" i="126" s="1"/>
  <c r="S181" i="126" s="1"/>
  <c r="F181" i="126" s="1"/>
  <c r="S182" i="126" s="1"/>
  <c r="F182" i="126" s="1"/>
  <c r="F41" i="119"/>
  <c r="F41" i="111"/>
  <c r="F42" i="111" s="1"/>
  <c r="F43" i="111" s="1"/>
  <c r="F44" i="111" s="1"/>
  <c r="F45" i="111" s="1"/>
  <c r="F46" i="111" s="1"/>
  <c r="F47" i="111" s="1"/>
  <c r="F48" i="111" s="1"/>
  <c r="R45" i="110" s="1"/>
  <c r="S36" i="110"/>
  <c r="F36" i="110" s="1"/>
  <c r="S37" i="110" s="1"/>
  <c r="F37" i="110" s="1"/>
  <c r="S38" i="110" s="1"/>
  <c r="F38" i="110" s="1"/>
  <c r="S39" i="110" s="1"/>
  <c r="F39" i="110" s="1"/>
  <c r="V386" i="113"/>
  <c r="I386" i="113" s="1"/>
  <c r="V387" i="113" s="1"/>
  <c r="I387" i="113" s="1"/>
  <c r="F466" i="115"/>
  <c r="F467" i="115" s="1"/>
  <c r="F468" i="115" s="1"/>
  <c r="F469" i="115" s="1"/>
  <c r="U388" i="113" s="1"/>
  <c r="T365" i="131"/>
  <c r="X365" i="131"/>
  <c r="S365" i="131"/>
  <c r="W365" i="131"/>
  <c r="V365" i="131"/>
  <c r="U365" i="131"/>
  <c r="F558" i="124"/>
  <c r="F559" i="124" s="1"/>
  <c r="F560" i="124" s="1"/>
  <c r="F561" i="124" s="1"/>
  <c r="F562" i="124" s="1"/>
  <c r="F563" i="124" s="1"/>
  <c r="F564" i="124" s="1"/>
  <c r="U457" i="123"/>
  <c r="H457" i="123" s="1"/>
  <c r="U458" i="123" s="1"/>
  <c r="H458" i="123" s="1"/>
  <c r="F402" i="124"/>
  <c r="F403" i="124" s="1"/>
  <c r="F404" i="124" s="1"/>
  <c r="F405" i="124" s="1"/>
  <c r="F406" i="124" s="1"/>
  <c r="T345" i="123" s="1"/>
  <c r="U345" i="123" s="1"/>
  <c r="H345" i="123" s="1"/>
  <c r="U346" i="123" s="1"/>
  <c r="H346" i="123" s="1"/>
  <c r="U347" i="123" s="1"/>
  <c r="H347" i="123" s="1"/>
  <c r="U348" i="123" s="1"/>
  <c r="H348" i="123" s="1"/>
  <c r="T535" i="123"/>
  <c r="T459" i="123"/>
  <c r="H530" i="123"/>
  <c r="U531" i="123" s="1"/>
  <c r="H531" i="123" s="1"/>
  <c r="U532" i="123" s="1"/>
  <c r="H532" i="123" s="1"/>
  <c r="F121" i="115"/>
  <c r="V70" i="113"/>
  <c r="I70" i="113" s="1"/>
  <c r="V71" i="113" s="1"/>
  <c r="I71" i="113" s="1"/>
  <c r="V318" i="113"/>
  <c r="I318" i="113" s="1"/>
  <c r="V319" i="113" s="1"/>
  <c r="I319" i="113" s="1"/>
  <c r="F364" i="115"/>
  <c r="F365" i="115" s="1"/>
  <c r="F366" i="115" s="1"/>
  <c r="F367" i="115" s="1"/>
  <c r="U320" i="113" s="1"/>
  <c r="F282" i="115"/>
  <c r="F283" i="115" s="1"/>
  <c r="F284" i="115" s="1"/>
  <c r="F285" i="115" s="1"/>
  <c r="U254" i="113" s="1"/>
  <c r="V252" i="113"/>
  <c r="I252" i="113" s="1"/>
  <c r="V253" i="113" s="1"/>
  <c r="I253" i="113" s="1"/>
  <c r="F251" i="124"/>
  <c r="F252" i="124" s="1"/>
  <c r="F253" i="124" s="1"/>
  <c r="F254" i="124" s="1"/>
  <c r="F255" i="124" s="1"/>
  <c r="F256" i="124" s="1"/>
  <c r="F257" i="124" s="1"/>
  <c r="T241" i="123" s="1"/>
  <c r="U236" i="123"/>
  <c r="H236" i="123" s="1"/>
  <c r="U237" i="123" s="1"/>
  <c r="H237" i="123" s="1"/>
  <c r="U238" i="123" s="1"/>
  <c r="H238" i="123" s="1"/>
  <c r="F65" i="124"/>
  <c r="F66" i="124" s="1"/>
  <c r="F67" i="124" s="1"/>
  <c r="F68" i="124" s="1"/>
  <c r="F69" i="124" s="1"/>
  <c r="F70" i="124" s="1"/>
  <c r="F71" i="124" s="1"/>
  <c r="F72" i="124" s="1"/>
  <c r="F73" i="124" s="1"/>
  <c r="F74" i="124" s="1"/>
  <c r="F75" i="124" s="1"/>
  <c r="T96" i="123" s="1"/>
  <c r="U90" i="123"/>
  <c r="H90" i="123" s="1"/>
  <c r="U91" i="123" s="1"/>
  <c r="H91" i="123" s="1"/>
  <c r="U92" i="123" s="1"/>
  <c r="H92" i="123" s="1"/>
  <c r="U93" i="123" s="1"/>
  <c r="H93" i="123" s="1"/>
  <c r="U94" i="123" s="1"/>
  <c r="H94" i="123" s="1"/>
  <c r="U95" i="123" s="1"/>
  <c r="H95" i="123" s="1"/>
  <c r="F158" i="115"/>
  <c r="F159" i="115" s="1"/>
  <c r="F160" i="115" s="1"/>
  <c r="F161" i="115" s="1"/>
  <c r="F162" i="115" s="1"/>
  <c r="F163" i="115" s="1"/>
  <c r="F164" i="115" s="1"/>
  <c r="F165" i="115" s="1"/>
  <c r="F166" i="115" s="1"/>
  <c r="U168" i="113" s="1"/>
  <c r="V166" i="113"/>
  <c r="I166" i="113" s="1"/>
  <c r="V167" i="113" s="1"/>
  <c r="I167" i="113" s="1"/>
  <c r="F145" i="140"/>
  <c r="F146" i="140" s="1"/>
  <c r="F147" i="140" s="1"/>
  <c r="F148" i="140" s="1"/>
  <c r="F149" i="140" s="1"/>
  <c r="T145" i="139"/>
  <c r="G145" i="139" s="1"/>
  <c r="F217" i="140"/>
  <c r="F218" i="140" s="1"/>
  <c r="F219" i="140" s="1"/>
  <c r="F220" i="140" s="1"/>
  <c r="F221" i="140" s="1"/>
  <c r="F222" i="140" s="1"/>
  <c r="F223" i="140" s="1"/>
  <c r="S205" i="139" s="1"/>
  <c r="T203" i="139"/>
  <c r="F527" i="140"/>
  <c r="F528" i="140" s="1"/>
  <c r="F529" i="140" s="1"/>
  <c r="F530" i="140" s="1"/>
  <c r="F531" i="140" s="1"/>
  <c r="F532" i="140" s="1"/>
  <c r="F533" i="140" s="1"/>
  <c r="S478" i="139" s="1"/>
  <c r="T475" i="139"/>
  <c r="G475" i="139" s="1"/>
  <c r="T476" i="139" s="1"/>
  <c r="G476" i="139" s="1"/>
  <c r="T477" i="139" s="1"/>
  <c r="G477" i="139" s="1"/>
  <c r="F594" i="140"/>
  <c r="F595" i="140" s="1"/>
  <c r="F596" i="140" s="1"/>
  <c r="F597" i="140" s="1"/>
  <c r="F598" i="140" s="1"/>
  <c r="S534" i="139" s="1"/>
  <c r="T531" i="139"/>
  <c r="G531" i="139" s="1"/>
  <c r="T532" i="139" s="1"/>
  <c r="G532" i="139" s="1"/>
  <c r="T533" i="139" s="1"/>
  <c r="G533" i="139" s="1"/>
  <c r="G296" i="139"/>
  <c r="T297" i="139" s="1"/>
  <c r="G297" i="139" s="1"/>
  <c r="T298" i="139" s="1"/>
  <c r="G298" i="139" s="1"/>
  <c r="T299" i="139" s="1"/>
  <c r="G299" i="139" s="1"/>
  <c r="T300" i="139" s="1"/>
  <c r="G300" i="139" s="1"/>
  <c r="T301" i="139" s="1"/>
  <c r="G301" i="139" s="1"/>
  <c r="T302" i="139" s="1"/>
  <c r="S268" i="139" s="1"/>
  <c r="F445" i="140"/>
  <c r="F446" i="140" s="1"/>
  <c r="F447" i="140" s="1"/>
  <c r="F448" i="140" s="1"/>
  <c r="F449" i="140" s="1"/>
  <c r="F450" i="140" s="1"/>
  <c r="F451" i="140" s="1"/>
  <c r="S416" i="139" s="1"/>
  <c r="T413" i="139"/>
  <c r="G413" i="139" s="1"/>
  <c r="T414" i="139" s="1"/>
  <c r="G414" i="139" s="1"/>
  <c r="T415" i="139" s="1"/>
  <c r="G415" i="139" s="1"/>
  <c r="T72" i="139"/>
  <c r="G72" i="139" s="1"/>
  <c r="T73" i="139" s="1"/>
  <c r="G73" i="139" s="1"/>
  <c r="T74" i="139" s="1"/>
  <c r="G74" i="139" s="1"/>
  <c r="T473" i="131"/>
  <c r="G473" i="131" s="1"/>
  <c r="T474" i="131" s="1"/>
  <c r="G474" i="131" s="1"/>
  <c r="T475" i="131" s="1"/>
  <c r="G475" i="131" s="1"/>
  <c r="T476" i="131" s="1"/>
  <c r="G476" i="131" s="1"/>
  <c r="T477" i="131" s="1"/>
  <c r="G477" i="131" s="1"/>
  <c r="F359" i="132" s="1"/>
  <c r="F360" i="132" s="1"/>
  <c r="F361" i="132" s="1"/>
  <c r="F362" i="132" s="1"/>
  <c r="F363" i="132" s="1"/>
  <c r="F364" i="132" s="1"/>
  <c r="F365" i="132" s="1"/>
  <c r="F366" i="132" s="1"/>
  <c r="F367" i="132" s="1"/>
  <c r="F368" i="132" s="1"/>
  <c r="F369" i="132" s="1"/>
  <c r="F370" i="132" s="1"/>
  <c r="F371" i="132" s="1"/>
  <c r="G297" i="131"/>
  <c r="T298" i="131" s="1"/>
  <c r="G622" i="131"/>
  <c r="T623" i="131" s="1"/>
  <c r="T532" i="131"/>
  <c r="G532" i="131" s="1"/>
  <c r="T533" i="131" s="1"/>
  <c r="G533" i="131" s="1"/>
  <c r="T534" i="131" s="1"/>
  <c r="G534" i="131" s="1"/>
  <c r="T535" i="131" s="1"/>
  <c r="G535" i="131" s="1"/>
  <c r="T536" i="131" s="1"/>
  <c r="G536" i="131" s="1"/>
  <c r="T537" i="131" s="1"/>
  <c r="G537" i="131" s="1"/>
  <c r="T538" i="131" s="1"/>
  <c r="G538" i="131" s="1"/>
  <c r="T539" i="131" s="1"/>
  <c r="G539" i="131" s="1"/>
  <c r="T540" i="131" s="1"/>
  <c r="G540" i="131" s="1"/>
  <c r="T541" i="131" s="1"/>
  <c r="G541" i="131" s="1"/>
  <c r="T542" i="131"/>
  <c r="S185" i="131"/>
  <c r="S175" i="131"/>
  <c r="F28" i="132"/>
  <c r="F29" i="132" s="1"/>
  <c r="F30" i="132" s="1"/>
  <c r="F31" i="132" s="1"/>
  <c r="F32" i="132" s="1"/>
  <c r="F33" i="132" s="1"/>
  <c r="F34" i="132" s="1"/>
  <c r="S93" i="131" s="1"/>
  <c r="T86" i="131"/>
  <c r="G86" i="131" s="1"/>
  <c r="T87" i="131" s="1"/>
  <c r="G87" i="131" s="1"/>
  <c r="F42" i="119" l="1"/>
  <c r="F43" i="119" s="1"/>
  <c r="S44" i="119" s="1"/>
  <c r="F44" i="119" s="1"/>
  <c r="S45" i="119" s="1"/>
  <c r="F45" i="119" s="1"/>
  <c r="S46" i="119" s="1"/>
  <c r="F46" i="119" s="1"/>
  <c r="S47" i="119" s="1"/>
  <c r="F47" i="119" s="1"/>
  <c r="S50" i="119" s="1"/>
  <c r="F24" i="136"/>
  <c r="F25" i="136" s="1"/>
  <c r="F26" i="136" s="1"/>
  <c r="F27" i="136" s="1"/>
  <c r="F28" i="136" s="1"/>
  <c r="F29" i="136" s="1"/>
  <c r="F30" i="136" s="1"/>
  <c r="R34" i="134" s="1"/>
  <c r="S34" i="134" s="1"/>
  <c r="F34" i="134" s="1"/>
  <c r="S35" i="134" s="1"/>
  <c r="F35" i="134" s="1"/>
  <c r="S36" i="134" s="1"/>
  <c r="F36" i="134" s="1"/>
  <c r="S37" i="134" s="1"/>
  <c r="F31" i="136"/>
  <c r="F32" i="136" s="1"/>
  <c r="F33" i="136" s="1"/>
  <c r="F34" i="136" s="1"/>
  <c r="F35" i="136" s="1"/>
  <c r="F36" i="136" s="1"/>
  <c r="F37" i="136" s="1"/>
  <c r="R39" i="134" s="1"/>
  <c r="F38" i="136"/>
  <c r="F39" i="136" s="1"/>
  <c r="F40" i="136" s="1"/>
  <c r="F41" i="136" s="1"/>
  <c r="F42" i="136" s="1"/>
  <c r="F43" i="136" s="1"/>
  <c r="F44" i="136" s="1"/>
  <c r="R42" i="134" s="1"/>
  <c r="F154" i="128"/>
  <c r="F155" i="128" s="1"/>
  <c r="F156" i="128" s="1"/>
  <c r="F157" i="128" s="1"/>
  <c r="F158" i="128" s="1"/>
  <c r="F159" i="128" s="1"/>
  <c r="R188" i="126" s="1"/>
  <c r="S183" i="126"/>
  <c r="F183" i="126" s="1"/>
  <c r="S184" i="126" s="1"/>
  <c r="F184" i="126" s="1"/>
  <c r="S185" i="126" s="1"/>
  <c r="F185" i="126" s="1"/>
  <c r="S186" i="126" s="1"/>
  <c r="F186" i="126" s="1"/>
  <c r="S187" i="126" s="1"/>
  <c r="F187" i="126" s="1"/>
  <c r="S151" i="134"/>
  <c r="F215" i="120"/>
  <c r="F216" i="120" s="1"/>
  <c r="F217" i="120" s="1"/>
  <c r="F218" i="120" s="1"/>
  <c r="F219" i="120" s="1"/>
  <c r="F220" i="120" s="1"/>
  <c r="F221" i="120" s="1"/>
  <c r="R172" i="119" s="1"/>
  <c r="S164" i="119"/>
  <c r="F164" i="119" s="1"/>
  <c r="S165" i="119" s="1"/>
  <c r="F165" i="119" s="1"/>
  <c r="S166" i="119" s="1"/>
  <c r="F166" i="119" s="1"/>
  <c r="S167" i="119" s="1"/>
  <c r="F167" i="119" s="1"/>
  <c r="S168" i="119" s="1"/>
  <c r="F168" i="119" s="1"/>
  <c r="S169" i="119" s="1"/>
  <c r="F169" i="119" s="1"/>
  <c r="S170" i="119" s="1"/>
  <c r="F170" i="119" s="1"/>
  <c r="S171" i="119" s="1"/>
  <c r="F171" i="119" s="1"/>
  <c r="F168" i="111"/>
  <c r="F169" i="111" s="1"/>
  <c r="F170" i="111" s="1"/>
  <c r="F171" i="111" s="1"/>
  <c r="S109" i="110"/>
  <c r="F109" i="110" s="1"/>
  <c r="S110" i="110" s="1"/>
  <c r="F110" i="110" s="1"/>
  <c r="S111" i="110" s="1"/>
  <c r="F111" i="110" s="1"/>
  <c r="S112" i="110" s="1"/>
  <c r="F112" i="110" s="1"/>
  <c r="S113" i="110" s="1"/>
  <c r="F113" i="110" s="1"/>
  <c r="S114" i="110" s="1"/>
  <c r="F114" i="110" s="1"/>
  <c r="F49" i="111"/>
  <c r="F50" i="111" s="1"/>
  <c r="F51" i="111" s="1"/>
  <c r="F52" i="111" s="1"/>
  <c r="F53" i="111" s="1"/>
  <c r="F54" i="111" s="1"/>
  <c r="F55" i="111" s="1"/>
  <c r="F56" i="111" s="1"/>
  <c r="R47" i="110" s="1"/>
  <c r="S40" i="110"/>
  <c r="F40" i="110" s="1"/>
  <c r="S41" i="110" s="1"/>
  <c r="F41" i="110" s="1"/>
  <c r="S42" i="110" s="1"/>
  <c r="F42" i="110" s="1"/>
  <c r="S43" i="110" s="1"/>
  <c r="F43" i="110" s="1"/>
  <c r="S44" i="110" s="1"/>
  <c r="F44" i="110" s="1"/>
  <c r="S45" i="110" s="1"/>
  <c r="F45" i="110" s="1"/>
  <c r="S46" i="110" s="1"/>
  <c r="F46" i="110" s="1"/>
  <c r="F48" i="128"/>
  <c r="F49" i="128" s="1"/>
  <c r="F50" i="128" s="1"/>
  <c r="F51" i="128" s="1"/>
  <c r="F52" i="128" s="1"/>
  <c r="F53" i="128" s="1"/>
  <c r="F54" i="128" s="1"/>
  <c r="F55" i="128" s="1"/>
  <c r="F56" i="128" s="1"/>
  <c r="F57" i="128" s="1"/>
  <c r="S50" i="126"/>
  <c r="F50" i="126" s="1"/>
  <c r="S51" i="126" s="1"/>
  <c r="F51" i="126" s="1"/>
  <c r="S52" i="126" s="1"/>
  <c r="V388" i="113"/>
  <c r="I388" i="113" s="1"/>
  <c r="V389" i="113" s="1"/>
  <c r="I389" i="113" s="1"/>
  <c r="F470" i="115"/>
  <c r="F471" i="115" s="1"/>
  <c r="F472" i="115" s="1"/>
  <c r="F473" i="115" s="1"/>
  <c r="F474" i="115" s="1"/>
  <c r="F475" i="115" s="1"/>
  <c r="F476" i="115" s="1"/>
  <c r="F477" i="115" s="1"/>
  <c r="U390" i="113" s="1"/>
  <c r="U96" i="123"/>
  <c r="H96" i="123" s="1"/>
  <c r="F84" i="124" s="1"/>
  <c r="F85" i="124" s="1"/>
  <c r="F86" i="124" s="1"/>
  <c r="F87" i="124" s="1"/>
  <c r="F88" i="124" s="1"/>
  <c r="F89" i="124" s="1"/>
  <c r="F90" i="124" s="1"/>
  <c r="T102" i="123" s="1"/>
  <c r="F407" i="124"/>
  <c r="F408" i="124" s="1"/>
  <c r="F409" i="124" s="1"/>
  <c r="F410" i="124" s="1"/>
  <c r="F411" i="124" s="1"/>
  <c r="F412" i="124" s="1"/>
  <c r="F413" i="124" s="1"/>
  <c r="T354" i="123" s="1"/>
  <c r="U349" i="123"/>
  <c r="H349" i="123" s="1"/>
  <c r="U350" i="123" s="1"/>
  <c r="H350" i="123" s="1"/>
  <c r="U351" i="123" s="1"/>
  <c r="H351" i="123" s="1"/>
  <c r="F286" i="115"/>
  <c r="F287" i="115" s="1"/>
  <c r="F288" i="115" s="1"/>
  <c r="F289" i="115" s="1"/>
  <c r="U256" i="113" s="1"/>
  <c r="V254" i="113"/>
  <c r="I254" i="113" s="1"/>
  <c r="V255" i="113" s="1"/>
  <c r="I255" i="113" s="1"/>
  <c r="V320" i="113"/>
  <c r="I320" i="113" s="1"/>
  <c r="V321" i="113" s="1"/>
  <c r="I321" i="113" s="1"/>
  <c r="F368" i="115"/>
  <c r="F369" i="115" s="1"/>
  <c r="F370" i="115" s="1"/>
  <c r="F371" i="115" s="1"/>
  <c r="U322" i="113" s="1"/>
  <c r="F33" i="115"/>
  <c r="F34" i="115" s="1"/>
  <c r="F35" i="115" s="1"/>
  <c r="F36" i="115" s="1"/>
  <c r="F37" i="115" s="1"/>
  <c r="F38" i="115" s="1"/>
  <c r="U74" i="113" s="1"/>
  <c r="V72" i="113"/>
  <c r="I72" i="113" s="1"/>
  <c r="V73" i="113" s="1"/>
  <c r="I73" i="113" s="1"/>
  <c r="U533" i="123"/>
  <c r="H533" i="123" s="1"/>
  <c r="U534" i="123" s="1"/>
  <c r="H534" i="123" s="1"/>
  <c r="U535" i="123" s="1"/>
  <c r="H535" i="123" s="1"/>
  <c r="F679" i="124"/>
  <c r="F680" i="124" s="1"/>
  <c r="F681" i="124" s="1"/>
  <c r="F682" i="124" s="1"/>
  <c r="F683" i="124" s="1"/>
  <c r="F684" i="124" s="1"/>
  <c r="F685" i="124" s="1"/>
  <c r="F258" i="124"/>
  <c r="F259" i="124" s="1"/>
  <c r="F260" i="124" s="1"/>
  <c r="F261" i="124" s="1"/>
  <c r="F262" i="124" s="1"/>
  <c r="F263" i="124" s="1"/>
  <c r="F264" i="124" s="1"/>
  <c r="T244" i="123" s="1"/>
  <c r="U239" i="123"/>
  <c r="H239" i="123" s="1"/>
  <c r="U240" i="123" s="1"/>
  <c r="H240" i="123" s="1"/>
  <c r="U241" i="123" s="1"/>
  <c r="H241" i="123" s="1"/>
  <c r="U459" i="123"/>
  <c r="H459" i="123" s="1"/>
  <c r="V168" i="113"/>
  <c r="I168" i="113" s="1"/>
  <c r="V169" i="113" s="1"/>
  <c r="I169" i="113" s="1"/>
  <c r="F167" i="115"/>
  <c r="F168" i="115" s="1"/>
  <c r="F169" i="115" s="1"/>
  <c r="F170" i="115" s="1"/>
  <c r="U170" i="113" s="1"/>
  <c r="T462" i="123"/>
  <c r="T538" i="123"/>
  <c r="F548" i="140"/>
  <c r="F549" i="140" s="1"/>
  <c r="F550" i="140" s="1"/>
  <c r="F551" i="140" s="1"/>
  <c r="F552" i="140" s="1"/>
  <c r="F553" i="140" s="1"/>
  <c r="F554" i="140" s="1"/>
  <c r="F555" i="140" s="1"/>
  <c r="F556" i="140" s="1"/>
  <c r="S488" i="139" s="1"/>
  <c r="T478" i="139"/>
  <c r="G478" i="139" s="1"/>
  <c r="T479" i="139" s="1"/>
  <c r="G479" i="139" s="1"/>
  <c r="T480" i="139" s="1"/>
  <c r="G480" i="139" s="1"/>
  <c r="F534" i="140"/>
  <c r="F535" i="140" s="1"/>
  <c r="F536" i="140" s="1"/>
  <c r="F537" i="140" s="1"/>
  <c r="F538" i="140" s="1"/>
  <c r="S481" i="139" s="1"/>
  <c r="F50" i="140"/>
  <c r="F51" i="140" s="1"/>
  <c r="F52" i="140" s="1"/>
  <c r="F53" i="140" s="1"/>
  <c r="F54" i="140" s="1"/>
  <c r="T75" i="139"/>
  <c r="G75" i="139" s="1"/>
  <c r="F452" i="140"/>
  <c r="F453" i="140" s="1"/>
  <c r="F454" i="140" s="1"/>
  <c r="F455" i="140" s="1"/>
  <c r="F456" i="140" s="1"/>
  <c r="F457" i="140" s="1"/>
  <c r="F458" i="140" s="1"/>
  <c r="S419" i="139" s="1"/>
  <c r="T416" i="139"/>
  <c r="G416" i="139" s="1"/>
  <c r="T417" i="139" s="1"/>
  <c r="G417" i="139" s="1"/>
  <c r="T418" i="139" s="1"/>
  <c r="G418" i="139" s="1"/>
  <c r="F599" i="140"/>
  <c r="F600" i="140" s="1"/>
  <c r="F601" i="140" s="1"/>
  <c r="F602" i="140" s="1"/>
  <c r="F603" i="140" s="1"/>
  <c r="F604" i="140" s="1"/>
  <c r="F605" i="140" s="1"/>
  <c r="F606" i="140" s="1"/>
  <c r="F607" i="140" s="1"/>
  <c r="S538" i="139" s="1"/>
  <c r="T534" i="139"/>
  <c r="G534" i="139" s="1"/>
  <c r="T535" i="139" s="1"/>
  <c r="G535" i="139" s="1"/>
  <c r="T536" i="139" s="1"/>
  <c r="G536" i="139" s="1"/>
  <c r="T537" i="139" s="1"/>
  <c r="G537" i="139" s="1"/>
  <c r="G203" i="139"/>
  <c r="T204" i="139" s="1"/>
  <c r="G204" i="139" s="1"/>
  <c r="T205" i="139" s="1"/>
  <c r="G205" i="139" s="1"/>
  <c r="T206" i="139" s="1"/>
  <c r="G206" i="139" s="1"/>
  <c r="T207" i="139" s="1"/>
  <c r="G207" i="139" s="1"/>
  <c r="T208" i="139" s="1"/>
  <c r="G208" i="139" s="1"/>
  <c r="T209" i="139" s="1"/>
  <c r="G209" i="139" s="1"/>
  <c r="F138" i="140"/>
  <c r="F139" i="140" s="1"/>
  <c r="F140" i="140" s="1"/>
  <c r="F141" i="140" s="1"/>
  <c r="F142" i="140" s="1"/>
  <c r="F143" i="140" s="1"/>
  <c r="F144" i="140" s="1"/>
  <c r="T146" i="139"/>
  <c r="G146" i="139" s="1"/>
  <c r="T147" i="139" s="1"/>
  <c r="G147" i="139" s="1"/>
  <c r="G302" i="139"/>
  <c r="G303" i="139" s="1"/>
  <c r="W268" i="139"/>
  <c r="V268" i="139"/>
  <c r="T268" i="139"/>
  <c r="X268" i="139"/>
  <c r="U268" i="139"/>
  <c r="T478" i="131"/>
  <c r="G478" i="131" s="1"/>
  <c r="T479" i="131" s="1"/>
  <c r="G479" i="131" s="1"/>
  <c r="T480" i="131" s="1"/>
  <c r="G480" i="131" s="1"/>
  <c r="T481" i="131" s="1"/>
  <c r="G481" i="131" s="1"/>
  <c r="T482" i="131" s="1"/>
  <c r="G482" i="131" s="1"/>
  <c r="T483" i="131" s="1"/>
  <c r="G483" i="131" s="1"/>
  <c r="T484" i="131" s="1"/>
  <c r="G484" i="131" s="1"/>
  <c r="T485" i="131" s="1"/>
  <c r="G485" i="131" s="1"/>
  <c r="T486" i="131" s="1"/>
  <c r="G486" i="131" s="1"/>
  <c r="T487" i="131" s="1"/>
  <c r="G298" i="131"/>
  <c r="G542" i="131"/>
  <c r="T543" i="131" s="1"/>
  <c r="G543" i="131" s="1"/>
  <c r="T544" i="131" s="1"/>
  <c r="G544" i="131" s="1"/>
  <c r="T545" i="131" s="1"/>
  <c r="G545" i="131" s="1"/>
  <c r="T546" i="131" s="1"/>
  <c r="G546" i="131" s="1"/>
  <c r="G623" i="131"/>
  <c r="G624" i="131" s="1"/>
  <c r="T573" i="131"/>
  <c r="X573" i="131"/>
  <c r="S573" i="131"/>
  <c r="U573" i="131"/>
  <c r="V573" i="131"/>
  <c r="W573" i="131"/>
  <c r="S47" i="110" l="1"/>
  <c r="F47" i="110" s="1"/>
  <c r="S48" i="110" s="1"/>
  <c r="F48" i="110" s="1"/>
  <c r="S49" i="110" s="1"/>
  <c r="F49" i="110" s="1"/>
  <c r="S50" i="110" s="1"/>
  <c r="F50" i="110" s="1"/>
  <c r="S51" i="110" s="1"/>
  <c r="F51" i="110" s="1"/>
  <c r="S52" i="110" s="1"/>
  <c r="F52" i="110" s="1"/>
  <c r="S48" i="119"/>
  <c r="F48" i="119" s="1"/>
  <c r="S49" i="119" s="1"/>
  <c r="F49" i="119" s="1"/>
  <c r="S172" i="119"/>
  <c r="F172" i="119" s="1"/>
  <c r="S173" i="119" s="1"/>
  <c r="F173" i="119" s="1"/>
  <c r="S174" i="119" s="1"/>
  <c r="F174" i="119" s="1"/>
  <c r="S175" i="119" s="1"/>
  <c r="F175" i="119" s="1"/>
  <c r="S176" i="119" s="1"/>
  <c r="F176" i="119" s="1"/>
  <c r="S177" i="119" s="1"/>
  <c r="F177" i="119" s="1"/>
  <c r="S178" i="119" s="1"/>
  <c r="F178" i="119" s="1"/>
  <c r="S179" i="119" s="1"/>
  <c r="F179" i="119" s="1"/>
  <c r="S180" i="119" s="1"/>
  <c r="F180" i="119" s="1"/>
  <c r="S181" i="119" s="1"/>
  <c r="F181" i="119" s="1"/>
  <c r="F151" i="134"/>
  <c r="F37" i="134"/>
  <c r="S38" i="134" s="1"/>
  <c r="F38" i="134" s="1"/>
  <c r="S39" i="134" s="1"/>
  <c r="F39" i="134" s="1"/>
  <c r="S40" i="134" s="1"/>
  <c r="F40" i="134" s="1"/>
  <c r="S41" i="134" s="1"/>
  <c r="F41" i="134" s="1"/>
  <c r="S115" i="110"/>
  <c r="F115" i="110" s="1"/>
  <c r="S116" i="110" s="1"/>
  <c r="F116" i="110" s="1"/>
  <c r="S117" i="110" s="1"/>
  <c r="F117" i="110" s="1"/>
  <c r="S118" i="110" s="1"/>
  <c r="F118" i="110" s="1"/>
  <c r="S119" i="110" s="1"/>
  <c r="F119" i="110" s="1"/>
  <c r="S120" i="110" s="1"/>
  <c r="F120" i="110" s="1"/>
  <c r="F172" i="111"/>
  <c r="F173" i="111" s="1"/>
  <c r="F174" i="111" s="1"/>
  <c r="F175" i="111" s="1"/>
  <c r="S188" i="126"/>
  <c r="F188" i="126" s="1"/>
  <c r="S189" i="126" s="1"/>
  <c r="F189" i="126" s="1"/>
  <c r="S190" i="126" s="1"/>
  <c r="F190" i="126" s="1"/>
  <c r="S191" i="126" s="1"/>
  <c r="F191" i="126" s="1"/>
  <c r="S192" i="126" s="1"/>
  <c r="F192" i="126" s="1"/>
  <c r="F174" i="128"/>
  <c r="F175" i="128" s="1"/>
  <c r="F176" i="128" s="1"/>
  <c r="F177" i="128" s="1"/>
  <c r="F178" i="128" s="1"/>
  <c r="F179" i="128" s="1"/>
  <c r="F180" i="128" s="1"/>
  <c r="R193" i="126" s="1"/>
  <c r="F52" i="126"/>
  <c r="S53" i="126" s="1"/>
  <c r="F53" i="126" s="1"/>
  <c r="S54" i="126" s="1"/>
  <c r="F54" i="126" s="1"/>
  <c r="S55" i="126" s="1"/>
  <c r="F55" i="126" s="1"/>
  <c r="S56" i="126" s="1"/>
  <c r="F56" i="126" s="1"/>
  <c r="S57" i="126" s="1"/>
  <c r="F57" i="126" s="1"/>
  <c r="S58" i="126" s="1"/>
  <c r="F58" i="126" s="1"/>
  <c r="S59" i="126" s="1"/>
  <c r="F59" i="126" s="1"/>
  <c r="S60" i="126" s="1"/>
  <c r="U97" i="123"/>
  <c r="H97" i="123" s="1"/>
  <c r="U98" i="123" s="1"/>
  <c r="H98" i="123" s="1"/>
  <c r="U99" i="123" s="1"/>
  <c r="H99" i="123" s="1"/>
  <c r="U100" i="123" s="1"/>
  <c r="H100" i="123" s="1"/>
  <c r="U101" i="123" s="1"/>
  <c r="H101" i="123" s="1"/>
  <c r="U102" i="123" s="1"/>
  <c r="H102" i="123" s="1"/>
  <c r="V390" i="113"/>
  <c r="I390" i="113" s="1"/>
  <c r="V391" i="113" s="1"/>
  <c r="I391" i="113" s="1"/>
  <c r="F478" i="115"/>
  <c r="F479" i="115" s="1"/>
  <c r="F480" i="115" s="1"/>
  <c r="F481" i="115" s="1"/>
  <c r="F482" i="115" s="1"/>
  <c r="F483" i="115" s="1"/>
  <c r="U392" i="113" s="1"/>
  <c r="F565" i="124"/>
  <c r="F566" i="124" s="1"/>
  <c r="F567" i="124" s="1"/>
  <c r="F568" i="124" s="1"/>
  <c r="F569" i="124" s="1"/>
  <c r="F570" i="124" s="1"/>
  <c r="U460" i="123"/>
  <c r="H460" i="123" s="1"/>
  <c r="U461" i="123" s="1"/>
  <c r="H461" i="123" s="1"/>
  <c r="U462" i="123" s="1"/>
  <c r="H462" i="123" s="1"/>
  <c r="U463" i="123" s="1"/>
  <c r="H463" i="123" s="1"/>
  <c r="F265" i="124"/>
  <c r="F266" i="124" s="1"/>
  <c r="F267" i="124" s="1"/>
  <c r="F268" i="124" s="1"/>
  <c r="F269" i="124" s="1"/>
  <c r="F270" i="124" s="1"/>
  <c r="U242" i="123"/>
  <c r="H242" i="123" s="1"/>
  <c r="U243" i="123" s="1"/>
  <c r="H243" i="123" s="1"/>
  <c r="U244" i="123" s="1"/>
  <c r="H244" i="123" s="1"/>
  <c r="U245" i="123" s="1"/>
  <c r="H245" i="123" s="1"/>
  <c r="F290" i="115"/>
  <c r="F291" i="115" s="1"/>
  <c r="F292" i="115" s="1"/>
  <c r="F293" i="115" s="1"/>
  <c r="F294" i="115" s="1"/>
  <c r="F295" i="115" s="1"/>
  <c r="U258" i="113" s="1"/>
  <c r="V256" i="113"/>
  <c r="I256" i="113" s="1"/>
  <c r="V257" i="113" s="1"/>
  <c r="I257" i="113" s="1"/>
  <c r="F686" i="124"/>
  <c r="F687" i="124" s="1"/>
  <c r="F688" i="124" s="1"/>
  <c r="F689" i="124" s="1"/>
  <c r="F690" i="124" s="1"/>
  <c r="F691" i="124" s="1"/>
  <c r="U536" i="123"/>
  <c r="H536" i="123" s="1"/>
  <c r="U537" i="123" s="1"/>
  <c r="H537" i="123" s="1"/>
  <c r="U538" i="123" s="1"/>
  <c r="H538" i="123" s="1"/>
  <c r="U539" i="123" s="1"/>
  <c r="H539" i="123" s="1"/>
  <c r="F372" i="115"/>
  <c r="F373" i="115" s="1"/>
  <c r="F374" i="115" s="1"/>
  <c r="F375" i="115" s="1"/>
  <c r="U324" i="113" s="1"/>
  <c r="V322" i="113"/>
  <c r="I322" i="113" s="1"/>
  <c r="V323" i="113" s="1"/>
  <c r="I323" i="113" s="1"/>
  <c r="V170" i="113"/>
  <c r="I170" i="113" s="1"/>
  <c r="V171" i="113" s="1"/>
  <c r="I171" i="113" s="1"/>
  <c r="F171" i="115"/>
  <c r="F172" i="115" s="1"/>
  <c r="F173" i="115" s="1"/>
  <c r="F174" i="115" s="1"/>
  <c r="U172" i="113" s="1"/>
  <c r="F39" i="115"/>
  <c r="F40" i="115" s="1"/>
  <c r="F41" i="115" s="1"/>
  <c r="F42" i="115" s="1"/>
  <c r="F43" i="115" s="1"/>
  <c r="F44" i="115" s="1"/>
  <c r="F45" i="115" s="1"/>
  <c r="F46" i="115" s="1"/>
  <c r="F47" i="115" s="1"/>
  <c r="U76" i="113" s="1"/>
  <c r="V74" i="113"/>
  <c r="I74" i="113" s="1"/>
  <c r="V75" i="113" s="1"/>
  <c r="I75" i="113" s="1"/>
  <c r="F414" i="124"/>
  <c r="F415" i="124" s="1"/>
  <c r="F416" i="124" s="1"/>
  <c r="F417" i="124" s="1"/>
  <c r="F418" i="124" s="1"/>
  <c r="F419" i="124" s="1"/>
  <c r="F420" i="124" s="1"/>
  <c r="T357" i="123" s="1"/>
  <c r="U352" i="123"/>
  <c r="H352" i="123" s="1"/>
  <c r="U353" i="123" s="1"/>
  <c r="H353" i="123" s="1"/>
  <c r="U354" i="123" s="1"/>
  <c r="H354" i="123" s="1"/>
  <c r="F459" i="140"/>
  <c r="F460" i="140" s="1"/>
  <c r="F461" i="140" s="1"/>
  <c r="F462" i="140" s="1"/>
  <c r="F463" i="140" s="1"/>
  <c r="S422" i="139" s="1"/>
  <c r="T419" i="139"/>
  <c r="G419" i="139" s="1"/>
  <c r="T420" i="139" s="1"/>
  <c r="G420" i="139" s="1"/>
  <c r="T421" i="139" s="1"/>
  <c r="G421" i="139" s="1"/>
  <c r="F473" i="140"/>
  <c r="F474" i="140" s="1"/>
  <c r="F475" i="140" s="1"/>
  <c r="F476" i="140" s="1"/>
  <c r="F477" i="140" s="1"/>
  <c r="F478" i="140" s="1"/>
  <c r="F479" i="140" s="1"/>
  <c r="F480" i="140" s="1"/>
  <c r="F481" i="140" s="1"/>
  <c r="S429" i="139" s="1"/>
  <c r="S151" i="139"/>
  <c r="S81" i="139"/>
  <c r="F43" i="140"/>
  <c r="F44" i="140" s="1"/>
  <c r="F45" i="140" s="1"/>
  <c r="F46" i="140" s="1"/>
  <c r="F47" i="140" s="1"/>
  <c r="F48" i="140" s="1"/>
  <c r="F49" i="140" s="1"/>
  <c r="T76" i="139"/>
  <c r="G76" i="139" s="1"/>
  <c r="F229" i="140"/>
  <c r="F230" i="140" s="1"/>
  <c r="F231" i="140" s="1"/>
  <c r="F232" i="140" s="1"/>
  <c r="F233" i="140" s="1"/>
  <c r="S212" i="139" s="1"/>
  <c r="F234" i="140"/>
  <c r="F235" i="140" s="1"/>
  <c r="F236" i="140" s="1"/>
  <c r="F237" i="140" s="1"/>
  <c r="F238" i="140" s="1"/>
  <c r="S215" i="139" s="1"/>
  <c r="T210" i="139"/>
  <c r="G210" i="139" s="1"/>
  <c r="T211" i="139" s="1"/>
  <c r="G211" i="139" s="1"/>
  <c r="F539" i="140"/>
  <c r="F540" i="140" s="1"/>
  <c r="F541" i="140" s="1"/>
  <c r="F542" i="140" s="1"/>
  <c r="F543" i="140" s="1"/>
  <c r="F544" i="140" s="1"/>
  <c r="F545" i="140" s="1"/>
  <c r="F546" i="140" s="1"/>
  <c r="F547" i="140" s="1"/>
  <c r="S485" i="139" s="1"/>
  <c r="T481" i="139"/>
  <c r="G481" i="139" s="1"/>
  <c r="T482" i="139" s="1"/>
  <c r="G482" i="139" s="1"/>
  <c r="T483" i="139" s="1"/>
  <c r="G483" i="139" s="1"/>
  <c r="T484" i="139" s="1"/>
  <c r="G484" i="139" s="1"/>
  <c r="W269" i="139"/>
  <c r="X269" i="139"/>
  <c r="V269" i="139"/>
  <c r="S269" i="139"/>
  <c r="U269" i="139"/>
  <c r="T269" i="139"/>
  <c r="T538" i="139"/>
  <c r="G538" i="139" s="1"/>
  <c r="T539" i="139" s="1"/>
  <c r="G487" i="131"/>
  <c r="T488" i="131" s="1"/>
  <c r="V425" i="131" s="1"/>
  <c r="F209" i="132"/>
  <c r="F210" i="132" s="1"/>
  <c r="F211" i="132" s="1"/>
  <c r="F212" i="132" s="1"/>
  <c r="F213" i="132" s="1"/>
  <c r="F214" i="132" s="1"/>
  <c r="F215" i="132" s="1"/>
  <c r="S306" i="131" s="1"/>
  <c r="T299" i="131"/>
  <c r="U574" i="131"/>
  <c r="T574" i="131"/>
  <c r="W574" i="131"/>
  <c r="V574" i="131"/>
  <c r="X574" i="131"/>
  <c r="S574" i="131"/>
  <c r="F415" i="132"/>
  <c r="F416" i="132" s="1"/>
  <c r="F417" i="132" s="1"/>
  <c r="F418" i="132" s="1"/>
  <c r="F419" i="132" s="1"/>
  <c r="F420" i="132" s="1"/>
  <c r="F421" i="132" s="1"/>
  <c r="F422" i="132" s="1"/>
  <c r="F423" i="132" s="1"/>
  <c r="F424" i="132" s="1"/>
  <c r="F425" i="132" s="1"/>
  <c r="S547" i="131" s="1"/>
  <c r="T547" i="131" s="1"/>
  <c r="G547" i="131" s="1"/>
  <c r="T548" i="131" s="1"/>
  <c r="G548" i="131" s="1"/>
  <c r="T549" i="131" s="1"/>
  <c r="G549" i="131" s="1"/>
  <c r="T550" i="131" s="1"/>
  <c r="G550" i="131" s="1"/>
  <c r="T551" i="131" s="1"/>
  <c r="G551" i="131" s="1"/>
  <c r="G488" i="131" l="1"/>
  <c r="G489" i="131" s="1"/>
  <c r="S51" i="119"/>
  <c r="F24" i="120"/>
  <c r="F25" i="120" s="1"/>
  <c r="F26" i="120" s="1"/>
  <c r="F27" i="120" s="1"/>
  <c r="F28" i="120" s="1"/>
  <c r="F29" i="120" s="1"/>
  <c r="F30" i="120" s="1"/>
  <c r="F31" i="120" s="1"/>
  <c r="F32" i="120" s="1"/>
  <c r="F33" i="120" s="1"/>
  <c r="F34" i="120" s="1"/>
  <c r="R58" i="119" s="1"/>
  <c r="F57" i="111"/>
  <c r="F58" i="111" s="1"/>
  <c r="F59" i="111" s="1"/>
  <c r="F60" i="111" s="1"/>
  <c r="R53" i="110" s="1"/>
  <c r="S53" i="110" s="1"/>
  <c r="F53" i="110" s="1"/>
  <c r="S54" i="110" s="1"/>
  <c r="F54" i="110" s="1"/>
  <c r="S55" i="110" s="1"/>
  <c r="F55" i="110" s="1"/>
  <c r="S56" i="110" s="1"/>
  <c r="F56" i="110" s="1"/>
  <c r="S57" i="110" s="1"/>
  <c r="F57" i="110" s="1"/>
  <c r="S58" i="110" s="1"/>
  <c r="F58" i="110" s="1"/>
  <c r="F222" i="120"/>
  <c r="F223" i="120" s="1"/>
  <c r="F224" i="120" s="1"/>
  <c r="F225" i="120" s="1"/>
  <c r="F226" i="120" s="1"/>
  <c r="F227" i="120" s="1"/>
  <c r="F228" i="120" s="1"/>
  <c r="R182" i="119" s="1"/>
  <c r="S182" i="119" s="1"/>
  <c r="F182" i="119" s="1"/>
  <c r="S183" i="119" s="1"/>
  <c r="F183" i="119" s="1"/>
  <c r="S184" i="119" s="1"/>
  <c r="F184" i="119" s="1"/>
  <c r="F160" i="128"/>
  <c r="F161" i="128" s="1"/>
  <c r="F162" i="128" s="1"/>
  <c r="F163" i="128" s="1"/>
  <c r="F164" i="128" s="1"/>
  <c r="F165" i="128" s="1"/>
  <c r="F166" i="128" s="1"/>
  <c r="F181" i="128"/>
  <c r="F182" i="128" s="1"/>
  <c r="F183" i="128" s="1"/>
  <c r="F184" i="128" s="1"/>
  <c r="F185" i="128" s="1"/>
  <c r="F186" i="128" s="1"/>
  <c r="F187" i="128" s="1"/>
  <c r="R198" i="126" s="1"/>
  <c r="S193" i="126"/>
  <c r="F193" i="126" s="1"/>
  <c r="S194" i="126" s="1"/>
  <c r="F194" i="126" s="1"/>
  <c r="S195" i="126" s="1"/>
  <c r="F195" i="126" s="1"/>
  <c r="S196" i="126" s="1"/>
  <c r="F196" i="126" s="1"/>
  <c r="S197" i="126" s="1"/>
  <c r="F197" i="126" s="1"/>
  <c r="F176" i="111"/>
  <c r="F177" i="111" s="1"/>
  <c r="F178" i="111" s="1"/>
  <c r="F179" i="111" s="1"/>
  <c r="S121" i="110"/>
  <c r="F121" i="110" s="1"/>
  <c r="S122" i="110" s="1"/>
  <c r="F122" i="110" s="1"/>
  <c r="S123" i="110" s="1"/>
  <c r="F123" i="110" s="1"/>
  <c r="S124" i="110" s="1"/>
  <c r="F124" i="110" s="1"/>
  <c r="S125" i="110" s="1"/>
  <c r="F125" i="110" s="1"/>
  <c r="S126" i="110" s="1"/>
  <c r="F126" i="110" s="1"/>
  <c r="F60" i="126"/>
  <c r="S61" i="126" s="1"/>
  <c r="F45" i="136"/>
  <c r="F46" i="136" s="1"/>
  <c r="F47" i="136" s="1"/>
  <c r="F48" i="136" s="1"/>
  <c r="F49" i="136" s="1"/>
  <c r="F50" i="136" s="1"/>
  <c r="F51" i="136" s="1"/>
  <c r="R47" i="134" s="1"/>
  <c r="S42" i="134"/>
  <c r="F42" i="134" s="1"/>
  <c r="S43" i="134" s="1"/>
  <c r="F43" i="134" s="1"/>
  <c r="S44" i="134" s="1"/>
  <c r="F44" i="134" s="1"/>
  <c r="S45" i="134" s="1"/>
  <c r="F45" i="134" s="1"/>
  <c r="S46" i="134" s="1"/>
  <c r="F46" i="134" s="1"/>
  <c r="S53" i="119"/>
  <c r="S52" i="119"/>
  <c r="F50" i="119"/>
  <c r="F51" i="119" s="1"/>
  <c r="S152" i="134"/>
  <c r="F91" i="124"/>
  <c r="F92" i="124" s="1"/>
  <c r="F93" i="124" s="1"/>
  <c r="F94" i="124" s="1"/>
  <c r="F95" i="124" s="1"/>
  <c r="F96" i="124" s="1"/>
  <c r="F97" i="124" s="1"/>
  <c r="T105" i="123" s="1"/>
  <c r="V392" i="113"/>
  <c r="I392" i="113" s="1"/>
  <c r="V393" i="113" s="1"/>
  <c r="I393" i="113" s="1"/>
  <c r="V394" i="113" s="1"/>
  <c r="I394" i="113" s="1"/>
  <c r="V395" i="113" s="1"/>
  <c r="H246" i="132"/>
  <c r="E246" i="132" s="1"/>
  <c r="F246" i="132" s="1"/>
  <c r="F247" i="132" s="1"/>
  <c r="F271" i="124"/>
  <c r="F272" i="124" s="1"/>
  <c r="F273" i="124" s="1"/>
  <c r="F274" i="124" s="1"/>
  <c r="F275" i="124" s="1"/>
  <c r="F276" i="124" s="1"/>
  <c r="F277" i="124" s="1"/>
  <c r="U246" i="123"/>
  <c r="H246" i="123" s="1"/>
  <c r="U103" i="123"/>
  <c r="H103" i="123" s="1"/>
  <c r="U104" i="123" s="1"/>
  <c r="H104" i="123" s="1"/>
  <c r="F98" i="124"/>
  <c r="F99" i="124" s="1"/>
  <c r="F100" i="124" s="1"/>
  <c r="F101" i="124" s="1"/>
  <c r="F102" i="124" s="1"/>
  <c r="F103" i="124" s="1"/>
  <c r="F104" i="124" s="1"/>
  <c r="T108" i="123" s="1"/>
  <c r="F692" i="124"/>
  <c r="F693" i="124" s="1"/>
  <c r="F694" i="124" s="1"/>
  <c r="F695" i="124" s="1"/>
  <c r="F696" i="124" s="1"/>
  <c r="F697" i="124" s="1"/>
  <c r="F698" i="124" s="1"/>
  <c r="U540" i="123"/>
  <c r="H540" i="123" s="1"/>
  <c r="U464" i="123"/>
  <c r="H464" i="123" s="1"/>
  <c r="F571" i="124"/>
  <c r="F572" i="124" s="1"/>
  <c r="F573" i="124" s="1"/>
  <c r="F574" i="124" s="1"/>
  <c r="F575" i="124" s="1"/>
  <c r="F576" i="124" s="1"/>
  <c r="F577" i="124" s="1"/>
  <c r="V76" i="113"/>
  <c r="I76" i="113" s="1"/>
  <c r="V77" i="113" s="1"/>
  <c r="I77" i="113" s="1"/>
  <c r="F48" i="115"/>
  <c r="F49" i="115" s="1"/>
  <c r="F50" i="115" s="1"/>
  <c r="F51" i="115" s="1"/>
  <c r="U78" i="113" s="1"/>
  <c r="V258" i="113"/>
  <c r="I258" i="113" s="1"/>
  <c r="V259" i="113" s="1"/>
  <c r="I259" i="113" s="1"/>
  <c r="F296" i="115"/>
  <c r="F297" i="115" s="1"/>
  <c r="F298" i="115" s="1"/>
  <c r="F299" i="115" s="1"/>
  <c r="U260" i="113" s="1"/>
  <c r="H187" i="132"/>
  <c r="E187" i="132" s="1"/>
  <c r="F187" i="132" s="1"/>
  <c r="F188" i="132" s="1"/>
  <c r="S238" i="131" s="1"/>
  <c r="T238" i="131" s="1"/>
  <c r="V172" i="113"/>
  <c r="I172" i="113" s="1"/>
  <c r="V173" i="113" s="1"/>
  <c r="I173" i="113" s="1"/>
  <c r="F175" i="115"/>
  <c r="F176" i="115" s="1"/>
  <c r="F177" i="115" s="1"/>
  <c r="F178" i="115" s="1"/>
  <c r="U174" i="113" s="1"/>
  <c r="V324" i="113"/>
  <c r="I324" i="113" s="1"/>
  <c r="V325" i="113" s="1"/>
  <c r="I325" i="113" s="1"/>
  <c r="F376" i="115"/>
  <c r="F377" i="115" s="1"/>
  <c r="F378" i="115" s="1"/>
  <c r="F379" i="115" s="1"/>
  <c r="F380" i="115" s="1"/>
  <c r="F381" i="115" s="1"/>
  <c r="U326" i="113" s="1"/>
  <c r="F421" i="124"/>
  <c r="F422" i="124" s="1"/>
  <c r="F423" i="124" s="1"/>
  <c r="F424" i="124" s="1"/>
  <c r="F425" i="124" s="1"/>
  <c r="F426" i="124" s="1"/>
  <c r="F427" i="124" s="1"/>
  <c r="T360" i="123" s="1"/>
  <c r="U355" i="123"/>
  <c r="H355" i="123" s="1"/>
  <c r="U356" i="123" s="1"/>
  <c r="H356" i="123" s="1"/>
  <c r="U357" i="123" s="1"/>
  <c r="H357" i="123" s="1"/>
  <c r="T77" i="139"/>
  <c r="G77" i="139" s="1"/>
  <c r="F36" i="140"/>
  <c r="F37" i="140" s="1"/>
  <c r="F38" i="140" s="1"/>
  <c r="F39" i="140" s="1"/>
  <c r="F40" i="140" s="1"/>
  <c r="F41" i="140" s="1"/>
  <c r="F42" i="140" s="1"/>
  <c r="G539" i="139"/>
  <c r="G540" i="139" s="1"/>
  <c r="G541" i="139" s="1"/>
  <c r="V504" i="139"/>
  <c r="T504" i="139"/>
  <c r="X504" i="139"/>
  <c r="U504" i="139"/>
  <c r="S504" i="139"/>
  <c r="W504" i="139"/>
  <c r="T485" i="139"/>
  <c r="G485" i="139" s="1"/>
  <c r="T486" i="139" s="1"/>
  <c r="G486" i="139" s="1"/>
  <c r="T487" i="139" s="1"/>
  <c r="G487" i="139" s="1"/>
  <c r="T488" i="139" s="1"/>
  <c r="G488" i="139" s="1"/>
  <c r="T489" i="139" s="1"/>
  <c r="S148" i="139"/>
  <c r="T148" i="139" s="1"/>
  <c r="G148" i="139" s="1"/>
  <c r="T149" i="139" s="1"/>
  <c r="G149" i="139" s="1"/>
  <c r="T150" i="139" s="1"/>
  <c r="G150" i="139" s="1"/>
  <c r="T151" i="139" s="1"/>
  <c r="G151" i="139" s="1"/>
  <c r="T152" i="139" s="1"/>
  <c r="G152" i="139" s="1"/>
  <c r="S78" i="139"/>
  <c r="F464" i="140"/>
  <c r="F465" i="140" s="1"/>
  <c r="F466" i="140" s="1"/>
  <c r="F467" i="140" s="1"/>
  <c r="F468" i="140" s="1"/>
  <c r="F469" i="140" s="1"/>
  <c r="F470" i="140" s="1"/>
  <c r="F471" i="140" s="1"/>
  <c r="F472" i="140" s="1"/>
  <c r="S426" i="139" s="1"/>
  <c r="T422" i="139"/>
  <c r="G422" i="139" s="1"/>
  <c r="T423" i="139" s="1"/>
  <c r="G423" i="139" s="1"/>
  <c r="T424" i="139" s="1"/>
  <c r="G424" i="139" s="1"/>
  <c r="T425" i="139" s="1"/>
  <c r="G425" i="139" s="1"/>
  <c r="T212" i="139"/>
  <c r="G212" i="139" s="1"/>
  <c r="T213" i="139" s="1"/>
  <c r="G213" i="139" s="1"/>
  <c r="S425" i="131"/>
  <c r="W425" i="131"/>
  <c r="X425" i="131"/>
  <c r="T425" i="131"/>
  <c r="U425" i="131"/>
  <c r="G299" i="131"/>
  <c r="T300" i="131" s="1"/>
  <c r="G300" i="131" s="1"/>
  <c r="F435" i="132"/>
  <c r="F436" i="132" s="1"/>
  <c r="F437" i="132" s="1"/>
  <c r="F438" i="132" s="1"/>
  <c r="F439" i="132" s="1"/>
  <c r="F440" i="132" s="1"/>
  <c r="F441" i="132" s="1"/>
  <c r="F442" i="132" s="1"/>
  <c r="F443" i="132" s="1"/>
  <c r="F444" i="132" s="1"/>
  <c r="F445" i="132" s="1"/>
  <c r="F446" i="132" s="1"/>
  <c r="F447" i="132" s="1"/>
  <c r="S552" i="131" s="1"/>
  <c r="T552" i="131" s="1"/>
  <c r="G552" i="131" s="1"/>
  <c r="T553" i="131" s="1"/>
  <c r="G553" i="131" s="1"/>
  <c r="T554" i="131" s="1"/>
  <c r="G554" i="131" s="1"/>
  <c r="T555" i="131" s="1"/>
  <c r="G555" i="131" s="1"/>
  <c r="T556" i="131" s="1"/>
  <c r="G556" i="131" s="1"/>
  <c r="T557" i="131" s="1"/>
  <c r="G557" i="131" s="1"/>
  <c r="T558" i="131" s="1"/>
  <c r="V426" i="131"/>
  <c r="S426" i="131"/>
  <c r="X426" i="131"/>
  <c r="U426" i="131"/>
  <c r="T426" i="131"/>
  <c r="W426" i="131"/>
  <c r="F229" i="120" l="1"/>
  <c r="F230" i="120" s="1"/>
  <c r="F231" i="120" s="1"/>
  <c r="F232" i="120" s="1"/>
  <c r="F233" i="120" s="1"/>
  <c r="F234" i="120" s="1"/>
  <c r="F235" i="120" s="1"/>
  <c r="R192" i="119" s="1"/>
  <c r="S185" i="119"/>
  <c r="F185" i="119" s="1"/>
  <c r="S186" i="119" s="1"/>
  <c r="F186" i="119" s="1"/>
  <c r="S187" i="119" s="1"/>
  <c r="F187" i="119" s="1"/>
  <c r="S188" i="119" s="1"/>
  <c r="F188" i="119" s="1"/>
  <c r="S189" i="119" s="1"/>
  <c r="F189" i="119" s="1"/>
  <c r="S190" i="119" s="1"/>
  <c r="F190" i="119" s="1"/>
  <c r="S191" i="119" s="1"/>
  <c r="F191" i="119" s="1"/>
  <c r="F61" i="111"/>
  <c r="F62" i="111" s="1"/>
  <c r="F63" i="111" s="1"/>
  <c r="F64" i="111" s="1"/>
  <c r="R59" i="110" s="1"/>
  <c r="S59" i="110" s="1"/>
  <c r="F59" i="110" s="1"/>
  <c r="S60" i="110" s="1"/>
  <c r="F60" i="110" s="1"/>
  <c r="S61" i="110" s="1"/>
  <c r="F61" i="110" s="1"/>
  <c r="S62" i="110" s="1"/>
  <c r="F62" i="110" s="1"/>
  <c r="S63" i="110" s="1"/>
  <c r="F63" i="110" s="1"/>
  <c r="S64" i="110" s="1"/>
  <c r="F64" i="110" s="1"/>
  <c r="F52" i="119"/>
  <c r="F53" i="119" s="1"/>
  <c r="S54" i="119" s="1"/>
  <c r="F54" i="119" s="1"/>
  <c r="S55" i="119" s="1"/>
  <c r="F55" i="119" s="1"/>
  <c r="S56" i="119" s="1"/>
  <c r="F56" i="119" s="1"/>
  <c r="S57" i="119" s="1"/>
  <c r="F57" i="119" s="1"/>
  <c r="S58" i="119" s="1"/>
  <c r="F58" i="119" s="1"/>
  <c r="F61" i="126"/>
  <c r="S62" i="126" s="1"/>
  <c r="U105" i="123"/>
  <c r="H105" i="123" s="1"/>
  <c r="F105" i="124" s="1"/>
  <c r="F106" i="124" s="1"/>
  <c r="F107" i="124" s="1"/>
  <c r="F108" i="124" s="1"/>
  <c r="F109" i="124" s="1"/>
  <c r="F110" i="124" s="1"/>
  <c r="F180" i="111"/>
  <c r="F181" i="111" s="1"/>
  <c r="F182" i="111" s="1"/>
  <c r="F183" i="111" s="1"/>
  <c r="F184" i="111" s="1"/>
  <c r="F185" i="111" s="1"/>
  <c r="R131" i="110" s="1"/>
  <c r="S127" i="110"/>
  <c r="F127" i="110" s="1"/>
  <c r="S128" i="110" s="1"/>
  <c r="F128" i="110" s="1"/>
  <c r="F194" i="111"/>
  <c r="F195" i="111" s="1"/>
  <c r="F196" i="111" s="1"/>
  <c r="F197" i="111" s="1"/>
  <c r="F198" i="111" s="1"/>
  <c r="F199" i="111" s="1"/>
  <c r="F200" i="111" s="1"/>
  <c r="F201" i="111" s="1"/>
  <c r="F152" i="134"/>
  <c r="F188" i="128"/>
  <c r="F189" i="128" s="1"/>
  <c r="F190" i="128" s="1"/>
  <c r="F191" i="128" s="1"/>
  <c r="F192" i="128" s="1"/>
  <c r="F193" i="128" s="1"/>
  <c r="F194" i="128" s="1"/>
  <c r="R215" i="126" s="1"/>
  <c r="S198" i="126"/>
  <c r="F52" i="136"/>
  <c r="F53" i="136" s="1"/>
  <c r="F54" i="136" s="1"/>
  <c r="F55" i="136" s="1"/>
  <c r="F56" i="136" s="1"/>
  <c r="F57" i="136" s="1"/>
  <c r="F58" i="136" s="1"/>
  <c r="R50" i="134" s="1"/>
  <c r="S47" i="134"/>
  <c r="I395" i="113"/>
  <c r="I396" i="113" s="1"/>
  <c r="X358" i="113"/>
  <c r="W358" i="113"/>
  <c r="U358" i="113"/>
  <c r="V358" i="113"/>
  <c r="Y358" i="113"/>
  <c r="Z358" i="113"/>
  <c r="F179" i="115"/>
  <c r="F180" i="115" s="1"/>
  <c r="F181" i="115" s="1"/>
  <c r="F182" i="115" s="1"/>
  <c r="U176" i="113" s="1"/>
  <c r="V174" i="113"/>
  <c r="I174" i="113" s="1"/>
  <c r="V175" i="113" s="1"/>
  <c r="I175" i="113" s="1"/>
  <c r="F707" i="124"/>
  <c r="F708" i="124" s="1"/>
  <c r="F709" i="124" s="1"/>
  <c r="F710" i="124" s="1"/>
  <c r="F711" i="124" s="1"/>
  <c r="F712" i="124" s="1"/>
  <c r="F713" i="124" s="1"/>
  <c r="U541" i="123"/>
  <c r="H541" i="123" s="1"/>
  <c r="G238" i="131"/>
  <c r="T239" i="131" s="1"/>
  <c r="G239" i="131" s="1"/>
  <c r="F586" i="124"/>
  <c r="F587" i="124" s="1"/>
  <c r="F588" i="124" s="1"/>
  <c r="F589" i="124" s="1"/>
  <c r="F590" i="124" s="1"/>
  <c r="F591" i="124" s="1"/>
  <c r="F592" i="124" s="1"/>
  <c r="U465" i="123"/>
  <c r="H465" i="123" s="1"/>
  <c r="F428" i="124"/>
  <c r="F429" i="124" s="1"/>
  <c r="F430" i="124" s="1"/>
  <c r="F431" i="124" s="1"/>
  <c r="F432" i="124" s="1"/>
  <c r="F433" i="124" s="1"/>
  <c r="U358" i="123"/>
  <c r="H358" i="123" s="1"/>
  <c r="U359" i="123" s="1"/>
  <c r="H359" i="123" s="1"/>
  <c r="U360" i="123" s="1"/>
  <c r="H360" i="123" s="1"/>
  <c r="U361" i="123" s="1"/>
  <c r="H361" i="123" s="1"/>
  <c r="F300" i="115"/>
  <c r="F301" i="115" s="1"/>
  <c r="F302" i="115" s="1"/>
  <c r="F303" i="115" s="1"/>
  <c r="U262" i="113" s="1"/>
  <c r="V260" i="113"/>
  <c r="I260" i="113" s="1"/>
  <c r="V261" i="113" s="1"/>
  <c r="I261" i="113" s="1"/>
  <c r="H181" i="132"/>
  <c r="E181" i="132" s="1"/>
  <c r="F181" i="132" s="1"/>
  <c r="F182" i="132" s="1"/>
  <c r="F286" i="124"/>
  <c r="F287" i="124" s="1"/>
  <c r="F288" i="124" s="1"/>
  <c r="F289" i="124" s="1"/>
  <c r="F290" i="124" s="1"/>
  <c r="F291" i="124" s="1"/>
  <c r="F292" i="124" s="1"/>
  <c r="T248" i="123" s="1"/>
  <c r="U247" i="123"/>
  <c r="H247" i="123" s="1"/>
  <c r="F382" i="115"/>
  <c r="F383" i="115" s="1"/>
  <c r="F384" i="115" s="1"/>
  <c r="F385" i="115" s="1"/>
  <c r="U328" i="113" s="1"/>
  <c r="V326" i="113"/>
  <c r="I326" i="113" s="1"/>
  <c r="V327" i="113" s="1"/>
  <c r="I327" i="113" s="1"/>
  <c r="H223" i="132"/>
  <c r="E223" i="132" s="1"/>
  <c r="F223" i="132" s="1"/>
  <c r="F224" i="132" s="1"/>
  <c r="S301" i="131" s="1"/>
  <c r="T301" i="131" s="1"/>
  <c r="F52" i="115"/>
  <c r="F53" i="115" s="1"/>
  <c r="F54" i="115" s="1"/>
  <c r="F55" i="115" s="1"/>
  <c r="U80" i="113" s="1"/>
  <c r="V78" i="113"/>
  <c r="I78" i="113" s="1"/>
  <c r="V79" i="113" s="1"/>
  <c r="I79" i="113" s="1"/>
  <c r="T426" i="139"/>
  <c r="G426" i="139" s="1"/>
  <c r="T427" i="139" s="1"/>
  <c r="G427" i="139" s="1"/>
  <c r="F150" i="140"/>
  <c r="F151" i="140" s="1"/>
  <c r="F152" i="140" s="1"/>
  <c r="F153" i="140" s="1"/>
  <c r="F154" i="140" s="1"/>
  <c r="T153" i="139"/>
  <c r="G153" i="139" s="1"/>
  <c r="T154" i="139" s="1"/>
  <c r="G154" i="139" s="1"/>
  <c r="F155" i="140"/>
  <c r="F156" i="140" s="1"/>
  <c r="F157" i="140" s="1"/>
  <c r="F158" i="140" s="1"/>
  <c r="F159" i="140" s="1"/>
  <c r="X505" i="139"/>
  <c r="T505" i="139"/>
  <c r="W505" i="139"/>
  <c r="S505" i="139"/>
  <c r="U505" i="139"/>
  <c r="V505" i="139"/>
  <c r="G489" i="139"/>
  <c r="G490" i="139" s="1"/>
  <c r="G491" i="139" s="1"/>
  <c r="T448" i="139"/>
  <c r="U448" i="139"/>
  <c r="W448" i="139"/>
  <c r="X448" i="139"/>
  <c r="S448" i="139"/>
  <c r="V448" i="139"/>
  <c r="F239" i="140"/>
  <c r="F240" i="140" s="1"/>
  <c r="F241" i="140" s="1"/>
  <c r="F242" i="140" s="1"/>
  <c r="F243" i="140" s="1"/>
  <c r="S217" i="139" s="1"/>
  <c r="T214" i="139"/>
  <c r="G214" i="139" s="1"/>
  <c r="T215" i="139" s="1"/>
  <c r="G215" i="139" s="1"/>
  <c r="T216" i="139" s="1"/>
  <c r="G216" i="139" s="1"/>
  <c r="T78" i="139"/>
  <c r="G78" i="139" s="1"/>
  <c r="T79" i="139" s="1"/>
  <c r="G79" i="139" s="1"/>
  <c r="T80" i="139" s="1"/>
  <c r="G80" i="139" s="1"/>
  <c r="T81" i="139" s="1"/>
  <c r="G81" i="139" s="1"/>
  <c r="T82" i="139" s="1"/>
  <c r="G82" i="139" s="1"/>
  <c r="G558" i="131"/>
  <c r="T559" i="131" s="1"/>
  <c r="S192" i="119" l="1"/>
  <c r="F192" i="119" s="1"/>
  <c r="S193" i="119" s="1"/>
  <c r="F193" i="119" s="1"/>
  <c r="S194" i="119" s="1"/>
  <c r="F194" i="119" s="1"/>
  <c r="F236" i="120" s="1"/>
  <c r="F237" i="120" s="1"/>
  <c r="F238" i="120" s="1"/>
  <c r="F239" i="120" s="1"/>
  <c r="F240" i="120" s="1"/>
  <c r="F241" i="120" s="1"/>
  <c r="F242" i="120" s="1"/>
  <c r="R202" i="119" s="1"/>
  <c r="F65" i="111"/>
  <c r="F66" i="111" s="1"/>
  <c r="F67" i="111" s="1"/>
  <c r="F68" i="111" s="1"/>
  <c r="R65" i="110" s="1"/>
  <c r="S65" i="110" s="1"/>
  <c r="F65" i="110" s="1"/>
  <c r="S66" i="110" s="1"/>
  <c r="F66" i="110" s="1"/>
  <c r="F233" i="136"/>
  <c r="F234" i="136" s="1"/>
  <c r="F235" i="136" s="1"/>
  <c r="F236" i="136" s="1"/>
  <c r="F237" i="136" s="1"/>
  <c r="R156" i="134" s="1"/>
  <c r="S153" i="134"/>
  <c r="F47" i="134"/>
  <c r="S48" i="134" s="1"/>
  <c r="F48" i="134" s="1"/>
  <c r="S49" i="134" s="1"/>
  <c r="F62" i="126"/>
  <c r="S63" i="126" s="1"/>
  <c r="F63" i="126" s="1"/>
  <c r="S64" i="126" s="1"/>
  <c r="F64" i="126" s="1"/>
  <c r="S65" i="126" s="1"/>
  <c r="F198" i="126"/>
  <c r="S199" i="126" s="1"/>
  <c r="F199" i="126" s="1"/>
  <c r="S200" i="126" s="1"/>
  <c r="F200" i="126" s="1"/>
  <c r="S201" i="126" s="1"/>
  <c r="F201" i="126" s="1"/>
  <c r="S202" i="126" s="1"/>
  <c r="F202" i="126" s="1"/>
  <c r="S203" i="126" s="1"/>
  <c r="F203" i="126" s="1"/>
  <c r="S204" i="126" s="1"/>
  <c r="F204" i="126" s="1"/>
  <c r="S205" i="126" s="1"/>
  <c r="F205" i="126" s="1"/>
  <c r="S206" i="126" s="1"/>
  <c r="F206" i="126" s="1"/>
  <c r="S207" i="126" s="1"/>
  <c r="F207" i="126" s="1"/>
  <c r="S208" i="126" s="1"/>
  <c r="F208" i="126" s="1"/>
  <c r="S209" i="126" s="1"/>
  <c r="F209" i="126" s="1"/>
  <c r="S210" i="126" s="1"/>
  <c r="F210" i="126" s="1"/>
  <c r="S211" i="126" s="1"/>
  <c r="F211" i="126" s="1"/>
  <c r="S212" i="126" s="1"/>
  <c r="F212" i="126" s="1"/>
  <c r="S213" i="126" s="1"/>
  <c r="F213" i="126" s="1"/>
  <c r="S214" i="126" s="1"/>
  <c r="F214" i="126" s="1"/>
  <c r="S129" i="110"/>
  <c r="F129" i="110" s="1"/>
  <c r="S130" i="110" s="1"/>
  <c r="F130" i="110" s="1"/>
  <c r="S131" i="110" s="1"/>
  <c r="F131" i="110" s="1"/>
  <c r="S132" i="110" s="1"/>
  <c r="F132" i="110" s="1"/>
  <c r="S133" i="110" s="1"/>
  <c r="F133" i="110" s="1"/>
  <c r="F186" i="111"/>
  <c r="F187" i="111" s="1"/>
  <c r="F188" i="111" s="1"/>
  <c r="F189" i="111" s="1"/>
  <c r="F190" i="111" s="1"/>
  <c r="F191" i="111" s="1"/>
  <c r="F192" i="111" s="1"/>
  <c r="F193" i="111" s="1"/>
  <c r="R134" i="110" s="1"/>
  <c r="S59" i="119"/>
  <c r="F59" i="119" s="1"/>
  <c r="F35" i="120"/>
  <c r="F36" i="120" s="1"/>
  <c r="F37" i="120" s="1"/>
  <c r="F38" i="120" s="1"/>
  <c r="F39" i="120" s="1"/>
  <c r="F40" i="120" s="1"/>
  <c r="F41" i="120" s="1"/>
  <c r="F42" i="120" s="1"/>
  <c r="F43" i="120" s="1"/>
  <c r="F44" i="120" s="1"/>
  <c r="F45" i="120" s="1"/>
  <c r="R65" i="119" s="1"/>
  <c r="U106" i="123"/>
  <c r="H106" i="123" s="1"/>
  <c r="U107" i="123" s="1"/>
  <c r="H107" i="123" s="1"/>
  <c r="U108" i="123" s="1"/>
  <c r="H108" i="123" s="1"/>
  <c r="U109" i="123" s="1"/>
  <c r="H109" i="123" s="1"/>
  <c r="F111" i="124" s="1"/>
  <c r="F112" i="124" s="1"/>
  <c r="F113" i="124" s="1"/>
  <c r="F114" i="124" s="1"/>
  <c r="F115" i="124" s="1"/>
  <c r="F116" i="124" s="1"/>
  <c r="F117" i="124" s="1"/>
  <c r="W359" i="113"/>
  <c r="V359" i="113"/>
  <c r="U359" i="113"/>
  <c r="Z359" i="113"/>
  <c r="X359" i="113"/>
  <c r="Y359" i="113"/>
  <c r="U248" i="123"/>
  <c r="H248" i="123" s="1"/>
  <c r="U249" i="123" s="1"/>
  <c r="H249" i="123" s="1"/>
  <c r="F293" i="124" s="1"/>
  <c r="F294" i="124" s="1"/>
  <c r="F295" i="124" s="1"/>
  <c r="F296" i="124" s="1"/>
  <c r="F297" i="124" s="1"/>
  <c r="F298" i="124" s="1"/>
  <c r="F299" i="124" s="1"/>
  <c r="T251" i="123" s="1"/>
  <c r="G301" i="131"/>
  <c r="T302" i="131" s="1"/>
  <c r="G302" i="131" s="1"/>
  <c r="F434" i="124"/>
  <c r="F435" i="124" s="1"/>
  <c r="F436" i="124" s="1"/>
  <c r="F437" i="124" s="1"/>
  <c r="F438" i="124" s="1"/>
  <c r="F439" i="124" s="1"/>
  <c r="U362" i="123"/>
  <c r="H362" i="123" s="1"/>
  <c r="V80" i="113"/>
  <c r="I80" i="113" s="1"/>
  <c r="V81" i="113" s="1"/>
  <c r="I81" i="113" s="1"/>
  <c r="F56" i="115"/>
  <c r="F57" i="115" s="1"/>
  <c r="F58" i="115" s="1"/>
  <c r="F59" i="115" s="1"/>
  <c r="U82" i="113" s="1"/>
  <c r="T542" i="123"/>
  <c r="U542" i="123" s="1"/>
  <c r="H542" i="123" s="1"/>
  <c r="U543" i="123" s="1"/>
  <c r="H543" i="123" s="1"/>
  <c r="T466" i="123"/>
  <c r="U466" i="123" s="1"/>
  <c r="H466" i="123" s="1"/>
  <c r="U467" i="123" s="1"/>
  <c r="H467" i="123" s="1"/>
  <c r="S240" i="131"/>
  <c r="T240" i="131" s="1"/>
  <c r="S349" i="131"/>
  <c r="T349" i="131" s="1"/>
  <c r="F183" i="115"/>
  <c r="F184" i="115" s="1"/>
  <c r="F185" i="115" s="1"/>
  <c r="F186" i="115" s="1"/>
  <c r="F187" i="115" s="1"/>
  <c r="F188" i="115" s="1"/>
  <c r="U178" i="113" s="1"/>
  <c r="V176" i="113"/>
  <c r="I176" i="113" s="1"/>
  <c r="V177" i="113" s="1"/>
  <c r="I177" i="113" s="1"/>
  <c r="F386" i="115"/>
  <c r="F387" i="115" s="1"/>
  <c r="F388" i="115" s="1"/>
  <c r="F389" i="115" s="1"/>
  <c r="U330" i="113" s="1"/>
  <c r="V328" i="113"/>
  <c r="I328" i="113" s="1"/>
  <c r="V329" i="113" s="1"/>
  <c r="I329" i="113" s="1"/>
  <c r="H217" i="132"/>
  <c r="E217" i="132" s="1"/>
  <c r="F217" i="132" s="1"/>
  <c r="F218" i="132" s="1"/>
  <c r="S303" i="131" s="1"/>
  <c r="V262" i="113"/>
  <c r="I262" i="113" s="1"/>
  <c r="V263" i="113" s="1"/>
  <c r="I263" i="113" s="1"/>
  <c r="F304" i="115"/>
  <c r="F305" i="115" s="1"/>
  <c r="F306" i="115" s="1"/>
  <c r="F307" i="115" s="1"/>
  <c r="U264" i="113" s="1"/>
  <c r="H175" i="132"/>
  <c r="E175" i="132" s="1"/>
  <c r="F175" i="132" s="1"/>
  <c r="F176" i="132" s="1"/>
  <c r="S256" i="131" s="1"/>
  <c r="F55" i="140"/>
  <c r="F56" i="140" s="1"/>
  <c r="F57" i="140" s="1"/>
  <c r="F58" i="140" s="1"/>
  <c r="F59" i="140" s="1"/>
  <c r="F60" i="140"/>
  <c r="F61" i="140" s="1"/>
  <c r="F62" i="140" s="1"/>
  <c r="F63" i="140" s="1"/>
  <c r="F64" i="140" s="1"/>
  <c r="T83" i="139"/>
  <c r="G83" i="139" s="1"/>
  <c r="T84" i="139" s="1"/>
  <c r="G84" i="139" s="1"/>
  <c r="T217" i="139"/>
  <c r="G217" i="139" s="1"/>
  <c r="T218" i="139" s="1"/>
  <c r="G218" i="139" s="1"/>
  <c r="T219" i="139" s="1"/>
  <c r="V449" i="139"/>
  <c r="U449" i="139"/>
  <c r="T449" i="139"/>
  <c r="S449" i="139"/>
  <c r="W449" i="139"/>
  <c r="X449" i="139"/>
  <c r="F482" i="140"/>
  <c r="F483" i="140" s="1"/>
  <c r="F484" i="140" s="1"/>
  <c r="F485" i="140" s="1"/>
  <c r="F486" i="140" s="1"/>
  <c r="S432" i="139" s="1"/>
  <c r="T428" i="139"/>
  <c r="G428" i="139" s="1"/>
  <c r="T429" i="139" s="1"/>
  <c r="G429" i="139" s="1"/>
  <c r="T430" i="139" s="1"/>
  <c r="G430" i="139" s="1"/>
  <c r="T431" i="139" s="1"/>
  <c r="G431" i="139" s="1"/>
  <c r="G559" i="131"/>
  <c r="G560" i="131" s="1"/>
  <c r="U502" i="131"/>
  <c r="W502" i="131"/>
  <c r="T502" i="131"/>
  <c r="X502" i="131"/>
  <c r="V502" i="131"/>
  <c r="S502" i="131"/>
  <c r="S195" i="119" l="1"/>
  <c r="F195" i="119" s="1"/>
  <c r="S196" i="119" s="1"/>
  <c r="F196" i="119" s="1"/>
  <c r="S197" i="119" s="1"/>
  <c r="F197" i="119" s="1"/>
  <c r="S198" i="119" s="1"/>
  <c r="F198" i="119" s="1"/>
  <c r="S199" i="119" s="1"/>
  <c r="F199" i="119" s="1"/>
  <c r="S200" i="119" s="1"/>
  <c r="F200" i="119" s="1"/>
  <c r="S201" i="119" s="1"/>
  <c r="F201" i="119" s="1"/>
  <c r="S202" i="119" s="1"/>
  <c r="F202" i="119" s="1"/>
  <c r="S203" i="119" s="1"/>
  <c r="F203" i="119" s="1"/>
  <c r="S204" i="119" s="1"/>
  <c r="F204" i="119" s="1"/>
  <c r="S205" i="119" s="1"/>
  <c r="F205" i="119" s="1"/>
  <c r="S206" i="119" s="1"/>
  <c r="F206" i="119" s="1"/>
  <c r="S207" i="119" s="1"/>
  <c r="F207" i="119" s="1"/>
  <c r="S208" i="119" s="1"/>
  <c r="F208" i="119" s="1"/>
  <c r="S209" i="119" s="1"/>
  <c r="F209" i="119" s="1"/>
  <c r="S210" i="119" s="1"/>
  <c r="F210" i="119" s="1"/>
  <c r="S211" i="119" s="1"/>
  <c r="F211" i="119" s="1"/>
  <c r="S212" i="119" s="1"/>
  <c r="F212" i="119" s="1"/>
  <c r="F252" i="120" s="1"/>
  <c r="F254" i="120" s="1"/>
  <c r="F255" i="120" s="1"/>
  <c r="F256" i="120" s="1"/>
  <c r="F257" i="120" s="1"/>
  <c r="F258" i="120" s="1"/>
  <c r="F259" i="120" s="1"/>
  <c r="F260" i="120" s="1"/>
  <c r="F243" i="120"/>
  <c r="F244" i="120" s="1"/>
  <c r="F245" i="120" s="1"/>
  <c r="F246" i="120" s="1"/>
  <c r="F247" i="120" s="1"/>
  <c r="F248" i="120" s="1"/>
  <c r="F249" i="120" s="1"/>
  <c r="F250" i="120" s="1"/>
  <c r="F251" i="120" s="1"/>
  <c r="U110" i="123"/>
  <c r="H110" i="123" s="1"/>
  <c r="U111" i="123" s="1"/>
  <c r="H111" i="123" s="1"/>
  <c r="F65" i="126"/>
  <c r="S66" i="126" s="1"/>
  <c r="F66" i="126" s="1"/>
  <c r="S67" i="126" s="1"/>
  <c r="F67" i="126" s="1"/>
  <c r="S68" i="126" s="1"/>
  <c r="S134" i="110"/>
  <c r="F134" i="110" s="1"/>
  <c r="S135" i="110" s="1"/>
  <c r="F135" i="110" s="1"/>
  <c r="S136" i="110" s="1"/>
  <c r="F136" i="110" s="1"/>
  <c r="F153" i="134"/>
  <c r="F69" i="111"/>
  <c r="F70" i="111" s="1"/>
  <c r="F71" i="111" s="1"/>
  <c r="F72" i="111" s="1"/>
  <c r="R71" i="110" s="1"/>
  <c r="S67" i="110"/>
  <c r="F67" i="110" s="1"/>
  <c r="S68" i="110" s="1"/>
  <c r="F68" i="110" s="1"/>
  <c r="S69" i="110" s="1"/>
  <c r="F69" i="110" s="1"/>
  <c r="S70" i="110" s="1"/>
  <c r="F70" i="110" s="1"/>
  <c r="F209" i="128"/>
  <c r="F210" i="128" s="1"/>
  <c r="F211" i="128" s="1"/>
  <c r="F212" i="128" s="1"/>
  <c r="F213" i="128" s="1"/>
  <c r="F214" i="128" s="1"/>
  <c r="F215" i="128" s="1"/>
  <c r="F216" i="128"/>
  <c r="F217" i="128" s="1"/>
  <c r="F218" i="128" s="1"/>
  <c r="F219" i="128" s="1"/>
  <c r="F220" i="128" s="1"/>
  <c r="F221" i="128" s="1"/>
  <c r="F222" i="128" s="1"/>
  <c r="F223" i="128" s="1"/>
  <c r="F224" i="128" s="1"/>
  <c r="R245" i="126" s="1"/>
  <c r="F195" i="128"/>
  <c r="F196" i="128" s="1"/>
  <c r="F197" i="128" s="1"/>
  <c r="F198" i="128" s="1"/>
  <c r="F199" i="128" s="1"/>
  <c r="F200" i="128" s="1"/>
  <c r="F201" i="128" s="1"/>
  <c r="S215" i="126"/>
  <c r="F49" i="134"/>
  <c r="F60" i="119"/>
  <c r="F61" i="119" s="1"/>
  <c r="F62" i="119" s="1"/>
  <c r="S63" i="119"/>
  <c r="U250" i="123"/>
  <c r="H250" i="123" s="1"/>
  <c r="U251" i="123" s="1"/>
  <c r="H251" i="123" s="1"/>
  <c r="U252" i="123" s="1"/>
  <c r="H252" i="123" s="1"/>
  <c r="U253" i="123" s="1"/>
  <c r="H253" i="123" s="1"/>
  <c r="G240" i="131"/>
  <c r="T241" i="131" s="1"/>
  <c r="G241" i="131" s="1"/>
  <c r="T242" i="131" s="1"/>
  <c r="G242" i="131" s="1"/>
  <c r="F593" i="124"/>
  <c r="F594" i="124" s="1"/>
  <c r="F595" i="124" s="1"/>
  <c r="F596" i="124" s="1"/>
  <c r="F597" i="124" s="1"/>
  <c r="F598" i="124" s="1"/>
  <c r="F599" i="124" s="1"/>
  <c r="U468" i="123"/>
  <c r="H468" i="123" s="1"/>
  <c r="G349" i="131"/>
  <c r="T350" i="131" s="1"/>
  <c r="G350" i="131" s="1"/>
  <c r="G351" i="131" s="1"/>
  <c r="F714" i="124"/>
  <c r="F715" i="124" s="1"/>
  <c r="F716" i="124" s="1"/>
  <c r="F717" i="124" s="1"/>
  <c r="F718" i="124" s="1"/>
  <c r="F719" i="124" s="1"/>
  <c r="F720" i="124" s="1"/>
  <c r="U544" i="123"/>
  <c r="H544" i="123" s="1"/>
  <c r="V178" i="113"/>
  <c r="I178" i="113" s="1"/>
  <c r="V179" i="113" s="1"/>
  <c r="I179" i="113" s="1"/>
  <c r="F189" i="115"/>
  <c r="F190" i="115" s="1"/>
  <c r="F191" i="115" s="1"/>
  <c r="F192" i="115" s="1"/>
  <c r="U180" i="113" s="1"/>
  <c r="H130" i="132"/>
  <c r="E130" i="132" s="1"/>
  <c r="F130" i="132" s="1"/>
  <c r="F131" i="132" s="1"/>
  <c r="V82" i="113"/>
  <c r="I82" i="113" s="1"/>
  <c r="V83" i="113" s="1"/>
  <c r="I83" i="113" s="1"/>
  <c r="F60" i="115"/>
  <c r="F61" i="115" s="1"/>
  <c r="F62" i="115" s="1"/>
  <c r="F63" i="115" s="1"/>
  <c r="U84" i="113" s="1"/>
  <c r="F448" i="124"/>
  <c r="F449" i="124" s="1"/>
  <c r="F450" i="124" s="1"/>
  <c r="F451" i="124" s="1"/>
  <c r="F452" i="124" s="1"/>
  <c r="F453" i="124" s="1"/>
  <c r="F454" i="124" s="1"/>
  <c r="T364" i="123" s="1"/>
  <c r="U363" i="123"/>
  <c r="H363" i="123" s="1"/>
  <c r="F308" i="115"/>
  <c r="F309" i="115" s="1"/>
  <c r="F310" i="115" s="1"/>
  <c r="F311" i="115" s="1"/>
  <c r="F312" i="115" s="1"/>
  <c r="F313" i="115" s="1"/>
  <c r="F314" i="115" s="1"/>
  <c r="F315" i="115" s="1"/>
  <c r="U266" i="113" s="1"/>
  <c r="V264" i="113"/>
  <c r="I264" i="113" s="1"/>
  <c r="V265" i="113" s="1"/>
  <c r="I265" i="113" s="1"/>
  <c r="F390" i="115"/>
  <c r="F391" i="115" s="1"/>
  <c r="F392" i="115" s="1"/>
  <c r="F393" i="115" s="1"/>
  <c r="U332" i="113" s="1"/>
  <c r="V330" i="113"/>
  <c r="I330" i="113" s="1"/>
  <c r="V331" i="113" s="1"/>
  <c r="I331" i="113" s="1"/>
  <c r="T303" i="131"/>
  <c r="T432" i="139"/>
  <c r="G432" i="139" s="1"/>
  <c r="T433" i="139" s="1"/>
  <c r="G433" i="139" s="1"/>
  <c r="T434" i="139" s="1"/>
  <c r="G219" i="139"/>
  <c r="G220" i="139" s="1"/>
  <c r="W179" i="139"/>
  <c r="X179" i="139"/>
  <c r="S179" i="139"/>
  <c r="U179" i="139"/>
  <c r="V179" i="139"/>
  <c r="T179" i="139"/>
  <c r="S88" i="139"/>
  <c r="S158" i="139"/>
  <c r="S155" i="139"/>
  <c r="T155" i="139" s="1"/>
  <c r="G155" i="139" s="1"/>
  <c r="T156" i="139" s="1"/>
  <c r="G156" i="139" s="1"/>
  <c r="S85" i="139"/>
  <c r="T85" i="139" s="1"/>
  <c r="G85" i="139" s="1"/>
  <c r="T86" i="139" s="1"/>
  <c r="G86" i="139" s="1"/>
  <c r="H30" i="131"/>
  <c r="R58" i="125" s="1"/>
  <c r="G30" i="131"/>
  <c r="R46" i="125" s="1"/>
  <c r="E30" i="131"/>
  <c r="R22" i="125" s="1"/>
  <c r="F30" i="131"/>
  <c r="R34" i="125" s="1"/>
  <c r="X503" i="131"/>
  <c r="S503" i="131"/>
  <c r="W503" i="131"/>
  <c r="V503" i="131"/>
  <c r="U503" i="131"/>
  <c r="T503" i="131"/>
  <c r="D30" i="131"/>
  <c r="R9" i="125" s="1"/>
  <c r="I30" i="131"/>
  <c r="R70" i="125" s="1"/>
  <c r="F126" i="124" l="1"/>
  <c r="F127" i="124" s="1"/>
  <c r="F128" i="124" s="1"/>
  <c r="F129" i="124" s="1"/>
  <c r="F130" i="124" s="1"/>
  <c r="F131" i="124" s="1"/>
  <c r="F132" i="124" s="1"/>
  <c r="T112" i="123" s="1"/>
  <c r="U112" i="123" s="1"/>
  <c r="H112" i="123" s="1"/>
  <c r="U113" i="123" s="1"/>
  <c r="H113" i="123" s="1"/>
  <c r="F253" i="120"/>
  <c r="R214" i="119"/>
  <c r="T326" i="131"/>
  <c r="F63" i="119"/>
  <c r="S64" i="119" s="1"/>
  <c r="F64" i="119" s="1"/>
  <c r="S65" i="119" s="1"/>
  <c r="F65" i="119" s="1"/>
  <c r="S66" i="119" s="1"/>
  <c r="F66" i="119" s="1"/>
  <c r="S67" i="119" s="1"/>
  <c r="F67" i="119" s="1"/>
  <c r="S68" i="119" s="1"/>
  <c r="F68" i="119" s="1"/>
  <c r="S69" i="119" s="1"/>
  <c r="F69" i="119" s="1"/>
  <c r="S70" i="119" s="1"/>
  <c r="F70" i="119" s="1"/>
  <c r="F215" i="126"/>
  <c r="S216" i="126" s="1"/>
  <c r="F216" i="126" s="1"/>
  <c r="S217" i="126" s="1"/>
  <c r="S154" i="134"/>
  <c r="F154" i="134" s="1"/>
  <c r="S155" i="134" s="1"/>
  <c r="F155" i="134" s="1"/>
  <c r="F262" i="120"/>
  <c r="R213" i="119"/>
  <c r="S213" i="119" s="1"/>
  <c r="F213" i="119" s="1"/>
  <c r="S50" i="134"/>
  <c r="F50" i="134" s="1"/>
  <c r="S51" i="134" s="1"/>
  <c r="F51" i="134" s="1"/>
  <c r="S52" i="134" s="1"/>
  <c r="F52" i="134" s="1"/>
  <c r="S53" i="134" s="1"/>
  <c r="F53" i="134" s="1"/>
  <c r="S54" i="134" s="1"/>
  <c r="F54" i="134" s="1"/>
  <c r="S55" i="134" s="1"/>
  <c r="F55" i="134" s="1"/>
  <c r="S56" i="134" s="1"/>
  <c r="F56" i="134" s="1"/>
  <c r="F59" i="136"/>
  <c r="F60" i="136" s="1"/>
  <c r="F61" i="136" s="1"/>
  <c r="F62" i="136" s="1"/>
  <c r="F63" i="136" s="1"/>
  <c r="F64" i="136" s="1"/>
  <c r="F65" i="136" s="1"/>
  <c r="R58" i="134" s="1"/>
  <c r="F68" i="126"/>
  <c r="S69" i="126" s="1"/>
  <c r="F69" i="126" s="1"/>
  <c r="S70" i="126" s="1"/>
  <c r="F70" i="126" s="1"/>
  <c r="S71" i="126" s="1"/>
  <c r="F88" i="111"/>
  <c r="F89" i="111" s="1"/>
  <c r="F90" i="111" s="1"/>
  <c r="F91" i="111" s="1"/>
  <c r="F92" i="111" s="1"/>
  <c r="F93" i="111" s="1"/>
  <c r="R73" i="110" s="1"/>
  <c r="S71" i="110"/>
  <c r="F71" i="110" s="1"/>
  <c r="S72" i="110" s="1"/>
  <c r="F72" i="110" s="1"/>
  <c r="F202" i="111"/>
  <c r="F203" i="111" s="1"/>
  <c r="F204" i="111" s="1"/>
  <c r="F205" i="111" s="1"/>
  <c r="F206" i="111" s="1"/>
  <c r="F207" i="111" s="1"/>
  <c r="F208" i="111" s="1"/>
  <c r="F209" i="111" s="1"/>
  <c r="S137" i="110"/>
  <c r="F137" i="110" s="1"/>
  <c r="S138" i="110" s="1"/>
  <c r="F138" i="110" s="1"/>
  <c r="S139" i="110" s="1"/>
  <c r="F139" i="110" s="1"/>
  <c r="S140" i="110" s="1"/>
  <c r="F140" i="110" s="1"/>
  <c r="S141" i="110" s="1"/>
  <c r="F141" i="110" s="1"/>
  <c r="F300" i="124"/>
  <c r="F301" i="124" s="1"/>
  <c r="F302" i="124" s="1"/>
  <c r="F303" i="124" s="1"/>
  <c r="F304" i="124" s="1"/>
  <c r="F305" i="124" s="1"/>
  <c r="F306" i="124" s="1"/>
  <c r="T254" i="123" s="1"/>
  <c r="U254" i="123" s="1"/>
  <c r="H254" i="123" s="1"/>
  <c r="U255" i="123" s="1"/>
  <c r="H255" i="123" s="1"/>
  <c r="W326" i="131"/>
  <c r="S326" i="131"/>
  <c r="U364" i="123"/>
  <c r="H364" i="123" s="1"/>
  <c r="U365" i="123" s="1"/>
  <c r="H365" i="123" s="1"/>
  <c r="F193" i="115"/>
  <c r="F194" i="115" s="1"/>
  <c r="F195" i="115" s="1"/>
  <c r="F196" i="115" s="1"/>
  <c r="U182" i="113" s="1"/>
  <c r="V180" i="113"/>
  <c r="I180" i="113" s="1"/>
  <c r="V181" i="113" s="1"/>
  <c r="I181" i="113" s="1"/>
  <c r="H124" i="132"/>
  <c r="E124" i="132" s="1"/>
  <c r="F124" i="132" s="1"/>
  <c r="F125" i="132" s="1"/>
  <c r="X326" i="131"/>
  <c r="S170" i="131"/>
  <c r="T170" i="131" s="1"/>
  <c r="S181" i="131"/>
  <c r="V266" i="113"/>
  <c r="I266" i="113" s="1"/>
  <c r="V267" i="113" s="1"/>
  <c r="I267" i="113" s="1"/>
  <c r="F316" i="115"/>
  <c r="F317" i="115" s="1"/>
  <c r="F318" i="115" s="1"/>
  <c r="F319" i="115" s="1"/>
  <c r="F320" i="115" s="1"/>
  <c r="F321" i="115" s="1"/>
  <c r="U268" i="113" s="1"/>
  <c r="T545" i="123"/>
  <c r="U545" i="123" s="1"/>
  <c r="H545" i="123" s="1"/>
  <c r="U546" i="123" s="1"/>
  <c r="H546" i="123" s="1"/>
  <c r="T469" i="123"/>
  <c r="U469" i="123" s="1"/>
  <c r="H469" i="123" s="1"/>
  <c r="U470" i="123" s="1"/>
  <c r="H470" i="123" s="1"/>
  <c r="X327" i="131"/>
  <c r="W327" i="131"/>
  <c r="S327" i="131"/>
  <c r="T327" i="131"/>
  <c r="U327" i="131"/>
  <c r="V327" i="131"/>
  <c r="G303" i="131"/>
  <c r="T304" i="131" s="1"/>
  <c r="G304" i="131" s="1"/>
  <c r="T305" i="131" s="1"/>
  <c r="G305" i="131" s="1"/>
  <c r="T306" i="131" s="1"/>
  <c r="G306" i="131" s="1"/>
  <c r="T307" i="131" s="1"/>
  <c r="G307" i="131" s="1"/>
  <c r="T308" i="131" s="1"/>
  <c r="G308" i="131" s="1"/>
  <c r="T309" i="131" s="1"/>
  <c r="G309" i="131" s="1"/>
  <c r="F64" i="115"/>
  <c r="F65" i="115" s="1"/>
  <c r="F66" i="115" s="1"/>
  <c r="F67" i="115" s="1"/>
  <c r="F68" i="115" s="1"/>
  <c r="F69" i="115" s="1"/>
  <c r="U86" i="113" s="1"/>
  <c r="V84" i="113"/>
  <c r="I84" i="113" s="1"/>
  <c r="V85" i="113" s="1"/>
  <c r="I85" i="113" s="1"/>
  <c r="U326" i="131"/>
  <c r="F394" i="115"/>
  <c r="F395" i="115" s="1"/>
  <c r="F396" i="115" s="1"/>
  <c r="F397" i="115" s="1"/>
  <c r="F398" i="115" s="1"/>
  <c r="F399" i="115" s="1"/>
  <c r="F400" i="115" s="1"/>
  <c r="F401" i="115" s="1"/>
  <c r="U334" i="113" s="1"/>
  <c r="V332" i="113"/>
  <c r="I332" i="113" s="1"/>
  <c r="V333" i="113" s="1"/>
  <c r="I333" i="113" s="1"/>
  <c r="V326" i="131"/>
  <c r="T243" i="131"/>
  <c r="F167" i="132"/>
  <c r="F168" i="132" s="1"/>
  <c r="F169" i="132" s="1"/>
  <c r="F170" i="132" s="1"/>
  <c r="F171" i="132" s="1"/>
  <c r="F172" i="132" s="1"/>
  <c r="F173" i="132" s="1"/>
  <c r="S253" i="131" s="1"/>
  <c r="F65" i="140"/>
  <c r="F66" i="140" s="1"/>
  <c r="F67" i="140" s="1"/>
  <c r="F68" i="140" s="1"/>
  <c r="F69" i="140" s="1"/>
  <c r="T87" i="139"/>
  <c r="G87" i="139" s="1"/>
  <c r="T88" i="139" s="1"/>
  <c r="G88" i="139" s="1"/>
  <c r="T89" i="139" s="1"/>
  <c r="G89" i="139" s="1"/>
  <c r="F160" i="140"/>
  <c r="F161" i="140" s="1"/>
  <c r="F162" i="140" s="1"/>
  <c r="F163" i="140" s="1"/>
  <c r="F164" i="140" s="1"/>
  <c r="T157" i="139"/>
  <c r="G157" i="139" s="1"/>
  <c r="T158" i="139" s="1"/>
  <c r="G158" i="139" s="1"/>
  <c r="T159" i="139" s="1"/>
  <c r="G159" i="139" s="1"/>
  <c r="T180" i="139"/>
  <c r="S180" i="139"/>
  <c r="X180" i="139"/>
  <c r="U180" i="139"/>
  <c r="V180" i="139"/>
  <c r="W180" i="139"/>
  <c r="G434" i="139"/>
  <c r="G435" i="139" s="1"/>
  <c r="S387" i="139"/>
  <c r="D30" i="139" s="1"/>
  <c r="R9" i="133" s="1"/>
  <c r="W387" i="139"/>
  <c r="H30" i="139" s="1"/>
  <c r="R58" i="133" s="1"/>
  <c r="V387" i="139"/>
  <c r="G30" i="139" s="1"/>
  <c r="R46" i="133" s="1"/>
  <c r="T387" i="139"/>
  <c r="E30" i="139" s="1"/>
  <c r="R22" i="133" s="1"/>
  <c r="U387" i="139"/>
  <c r="F30" i="139" s="1"/>
  <c r="R34" i="133" s="1"/>
  <c r="X387" i="139"/>
  <c r="I30" i="139" s="1"/>
  <c r="R70" i="133" s="1"/>
  <c r="R23" i="125"/>
  <c r="G31" i="131"/>
  <c r="H31" i="131"/>
  <c r="D31" i="131"/>
  <c r="I31" i="131"/>
  <c r="R71" i="125"/>
  <c r="R35" i="125"/>
  <c r="R47" i="125"/>
  <c r="E31" i="131"/>
  <c r="R11" i="125"/>
  <c r="R10" i="125" s="1"/>
  <c r="F31" i="131"/>
  <c r="R59" i="125"/>
  <c r="F46" i="120" l="1"/>
  <c r="F47" i="120" s="1"/>
  <c r="F48" i="120" s="1"/>
  <c r="F49" i="120" s="1"/>
  <c r="F50" i="120" s="1"/>
  <c r="F51" i="120" s="1"/>
  <c r="F52" i="120" s="1"/>
  <c r="F53" i="120" s="1"/>
  <c r="F54" i="120" s="1"/>
  <c r="R71" i="119" s="1"/>
  <c r="S71" i="119" s="1"/>
  <c r="F71" i="119" s="1"/>
  <c r="F55" i="120" s="1"/>
  <c r="F56" i="120" s="1"/>
  <c r="F57" i="120" s="1"/>
  <c r="F58" i="120" s="1"/>
  <c r="F59" i="120" s="1"/>
  <c r="F60" i="120" s="1"/>
  <c r="F61" i="120" s="1"/>
  <c r="R81" i="119" s="1"/>
  <c r="S214" i="119"/>
  <c r="F214" i="119" s="1"/>
  <c r="S215" i="119" s="1"/>
  <c r="F215" i="119" s="1"/>
  <c r="S216" i="119" s="1"/>
  <c r="F216" i="119" s="1"/>
  <c r="S217" i="119" s="1"/>
  <c r="F217" i="119" s="1"/>
  <c r="F261" i="120"/>
  <c r="F263" i="120" s="1"/>
  <c r="F264" i="120" s="1"/>
  <c r="F265" i="120" s="1"/>
  <c r="F266" i="120" s="1"/>
  <c r="F267" i="120" s="1"/>
  <c r="F268" i="120" s="1"/>
  <c r="F269" i="120" s="1"/>
  <c r="F94" i="111"/>
  <c r="F95" i="111" s="1"/>
  <c r="F96" i="111" s="1"/>
  <c r="F97" i="111" s="1"/>
  <c r="F98" i="111" s="1"/>
  <c r="F99" i="111" s="1"/>
  <c r="F100" i="111" s="1"/>
  <c r="F101" i="111" s="1"/>
  <c r="R75" i="110" s="1"/>
  <c r="S73" i="110"/>
  <c r="F73" i="110" s="1"/>
  <c r="F217" i="126"/>
  <c r="S218" i="126" s="1"/>
  <c r="F210" i="111"/>
  <c r="F211" i="111" s="1"/>
  <c r="F212" i="111" s="1"/>
  <c r="F213" i="111" s="1"/>
  <c r="F214" i="111" s="1"/>
  <c r="F215" i="111" s="1"/>
  <c r="S142" i="110"/>
  <c r="F142" i="110" s="1"/>
  <c r="S143" i="110" s="1"/>
  <c r="F143" i="110" s="1"/>
  <c r="S144" i="110" s="1"/>
  <c r="F144" i="110" s="1"/>
  <c r="S145" i="110" s="1"/>
  <c r="F145" i="110" s="1"/>
  <c r="S146" i="110" s="1"/>
  <c r="F146" i="110" s="1"/>
  <c r="S147" i="110" s="1"/>
  <c r="F147" i="110" s="1"/>
  <c r="S148" i="110" s="1"/>
  <c r="F148" i="110" s="1"/>
  <c r="S149" i="110" s="1"/>
  <c r="F149" i="110" s="1"/>
  <c r="S150" i="110" s="1"/>
  <c r="F150" i="110" s="1"/>
  <c r="S151" i="110" s="1"/>
  <c r="S156" i="134"/>
  <c r="F156" i="134" s="1"/>
  <c r="F245" i="136"/>
  <c r="F246" i="136" s="1"/>
  <c r="F247" i="136" s="1"/>
  <c r="F248" i="136" s="1"/>
  <c r="F249" i="136" s="1"/>
  <c r="F250" i="136" s="1"/>
  <c r="F251" i="136" s="1"/>
  <c r="R162" i="134" s="1"/>
  <c r="F238" i="136"/>
  <c r="F239" i="136" s="1"/>
  <c r="F240" i="136" s="1"/>
  <c r="F241" i="136" s="1"/>
  <c r="F242" i="136" s="1"/>
  <c r="F243" i="136" s="1"/>
  <c r="F244" i="136" s="1"/>
  <c r="R159" i="134" s="1"/>
  <c r="F71" i="126"/>
  <c r="S72" i="126" s="1"/>
  <c r="F72" i="126" s="1"/>
  <c r="S73" i="126" s="1"/>
  <c r="F73" i="126" s="1"/>
  <c r="S74" i="126" s="1"/>
  <c r="F74" i="126" s="1"/>
  <c r="F66" i="136"/>
  <c r="F67" i="136" s="1"/>
  <c r="F68" i="136" s="1"/>
  <c r="F69" i="136" s="1"/>
  <c r="F70" i="136" s="1"/>
  <c r="R60" i="134" s="1"/>
  <c r="S57" i="134"/>
  <c r="F57" i="134" s="1"/>
  <c r="S58" i="134" s="1"/>
  <c r="F58" i="134" s="1"/>
  <c r="U471" i="123"/>
  <c r="H471" i="123" s="1"/>
  <c r="F600" i="124"/>
  <c r="F601" i="124" s="1"/>
  <c r="F602" i="124" s="1"/>
  <c r="F603" i="124" s="1"/>
  <c r="F604" i="124" s="1"/>
  <c r="F605" i="124" s="1"/>
  <c r="F606" i="124" s="1"/>
  <c r="U547" i="123"/>
  <c r="H547" i="123" s="1"/>
  <c r="F721" i="124"/>
  <c r="F722" i="124" s="1"/>
  <c r="F723" i="124" s="1"/>
  <c r="F724" i="124" s="1"/>
  <c r="F725" i="124" s="1"/>
  <c r="F726" i="124" s="1"/>
  <c r="F727" i="124" s="1"/>
  <c r="F133" i="124"/>
  <c r="F134" i="124" s="1"/>
  <c r="F135" i="124" s="1"/>
  <c r="F136" i="124" s="1"/>
  <c r="F137" i="124" s="1"/>
  <c r="F138" i="124" s="1"/>
  <c r="F139" i="124" s="1"/>
  <c r="T115" i="123" s="1"/>
  <c r="U114" i="123"/>
  <c r="H114" i="123" s="1"/>
  <c r="F402" i="115"/>
  <c r="F403" i="115" s="1"/>
  <c r="F404" i="115" s="1"/>
  <c r="F405" i="115" s="1"/>
  <c r="F406" i="115" s="1"/>
  <c r="F407" i="115" s="1"/>
  <c r="U336" i="113" s="1"/>
  <c r="V334" i="113"/>
  <c r="I334" i="113" s="1"/>
  <c r="V335" i="113" s="1"/>
  <c r="I335" i="113" s="1"/>
  <c r="S172" i="131"/>
  <c r="S178" i="131"/>
  <c r="G170" i="131"/>
  <c r="T171" i="131" s="1"/>
  <c r="G171" i="131" s="1"/>
  <c r="F455" i="124"/>
  <c r="F456" i="124" s="1"/>
  <c r="F457" i="124" s="1"/>
  <c r="F458" i="124" s="1"/>
  <c r="F459" i="124" s="1"/>
  <c r="F460" i="124" s="1"/>
  <c r="F461" i="124" s="1"/>
  <c r="T367" i="123" s="1"/>
  <c r="U366" i="123"/>
  <c r="H366" i="123" s="1"/>
  <c r="F70" i="115"/>
  <c r="F71" i="115" s="1"/>
  <c r="F72" i="115" s="1"/>
  <c r="F73" i="115" s="1"/>
  <c r="U88" i="113" s="1"/>
  <c r="V86" i="113"/>
  <c r="I86" i="113" s="1"/>
  <c r="V87" i="113" s="1"/>
  <c r="I87" i="113" s="1"/>
  <c r="H67" i="132"/>
  <c r="E67" i="132" s="1"/>
  <c r="F67" i="132" s="1"/>
  <c r="F68" i="132" s="1"/>
  <c r="F307" i="124"/>
  <c r="F308" i="124" s="1"/>
  <c r="F309" i="124" s="1"/>
  <c r="F310" i="124" s="1"/>
  <c r="F311" i="124" s="1"/>
  <c r="F312" i="124" s="1"/>
  <c r="F313" i="124" s="1"/>
  <c r="T257" i="123" s="1"/>
  <c r="U256" i="123"/>
  <c r="H256" i="123" s="1"/>
  <c r="F197" i="115"/>
  <c r="F198" i="115" s="1"/>
  <c r="F199" i="115" s="1"/>
  <c r="F200" i="115" s="1"/>
  <c r="U184" i="113" s="1"/>
  <c r="V182" i="113"/>
  <c r="I182" i="113" s="1"/>
  <c r="V183" i="113" s="1"/>
  <c r="I183" i="113" s="1"/>
  <c r="H118" i="132"/>
  <c r="E118" i="132" s="1"/>
  <c r="F118" i="132" s="1"/>
  <c r="F119" i="132" s="1"/>
  <c r="S188" i="131" s="1"/>
  <c r="G243" i="131"/>
  <c r="T244" i="131" s="1"/>
  <c r="G244" i="131" s="1"/>
  <c r="T245" i="131" s="1"/>
  <c r="G245" i="131" s="1"/>
  <c r="T246" i="131" s="1"/>
  <c r="G246" i="131" s="1"/>
  <c r="T247" i="131" s="1"/>
  <c r="G247" i="131" s="1"/>
  <c r="T248" i="131" s="1"/>
  <c r="G248" i="131" s="1"/>
  <c r="T249" i="131" s="1"/>
  <c r="G249" i="131" s="1"/>
  <c r="T250" i="131" s="1"/>
  <c r="G250" i="131" s="1"/>
  <c r="T251" i="131" s="1"/>
  <c r="G251" i="131" s="1"/>
  <c r="T252" i="131" s="1"/>
  <c r="G252" i="131" s="1"/>
  <c r="T253" i="131" s="1"/>
  <c r="G253" i="131" s="1"/>
  <c r="T254" i="131" s="1"/>
  <c r="G254" i="131" s="1"/>
  <c r="T255" i="131" s="1"/>
  <c r="G255" i="131" s="1"/>
  <c r="T256" i="131" s="1"/>
  <c r="G256" i="131" s="1"/>
  <c r="V268" i="113"/>
  <c r="I268" i="113" s="1"/>
  <c r="V269" i="113" s="1"/>
  <c r="I269" i="113" s="1"/>
  <c r="F322" i="115"/>
  <c r="F323" i="115" s="1"/>
  <c r="F324" i="115" s="1"/>
  <c r="F325" i="115" s="1"/>
  <c r="U272" i="113" s="1"/>
  <c r="H190" i="132"/>
  <c r="E190" i="132" s="1"/>
  <c r="F190" i="132" s="1"/>
  <c r="F191" i="132" s="1"/>
  <c r="R47" i="133"/>
  <c r="R59" i="133"/>
  <c r="R11" i="133"/>
  <c r="F165" i="140"/>
  <c r="F166" i="140" s="1"/>
  <c r="F167" i="140" s="1"/>
  <c r="F168" i="140" s="1"/>
  <c r="F169" i="140" s="1"/>
  <c r="R23" i="133"/>
  <c r="V388" i="139"/>
  <c r="G31" i="139" s="1"/>
  <c r="W388" i="139"/>
  <c r="H31" i="139" s="1"/>
  <c r="S388" i="139"/>
  <c r="D31" i="139" s="1"/>
  <c r="T388" i="139"/>
  <c r="E31" i="139" s="1"/>
  <c r="U388" i="139"/>
  <c r="F31" i="139" s="1"/>
  <c r="X388" i="139"/>
  <c r="I31" i="139" s="1"/>
  <c r="F70" i="140"/>
  <c r="F71" i="140" s="1"/>
  <c r="F72" i="140" s="1"/>
  <c r="F73" i="140" s="1"/>
  <c r="F74" i="140" s="1"/>
  <c r="R35" i="133"/>
  <c r="R71" i="133"/>
  <c r="S160" i="139"/>
  <c r="T160" i="139" s="1"/>
  <c r="G160" i="139" s="1"/>
  <c r="T161" i="139" s="1"/>
  <c r="G161" i="139" s="1"/>
  <c r="T162" i="139" s="1"/>
  <c r="G162" i="139" s="1"/>
  <c r="S90" i="139"/>
  <c r="T90" i="139" s="1"/>
  <c r="G90" i="139" s="1"/>
  <c r="T91" i="139" s="1"/>
  <c r="G91" i="139" s="1"/>
  <c r="R36" i="125"/>
  <c r="R37" i="125"/>
  <c r="R25" i="125"/>
  <c r="R24" i="125"/>
  <c r="R72" i="125"/>
  <c r="R73" i="125"/>
  <c r="R48" i="125"/>
  <c r="R49" i="125"/>
  <c r="R61" i="125"/>
  <c r="R60" i="125"/>
  <c r="R31" i="125"/>
  <c r="R19" i="125"/>
  <c r="R6" i="125"/>
  <c r="R43" i="125"/>
  <c r="R67" i="125"/>
  <c r="R12" i="125"/>
  <c r="R8" i="125"/>
  <c r="R13" i="125"/>
  <c r="R55" i="125"/>
  <c r="S72" i="119" l="1"/>
  <c r="F72" i="119" s="1"/>
  <c r="S73" i="119" s="1"/>
  <c r="F73" i="119" s="1"/>
  <c r="S74" i="119" s="1"/>
  <c r="F74" i="119" s="1"/>
  <c r="S75" i="119" s="1"/>
  <c r="F75" i="119" s="1"/>
  <c r="S76" i="119" s="1"/>
  <c r="F76" i="119" s="1"/>
  <c r="S77" i="119" s="1"/>
  <c r="F77" i="119" s="1"/>
  <c r="S78" i="119" s="1"/>
  <c r="F78" i="119" s="1"/>
  <c r="S79" i="119" s="1"/>
  <c r="F79" i="119" s="1"/>
  <c r="S80" i="119" s="1"/>
  <c r="F80" i="119" s="1"/>
  <c r="S81" i="119" s="1"/>
  <c r="F81" i="119" s="1"/>
  <c r="F71" i="136"/>
  <c r="F72" i="136" s="1"/>
  <c r="F73" i="136" s="1"/>
  <c r="F74" i="136" s="1"/>
  <c r="F75" i="136" s="1"/>
  <c r="F76" i="136" s="1"/>
  <c r="F77" i="136" s="1"/>
  <c r="F78" i="136" s="1"/>
  <c r="F79" i="136" s="1"/>
  <c r="R62" i="134" s="1"/>
  <c r="S59" i="134"/>
  <c r="F59" i="134" s="1"/>
  <c r="S60" i="134" s="1"/>
  <c r="F60" i="134" s="1"/>
  <c r="S157" i="134"/>
  <c r="F157" i="134" s="1"/>
  <c r="S158" i="134" s="1"/>
  <c r="F158" i="134" s="1"/>
  <c r="S159" i="134" s="1"/>
  <c r="F159" i="134" s="1"/>
  <c r="S160" i="134" s="1"/>
  <c r="F160" i="134" s="1"/>
  <c r="S161" i="134" s="1"/>
  <c r="F161" i="134" s="1"/>
  <c r="S220" i="119"/>
  <c r="S218" i="119"/>
  <c r="F218" i="119" s="1"/>
  <c r="F218" i="126"/>
  <c r="S219" i="126" s="1"/>
  <c r="F219" i="126" s="1"/>
  <c r="F58" i="128"/>
  <c r="F59" i="128" s="1"/>
  <c r="F60" i="128" s="1"/>
  <c r="F61" i="128" s="1"/>
  <c r="F62" i="128" s="1"/>
  <c r="F63" i="128" s="1"/>
  <c r="F64" i="128" s="1"/>
  <c r="F65" i="128" s="1"/>
  <c r="F66" i="128" s="1"/>
  <c r="F67" i="128" s="1"/>
  <c r="R83" i="126" s="1"/>
  <c r="S75" i="126"/>
  <c r="F75" i="126" s="1"/>
  <c r="S76" i="126" s="1"/>
  <c r="F76" i="126" s="1"/>
  <c r="S77" i="126" s="1"/>
  <c r="F77" i="126" s="1"/>
  <c r="S78" i="126" s="1"/>
  <c r="F78" i="126" s="1"/>
  <c r="S79" i="126" s="1"/>
  <c r="F79" i="126" s="1"/>
  <c r="S80" i="126" s="1"/>
  <c r="F151" i="110"/>
  <c r="S157" i="110"/>
  <c r="F9" i="108"/>
  <c r="R224" i="119"/>
  <c r="F271" i="120"/>
  <c r="U367" i="123"/>
  <c r="H367" i="123" s="1"/>
  <c r="U368" i="123" s="1"/>
  <c r="H368" i="123" s="1"/>
  <c r="U369" i="123" s="1"/>
  <c r="H369" i="123" s="1"/>
  <c r="T172" i="131"/>
  <c r="G172" i="131" s="1"/>
  <c r="T173" i="131" s="1"/>
  <c r="G173" i="131" s="1"/>
  <c r="T174" i="131" s="1"/>
  <c r="G174" i="131" s="1"/>
  <c r="F104" i="132" s="1"/>
  <c r="F105" i="132" s="1"/>
  <c r="F106" i="132" s="1"/>
  <c r="F107" i="132" s="1"/>
  <c r="F108" i="132" s="1"/>
  <c r="F109" i="132" s="1"/>
  <c r="F110" i="132" s="1"/>
  <c r="F408" i="115"/>
  <c r="F409" i="115" s="1"/>
  <c r="F410" i="115" s="1"/>
  <c r="F411" i="115" s="1"/>
  <c r="U340" i="113" s="1"/>
  <c r="V336" i="113"/>
  <c r="I336" i="113" s="1"/>
  <c r="V337" i="113" s="1"/>
  <c r="I337" i="113" s="1"/>
  <c r="V338" i="113" s="1"/>
  <c r="I338" i="113" s="1"/>
  <c r="V339" i="113" s="1"/>
  <c r="I339" i="113" s="1"/>
  <c r="H226" i="132"/>
  <c r="E226" i="132" s="1"/>
  <c r="F226" i="132" s="1"/>
  <c r="F227" i="132" s="1"/>
  <c r="S310" i="131" s="1"/>
  <c r="T310" i="131" s="1"/>
  <c r="W206" i="131"/>
  <c r="S96" i="131"/>
  <c r="S88" i="131"/>
  <c r="T88" i="131" s="1"/>
  <c r="X206" i="131"/>
  <c r="F74" i="115"/>
  <c r="F75" i="115" s="1"/>
  <c r="F76" i="115" s="1"/>
  <c r="F77" i="115" s="1"/>
  <c r="U90" i="113" s="1"/>
  <c r="V88" i="113"/>
  <c r="I88" i="113" s="1"/>
  <c r="V89" i="113" s="1"/>
  <c r="I89" i="113" s="1"/>
  <c r="U115" i="123"/>
  <c r="H115" i="123" s="1"/>
  <c r="U116" i="123" s="1"/>
  <c r="H116" i="123" s="1"/>
  <c r="G258" i="131"/>
  <c r="T257" i="131"/>
  <c r="G257" i="131" s="1"/>
  <c r="V184" i="113"/>
  <c r="I184" i="113" s="1"/>
  <c r="V185" i="113" s="1"/>
  <c r="I185" i="113" s="1"/>
  <c r="F201" i="115"/>
  <c r="F202" i="115" s="1"/>
  <c r="F203" i="115" s="1"/>
  <c r="F204" i="115" s="1"/>
  <c r="F205" i="115" s="1"/>
  <c r="F206" i="115" s="1"/>
  <c r="F207" i="115" s="1"/>
  <c r="F208" i="115" s="1"/>
  <c r="U186" i="113" s="1"/>
  <c r="H112" i="132"/>
  <c r="E112" i="132" s="1"/>
  <c r="F112" i="132" s="1"/>
  <c r="F113" i="132" s="1"/>
  <c r="S191" i="131" s="1"/>
  <c r="V206" i="131"/>
  <c r="U206" i="131"/>
  <c r="T472" i="123"/>
  <c r="U472" i="123" s="1"/>
  <c r="H472" i="123" s="1"/>
  <c r="U473" i="123" s="1"/>
  <c r="H473" i="123" s="1"/>
  <c r="T548" i="123"/>
  <c r="U548" i="123" s="1"/>
  <c r="H548" i="123" s="1"/>
  <c r="U549" i="123" s="1"/>
  <c r="H549" i="123" s="1"/>
  <c r="S206" i="131"/>
  <c r="T206" i="131"/>
  <c r="U257" i="123"/>
  <c r="H257" i="123" s="1"/>
  <c r="U258" i="123" s="1"/>
  <c r="H258" i="123" s="1"/>
  <c r="F75" i="140"/>
  <c r="F76" i="140" s="1"/>
  <c r="F77" i="140" s="1"/>
  <c r="F78" i="140" s="1"/>
  <c r="F79" i="140" s="1"/>
  <c r="S101" i="139" s="1"/>
  <c r="T92" i="139"/>
  <c r="G92" i="139" s="1"/>
  <c r="R12" i="133"/>
  <c r="R13" i="133"/>
  <c r="R8" i="133"/>
  <c r="R6" i="133"/>
  <c r="R37" i="133"/>
  <c r="R36" i="133"/>
  <c r="R10" i="133"/>
  <c r="R61" i="133"/>
  <c r="R60" i="133"/>
  <c r="R72" i="133"/>
  <c r="R73" i="133"/>
  <c r="R24" i="133"/>
  <c r="R25" i="133"/>
  <c r="S163" i="139"/>
  <c r="T163" i="139" s="1"/>
  <c r="G163" i="139" s="1"/>
  <c r="T164" i="139" s="1"/>
  <c r="G164" i="139" s="1"/>
  <c r="T165" i="139" s="1"/>
  <c r="S93" i="139"/>
  <c r="R49" i="133"/>
  <c r="R48" i="133"/>
  <c r="R62" i="125"/>
  <c r="R57" i="125"/>
  <c r="R14" i="125"/>
  <c r="R50" i="125"/>
  <c r="R21" i="125"/>
  <c r="R45" i="125"/>
  <c r="R74" i="125"/>
  <c r="R26" i="125"/>
  <c r="R38" i="125"/>
  <c r="R69" i="125"/>
  <c r="R33" i="125"/>
  <c r="S82" i="119" l="1"/>
  <c r="F82" i="119" s="1"/>
  <c r="S83" i="119" s="1"/>
  <c r="F83" i="119" s="1"/>
  <c r="S84" i="119" s="1"/>
  <c r="F84" i="119" s="1"/>
  <c r="S85" i="119" s="1"/>
  <c r="F85" i="119" s="1"/>
  <c r="S86" i="119" s="1"/>
  <c r="F86" i="119" s="1"/>
  <c r="S87" i="119" s="1"/>
  <c r="F87" i="119" s="1"/>
  <c r="S88" i="119" s="1"/>
  <c r="F88" i="119" s="1"/>
  <c r="S89" i="119" s="1"/>
  <c r="F89" i="119" s="1"/>
  <c r="S90" i="119" s="1"/>
  <c r="F90" i="119" s="1"/>
  <c r="F62" i="120"/>
  <c r="F63" i="120" s="1"/>
  <c r="F64" i="120" s="1"/>
  <c r="F65" i="120" s="1"/>
  <c r="F66" i="120" s="1"/>
  <c r="F67" i="120" s="1"/>
  <c r="F68" i="120" s="1"/>
  <c r="R91" i="119" s="1"/>
  <c r="S162" i="134"/>
  <c r="F162" i="134" s="1"/>
  <c r="S163" i="134" s="1"/>
  <c r="F163" i="134" s="1"/>
  <c r="S164" i="134" s="1"/>
  <c r="F164" i="134" s="1"/>
  <c r="F252" i="136"/>
  <c r="F253" i="136" s="1"/>
  <c r="F254" i="136" s="1"/>
  <c r="F255" i="136" s="1"/>
  <c r="F256" i="136" s="1"/>
  <c r="R165" i="134" s="1"/>
  <c r="F462" i="124"/>
  <c r="F463" i="124" s="1"/>
  <c r="F464" i="124" s="1"/>
  <c r="F465" i="124" s="1"/>
  <c r="F466" i="124" s="1"/>
  <c r="F467" i="124" s="1"/>
  <c r="F468" i="124" s="1"/>
  <c r="T370" i="123" s="1"/>
  <c r="U370" i="123" s="1"/>
  <c r="H370" i="123" s="1"/>
  <c r="U371" i="123" s="1"/>
  <c r="H371" i="123" s="1"/>
  <c r="F80" i="126"/>
  <c r="S81" i="126" s="1"/>
  <c r="F81" i="126" s="1"/>
  <c r="S82" i="126" s="1"/>
  <c r="F82" i="126" s="1"/>
  <c r="F80" i="136"/>
  <c r="F81" i="136" s="1"/>
  <c r="F82" i="136" s="1"/>
  <c r="F83" i="136" s="1"/>
  <c r="F84" i="136" s="1"/>
  <c r="F85" i="136" s="1"/>
  <c r="F86" i="136" s="1"/>
  <c r="F87" i="136" s="1"/>
  <c r="F88" i="136" s="1"/>
  <c r="R68" i="134" s="1"/>
  <c r="S61" i="134"/>
  <c r="F61" i="134" s="1"/>
  <c r="S220" i="126"/>
  <c r="F220" i="126" s="1"/>
  <c r="S221" i="126" s="1"/>
  <c r="F221" i="126" s="1"/>
  <c r="S222" i="126" s="1"/>
  <c r="F202" i="128"/>
  <c r="F203" i="128" s="1"/>
  <c r="F204" i="128" s="1"/>
  <c r="F205" i="128" s="1"/>
  <c r="F206" i="128" s="1"/>
  <c r="F207" i="128" s="1"/>
  <c r="F208" i="128" s="1"/>
  <c r="R228" i="126" s="1"/>
  <c r="F58" i="108"/>
  <c r="F22" i="108"/>
  <c r="F34" i="108"/>
  <c r="F70" i="108"/>
  <c r="F46" i="108"/>
  <c r="F13" i="108"/>
  <c r="F14" i="108" s="1"/>
  <c r="F15" i="108" s="1"/>
  <c r="F11" i="108"/>
  <c r="T175" i="131"/>
  <c r="G175" i="131" s="1"/>
  <c r="T176" i="131" s="1"/>
  <c r="S152" i="110"/>
  <c r="F152" i="110" s="1"/>
  <c r="S153" i="110" s="1"/>
  <c r="F153" i="110" s="1"/>
  <c r="S154" i="110" s="1"/>
  <c r="F154" i="110" s="1"/>
  <c r="F216" i="111"/>
  <c r="F217" i="111" s="1"/>
  <c r="F218" i="111" s="1"/>
  <c r="F219" i="111" s="1"/>
  <c r="F220" i="111" s="1"/>
  <c r="F221" i="111"/>
  <c r="F222" i="111" s="1"/>
  <c r="F223" i="111" s="1"/>
  <c r="S219" i="119"/>
  <c r="F219" i="119" s="1"/>
  <c r="F220" i="119" s="1"/>
  <c r="S221" i="119"/>
  <c r="F728" i="124"/>
  <c r="F729" i="124" s="1"/>
  <c r="F730" i="124" s="1"/>
  <c r="F731" i="124" s="1"/>
  <c r="F732" i="124" s="1"/>
  <c r="F733" i="124" s="1"/>
  <c r="F734" i="124" s="1"/>
  <c r="U550" i="123"/>
  <c r="H550" i="123" s="1"/>
  <c r="U259" i="123"/>
  <c r="H259" i="123" s="1"/>
  <c r="F314" i="124"/>
  <c r="F315" i="124" s="1"/>
  <c r="F316" i="124" s="1"/>
  <c r="F317" i="124" s="1"/>
  <c r="F318" i="124" s="1"/>
  <c r="F319" i="124" s="1"/>
  <c r="F320" i="124" s="1"/>
  <c r="T260" i="123" s="1"/>
  <c r="G88" i="131"/>
  <c r="T89" i="131" s="1"/>
  <c r="G89" i="131" s="1"/>
  <c r="T90" i="131" s="1"/>
  <c r="G90" i="131" s="1"/>
  <c r="T91" i="131" s="1"/>
  <c r="G91" i="131" s="1"/>
  <c r="T92" i="131" s="1"/>
  <c r="G92" i="131" s="1"/>
  <c r="T207" i="131"/>
  <c r="X207" i="131"/>
  <c r="V207" i="131"/>
  <c r="U207" i="131"/>
  <c r="S207" i="131"/>
  <c r="W207" i="131"/>
  <c r="F140" i="124"/>
  <c r="F141" i="124" s="1"/>
  <c r="F142" i="124" s="1"/>
  <c r="F143" i="124" s="1"/>
  <c r="F144" i="124" s="1"/>
  <c r="F145" i="124" s="1"/>
  <c r="F146" i="124" s="1"/>
  <c r="T118" i="123" s="1"/>
  <c r="U117" i="123"/>
  <c r="H117" i="123" s="1"/>
  <c r="G310" i="131"/>
  <c r="T311" i="131" s="1"/>
  <c r="G311" i="131" s="1"/>
  <c r="T312" i="131" s="1"/>
  <c r="V340" i="113"/>
  <c r="I340" i="113" s="1"/>
  <c r="V341" i="113" s="1"/>
  <c r="I341" i="113" s="1"/>
  <c r="F607" i="124"/>
  <c r="F608" i="124" s="1"/>
  <c r="F609" i="124" s="1"/>
  <c r="F610" i="124" s="1"/>
  <c r="F611" i="124" s="1"/>
  <c r="F612" i="124" s="1"/>
  <c r="F613" i="124" s="1"/>
  <c r="U474" i="123"/>
  <c r="H474" i="123" s="1"/>
  <c r="V186" i="113"/>
  <c r="I186" i="113" s="1"/>
  <c r="V187" i="113" s="1"/>
  <c r="I187" i="113" s="1"/>
  <c r="F209" i="115"/>
  <c r="F210" i="115" s="1"/>
  <c r="F211" i="115" s="1"/>
  <c r="F212" i="115" s="1"/>
  <c r="F213" i="115" s="1"/>
  <c r="F214" i="115" s="1"/>
  <c r="U188" i="113" s="1"/>
  <c r="F78" i="115"/>
  <c r="F79" i="115" s="1"/>
  <c r="F80" i="115" s="1"/>
  <c r="F81" i="115" s="1"/>
  <c r="U92" i="113" s="1"/>
  <c r="V90" i="113"/>
  <c r="I90" i="113" s="1"/>
  <c r="V91" i="113" s="1"/>
  <c r="I91" i="113" s="1"/>
  <c r="H55" i="132"/>
  <c r="E55" i="132" s="1"/>
  <c r="F55" i="132" s="1"/>
  <c r="F56" i="132" s="1"/>
  <c r="S106" i="131" s="1"/>
  <c r="G165" i="139"/>
  <c r="G166" i="139" s="1"/>
  <c r="U118" i="139"/>
  <c r="T118" i="139"/>
  <c r="W118" i="139"/>
  <c r="S118" i="139"/>
  <c r="X118" i="139"/>
  <c r="V118" i="139"/>
  <c r="R62" i="133"/>
  <c r="R14" i="133"/>
  <c r="R38" i="133"/>
  <c r="R50" i="133"/>
  <c r="R26" i="133"/>
  <c r="T93" i="139"/>
  <c r="G93" i="139" s="1"/>
  <c r="T94" i="139" s="1"/>
  <c r="G94" i="139" s="1"/>
  <c r="T95" i="139" s="1"/>
  <c r="G95" i="139" s="1"/>
  <c r="T96" i="139" s="1"/>
  <c r="G96" i="139" s="1"/>
  <c r="T97" i="139" s="1"/>
  <c r="G97" i="139" s="1"/>
  <c r="T98" i="139" s="1"/>
  <c r="G98" i="139" s="1"/>
  <c r="T99" i="139" s="1"/>
  <c r="G99" i="139" s="1"/>
  <c r="T100" i="139" s="1"/>
  <c r="G100" i="139" s="1"/>
  <c r="T101" i="139" s="1"/>
  <c r="G101" i="139" s="1"/>
  <c r="T102" i="139" s="1"/>
  <c r="G102" i="139" s="1"/>
  <c r="T103" i="139" s="1"/>
  <c r="G103" i="139" s="1"/>
  <c r="T104" i="139" s="1"/>
  <c r="R74" i="133"/>
  <c r="R15" i="125"/>
  <c r="R63" i="125"/>
  <c r="R75" i="125"/>
  <c r="R39" i="125"/>
  <c r="R51" i="125"/>
  <c r="R27" i="125"/>
  <c r="S91" i="119" l="1"/>
  <c r="F91" i="119" s="1"/>
  <c r="F69" i="120" s="1"/>
  <c r="F70" i="120" s="1"/>
  <c r="F71" i="120" s="1"/>
  <c r="F72" i="120" s="1"/>
  <c r="F73" i="120" s="1"/>
  <c r="F74" i="120" s="1"/>
  <c r="F75" i="120" s="1"/>
  <c r="R101" i="119" s="1"/>
  <c r="U372" i="123"/>
  <c r="H372" i="123" s="1"/>
  <c r="F469" i="124"/>
  <c r="F470" i="124" s="1"/>
  <c r="F471" i="124" s="1"/>
  <c r="F472" i="124" s="1"/>
  <c r="F473" i="124" s="1"/>
  <c r="F474" i="124" s="1"/>
  <c r="F475" i="124" s="1"/>
  <c r="T373" i="123" s="1"/>
  <c r="F155" i="110"/>
  <c r="E155" i="110"/>
  <c r="F59" i="108"/>
  <c r="F60" i="108" s="1"/>
  <c r="F61" i="108"/>
  <c r="F62" i="108" s="1"/>
  <c r="F63" i="108" s="1"/>
  <c r="F12" i="108"/>
  <c r="F6" i="108"/>
  <c r="F8" i="108"/>
  <c r="F222" i="126"/>
  <c r="S223" i="126" s="1"/>
  <c r="F223" i="126" s="1"/>
  <c r="S224" i="126" s="1"/>
  <c r="F224" i="126" s="1"/>
  <c r="S225" i="126" s="1"/>
  <c r="F224" i="111"/>
  <c r="F225" i="111"/>
  <c r="F25" i="108"/>
  <c r="F26" i="108" s="1"/>
  <c r="F27" i="108" s="1"/>
  <c r="F23" i="108"/>
  <c r="F24" i="108" s="1"/>
  <c r="F10" i="108"/>
  <c r="F221" i="119"/>
  <c r="F73" i="108"/>
  <c r="F74" i="108" s="1"/>
  <c r="F75" i="108" s="1"/>
  <c r="F71" i="108"/>
  <c r="F72" i="108" s="1"/>
  <c r="S223" i="119"/>
  <c r="S222" i="119"/>
  <c r="F37" i="108"/>
  <c r="F38" i="108" s="1"/>
  <c r="F39" i="108" s="1"/>
  <c r="F35" i="108"/>
  <c r="F36" i="108" s="1"/>
  <c r="S165" i="134"/>
  <c r="F165" i="134" s="1"/>
  <c r="S166" i="134" s="1"/>
  <c r="F166" i="134" s="1"/>
  <c r="S167" i="134" s="1"/>
  <c r="F167" i="134" s="1"/>
  <c r="F257" i="136"/>
  <c r="F258" i="136" s="1"/>
  <c r="F259" i="136" s="1"/>
  <c r="F260" i="136" s="1"/>
  <c r="F261" i="136" s="1"/>
  <c r="F262" i="136" s="1"/>
  <c r="F263" i="136" s="1"/>
  <c r="R174" i="134" s="1"/>
  <c r="F112" i="136"/>
  <c r="F113" i="136" s="1"/>
  <c r="F114" i="136" s="1"/>
  <c r="F115" i="136" s="1"/>
  <c r="F116" i="136" s="1"/>
  <c r="F117" i="136" s="1"/>
  <c r="F118" i="136" s="1"/>
  <c r="S62" i="134"/>
  <c r="F62" i="134" s="1"/>
  <c r="S63" i="134" s="1"/>
  <c r="F63" i="134" s="1"/>
  <c r="S64" i="134" s="1"/>
  <c r="F64" i="134" s="1"/>
  <c r="S65" i="134" s="1"/>
  <c r="F65" i="134" s="1"/>
  <c r="S66" i="134" s="1"/>
  <c r="F66" i="134" s="1"/>
  <c r="S67" i="134" s="1"/>
  <c r="F67" i="134" s="1"/>
  <c r="F49" i="108"/>
  <c r="F50" i="108" s="1"/>
  <c r="F51" i="108" s="1"/>
  <c r="F47" i="108"/>
  <c r="F48" i="108" s="1"/>
  <c r="F68" i="128"/>
  <c r="F69" i="128" s="1"/>
  <c r="F70" i="128" s="1"/>
  <c r="F71" i="128" s="1"/>
  <c r="F72" i="128" s="1"/>
  <c r="F73" i="128" s="1"/>
  <c r="F74" i="128" s="1"/>
  <c r="F75" i="128" s="1"/>
  <c r="F76" i="128" s="1"/>
  <c r="F77" i="128" s="1"/>
  <c r="F78" i="128" s="1"/>
  <c r="R88" i="126" s="1"/>
  <c r="S83" i="126"/>
  <c r="F83" i="126" s="1"/>
  <c r="S84" i="126" s="1"/>
  <c r="F84" i="126" s="1"/>
  <c r="S85" i="126" s="1"/>
  <c r="U118" i="123"/>
  <c r="H118" i="123" s="1"/>
  <c r="U119" i="123" s="1"/>
  <c r="H119" i="123" s="1"/>
  <c r="F147" i="124" s="1"/>
  <c r="F148" i="124" s="1"/>
  <c r="F149" i="124" s="1"/>
  <c r="F150" i="124" s="1"/>
  <c r="F151" i="124" s="1"/>
  <c r="F152" i="124" s="1"/>
  <c r="F153" i="124" s="1"/>
  <c r="T121" i="123" s="1"/>
  <c r="V92" i="113"/>
  <c r="I92" i="113" s="1"/>
  <c r="V93" i="113" s="1"/>
  <c r="I93" i="113" s="1"/>
  <c r="F82" i="115"/>
  <c r="F83" i="115" s="1"/>
  <c r="F84" i="115" s="1"/>
  <c r="F85" i="115" s="1"/>
  <c r="F86" i="115" s="1"/>
  <c r="F87" i="115" s="1"/>
  <c r="F88" i="115" s="1"/>
  <c r="F89" i="115" s="1"/>
  <c r="U94" i="113" s="1"/>
  <c r="H49" i="132"/>
  <c r="E49" i="132" s="1"/>
  <c r="F49" i="132" s="1"/>
  <c r="F50" i="132" s="1"/>
  <c r="S109" i="131" s="1"/>
  <c r="W271" i="131"/>
  <c r="G312" i="131"/>
  <c r="G313" i="131" s="1"/>
  <c r="U260" i="123"/>
  <c r="H260" i="123" s="1"/>
  <c r="V271" i="131"/>
  <c r="F215" i="115"/>
  <c r="F216" i="115" s="1"/>
  <c r="F217" i="115" s="1"/>
  <c r="F218" i="115" s="1"/>
  <c r="U192" i="113" s="1"/>
  <c r="V188" i="113"/>
  <c r="I188" i="113" s="1"/>
  <c r="V189" i="113" s="1"/>
  <c r="I189" i="113" s="1"/>
  <c r="H133" i="132"/>
  <c r="E133" i="132" s="1"/>
  <c r="F133" i="132" s="1"/>
  <c r="F134" i="132" s="1"/>
  <c r="U271" i="131"/>
  <c r="S271" i="131"/>
  <c r="G176" i="131"/>
  <c r="T177" i="131" s="1"/>
  <c r="T551" i="123"/>
  <c r="U551" i="123" s="1"/>
  <c r="H551" i="123" s="1"/>
  <c r="U552" i="123" s="1"/>
  <c r="H552" i="123" s="1"/>
  <c r="T475" i="123"/>
  <c r="U475" i="123" s="1"/>
  <c r="H475" i="123" s="1"/>
  <c r="U476" i="123" s="1"/>
  <c r="H476" i="123" s="1"/>
  <c r="X271" i="131"/>
  <c r="V342" i="113"/>
  <c r="I342" i="113" s="1"/>
  <c r="V343" i="113" s="1"/>
  <c r="I343" i="113" s="1"/>
  <c r="V344" i="113" s="1"/>
  <c r="I344" i="113" s="1"/>
  <c r="V345" i="113" s="1"/>
  <c r="H220" i="132"/>
  <c r="E220" i="132" s="1"/>
  <c r="F220" i="132" s="1"/>
  <c r="F221" i="132" s="1"/>
  <c r="T271" i="131"/>
  <c r="F35" i="132"/>
  <c r="F36" i="132" s="1"/>
  <c r="F37" i="132" s="1"/>
  <c r="F38" i="132" s="1"/>
  <c r="F39" i="132" s="1"/>
  <c r="F40" i="132" s="1"/>
  <c r="F41" i="132" s="1"/>
  <c r="S103" i="131" s="1"/>
  <c r="T93" i="131"/>
  <c r="R27" i="133"/>
  <c r="R75" i="133"/>
  <c r="G104" i="139"/>
  <c r="G105" i="139" s="1"/>
  <c r="S43" i="139"/>
  <c r="D25" i="139" s="1"/>
  <c r="T43" i="139"/>
  <c r="E25" i="139" s="1"/>
  <c r="U43" i="139"/>
  <c r="F25" i="139" s="1"/>
  <c r="H34" i="133" s="1"/>
  <c r="X43" i="139"/>
  <c r="I25" i="139" s="1"/>
  <c r="H70" i="133" s="1"/>
  <c r="W43" i="139"/>
  <c r="H25" i="139" s="1"/>
  <c r="H58" i="133" s="1"/>
  <c r="V43" i="139"/>
  <c r="G25" i="139" s="1"/>
  <c r="H46" i="133" s="1"/>
  <c r="R15" i="133"/>
  <c r="R39" i="133"/>
  <c r="R63" i="133"/>
  <c r="R51" i="133"/>
  <c r="T119" i="139"/>
  <c r="X119" i="139"/>
  <c r="U119" i="139"/>
  <c r="S119" i="139"/>
  <c r="W119" i="139"/>
  <c r="V119" i="139"/>
  <c r="U373" i="123" l="1"/>
  <c r="H373" i="123" s="1"/>
  <c r="U374" i="123" s="1"/>
  <c r="H374" i="123" s="1"/>
  <c r="U375" i="123" s="1"/>
  <c r="H375" i="123" s="1"/>
  <c r="S92" i="119"/>
  <c r="F92" i="119" s="1"/>
  <c r="S93" i="119" s="1"/>
  <c r="F93" i="119" s="1"/>
  <c r="S94" i="119" s="1"/>
  <c r="F94" i="119" s="1"/>
  <c r="S95" i="119" s="1"/>
  <c r="F95" i="119" s="1"/>
  <c r="S96" i="119" s="1"/>
  <c r="F96" i="119" s="1"/>
  <c r="S97" i="119" s="1"/>
  <c r="F97" i="119" s="1"/>
  <c r="S98" i="119" s="1"/>
  <c r="F98" i="119" s="1"/>
  <c r="S99" i="119" s="1"/>
  <c r="F99" i="119" s="1"/>
  <c r="S100" i="119" s="1"/>
  <c r="F100" i="119" s="1"/>
  <c r="S101" i="119" s="1"/>
  <c r="F101" i="119" s="1"/>
  <c r="S102" i="119" s="1"/>
  <c r="F102" i="119" s="1"/>
  <c r="S103" i="119" s="1"/>
  <c r="F103" i="119" s="1"/>
  <c r="S104" i="119" s="1"/>
  <c r="F104" i="119" s="1"/>
  <c r="S105" i="119" s="1"/>
  <c r="F105" i="119" s="1"/>
  <c r="S106" i="119" s="1"/>
  <c r="F106" i="119" s="1"/>
  <c r="S107" i="119" s="1"/>
  <c r="F107" i="119" s="1"/>
  <c r="S108" i="119" s="1"/>
  <c r="F108" i="119" s="1"/>
  <c r="S109" i="119" s="1"/>
  <c r="F109" i="119" s="1"/>
  <c r="S110" i="119" s="1"/>
  <c r="F110" i="119" s="1"/>
  <c r="F222" i="119"/>
  <c r="F223" i="119" s="1"/>
  <c r="S224" i="119" s="1"/>
  <c r="F224" i="119" s="1"/>
  <c r="S225" i="119" s="1"/>
  <c r="F225" i="119" s="1"/>
  <c r="S226" i="119" s="1"/>
  <c r="F226" i="119" s="1"/>
  <c r="S227" i="119" s="1"/>
  <c r="F227" i="119" s="1"/>
  <c r="S228" i="119" s="1"/>
  <c r="F228" i="119" s="1"/>
  <c r="E159" i="110"/>
  <c r="H158" i="110"/>
  <c r="H156" i="110"/>
  <c r="H157" i="110"/>
  <c r="F85" i="126"/>
  <c r="S86" i="126" s="1"/>
  <c r="F86" i="126" s="1"/>
  <c r="S87" i="126" s="1"/>
  <c r="F87" i="126" s="1"/>
  <c r="S168" i="134"/>
  <c r="F168" i="134" s="1"/>
  <c r="S169" i="134" s="1"/>
  <c r="F169" i="134" s="1"/>
  <c r="S170" i="134" s="1"/>
  <c r="F170" i="134" s="1"/>
  <c r="S171" i="134" s="1"/>
  <c r="F171" i="134" s="1"/>
  <c r="S172" i="134" s="1"/>
  <c r="F172" i="134" s="1"/>
  <c r="S173" i="134" s="1"/>
  <c r="F173" i="134" s="1"/>
  <c r="S174" i="134" s="1"/>
  <c r="F174" i="134" s="1"/>
  <c r="S175" i="134" s="1"/>
  <c r="F175" i="134" s="1"/>
  <c r="S176" i="134" s="1"/>
  <c r="F176" i="134" s="1"/>
  <c r="F264" i="136"/>
  <c r="F265" i="136" s="1"/>
  <c r="F266" i="136" s="1"/>
  <c r="F267" i="136" s="1"/>
  <c r="F268" i="136" s="1"/>
  <c r="F269" i="136" s="1"/>
  <c r="F270" i="136" s="1"/>
  <c r="R177" i="134" s="1"/>
  <c r="F225" i="126"/>
  <c r="S226" i="126" s="1"/>
  <c r="F226" i="126" s="1"/>
  <c r="S227" i="126" s="1"/>
  <c r="F227" i="126" s="1"/>
  <c r="S228" i="126" s="1"/>
  <c r="F228" i="126" s="1"/>
  <c r="S229" i="126" s="1"/>
  <c r="F229" i="126" s="1"/>
  <c r="S230" i="126" s="1"/>
  <c r="U120" i="123"/>
  <c r="H120" i="123" s="1"/>
  <c r="U121" i="123" s="1"/>
  <c r="H121" i="123" s="1"/>
  <c r="U122" i="123" s="1"/>
  <c r="H122" i="123" s="1"/>
  <c r="F89" i="136"/>
  <c r="F90" i="136" s="1"/>
  <c r="F91" i="136" s="1"/>
  <c r="F92" i="136" s="1"/>
  <c r="F93" i="136" s="1"/>
  <c r="F94" i="136" s="1"/>
  <c r="F95" i="136" s="1"/>
  <c r="R71" i="134" s="1"/>
  <c r="S68" i="134"/>
  <c r="F68" i="134" s="1"/>
  <c r="S69" i="134" s="1"/>
  <c r="F69" i="134" s="1"/>
  <c r="S70" i="134" s="1"/>
  <c r="F70" i="134" s="1"/>
  <c r="F614" i="124"/>
  <c r="F615" i="124" s="1"/>
  <c r="F616" i="124" s="1"/>
  <c r="F617" i="124" s="1"/>
  <c r="F618" i="124" s="1"/>
  <c r="F619" i="124" s="1"/>
  <c r="F620" i="124" s="1"/>
  <c r="U477" i="123"/>
  <c r="H477" i="123" s="1"/>
  <c r="X272" i="131"/>
  <c r="W272" i="131"/>
  <c r="V272" i="131"/>
  <c r="T272" i="131"/>
  <c r="S272" i="131"/>
  <c r="U272" i="131"/>
  <c r="I345" i="113"/>
  <c r="I346" i="113" s="1"/>
  <c r="W296" i="113"/>
  <c r="U296" i="113"/>
  <c r="V296" i="113"/>
  <c r="Z296" i="113"/>
  <c r="X296" i="113"/>
  <c r="Y296" i="113"/>
  <c r="G177" i="131"/>
  <c r="T178" i="131" s="1"/>
  <c r="F90" i="115"/>
  <c r="F91" i="115" s="1"/>
  <c r="F92" i="115" s="1"/>
  <c r="F93" i="115" s="1"/>
  <c r="F94" i="115" s="1"/>
  <c r="F95" i="115" s="1"/>
  <c r="V94" i="113"/>
  <c r="I94" i="113" s="1"/>
  <c r="V95" i="113" s="1"/>
  <c r="I95" i="113" s="1"/>
  <c r="H43" i="132"/>
  <c r="E43" i="132" s="1"/>
  <c r="F43" i="132" s="1"/>
  <c r="F44" i="132" s="1"/>
  <c r="S118" i="131" s="1"/>
  <c r="F735" i="124"/>
  <c r="F736" i="124" s="1"/>
  <c r="F737" i="124" s="1"/>
  <c r="F738" i="124" s="1"/>
  <c r="F739" i="124" s="1"/>
  <c r="F740" i="124" s="1"/>
  <c r="F741" i="124" s="1"/>
  <c r="U553" i="123"/>
  <c r="H553" i="123" s="1"/>
  <c r="G93" i="131"/>
  <c r="T94" i="131" s="1"/>
  <c r="G94" i="131" s="1"/>
  <c r="T95" i="131" s="1"/>
  <c r="G95" i="131" s="1"/>
  <c r="T96" i="131" s="1"/>
  <c r="G96" i="131" s="1"/>
  <c r="T97" i="131" s="1"/>
  <c r="G97" i="131" s="1"/>
  <c r="T98" i="131" s="1"/>
  <c r="G98" i="131" s="1"/>
  <c r="T99" i="131" s="1"/>
  <c r="G99" i="131" s="1"/>
  <c r="T100" i="131" s="1"/>
  <c r="G100" i="131" s="1"/>
  <c r="T101" i="131" s="1"/>
  <c r="G101" i="131" s="1"/>
  <c r="T102" i="131" s="1"/>
  <c r="G102" i="131" s="1"/>
  <c r="T103" i="131" s="1"/>
  <c r="G103" i="131" s="1"/>
  <c r="T104" i="131" s="1"/>
  <c r="G104" i="131" s="1"/>
  <c r="T105" i="131" s="1"/>
  <c r="G105" i="131" s="1"/>
  <c r="T106" i="131" s="1"/>
  <c r="G106" i="131" s="1"/>
  <c r="T107" i="131" s="1"/>
  <c r="G107" i="131" s="1"/>
  <c r="T108" i="131" s="1"/>
  <c r="G108" i="131" s="1"/>
  <c r="T109" i="131" s="1"/>
  <c r="G109" i="131" s="1"/>
  <c r="T110" i="131" s="1"/>
  <c r="G110" i="131" s="1"/>
  <c r="T111" i="131" s="1"/>
  <c r="G111" i="131" s="1"/>
  <c r="T112" i="131" s="1"/>
  <c r="G112" i="131" s="1"/>
  <c r="T113" i="131" s="1"/>
  <c r="G113" i="131" s="1"/>
  <c r="T114" i="131" s="1"/>
  <c r="G114" i="131" s="1"/>
  <c r="T115" i="131" s="1"/>
  <c r="G115" i="131" s="1"/>
  <c r="T116" i="131" s="1"/>
  <c r="G116" i="131" s="1"/>
  <c r="T117" i="131" s="1"/>
  <c r="G117" i="131" s="1"/>
  <c r="F321" i="124"/>
  <c r="F322" i="124" s="1"/>
  <c r="F323" i="124" s="1"/>
  <c r="F324" i="124" s="1"/>
  <c r="F325" i="124" s="1"/>
  <c r="F326" i="124" s="1"/>
  <c r="F327" i="124" s="1"/>
  <c r="F328" i="124" s="1"/>
  <c r="F329" i="124" s="1"/>
  <c r="F330" i="124" s="1"/>
  <c r="F331" i="124" s="1"/>
  <c r="F332" i="124" s="1"/>
  <c r="T261" i="123" s="1"/>
  <c r="U261" i="123" s="1"/>
  <c r="H261" i="123" s="1"/>
  <c r="U262" i="123" s="1"/>
  <c r="H262" i="123" s="1"/>
  <c r="U263" i="123" s="1"/>
  <c r="H263" i="123" s="1"/>
  <c r="H71" i="133"/>
  <c r="S44" i="139"/>
  <c r="D26" i="139" s="1"/>
  <c r="U44" i="139"/>
  <c r="F26" i="139" s="1"/>
  <c r="T44" i="139"/>
  <c r="E26" i="139" s="1"/>
  <c r="V44" i="139"/>
  <c r="G26" i="139" s="1"/>
  <c r="X44" i="139"/>
  <c r="I26" i="139" s="1"/>
  <c r="W44" i="139"/>
  <c r="H26" i="139" s="1"/>
  <c r="H59" i="133"/>
  <c r="H35" i="133"/>
  <c r="H47" i="133"/>
  <c r="H22" i="133"/>
  <c r="H9" i="133"/>
  <c r="F476" i="124" l="1"/>
  <c r="F477" i="124" s="1"/>
  <c r="F478" i="124" s="1"/>
  <c r="F479" i="124" s="1"/>
  <c r="F480" i="124" s="1"/>
  <c r="F481" i="124" s="1"/>
  <c r="F482" i="124" s="1"/>
  <c r="T376" i="123" s="1"/>
  <c r="U376" i="123" s="1"/>
  <c r="H376" i="123" s="1"/>
  <c r="F483" i="124" s="1"/>
  <c r="F484" i="124" s="1"/>
  <c r="F485" i="124" s="1"/>
  <c r="F486" i="124" s="1"/>
  <c r="F487" i="124" s="1"/>
  <c r="F488" i="124" s="1"/>
  <c r="F489" i="124" s="1"/>
  <c r="F490" i="124" s="1"/>
  <c r="F491" i="124" s="1"/>
  <c r="F492" i="124" s="1"/>
  <c r="F493" i="124" s="1"/>
  <c r="F494" i="124" s="1"/>
  <c r="T377" i="123" s="1"/>
  <c r="U377" i="123" s="1"/>
  <c r="H377" i="123" s="1"/>
  <c r="U378" i="123" s="1"/>
  <c r="H378" i="123" s="1"/>
  <c r="U379" i="123" s="1"/>
  <c r="H379" i="123" s="1"/>
  <c r="F76" i="120"/>
  <c r="F77" i="120" s="1"/>
  <c r="F78" i="120" s="1"/>
  <c r="F79" i="120" s="1"/>
  <c r="F80" i="120" s="1"/>
  <c r="F81" i="120" s="1"/>
  <c r="F82" i="120" s="1"/>
  <c r="R111" i="119" s="1"/>
  <c r="S111" i="119" s="1"/>
  <c r="F111" i="119" s="1"/>
  <c r="F83" i="120" s="1"/>
  <c r="F84" i="120" s="1"/>
  <c r="F85" i="120" s="1"/>
  <c r="F86" i="120" s="1"/>
  <c r="F87" i="120" s="1"/>
  <c r="F88" i="120" s="1"/>
  <c r="F89" i="120" s="1"/>
  <c r="F90" i="120" s="1"/>
  <c r="F91" i="120" s="1"/>
  <c r="F92" i="120" s="1"/>
  <c r="F93" i="120" s="1"/>
  <c r="R117" i="119" s="1"/>
  <c r="U123" i="123"/>
  <c r="H123" i="123" s="1"/>
  <c r="F154" i="124"/>
  <c r="F155" i="124" s="1"/>
  <c r="F156" i="124" s="1"/>
  <c r="F157" i="124" s="1"/>
  <c r="F158" i="124" s="1"/>
  <c r="F159" i="124" s="1"/>
  <c r="F160" i="124" s="1"/>
  <c r="T124" i="123" s="1"/>
  <c r="F96" i="136"/>
  <c r="F97" i="136" s="1"/>
  <c r="F98" i="136" s="1"/>
  <c r="F99" i="136" s="1"/>
  <c r="F100" i="136" s="1"/>
  <c r="F101" i="136" s="1"/>
  <c r="F102" i="136" s="1"/>
  <c r="F103" i="136" s="1"/>
  <c r="F104" i="136" s="1"/>
  <c r="R78" i="134" s="1"/>
  <c r="S71" i="134"/>
  <c r="F71" i="134" s="1"/>
  <c r="S72" i="134" s="1"/>
  <c r="F72" i="134" s="1"/>
  <c r="S73" i="134" s="1"/>
  <c r="F271" i="136"/>
  <c r="F272" i="136" s="1"/>
  <c r="F273" i="136" s="1"/>
  <c r="F274" i="136" s="1"/>
  <c r="F275" i="136" s="1"/>
  <c r="F276" i="136" s="1"/>
  <c r="F277" i="136" s="1"/>
  <c r="R183" i="134" s="1"/>
  <c r="S177" i="134"/>
  <c r="F177" i="134" s="1"/>
  <c r="S178" i="134" s="1"/>
  <c r="F178" i="134" s="1"/>
  <c r="S179" i="134" s="1"/>
  <c r="F179" i="134" s="1"/>
  <c r="S180" i="134" s="1"/>
  <c r="F180" i="134" s="1"/>
  <c r="S181" i="134" s="1"/>
  <c r="F181" i="134" s="1"/>
  <c r="S182" i="134" s="1"/>
  <c r="F182" i="134" s="1"/>
  <c r="F270" i="120"/>
  <c r="F272" i="120" s="1"/>
  <c r="F273" i="120" s="1"/>
  <c r="F274" i="120" s="1"/>
  <c r="F275" i="120" s="1"/>
  <c r="F276" i="120" s="1"/>
  <c r="F277" i="120" s="1"/>
  <c r="F278" i="120" s="1"/>
  <c r="R231" i="119" s="1"/>
  <c r="S229" i="119"/>
  <c r="F229" i="119" s="1"/>
  <c r="S230" i="119" s="1"/>
  <c r="F230" i="119" s="1"/>
  <c r="F79" i="128"/>
  <c r="F80" i="128" s="1"/>
  <c r="F81" i="128" s="1"/>
  <c r="F82" i="128" s="1"/>
  <c r="F83" i="128" s="1"/>
  <c r="F84" i="128" s="1"/>
  <c r="F85" i="128" s="1"/>
  <c r="R96" i="126" s="1"/>
  <c r="S88" i="126"/>
  <c r="F88" i="126" s="1"/>
  <c r="S89" i="126" s="1"/>
  <c r="F89" i="126" s="1"/>
  <c r="S90" i="126" s="1"/>
  <c r="F230" i="126"/>
  <c r="S231" i="126" s="1"/>
  <c r="F231" i="126" s="1"/>
  <c r="S232" i="126" s="1"/>
  <c r="F232" i="126" s="1"/>
  <c r="S233" i="126" s="1"/>
  <c r="F233" i="126" s="1"/>
  <c r="S234" i="126" s="1"/>
  <c r="F234" i="126" s="1"/>
  <c r="S235" i="126" s="1"/>
  <c r="H162" i="110"/>
  <c r="H160" i="110"/>
  <c r="H161" i="110"/>
  <c r="F96" i="115"/>
  <c r="F97" i="115" s="1"/>
  <c r="F98" i="115" s="1"/>
  <c r="F99" i="115" s="1"/>
  <c r="U100" i="113" s="1"/>
  <c r="V96" i="113"/>
  <c r="I96" i="113" s="1"/>
  <c r="V97" i="113" s="1"/>
  <c r="I97" i="113" s="1"/>
  <c r="H70" i="132"/>
  <c r="E70" i="132" s="1"/>
  <c r="F70" i="132" s="1"/>
  <c r="F71" i="132" s="1"/>
  <c r="H234" i="115"/>
  <c r="E234" i="115" s="1"/>
  <c r="F234" i="115" s="1"/>
  <c r="F235" i="115" s="1"/>
  <c r="U270" i="113" s="1"/>
  <c r="V270" i="113" s="1"/>
  <c r="I270" i="113" s="1"/>
  <c r="V271" i="113" s="1"/>
  <c r="I271" i="113" s="1"/>
  <c r="V272" i="113" s="1"/>
  <c r="I272" i="113" s="1"/>
  <c r="V273" i="113" s="1"/>
  <c r="I273" i="113" s="1"/>
  <c r="F333" i="124"/>
  <c r="F334" i="124" s="1"/>
  <c r="F335" i="124" s="1"/>
  <c r="F336" i="124" s="1"/>
  <c r="F337" i="124" s="1"/>
  <c r="F338" i="124" s="1"/>
  <c r="F339" i="124" s="1"/>
  <c r="T271" i="123" s="1"/>
  <c r="U264" i="123"/>
  <c r="H264" i="123" s="1"/>
  <c r="U265" i="123" s="1"/>
  <c r="H265" i="123" s="1"/>
  <c r="U266" i="123" s="1"/>
  <c r="H266" i="123" s="1"/>
  <c r="U267" i="123" s="1"/>
  <c r="H267" i="123" s="1"/>
  <c r="U268" i="123" s="1"/>
  <c r="H268" i="123" s="1"/>
  <c r="U269" i="123" s="1"/>
  <c r="H269" i="123" s="1"/>
  <c r="U270" i="123" s="1"/>
  <c r="H270" i="123" s="1"/>
  <c r="Y297" i="113"/>
  <c r="U297" i="113"/>
  <c r="Z297" i="113"/>
  <c r="W297" i="113"/>
  <c r="V297" i="113"/>
  <c r="X297" i="113"/>
  <c r="T118" i="131"/>
  <c r="G178" i="131"/>
  <c r="T179" i="131" s="1"/>
  <c r="T478" i="123"/>
  <c r="U478" i="123" s="1"/>
  <c r="H478" i="123" s="1"/>
  <c r="T554" i="123"/>
  <c r="U554" i="123" s="1"/>
  <c r="H554" i="123" s="1"/>
  <c r="H49" i="133"/>
  <c r="H48" i="133"/>
  <c r="H73" i="133"/>
  <c r="H72" i="133"/>
  <c r="H23" i="133"/>
  <c r="H61" i="133"/>
  <c r="H60" i="133"/>
  <c r="H11" i="133"/>
  <c r="H37" i="133"/>
  <c r="H36" i="133"/>
  <c r="U124" i="123" l="1"/>
  <c r="H124" i="123" s="1"/>
  <c r="F161" i="124" s="1"/>
  <c r="F162" i="124" s="1"/>
  <c r="F163" i="124" s="1"/>
  <c r="F164" i="124" s="1"/>
  <c r="F165" i="124" s="1"/>
  <c r="F166" i="124" s="1"/>
  <c r="F167" i="124" s="1"/>
  <c r="F168" i="124" s="1"/>
  <c r="F169" i="124" s="1"/>
  <c r="F170" i="124" s="1"/>
  <c r="F171" i="124" s="1"/>
  <c r="F172" i="124" s="1"/>
  <c r="T125" i="123" s="1"/>
  <c r="S112" i="119"/>
  <c r="F112" i="119" s="1"/>
  <c r="S113" i="119" s="1"/>
  <c r="F113" i="119" s="1"/>
  <c r="F99" i="120" s="1"/>
  <c r="F100" i="120" s="1"/>
  <c r="F101" i="120" s="1"/>
  <c r="F102" i="120" s="1"/>
  <c r="F103" i="120" s="1"/>
  <c r="F104" i="120" s="1"/>
  <c r="F105" i="120" s="1"/>
  <c r="F106" i="120" s="1"/>
  <c r="R120" i="119" s="1"/>
  <c r="S183" i="134"/>
  <c r="F183" i="134" s="1"/>
  <c r="S184" i="134" s="1"/>
  <c r="F184" i="134" s="1"/>
  <c r="S185" i="134" s="1"/>
  <c r="F185" i="134" s="1"/>
  <c r="F278" i="136"/>
  <c r="F279" i="136" s="1"/>
  <c r="F280" i="136" s="1"/>
  <c r="F281" i="136" s="1"/>
  <c r="F282" i="136" s="1"/>
  <c r="F283" i="136" s="1"/>
  <c r="F284" i="136" s="1"/>
  <c r="R186" i="134" s="1"/>
  <c r="S231" i="119"/>
  <c r="F231" i="119" s="1"/>
  <c r="S232" i="119" s="1"/>
  <c r="F232" i="119" s="1"/>
  <c r="S233" i="119" s="1"/>
  <c r="F233" i="119" s="1"/>
  <c r="S234" i="119" s="1"/>
  <c r="F234" i="119" s="1"/>
  <c r="F73" i="134"/>
  <c r="O9" i="133"/>
  <c r="F235" i="126"/>
  <c r="S236" i="126" s="1"/>
  <c r="F236" i="126" s="1"/>
  <c r="S237" i="126" s="1"/>
  <c r="F237" i="126" s="1"/>
  <c r="S238" i="126" s="1"/>
  <c r="F238" i="126" s="1"/>
  <c r="S239" i="126" s="1"/>
  <c r="F239" i="126" s="1"/>
  <c r="S240" i="126" s="1"/>
  <c r="F240" i="126" s="1"/>
  <c r="S241" i="126" s="1"/>
  <c r="F241" i="126" s="1"/>
  <c r="S242" i="126" s="1"/>
  <c r="F242" i="126" s="1"/>
  <c r="S243" i="126" s="1"/>
  <c r="F90" i="126"/>
  <c r="S91" i="126" s="1"/>
  <c r="U271" i="123"/>
  <c r="H271" i="123" s="1"/>
  <c r="U272" i="123" s="1"/>
  <c r="H272" i="123" s="1"/>
  <c r="U273" i="123" s="1"/>
  <c r="H273" i="123" s="1"/>
  <c r="U274" i="123" s="1"/>
  <c r="H274" i="123" s="1"/>
  <c r="U275" i="123" s="1"/>
  <c r="H275" i="123" s="1"/>
  <c r="U276" i="123" s="1"/>
  <c r="H276" i="123" s="1"/>
  <c r="U277" i="123" s="1"/>
  <c r="H277" i="123" s="1"/>
  <c r="U278" i="123" s="1"/>
  <c r="H278" i="123" s="1"/>
  <c r="U279" i="123" s="1"/>
  <c r="H279" i="123" s="1"/>
  <c r="U280" i="123" s="1"/>
  <c r="H280" i="123" s="1"/>
  <c r="F495" i="124"/>
  <c r="F496" i="124" s="1"/>
  <c r="F497" i="124" s="1"/>
  <c r="F498" i="124" s="1"/>
  <c r="F499" i="124" s="1"/>
  <c r="F500" i="124" s="1"/>
  <c r="F501" i="124" s="1"/>
  <c r="T387" i="123" s="1"/>
  <c r="U380" i="123"/>
  <c r="H380" i="123" s="1"/>
  <c r="U381" i="123" s="1"/>
  <c r="H381" i="123" s="1"/>
  <c r="U382" i="123" s="1"/>
  <c r="H382" i="123" s="1"/>
  <c r="U383" i="123" s="1"/>
  <c r="H383" i="123" s="1"/>
  <c r="U384" i="123" s="1"/>
  <c r="H384" i="123" s="1"/>
  <c r="U385" i="123" s="1"/>
  <c r="H385" i="123" s="1"/>
  <c r="U386" i="123" s="1"/>
  <c r="H386" i="123" s="1"/>
  <c r="G118" i="131"/>
  <c r="T119" i="131" s="1"/>
  <c r="X44" i="131" s="1"/>
  <c r="F742" i="124"/>
  <c r="F743" i="124" s="1"/>
  <c r="F744" i="124" s="1"/>
  <c r="F745" i="124" s="1"/>
  <c r="F746" i="124" s="1"/>
  <c r="F747" i="124" s="1"/>
  <c r="F748" i="124" s="1"/>
  <c r="F749" i="124" s="1"/>
  <c r="F750" i="124" s="1"/>
  <c r="F751" i="124" s="1"/>
  <c r="F752" i="124" s="1"/>
  <c r="F753" i="124" s="1"/>
  <c r="F621" i="124"/>
  <c r="F622" i="124" s="1"/>
  <c r="F623" i="124" s="1"/>
  <c r="F624" i="124" s="1"/>
  <c r="F625" i="124" s="1"/>
  <c r="F626" i="124" s="1"/>
  <c r="F627" i="124" s="1"/>
  <c r="F628" i="124" s="1"/>
  <c r="F629" i="124" s="1"/>
  <c r="F630" i="124" s="1"/>
  <c r="F631" i="124" s="1"/>
  <c r="F632" i="124" s="1"/>
  <c r="G179" i="131"/>
  <c r="T180" i="131" s="1"/>
  <c r="G180" i="131" s="1"/>
  <c r="T181" i="131" s="1"/>
  <c r="G181" i="131" s="1"/>
  <c r="T182" i="131" s="1"/>
  <c r="G182" i="131" s="1"/>
  <c r="T183" i="131" s="1"/>
  <c r="G183" i="131" s="1"/>
  <c r="T184" i="131" s="1"/>
  <c r="G184" i="131" s="1"/>
  <c r="T185" i="131" s="1"/>
  <c r="G185" i="131" s="1"/>
  <c r="T186" i="131" s="1"/>
  <c r="G186" i="131" s="1"/>
  <c r="T187" i="131" s="1"/>
  <c r="G187" i="131" s="1"/>
  <c r="T188" i="131" s="1"/>
  <c r="G188" i="131" s="1"/>
  <c r="T189" i="131" s="1"/>
  <c r="G189" i="131" s="1"/>
  <c r="T190" i="131" s="1"/>
  <c r="G190" i="131" s="1"/>
  <c r="T191" i="131" s="1"/>
  <c r="G191" i="131" s="1"/>
  <c r="T192" i="131" s="1"/>
  <c r="V274" i="113"/>
  <c r="I274" i="113" s="1"/>
  <c r="V275" i="113" s="1"/>
  <c r="I275" i="113" s="1"/>
  <c r="F326" i="115"/>
  <c r="F327" i="115" s="1"/>
  <c r="F328" i="115" s="1"/>
  <c r="F329" i="115" s="1"/>
  <c r="U278" i="113" s="1"/>
  <c r="H184" i="132"/>
  <c r="E184" i="132" s="1"/>
  <c r="F184" i="132" s="1"/>
  <c r="F185" i="132" s="1"/>
  <c r="H12" i="133"/>
  <c r="H13" i="133"/>
  <c r="H6" i="133"/>
  <c r="H8" i="133"/>
  <c r="H10" i="133"/>
  <c r="H25" i="133"/>
  <c r="H24" i="133"/>
  <c r="H38" i="133"/>
  <c r="H39" i="133" s="1"/>
  <c r="H62" i="133"/>
  <c r="H63" i="133" s="1"/>
  <c r="H74" i="133"/>
  <c r="H75" i="133" s="1"/>
  <c r="H50" i="133"/>
  <c r="H51" i="133" s="1"/>
  <c r="U125" i="123" l="1"/>
  <c r="H125" i="123" s="1"/>
  <c r="U126" i="123" s="1"/>
  <c r="H126" i="123" s="1"/>
  <c r="U127" i="123" s="1"/>
  <c r="H127" i="123" s="1"/>
  <c r="H113" i="115" s="1"/>
  <c r="E113" i="115" s="1"/>
  <c r="F113" i="115" s="1"/>
  <c r="F114" i="115" s="1"/>
  <c r="U98" i="113" s="1"/>
  <c r="V98" i="113" s="1"/>
  <c r="I98" i="113" s="1"/>
  <c r="V99" i="113" s="1"/>
  <c r="I99" i="113" s="1"/>
  <c r="V100" i="113" s="1"/>
  <c r="I100" i="113" s="1"/>
  <c r="V101" i="113" s="1"/>
  <c r="I101" i="113" s="1"/>
  <c r="F94" i="120"/>
  <c r="F95" i="120" s="1"/>
  <c r="F96" i="120" s="1"/>
  <c r="F97" i="120" s="1"/>
  <c r="F98" i="120" s="1"/>
  <c r="R114" i="119" s="1"/>
  <c r="S114" i="119" s="1"/>
  <c r="F114" i="119" s="1"/>
  <c r="S115" i="119" s="1"/>
  <c r="F115" i="119" s="1"/>
  <c r="F285" i="136"/>
  <c r="F286" i="136" s="1"/>
  <c r="F287" i="136" s="1"/>
  <c r="F288" i="136" s="1"/>
  <c r="F289" i="136" s="1"/>
  <c r="F290" i="136" s="1"/>
  <c r="F291" i="136" s="1"/>
  <c r="R191" i="134" s="1"/>
  <c r="S186" i="134"/>
  <c r="F186" i="134" s="1"/>
  <c r="S187" i="134" s="1"/>
  <c r="F187" i="134" s="1"/>
  <c r="S188" i="134" s="1"/>
  <c r="F188" i="134" s="1"/>
  <c r="S189" i="134" s="1"/>
  <c r="F189" i="134" s="1"/>
  <c r="S190" i="134" s="1"/>
  <c r="F190" i="134" s="1"/>
  <c r="F243" i="126"/>
  <c r="S244" i="126" s="1"/>
  <c r="F244" i="126" s="1"/>
  <c r="S245" i="126" s="1"/>
  <c r="F245" i="126" s="1"/>
  <c r="S246" i="126" s="1"/>
  <c r="H231" i="115"/>
  <c r="E231" i="115" s="1"/>
  <c r="F231" i="115" s="1"/>
  <c r="F232" i="115" s="1"/>
  <c r="U190" i="113" s="1"/>
  <c r="V190" i="113" s="1"/>
  <c r="I190" i="113" s="1"/>
  <c r="V191" i="113" s="1"/>
  <c r="I191" i="113" s="1"/>
  <c r="V192" i="113" s="1"/>
  <c r="I192" i="113" s="1"/>
  <c r="V193" i="113" s="1"/>
  <c r="I193" i="113" s="1"/>
  <c r="P22" i="133"/>
  <c r="P23" i="133" s="1"/>
  <c r="O22" i="133"/>
  <c r="O11" i="133"/>
  <c r="F105" i="136"/>
  <c r="F106" i="136" s="1"/>
  <c r="F107" i="136" s="1"/>
  <c r="F108" i="136" s="1"/>
  <c r="F109" i="136" s="1"/>
  <c r="F110" i="136" s="1"/>
  <c r="F111" i="136" s="1"/>
  <c r="R89" i="134" s="1"/>
  <c r="S78" i="134"/>
  <c r="F78" i="134" s="1"/>
  <c r="S79" i="134" s="1"/>
  <c r="F79" i="134" s="1"/>
  <c r="S80" i="134" s="1"/>
  <c r="F80" i="134" s="1"/>
  <c r="S81" i="134" s="1"/>
  <c r="F81" i="134" s="1"/>
  <c r="S82" i="134" s="1"/>
  <c r="F82" i="134" s="1"/>
  <c r="F74" i="134"/>
  <c r="Y96" i="138"/>
  <c r="AA96" i="138"/>
  <c r="X96" i="138"/>
  <c r="Z96" i="138"/>
  <c r="F91" i="126"/>
  <c r="O9" i="125"/>
  <c r="S235" i="119"/>
  <c r="F235" i="119" s="1"/>
  <c r="S237" i="119"/>
  <c r="F173" i="124"/>
  <c r="F174" i="124" s="1"/>
  <c r="F175" i="124" s="1"/>
  <c r="F176" i="124" s="1"/>
  <c r="F177" i="124" s="1"/>
  <c r="F178" i="124" s="1"/>
  <c r="F179" i="124" s="1"/>
  <c r="T135" i="123" s="1"/>
  <c r="U387" i="123"/>
  <c r="H387" i="123" s="1"/>
  <c r="U388" i="123" s="1"/>
  <c r="H388" i="123" s="1"/>
  <c r="U389" i="123" s="1"/>
  <c r="H389" i="123" s="1"/>
  <c r="U390" i="123" s="1"/>
  <c r="H390" i="123" s="1"/>
  <c r="U391" i="123" s="1"/>
  <c r="H391" i="123" s="1"/>
  <c r="U392" i="123" s="1"/>
  <c r="H392" i="123" s="1"/>
  <c r="U393" i="123" s="1"/>
  <c r="H393" i="123" s="1"/>
  <c r="U394" i="123" s="1"/>
  <c r="H394" i="123" s="1"/>
  <c r="U395" i="123" s="1"/>
  <c r="H395" i="123" s="1"/>
  <c r="U396" i="123" s="1"/>
  <c r="H396" i="123" s="1"/>
  <c r="U128" i="123"/>
  <c r="H128" i="123" s="1"/>
  <c r="U129" i="123" s="1"/>
  <c r="H129" i="123" s="1"/>
  <c r="U130" i="123" s="1"/>
  <c r="H130" i="123" s="1"/>
  <c r="U131" i="123" s="1"/>
  <c r="H131" i="123" s="1"/>
  <c r="U132" i="123" s="1"/>
  <c r="H132" i="123" s="1"/>
  <c r="U133" i="123" s="1"/>
  <c r="H133" i="123" s="1"/>
  <c r="U134" i="123" s="1"/>
  <c r="H134" i="123" s="1"/>
  <c r="F340" i="124"/>
  <c r="F341" i="124" s="1"/>
  <c r="F342" i="124" s="1"/>
  <c r="F343" i="124" s="1"/>
  <c r="F344" i="124" s="1"/>
  <c r="F345" i="124" s="1"/>
  <c r="F346" i="124" s="1"/>
  <c r="T281" i="123" s="1"/>
  <c r="U281" i="123" s="1"/>
  <c r="H281" i="123" s="1"/>
  <c r="U282" i="123" s="1"/>
  <c r="H282" i="123" s="1"/>
  <c r="U283" i="123" s="1"/>
  <c r="H283" i="123" s="1"/>
  <c r="T133" i="131"/>
  <c r="V133" i="131"/>
  <c r="W44" i="131"/>
  <c r="S133" i="131"/>
  <c r="U133" i="131"/>
  <c r="V102" i="113"/>
  <c r="I102" i="113" s="1"/>
  <c r="V103" i="113" s="1"/>
  <c r="I103" i="113" s="1"/>
  <c r="F100" i="115"/>
  <c r="F101" i="115" s="1"/>
  <c r="F102" i="115" s="1"/>
  <c r="F103" i="115" s="1"/>
  <c r="U106" i="113" s="1"/>
  <c r="H64" i="132"/>
  <c r="E64" i="132" s="1"/>
  <c r="F64" i="132" s="1"/>
  <c r="F65" i="132" s="1"/>
  <c r="G192" i="131"/>
  <c r="G193" i="131" s="1"/>
  <c r="X133" i="131"/>
  <c r="I25" i="131" s="1"/>
  <c r="H70" i="125" s="1"/>
  <c r="T479" i="123"/>
  <c r="U479" i="123" s="1"/>
  <c r="H479" i="123" s="1"/>
  <c r="U480" i="123" s="1"/>
  <c r="H480" i="123" s="1"/>
  <c r="U481" i="123" s="1"/>
  <c r="H481" i="123" s="1"/>
  <c r="T555" i="123"/>
  <c r="U555" i="123" s="1"/>
  <c r="H555" i="123" s="1"/>
  <c r="U556" i="123" s="1"/>
  <c r="H556" i="123" s="1"/>
  <c r="U557" i="123" s="1"/>
  <c r="H557" i="123" s="1"/>
  <c r="U558" i="123" s="1"/>
  <c r="H558" i="123" s="1"/>
  <c r="U559" i="123" s="1"/>
  <c r="H559" i="123" s="1"/>
  <c r="U560" i="123" s="1"/>
  <c r="H560" i="123" s="1"/>
  <c r="U561" i="123" s="1"/>
  <c r="G119" i="131"/>
  <c r="G120" i="131" s="1"/>
  <c r="U44" i="131"/>
  <c r="S44" i="131"/>
  <c r="V44" i="131"/>
  <c r="T44" i="131"/>
  <c r="W133" i="131"/>
  <c r="H26" i="133"/>
  <c r="H14" i="133"/>
  <c r="U196" i="113" l="1"/>
  <c r="U276" i="113"/>
  <c r="V276" i="113" s="1"/>
  <c r="I276" i="113" s="1"/>
  <c r="V277" i="113" s="1"/>
  <c r="I277" i="113" s="1"/>
  <c r="V278" i="113" s="1"/>
  <c r="I278" i="113" s="1"/>
  <c r="V279" i="113" s="1"/>
  <c r="I279" i="113" s="1"/>
  <c r="H178" i="132" s="1"/>
  <c r="E178" i="132" s="1"/>
  <c r="F178" i="132" s="1"/>
  <c r="F179" i="132" s="1"/>
  <c r="F502" i="124"/>
  <c r="F503" i="124" s="1"/>
  <c r="F504" i="124" s="1"/>
  <c r="F505" i="124" s="1"/>
  <c r="F506" i="124" s="1"/>
  <c r="F507" i="124" s="1"/>
  <c r="F508" i="124" s="1"/>
  <c r="T397" i="123" s="1"/>
  <c r="U397" i="123" s="1"/>
  <c r="H397" i="123" s="1"/>
  <c r="U398" i="123" s="1"/>
  <c r="H398" i="123" s="1"/>
  <c r="U399" i="123" s="1"/>
  <c r="H399" i="123" s="1"/>
  <c r="U400" i="123" s="1"/>
  <c r="H400" i="123" s="1"/>
  <c r="U401" i="123" s="1"/>
  <c r="H401" i="123" s="1"/>
  <c r="U402" i="123" s="1"/>
  <c r="H402" i="123" s="1"/>
  <c r="U403" i="123" s="1"/>
  <c r="H403" i="123" s="1"/>
  <c r="H404" i="123" s="1"/>
  <c r="F217" i="134"/>
  <c r="H77" i="134"/>
  <c r="G77" i="134"/>
  <c r="H76" i="134"/>
  <c r="H75" i="134"/>
  <c r="O22" i="125"/>
  <c r="P22" i="125"/>
  <c r="P23" i="125" s="1"/>
  <c r="O11" i="125"/>
  <c r="O10" i="125" s="1"/>
  <c r="P25" i="133"/>
  <c r="P24" i="133"/>
  <c r="O35" i="133"/>
  <c r="O10" i="133"/>
  <c r="O12" i="133"/>
  <c r="O13" i="133"/>
  <c r="O6" i="133"/>
  <c r="O8" i="133"/>
  <c r="F246" i="126"/>
  <c r="S247" i="126" s="1"/>
  <c r="F247" i="126" s="1"/>
  <c r="S248" i="126" s="1"/>
  <c r="F248" i="126" s="1"/>
  <c r="S249" i="126" s="1"/>
  <c r="F249" i="126" s="1"/>
  <c r="S250" i="126" s="1"/>
  <c r="F250" i="126" s="1"/>
  <c r="S251" i="126" s="1"/>
  <c r="O47" i="133"/>
  <c r="S236" i="119"/>
  <c r="F236" i="119" s="1"/>
  <c r="S238" i="119"/>
  <c r="O59" i="133"/>
  <c r="F144" i="136"/>
  <c r="F145" i="136" s="1"/>
  <c r="F146" i="136" s="1"/>
  <c r="F147" i="136" s="1"/>
  <c r="F148" i="136" s="1"/>
  <c r="F129" i="136"/>
  <c r="F130" i="136" s="1"/>
  <c r="F131" i="136" s="1"/>
  <c r="F132" i="136" s="1"/>
  <c r="F133" i="136" s="1"/>
  <c r="R98" i="134" s="1"/>
  <c r="S83" i="134"/>
  <c r="F83" i="134" s="1"/>
  <c r="S84" i="134" s="1"/>
  <c r="F84" i="134" s="1"/>
  <c r="S85" i="134" s="1"/>
  <c r="F85" i="134" s="1"/>
  <c r="S86" i="134" s="1"/>
  <c r="F86" i="134" s="1"/>
  <c r="S87" i="134" s="1"/>
  <c r="F87" i="134" s="1"/>
  <c r="S88" i="134" s="1"/>
  <c r="F88" i="134" s="1"/>
  <c r="S89" i="134" s="1"/>
  <c r="F89" i="134" s="1"/>
  <c r="F119" i="136"/>
  <c r="F120" i="136" s="1"/>
  <c r="F121" i="136" s="1"/>
  <c r="F122" i="136" s="1"/>
  <c r="F123" i="136" s="1"/>
  <c r="R92" i="134" s="1"/>
  <c r="O23" i="133"/>
  <c r="S22" i="133"/>
  <c r="F86" i="128"/>
  <c r="F87" i="128" s="1"/>
  <c r="F88" i="128" s="1"/>
  <c r="F89" i="128" s="1"/>
  <c r="F90" i="128" s="1"/>
  <c r="F91" i="128" s="1"/>
  <c r="F92" i="128" s="1"/>
  <c r="F93" i="128" s="1"/>
  <c r="R114" i="126" s="1"/>
  <c r="S96" i="126"/>
  <c r="F96" i="126" s="1"/>
  <c r="S97" i="126" s="1"/>
  <c r="F97" i="126" s="1"/>
  <c r="S98" i="126" s="1"/>
  <c r="F92" i="126"/>
  <c r="O71" i="133"/>
  <c r="F292" i="136"/>
  <c r="F293" i="136" s="1"/>
  <c r="F294" i="136" s="1"/>
  <c r="F295" i="136" s="1"/>
  <c r="F296" i="136" s="1"/>
  <c r="F297" i="136" s="1"/>
  <c r="F298" i="136" s="1"/>
  <c r="R194" i="134" s="1"/>
  <c r="S191" i="134"/>
  <c r="F191" i="134" s="1"/>
  <c r="S192" i="134" s="1"/>
  <c r="F192" i="134" s="1"/>
  <c r="S193" i="134" s="1"/>
  <c r="F193" i="134" s="1"/>
  <c r="U135" i="123"/>
  <c r="H135" i="123" s="1"/>
  <c r="U136" i="123" s="1"/>
  <c r="H136" i="123" s="1"/>
  <c r="U137" i="123" s="1"/>
  <c r="H137" i="123" s="1"/>
  <c r="F180" i="124" s="1"/>
  <c r="F181" i="124" s="1"/>
  <c r="F182" i="124" s="1"/>
  <c r="F183" i="124" s="1"/>
  <c r="F184" i="124" s="1"/>
  <c r="F185" i="124" s="1"/>
  <c r="F186" i="124" s="1"/>
  <c r="T145" i="123" s="1"/>
  <c r="G25" i="131"/>
  <c r="H46" i="125" s="1"/>
  <c r="E25" i="131"/>
  <c r="H22" i="125" s="1"/>
  <c r="H23" i="125" s="1"/>
  <c r="H25" i="131"/>
  <c r="D25" i="131"/>
  <c r="H9" i="125" s="1"/>
  <c r="F25" i="131"/>
  <c r="H34" i="125" s="1"/>
  <c r="H228" i="115"/>
  <c r="E228" i="115" s="1"/>
  <c r="F228" i="115" s="1"/>
  <c r="F229" i="115" s="1"/>
  <c r="F347" i="124"/>
  <c r="F348" i="124" s="1"/>
  <c r="F349" i="124" s="1"/>
  <c r="F350" i="124" s="1"/>
  <c r="F351" i="124" s="1"/>
  <c r="F352" i="124" s="1"/>
  <c r="F353" i="124" s="1"/>
  <c r="T291" i="123" s="1"/>
  <c r="U284" i="123"/>
  <c r="H284" i="123" s="1"/>
  <c r="U285" i="123" s="1"/>
  <c r="H285" i="123" s="1"/>
  <c r="U286" i="123" s="1"/>
  <c r="H286" i="123" s="1"/>
  <c r="U287" i="123" s="1"/>
  <c r="H287" i="123" s="1"/>
  <c r="U288" i="123" s="1"/>
  <c r="H288" i="123" s="1"/>
  <c r="U289" i="123" s="1"/>
  <c r="H289" i="123" s="1"/>
  <c r="U290" i="123" s="1"/>
  <c r="H290" i="123" s="1"/>
  <c r="X134" i="131"/>
  <c r="V134" i="131"/>
  <c r="S134" i="131"/>
  <c r="W134" i="131"/>
  <c r="U134" i="131"/>
  <c r="T134" i="131"/>
  <c r="H71" i="125"/>
  <c r="H561" i="123"/>
  <c r="H562" i="123" s="1"/>
  <c r="Y508" i="123"/>
  <c r="V508" i="123"/>
  <c r="U508" i="123"/>
  <c r="T508" i="123"/>
  <c r="X508" i="123"/>
  <c r="W508" i="123"/>
  <c r="F633" i="124"/>
  <c r="F634" i="124" s="1"/>
  <c r="F635" i="124" s="1"/>
  <c r="F636" i="124" s="1"/>
  <c r="F637" i="124" s="1"/>
  <c r="F638" i="124" s="1"/>
  <c r="F639" i="124" s="1"/>
  <c r="T489" i="123" s="1"/>
  <c r="U482" i="123"/>
  <c r="H482" i="123" s="1"/>
  <c r="U483" i="123" s="1"/>
  <c r="H483" i="123" s="1"/>
  <c r="U484" i="123" s="1"/>
  <c r="H484" i="123" s="1"/>
  <c r="U485" i="123" s="1"/>
  <c r="H485" i="123" s="1"/>
  <c r="U486" i="123" s="1"/>
  <c r="H486" i="123" s="1"/>
  <c r="U487" i="123" s="1"/>
  <c r="H487" i="123" s="1"/>
  <c r="U488" i="123" s="1"/>
  <c r="H488" i="123" s="1"/>
  <c r="V194" i="113"/>
  <c r="I194" i="113" s="1"/>
  <c r="V195" i="113" s="1"/>
  <c r="I195" i="113" s="1"/>
  <c r="F219" i="115"/>
  <c r="F220" i="115" s="1"/>
  <c r="F221" i="115" s="1"/>
  <c r="F222" i="115" s="1"/>
  <c r="U198" i="113" s="1"/>
  <c r="H127" i="132"/>
  <c r="E127" i="132" s="1"/>
  <c r="F127" i="132" s="1"/>
  <c r="F128" i="132" s="1"/>
  <c r="W45" i="131"/>
  <c r="U45" i="131"/>
  <c r="T45" i="131"/>
  <c r="S45" i="131"/>
  <c r="V45" i="131"/>
  <c r="X45" i="131"/>
  <c r="H15" i="133"/>
  <c r="H27" i="133"/>
  <c r="V280" i="113" l="1"/>
  <c r="I280" i="113" s="1"/>
  <c r="V281" i="113" s="1"/>
  <c r="I281" i="113" s="1"/>
  <c r="F330" i="115"/>
  <c r="F331" i="115" s="1"/>
  <c r="F332" i="115" s="1"/>
  <c r="F333" i="115" s="1"/>
  <c r="V196" i="113"/>
  <c r="I196" i="113" s="1"/>
  <c r="V197" i="113" s="1"/>
  <c r="I197" i="113" s="1"/>
  <c r="V198" i="113" s="1"/>
  <c r="I198" i="113" s="1"/>
  <c r="V199" i="113" s="1"/>
  <c r="I199" i="113" s="1"/>
  <c r="H58" i="125"/>
  <c r="U138" i="123"/>
  <c r="H138" i="123" s="1"/>
  <c r="U139" i="123" s="1"/>
  <c r="H139" i="123" s="1"/>
  <c r="U140" i="123" s="1"/>
  <c r="H140" i="123" s="1"/>
  <c r="U141" i="123" s="1"/>
  <c r="H141" i="123" s="1"/>
  <c r="U142" i="123" s="1"/>
  <c r="H142" i="123" s="1"/>
  <c r="U143" i="123" s="1"/>
  <c r="H143" i="123" s="1"/>
  <c r="U144" i="123" s="1"/>
  <c r="H144" i="123" s="1"/>
  <c r="U145" i="123" s="1"/>
  <c r="H145" i="123" s="1"/>
  <c r="U146" i="123" s="1"/>
  <c r="H146" i="123" s="1"/>
  <c r="U147" i="123" s="1"/>
  <c r="H147" i="123" s="1"/>
  <c r="F187" i="124" s="1"/>
  <c r="F188" i="124" s="1"/>
  <c r="F189" i="124" s="1"/>
  <c r="F190" i="124" s="1"/>
  <c r="F191" i="124" s="1"/>
  <c r="F192" i="124" s="1"/>
  <c r="F193" i="124" s="1"/>
  <c r="T155" i="123" s="1"/>
  <c r="H116" i="115"/>
  <c r="E116" i="115" s="1"/>
  <c r="F116" i="115" s="1"/>
  <c r="F117" i="115" s="1"/>
  <c r="U104" i="113" s="1"/>
  <c r="V104" i="113" s="1"/>
  <c r="I104" i="113" s="1"/>
  <c r="V105" i="113" s="1"/>
  <c r="I105" i="113" s="1"/>
  <c r="V106" i="113" s="1"/>
  <c r="I106" i="113" s="1"/>
  <c r="V107" i="113" s="1"/>
  <c r="I107" i="113" s="1"/>
  <c r="F104" i="115" s="1"/>
  <c r="F105" i="115" s="1"/>
  <c r="F106" i="115" s="1"/>
  <c r="F107" i="115" s="1"/>
  <c r="U112" i="113" s="1"/>
  <c r="S194" i="134"/>
  <c r="F194" i="134" s="1"/>
  <c r="S195" i="134" s="1"/>
  <c r="F195" i="134" s="1"/>
  <c r="S196" i="134" s="1"/>
  <c r="F196" i="134" s="1"/>
  <c r="S197" i="134" s="1"/>
  <c r="F197" i="134" s="1"/>
  <c r="S198" i="134" s="1"/>
  <c r="F198" i="134" s="1"/>
  <c r="S199" i="134" s="1"/>
  <c r="F199" i="134" s="1"/>
  <c r="S200" i="134" s="1"/>
  <c r="F200" i="134" s="1"/>
  <c r="O48" i="133"/>
  <c r="O49" i="133"/>
  <c r="O23" i="125"/>
  <c r="F98" i="126"/>
  <c r="S99" i="126" s="1"/>
  <c r="F99" i="126" s="1"/>
  <c r="S100" i="126" s="1"/>
  <c r="F251" i="126"/>
  <c r="F9" i="125"/>
  <c r="P9" i="125"/>
  <c r="O61" i="133"/>
  <c r="O60" i="133"/>
  <c r="O71" i="125"/>
  <c r="P26" i="133"/>
  <c r="P27" i="133" s="1"/>
  <c r="W143" i="130"/>
  <c r="V143" i="130"/>
  <c r="Y143" i="130"/>
  <c r="Z143" i="130"/>
  <c r="H93" i="126"/>
  <c r="X143" i="130"/>
  <c r="AA143" i="130"/>
  <c r="H95" i="126"/>
  <c r="G95" i="126"/>
  <c r="H94" i="126"/>
  <c r="U310" i="123"/>
  <c r="O25" i="133"/>
  <c r="O24" i="133"/>
  <c r="S23" i="133"/>
  <c r="O12" i="125"/>
  <c r="O6" i="125"/>
  <c r="O8" i="125"/>
  <c r="O13" i="125"/>
  <c r="O59" i="125"/>
  <c r="S239" i="119"/>
  <c r="S240" i="119"/>
  <c r="O36" i="133"/>
  <c r="O37" i="133"/>
  <c r="P25" i="125"/>
  <c r="P24" i="125"/>
  <c r="G220" i="134"/>
  <c r="G219" i="134"/>
  <c r="G218" i="134"/>
  <c r="O47" i="125"/>
  <c r="T310" i="123"/>
  <c r="X310" i="123"/>
  <c r="O72" i="133"/>
  <c r="O73" i="133"/>
  <c r="F124" i="136"/>
  <c r="F125" i="136" s="1"/>
  <c r="F126" i="136" s="1"/>
  <c r="F127" i="136" s="1"/>
  <c r="F128" i="136" s="1"/>
  <c r="R95" i="134" s="1"/>
  <c r="S90" i="134"/>
  <c r="F90" i="134" s="1"/>
  <c r="S91" i="134" s="1"/>
  <c r="F91" i="134" s="1"/>
  <c r="S92" i="134" s="1"/>
  <c r="F92" i="134" s="1"/>
  <c r="S93" i="134" s="1"/>
  <c r="F93" i="134" s="1"/>
  <c r="S94" i="134" s="1"/>
  <c r="F94" i="134" s="1"/>
  <c r="O14" i="133"/>
  <c r="O35" i="125"/>
  <c r="F237" i="119"/>
  <c r="F238" i="119" s="1"/>
  <c r="H35" i="125"/>
  <c r="H36" i="125" s="1"/>
  <c r="I26" i="131"/>
  <c r="I32" i="131" s="1"/>
  <c r="G26" i="131"/>
  <c r="G32" i="131" s="1"/>
  <c r="Y310" i="123"/>
  <c r="U489" i="123"/>
  <c r="H489" i="123" s="1"/>
  <c r="U490" i="123" s="1"/>
  <c r="H490" i="123" s="1"/>
  <c r="U491" i="123" s="1"/>
  <c r="H491" i="123" s="1"/>
  <c r="U492" i="123" s="1"/>
  <c r="H492" i="123" s="1"/>
  <c r="U493" i="123" s="1"/>
  <c r="H493" i="123" s="1"/>
  <c r="U494" i="123" s="1"/>
  <c r="H494" i="123" s="1"/>
  <c r="U495" i="123" s="1"/>
  <c r="H495" i="123" s="1"/>
  <c r="H496" i="123" s="1"/>
  <c r="U291" i="123"/>
  <c r="H291" i="123" s="1"/>
  <c r="U292" i="123" s="1"/>
  <c r="H292" i="123" s="1"/>
  <c r="U293" i="123" s="1"/>
  <c r="H293" i="123" s="1"/>
  <c r="H237" i="115" s="1"/>
  <c r="E237" i="115" s="1"/>
  <c r="F237" i="115" s="1"/>
  <c r="F238" i="115" s="1"/>
  <c r="U208" i="113" s="1"/>
  <c r="W310" i="123"/>
  <c r="V310" i="123"/>
  <c r="D26" i="131"/>
  <c r="D32" i="131" s="1"/>
  <c r="H11" i="125"/>
  <c r="F26" i="131"/>
  <c r="F32" i="131" s="1"/>
  <c r="W311" i="123"/>
  <c r="Y311" i="123"/>
  <c r="U311" i="123"/>
  <c r="X311" i="123"/>
  <c r="V311" i="123"/>
  <c r="T311" i="123"/>
  <c r="W509" i="123"/>
  <c r="V509" i="123"/>
  <c r="Y509" i="123"/>
  <c r="U509" i="123"/>
  <c r="T509" i="123"/>
  <c r="X509" i="123"/>
  <c r="H26" i="131"/>
  <c r="H32" i="131" s="1"/>
  <c r="H72" i="125"/>
  <c r="H73" i="125"/>
  <c r="H24" i="125"/>
  <c r="H25" i="125"/>
  <c r="E26" i="131"/>
  <c r="E32" i="131" s="1"/>
  <c r="U282" i="113"/>
  <c r="V282" i="113" s="1"/>
  <c r="I282" i="113" s="1"/>
  <c r="V283" i="113" s="1"/>
  <c r="U202" i="113"/>
  <c r="H59" i="125"/>
  <c r="H47" i="125"/>
  <c r="H58" i="132" l="1"/>
  <c r="E58" i="132" s="1"/>
  <c r="F58" i="132" s="1"/>
  <c r="F59" i="132" s="1"/>
  <c r="V108" i="113"/>
  <c r="I108" i="113" s="1"/>
  <c r="V109" i="113" s="1"/>
  <c r="I109" i="113" s="1"/>
  <c r="U148" i="123"/>
  <c r="H148" i="123" s="1"/>
  <c r="U149" i="123" s="1"/>
  <c r="H149" i="123" s="1"/>
  <c r="U150" i="123" s="1"/>
  <c r="H150" i="123" s="1"/>
  <c r="U151" i="123" s="1"/>
  <c r="H151" i="123" s="1"/>
  <c r="U152" i="123" s="1"/>
  <c r="H152" i="123" s="1"/>
  <c r="U153" i="123" s="1"/>
  <c r="H153" i="123" s="1"/>
  <c r="U154" i="123" s="1"/>
  <c r="H154" i="123" s="1"/>
  <c r="U155" i="123" s="1"/>
  <c r="H155" i="123" s="1"/>
  <c r="U156" i="123" s="1"/>
  <c r="H156" i="123" s="1"/>
  <c r="U157" i="123" s="1"/>
  <c r="H157" i="123" s="1"/>
  <c r="H122" i="115" s="1"/>
  <c r="E122" i="115" s="1"/>
  <c r="F122" i="115" s="1"/>
  <c r="F123" i="115" s="1"/>
  <c r="U116" i="113" s="1"/>
  <c r="H119" i="115"/>
  <c r="E119" i="115" s="1"/>
  <c r="F119" i="115" s="1"/>
  <c r="F120" i="115" s="1"/>
  <c r="U110" i="113" s="1"/>
  <c r="F299" i="136"/>
  <c r="F300" i="136" s="1"/>
  <c r="F301" i="136" s="1"/>
  <c r="F302" i="136" s="1"/>
  <c r="F303" i="136" s="1"/>
  <c r="F304" i="136" s="1"/>
  <c r="F305" i="136" s="1"/>
  <c r="R201" i="134" s="1"/>
  <c r="S201" i="134" s="1"/>
  <c r="F201" i="134" s="1"/>
  <c r="S202" i="134" s="1"/>
  <c r="F202" i="134" s="1"/>
  <c r="S203" i="134" s="1"/>
  <c r="F203" i="134" s="1"/>
  <c r="S204" i="134" s="1"/>
  <c r="F204" i="134" s="1"/>
  <c r="S205" i="134" s="1"/>
  <c r="F205" i="134" s="1"/>
  <c r="F239" i="119"/>
  <c r="F240" i="119" s="1"/>
  <c r="S241" i="119" s="1"/>
  <c r="F241" i="119" s="1"/>
  <c r="S242" i="119" s="1"/>
  <c r="F242" i="119" s="1"/>
  <c r="S243" i="119" s="1"/>
  <c r="F243" i="119" s="1"/>
  <c r="S244" i="119" s="1"/>
  <c r="F244" i="119" s="1"/>
  <c r="S245" i="119" s="1"/>
  <c r="F245" i="119" s="1"/>
  <c r="S246" i="119" s="1"/>
  <c r="F246" i="119" s="1"/>
  <c r="S247" i="119" s="1"/>
  <c r="F247" i="119" s="1"/>
  <c r="S248" i="119" s="1"/>
  <c r="F248" i="119" s="1"/>
  <c r="S249" i="119" s="1"/>
  <c r="F249" i="119" s="1"/>
  <c r="S250" i="119" s="1"/>
  <c r="F250" i="119" s="1"/>
  <c r="S251" i="119" s="1"/>
  <c r="F251" i="119" s="1"/>
  <c r="S252" i="119" s="1"/>
  <c r="F252" i="119" s="1"/>
  <c r="S253" i="119" s="1"/>
  <c r="F253" i="119" s="1"/>
  <c r="S254" i="119" s="1"/>
  <c r="F254" i="119" s="1"/>
  <c r="S255" i="119" s="1"/>
  <c r="F255" i="119" s="1"/>
  <c r="S256" i="119" s="1"/>
  <c r="F256" i="119" s="1"/>
  <c r="S257" i="119" s="1"/>
  <c r="F257" i="119" s="1"/>
  <c r="S258" i="119" s="1"/>
  <c r="F258" i="119" s="1"/>
  <c r="S259" i="119" s="1"/>
  <c r="S95" i="134"/>
  <c r="F95" i="134" s="1"/>
  <c r="S96" i="134" s="1"/>
  <c r="F96" i="134" s="1"/>
  <c r="S97" i="134" s="1"/>
  <c r="F97" i="134" s="1"/>
  <c r="S98" i="134" s="1"/>
  <c r="F98" i="134" s="1"/>
  <c r="F100" i="126"/>
  <c r="H37" i="125"/>
  <c r="H38" i="125" s="1"/>
  <c r="O15" i="133"/>
  <c r="O62" i="133"/>
  <c r="O36" i="125"/>
  <c r="O37" i="125"/>
  <c r="O14" i="125"/>
  <c r="O60" i="125"/>
  <c r="O61" i="125"/>
  <c r="P11" i="125"/>
  <c r="P10" i="125" s="1"/>
  <c r="P26" i="125"/>
  <c r="P27" i="125" s="1"/>
  <c r="O25" i="125"/>
  <c r="O24" i="125"/>
  <c r="O49" i="125"/>
  <c r="O48" i="125"/>
  <c r="O38" i="133"/>
  <c r="F306" i="136"/>
  <c r="F307" i="136" s="1"/>
  <c r="F308" i="136" s="1"/>
  <c r="F309" i="136" s="1"/>
  <c r="F310" i="136" s="1"/>
  <c r="F311" i="136" s="1"/>
  <c r="F312" i="136" s="1"/>
  <c r="F313" i="136" s="1"/>
  <c r="F314" i="136" s="1"/>
  <c r="R206" i="134" s="1"/>
  <c r="S24" i="133"/>
  <c r="B2" i="154" s="1"/>
  <c r="O73" i="125"/>
  <c r="O72" i="125"/>
  <c r="F47" i="125"/>
  <c r="F59" i="125"/>
  <c r="F35" i="125"/>
  <c r="F71" i="125"/>
  <c r="F11" i="125"/>
  <c r="F10" i="125" s="1"/>
  <c r="O50" i="133"/>
  <c r="O74" i="133"/>
  <c r="O26" i="133"/>
  <c r="S25" i="133"/>
  <c r="F256" i="126"/>
  <c r="F252" i="126"/>
  <c r="H33" i="125"/>
  <c r="H31" i="125"/>
  <c r="T416" i="123"/>
  <c r="Y416" i="123"/>
  <c r="X416" i="123"/>
  <c r="U416" i="123"/>
  <c r="V416" i="123"/>
  <c r="U294" i="123"/>
  <c r="H294" i="123" s="1"/>
  <c r="U295" i="123" s="1"/>
  <c r="H295" i="123" s="1"/>
  <c r="U296" i="123" s="1"/>
  <c r="H296" i="123" s="1"/>
  <c r="U297" i="123" s="1"/>
  <c r="H297" i="123" s="1"/>
  <c r="H298" i="123" s="1"/>
  <c r="W416" i="123"/>
  <c r="H12" i="125"/>
  <c r="H10" i="125"/>
  <c r="H8" i="125"/>
  <c r="H6" i="125"/>
  <c r="H13" i="125"/>
  <c r="H14" i="125" s="1"/>
  <c r="I283" i="113"/>
  <c r="I284" i="113" s="1"/>
  <c r="W222" i="113"/>
  <c r="U222" i="113"/>
  <c r="V222" i="113"/>
  <c r="Y222" i="113"/>
  <c r="X222" i="113"/>
  <c r="Z222" i="113"/>
  <c r="H60" i="125"/>
  <c r="H61" i="125"/>
  <c r="V417" i="123"/>
  <c r="U417" i="123"/>
  <c r="T417" i="123"/>
  <c r="X417" i="123"/>
  <c r="W417" i="123"/>
  <c r="Y417" i="123"/>
  <c r="H26" i="125"/>
  <c r="F223" i="115"/>
  <c r="F224" i="115" s="1"/>
  <c r="F225" i="115" s="1"/>
  <c r="F226" i="115" s="1"/>
  <c r="U204" i="113" s="1"/>
  <c r="V200" i="113"/>
  <c r="I200" i="113" s="1"/>
  <c r="V201" i="113" s="1"/>
  <c r="I201" i="113" s="1"/>
  <c r="V202" i="113" s="1"/>
  <c r="I202" i="113" s="1"/>
  <c r="V203" i="113" s="1"/>
  <c r="I203" i="113" s="1"/>
  <c r="H121" i="132"/>
  <c r="E121" i="132" s="1"/>
  <c r="F121" i="132" s="1"/>
  <c r="F122" i="132" s="1"/>
  <c r="H48" i="125"/>
  <c r="H49" i="125"/>
  <c r="H74" i="125"/>
  <c r="V110" i="113" l="1"/>
  <c r="I110" i="113" s="1"/>
  <c r="V111" i="113" s="1"/>
  <c r="I111" i="113" s="1"/>
  <c r="V112" i="113" s="1"/>
  <c r="I112" i="113" s="1"/>
  <c r="V113" i="113" s="1"/>
  <c r="I113" i="113" s="1"/>
  <c r="F108" i="115" s="1"/>
  <c r="F109" i="115" s="1"/>
  <c r="F110" i="115" s="1"/>
  <c r="F111" i="115" s="1"/>
  <c r="U118" i="113" s="1"/>
  <c r="O28" i="133"/>
  <c r="F134" i="136"/>
  <c r="F135" i="136" s="1"/>
  <c r="F136" i="136" s="1"/>
  <c r="F137" i="136" s="1"/>
  <c r="F138" i="136" s="1"/>
  <c r="R101" i="134" s="1"/>
  <c r="F259" i="119"/>
  <c r="S260" i="119" s="1"/>
  <c r="F260" i="119" s="1"/>
  <c r="F49" i="125"/>
  <c r="F50" i="125" s="1"/>
  <c r="F51" i="125" s="1"/>
  <c r="F48" i="125"/>
  <c r="O26" i="125"/>
  <c r="O62" i="125"/>
  <c r="P71" i="125"/>
  <c r="O63" i="133"/>
  <c r="F37" i="125"/>
  <c r="F38" i="125" s="1"/>
  <c r="F39" i="125" s="1"/>
  <c r="F36" i="125"/>
  <c r="O50" i="125"/>
  <c r="Y144" i="130"/>
  <c r="Y145" i="130" s="1"/>
  <c r="Y146" i="130" s="1"/>
  <c r="X144" i="130"/>
  <c r="X145" i="130" s="1"/>
  <c r="X146" i="130" s="1"/>
  <c r="W144" i="130"/>
  <c r="W145" i="130" s="1"/>
  <c r="W146" i="130" s="1"/>
  <c r="F260" i="126"/>
  <c r="V144" i="130"/>
  <c r="V145" i="130" s="1"/>
  <c r="V146" i="130" s="1"/>
  <c r="AA144" i="130"/>
  <c r="AA145" i="130" s="1"/>
  <c r="AA146" i="130" s="1"/>
  <c r="G255" i="126"/>
  <c r="G253" i="126"/>
  <c r="Z144" i="130"/>
  <c r="Z145" i="130" s="1"/>
  <c r="Z146" i="130" s="1"/>
  <c r="G254" i="126"/>
  <c r="O51" i="133"/>
  <c r="P59" i="125"/>
  <c r="O15" i="125"/>
  <c r="P47" i="125"/>
  <c r="O38" i="125"/>
  <c r="Q28" i="133"/>
  <c r="P28" i="133"/>
  <c r="O27" i="133"/>
  <c r="S27" i="133" s="1"/>
  <c r="S26" i="133"/>
  <c r="P25" i="100" s="1"/>
  <c r="G257" i="126"/>
  <c r="G259" i="126"/>
  <c r="G258" i="126"/>
  <c r="O75" i="133"/>
  <c r="F6" i="125"/>
  <c r="F13" i="125"/>
  <c r="F14" i="125" s="1"/>
  <c r="F15" i="125" s="1"/>
  <c r="F8" i="125"/>
  <c r="F12" i="125"/>
  <c r="O74" i="125"/>
  <c r="P6" i="125"/>
  <c r="P8" i="125"/>
  <c r="P12" i="125"/>
  <c r="P13" i="125"/>
  <c r="S206" i="134"/>
  <c r="F206" i="134" s="1"/>
  <c r="S207" i="134" s="1"/>
  <c r="F207" i="134" s="1"/>
  <c r="S208" i="134" s="1"/>
  <c r="H74" i="111"/>
  <c r="E74" i="111" s="1"/>
  <c r="F74" i="111" s="1"/>
  <c r="F75" i="111" s="1"/>
  <c r="R74" i="110" s="1"/>
  <c r="S74" i="110" s="1"/>
  <c r="F74" i="110" s="1"/>
  <c r="H108" i="120"/>
  <c r="E108" i="120" s="1"/>
  <c r="F108" i="120" s="1"/>
  <c r="F109" i="120" s="1"/>
  <c r="R116" i="119" s="1"/>
  <c r="S116" i="119" s="1"/>
  <c r="F116" i="119" s="1"/>
  <c r="S117" i="119" s="1"/>
  <c r="F117" i="119" s="1"/>
  <c r="S101" i="126"/>
  <c r="F101" i="126" s="1"/>
  <c r="S102" i="126" s="1"/>
  <c r="F102" i="126" s="1"/>
  <c r="S103" i="126" s="1"/>
  <c r="F103" i="126" s="1"/>
  <c r="S104" i="126" s="1"/>
  <c r="F60" i="125"/>
  <c r="F61" i="125"/>
  <c r="F62" i="125" s="1"/>
  <c r="F63" i="125" s="1"/>
  <c r="O39" i="133"/>
  <c r="F73" i="125"/>
  <c r="F74" i="125" s="1"/>
  <c r="F75" i="125" s="1"/>
  <c r="F72" i="125"/>
  <c r="F139" i="136"/>
  <c r="F140" i="136" s="1"/>
  <c r="F141" i="136" s="1"/>
  <c r="F142" i="136" s="1"/>
  <c r="F143" i="136" s="1"/>
  <c r="R104" i="134" s="1"/>
  <c r="S99" i="134"/>
  <c r="F99" i="134" s="1"/>
  <c r="S100" i="134" s="1"/>
  <c r="F100" i="134" s="1"/>
  <c r="P35" i="125"/>
  <c r="T184" i="123"/>
  <c r="V184" i="123"/>
  <c r="Y184" i="123"/>
  <c r="X184" i="123"/>
  <c r="W184" i="123"/>
  <c r="U184" i="123"/>
  <c r="U158" i="123"/>
  <c r="H158" i="123" s="1"/>
  <c r="U159" i="123" s="1"/>
  <c r="H159" i="123" s="1"/>
  <c r="U160" i="123" s="1"/>
  <c r="H160" i="123" s="1"/>
  <c r="U161" i="123" s="1"/>
  <c r="H161" i="123" s="1"/>
  <c r="U162" i="123" s="1"/>
  <c r="H162" i="123" s="1"/>
  <c r="U163" i="123" s="1"/>
  <c r="H163" i="123" s="1"/>
  <c r="U164" i="123" s="1"/>
  <c r="H164" i="123" s="1"/>
  <c r="F194" i="124"/>
  <c r="F195" i="124" s="1"/>
  <c r="F196" i="124" s="1"/>
  <c r="F197" i="124" s="1"/>
  <c r="F198" i="124" s="1"/>
  <c r="F199" i="124" s="1"/>
  <c r="F200" i="124" s="1"/>
  <c r="T165" i="123" s="1"/>
  <c r="V204" i="113"/>
  <c r="I204" i="113" s="1"/>
  <c r="V205" i="113" s="1"/>
  <c r="I205" i="113" s="1"/>
  <c r="V206" i="113" s="1"/>
  <c r="I206" i="113" s="1"/>
  <c r="V207" i="113" s="1"/>
  <c r="I207" i="113" s="1"/>
  <c r="V208" i="113" s="1"/>
  <c r="I208" i="113" s="1"/>
  <c r="V209" i="113" s="1"/>
  <c r="H50" i="125"/>
  <c r="H15" i="125"/>
  <c r="H39" i="125"/>
  <c r="H75" i="125"/>
  <c r="V185" i="123"/>
  <c r="Y185" i="123"/>
  <c r="T185" i="123"/>
  <c r="W185" i="123"/>
  <c r="X185" i="123"/>
  <c r="U185" i="123"/>
  <c r="H27" i="125"/>
  <c r="H62" i="125"/>
  <c r="U223" i="113"/>
  <c r="Z223" i="113"/>
  <c r="V223" i="113"/>
  <c r="X223" i="113"/>
  <c r="W223" i="113"/>
  <c r="Y223" i="113"/>
  <c r="H52" i="132" l="1"/>
  <c r="E52" i="132" s="1"/>
  <c r="F52" i="132" s="1"/>
  <c r="F53" i="132" s="1"/>
  <c r="V114" i="113"/>
  <c r="I114" i="113" s="1"/>
  <c r="V115" i="113" s="1"/>
  <c r="I115" i="113" s="1"/>
  <c r="V116" i="113" s="1"/>
  <c r="I116" i="113" s="1"/>
  <c r="V117" i="113" s="1"/>
  <c r="I117" i="113" s="1"/>
  <c r="P42" i="100"/>
  <c r="S101" i="134"/>
  <c r="F101" i="134" s="1"/>
  <c r="S102" i="134" s="1"/>
  <c r="F102" i="134" s="1"/>
  <c r="S103" i="134" s="1"/>
  <c r="F103" i="134" s="1"/>
  <c r="S104" i="134" s="1"/>
  <c r="F9" i="117"/>
  <c r="F46" i="117" s="1"/>
  <c r="F102" i="111"/>
  <c r="F103" i="111" s="1"/>
  <c r="F104" i="111" s="1"/>
  <c r="F105" i="111" s="1"/>
  <c r="R77" i="110" s="1"/>
  <c r="S75" i="110"/>
  <c r="F75" i="110" s="1"/>
  <c r="V147" i="130"/>
  <c r="V150" i="130"/>
  <c r="V149" i="130"/>
  <c r="V148" i="130"/>
  <c r="O27" i="125"/>
  <c r="F208" i="134"/>
  <c r="F9" i="133"/>
  <c r="P9" i="133"/>
  <c r="O39" i="125"/>
  <c r="W150" i="130"/>
  <c r="W148" i="130"/>
  <c r="W147" i="130"/>
  <c r="W149" i="130"/>
  <c r="P37" i="125"/>
  <c r="P36" i="125"/>
  <c r="X150" i="130"/>
  <c r="X148" i="130"/>
  <c r="X147" i="130"/>
  <c r="X149" i="130"/>
  <c r="AA150" i="130"/>
  <c r="AA149" i="130"/>
  <c r="AA148" i="130"/>
  <c r="AA147" i="130"/>
  <c r="O51" i="125"/>
  <c r="F261" i="119"/>
  <c r="P49" i="125"/>
  <c r="P48" i="125"/>
  <c r="Z149" i="130"/>
  <c r="Z148" i="130"/>
  <c r="Z150" i="130"/>
  <c r="Z147" i="130"/>
  <c r="Y150" i="130"/>
  <c r="Y148" i="130"/>
  <c r="Y147" i="130"/>
  <c r="Y149" i="130"/>
  <c r="G261" i="126"/>
  <c r="G263" i="126"/>
  <c r="G262" i="126"/>
  <c r="P72" i="125"/>
  <c r="P73" i="125"/>
  <c r="O63" i="125"/>
  <c r="F122" i="120"/>
  <c r="F123" i="120" s="1"/>
  <c r="F124" i="120" s="1"/>
  <c r="F125" i="120" s="1"/>
  <c r="F126" i="120" s="1"/>
  <c r="F127" i="120" s="1"/>
  <c r="F128" i="120" s="1"/>
  <c r="R123" i="119" s="1"/>
  <c r="S118" i="119"/>
  <c r="F118" i="119" s="1"/>
  <c r="P61" i="125"/>
  <c r="P60" i="125"/>
  <c r="O75" i="125"/>
  <c r="F104" i="126"/>
  <c r="S105" i="126" s="1"/>
  <c r="P14" i="125"/>
  <c r="U165" i="123"/>
  <c r="H165" i="123" s="1"/>
  <c r="U166" i="123" s="1"/>
  <c r="H166" i="123" s="1"/>
  <c r="U167" i="123" s="1"/>
  <c r="H167" i="123" s="1"/>
  <c r="U168" i="123" s="1"/>
  <c r="H168" i="123" s="1"/>
  <c r="U169" i="123" s="1"/>
  <c r="H169" i="123" s="1"/>
  <c r="U170" i="123" s="1"/>
  <c r="H170" i="123" s="1"/>
  <c r="U171" i="123" s="1"/>
  <c r="U38" i="123" s="1"/>
  <c r="F25" i="123" s="1"/>
  <c r="H22" i="117" s="1"/>
  <c r="V118" i="113"/>
  <c r="I118" i="113" s="1"/>
  <c r="V119" i="113" s="1"/>
  <c r="I119" i="113" s="1"/>
  <c r="V120" i="113" s="1"/>
  <c r="I120" i="113" s="1"/>
  <c r="V121" i="113" s="1"/>
  <c r="I121" i="113" s="1"/>
  <c r="H115" i="132"/>
  <c r="E115" i="132" s="1"/>
  <c r="F115" i="132" s="1"/>
  <c r="F116" i="132" s="1"/>
  <c r="H63" i="125"/>
  <c r="I209" i="113"/>
  <c r="I210" i="113" s="1"/>
  <c r="Z136" i="113"/>
  <c r="V136" i="113"/>
  <c r="X136" i="113"/>
  <c r="U136" i="113"/>
  <c r="Y136" i="113"/>
  <c r="W136" i="113"/>
  <c r="H51" i="125"/>
  <c r="F58" i="117" l="1"/>
  <c r="F61" i="117" s="1"/>
  <c r="F62" i="117" s="1"/>
  <c r="F63" i="117" s="1"/>
  <c r="F70" i="117"/>
  <c r="F73" i="117" s="1"/>
  <c r="F74" i="117" s="1"/>
  <c r="F75" i="117" s="1"/>
  <c r="P26" i="100"/>
  <c r="P27" i="100" s="1"/>
  <c r="F34" i="117"/>
  <c r="F37" i="117" s="1"/>
  <c r="F38" i="117" s="1"/>
  <c r="F39" i="117" s="1"/>
  <c r="F104" i="134"/>
  <c r="S105" i="134" s="1"/>
  <c r="F105" i="134" s="1"/>
  <c r="F106" i="134" s="1"/>
  <c r="F11" i="117"/>
  <c r="F10" i="117" s="1"/>
  <c r="F22" i="117"/>
  <c r="F25" i="117" s="1"/>
  <c r="F26" i="117" s="1"/>
  <c r="F27" i="117" s="1"/>
  <c r="F13" i="117"/>
  <c r="F14" i="117" s="1"/>
  <c r="F15" i="117" s="1"/>
  <c r="P15" i="125"/>
  <c r="F47" i="117"/>
  <c r="F48" i="117" s="1"/>
  <c r="F49" i="117"/>
  <c r="F50" i="117" s="1"/>
  <c r="F51" i="117" s="1"/>
  <c r="F105" i="126"/>
  <c r="S106" i="126" s="1"/>
  <c r="F106" i="126" s="1"/>
  <c r="S107" i="126" s="1"/>
  <c r="P11" i="133"/>
  <c r="S9" i="133"/>
  <c r="P50" i="125"/>
  <c r="F58" i="133"/>
  <c r="F46" i="133"/>
  <c r="F70" i="133"/>
  <c r="F34" i="133"/>
  <c r="P62" i="125"/>
  <c r="P74" i="125"/>
  <c r="G262" i="119"/>
  <c r="P38" i="125"/>
  <c r="F213" i="134"/>
  <c r="AA97" i="138"/>
  <c r="AA98" i="138" s="1"/>
  <c r="AA99" i="138" s="1"/>
  <c r="Z97" i="138"/>
  <c r="Z98" i="138" s="1"/>
  <c r="Z99" i="138" s="1"/>
  <c r="Y97" i="138"/>
  <c r="Y98" i="138" s="1"/>
  <c r="Y99" i="138" s="1"/>
  <c r="X97" i="138"/>
  <c r="X98" i="138" s="1"/>
  <c r="X99" i="138" s="1"/>
  <c r="H125" i="115"/>
  <c r="E125" i="115" s="1"/>
  <c r="F125" i="115" s="1"/>
  <c r="F126" i="115" s="1"/>
  <c r="U122" i="113" s="1"/>
  <c r="V122" i="113" s="1"/>
  <c r="H46" i="132"/>
  <c r="E46" i="132" s="1"/>
  <c r="F46" i="132" s="1"/>
  <c r="F47" i="132" s="1"/>
  <c r="T38" i="123"/>
  <c r="E25" i="123" s="1"/>
  <c r="H9" i="117" s="1"/>
  <c r="U172" i="123"/>
  <c r="H171" i="123"/>
  <c r="H172" i="123" s="1"/>
  <c r="Y39" i="123" s="1"/>
  <c r="J26" i="123" s="1"/>
  <c r="X38" i="123"/>
  <c r="I25" i="123" s="1"/>
  <c r="H58" i="117" s="1"/>
  <c r="H61" i="117" s="1"/>
  <c r="V38" i="123"/>
  <c r="G25" i="123" s="1"/>
  <c r="H34" i="117" s="1"/>
  <c r="H37" i="117" s="1"/>
  <c r="Y38" i="123"/>
  <c r="J25" i="123" s="1"/>
  <c r="H70" i="117" s="1"/>
  <c r="H71" i="117" s="1"/>
  <c r="W38" i="123"/>
  <c r="H25" i="123" s="1"/>
  <c r="H46" i="117" s="1"/>
  <c r="H49" i="117" s="1"/>
  <c r="H23" i="117"/>
  <c r="H25" i="117"/>
  <c r="X137" i="113"/>
  <c r="Y137" i="113"/>
  <c r="Z137" i="113"/>
  <c r="W137" i="113"/>
  <c r="U137" i="113"/>
  <c r="V137" i="113"/>
  <c r="F59" i="117" l="1"/>
  <c r="F60" i="117" s="1"/>
  <c r="F71" i="117"/>
  <c r="F72" i="117" s="1"/>
  <c r="F149" i="136"/>
  <c r="F150" i="136" s="1"/>
  <c r="F151" i="136" s="1"/>
  <c r="F152" i="136" s="1"/>
  <c r="F153" i="136" s="1"/>
  <c r="F154" i="136" s="1"/>
  <c r="F155" i="136" s="1"/>
  <c r="F35" i="117"/>
  <c r="F36" i="117" s="1"/>
  <c r="F6" i="117"/>
  <c r="F12" i="117"/>
  <c r="F23" i="117"/>
  <c r="F24" i="117" s="1"/>
  <c r="E9" i="133"/>
  <c r="F8" i="117"/>
  <c r="P63" i="125"/>
  <c r="P59" i="133"/>
  <c r="X100" i="138"/>
  <c r="F14" i="138" s="1"/>
  <c r="Q30" i="133" s="1"/>
  <c r="X101" i="138"/>
  <c r="F15" i="138" s="1"/>
  <c r="Q32" i="133" s="1"/>
  <c r="X102" i="138"/>
  <c r="F16" i="138" s="1"/>
  <c r="Q34" i="133" s="1"/>
  <c r="S34" i="133" s="1"/>
  <c r="X103" i="138"/>
  <c r="F17" i="138" s="1"/>
  <c r="P51" i="125"/>
  <c r="P71" i="133"/>
  <c r="F107" i="126"/>
  <c r="Z101" i="138"/>
  <c r="H15" i="138" s="1"/>
  <c r="Q56" i="133" s="1"/>
  <c r="Z103" i="138"/>
  <c r="H17" i="138" s="1"/>
  <c r="Z100" i="138"/>
  <c r="H14" i="138" s="1"/>
  <c r="Q54" i="133" s="1"/>
  <c r="Z102" i="138"/>
  <c r="H16" i="138" s="1"/>
  <c r="Q58" i="133" s="1"/>
  <c r="S58" i="133" s="1"/>
  <c r="P10" i="133"/>
  <c r="P6" i="133"/>
  <c r="P8" i="133"/>
  <c r="P13" i="133"/>
  <c r="P12" i="133"/>
  <c r="S12" i="133" s="1"/>
  <c r="S11" i="133"/>
  <c r="S10" i="133" s="1"/>
  <c r="Y100" i="138"/>
  <c r="G14" i="138" s="1"/>
  <c r="Q42" i="133" s="1"/>
  <c r="Y101" i="138"/>
  <c r="G15" i="138" s="1"/>
  <c r="Q44" i="133" s="1"/>
  <c r="Y102" i="138"/>
  <c r="G16" i="138" s="1"/>
  <c r="Q46" i="133" s="1"/>
  <c r="S46" i="133" s="1"/>
  <c r="Y103" i="138"/>
  <c r="G17" i="138" s="1"/>
  <c r="AA101" i="138"/>
  <c r="I15" i="138" s="1"/>
  <c r="Q68" i="133" s="1"/>
  <c r="AA102" i="138"/>
  <c r="I16" i="138" s="1"/>
  <c r="Q70" i="133" s="1"/>
  <c r="S70" i="133" s="1"/>
  <c r="AA103" i="138"/>
  <c r="I17" i="138" s="1"/>
  <c r="AA100" i="138"/>
  <c r="I14" i="138" s="1"/>
  <c r="Q66" i="133" s="1"/>
  <c r="P39" i="125"/>
  <c r="P75" i="125"/>
  <c r="P35" i="133"/>
  <c r="F221" i="134"/>
  <c r="G216" i="134"/>
  <c r="F5" i="133"/>
  <c r="G214" i="134"/>
  <c r="G215" i="134"/>
  <c r="G109" i="134"/>
  <c r="G108" i="134"/>
  <c r="G76" i="134"/>
  <c r="G75" i="134"/>
  <c r="G107" i="134"/>
  <c r="P47" i="133"/>
  <c r="I122" i="113"/>
  <c r="V123" i="113" s="1"/>
  <c r="I123" i="113" s="1"/>
  <c r="I124" i="113" s="1"/>
  <c r="Y39" i="113" s="1"/>
  <c r="I26" i="113" s="1"/>
  <c r="U39" i="123"/>
  <c r="F26" i="123" s="1"/>
  <c r="V39" i="123"/>
  <c r="G26" i="123" s="1"/>
  <c r="H13" i="117"/>
  <c r="H11" i="117"/>
  <c r="H73" i="117"/>
  <c r="X39" i="123"/>
  <c r="I26" i="123" s="1"/>
  <c r="T39" i="123"/>
  <c r="E26" i="123" s="1"/>
  <c r="W39" i="123"/>
  <c r="H26" i="123" s="1"/>
  <c r="H47" i="117"/>
  <c r="H35" i="117"/>
  <c r="H36" i="117" s="1"/>
  <c r="H59" i="117"/>
  <c r="H60" i="117" s="1"/>
  <c r="H62" i="117"/>
  <c r="H63" i="117" s="1"/>
  <c r="H72" i="117"/>
  <c r="H69" i="117"/>
  <c r="H26" i="117"/>
  <c r="H27" i="117" s="1"/>
  <c r="H38" i="117"/>
  <c r="H39" i="117" s="1"/>
  <c r="H24" i="117"/>
  <c r="H50" i="117"/>
  <c r="H51" i="117" s="1"/>
  <c r="E11" i="133" l="1"/>
  <c r="F22" i="133"/>
  <c r="E34" i="133"/>
  <c r="E35" i="133" s="1"/>
  <c r="E37" i="133" s="1"/>
  <c r="E22" i="133"/>
  <c r="E23" i="133" s="1"/>
  <c r="E24" i="133" s="1"/>
  <c r="E58" i="133"/>
  <c r="E59" i="133" s="1"/>
  <c r="E60" i="133" s="1"/>
  <c r="E46" i="133"/>
  <c r="E47" i="133" s="1"/>
  <c r="E70" i="133"/>
  <c r="E71" i="133" s="1"/>
  <c r="E72" i="133" s="1"/>
  <c r="Q33" i="133"/>
  <c r="S32" i="133"/>
  <c r="P73" i="133"/>
  <c r="P72" i="133"/>
  <c r="Q55" i="133"/>
  <c r="Q59" i="133"/>
  <c r="S59" i="133" s="1"/>
  <c r="S54" i="133"/>
  <c r="E49" i="133"/>
  <c r="E48" i="133"/>
  <c r="Q67" i="133"/>
  <c r="Q71" i="133"/>
  <c r="S71" i="133" s="1"/>
  <c r="S66" i="133"/>
  <c r="Q45" i="133"/>
  <c r="S44" i="133"/>
  <c r="P61" i="133"/>
  <c r="P60" i="133"/>
  <c r="P49" i="133"/>
  <c r="P48" i="133"/>
  <c r="Q57" i="133"/>
  <c r="S56" i="133"/>
  <c r="P37" i="133"/>
  <c r="P36" i="133"/>
  <c r="S8" i="133"/>
  <c r="S6" i="133"/>
  <c r="W23" i="138"/>
  <c r="W24" i="138" s="1"/>
  <c r="V23" i="138"/>
  <c r="V24" i="138" s="1"/>
  <c r="Z23" i="138"/>
  <c r="Z24" i="138" s="1"/>
  <c r="Y23" i="138"/>
  <c r="Y24" i="138" s="1"/>
  <c r="X23" i="138"/>
  <c r="X24" i="138" s="1"/>
  <c r="AA23" i="138"/>
  <c r="AA24" i="138" s="1"/>
  <c r="G224" i="134"/>
  <c r="G223" i="134"/>
  <c r="G222" i="134"/>
  <c r="Q31" i="133"/>
  <c r="Q35" i="133"/>
  <c r="S30" i="133"/>
  <c r="Q43" i="133"/>
  <c r="S42" i="133"/>
  <c r="Q47" i="133"/>
  <c r="S47" i="133" s="1"/>
  <c r="F42" i="133"/>
  <c r="F66" i="133"/>
  <c r="F30" i="133"/>
  <c r="F54" i="133"/>
  <c r="F11" i="133"/>
  <c r="F6" i="133" s="1"/>
  <c r="F18" i="133"/>
  <c r="Q69" i="133"/>
  <c r="S68" i="133"/>
  <c r="P14" i="133"/>
  <c r="S13" i="133"/>
  <c r="P16" i="133" s="1"/>
  <c r="H111" i="120"/>
  <c r="E111" i="120" s="1"/>
  <c r="F111" i="120" s="1"/>
  <c r="F112" i="120" s="1"/>
  <c r="R119" i="119" s="1"/>
  <c r="S119" i="119" s="1"/>
  <c r="H77" i="111"/>
  <c r="E77" i="111" s="1"/>
  <c r="F77" i="111" s="1"/>
  <c r="F78" i="111" s="1"/>
  <c r="R76" i="110" s="1"/>
  <c r="S76" i="110" s="1"/>
  <c r="F76" i="110" s="1"/>
  <c r="S108" i="126"/>
  <c r="F108" i="126" s="1"/>
  <c r="S109" i="126" s="1"/>
  <c r="F109" i="126" s="1"/>
  <c r="S110" i="126" s="1"/>
  <c r="W39" i="113"/>
  <c r="G26" i="113" s="1"/>
  <c r="Z39" i="113"/>
  <c r="J26" i="113" s="1"/>
  <c r="X38" i="113"/>
  <c r="H25" i="113" s="1"/>
  <c r="H35" i="108" s="1"/>
  <c r="W38" i="113"/>
  <c r="G25" i="113" s="1"/>
  <c r="V39" i="113"/>
  <c r="F26" i="113" s="1"/>
  <c r="U39" i="113"/>
  <c r="E26" i="113" s="1"/>
  <c r="Z38" i="113"/>
  <c r="J25" i="113" s="1"/>
  <c r="H70" i="108" s="1"/>
  <c r="H71" i="108" s="1"/>
  <c r="X39" i="113"/>
  <c r="H26" i="113" s="1"/>
  <c r="Y38" i="113"/>
  <c r="I25" i="113" s="1"/>
  <c r="H58" i="108" s="1"/>
  <c r="H59" i="108" s="1"/>
  <c r="H60" i="108" s="1"/>
  <c r="V38" i="113"/>
  <c r="F25" i="113" s="1"/>
  <c r="H22" i="108" s="1"/>
  <c r="U38" i="113"/>
  <c r="E25" i="113" s="1"/>
  <c r="H9" i="108" s="1"/>
  <c r="H74" i="117"/>
  <c r="H75" i="117" s="1"/>
  <c r="H14" i="117"/>
  <c r="H15" i="117" s="1"/>
  <c r="H48" i="117"/>
  <c r="H10" i="117"/>
  <c r="H8" i="117"/>
  <c r="H6" i="117"/>
  <c r="H12" i="117"/>
  <c r="S55" i="133" l="1"/>
  <c r="S60" i="133"/>
  <c r="B5" i="154" s="1"/>
  <c r="S31" i="133"/>
  <c r="S57" i="133"/>
  <c r="S69" i="133"/>
  <c r="S45" i="133"/>
  <c r="S48" i="133"/>
  <c r="B4" i="154" s="1"/>
  <c r="S43" i="133"/>
  <c r="S67" i="133"/>
  <c r="S72" i="133"/>
  <c r="B6" i="154" s="1"/>
  <c r="S33" i="133"/>
  <c r="E61" i="133"/>
  <c r="E36" i="133"/>
  <c r="E73" i="133"/>
  <c r="E74" i="133" s="1"/>
  <c r="E75" i="133" s="1"/>
  <c r="E25" i="133"/>
  <c r="E26" i="133" s="1"/>
  <c r="E10" i="133"/>
  <c r="E6" i="133"/>
  <c r="E12" i="133"/>
  <c r="E13" i="133"/>
  <c r="E14" i="133" s="1"/>
  <c r="E15" i="133" s="1"/>
  <c r="E8" i="133"/>
  <c r="P38" i="133"/>
  <c r="F19" i="133"/>
  <c r="F23" i="133"/>
  <c r="E50" i="133"/>
  <c r="E51" i="133" s="1"/>
  <c r="F106" i="111"/>
  <c r="F107" i="111" s="1"/>
  <c r="F108" i="111" s="1"/>
  <c r="F109" i="111" s="1"/>
  <c r="R79" i="110" s="1"/>
  <c r="S77" i="110"/>
  <c r="F77" i="110" s="1"/>
  <c r="F8" i="133"/>
  <c r="F13" i="133"/>
  <c r="F12" i="133"/>
  <c r="F10" i="133"/>
  <c r="Y26" i="138"/>
  <c r="G11" i="138" s="1"/>
  <c r="G44" i="133" s="1"/>
  <c r="Y25" i="138"/>
  <c r="G10" i="138" s="1"/>
  <c r="G42" i="133" s="1"/>
  <c r="G43" i="133" s="1"/>
  <c r="Y28" i="138"/>
  <c r="G13" i="138" s="1"/>
  <c r="Y27" i="138"/>
  <c r="G12" i="138" s="1"/>
  <c r="G46" i="133" s="1"/>
  <c r="P74" i="133"/>
  <c r="F110" i="126"/>
  <c r="X26" i="138"/>
  <c r="F11" i="138" s="1"/>
  <c r="G32" i="133" s="1"/>
  <c r="X25" i="138"/>
  <c r="F10" i="138" s="1"/>
  <c r="G30" i="133" s="1"/>
  <c r="I30" i="133" s="1"/>
  <c r="X27" i="138"/>
  <c r="F12" i="138" s="1"/>
  <c r="G34" i="133" s="1"/>
  <c r="I34" i="133" s="1"/>
  <c r="X28" i="138"/>
  <c r="F13" i="138" s="1"/>
  <c r="Z25" i="138"/>
  <c r="H10" i="138" s="1"/>
  <c r="G54" i="133" s="1"/>
  <c r="G55" i="133" s="1"/>
  <c r="Z26" i="138"/>
  <c r="H11" i="138" s="1"/>
  <c r="G56" i="133" s="1"/>
  <c r="Z28" i="138"/>
  <c r="H13" i="138" s="1"/>
  <c r="Z27" i="138"/>
  <c r="H12" i="138" s="1"/>
  <c r="G58" i="133" s="1"/>
  <c r="F31" i="133"/>
  <c r="F35" i="133"/>
  <c r="E38" i="133"/>
  <c r="E39" i="133" s="1"/>
  <c r="V25" i="138"/>
  <c r="D10" i="138" s="1"/>
  <c r="G5" i="133" s="1"/>
  <c r="V26" i="138"/>
  <c r="D11" i="138" s="1"/>
  <c r="G7" i="133" s="1"/>
  <c r="V27" i="138"/>
  <c r="D12" i="138" s="1"/>
  <c r="G9" i="133" s="1"/>
  <c r="I9" i="133" s="1"/>
  <c r="V28" i="138"/>
  <c r="D13" i="138" s="1"/>
  <c r="Q60" i="133"/>
  <c r="Q61" i="133"/>
  <c r="S61" i="133" s="1"/>
  <c r="Q16" i="133"/>
  <c r="O16" i="133"/>
  <c r="Q37" i="133"/>
  <c r="Q36" i="133"/>
  <c r="F119" i="119"/>
  <c r="S120" i="119" s="1"/>
  <c r="F120" i="119" s="1"/>
  <c r="F55" i="133"/>
  <c r="F59" i="133"/>
  <c r="Q48" i="133"/>
  <c r="Q49" i="133"/>
  <c r="F67" i="133"/>
  <c r="F71" i="133"/>
  <c r="W25" i="138"/>
  <c r="E10" i="138" s="1"/>
  <c r="G18" i="133" s="1"/>
  <c r="I18" i="133" s="1"/>
  <c r="W26" i="138"/>
  <c r="E11" i="138" s="1"/>
  <c r="G20" i="133" s="1"/>
  <c r="W28" i="138"/>
  <c r="E13" i="138" s="1"/>
  <c r="W27" i="138"/>
  <c r="E12" i="138" s="1"/>
  <c r="G22" i="133" s="1"/>
  <c r="I22" i="133" s="1"/>
  <c r="S35" i="133"/>
  <c r="P50" i="133"/>
  <c r="Q72" i="133"/>
  <c r="Q73" i="133"/>
  <c r="AA25" i="138"/>
  <c r="I10" i="138" s="1"/>
  <c r="G66" i="133" s="1"/>
  <c r="AA26" i="138"/>
  <c r="I11" i="138" s="1"/>
  <c r="G68" i="133" s="1"/>
  <c r="AA27" i="138"/>
  <c r="I12" i="138" s="1"/>
  <c r="G70" i="133" s="1"/>
  <c r="I70" i="133" s="1"/>
  <c r="AA28" i="138"/>
  <c r="I13" i="138" s="1"/>
  <c r="E62" i="133"/>
  <c r="E63" i="133" s="1"/>
  <c r="P15" i="133"/>
  <c r="S15" i="133" s="1"/>
  <c r="S14" i="133"/>
  <c r="F43" i="133"/>
  <c r="F47" i="133"/>
  <c r="P62" i="133"/>
  <c r="H46" i="108"/>
  <c r="H49" i="108" s="1"/>
  <c r="H50" i="108" s="1"/>
  <c r="H51" i="108" s="1"/>
  <c r="H37" i="108"/>
  <c r="H38" i="108" s="1"/>
  <c r="H39" i="108" s="1"/>
  <c r="H69" i="108"/>
  <c r="H72" i="108"/>
  <c r="H73" i="108"/>
  <c r="H11" i="108"/>
  <c r="H13" i="108"/>
  <c r="H23" i="108"/>
  <c r="H61" i="108"/>
  <c r="H25" i="108"/>
  <c r="H26" i="108" s="1"/>
  <c r="H27" i="108" s="1"/>
  <c r="H36" i="108"/>
  <c r="K30" i="108" l="1"/>
  <c r="K30" i="117"/>
  <c r="K18" i="108"/>
  <c r="K18" i="117"/>
  <c r="K34" i="117"/>
  <c r="K34" i="108"/>
  <c r="K22" i="117"/>
  <c r="K22" i="108"/>
  <c r="K70" i="108"/>
  <c r="K70" i="117"/>
  <c r="K9" i="108"/>
  <c r="K9" i="117"/>
  <c r="S36" i="133"/>
  <c r="B3" i="154" s="1"/>
  <c r="I42" i="133"/>
  <c r="I43" i="133"/>
  <c r="H47" i="108"/>
  <c r="H48" i="108" s="1"/>
  <c r="O64" i="133"/>
  <c r="P64" i="133"/>
  <c r="G67" i="133"/>
  <c r="I67" i="133" s="1"/>
  <c r="G71" i="133"/>
  <c r="I71" i="133" s="1"/>
  <c r="Q50" i="133"/>
  <c r="Q51" i="133" s="1"/>
  <c r="H80" i="111"/>
  <c r="E80" i="111" s="1"/>
  <c r="F80" i="111" s="1"/>
  <c r="F81" i="111" s="1"/>
  <c r="R78" i="110" s="1"/>
  <c r="S78" i="110" s="1"/>
  <c r="F78" i="110" s="1"/>
  <c r="H114" i="120"/>
  <c r="E114" i="120" s="1"/>
  <c r="F114" i="120" s="1"/>
  <c r="F115" i="120" s="1"/>
  <c r="R122" i="119" s="1"/>
  <c r="S111" i="126"/>
  <c r="F111" i="126" s="1"/>
  <c r="S112" i="126" s="1"/>
  <c r="F112" i="126" s="1"/>
  <c r="S113" i="126" s="1"/>
  <c r="F113" i="126" s="1"/>
  <c r="F14" i="133"/>
  <c r="F24" i="133"/>
  <c r="F25" i="133"/>
  <c r="Q74" i="133"/>
  <c r="Q75" i="133" s="1"/>
  <c r="E27" i="133"/>
  <c r="F36" i="133"/>
  <c r="F37" i="133"/>
  <c r="G47" i="133"/>
  <c r="I47" i="133" s="1"/>
  <c r="I46" i="133"/>
  <c r="F49" i="133"/>
  <c r="F48" i="133"/>
  <c r="G21" i="133"/>
  <c r="I21" i="133" s="1"/>
  <c r="I20" i="133"/>
  <c r="I54" i="133"/>
  <c r="G19" i="133"/>
  <c r="I19" i="133" s="1"/>
  <c r="G23" i="133"/>
  <c r="I23" i="133" s="1"/>
  <c r="F61" i="133"/>
  <c r="F60" i="133"/>
  <c r="Q38" i="133"/>
  <c r="Q39" i="133" s="1"/>
  <c r="I7" i="133"/>
  <c r="G59" i="133"/>
  <c r="I59" i="133" s="1"/>
  <c r="I58" i="133"/>
  <c r="G31" i="133"/>
  <c r="I31" i="133" s="1"/>
  <c r="G35" i="133"/>
  <c r="I35" i="133" s="1"/>
  <c r="S49" i="133"/>
  <c r="I66" i="133"/>
  <c r="I55" i="133"/>
  <c r="G11" i="133"/>
  <c r="G6" i="133" s="1"/>
  <c r="I5" i="133"/>
  <c r="G33" i="133"/>
  <c r="I33" i="133" s="1"/>
  <c r="I32" i="133"/>
  <c r="S73" i="133"/>
  <c r="G45" i="133"/>
  <c r="I45" i="133" s="1"/>
  <c r="I44" i="133"/>
  <c r="S37" i="133"/>
  <c r="P63" i="133"/>
  <c r="F73" i="133"/>
  <c r="F72" i="133"/>
  <c r="G57" i="133"/>
  <c r="I57" i="133" s="1"/>
  <c r="I56" i="133"/>
  <c r="G69" i="133"/>
  <c r="I69" i="133" s="1"/>
  <c r="I68" i="133"/>
  <c r="P51" i="133"/>
  <c r="F129" i="120"/>
  <c r="F130" i="120" s="1"/>
  <c r="F131" i="120" s="1"/>
  <c r="F132" i="120" s="1"/>
  <c r="F133" i="120" s="1"/>
  <c r="F134" i="120" s="1"/>
  <c r="F135" i="120" s="1"/>
  <c r="R126" i="119" s="1"/>
  <c r="S121" i="119"/>
  <c r="F121" i="119" s="1"/>
  <c r="Q62" i="133"/>
  <c r="Q63" i="133" s="1"/>
  <c r="Q64" i="133"/>
  <c r="P75" i="133"/>
  <c r="P39" i="133"/>
  <c r="H74" i="108"/>
  <c r="H75" i="108" s="1"/>
  <c r="H62" i="108"/>
  <c r="H63" i="108" s="1"/>
  <c r="H24" i="108"/>
  <c r="H14" i="108"/>
  <c r="H15" i="108" s="1"/>
  <c r="H10" i="108"/>
  <c r="H8" i="108"/>
  <c r="H12" i="108"/>
  <c r="H6" i="108"/>
  <c r="K56" i="108" l="1"/>
  <c r="K56" i="117"/>
  <c r="K55" i="108"/>
  <c r="K55" i="117"/>
  <c r="K45" i="117"/>
  <c r="K45" i="108"/>
  <c r="K21" i="108"/>
  <c r="K21" i="117"/>
  <c r="K43" i="117"/>
  <c r="K43" i="108"/>
  <c r="K32" i="108"/>
  <c r="K32" i="117"/>
  <c r="K31" i="108"/>
  <c r="K31" i="117"/>
  <c r="K19" i="117"/>
  <c r="K19" i="108"/>
  <c r="K42" i="108"/>
  <c r="K42" i="117"/>
  <c r="K33" i="108"/>
  <c r="K33" i="117"/>
  <c r="K20" i="117"/>
  <c r="K20" i="108"/>
  <c r="K68" i="117"/>
  <c r="K68" i="108"/>
  <c r="K5" i="108"/>
  <c r="K5" i="117"/>
  <c r="K69" i="108"/>
  <c r="K69" i="117"/>
  <c r="K7" i="108"/>
  <c r="K7" i="117"/>
  <c r="K67" i="117"/>
  <c r="K67" i="108"/>
  <c r="K57" i="108"/>
  <c r="K57" i="117"/>
  <c r="K44" i="108"/>
  <c r="K44" i="117"/>
  <c r="K66" i="108"/>
  <c r="K66" i="117"/>
  <c r="K54" i="108"/>
  <c r="K54" i="117"/>
  <c r="K46" i="108"/>
  <c r="K46" i="117"/>
  <c r="K47" i="117"/>
  <c r="K47" i="108"/>
  <c r="K59" i="117"/>
  <c r="K59" i="108"/>
  <c r="K35" i="108"/>
  <c r="K35" i="117"/>
  <c r="K71" i="108"/>
  <c r="K71" i="117"/>
  <c r="K23" i="117"/>
  <c r="K23" i="108"/>
  <c r="K58" i="117"/>
  <c r="K58" i="108"/>
  <c r="Q40" i="133"/>
  <c r="Q52" i="133"/>
  <c r="Q76" i="133"/>
  <c r="S74" i="133"/>
  <c r="T25" i="100" s="1"/>
  <c r="S50" i="133"/>
  <c r="R25" i="100" s="1"/>
  <c r="S51" i="133"/>
  <c r="S75" i="133"/>
  <c r="M71" i="133"/>
  <c r="S79" i="110"/>
  <c r="F79" i="110" s="1"/>
  <c r="F110" i="111"/>
  <c r="F111" i="111" s="1"/>
  <c r="F112" i="111" s="1"/>
  <c r="F113" i="111" s="1"/>
  <c r="R81" i="110" s="1"/>
  <c r="M47" i="133"/>
  <c r="F38" i="133"/>
  <c r="F39" i="133" s="1"/>
  <c r="S122" i="119"/>
  <c r="G37" i="133"/>
  <c r="I37" i="133" s="1"/>
  <c r="G36" i="133"/>
  <c r="I36" i="133" s="1"/>
  <c r="M59" i="133"/>
  <c r="S39" i="133"/>
  <c r="S63" i="133"/>
  <c r="F62" i="133"/>
  <c r="F63" i="133" s="1"/>
  <c r="F94" i="128"/>
  <c r="F95" i="128" s="1"/>
  <c r="F96" i="128" s="1"/>
  <c r="F97" i="128" s="1"/>
  <c r="F98" i="128" s="1"/>
  <c r="F99" i="128" s="1"/>
  <c r="F100" i="128" s="1"/>
  <c r="F101" i="128" s="1"/>
  <c r="F102" i="128" s="1"/>
  <c r="F103" i="128" s="1"/>
  <c r="R123" i="126" s="1"/>
  <c r="S114" i="126"/>
  <c r="F114" i="126" s="1"/>
  <c r="S115" i="126" s="1"/>
  <c r="F115" i="126" s="1"/>
  <c r="S116" i="126" s="1"/>
  <c r="G72" i="133"/>
  <c r="I72" i="133" s="1"/>
  <c r="G73" i="133"/>
  <c r="I73" i="133" s="1"/>
  <c r="M23" i="133"/>
  <c r="S62" i="133"/>
  <c r="S25" i="100" s="1"/>
  <c r="G61" i="133"/>
  <c r="G60" i="133"/>
  <c r="I60" i="133" s="1"/>
  <c r="G24" i="133"/>
  <c r="I24" i="133" s="1"/>
  <c r="G25" i="133"/>
  <c r="I25" i="133" s="1"/>
  <c r="G48" i="133"/>
  <c r="I48" i="133" s="1"/>
  <c r="G49" i="133"/>
  <c r="F15" i="133"/>
  <c r="O76" i="133"/>
  <c r="P76" i="133"/>
  <c r="O52" i="133"/>
  <c r="P52" i="133"/>
  <c r="F50" i="133"/>
  <c r="F51" i="133" s="1"/>
  <c r="F26" i="133"/>
  <c r="S38" i="133"/>
  <c r="Q25" i="100" s="1"/>
  <c r="F74" i="133"/>
  <c r="F75" i="133" s="1"/>
  <c r="O40" i="133"/>
  <c r="P40" i="133"/>
  <c r="G10" i="133"/>
  <c r="G12" i="133"/>
  <c r="I12" i="133" s="1"/>
  <c r="G13" i="133"/>
  <c r="I11" i="133"/>
  <c r="G8" i="133"/>
  <c r="M35" i="133"/>
  <c r="K24" i="117" l="1"/>
  <c r="K24" i="108"/>
  <c r="K25" i="117"/>
  <c r="K25" i="108"/>
  <c r="K60" i="108"/>
  <c r="K60" i="117"/>
  <c r="I6" i="133"/>
  <c r="K11" i="108"/>
  <c r="K11" i="117"/>
  <c r="K48" i="117"/>
  <c r="K48" i="108"/>
  <c r="K36" i="108"/>
  <c r="K36" i="117"/>
  <c r="F76" i="133"/>
  <c r="K73" i="117"/>
  <c r="K73" i="108"/>
  <c r="K37" i="108"/>
  <c r="K37" i="117"/>
  <c r="K12" i="117"/>
  <c r="K12" i="108"/>
  <c r="K72" i="108"/>
  <c r="K72" i="117"/>
  <c r="S42" i="100"/>
  <c r="R26" i="100"/>
  <c r="R27" i="100" s="1"/>
  <c r="Q26" i="100"/>
  <c r="Q27" i="100" s="1"/>
  <c r="T26" i="100"/>
  <c r="T27" i="100" s="1"/>
  <c r="I8" i="133"/>
  <c r="H40" i="133"/>
  <c r="I40" i="133"/>
  <c r="M37" i="133"/>
  <c r="R40" i="133"/>
  <c r="S40" i="133" s="1"/>
  <c r="I38" i="133"/>
  <c r="E40" i="133"/>
  <c r="F40" i="133"/>
  <c r="H28" i="133"/>
  <c r="I28" i="133"/>
  <c r="R28" i="133"/>
  <c r="S28" i="133" s="1"/>
  <c r="M25" i="133"/>
  <c r="E28" i="133"/>
  <c r="F28" i="133"/>
  <c r="G74" i="133"/>
  <c r="G75" i="133" s="1"/>
  <c r="G76" i="133"/>
  <c r="G62" i="133"/>
  <c r="G63" i="133" s="1"/>
  <c r="M11" i="133"/>
  <c r="I10" i="133"/>
  <c r="F122" i="119"/>
  <c r="S123" i="119" s="1"/>
  <c r="F123" i="119" s="1"/>
  <c r="F27" i="133"/>
  <c r="F116" i="126"/>
  <c r="I61" i="133"/>
  <c r="H76" i="133"/>
  <c r="I74" i="133"/>
  <c r="M73" i="133"/>
  <c r="R76" i="133"/>
  <c r="S76" i="133" s="1"/>
  <c r="I76" i="133"/>
  <c r="E76" i="133"/>
  <c r="G50" i="133"/>
  <c r="G51" i="133" s="1"/>
  <c r="G14" i="133"/>
  <c r="I13" i="133"/>
  <c r="G38" i="133"/>
  <c r="G39" i="133" s="1"/>
  <c r="G40" i="133"/>
  <c r="I49" i="133"/>
  <c r="G26" i="133"/>
  <c r="G27" i="133" s="1"/>
  <c r="G28" i="133"/>
  <c r="G16" i="133" l="1"/>
  <c r="K13" i="117"/>
  <c r="K13" i="108"/>
  <c r="G64" i="133"/>
  <c r="K61" i="108"/>
  <c r="K61" i="117"/>
  <c r="K38" i="117"/>
  <c r="K38" i="108"/>
  <c r="K6" i="117"/>
  <c r="K6" i="108"/>
  <c r="K76" i="117"/>
  <c r="K76" i="108"/>
  <c r="K28" i="108"/>
  <c r="K28" i="117"/>
  <c r="K40" i="108"/>
  <c r="K40" i="117"/>
  <c r="K49" i="117"/>
  <c r="K49" i="108"/>
  <c r="K10" i="108"/>
  <c r="K10" i="117"/>
  <c r="K8" i="117"/>
  <c r="K8" i="108"/>
  <c r="K74" i="117"/>
  <c r="K74" i="108"/>
  <c r="S26" i="100"/>
  <c r="S27" i="100" s="1"/>
  <c r="R42" i="100"/>
  <c r="Q42" i="100"/>
  <c r="T42" i="100"/>
  <c r="G15" i="133"/>
  <c r="I15" i="133" s="1"/>
  <c r="H52" i="133"/>
  <c r="I50" i="133"/>
  <c r="R52" i="133"/>
  <c r="S52" i="133" s="1"/>
  <c r="I52" i="133"/>
  <c r="M49" i="133"/>
  <c r="E52" i="133"/>
  <c r="F52" i="133"/>
  <c r="I75" i="133"/>
  <c r="M74" i="133"/>
  <c r="H83" i="111"/>
  <c r="E83" i="111" s="1"/>
  <c r="F83" i="111" s="1"/>
  <c r="F84" i="111" s="1"/>
  <c r="R80" i="110" s="1"/>
  <c r="S80" i="110" s="1"/>
  <c r="F80" i="110" s="1"/>
  <c r="H117" i="120"/>
  <c r="E117" i="120" s="1"/>
  <c r="F117" i="120" s="1"/>
  <c r="F118" i="120" s="1"/>
  <c r="R125" i="119" s="1"/>
  <c r="S117" i="126"/>
  <c r="F117" i="126" s="1"/>
  <c r="S118" i="126" s="1"/>
  <c r="F118" i="126" s="1"/>
  <c r="S119" i="126" s="1"/>
  <c r="F136" i="120"/>
  <c r="F137" i="120" s="1"/>
  <c r="F138" i="120" s="1"/>
  <c r="F139" i="120" s="1"/>
  <c r="F140" i="120" s="1"/>
  <c r="F141" i="120" s="1"/>
  <c r="F142" i="120" s="1"/>
  <c r="R129" i="119" s="1"/>
  <c r="S124" i="119"/>
  <c r="F124" i="119" s="1"/>
  <c r="M28" i="133"/>
  <c r="G52" i="133"/>
  <c r="I26" i="133"/>
  <c r="I27" i="133"/>
  <c r="H16" i="133"/>
  <c r="I16" i="133"/>
  <c r="R16" i="133"/>
  <c r="S16" i="133" s="1"/>
  <c r="M13" i="133"/>
  <c r="E16" i="133"/>
  <c r="F16" i="133"/>
  <c r="M76" i="133"/>
  <c r="H64" i="133"/>
  <c r="R64" i="133"/>
  <c r="S64" i="133" s="1"/>
  <c r="I64" i="133"/>
  <c r="I62" i="133"/>
  <c r="M61" i="133"/>
  <c r="E64" i="133"/>
  <c r="F64" i="133"/>
  <c r="M40" i="133"/>
  <c r="I39" i="133"/>
  <c r="M38" i="133"/>
  <c r="K26" i="108" l="1"/>
  <c r="K26" i="117"/>
  <c r="K75" i="108"/>
  <c r="K75" i="117"/>
  <c r="K14" i="117"/>
  <c r="K14" i="108"/>
  <c r="K15" i="108"/>
  <c r="K15" i="117"/>
  <c r="K62" i="108"/>
  <c r="K62" i="117"/>
  <c r="K64" i="117"/>
  <c r="K64" i="108"/>
  <c r="K16" i="117"/>
  <c r="K16" i="108"/>
  <c r="K52" i="108"/>
  <c r="K52" i="117"/>
  <c r="K39" i="117"/>
  <c r="K39" i="108"/>
  <c r="K27" i="108"/>
  <c r="K27" i="117"/>
  <c r="K50" i="117"/>
  <c r="K50" i="108"/>
  <c r="M16" i="133"/>
  <c r="M75" i="133"/>
  <c r="M39" i="133"/>
  <c r="F119" i="126"/>
  <c r="I51" i="133"/>
  <c r="M50" i="133"/>
  <c r="M62" i="133"/>
  <c r="I63" i="133"/>
  <c r="M27" i="133"/>
  <c r="M64" i="133"/>
  <c r="M15" i="133"/>
  <c r="F114" i="111"/>
  <c r="F115" i="111" s="1"/>
  <c r="F116" i="111" s="1"/>
  <c r="F117" i="111" s="1"/>
  <c r="S81" i="110"/>
  <c r="F81" i="110" s="1"/>
  <c r="M14" i="133"/>
  <c r="M26" i="133"/>
  <c r="S125" i="119"/>
  <c r="F125" i="119" s="1"/>
  <c r="S126" i="119" s="1"/>
  <c r="F126" i="119" s="1"/>
  <c r="S127" i="119" s="1"/>
  <c r="F127" i="119" s="1"/>
  <c r="M52" i="133"/>
  <c r="K63" i="108" l="1"/>
  <c r="K63" i="117"/>
  <c r="K51" i="108"/>
  <c r="K51" i="117"/>
  <c r="M63" i="133"/>
  <c r="H86" i="111"/>
  <c r="E86" i="111" s="1"/>
  <c r="F86" i="111" s="1"/>
  <c r="F87" i="111" s="1"/>
  <c r="R82" i="110" s="1"/>
  <c r="S82" i="110" s="1"/>
  <c r="H120" i="120"/>
  <c r="E120" i="120" s="1"/>
  <c r="F120" i="120" s="1"/>
  <c r="F121" i="120" s="1"/>
  <c r="R128" i="119" s="1"/>
  <c r="S128" i="119" s="1"/>
  <c r="F128" i="119" s="1"/>
  <c r="S129" i="119" s="1"/>
  <c r="F129" i="119" s="1"/>
  <c r="S130" i="119" s="1"/>
  <c r="S120" i="126"/>
  <c r="F120" i="126" s="1"/>
  <c r="S121" i="126" s="1"/>
  <c r="F121" i="126" s="1"/>
  <c r="S122" i="126" s="1"/>
  <c r="F122" i="126" s="1"/>
  <c r="S123" i="126" s="1"/>
  <c r="F123" i="126" s="1"/>
  <c r="S124" i="126" s="1"/>
  <c r="F124" i="126" s="1"/>
  <c r="S125" i="126" s="1"/>
  <c r="M51" i="133"/>
  <c r="F130" i="119" l="1"/>
  <c r="E131" i="119" s="1"/>
  <c r="E9" i="117"/>
  <c r="F269" i="119"/>
  <c r="F82" i="110"/>
  <c r="S85" i="110"/>
  <c r="S161" i="110" s="1"/>
  <c r="E9" i="108"/>
  <c r="F125" i="126"/>
  <c r="S126" i="126" s="1"/>
  <c r="F126" i="126" s="1"/>
  <c r="S127" i="126" s="1"/>
  <c r="F127" i="126" s="1"/>
  <c r="S128" i="126" s="1"/>
  <c r="E58" i="108" l="1"/>
  <c r="E46" i="108"/>
  <c r="E22" i="108"/>
  <c r="E70" i="108"/>
  <c r="E34" i="108"/>
  <c r="E11" i="108"/>
  <c r="E10" i="108" s="1"/>
  <c r="E13" i="108"/>
  <c r="I9" i="108"/>
  <c r="F128" i="126"/>
  <c r="S129" i="126" s="1"/>
  <c r="F129" i="126" s="1"/>
  <c r="S130" i="126" s="1"/>
  <c r="F130" i="126" s="1"/>
  <c r="S131" i="126" s="1"/>
  <c r="E58" i="117"/>
  <c r="E46" i="117"/>
  <c r="E34" i="117"/>
  <c r="E70" i="117"/>
  <c r="E22" i="117"/>
  <c r="E11" i="117"/>
  <c r="E10" i="117" s="1"/>
  <c r="E13" i="117"/>
  <c r="I9" i="117"/>
  <c r="F118" i="111"/>
  <c r="F119" i="111" s="1"/>
  <c r="F120" i="111" s="1"/>
  <c r="F121" i="111" s="1"/>
  <c r="E83" i="110"/>
  <c r="G132" i="119"/>
  <c r="F265" i="119"/>
  <c r="G266" i="119" s="1"/>
  <c r="K9" i="133" l="1"/>
  <c r="K9" i="125"/>
  <c r="E47" i="117"/>
  <c r="E49" i="117"/>
  <c r="I46" i="117"/>
  <c r="E61" i="117"/>
  <c r="E59" i="117"/>
  <c r="I58" i="117"/>
  <c r="E37" i="108"/>
  <c r="E35" i="108"/>
  <c r="I34" i="108"/>
  <c r="F131" i="126"/>
  <c r="F132" i="126" s="1"/>
  <c r="E9" i="125"/>
  <c r="E8" i="117"/>
  <c r="E12" i="117"/>
  <c r="E6" i="117"/>
  <c r="I11" i="117"/>
  <c r="I10" i="117" s="1"/>
  <c r="E25" i="108"/>
  <c r="E23" i="108"/>
  <c r="I22" i="108"/>
  <c r="E73" i="117"/>
  <c r="E71" i="117"/>
  <c r="I70" i="117"/>
  <c r="E35" i="117"/>
  <c r="E37" i="117"/>
  <c r="I34" i="117"/>
  <c r="E14" i="117"/>
  <c r="E15" i="117" s="1"/>
  <c r="I13" i="117"/>
  <c r="E73" i="108"/>
  <c r="E71" i="108"/>
  <c r="I70" i="108"/>
  <c r="E47" i="108"/>
  <c r="E49" i="108"/>
  <c r="I46" i="108"/>
  <c r="E14" i="108"/>
  <c r="E15" i="108" s="1"/>
  <c r="I13" i="108"/>
  <c r="H86" i="110"/>
  <c r="H85" i="110"/>
  <c r="H84" i="110"/>
  <c r="E8" i="108"/>
  <c r="E12" i="108"/>
  <c r="E6" i="108"/>
  <c r="I11" i="108"/>
  <c r="E23" i="117"/>
  <c r="E25" i="117"/>
  <c r="I22" i="117"/>
  <c r="E61" i="108"/>
  <c r="E59" i="108"/>
  <c r="I58" i="108"/>
  <c r="K70" i="133" l="1"/>
  <c r="K70" i="125"/>
  <c r="E16" i="108"/>
  <c r="K13" i="125"/>
  <c r="K13" i="133"/>
  <c r="K34" i="125"/>
  <c r="K34" i="133"/>
  <c r="K46" i="133"/>
  <c r="K46" i="125"/>
  <c r="I10" i="108"/>
  <c r="K11" i="125"/>
  <c r="K11" i="133"/>
  <c r="K22" i="125"/>
  <c r="K22" i="133"/>
  <c r="K58" i="125"/>
  <c r="K58" i="133"/>
  <c r="AA23" i="130"/>
  <c r="AA24" i="130" s="1"/>
  <c r="Z23" i="130"/>
  <c r="Z24" i="130" s="1"/>
  <c r="Y23" i="130"/>
  <c r="Y24" i="130" s="1"/>
  <c r="W23" i="130"/>
  <c r="W24" i="130" s="1"/>
  <c r="G133" i="126"/>
  <c r="V23" i="130"/>
  <c r="V24" i="130" s="1"/>
  <c r="G135" i="126"/>
  <c r="X23" i="130"/>
  <c r="X24" i="130" s="1"/>
  <c r="G93" i="126"/>
  <c r="G94" i="126"/>
  <c r="G134" i="126"/>
  <c r="F264" i="126"/>
  <c r="F22" i="125"/>
  <c r="F23" i="125" s="1"/>
  <c r="E22" i="125"/>
  <c r="E11" i="125"/>
  <c r="E26" i="117"/>
  <c r="E27" i="117" s="1"/>
  <c r="I25" i="117"/>
  <c r="E28" i="117" s="1"/>
  <c r="E36" i="117"/>
  <c r="I35" i="117"/>
  <c r="E36" i="108"/>
  <c r="I35" i="108"/>
  <c r="E50" i="117"/>
  <c r="E51" i="117" s="1"/>
  <c r="I49" i="117"/>
  <c r="E74" i="108"/>
  <c r="E75" i="108" s="1"/>
  <c r="I73" i="108"/>
  <c r="E72" i="117"/>
  <c r="I71" i="117"/>
  <c r="H16" i="117"/>
  <c r="G16" i="117"/>
  <c r="F16" i="117"/>
  <c r="M13" i="117"/>
  <c r="E74" i="117"/>
  <c r="E75" i="117" s="1"/>
  <c r="I73" i="117"/>
  <c r="E76" i="117" s="1"/>
  <c r="E60" i="117"/>
  <c r="I59" i="117"/>
  <c r="E50" i="108"/>
  <c r="E51" i="108" s="1"/>
  <c r="I49" i="108"/>
  <c r="E16" i="117"/>
  <c r="E62" i="117"/>
  <c r="E63" i="117" s="1"/>
  <c r="I61" i="117"/>
  <c r="E48" i="108"/>
  <c r="I47" i="108"/>
  <c r="E24" i="108"/>
  <c r="I23" i="108"/>
  <c r="E26" i="108"/>
  <c r="E27" i="108" s="1"/>
  <c r="I25" i="108"/>
  <c r="E60" i="108"/>
  <c r="I59" i="108"/>
  <c r="E24" i="117"/>
  <c r="I23" i="117"/>
  <c r="E38" i="117"/>
  <c r="E39" i="117" s="1"/>
  <c r="I37" i="117"/>
  <c r="E40" i="117" s="1"/>
  <c r="E62" i="108"/>
  <c r="E63" i="108" s="1"/>
  <c r="I61" i="108"/>
  <c r="I12" i="108"/>
  <c r="I6" i="108"/>
  <c r="I8" i="108"/>
  <c r="M11" i="108"/>
  <c r="F16" i="108"/>
  <c r="H16" i="108"/>
  <c r="G16" i="108"/>
  <c r="M13" i="108"/>
  <c r="E72" i="108"/>
  <c r="I71" i="108"/>
  <c r="I6" i="117"/>
  <c r="I8" i="117"/>
  <c r="I12" i="117"/>
  <c r="M11" i="117"/>
  <c r="E38" i="108"/>
  <c r="E39" i="108" s="1"/>
  <c r="I37" i="108"/>
  <c r="E48" i="117"/>
  <c r="I47" i="117"/>
  <c r="K14" i="125" l="1"/>
  <c r="K14" i="133"/>
  <c r="K71" i="133"/>
  <c r="K71" i="125"/>
  <c r="K8" i="125"/>
  <c r="K8" i="133"/>
  <c r="K47" i="133"/>
  <c r="K47" i="125"/>
  <c r="K35" i="133"/>
  <c r="K35" i="125"/>
  <c r="E28" i="108"/>
  <c r="K25" i="133"/>
  <c r="K25" i="125"/>
  <c r="K6" i="125"/>
  <c r="K6" i="133"/>
  <c r="K59" i="125"/>
  <c r="K59" i="133"/>
  <c r="K37" i="125"/>
  <c r="K37" i="133"/>
  <c r="K12" i="125"/>
  <c r="K12" i="133"/>
  <c r="K61" i="133"/>
  <c r="K61" i="125"/>
  <c r="E76" i="108"/>
  <c r="K73" i="133"/>
  <c r="K73" i="125"/>
  <c r="K10" i="133"/>
  <c r="K10" i="125"/>
  <c r="K23" i="125"/>
  <c r="K23" i="133"/>
  <c r="E40" i="108"/>
  <c r="K49" i="125"/>
  <c r="K49" i="133"/>
  <c r="I16" i="117"/>
  <c r="M16" i="117" s="1"/>
  <c r="I16" i="108"/>
  <c r="I40" i="108"/>
  <c r="I38" i="108"/>
  <c r="M37" i="108"/>
  <c r="H40" i="108"/>
  <c r="I50" i="108"/>
  <c r="F52" i="108"/>
  <c r="F64" i="108"/>
  <c r="H52" i="108"/>
  <c r="F40" i="108"/>
  <c r="G64" i="108"/>
  <c r="H64" i="108"/>
  <c r="G40" i="108"/>
  <c r="I52" i="108"/>
  <c r="G52" i="108"/>
  <c r="M49" i="108"/>
  <c r="H40" i="117"/>
  <c r="I38" i="117"/>
  <c r="I40" i="117"/>
  <c r="M40" i="117" s="1"/>
  <c r="H64" i="117"/>
  <c r="F64" i="117"/>
  <c r="G64" i="117"/>
  <c r="G52" i="117"/>
  <c r="H52" i="117"/>
  <c r="F52" i="117"/>
  <c r="G40" i="117"/>
  <c r="F40" i="117"/>
  <c r="M37" i="117"/>
  <c r="E64" i="117"/>
  <c r="W26" i="130"/>
  <c r="E11" i="130" s="1"/>
  <c r="G20" i="125" s="1"/>
  <c r="W25" i="130"/>
  <c r="E10" i="130" s="1"/>
  <c r="G18" i="125" s="1"/>
  <c r="W27" i="130"/>
  <c r="E12" i="130" s="1"/>
  <c r="G22" i="125" s="1"/>
  <c r="I22" i="125" s="1"/>
  <c r="W28" i="130"/>
  <c r="E13" i="130" s="1"/>
  <c r="I15" i="108"/>
  <c r="M14" i="108"/>
  <c r="I64" i="117"/>
  <c r="M64" i="117" s="1"/>
  <c r="I62" i="117"/>
  <c r="M61" i="117"/>
  <c r="E47" i="125"/>
  <c r="Y26" i="130"/>
  <c r="G11" i="130" s="1"/>
  <c r="G44" i="125" s="1"/>
  <c r="Y25" i="130"/>
  <c r="G10" i="130" s="1"/>
  <c r="G42" i="125" s="1"/>
  <c r="Y27" i="130"/>
  <c r="G12" i="130" s="1"/>
  <c r="G46" i="125" s="1"/>
  <c r="I46" i="125" s="1"/>
  <c r="Y28" i="130"/>
  <c r="G13" i="130" s="1"/>
  <c r="I62" i="108"/>
  <c r="I64" i="108"/>
  <c r="M61" i="108"/>
  <c r="V27" i="130"/>
  <c r="D12" i="130" s="1"/>
  <c r="G9" i="125" s="1"/>
  <c r="V25" i="130"/>
  <c r="D10" i="130" s="1"/>
  <c r="G5" i="125" s="1"/>
  <c r="V26" i="130"/>
  <c r="D11" i="130" s="1"/>
  <c r="G7" i="125" s="1"/>
  <c r="V28" i="130"/>
  <c r="D13" i="130" s="1"/>
  <c r="F28" i="108"/>
  <c r="H28" i="108"/>
  <c r="I26" i="108"/>
  <c r="I28" i="108"/>
  <c r="G28" i="108"/>
  <c r="M25" i="108"/>
  <c r="I36" i="108"/>
  <c r="M35" i="108"/>
  <c r="E10" i="125"/>
  <c r="E6" i="125"/>
  <c r="E8" i="125"/>
  <c r="E13" i="125"/>
  <c r="E12" i="125"/>
  <c r="X122" i="130"/>
  <c r="X123" i="130" s="1"/>
  <c r="G265" i="126"/>
  <c r="W122" i="130"/>
  <c r="W123" i="130" s="1"/>
  <c r="V122" i="130"/>
  <c r="V123" i="130" s="1"/>
  <c r="G267" i="126"/>
  <c r="Y122" i="130"/>
  <c r="Y123" i="130" s="1"/>
  <c r="G266" i="126"/>
  <c r="AA122" i="130"/>
  <c r="AA123" i="130" s="1"/>
  <c r="Z122" i="130"/>
  <c r="Z123" i="130" s="1"/>
  <c r="I24" i="117"/>
  <c r="M24" i="117" s="1"/>
  <c r="M23" i="117"/>
  <c r="I15" i="117"/>
  <c r="M15" i="117" s="1"/>
  <c r="M14" i="117"/>
  <c r="I36" i="117"/>
  <c r="M36" i="117" s="1"/>
  <c r="M35" i="117"/>
  <c r="Z26" i="130"/>
  <c r="H11" i="130" s="1"/>
  <c r="G56" i="125" s="1"/>
  <c r="Z25" i="130"/>
  <c r="H10" i="130" s="1"/>
  <c r="G54" i="125" s="1"/>
  <c r="Z27" i="130"/>
  <c r="H12" i="130" s="1"/>
  <c r="G58" i="125" s="1"/>
  <c r="I58" i="125" s="1"/>
  <c r="Z28" i="130"/>
  <c r="H13" i="130" s="1"/>
  <c r="M12" i="108"/>
  <c r="E71" i="125"/>
  <c r="AA26" i="130"/>
  <c r="I11" i="130" s="1"/>
  <c r="G68" i="125" s="1"/>
  <c r="AA25" i="130"/>
  <c r="I10" i="130" s="1"/>
  <c r="G66" i="125" s="1"/>
  <c r="AA27" i="130"/>
  <c r="I12" i="130" s="1"/>
  <c r="G70" i="125" s="1"/>
  <c r="I70" i="125" s="1"/>
  <c r="AA28" i="130"/>
  <c r="I13" i="130" s="1"/>
  <c r="I72" i="108"/>
  <c r="M71" i="108"/>
  <c r="M47" i="108"/>
  <c r="I48" i="108"/>
  <c r="E59" i="125"/>
  <c r="I72" i="117"/>
  <c r="M72" i="117" s="1"/>
  <c r="M71" i="117"/>
  <c r="E52" i="108"/>
  <c r="M12" i="117"/>
  <c r="M59" i="117"/>
  <c r="I60" i="117"/>
  <c r="M60" i="117" s="1"/>
  <c r="G76" i="108"/>
  <c r="F76" i="108"/>
  <c r="I74" i="108"/>
  <c r="H76" i="108"/>
  <c r="I76" i="108"/>
  <c r="M73" i="108"/>
  <c r="E23" i="125"/>
  <c r="I48" i="117"/>
  <c r="M48" i="117" s="1"/>
  <c r="M47" i="117"/>
  <c r="E64" i="108"/>
  <c r="I60" i="108"/>
  <c r="M59" i="108"/>
  <c r="I24" i="108"/>
  <c r="M23" i="108"/>
  <c r="G76" i="117"/>
  <c r="H76" i="117"/>
  <c r="I74" i="117"/>
  <c r="F76" i="117"/>
  <c r="I76" i="117"/>
  <c r="M76" i="117" s="1"/>
  <c r="M73" i="117"/>
  <c r="E52" i="117"/>
  <c r="F24" i="125"/>
  <c r="F25" i="125"/>
  <c r="X25" i="130"/>
  <c r="F10" i="130" s="1"/>
  <c r="G30" i="125" s="1"/>
  <c r="X27" i="130"/>
  <c r="F12" i="130" s="1"/>
  <c r="G34" i="125" s="1"/>
  <c r="I34" i="125" s="1"/>
  <c r="X26" i="130"/>
  <c r="F11" i="130" s="1"/>
  <c r="G32" i="125" s="1"/>
  <c r="X28" i="130"/>
  <c r="F13" i="130" s="1"/>
  <c r="I50" i="117"/>
  <c r="I52" i="117"/>
  <c r="M52" i="117" s="1"/>
  <c r="M49" i="117"/>
  <c r="H28" i="117"/>
  <c r="I28" i="117"/>
  <c r="M28" i="117" s="1"/>
  <c r="F28" i="117"/>
  <c r="I26" i="117"/>
  <c r="G28" i="117"/>
  <c r="M25" i="117"/>
  <c r="E35" i="125"/>
  <c r="K36" i="133" l="1"/>
  <c r="K36" i="125"/>
  <c r="K15" i="125"/>
  <c r="K15" i="133"/>
  <c r="K60" i="125"/>
  <c r="K60" i="133"/>
  <c r="K48" i="125"/>
  <c r="K48" i="133"/>
  <c r="K26" i="133"/>
  <c r="K26" i="125"/>
  <c r="K64" i="125"/>
  <c r="K64" i="133"/>
  <c r="K52" i="133"/>
  <c r="K52" i="125"/>
  <c r="K50" i="125"/>
  <c r="K50" i="133"/>
  <c r="K62" i="133"/>
  <c r="K62" i="125"/>
  <c r="K76" i="125"/>
  <c r="K76" i="133"/>
  <c r="K24" i="125"/>
  <c r="K24" i="133"/>
  <c r="K72" i="133"/>
  <c r="K72" i="125"/>
  <c r="K38" i="125"/>
  <c r="K38" i="133"/>
  <c r="M16" i="108"/>
  <c r="K16" i="133"/>
  <c r="K16" i="125"/>
  <c r="K74" i="125"/>
  <c r="K74" i="133"/>
  <c r="K40" i="125"/>
  <c r="K40" i="133"/>
  <c r="K28" i="133"/>
  <c r="K28" i="125"/>
  <c r="I41" i="117"/>
  <c r="M41" i="117" s="1"/>
  <c r="E36" i="125"/>
  <c r="E37" i="125"/>
  <c r="M76" i="108"/>
  <c r="E61" i="125"/>
  <c r="E60" i="125"/>
  <c r="G47" i="125"/>
  <c r="I47" i="125" s="1"/>
  <c r="M47" i="125" s="1"/>
  <c r="G43" i="125"/>
  <c r="I43" i="125" s="1"/>
  <c r="I42" i="125"/>
  <c r="I51" i="117"/>
  <c r="M51" i="117" s="1"/>
  <c r="M50" i="117"/>
  <c r="W20" i="100" s="1"/>
  <c r="M72" i="108"/>
  <c r="Z124" i="130"/>
  <c r="H14" i="130" s="1"/>
  <c r="Q54" i="125" s="1"/>
  <c r="Z125" i="130"/>
  <c r="H15" i="130" s="1"/>
  <c r="Q56" i="125" s="1"/>
  <c r="Z127" i="130"/>
  <c r="H17" i="130" s="1"/>
  <c r="Z126" i="130"/>
  <c r="H16" i="130" s="1"/>
  <c r="Q58" i="125" s="1"/>
  <c r="AA124" i="130"/>
  <c r="I14" i="130" s="1"/>
  <c r="Q66" i="125" s="1"/>
  <c r="AA125" i="130"/>
  <c r="I15" i="130" s="1"/>
  <c r="Q68" i="125" s="1"/>
  <c r="AA127" i="130"/>
  <c r="I17" i="130" s="1"/>
  <c r="AA126" i="130"/>
  <c r="I16" i="130" s="1"/>
  <c r="Q70" i="125" s="1"/>
  <c r="S70" i="125" s="1"/>
  <c r="I27" i="108"/>
  <c r="M26" i="108"/>
  <c r="P20" i="100" s="1"/>
  <c r="P21" i="100" s="1"/>
  <c r="M64" i="108"/>
  <c r="G21" i="125"/>
  <c r="I21" i="125" s="1"/>
  <c r="I20" i="125"/>
  <c r="I27" i="117"/>
  <c r="M27" i="117" s="1"/>
  <c r="M26" i="117"/>
  <c r="U20" i="100" s="1"/>
  <c r="M48" i="108"/>
  <c r="E48" i="125"/>
  <c r="E49" i="125"/>
  <c r="I9" i="125"/>
  <c r="G45" i="125"/>
  <c r="I45" i="125" s="1"/>
  <c r="I44" i="125"/>
  <c r="I32" i="125"/>
  <c r="G71" i="125"/>
  <c r="G69" i="125" s="1"/>
  <c r="I69" i="125" s="1"/>
  <c r="I66" i="125"/>
  <c r="Y125" i="130"/>
  <c r="G15" i="130" s="1"/>
  <c r="Q44" i="125" s="1"/>
  <c r="Y124" i="130"/>
  <c r="G14" i="130" s="1"/>
  <c r="Q42" i="125" s="1"/>
  <c r="Y126" i="130"/>
  <c r="G16" i="130" s="1"/>
  <c r="Q46" i="125" s="1"/>
  <c r="S46" i="125" s="1"/>
  <c r="Y127" i="130"/>
  <c r="G17" i="130" s="1"/>
  <c r="I75" i="117"/>
  <c r="M75" i="117" s="1"/>
  <c r="M74" i="117"/>
  <c r="Y20" i="100" s="1"/>
  <c r="E24" i="125"/>
  <c r="E25" i="125"/>
  <c r="I68" i="125"/>
  <c r="G55" i="125"/>
  <c r="I55" i="125" s="1"/>
  <c r="G59" i="125"/>
  <c r="I54" i="125"/>
  <c r="I63" i="108"/>
  <c r="M62" i="108"/>
  <c r="S20" i="100" s="1"/>
  <c r="M15" i="108"/>
  <c r="I39" i="108"/>
  <c r="M38" i="108"/>
  <c r="Q20" i="100" s="1"/>
  <c r="M60" i="108"/>
  <c r="X124" i="130"/>
  <c r="F14" i="130" s="1"/>
  <c r="Q30" i="125" s="1"/>
  <c r="X125" i="130"/>
  <c r="F15" i="130" s="1"/>
  <c r="Q32" i="125" s="1"/>
  <c r="X127" i="130"/>
  <c r="F17" i="130" s="1"/>
  <c r="X126" i="130"/>
  <c r="F16" i="130" s="1"/>
  <c r="Q34" i="125" s="1"/>
  <c r="S34" i="125" s="1"/>
  <c r="G19" i="125"/>
  <c r="I19" i="125" s="1"/>
  <c r="G23" i="125"/>
  <c r="I18" i="125"/>
  <c r="M24" i="108"/>
  <c r="I75" i="108"/>
  <c r="M74" i="108"/>
  <c r="T20" i="100" s="1"/>
  <c r="E14" i="125"/>
  <c r="M36" i="108"/>
  <c r="G35" i="125"/>
  <c r="I35" i="125" s="1"/>
  <c r="M35" i="125" s="1"/>
  <c r="I30" i="125"/>
  <c r="G57" i="125"/>
  <c r="I57" i="125" s="1"/>
  <c r="I56" i="125"/>
  <c r="V124" i="130"/>
  <c r="D14" i="130" s="1"/>
  <c r="Q5" i="125" s="1"/>
  <c r="V125" i="130"/>
  <c r="D15" i="130" s="1"/>
  <c r="Q7" i="125" s="1"/>
  <c r="S7" i="125" s="1"/>
  <c r="V126" i="130"/>
  <c r="D16" i="130" s="1"/>
  <c r="Q9" i="125" s="1"/>
  <c r="V127" i="130"/>
  <c r="D17" i="130" s="1"/>
  <c r="I7" i="125"/>
  <c r="I63" i="117"/>
  <c r="M63" i="117" s="1"/>
  <c r="M62" i="117"/>
  <c r="X20" i="100" s="1"/>
  <c r="I39" i="117"/>
  <c r="M39" i="117" s="1"/>
  <c r="M38" i="117"/>
  <c r="V20" i="100" s="1"/>
  <c r="M28" i="108"/>
  <c r="I51" i="108"/>
  <c r="M50" i="108"/>
  <c r="R20" i="100" s="1"/>
  <c r="F26" i="125"/>
  <c r="F27" i="125" s="1"/>
  <c r="E73" i="125"/>
  <c r="E72" i="125"/>
  <c r="W125" i="130"/>
  <c r="E15" i="130" s="1"/>
  <c r="Q20" i="125" s="1"/>
  <c r="W124" i="130"/>
  <c r="E14" i="130" s="1"/>
  <c r="Q18" i="125" s="1"/>
  <c r="W127" i="130"/>
  <c r="E17" i="130" s="1"/>
  <c r="W126" i="130"/>
  <c r="E16" i="130" s="1"/>
  <c r="Q22" i="125" s="1"/>
  <c r="S22" i="125" s="1"/>
  <c r="G11" i="125"/>
  <c r="G8" i="125" s="1"/>
  <c r="I5" i="125"/>
  <c r="M52" i="108"/>
  <c r="M40" i="108"/>
  <c r="K51" i="133" l="1"/>
  <c r="K51" i="125"/>
  <c r="K63" i="125"/>
  <c r="K63" i="133"/>
  <c r="K27" i="133"/>
  <c r="K27" i="125"/>
  <c r="K39" i="125"/>
  <c r="K39" i="133"/>
  <c r="K75" i="125"/>
  <c r="K75" i="133"/>
  <c r="G33" i="125"/>
  <c r="I33" i="125" s="1"/>
  <c r="S68" i="125"/>
  <c r="S69" i="125" s="1"/>
  <c r="Q35" i="125"/>
  <c r="Q31" i="125"/>
  <c r="S30" i="125"/>
  <c r="S31" i="125" s="1"/>
  <c r="W41" i="100"/>
  <c r="W21" i="100"/>
  <c r="W22" i="100" s="1"/>
  <c r="E15" i="125"/>
  <c r="Q21" i="125"/>
  <c r="S21" i="125" s="1"/>
  <c r="S20" i="125"/>
  <c r="M75" i="108"/>
  <c r="Q33" i="125"/>
  <c r="S32" i="125"/>
  <c r="S33" i="125" s="1"/>
  <c r="E62" i="125"/>
  <c r="U41" i="100"/>
  <c r="U21" i="100"/>
  <c r="U22" i="100" s="1"/>
  <c r="P41" i="100"/>
  <c r="I71" i="125"/>
  <c r="M71" i="125" s="1"/>
  <c r="R41" i="100"/>
  <c r="R21" i="100"/>
  <c r="T21" i="100"/>
  <c r="T41" i="100"/>
  <c r="G24" i="125"/>
  <c r="I24" i="125" s="1"/>
  <c r="M24" i="125" s="1"/>
  <c r="G25" i="125"/>
  <c r="I25" i="125" s="1"/>
  <c r="S21" i="100"/>
  <c r="S41" i="100"/>
  <c r="M27" i="108"/>
  <c r="Q57" i="125"/>
  <c r="S56" i="125"/>
  <c r="S57" i="125" s="1"/>
  <c r="G13" i="125"/>
  <c r="G12" i="125"/>
  <c r="I12" i="125" s="1"/>
  <c r="M12" i="125" s="1"/>
  <c r="I11" i="125"/>
  <c r="M11" i="125" s="1"/>
  <c r="M51" i="108"/>
  <c r="Q11" i="125"/>
  <c r="S5" i="125"/>
  <c r="G67" i="125"/>
  <c r="I67" i="125" s="1"/>
  <c r="G73" i="125"/>
  <c r="G72" i="125"/>
  <c r="I72" i="125" s="1"/>
  <c r="M72" i="125" s="1"/>
  <c r="X21" i="100"/>
  <c r="X22" i="100" s="1"/>
  <c r="X41" i="100"/>
  <c r="Q71" i="125"/>
  <c r="Q69" i="125" s="1"/>
  <c r="S66" i="125"/>
  <c r="S67" i="125" s="1"/>
  <c r="Q59" i="125"/>
  <c r="S58" i="125"/>
  <c r="G6" i="125"/>
  <c r="G31" i="125"/>
  <c r="I31" i="125" s="1"/>
  <c r="G37" i="125"/>
  <c r="I37" i="125" s="1"/>
  <c r="E40" i="125" s="1"/>
  <c r="G36" i="125"/>
  <c r="I36" i="125" s="1"/>
  <c r="M36" i="125" s="1"/>
  <c r="Q41" i="100"/>
  <c r="Q21" i="100"/>
  <c r="M63" i="108"/>
  <c r="I23" i="125"/>
  <c r="M23" i="125" s="1"/>
  <c r="Q43" i="125"/>
  <c r="Q47" i="125"/>
  <c r="S42" i="125"/>
  <c r="S43" i="125" s="1"/>
  <c r="Q55" i="125"/>
  <c r="S54" i="125"/>
  <c r="S55" i="125" s="1"/>
  <c r="G48" i="125"/>
  <c r="I48" i="125" s="1"/>
  <c r="M48" i="125" s="1"/>
  <c r="G49" i="125"/>
  <c r="I49" i="125" s="1"/>
  <c r="E38" i="125"/>
  <c r="Y41" i="100"/>
  <c r="Y21" i="100"/>
  <c r="Y22" i="100" s="1"/>
  <c r="G61" i="125"/>
  <c r="I61" i="125" s="1"/>
  <c r="E64" i="125" s="1"/>
  <c r="G60" i="125"/>
  <c r="I60" i="125" s="1"/>
  <c r="M60" i="125" s="1"/>
  <c r="E50" i="125"/>
  <c r="Q19" i="125"/>
  <c r="S19" i="125" s="1"/>
  <c r="Q23" i="125"/>
  <c r="S18" i="125"/>
  <c r="E74" i="125"/>
  <c r="V41" i="100"/>
  <c r="V21" i="100"/>
  <c r="V22" i="100" s="1"/>
  <c r="S9" i="125"/>
  <c r="M39" i="108"/>
  <c r="E26" i="125"/>
  <c r="Q45" i="125"/>
  <c r="S44" i="125"/>
  <c r="S45" i="125" s="1"/>
  <c r="G10" i="125"/>
  <c r="I59" i="125"/>
  <c r="M59" i="125" s="1"/>
  <c r="R43" i="100" l="1"/>
  <c r="I10" i="125"/>
  <c r="T43" i="100"/>
  <c r="I6" i="125"/>
  <c r="H28" i="125"/>
  <c r="F28" i="125"/>
  <c r="M25" i="125"/>
  <c r="E28" i="125"/>
  <c r="G14" i="125"/>
  <c r="I13" i="125"/>
  <c r="E63" i="125"/>
  <c r="Q22" i="100"/>
  <c r="Q31" i="100"/>
  <c r="G74" i="125"/>
  <c r="G75" i="125" s="1"/>
  <c r="T31" i="100"/>
  <c r="T22" i="100"/>
  <c r="Q36" i="125"/>
  <c r="Q37" i="125"/>
  <c r="S35" i="125"/>
  <c r="S36" i="125" s="1"/>
  <c r="H52" i="125"/>
  <c r="H64" i="125"/>
  <c r="F52" i="125"/>
  <c r="M49" i="125"/>
  <c r="Q8" i="125"/>
  <c r="Q13" i="125"/>
  <c r="Q12" i="125"/>
  <c r="S12" i="125" s="1"/>
  <c r="S11" i="125"/>
  <c r="E51" i="125"/>
  <c r="F64" i="125"/>
  <c r="M61" i="125"/>
  <c r="H40" i="125"/>
  <c r="F40" i="125"/>
  <c r="M37" i="125"/>
  <c r="Q43" i="100"/>
  <c r="Q60" i="125"/>
  <c r="Q61" i="125"/>
  <c r="S59" i="125"/>
  <c r="S60" i="125" s="1"/>
  <c r="I8" i="125"/>
  <c r="P43" i="100"/>
  <c r="E27" i="125"/>
  <c r="I73" i="125"/>
  <c r="E39" i="125"/>
  <c r="Q48" i="125"/>
  <c r="Q49" i="125"/>
  <c r="S47" i="125"/>
  <c r="S48" i="125" s="1"/>
  <c r="S43" i="100"/>
  <c r="P31" i="100"/>
  <c r="P22" i="100"/>
  <c r="Q67" i="125"/>
  <c r="Q72" i="125"/>
  <c r="Q73" i="125"/>
  <c r="S71" i="125"/>
  <c r="S72" i="125" s="1"/>
  <c r="Q10" i="125"/>
  <c r="G26" i="125"/>
  <c r="G27" i="125" s="1"/>
  <c r="G28" i="125"/>
  <c r="G62" i="125"/>
  <c r="G63" i="125" s="1"/>
  <c r="G64" i="125"/>
  <c r="Q24" i="125"/>
  <c r="Q25" i="125"/>
  <c r="S23" i="125"/>
  <c r="E75" i="125"/>
  <c r="E52" i="125"/>
  <c r="G50" i="125"/>
  <c r="G51" i="125" s="1"/>
  <c r="G52" i="125"/>
  <c r="G38" i="125"/>
  <c r="G39" i="125" s="1"/>
  <c r="G40" i="125"/>
  <c r="Q6" i="125"/>
  <c r="S22" i="100"/>
  <c r="S31" i="100"/>
  <c r="R22" i="100"/>
  <c r="R31" i="100"/>
  <c r="I40" i="125" l="1"/>
  <c r="M40" i="125" s="1"/>
  <c r="I64" i="125"/>
  <c r="M64" i="125" s="1"/>
  <c r="I51" i="125"/>
  <c r="M51" i="125" s="1"/>
  <c r="I38" i="125"/>
  <c r="M38" i="125" s="1"/>
  <c r="I39" i="125"/>
  <c r="M39" i="125" s="1"/>
  <c r="S10" i="125"/>
  <c r="S8" i="125"/>
  <c r="I52" i="125"/>
  <c r="M52" i="125" s="1"/>
  <c r="Q33" i="100"/>
  <c r="Q32" i="100"/>
  <c r="I28" i="125"/>
  <c r="M28" i="125" s="1"/>
  <c r="E16" i="125"/>
  <c r="H16" i="125"/>
  <c r="F16" i="125"/>
  <c r="M13" i="125"/>
  <c r="S32" i="100"/>
  <c r="S33" i="100"/>
  <c r="P33" i="100"/>
  <c r="P32" i="100"/>
  <c r="I62" i="125"/>
  <c r="M62" i="125" s="1"/>
  <c r="Q50" i="125"/>
  <c r="S49" i="125"/>
  <c r="G16" i="125"/>
  <c r="Q14" i="125"/>
  <c r="S13" i="125"/>
  <c r="Q16" i="125" s="1"/>
  <c r="I75" i="125"/>
  <c r="M75" i="125" s="1"/>
  <c r="H76" i="125"/>
  <c r="F76" i="125"/>
  <c r="M73" i="125"/>
  <c r="E76" i="125"/>
  <c r="Q26" i="125"/>
  <c r="S25" i="125"/>
  <c r="Q28" i="125" s="1"/>
  <c r="Q74" i="125"/>
  <c r="S73" i="125"/>
  <c r="Q76" i="125" s="1"/>
  <c r="S6" i="125"/>
  <c r="I26" i="125"/>
  <c r="M26" i="125" s="1"/>
  <c r="Q62" i="125"/>
  <c r="S61" i="125"/>
  <c r="Q64" i="125" s="1"/>
  <c r="T33" i="100"/>
  <c r="T32" i="100"/>
  <c r="I63" i="125"/>
  <c r="M63" i="125" s="1"/>
  <c r="R32" i="100"/>
  <c r="R33" i="100"/>
  <c r="Q38" i="125"/>
  <c r="S37" i="125"/>
  <c r="I74" i="125"/>
  <c r="M74" i="125" s="1"/>
  <c r="G15" i="125"/>
  <c r="I15" i="125" s="1"/>
  <c r="M15" i="125" s="1"/>
  <c r="M14" i="125"/>
  <c r="S24" i="125"/>
  <c r="I27" i="125"/>
  <c r="M27" i="125" s="1"/>
  <c r="I50" i="125"/>
  <c r="M50" i="125" s="1"/>
  <c r="G76" i="125"/>
  <c r="Q75" i="125" l="1"/>
  <c r="S75" i="125" s="1"/>
  <c r="S74" i="125"/>
  <c r="Y25" i="100" s="1"/>
  <c r="Q36" i="100"/>
  <c r="Q37" i="100"/>
  <c r="Q34" i="100"/>
  <c r="Q35" i="100"/>
  <c r="T37" i="100"/>
  <c r="T36" i="100"/>
  <c r="T40" i="100" s="1"/>
  <c r="T34" i="100"/>
  <c r="T35" i="100"/>
  <c r="R28" i="125"/>
  <c r="S28" i="125"/>
  <c r="P28" i="125"/>
  <c r="O28" i="125"/>
  <c r="Q63" i="125"/>
  <c r="S63" i="125" s="1"/>
  <c r="S62" i="125"/>
  <c r="X25" i="100" s="1"/>
  <c r="Q15" i="125"/>
  <c r="S15" i="125" s="1"/>
  <c r="S14" i="125"/>
  <c r="I76" i="125"/>
  <c r="M76" i="125" s="1"/>
  <c r="Q51" i="125"/>
  <c r="S51" i="125" s="1"/>
  <c r="S50" i="125"/>
  <c r="W25" i="100" s="1"/>
  <c r="S40" i="125"/>
  <c r="R40" i="125"/>
  <c r="O40" i="125"/>
  <c r="P40" i="125"/>
  <c r="S37" i="100"/>
  <c r="S36" i="100"/>
  <c r="S40" i="100" s="1"/>
  <c r="S34" i="100"/>
  <c r="S35" i="100"/>
  <c r="S52" i="125"/>
  <c r="R52" i="125"/>
  <c r="O52" i="125"/>
  <c r="P52" i="125"/>
  <c r="I16" i="125"/>
  <c r="M16" i="125" s="1"/>
  <c r="R64" i="125"/>
  <c r="S64" i="125"/>
  <c r="O64" i="125"/>
  <c r="P64" i="125"/>
  <c r="R16" i="125"/>
  <c r="S16" i="125"/>
  <c r="O16" i="125"/>
  <c r="P16" i="125"/>
  <c r="Q40" i="125"/>
  <c r="P36" i="100"/>
  <c r="P40" i="100" s="1"/>
  <c r="P34" i="100"/>
  <c r="P37" i="100"/>
  <c r="P35" i="100"/>
  <c r="Q39" i="125"/>
  <c r="S39" i="125" s="1"/>
  <c r="S38" i="125"/>
  <c r="V25" i="100" s="1"/>
  <c r="Q27" i="125"/>
  <c r="S27" i="125" s="1"/>
  <c r="S26" i="125"/>
  <c r="U25" i="100" s="1"/>
  <c r="R36" i="100"/>
  <c r="R40" i="100" s="1"/>
  <c r="R34" i="100"/>
  <c r="R37" i="100"/>
  <c r="R35" i="100"/>
  <c r="R76" i="125"/>
  <c r="O76" i="125"/>
  <c r="P76" i="125"/>
  <c r="Q52" i="125"/>
  <c r="R38" i="100" l="1"/>
  <c r="P38" i="100"/>
  <c r="S38" i="100"/>
  <c r="Q38" i="100"/>
  <c r="U26" i="100"/>
  <c r="U42" i="100"/>
  <c r="U43" i="100" s="1"/>
  <c r="X42" i="100"/>
  <c r="X43" i="100" s="1"/>
  <c r="X26" i="100"/>
  <c r="W26" i="100"/>
  <c r="W42" i="100"/>
  <c r="W43" i="100" s="1"/>
  <c r="T38" i="100"/>
  <c r="Y42" i="100"/>
  <c r="Y43" i="100" s="1"/>
  <c r="Y26" i="100"/>
  <c r="S76" i="125"/>
  <c r="V26" i="100"/>
  <c r="V42" i="100"/>
  <c r="V43" i="100" s="1"/>
  <c r="W27" i="100" l="1"/>
  <c r="W31" i="100"/>
  <c r="X27" i="100"/>
  <c r="X31" i="100"/>
  <c r="V27" i="100"/>
  <c r="V31" i="100"/>
  <c r="Y27" i="100"/>
  <c r="Y31" i="100"/>
  <c r="U27" i="100"/>
  <c r="U31" i="100"/>
  <c r="V32" i="100" l="1"/>
  <c r="V33" i="100"/>
  <c r="U32" i="100"/>
  <c r="U33" i="100"/>
  <c r="W33" i="100"/>
  <c r="W32" i="100"/>
  <c r="X33" i="100"/>
  <c r="X32" i="100"/>
  <c r="Y32" i="100"/>
  <c r="Y33" i="100"/>
  <c r="X34" i="100" l="1"/>
  <c r="X37" i="100"/>
  <c r="X36" i="100"/>
  <c r="X40" i="100" s="1"/>
  <c r="X35" i="100"/>
  <c r="U36" i="100"/>
  <c r="U40" i="100" s="1"/>
  <c r="U34" i="100"/>
  <c r="U37" i="100"/>
  <c r="U35" i="100"/>
  <c r="Y36" i="100"/>
  <c r="Y40" i="100" s="1"/>
  <c r="Y37" i="100"/>
  <c r="Y34" i="100"/>
  <c r="Y35" i="100"/>
  <c r="W37" i="100"/>
  <c r="W34" i="100"/>
  <c r="W36" i="100"/>
  <c r="W40" i="100" s="1"/>
  <c r="W35" i="100"/>
  <c r="V36" i="100"/>
  <c r="V34" i="100"/>
  <c r="V37" i="100"/>
  <c r="V35" i="100"/>
  <c r="W38" i="100" l="1"/>
  <c r="U38" i="100"/>
  <c r="X38" i="100"/>
  <c r="Y38" i="100"/>
  <c r="V38" i="100"/>
</calcChain>
</file>

<file path=xl/comments1.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2.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4" authorId="0" shapeId="0">
      <text>
        <r>
          <rPr>
            <b/>
            <sz val="8"/>
            <color indexed="81"/>
            <rFont val="Tahoma"/>
            <family val="2"/>
          </rPr>
          <t>O Crofts:</t>
        </r>
        <r>
          <rPr>
            <sz val="8"/>
            <color indexed="81"/>
            <rFont val="Tahoma"/>
            <family val="2"/>
          </rPr>
          <t xml:space="preserve">
Uses multiple dextrous manipulators and deployment systems</t>
        </r>
      </text>
    </comment>
    <comment ref="D69" authorId="1" shapeId="0">
      <text>
        <r>
          <rPr>
            <b/>
            <sz val="9"/>
            <color indexed="81"/>
            <rFont val="Tahoma"/>
            <family val="2"/>
          </rPr>
          <t>Farquhar, Iain:</t>
        </r>
        <r>
          <rPr>
            <sz val="9"/>
            <color indexed="81"/>
            <rFont val="Tahoma"/>
            <family val="2"/>
          </rPr>
          <t xml:space="preserve">
Uses complex RM systems</t>
        </r>
      </text>
    </comment>
    <comment ref="D97" authorId="1" shapeId="0">
      <text>
        <r>
          <rPr>
            <b/>
            <sz val="9"/>
            <color indexed="81"/>
            <rFont val="Tahoma"/>
            <family val="2"/>
          </rPr>
          <t>Farquhar, Iain:</t>
        </r>
        <r>
          <rPr>
            <sz val="9"/>
            <color indexed="81"/>
            <rFont val="Tahoma"/>
            <family val="2"/>
          </rPr>
          <t xml:space="preserve">
Uses complex RM systems</t>
        </r>
      </text>
    </comment>
    <comment ref="D124" authorId="0" shapeId="0">
      <text>
        <r>
          <rPr>
            <b/>
            <sz val="8"/>
            <color indexed="81"/>
            <rFont val="Tahoma"/>
            <family val="2"/>
          </rPr>
          <t>O Crofts:</t>
        </r>
        <r>
          <rPr>
            <sz val="8"/>
            <color indexed="81"/>
            <rFont val="Tahoma"/>
            <family val="2"/>
          </rPr>
          <t xml:space="preserve">
Uses multiple dextrous manipulators and deployment systems</t>
        </r>
      </text>
    </comment>
    <comment ref="C131"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43" authorId="0" shapeId="0">
      <text>
        <r>
          <rPr>
            <b/>
            <sz val="8"/>
            <color indexed="81"/>
            <rFont val="Tahoma"/>
            <family val="2"/>
          </rPr>
          <t>O Crofts:</t>
        </r>
        <r>
          <rPr>
            <sz val="8"/>
            <color indexed="81"/>
            <rFont val="Tahoma"/>
            <family val="2"/>
          </rPr>
          <t xml:space="preserve">
Uses multiple dextrous manipulators and deployment systems</t>
        </r>
      </text>
    </comment>
    <comment ref="D167" authorId="1" shapeId="0">
      <text>
        <r>
          <rPr>
            <b/>
            <sz val="9"/>
            <color indexed="81"/>
            <rFont val="Tahoma"/>
            <family val="2"/>
          </rPr>
          <t>Farquhar, Iain:</t>
        </r>
        <r>
          <rPr>
            <sz val="9"/>
            <color indexed="81"/>
            <rFont val="Tahoma"/>
            <family val="2"/>
          </rPr>
          <t xml:space="preserve">
Uses complex RM systems</t>
        </r>
      </text>
    </comment>
    <comment ref="D195" authorId="1" shapeId="0">
      <text>
        <r>
          <rPr>
            <b/>
            <sz val="9"/>
            <color indexed="81"/>
            <rFont val="Tahoma"/>
            <family val="2"/>
          </rPr>
          <t>Farquhar, Iain:</t>
        </r>
        <r>
          <rPr>
            <sz val="9"/>
            <color indexed="81"/>
            <rFont val="Tahoma"/>
            <family val="2"/>
          </rPr>
          <t xml:space="preserve">
Uses complex RM systems</t>
        </r>
      </text>
    </comment>
  </commentList>
</comments>
</file>

<file path=xl/comments3.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4.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5" authorId="1" shapeId="0">
      <text>
        <r>
          <rPr>
            <b/>
            <sz val="9"/>
            <color indexed="81"/>
            <rFont val="Tahoma"/>
            <family val="2"/>
          </rPr>
          <t>Farquhar, Iain:</t>
        </r>
        <r>
          <rPr>
            <sz val="9"/>
            <color indexed="81"/>
            <rFont val="Tahoma"/>
            <family val="2"/>
          </rPr>
          <t xml:space="preserve">
Uses complex RM systems</t>
        </r>
      </text>
    </comment>
    <comment ref="D74" authorId="1" shapeId="0">
      <text>
        <r>
          <rPr>
            <b/>
            <sz val="9"/>
            <color indexed="81"/>
            <rFont val="Tahoma"/>
            <family val="2"/>
          </rPr>
          <t>Farquhar, Iain:</t>
        </r>
        <r>
          <rPr>
            <sz val="9"/>
            <color indexed="81"/>
            <rFont val="Tahoma"/>
            <family val="2"/>
          </rPr>
          <t xml:space="preserve">
Uses complex RM systems</t>
        </r>
      </text>
    </comment>
    <comment ref="D98" authorId="0" shapeId="0">
      <text>
        <r>
          <rPr>
            <b/>
            <sz val="8"/>
            <color indexed="81"/>
            <rFont val="Tahoma"/>
            <family val="2"/>
          </rPr>
          <t>O Crofts:</t>
        </r>
        <r>
          <rPr>
            <sz val="8"/>
            <color indexed="81"/>
            <rFont val="Tahoma"/>
            <family val="2"/>
          </rPr>
          <t xml:space="preserve">
Uses multiple dextrous manipulators and deployment systems</t>
        </r>
      </text>
    </comment>
    <comment ref="C105"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18" authorId="1" shapeId="0">
      <text>
        <r>
          <rPr>
            <b/>
            <sz val="9"/>
            <color indexed="81"/>
            <rFont val="Tahoma"/>
            <family val="2"/>
          </rPr>
          <t>Farquhar, Iain:</t>
        </r>
        <r>
          <rPr>
            <sz val="9"/>
            <color indexed="81"/>
            <rFont val="Tahoma"/>
            <family val="2"/>
          </rPr>
          <t xml:space="preserve">
Uses complex RM systems</t>
        </r>
      </text>
    </comment>
    <comment ref="D146" authorId="1" shapeId="0">
      <text>
        <r>
          <rPr>
            <b/>
            <sz val="9"/>
            <color indexed="81"/>
            <rFont val="Tahoma"/>
            <family val="2"/>
          </rPr>
          <t>Farquhar, Iain:</t>
        </r>
        <r>
          <rPr>
            <sz val="9"/>
            <color indexed="81"/>
            <rFont val="Tahoma"/>
            <family val="2"/>
          </rPr>
          <t xml:space="preserve">
Uses complex RM systems</t>
        </r>
      </text>
    </comment>
  </commentList>
</comments>
</file>

<file path=xl/comments5.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6.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50" authorId="0" shapeId="0">
      <text>
        <r>
          <rPr>
            <b/>
            <sz val="9"/>
            <color indexed="81"/>
            <rFont val="Tahoma"/>
            <family val="2"/>
          </rPr>
          <t>Farquhar, Iain:</t>
        </r>
        <r>
          <rPr>
            <sz val="9"/>
            <color indexed="81"/>
            <rFont val="Tahoma"/>
            <family val="2"/>
          </rPr>
          <t xml:space="preserve">
Uses complex RM systems</t>
        </r>
      </text>
    </comment>
    <comment ref="N57" authorId="0" shapeId="0">
      <text>
        <r>
          <rPr>
            <b/>
            <sz val="9"/>
            <color indexed="81"/>
            <rFont val="Tahoma"/>
            <family val="2"/>
          </rPr>
          <t>Farquhar, Iain:</t>
        </r>
        <r>
          <rPr>
            <sz val="9"/>
            <color indexed="81"/>
            <rFont val="Tahoma"/>
            <family val="2"/>
          </rPr>
          <t xml:space="preserve">
Movement speed halved due to failure</t>
        </r>
      </text>
    </comment>
    <comment ref="D75" authorId="0" shapeId="0">
      <text>
        <r>
          <rPr>
            <b/>
            <sz val="9"/>
            <color indexed="81"/>
            <rFont val="Tahoma"/>
            <family val="2"/>
          </rPr>
          <t>Farquhar, Iain:</t>
        </r>
        <r>
          <rPr>
            <sz val="9"/>
            <color indexed="81"/>
            <rFont val="Tahoma"/>
            <family val="2"/>
          </rPr>
          <t xml:space="preserve">
Uses complex RM systems</t>
        </r>
      </text>
    </comment>
    <comment ref="D102" authorId="0" shapeId="0">
      <text>
        <r>
          <rPr>
            <b/>
            <sz val="9"/>
            <color indexed="81"/>
            <rFont val="Tahoma"/>
            <family val="2"/>
          </rPr>
          <t>Farquhar, Iain:</t>
        </r>
        <r>
          <rPr>
            <sz val="9"/>
            <color indexed="81"/>
            <rFont val="Tahoma"/>
            <family val="2"/>
          </rPr>
          <t xml:space="preserve">
Uses complex RM systems</t>
        </r>
      </text>
    </comment>
    <comment ref="D183" authorId="0" shapeId="0">
      <text>
        <r>
          <rPr>
            <b/>
            <sz val="9"/>
            <color indexed="81"/>
            <rFont val="Tahoma"/>
            <family val="2"/>
          </rPr>
          <t>Farquhar, Iain:</t>
        </r>
        <r>
          <rPr>
            <sz val="9"/>
            <color indexed="81"/>
            <rFont val="Tahoma"/>
            <family val="2"/>
          </rPr>
          <t xml:space="preserve">
Uses complex RM systems</t>
        </r>
      </text>
    </comment>
  </commentList>
</comments>
</file>

<file path=xl/comments7.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8.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48" authorId="0" shapeId="0">
      <text>
        <r>
          <rPr>
            <b/>
            <sz val="9"/>
            <color indexed="81"/>
            <rFont val="Tahoma"/>
            <family val="2"/>
          </rPr>
          <t>Farquhar, Iain:</t>
        </r>
        <r>
          <rPr>
            <sz val="9"/>
            <color indexed="81"/>
            <rFont val="Tahoma"/>
            <family val="2"/>
          </rPr>
          <t xml:space="preserve">
Uses complex RM systems</t>
        </r>
      </text>
    </comment>
    <comment ref="D71" authorId="0" shapeId="0">
      <text>
        <r>
          <rPr>
            <b/>
            <sz val="9"/>
            <color indexed="81"/>
            <rFont val="Tahoma"/>
            <family val="2"/>
          </rPr>
          <t>Farquhar, Iain:</t>
        </r>
        <r>
          <rPr>
            <sz val="9"/>
            <color indexed="81"/>
            <rFont val="Tahoma"/>
            <family val="2"/>
          </rPr>
          <t xml:space="preserve">
Uses complex RM systems</t>
        </r>
      </text>
    </comment>
  </commentList>
</comments>
</file>

<file path=xl/sharedStrings.xml><?xml version="1.0" encoding="utf-8"?>
<sst xmlns="http://schemas.openxmlformats.org/spreadsheetml/2006/main" count="27325" uniqueCount="2718">
  <si>
    <t>Blanket Removal Required</t>
  </si>
  <si>
    <t>Open Contamination Control Door</t>
  </si>
  <si>
    <t>Time</t>
  </si>
  <si>
    <t>Logistics</t>
  </si>
  <si>
    <t>Disconnect ECH</t>
  </si>
  <si>
    <t>Extract ECH</t>
  </si>
  <si>
    <t>Disconnect Port Closure Plate</t>
  </si>
  <si>
    <t>Extract Port Closure Plate</t>
  </si>
  <si>
    <t>Disconnect Shield Plug Pipe Flange</t>
  </si>
  <si>
    <t>Disconnect &amp; extract Shield Plug and Fixations</t>
  </si>
  <si>
    <t>Open Bioshield</t>
  </si>
  <si>
    <t>Total</t>
  </si>
  <si>
    <t>Multifunction Manipulator</t>
  </si>
  <si>
    <t>Blanket Removal</t>
  </si>
  <si>
    <t>Cut Pipes 5</t>
  </si>
  <si>
    <t>Cut Pipes 4</t>
  </si>
  <si>
    <t>Cut Pipes 3</t>
  </si>
  <si>
    <t>Cut Pipes 2</t>
  </si>
  <si>
    <t>Operations</t>
  </si>
  <si>
    <t>Disconnect Multipipe Flange 2</t>
  </si>
  <si>
    <t>Disconnect Multipipe Flange 3</t>
  </si>
  <si>
    <t>Disconnect Multipipe Flange 4</t>
  </si>
  <si>
    <t>Disconnect Multipipe Flange 5</t>
  </si>
  <si>
    <t>Single Port</t>
  </si>
  <si>
    <t>Hot Cell</t>
  </si>
  <si>
    <t>Total Time</t>
  </si>
  <si>
    <t>hrs</t>
  </si>
  <si>
    <t>%age</t>
  </si>
  <si>
    <t>days</t>
  </si>
  <si>
    <t>CCD Equipment</t>
  </si>
  <si>
    <t>Equipment Cask 1</t>
  </si>
  <si>
    <t>Equipment Cask 2</t>
  </si>
  <si>
    <t>Equipment Cask 3</t>
  </si>
  <si>
    <t>1 Year</t>
  </si>
  <si>
    <t>Location</t>
  </si>
  <si>
    <t>Install Pipe Module</t>
  </si>
  <si>
    <t>Connect Shield Plug Pipe Flange</t>
  </si>
  <si>
    <t>Connect Port Closure Plate</t>
  </si>
  <si>
    <t>Blanket Installation Required</t>
  </si>
  <si>
    <t>Blanket Installation</t>
  </si>
  <si>
    <t>Connect Multipipe Flange 3</t>
  </si>
  <si>
    <t>Connect Multipipe Flange 2</t>
  </si>
  <si>
    <t>Connect Multipipe Flange 4</t>
  </si>
  <si>
    <t>Connect Multipipe Flange 1</t>
  </si>
  <si>
    <t>Install ECH</t>
  </si>
  <si>
    <t>Install CCD</t>
  </si>
  <si>
    <t>Seal Bioshield</t>
  </si>
  <si>
    <t>Connect Multipipe Flange 5</t>
  </si>
  <si>
    <t>Section</t>
  </si>
  <si>
    <t>INPUTS</t>
  </si>
  <si>
    <t>Shortname</t>
  </si>
  <si>
    <t>Value</t>
  </si>
  <si>
    <t>Unit</t>
  </si>
  <si>
    <t>Comments</t>
  </si>
  <si>
    <t>Tokamak Design</t>
  </si>
  <si>
    <t>Tokamak Segments</t>
  </si>
  <si>
    <t>Tokamak_Segmts</t>
  </si>
  <si>
    <t>Out-Board Blankets per segment</t>
  </si>
  <si>
    <t>OB_blankets_per_segmt</t>
  </si>
  <si>
    <t>In-Board Blankets per segment</t>
  </si>
  <si>
    <t>IB_blankets_per_segmt</t>
  </si>
  <si>
    <t>Total Blankets per segment</t>
  </si>
  <si>
    <t>Blankets_per_segmt</t>
  </si>
  <si>
    <t>Total Divertor cassettes per segment</t>
  </si>
  <si>
    <t>Cassettes_per_segmt</t>
  </si>
  <si>
    <t>m</t>
  </si>
  <si>
    <t>Operational Variables</t>
  </si>
  <si>
    <t>Two-shift productivity ratio (8hr/ea)</t>
  </si>
  <si>
    <t>two_shift_productivity_ratio</t>
  </si>
  <si>
    <t>Automatic Operations Productivity Factor</t>
  </si>
  <si>
    <t>Auto_Operations_Productivity_Factor</t>
  </si>
  <si>
    <t>Man-in-the-loop Operations Productivity Factor</t>
  </si>
  <si>
    <t>Manual_Operations_Productivity_Factor</t>
  </si>
  <si>
    <t>Time to verify tool or part is in the position/state it is expected to be in</t>
  </si>
  <si>
    <t>Check_time</t>
  </si>
  <si>
    <t>hours</t>
  </si>
  <si>
    <t>Time to confirm Blanket segement or cask lift path</t>
  </si>
  <si>
    <t>Lift_check</t>
  </si>
  <si>
    <t>Equipment Inputs</t>
  </si>
  <si>
    <t>Movements:</t>
  </si>
  <si>
    <t>Cask Movement Speed</t>
  </si>
  <si>
    <t>Cask_move_spd</t>
  </si>
  <si>
    <t>m/s</t>
  </si>
  <si>
    <t>guess</t>
  </si>
  <si>
    <t>Average Cask Movement Distance</t>
  </si>
  <si>
    <t>Av._cask_displacement</t>
  </si>
  <si>
    <t>In-Vessel Component Movement Speed</t>
  </si>
  <si>
    <t>Part_movement_spd</t>
  </si>
  <si>
    <t>In-Vessel Component Rotational Speed</t>
  </si>
  <si>
    <t>Part_rotational_spd</t>
  </si>
  <si>
    <t>deg/s</t>
  </si>
  <si>
    <t>Fine location time</t>
  </si>
  <si>
    <t>Fine_location_time</t>
  </si>
  <si>
    <t>In-vessel Tool Movement Speed (includes in-bore movements)</t>
  </si>
  <si>
    <t>Tool_movement_spd</t>
  </si>
  <si>
    <t>In-vessel Tool Rotational Speed</t>
  </si>
  <si>
    <t>Tool_rotation_spd</t>
  </si>
  <si>
    <t>IVM arm speed</t>
  </si>
  <si>
    <t>IVM_arm_spd</t>
  </si>
  <si>
    <t>Post weld heat treatment time</t>
  </si>
  <si>
    <t>PWHT_time</t>
  </si>
  <si>
    <t>Pipe cooldown time following heat treatment</t>
  </si>
  <si>
    <t>Weld Failure Rate</t>
  </si>
  <si>
    <t>Weld_Failure_Rate</t>
  </si>
  <si>
    <t>Tool Failure Rate</t>
  </si>
  <si>
    <t>Tool_Failure_Rate</t>
  </si>
  <si>
    <t>non-recoverable tool failures only e.g. no redundant tools in cask.</t>
  </si>
  <si>
    <t>VMC Failure Rate</t>
  </si>
  <si>
    <t>VMC_Failure_Rate</t>
  </si>
  <si>
    <t>IVM Failure Rate</t>
  </si>
  <si>
    <t>IVM_Failure_Rate</t>
  </si>
  <si>
    <t>Elapsed Time</t>
  </si>
  <si>
    <t>Days</t>
  </si>
  <si>
    <t>Months</t>
  </si>
  <si>
    <t>Divertor Removal</t>
  </si>
  <si>
    <t>Divertor Installation</t>
  </si>
  <si>
    <t>Delays</t>
  </si>
  <si>
    <t>Install RIB Pipe Module</t>
  </si>
  <si>
    <t>Install LIB Pipe Module</t>
  </si>
  <si>
    <t>Install ROB Pipe Module</t>
  </si>
  <si>
    <t>Install LOB Pipe Module</t>
  </si>
  <si>
    <t>Install COB Pipe Module</t>
  </si>
  <si>
    <t>Extract COB Blanket Segment</t>
  </si>
  <si>
    <t>Extract COB Pipe Module</t>
  </si>
  <si>
    <t>Weld COB Pipe Module</t>
  </si>
  <si>
    <t>Extract LOB Pipe Module</t>
  </si>
  <si>
    <t>Weld LOB Pipe Module</t>
  </si>
  <si>
    <t>Extract ROB Pipe Module</t>
  </si>
  <si>
    <t>Weld ROB Pipe Module</t>
  </si>
  <si>
    <t>Extract LIB Pipe Module</t>
  </si>
  <si>
    <t>Weld LIB Pipe Module</t>
  </si>
  <si>
    <t>Extract RIB Pipe Module</t>
  </si>
  <si>
    <t>Weld RIB Pipe Module</t>
  </si>
  <si>
    <t>Install LOB Blanket Segment</t>
  </si>
  <si>
    <t>Install COB Blanket Segment</t>
  </si>
  <si>
    <t>Extract LOB Blanket Segment</t>
  </si>
  <si>
    <t>Extract ROB Blanket Segment</t>
  </si>
  <si>
    <t>Install ROB Blanket Segment</t>
  </si>
  <si>
    <t>Extract LIB Blanket Segment</t>
  </si>
  <si>
    <t>Install LIB Blanket Segment</t>
  </si>
  <si>
    <t>Extract RIB Blanket Segment</t>
  </si>
  <si>
    <t>Install RIB Blanket Segment</t>
  </si>
  <si>
    <t>Install and Connect Shield Plug &amp; Fixations</t>
  </si>
  <si>
    <t>Install Port Closure Plate</t>
  </si>
  <si>
    <t>Inspect the port</t>
  </si>
  <si>
    <t>Re-condition IVC hardware/fixations</t>
  </si>
  <si>
    <t>Maintenance Cycle</t>
  </si>
  <si>
    <t>Hardware Removal</t>
  </si>
  <si>
    <t>Hardware Installation</t>
  </si>
  <si>
    <t>Cut COB Pipe joint</t>
  </si>
  <si>
    <t>Cut LOB Pipe joint</t>
  </si>
  <si>
    <t>Cut ROB Pipe joint</t>
  </si>
  <si>
    <t>Cut LIB Pipe joint</t>
  </si>
  <si>
    <t>Cut RIB Pipe joint</t>
  </si>
  <si>
    <t>Post weld NDT time per pipe</t>
  </si>
  <si>
    <t>Helium leak test time per pipe</t>
  </si>
  <si>
    <t>Hours</t>
  </si>
  <si>
    <t>DEMO Lifecycle</t>
  </si>
  <si>
    <t>Lifetime of DEMO 'Starter' blanket modules</t>
  </si>
  <si>
    <t>starter_blanket_lifetime</t>
  </si>
  <si>
    <t>Lifetime of second blanket set</t>
  </si>
  <si>
    <t>second_blanket_lifetime</t>
  </si>
  <si>
    <t>Divertor Lifetime</t>
  </si>
  <si>
    <t>divertor_cassette_lifetime</t>
  </si>
  <si>
    <t>DEMO Pulse duration</t>
  </si>
  <si>
    <t>pulse_time</t>
  </si>
  <si>
    <t>dwell_time</t>
  </si>
  <si>
    <t>DEMO Cycle Time</t>
  </si>
  <si>
    <t>power_cycle_duration</t>
  </si>
  <si>
    <t>Duration of Operational Sequence</t>
  </si>
  <si>
    <t>Duration of short maintenance periods</t>
  </si>
  <si>
    <t>Pulses</t>
  </si>
  <si>
    <t>power_generation_period</t>
  </si>
  <si>
    <t>interim_maintenace_period</t>
  </si>
  <si>
    <t>DEMO Pulses Per Day</t>
  </si>
  <si>
    <t>Pulse_per_day</t>
  </si>
  <si>
    <t>fpy</t>
  </si>
  <si>
    <t>Ratio of FPY to calandar years</t>
  </si>
  <si>
    <t>fpy_to_cy</t>
  </si>
  <si>
    <t>Total DEMO Operational Lifetime</t>
  </si>
  <si>
    <t>Pulses Per Calendar Year</t>
  </si>
  <si>
    <t>DEMO_fpy_Lifetime</t>
  </si>
  <si>
    <t>Total duration of an operational sequence in calandar days</t>
  </si>
  <si>
    <t>sequence_duration</t>
  </si>
  <si>
    <t>campaign_duration</t>
  </si>
  <si>
    <t>sequences</t>
  </si>
  <si>
    <t>length of a campaign in fpy</t>
  </si>
  <si>
    <t>campaign_fpy</t>
  </si>
  <si>
    <t>Duration of minor maintenance interval</t>
  </si>
  <si>
    <t>minor_maintenance_duration</t>
  </si>
  <si>
    <t>Operational durations</t>
  </si>
  <si>
    <t>Pulses_per_campaign</t>
  </si>
  <si>
    <t xml:space="preserve">Start Blanket lifetime in campaigns </t>
  </si>
  <si>
    <t>starter_blanket_campaigns</t>
  </si>
  <si>
    <t>campaigns</t>
  </si>
  <si>
    <t xml:space="preserve">Second Blanket lifetime in campaigns </t>
  </si>
  <si>
    <t>second_blanket_campaigns</t>
  </si>
  <si>
    <t xml:space="preserve">Divertor lifetime in campaigns </t>
  </si>
  <si>
    <t>Divertor_campaigns</t>
  </si>
  <si>
    <t>maintenance_sequence</t>
  </si>
  <si>
    <t>Duration of Minor maintenance in sequences</t>
  </si>
  <si>
    <t>Period Between Minor Maintenance Outages</t>
  </si>
  <si>
    <t>minor_maintenance_intervals</t>
  </si>
  <si>
    <t>DEMO Post-operation cooldown period</t>
  </si>
  <si>
    <t>RM_cooldown_period</t>
  </si>
  <si>
    <t>DEMO Plant Lifetime</t>
  </si>
  <si>
    <t>DEMO_cy_lifetime</t>
  </si>
  <si>
    <t>years</t>
  </si>
  <si>
    <t>DEMO pumpdown and conditioning duration</t>
  </si>
  <si>
    <t>demo_pumpdown</t>
  </si>
  <si>
    <t>DEMO Dwell time in minutes</t>
  </si>
  <si>
    <t>DEMO dwell time in hours</t>
  </si>
  <si>
    <t>dwell_length</t>
  </si>
  <si>
    <t>minutes</t>
  </si>
  <si>
    <t>Blanket Module lifting time</t>
  </si>
  <si>
    <t>blanket_lift_duration</t>
  </si>
  <si>
    <t>Blanket Module manuvering duration</t>
  </si>
  <si>
    <t>blanket_kinamatic_duration</t>
  </si>
  <si>
    <t>Total Blanket Lift Time</t>
  </si>
  <si>
    <t>total_blanket_lift_time</t>
  </si>
  <si>
    <t>Number of sequences per starting campaign</t>
  </si>
  <si>
    <t>Number of sequences per longer campaign</t>
  </si>
  <si>
    <t>duration of shorter campaigns</t>
  </si>
  <si>
    <t>warmup_campaigns</t>
  </si>
  <si>
    <t>Biological Dose (Sv/h)</t>
  </si>
  <si>
    <t>Silicon (Gy/h)</t>
  </si>
  <si>
    <t>Eurofer (Gy/h)</t>
  </si>
  <si>
    <t>SS316L(N)-IG (Gy/h)</t>
  </si>
  <si>
    <t>Aluminium (Gy/h)</t>
  </si>
  <si>
    <t>Steel ASTM A709 Grade 50  (Gy/h)</t>
  </si>
  <si>
    <t>4 Weeks</t>
  </si>
  <si>
    <t>8 Weeks</t>
  </si>
  <si>
    <t>6 Months</t>
  </si>
  <si>
    <t>Point F</t>
  </si>
  <si>
    <t>Decay time</t>
  </si>
  <si>
    <t>Point A</t>
  </si>
  <si>
    <t>Point B</t>
  </si>
  <si>
    <t>Point C</t>
  </si>
  <si>
    <t>Point D</t>
  </si>
  <si>
    <t>Point E</t>
  </si>
  <si>
    <t>Point G</t>
  </si>
  <si>
    <t>Installed IVC dose rates</t>
  </si>
  <si>
    <t>Divertor cassettes Removed dose rates</t>
  </si>
  <si>
    <t>Decay Time</t>
  </si>
  <si>
    <t>Shield Plug Removed dose rates</t>
  </si>
  <si>
    <t>Shield Plug and single blanket removed dose rates</t>
  </si>
  <si>
    <t>Average Gy/h</t>
  </si>
  <si>
    <t>Deploy bore cutting tool to cut position</t>
  </si>
  <si>
    <t>Cut Upper Port Pipe Joints near to blanket manifold</t>
  </si>
  <si>
    <t>Weld Upper Port Pipe Joints near to blanket manifold</t>
  </si>
  <si>
    <t>Leak Testing</t>
  </si>
  <si>
    <t>Operation</t>
  </si>
  <si>
    <t>Disconnect Multipipe Flange &amp; Access Lid</t>
  </si>
  <si>
    <t>Extract Pipe Module</t>
  </si>
  <si>
    <t>Extract Blanket Segment</t>
  </si>
  <si>
    <t>Clean/re-condition port hardware</t>
  </si>
  <si>
    <t>Install Blanket Segment</t>
  </si>
  <si>
    <t>Connect Multipipe Flange &amp; Access Lid</t>
  </si>
  <si>
    <t>Insert and Connect Shield Plug and Fixations</t>
  </si>
  <si>
    <t>Insert Port Closure Plate</t>
  </si>
  <si>
    <t>Insert ECH</t>
  </si>
  <si>
    <t>Connect ECH</t>
  </si>
  <si>
    <t>Close Contamination Control Door</t>
  </si>
  <si>
    <t>N/A</t>
  </si>
  <si>
    <t>Connect double lidded door and frame</t>
  </si>
  <si>
    <t>Disconnect door</t>
  </si>
  <si>
    <t>Extend VMS</t>
  </si>
  <si>
    <t>Cassette Removal Required</t>
  </si>
  <si>
    <t>Open Lower Port Plug</t>
  </si>
  <si>
    <t>Remove Lower Port Pipework Access Lid</t>
  </si>
  <si>
    <t>Remove Central Divertor Cassette</t>
  </si>
  <si>
    <t>Remove Peripheral Divertor Cassette</t>
  </si>
  <si>
    <t>Cassette Installation Required</t>
  </si>
  <si>
    <t>Install Lower Port Pipework Access Lid</t>
  </si>
  <si>
    <t>Install Peripheral Divertor Cassette</t>
  </si>
  <si>
    <t>Install Central Divertor Cassette</t>
  </si>
  <si>
    <t>Seal Lower Port Bioshield</t>
  </si>
  <si>
    <t>Operations Required</t>
  </si>
  <si>
    <t>Subtask</t>
  </si>
  <si>
    <t>Attach crane to plug</t>
  </si>
  <si>
    <t>Lift plug</t>
  </si>
  <si>
    <t>Health Physics check</t>
  </si>
  <si>
    <t>Position tool at work site</t>
  </si>
  <si>
    <t>Reposition tool at retaining arm fasteners</t>
  </si>
  <si>
    <t>Retract tool</t>
  </si>
  <si>
    <t>Deploy tool</t>
  </si>
  <si>
    <t>Connect to ECH</t>
  </si>
  <si>
    <t>Lift ECH plug</t>
  </si>
  <si>
    <t>Place remote control cars</t>
  </si>
  <si>
    <t>Tensions studs</t>
  </si>
  <si>
    <t>Unfasten nuts</t>
  </si>
  <si>
    <t>Release studs</t>
  </si>
  <si>
    <t>Collect tools</t>
  </si>
  <si>
    <t>Clamp to plate</t>
  </si>
  <si>
    <t>VMS plate lift</t>
  </si>
  <si>
    <t>Release permanent service flange fastenings</t>
  </si>
  <si>
    <t>Retract Tool</t>
  </si>
  <si>
    <t>Extend Tools</t>
  </si>
  <si>
    <t>Apply pre-load</t>
  </si>
  <si>
    <t>Turn twist locks</t>
  </si>
  <si>
    <t>Release pre-load</t>
  </si>
  <si>
    <t>Lift shield plug</t>
  </si>
  <si>
    <t>Undo multi pipe flange fasteners</t>
  </si>
  <si>
    <t>Undo module lid fasteners</t>
  </si>
  <si>
    <t>Collect Lid and retract Tool</t>
  </si>
  <si>
    <t>Connect to pipe module</t>
  </si>
  <si>
    <t>Disconnect cassette vacuum vessel attachment points</t>
  </si>
  <si>
    <t>Lift pipe module</t>
  </si>
  <si>
    <t>Lower transporter to docking location</t>
  </si>
  <si>
    <t>Secure transporter plate to dock</t>
  </si>
  <si>
    <t>Transporter commissioning checks</t>
  </si>
  <si>
    <t>Move transporter arm to segment lifting point</t>
  </si>
  <si>
    <t>Connect transporter to lift point</t>
  </si>
  <si>
    <t>Manoeuvre blanket to lifting position</t>
  </si>
  <si>
    <t>Lift blanket segment</t>
  </si>
  <si>
    <t>Release transporter from dock</t>
  </si>
  <si>
    <t>Manoeuvre blanket into the vessel</t>
  </si>
  <si>
    <t>Position Blanket into final position</t>
  </si>
  <si>
    <t>Release Blanket segment from Transport</t>
  </si>
  <si>
    <t>Retract Transporter</t>
  </si>
  <si>
    <t>Deploy tooling</t>
  </si>
  <si>
    <t>Position pipework</t>
  </si>
  <si>
    <t>Secure pipework</t>
  </si>
  <si>
    <t>Position tool and access lid at work site</t>
  </si>
  <si>
    <t>Apply multi pipe flange fasteners</t>
  </si>
  <si>
    <t>Apply module lid fasteners</t>
  </si>
  <si>
    <t>Insert shield plug</t>
  </si>
  <si>
    <t>Apply permanent service flange fastenings</t>
  </si>
  <si>
    <t xml:space="preserve">Insert Plate </t>
  </si>
  <si>
    <t>Release plate</t>
  </si>
  <si>
    <t>fasten studs</t>
  </si>
  <si>
    <t>Tension studs</t>
  </si>
  <si>
    <t>Test seal</t>
  </si>
  <si>
    <t>Release ECH</t>
  </si>
  <si>
    <t>Apply retaining arm lock fasteners</t>
  </si>
  <si>
    <t>Reposition tool at ech fasteners</t>
  </si>
  <si>
    <t>apply ECH fasteners</t>
  </si>
  <si>
    <t>Insert doubled lidded door and frame</t>
  </si>
  <si>
    <t>Connect door</t>
  </si>
  <si>
    <t>Lower plug</t>
  </si>
  <si>
    <t>Remove crane</t>
  </si>
  <si>
    <t>Inspect the Port</t>
  </si>
  <si>
    <t>Deploy inspection hardware to inspection site</t>
  </si>
  <si>
    <t>Inspect the vacuum vessel</t>
  </si>
  <si>
    <t>Inspect IVC mounting hardware</t>
  </si>
  <si>
    <t>Retract sensors</t>
  </si>
  <si>
    <t>Deploy hardware into the port</t>
  </si>
  <si>
    <t>Re-condition IVC mounting points</t>
  </si>
  <si>
    <t xml:space="preserve">Clean port </t>
  </si>
  <si>
    <t>Retract hardware</t>
  </si>
  <si>
    <t>Attach crane to the plug</t>
  </si>
  <si>
    <t>Remove the plug</t>
  </si>
  <si>
    <t>Increment to second position</t>
  </si>
  <si>
    <t>Retract port plate and pipes into cask</t>
  </si>
  <si>
    <t>Deploy cassette handling system</t>
  </si>
  <si>
    <t>Retract central cassette</t>
  </si>
  <si>
    <t>Retract left or right cassette</t>
  </si>
  <si>
    <t>Insert Peripheral Divertor cassette</t>
  </si>
  <si>
    <t>Detach  left or right cassette</t>
  </si>
  <si>
    <t>Position Port Plate &amp; Pipes</t>
  </si>
  <si>
    <t>Tension nuts</t>
  </si>
  <si>
    <t>Weld joint</t>
  </si>
  <si>
    <t>Positon Plug</t>
  </si>
  <si>
    <t>Seal the port</t>
  </si>
  <si>
    <t>Pipe Diameters</t>
  </si>
  <si>
    <t>Blanket Pipework</t>
  </si>
  <si>
    <t>Diamter of Blanket Coolant Pipes</t>
  </si>
  <si>
    <t>Blanket_coolant_diameter</t>
  </si>
  <si>
    <t>mm</t>
  </si>
  <si>
    <t>Circumference of blanket coolant pipe</t>
  </si>
  <si>
    <t>Blanket_coolant_circumference</t>
  </si>
  <si>
    <t>Diamter of Blanket LiPb Pipes</t>
  </si>
  <si>
    <t>Blanket_LiPb_diameter</t>
  </si>
  <si>
    <t>Circumference of blanket LiPb pipe</t>
  </si>
  <si>
    <t>Blanket_LiPb_circumference</t>
  </si>
  <si>
    <t>Diamter of Blanket Drain Pipes</t>
  </si>
  <si>
    <t>Blanket_Drain_diameter</t>
  </si>
  <si>
    <t>Circumference of blanket drain pipe</t>
  </si>
  <si>
    <t>Blanket_drain_circumference</t>
  </si>
  <si>
    <t>Divertor Pipework</t>
  </si>
  <si>
    <t>Diamter of Divertor Coolant Pipes</t>
  </si>
  <si>
    <t>Divertor_Coolant_diameter</t>
  </si>
  <si>
    <t>divertor_coolant_circumference</t>
  </si>
  <si>
    <t>Diamter of Divertor LiPb Pipes</t>
  </si>
  <si>
    <t>Divertor_LiPb_diameter</t>
  </si>
  <si>
    <t>Circumference of Divertor LiPb pipe</t>
  </si>
  <si>
    <t>Divertor_LiPb_circumference</t>
  </si>
  <si>
    <t>Diamter of Divertor Drain Pipes</t>
  </si>
  <si>
    <t>Divertor_Drain_diameter</t>
  </si>
  <si>
    <t>divertor_drain_circumference</t>
  </si>
  <si>
    <t>Pipe Module Design</t>
  </si>
  <si>
    <t>vertical_blanket_cooling_pipes</t>
  </si>
  <si>
    <t>vertical_blanket_LiPb_pipes</t>
  </si>
  <si>
    <t>vertical_blanket_drain_pipes</t>
  </si>
  <si>
    <t>Vertical_port_pipes_per_blanket</t>
  </si>
  <si>
    <t>divertor_blanket_cooling_pipes</t>
  </si>
  <si>
    <t>divertor_blanket_LiPb_pipes</t>
  </si>
  <si>
    <t>divertor_blanket_drain_pipes</t>
  </si>
  <si>
    <t>Divertor Pipe Module Design</t>
  </si>
  <si>
    <t>Number of Divertor cooling pipes</t>
  </si>
  <si>
    <t>divertor_module_cooling_pipes</t>
  </si>
  <si>
    <t>Number of Divertor LiPb pipes</t>
  </si>
  <si>
    <t>divertor_module_LiPb_pipes</t>
  </si>
  <si>
    <t>divertor_module_drain_pipes</t>
  </si>
  <si>
    <t>pipes_per_cassette</t>
  </si>
  <si>
    <t>cutting_speed</t>
  </si>
  <si>
    <t>mm/sec</t>
  </si>
  <si>
    <t>Time taken to cut a single Blanket coolant pipe joint</t>
  </si>
  <si>
    <t>Blanket_Cooling_Cut_Time</t>
  </si>
  <si>
    <t>Time taken to cut a single Blanket LiPb pipe joint</t>
  </si>
  <si>
    <t>Blanket_LiPb_Cut_Time</t>
  </si>
  <si>
    <t>Time taken to cut a single Blanket drain pipe joint</t>
  </si>
  <si>
    <t>Blanket_Drain_Cut_Time</t>
  </si>
  <si>
    <t>Time taken to cut a single Divertor coolant pipe joint</t>
  </si>
  <si>
    <t>Divertor_Coolant_Cut_Time</t>
  </si>
  <si>
    <t>Time taken to cut a single Divertor LiPb pipe joint</t>
  </si>
  <si>
    <t>Divertor_LiPb_Cut_Time</t>
  </si>
  <si>
    <t>Time taken to cut a single Divertor drain pipe joint</t>
  </si>
  <si>
    <t>Divertor_Drain_Cut_Time</t>
  </si>
  <si>
    <t>welding_speed</t>
  </si>
  <si>
    <t>Pipe welding timings:</t>
  </si>
  <si>
    <t>Time taken to weld a single Blanket coolant pipe joint</t>
  </si>
  <si>
    <t>Blanket_Cooling_Weld_Time</t>
  </si>
  <si>
    <t>Time taken to weld a single Blanket LiPb pipe joint</t>
  </si>
  <si>
    <t>Blanket_LiPb_Weld_Time</t>
  </si>
  <si>
    <t>Time taken to weld a single Blanket drain pipe joint</t>
  </si>
  <si>
    <t>Blanket_Drain_Weld_Time</t>
  </si>
  <si>
    <t>Time taken to weld a single Divertor coolant pipe joint</t>
  </si>
  <si>
    <t>Divertor_Coolant_Weld_Time</t>
  </si>
  <si>
    <t>Time taken to weld a single Divertor LiPb pipe joint</t>
  </si>
  <si>
    <t>Divertor_LiPb_Weld_Time</t>
  </si>
  <si>
    <t>Time taken to weld a single Divertor drain pipe joint</t>
  </si>
  <si>
    <t>Divertor_Drain_Weld_Time</t>
  </si>
  <si>
    <t>Disconnect vacuum pumping system</t>
  </si>
  <si>
    <t xml:space="preserve">Disconnect power services </t>
  </si>
  <si>
    <t>Disconnect pipework connections</t>
  </si>
  <si>
    <t>Lift pumping assembly from port</t>
  </si>
  <si>
    <t>Connect pumping system interface equipment</t>
  </si>
  <si>
    <t>Release brakes/flixations holding pumping system in place</t>
  </si>
  <si>
    <t>Remove pumping system from the port</t>
  </si>
  <si>
    <t>Disconnect Divertor Pipe module</t>
  </si>
  <si>
    <t>Disconnect Blanket Pipe Module</t>
  </si>
  <si>
    <t>Disconnect Inner Port Pipe Module</t>
  </si>
  <si>
    <t>Lift pumping assembly into port</t>
  </si>
  <si>
    <t>Lift pumping hardware into the port</t>
  </si>
  <si>
    <t>Engage brakes/flixations holding pumping system in place</t>
  </si>
  <si>
    <t>Connect vacuum pumping system</t>
  </si>
  <si>
    <t>Connect pipework service joints</t>
  </si>
  <si>
    <t>Connect service connetions</t>
  </si>
  <si>
    <t>Connect Divertor Pipe module</t>
  </si>
  <si>
    <t>Connect Blanket Pipe Module</t>
  </si>
  <si>
    <t>Divertor Port</t>
  </si>
  <si>
    <t>Vertical Port</t>
  </si>
  <si>
    <t>long_campaign_duration</t>
  </si>
  <si>
    <t>He_Leak_test</t>
  </si>
  <si>
    <t>NDT_Testing_time</t>
  </si>
  <si>
    <t>Pipe_Cooldown_time</t>
  </si>
  <si>
    <t>vacuum_transport_release_time</t>
  </si>
  <si>
    <t>Releasing transport twistlocks</t>
  </si>
  <si>
    <t>vacuum_transport_connection_time</t>
  </si>
  <si>
    <t>Connecting vacuum pump transport assembly</t>
  </si>
  <si>
    <t>pumping_pipe_connection_time</t>
  </si>
  <si>
    <t>Time taken to connect a single pumping pipe connection</t>
  </si>
  <si>
    <t>pumping_pipe_disconnection_time</t>
  </si>
  <si>
    <t>Time taken to disconnect a single pumping pipe connection</t>
  </si>
  <si>
    <t>mechanical flanges</t>
  </si>
  <si>
    <t>pumping_pipework_connections</t>
  </si>
  <si>
    <t>Vacuum pumping pipework connections</t>
  </si>
  <si>
    <t>pumping_power_connection</t>
  </si>
  <si>
    <t>Time taken to connect a single service connection</t>
  </si>
  <si>
    <t>pumping_power_disconnection</t>
  </si>
  <si>
    <t>Time taken to disconnect a single service connection</t>
  </si>
  <si>
    <t>Connections</t>
  </si>
  <si>
    <t>pumping_power_connections</t>
  </si>
  <si>
    <t>Number of electrical service connections</t>
  </si>
  <si>
    <t>Vacuum Pumping system</t>
  </si>
  <si>
    <t>Overhead crane hoist failure</t>
  </si>
  <si>
    <t>Overhead crane gantry failure</t>
  </si>
  <si>
    <t>Overhead_hoist_failure</t>
  </si>
  <si>
    <t>Overhead_gantry_failure</t>
  </si>
  <si>
    <t>Overhead crane failures</t>
  </si>
  <si>
    <t>Total Overhead crane failure</t>
  </si>
  <si>
    <t>overhead_crane_failure</t>
  </si>
  <si>
    <t>Multifunction manipulator failures</t>
  </si>
  <si>
    <t>mfm_actuator_failure</t>
  </si>
  <si>
    <t>Actuator assembly failure</t>
  </si>
  <si>
    <t>Failure of fine positioning system</t>
  </si>
  <si>
    <t>mfm_fine_positioning_failure</t>
  </si>
  <si>
    <t>Total Multifunction Manipulator failure</t>
  </si>
  <si>
    <t>total_mfm_failure</t>
  </si>
  <si>
    <t>Blanket Transporter Failure</t>
  </si>
  <si>
    <t>BT_drive_failure</t>
  </si>
  <si>
    <t>Blanket Transporter Drive Failure</t>
  </si>
  <si>
    <t>BT_fine_positioning_failure</t>
  </si>
  <si>
    <t>Total Blanket Transporter Failure</t>
  </si>
  <si>
    <t>total_BT_failure</t>
  </si>
  <si>
    <t>Fixation System Failures</t>
  </si>
  <si>
    <t>BT_fixations_failure</t>
  </si>
  <si>
    <t xml:space="preserve">Pipe and SJS Design </t>
  </si>
  <si>
    <t>RM Equipment Failure Rates</t>
  </si>
  <si>
    <t>Specific In Port Hardware</t>
  </si>
  <si>
    <t>ECH System</t>
  </si>
  <si>
    <t>Number of cooling pipes</t>
  </si>
  <si>
    <t>ECH_cooling_pipes</t>
  </si>
  <si>
    <t>pipes</t>
  </si>
  <si>
    <t>Major Radius</t>
  </si>
  <si>
    <t>DEMO_Major_Radius</t>
  </si>
  <si>
    <t>Minor Radius</t>
  </si>
  <si>
    <t>DEMO_Minor_Radius</t>
  </si>
  <si>
    <t>Total Vessel Volume</t>
  </si>
  <si>
    <t>DEMO_Volume</t>
  </si>
  <si>
    <t>m3</t>
  </si>
  <si>
    <t>Layout of IVC</t>
  </si>
  <si>
    <t>%</t>
  </si>
  <si>
    <t>Years</t>
  </si>
  <si>
    <t>Total DEMO Lifetime</t>
  </si>
  <si>
    <t>Maintenance in Years</t>
  </si>
  <si>
    <t>Total DEMO Maintenance Duration</t>
  </si>
  <si>
    <t>Total Duration of Minor Maintenance</t>
  </si>
  <si>
    <t>Outages</t>
  </si>
  <si>
    <t>Number of Minor Maintenance Outages</t>
  </si>
  <si>
    <t>Total Duration of Divertor Maintenance</t>
  </si>
  <si>
    <t>Single Divertor Maintenance Duration</t>
  </si>
  <si>
    <t>Number of Divertor Maintenance Outages</t>
  </si>
  <si>
    <t>Divertor Port Strategy</t>
  </si>
  <si>
    <t>Total Duration of Blanket Maintenance</t>
  </si>
  <si>
    <t>Single Blanket Maintenance Duration</t>
  </si>
  <si>
    <t>Number of Blanket Maintenance Outages</t>
  </si>
  <si>
    <t>Vertical Port Strategy</t>
  </si>
  <si>
    <t>Number of days for Interim Maintenance</t>
  </si>
  <si>
    <t>Time spend "Dwelling"</t>
  </si>
  <si>
    <t>Total Time Spent in Campaigns</t>
  </si>
  <si>
    <t>Total Time Spent carrying out Campaigns</t>
  </si>
  <si>
    <t>FPY</t>
  </si>
  <si>
    <t>Total Full Power Years</t>
  </si>
  <si>
    <t>Total Time Pulsing</t>
  </si>
  <si>
    <t>Target DEMO Lifetime</t>
  </si>
  <si>
    <t>Total Pump down time</t>
  </si>
  <si>
    <t>DEMO Pump Down Period</t>
  </si>
  <si>
    <t>Total Time Cooling Down</t>
  </si>
  <si>
    <t>DEMO Cooldown period</t>
  </si>
  <si>
    <t>Ports</t>
  </si>
  <si>
    <t>RM System(s)</t>
  </si>
  <si>
    <t>Number of Available RM systems</t>
  </si>
  <si>
    <t>Divertor FPY</t>
  </si>
  <si>
    <t>Starter Blanket?</t>
  </si>
  <si>
    <t>Blanket FPY</t>
  </si>
  <si>
    <t>Campaign FPY</t>
  </si>
  <si>
    <t>DEMO's Lifetime FPY</t>
  </si>
  <si>
    <t>Days spend Generating</t>
  </si>
  <si>
    <t>Total Lifetime Pulses</t>
  </si>
  <si>
    <t>Number of Pulses</t>
  </si>
  <si>
    <t>Total Lifetime Sequences</t>
  </si>
  <si>
    <t>Operational Sequences</t>
  </si>
  <si>
    <t>Operational Mode</t>
  </si>
  <si>
    <t>Blanket Lifetime</t>
  </si>
  <si>
    <t>Connect Inner Port Pipe module</t>
  </si>
  <si>
    <t>Hardware Recovery Required</t>
  </si>
  <si>
    <t>.</t>
  </si>
  <si>
    <t>Equipment Recovery Required</t>
  </si>
  <si>
    <t>Man-in-loop recovery work</t>
  </si>
  <si>
    <t>DEMO Lifetime</t>
  </si>
  <si>
    <t>Total Days</t>
  </si>
  <si>
    <t>Divertor_port_pipes_per_blanket</t>
  </si>
  <si>
    <t>Service Joint System Welding Failure</t>
  </si>
  <si>
    <t>Rotational drive failure</t>
  </si>
  <si>
    <t>SJS_drive_failure</t>
  </si>
  <si>
    <t>Total SJS Weld Failure</t>
  </si>
  <si>
    <t>SJS_NDT_failure</t>
  </si>
  <si>
    <t>NDT Sensor failure</t>
  </si>
  <si>
    <t>Failure of the clamping system</t>
  </si>
  <si>
    <t>SJS_Clamp_failure</t>
  </si>
  <si>
    <t>SJS_welder_failure</t>
  </si>
  <si>
    <t>Lower Blankent Pipe Module Design</t>
  </si>
  <si>
    <t>Upper Blanket Pipe Module Design</t>
  </si>
  <si>
    <t>/</t>
  </si>
  <si>
    <t>Hardware Transporter Failures</t>
  </si>
  <si>
    <t>Drive unit failure</t>
  </si>
  <si>
    <t>hardware_transport_drive_failure</t>
  </si>
  <si>
    <t>Control hardware failure</t>
  </si>
  <si>
    <t>hardware_transport_controller_failure</t>
  </si>
  <si>
    <t>payload handling system failure</t>
  </si>
  <si>
    <t>hardware_transport_pl_handling_failure</t>
  </si>
  <si>
    <t>Total Hardware Transporter Failure</t>
  </si>
  <si>
    <t>Hardware_transport_failure</t>
  </si>
  <si>
    <t>Divertor Cassette Handling System</t>
  </si>
  <si>
    <t>mechanical fixation system failure</t>
  </si>
  <si>
    <t>cassette_handling_mechanical_fixation_failure</t>
  </si>
  <si>
    <t>Cassette deployment system failure</t>
  </si>
  <si>
    <t>cassette_deployment_system_failure</t>
  </si>
  <si>
    <t>Fine positioning sensors</t>
  </si>
  <si>
    <t>cassette_handling_location_sensor</t>
  </si>
  <si>
    <t>Total Divertor Cassette Handling System Failure</t>
  </si>
  <si>
    <t>Total_Cassette_Handling_Failure</t>
  </si>
  <si>
    <t>Camera system failure</t>
  </si>
  <si>
    <t>cassette_handling_camera_failure</t>
  </si>
  <si>
    <t>Perform Health Physics Checks</t>
  </si>
  <si>
    <t>Monitor work site</t>
  </si>
  <si>
    <t>Reposition inspection system</t>
  </si>
  <si>
    <t>Collect samples</t>
  </si>
  <si>
    <t>Commission Contamination Control System</t>
  </si>
  <si>
    <t>Connect Services and supplies</t>
  </si>
  <si>
    <t>Comission and test system</t>
  </si>
  <si>
    <t>Install Contamination Control System</t>
  </si>
  <si>
    <t>Insert CCS into the area near the port</t>
  </si>
  <si>
    <t>Connect mechancial fixations</t>
  </si>
  <si>
    <t>Number of ECH Fixactions</t>
  </si>
  <si>
    <t>ECH_fixations_disconnection_time</t>
  </si>
  <si>
    <t>ECH_fixation_bolts</t>
  </si>
  <si>
    <t>Time taken to install an ECH fixation</t>
  </si>
  <si>
    <t>Time taken to remove an ECH fixation</t>
  </si>
  <si>
    <t>ECH_fixations_connection_time</t>
  </si>
  <si>
    <t>Number of phases of the tightening operations</t>
  </si>
  <si>
    <t>ECH_fixation_tightening_ops</t>
  </si>
  <si>
    <t>phases</t>
  </si>
  <si>
    <t>ECH_fixation_systems</t>
  </si>
  <si>
    <t>systems</t>
  </si>
  <si>
    <t>Pretensioning timings</t>
  </si>
  <si>
    <t>ECH_pretensioning_duration</t>
  </si>
  <si>
    <t>ECH_fixation_recovery</t>
  </si>
  <si>
    <t>Recover fixation timings</t>
  </si>
  <si>
    <t>Deploy new fixations timings</t>
  </si>
  <si>
    <t>ECH_fixation_deployment</t>
  </si>
  <si>
    <t>Disconnet ECH cooling services</t>
  </si>
  <si>
    <t>ECH_cooling_disconnection_time</t>
  </si>
  <si>
    <t>ECH_cooling_connection_time</t>
  </si>
  <si>
    <t>Time taken to disconnect ECH piepwork</t>
  </si>
  <si>
    <t>Time taken to connect ECH piepwork</t>
  </si>
  <si>
    <t>hours per pipe</t>
  </si>
  <si>
    <t>ECH Cooling Pipework</t>
  </si>
  <si>
    <t>PCP_fixation_bolts</t>
  </si>
  <si>
    <t>bolts</t>
  </si>
  <si>
    <t>Number of Port Closure Plate mechanical Connections</t>
  </si>
  <si>
    <t>PCP_fixations_disconnection_time</t>
  </si>
  <si>
    <t>PCP_fixation_recovery</t>
  </si>
  <si>
    <t>Time taken to remove an PCP fixation</t>
  </si>
  <si>
    <t>Recover PCP fixation timings</t>
  </si>
  <si>
    <t>Number of ECH RM system operating in parallel</t>
  </si>
  <si>
    <t>Number of PCP RM systems operating in parallel</t>
  </si>
  <si>
    <t>PCP_fixations_RM_systems</t>
  </si>
  <si>
    <t>Number of phases of the PCP tightening operations</t>
  </si>
  <si>
    <t>Deploy new PCP fixations timings</t>
  </si>
  <si>
    <t>PCP Fixations pretensioning timings</t>
  </si>
  <si>
    <t>Time taken to install an PCP fixation</t>
  </si>
  <si>
    <t>PCP_fixation_tightening_ops</t>
  </si>
  <si>
    <t>PCP_fixation_deployment</t>
  </si>
  <si>
    <t>PCP_pretensioning_duration</t>
  </si>
  <si>
    <t>PCP_fixations_connection_time</t>
  </si>
  <si>
    <t>PCP_fixation_disconnection_ops</t>
  </si>
  <si>
    <t>Number of phases of the PCP disconnection operations</t>
  </si>
  <si>
    <t>Number of phases of the disconnection operations</t>
  </si>
  <si>
    <t>ECH_fixation_disconnection_ops</t>
  </si>
  <si>
    <t>Number of ECH mechanical systems</t>
  </si>
  <si>
    <t>ECH disconnection operations</t>
  </si>
  <si>
    <t>ECH Connection Operations</t>
  </si>
  <si>
    <t>Number of Port Closure Plate RM Systems</t>
  </si>
  <si>
    <t>PCP Connections Operations</t>
  </si>
  <si>
    <t>PCP Disconnection Operations</t>
  </si>
  <si>
    <t>Port Closure Plate</t>
  </si>
  <si>
    <t>Number of mechanical fixations</t>
  </si>
  <si>
    <t>Plug_fixation_bolts</t>
  </si>
  <si>
    <t>Number of shield plug RM systems</t>
  </si>
  <si>
    <t>Plug_RM_systems</t>
  </si>
  <si>
    <t>RM System</t>
  </si>
  <si>
    <t>Shield Plug Disconnection Operations</t>
  </si>
  <si>
    <t>Shield Plug Connections Operations</t>
  </si>
  <si>
    <t>Number of phases of the Plug disconnection operations</t>
  </si>
  <si>
    <t>Plug_fixation_disconnection_ops</t>
  </si>
  <si>
    <t>Time taken to remove an Plug fixation</t>
  </si>
  <si>
    <t>Plug_fixations_disconnection_time</t>
  </si>
  <si>
    <t>Recover Plug fixation timings</t>
  </si>
  <si>
    <t>Plug_fixation_recovery</t>
  </si>
  <si>
    <t>Number of phases of the Plug tightening operations</t>
  </si>
  <si>
    <t>Plug_fixation_tightening_ops</t>
  </si>
  <si>
    <t>Deploy new Plug fixations timings</t>
  </si>
  <si>
    <t>Plug_fixation_deployment</t>
  </si>
  <si>
    <t>Plug Fixations pretensioning timings</t>
  </si>
  <si>
    <t>Plug_pretensioning_duration</t>
  </si>
  <si>
    <t>Time taken to install an Plug fixation</t>
  </si>
  <si>
    <t>Plug_fixations_connection_time</t>
  </si>
  <si>
    <t>Shield plug mechanical flange</t>
  </si>
  <si>
    <t>Shield Plug Pipe</t>
  </si>
  <si>
    <t>Number of flange bolts</t>
  </si>
  <si>
    <t>Plug_flange_bolts</t>
  </si>
  <si>
    <t>Install Threshold Rails</t>
  </si>
  <si>
    <t>Attach mechanical fixations</t>
  </si>
  <si>
    <t>Reposition manipulators</t>
  </si>
  <si>
    <t>Disconnect Diagnostic services</t>
  </si>
  <si>
    <t>Disconnect shielding modules</t>
  </si>
  <si>
    <t>remove shielding module and place in storage stillage</t>
  </si>
  <si>
    <t>Retract Tooling</t>
  </si>
  <si>
    <t>Disconnect mechanical fixations</t>
  </si>
  <si>
    <t>Export shielding module and install in port</t>
  </si>
  <si>
    <t>Connect mechanical fixations</t>
  </si>
  <si>
    <t>Connect shielding modules</t>
  </si>
  <si>
    <t>Connect Diagnostic services</t>
  </si>
  <si>
    <t>connect power services</t>
  </si>
  <si>
    <t>Remove Threshold Rails</t>
  </si>
  <si>
    <t>Disconnect service connections</t>
  </si>
  <si>
    <t>Remove mechanical fixations</t>
  </si>
  <si>
    <t>Remove Vacuum Closure Plate</t>
  </si>
  <si>
    <t>Insert Vacuum Closure Plate</t>
  </si>
  <si>
    <t>Install Vacuum Closure Plate</t>
  </si>
  <si>
    <t>Disconnect mechancial fixations</t>
  </si>
  <si>
    <t>Lift CCS from the port</t>
  </si>
  <si>
    <t>Remove Contamination Control System</t>
  </si>
  <si>
    <t>Decommission Contamination Control System</t>
  </si>
  <si>
    <t>Disconnect Services and supplies</t>
  </si>
  <si>
    <t>Shut down CCS</t>
  </si>
  <si>
    <t>Cask Failure Rates</t>
  </si>
  <si>
    <t>CCD seal failure</t>
  </si>
  <si>
    <t>Cask_CCD_Seal_failure</t>
  </si>
  <si>
    <t>Cask Control System Failure</t>
  </si>
  <si>
    <t>Cask_Controller_Failure</t>
  </si>
  <si>
    <t>Cask Interface Hardware Failure</t>
  </si>
  <si>
    <t>Total Cask Failure Rate</t>
  </si>
  <si>
    <t>Total_Cask_Failure_Rate</t>
  </si>
  <si>
    <t>Full Lower Port Maintenance</t>
  </si>
  <si>
    <t>Maintenance</t>
  </si>
  <si>
    <t>Failures</t>
  </si>
  <si>
    <t>RM Equipment</t>
  </si>
  <si>
    <t>Welding Operations</t>
  </si>
  <si>
    <t>Blanket Maintenance</t>
  </si>
  <si>
    <t>Segments</t>
  </si>
  <si>
    <t>cutting_depth</t>
  </si>
  <si>
    <t>Thickness of blanket coolant pipe</t>
  </si>
  <si>
    <t>Blanket_coolant_thickness</t>
  </si>
  <si>
    <t>Blanket_LiPb_thickness</t>
  </si>
  <si>
    <t>Thickness of Blanket LiPb pipe</t>
  </si>
  <si>
    <t>Thickness of Blanket Drain pipe</t>
  </si>
  <si>
    <t>Blanket_drain_Thickness</t>
  </si>
  <si>
    <t>Thickness of Divertor coolant pipe</t>
  </si>
  <si>
    <t>divertor_coolant_thickness</t>
  </si>
  <si>
    <t>Circumference of divertor drain pipe</t>
  </si>
  <si>
    <t>Thickness of divertor LiPb pipe</t>
  </si>
  <si>
    <t>Divertor_LiPb_thickness</t>
  </si>
  <si>
    <t>Thickness of Divertor Drain pipe</t>
  </si>
  <si>
    <t>divertor_drain_thickness</t>
  </si>
  <si>
    <t>Cutting system penetration depth</t>
  </si>
  <si>
    <t>Welding system penetration depth</t>
  </si>
  <si>
    <t>weld_depth</t>
  </si>
  <si>
    <t>m/min</t>
  </si>
  <si>
    <t>Number of passes taken to cut a blanket cooling pipe</t>
  </si>
  <si>
    <t>Passes</t>
  </si>
  <si>
    <t>Number of passes taken to cut a blanket LiPb pipe</t>
  </si>
  <si>
    <t>Blanket_Cooling_Cutting_Passes</t>
  </si>
  <si>
    <t>Blanket_LiPb_Cutting_Passes</t>
  </si>
  <si>
    <t>Number of passes taken to cut a blanket drain pipe</t>
  </si>
  <si>
    <t>Blanket_Drain_Cutting_Passes</t>
  </si>
  <si>
    <t>Number of passes taken to cut a Divertor cooling pipe</t>
  </si>
  <si>
    <t>Number of passes taken to cut a Divertor LiPb pipe</t>
  </si>
  <si>
    <t>Number of passes taken to cut a Divertor Drain pipe</t>
  </si>
  <si>
    <t>Divertor_Cooling_Cutting_Passes</t>
  </si>
  <si>
    <t>Divertor_LiPb_Cutting_Passes</t>
  </si>
  <si>
    <t>Divertor_Drain_Cutting_Passes</t>
  </si>
  <si>
    <t>Blanket Pipe cutting timings:</t>
  </si>
  <si>
    <t>Divertor Pipe cutting timings:</t>
  </si>
  <si>
    <t>Number of passes taken to weld a blanket cooling pipe</t>
  </si>
  <si>
    <t>Blanket_Cooling_Weld_Passes</t>
  </si>
  <si>
    <t>Number of passes taken to weld a blanket LiPb pipe</t>
  </si>
  <si>
    <t>Blanket_LiPb_Weld_Passes</t>
  </si>
  <si>
    <t>Number of passes taken to weld a blanket drain pipe</t>
  </si>
  <si>
    <t>Blanket_Drain_Weld_Passes</t>
  </si>
  <si>
    <t>Number of passes taken to weld a Divertor cooling pipe</t>
  </si>
  <si>
    <t>Divertor_Coolant_Weld_Passes</t>
  </si>
  <si>
    <t>Number of passes taken to weld a Divertor LiPb pipe</t>
  </si>
  <si>
    <t>Divertor_LiPb_Weld_Passes</t>
  </si>
  <si>
    <t>Number of passes taken to weld a divertor drain pipe</t>
  </si>
  <si>
    <t>Divertor_Drain_Weld_Passes</t>
  </si>
  <si>
    <t>Cumulative</t>
  </si>
  <si>
    <t>Open bioshield</t>
  </si>
  <si>
    <t>ECH Removal</t>
  </si>
  <si>
    <t>Closure Plate Removal</t>
  </si>
  <si>
    <t>Shield Plug &amp; Fixations Removal</t>
  </si>
  <si>
    <t>Inspect and re-condition Lower Port</t>
  </si>
  <si>
    <t>Install Blanket Segments</t>
  </si>
  <si>
    <t>Shield Plug &amp; Fixations Installed</t>
  </si>
  <si>
    <t>Install Closure Plate</t>
  </si>
  <si>
    <t>Movement</t>
  </si>
  <si>
    <t>Dependencies</t>
  </si>
  <si>
    <t>Group</t>
  </si>
  <si>
    <t>Activity</t>
  </si>
  <si>
    <t>Activity Type</t>
  </si>
  <si>
    <t>Time (h)</t>
  </si>
  <si>
    <t>Cumulative Time (h)</t>
  </si>
  <si>
    <t>Type</t>
  </si>
  <si>
    <t>Equipment</t>
  </si>
  <si>
    <t>Start Location</t>
  </si>
  <si>
    <t>End Location</t>
  </si>
  <si>
    <t>Distance (m)</t>
  </si>
  <si>
    <t>Speed (m/s)</t>
  </si>
  <si>
    <t>End</t>
  </si>
  <si>
    <t>Slack</t>
  </si>
  <si>
    <t>Deploy Crane A</t>
  </si>
  <si>
    <t>collect RM equipment</t>
  </si>
  <si>
    <t>Collect Bioshield interface hardware</t>
  </si>
  <si>
    <t>Collect interface hardware</t>
  </si>
  <si>
    <t>Move Crane A to Upper Port</t>
  </si>
  <si>
    <t>Overhead Crane (Unloaded)</t>
  </si>
  <si>
    <t>AMF Equipment Issue</t>
  </si>
  <si>
    <t>Move bioshield to bioshield storage area</t>
  </si>
  <si>
    <t>Carry Out health physics checks</t>
  </si>
  <si>
    <t>Deploy RM system into the port</t>
  </si>
  <si>
    <t>Port Inspection System collected</t>
  </si>
  <si>
    <t>Retract Port Inspection System</t>
  </si>
  <si>
    <t>Recovery RM system from the port</t>
  </si>
  <si>
    <t>Install Contamination Control system</t>
  </si>
  <si>
    <t>Move Crane A to Vertical Port</t>
  </si>
  <si>
    <t>Overhead Crane (unloaded)</t>
  </si>
  <si>
    <t>Bioshield Attachment stored &amp; CCS Attachment collected</t>
  </si>
  <si>
    <t>Install contamination control system</t>
  </si>
  <si>
    <t>Move Multifunction Manipulator to Upper Port</t>
  </si>
  <si>
    <t>CCS Attachment stored &amp; ECH Lifting Attachment collected</t>
  </si>
  <si>
    <t>Disconnect ECH using Multifunction Manipulator</t>
  </si>
  <si>
    <t>Move Closure Plate Disconnection Equipment to Upper Port</t>
  </si>
  <si>
    <t>Closure Plate Disconnection Equipment</t>
  </si>
  <si>
    <t>Equipment Stillage</t>
  </si>
  <si>
    <t>Deploy multifunction manipulator into the port</t>
  </si>
  <si>
    <t>Disconnect Port Closure Plate using Multifunction Manipulator</t>
  </si>
  <si>
    <t>Recovery multifunction manipulator from the port</t>
  </si>
  <si>
    <t>Move Crane B to Upper Port</t>
  </si>
  <si>
    <t>Disconnect Shield Plug Pipe Flange using Multifunction Manipulator</t>
  </si>
  <si>
    <t>COB Blanket Pipework Disconnection</t>
  </si>
  <si>
    <t>Disconnect Multipipe Flange 1 using Multifunction Manipulator</t>
  </si>
  <si>
    <t>Cut COB Pipe joint using SJS</t>
  </si>
  <si>
    <t>COB Blanket Pipework Removal</t>
  </si>
  <si>
    <t>Move pipe module lifting attachment to Upper Port</t>
  </si>
  <si>
    <t>LOB Blanket Pipework Disconnection</t>
  </si>
  <si>
    <t>Disconnect Multipipe Flange 2 using Multifunction Manipulator</t>
  </si>
  <si>
    <t>Cut LOB Pipe joint using SJS</t>
  </si>
  <si>
    <t>LOB Blanket Pipework Removal</t>
  </si>
  <si>
    <t>AMF Hardware Receipt</t>
  </si>
  <si>
    <t>ROB Blanket Pipework Disconnection</t>
  </si>
  <si>
    <t>Disconnect Multipipe Flange 3 using Multifunction Manipulator</t>
  </si>
  <si>
    <t>Cut ROB Pipe joint using SJS</t>
  </si>
  <si>
    <t>ROB Blanket Pipework Removal</t>
  </si>
  <si>
    <t>LIB Blanket Pipework Disconnection</t>
  </si>
  <si>
    <t>Disconnect Multipipe Flange 4 using Multifunction Manipulator</t>
  </si>
  <si>
    <t>Cut LIB Pipe joint using SJS</t>
  </si>
  <si>
    <t>LIB Blanket Pipework Removal</t>
  </si>
  <si>
    <t>RIB Blanket Pipework Disconnection</t>
  </si>
  <si>
    <t>Disconnect Multipipe Flange 5 using Multifunction Manipulator</t>
  </si>
  <si>
    <t>Cut RIB Pipe joint using SJS</t>
  </si>
  <si>
    <t>RIB Blanket Pipework Removal</t>
  </si>
  <si>
    <t>Lower Port COB Pipe Module Removed</t>
  </si>
  <si>
    <t>Lower Port LOB Pipe Module Removed</t>
  </si>
  <si>
    <t>Lower Port ROB Pipe Module Removed</t>
  </si>
  <si>
    <t>Lower Port LIB Pipe Module Removed</t>
  </si>
  <si>
    <t>Lower Port RIB Pipe Module Removed</t>
  </si>
  <si>
    <t>Removal Complete</t>
  </si>
  <si>
    <t>End Time</t>
  </si>
  <si>
    <t>Operational Time</t>
  </si>
  <si>
    <t>Logistical Time</t>
  </si>
  <si>
    <t>Movement Time</t>
  </si>
  <si>
    <t>Deploy inspection system</t>
  </si>
  <si>
    <t>Overhead Crane (loaded)</t>
  </si>
  <si>
    <t>Deploy inspection and repair hardware to upper port</t>
  </si>
  <si>
    <t>Overhead Crane (Loaded)</t>
  </si>
  <si>
    <t>AMF Hardware Issue</t>
  </si>
  <si>
    <t>Blanket Transporter collected; RIB Blanket Segment Exported</t>
  </si>
  <si>
    <t>Move Segment 4 (Crane B) to Upper Port</t>
  </si>
  <si>
    <t>Inspection and repair hardware stored; Blanket Transporter collected; LIB Blanket Segment Exported</t>
  </si>
  <si>
    <t>Move Segment 3 (Crane A) to Upper Port</t>
  </si>
  <si>
    <t>ROB Blanket Segment Exported</t>
  </si>
  <si>
    <t>Move Segment 2 (Crane B) to Upper Port</t>
  </si>
  <si>
    <t>LOB Blanket Segment Exported</t>
  </si>
  <si>
    <t>Move  Segment 1 (Crane A) to Upper Port</t>
  </si>
  <si>
    <t>COB Blanket Segment Exported</t>
  </si>
  <si>
    <t>Blanket Transporter stored &amp; Pipe Module interface hardware Collected &amp; RIB Pipe Module Collected</t>
  </si>
  <si>
    <t>Connect RIB Blanket Pipe Module</t>
  </si>
  <si>
    <t>Weld RIB Joint using SJS</t>
  </si>
  <si>
    <t>Blanket Transporter stored &amp; Service Joint System Collected</t>
  </si>
  <si>
    <t>Connect Multipipe Flange 5 using Multifunction Manipulator</t>
  </si>
  <si>
    <t>LIB Blanket Pipework Installation</t>
  </si>
  <si>
    <t>LIB Pipe Module Exported</t>
  </si>
  <si>
    <t>LIB Blanket Pipework Connection</t>
  </si>
  <si>
    <t>Weld LIB Joint using SJS</t>
  </si>
  <si>
    <t>Connect Multipipe Flange 4 using Multifunction Manipulator</t>
  </si>
  <si>
    <t>ROB Blanket Pipework Installation</t>
  </si>
  <si>
    <t>ROB Pipe Module Exported</t>
  </si>
  <si>
    <t>ROB Blanket Pipework Connection</t>
  </si>
  <si>
    <t>Weld ROB Joint using SJS</t>
  </si>
  <si>
    <t>Connect Multipipe Flange 3 using Multifunction Manipulator</t>
  </si>
  <si>
    <t>LOB Blanket Pipework Installation</t>
  </si>
  <si>
    <t>LOB Pipe Module Exported</t>
  </si>
  <si>
    <t>LOB Blanket Pipework Connection</t>
  </si>
  <si>
    <t>Weld LOB Joint using SJS</t>
  </si>
  <si>
    <t>Connect Multipipe Flange 2 using Multifunction Manipulator</t>
  </si>
  <si>
    <t>COB Blanket Pipework Installation</t>
  </si>
  <si>
    <t>COB Pipe Module Exported</t>
  </si>
  <si>
    <t>COB Blanket Pipework Connection</t>
  </si>
  <si>
    <t>Weld COB Joint using SJS</t>
  </si>
  <si>
    <t>Connect Multipipe Flange 1 using Multifunction Manipulator</t>
  </si>
  <si>
    <t>Pipe Module interface hardware Stored &amp; Shield Plug &amp; Fixations Equipment Collected</t>
  </si>
  <si>
    <t>Connect Shield Plug Pipe Flange using Multifunction Manipulator</t>
  </si>
  <si>
    <t>Service Joint System Stored &amp; Closure Plate interface hardware Collected</t>
  </si>
  <si>
    <t>Shield Plug &amp; Fixations Equipment Stored &amp; ECH Lifting Equipment &amp; ECH Collected</t>
  </si>
  <si>
    <t>Closure Plate Connection Equipment</t>
  </si>
  <si>
    <t>Connect Port Closure Plate using Multifunction Manipulator</t>
  </si>
  <si>
    <t>Connect ECH Services using Multifunction Manipulator</t>
  </si>
  <si>
    <t>Install CCD and Seal Bioshield</t>
  </si>
  <si>
    <t>Hardware Stillage</t>
  </si>
  <si>
    <t>Store Closure Plate interface hardware &amp; Collect CCD interface hardware &amp; CCD</t>
  </si>
  <si>
    <t>ECH interface hardware Stored &amp; Bioshield interface hardware Collected</t>
  </si>
  <si>
    <t>Store PP Hardware</t>
  </si>
  <si>
    <t>Installation Complete</t>
  </si>
  <si>
    <t>Maintenance Cycle Complete</t>
  </si>
  <si>
    <t>Trigger</t>
  </si>
  <si>
    <t>Collect Port Inspection System hardware</t>
  </si>
  <si>
    <t>Collect RM Equipment</t>
  </si>
  <si>
    <t>Move to Vertical Port</t>
  </si>
  <si>
    <t>Move Crane A to Hardware Stillage</t>
  </si>
  <si>
    <t>Store Bioshield</t>
  </si>
  <si>
    <t>Move Crane A to AMF  Equipment Receipt</t>
  </si>
  <si>
    <t>AMF Equipment Receipt</t>
  </si>
  <si>
    <t>Store Bioshield Attachment</t>
  </si>
  <si>
    <t>Store Interface hardware</t>
  </si>
  <si>
    <t>Move Crane A to AMF  Equipment Issue</t>
  </si>
  <si>
    <t>Collect ECH interface hardware</t>
  </si>
  <si>
    <t>Move Crane B to Hardware Stillage</t>
  </si>
  <si>
    <t>Store CCD</t>
  </si>
  <si>
    <t>Move Crane B to AMF  Equipment Receipt</t>
  </si>
  <si>
    <t>Store CCD Attachment</t>
  </si>
  <si>
    <t>Move Crane B to AMF  Equipment Issue</t>
  </si>
  <si>
    <t>Collect Closure interface hardware</t>
  </si>
  <si>
    <t>ECH &amp; ECH Attachment stored &amp; Shield Plug Equip collected</t>
  </si>
  <si>
    <t>Move Crane A to AMF  Hardware Receipt</t>
  </si>
  <si>
    <t>Store ECH</t>
  </si>
  <si>
    <t>Store ECH Attachment</t>
  </si>
  <si>
    <t>Collect Shield Plug Equip.</t>
  </si>
  <si>
    <t>Move Crane B to AMF  Hardware Receipt</t>
  </si>
  <si>
    <t>Store Closure Plate</t>
  </si>
  <si>
    <t>Store Closure Plate Attachment</t>
  </si>
  <si>
    <t>Collect Service Joint System</t>
  </si>
  <si>
    <t>Shield Plug &amp; Shield Plug Equip stored &amp; Pipe Lifter collected</t>
  </si>
  <si>
    <t>Store Shield Plug</t>
  </si>
  <si>
    <t>Store Shield Plug Attachment</t>
  </si>
  <si>
    <t>Store RM Equipment</t>
  </si>
  <si>
    <t>Collect Pipe Lifter</t>
  </si>
  <si>
    <t>Pipe Module 1 Stored</t>
  </si>
  <si>
    <t>Store Pipe Module</t>
  </si>
  <si>
    <t>Pipe Module 2 Stored</t>
  </si>
  <si>
    <t>Pipe Module 3 Stored</t>
  </si>
  <si>
    <t>Pipe Module 4 Stored</t>
  </si>
  <si>
    <t>Lower Port COB pipework joint cut and pipework removed</t>
  </si>
  <si>
    <t>Remove COB blanket pipework module</t>
  </si>
  <si>
    <t>Lower Port LOB pipework joint cut and pipework removed</t>
  </si>
  <si>
    <t>Remove LOB blanket pipework module</t>
  </si>
  <si>
    <t>Lower Port ROB pipework joint cut and pipework removed</t>
  </si>
  <si>
    <t>Remove ROB blanket pipework module</t>
  </si>
  <si>
    <t>Lower Port LIB pipework joint cut and pipework removed</t>
  </si>
  <si>
    <t>Remove LIB blanket pipework module</t>
  </si>
  <si>
    <t>Lower Port RIB pipework joint cut and pipework removed</t>
  </si>
  <si>
    <t>Remove RIB blanket pipework module</t>
  </si>
  <si>
    <t>Service Joint System stored &amp; Blanket Transporter collected</t>
  </si>
  <si>
    <t>Store Service Joint System</t>
  </si>
  <si>
    <t>Collect Blanket Transporter</t>
  </si>
  <si>
    <t>Pipe Module 5 &amp; Pipe Lifter Stored &amp; Blanket Transporter collected</t>
  </si>
  <si>
    <t>Store Pipe Lifter</t>
  </si>
  <si>
    <t>COB Blanket Segment Stored</t>
  </si>
  <si>
    <t>Store Segment</t>
  </si>
  <si>
    <t>LOB Blanket Segment Stored</t>
  </si>
  <si>
    <t>ROB Blanket Segment Stored</t>
  </si>
  <si>
    <t>LIB Blanket Segment Stored</t>
  </si>
  <si>
    <t>RIB Blanket Segment Stored</t>
  </si>
  <si>
    <t>Blankets Removal Complete</t>
  </si>
  <si>
    <t>Movement Operations</t>
  </si>
  <si>
    <t>Logistical Operations</t>
  </si>
  <si>
    <t>Move Crane B to AMF  Hardware Issue</t>
  </si>
  <si>
    <t>Collect Inspection and repair equipment</t>
  </si>
  <si>
    <t>Collect Segment</t>
  </si>
  <si>
    <t>Collect PP Hardware</t>
  </si>
  <si>
    <t>Blanket Transporter stored &amp; Pipe Module interface hardware Collected &amp; Pipe Module 5 Collected</t>
  </si>
  <si>
    <t>Store Blanket Transporter</t>
  </si>
  <si>
    <t>Collect Shield Plug Lifting Equipment</t>
  </si>
  <si>
    <t>Collect Pipe Module 5</t>
  </si>
  <si>
    <t>Move Crane A to AMF  Hardware Issue</t>
  </si>
  <si>
    <t>Pipe Module 4 Exported</t>
  </si>
  <si>
    <t>Collect Pipe Module</t>
  </si>
  <si>
    <t>Pipe Module 3 Exported</t>
  </si>
  <si>
    <t>Pipe Module 2 Exported</t>
  </si>
  <si>
    <t>Pipe Module 1 Exported</t>
  </si>
  <si>
    <t>Collect Pipr Module</t>
  </si>
  <si>
    <t>Store Pipe Module interface hardware</t>
  </si>
  <si>
    <t>Collect Shield Plug &amp; Fixations Equipment</t>
  </si>
  <si>
    <t>Collect Closure Plate interface hardware</t>
  </si>
  <si>
    <t>Collect Closure Plate</t>
  </si>
  <si>
    <t>Store Shield Plug &amp; Fixations Equipment</t>
  </si>
  <si>
    <t>Collect ECH</t>
  </si>
  <si>
    <t>Move Crane A to Equipment Receipt</t>
  </si>
  <si>
    <t>Store Closure Plate interface hardware</t>
  </si>
  <si>
    <t>Collect CCD interface hardware</t>
  </si>
  <si>
    <t>Collect CCD</t>
  </si>
  <si>
    <t>Store ECH interface hardware</t>
  </si>
  <si>
    <t>Collect Bioshield Plug</t>
  </si>
  <si>
    <t>Store Bioshield interface hardware &amp; Store Crane B</t>
  </si>
  <si>
    <t>Store Bioshield interface hardware</t>
  </si>
  <si>
    <t>Store CCD interface hardware &amp; Store Crane A</t>
  </si>
  <si>
    <t>Store CCD interface hardware</t>
  </si>
  <si>
    <t>Blankets Installation Complete</t>
  </si>
  <si>
    <t>Logistical Activities</t>
  </si>
  <si>
    <t>Equipment Speed</t>
  </si>
  <si>
    <t>Sub activity</t>
  </si>
  <si>
    <t>Deploy Equipment</t>
  </si>
  <si>
    <t>Position</t>
  </si>
  <si>
    <t>Lower onto storage location</t>
  </si>
  <si>
    <t>Make Connections/Commission</t>
  </si>
  <si>
    <t>Engage fastenings</t>
  </si>
  <si>
    <t>Connect Services</t>
  </si>
  <si>
    <t>Check hardware</t>
  </si>
  <si>
    <t>Lower onto Vertical Port Flange</t>
  </si>
  <si>
    <t>Commission and check software</t>
  </si>
  <si>
    <t>Confirm hardware status</t>
  </si>
  <si>
    <t>Disconnect services</t>
  </si>
  <si>
    <t>Remove mechanical fastenings</t>
  </si>
  <si>
    <t>Lift RM hardware out of the port</t>
  </si>
  <si>
    <t>Confirm hardware has been removed</t>
  </si>
  <si>
    <t>Disconnect fastenings</t>
  </si>
  <si>
    <t>Disconnect Services</t>
  </si>
  <si>
    <t>Distance Table</t>
  </si>
  <si>
    <t xml:space="preserve">To:
From                                                                     :                                   </t>
  </si>
  <si>
    <t xml:space="preserve">Release crane </t>
  </si>
  <si>
    <t>Release Connections/Commission</t>
  </si>
  <si>
    <t>Attach crane</t>
  </si>
  <si>
    <t>Lift from storage location</t>
  </si>
  <si>
    <t>Engage recovery system</t>
  </si>
  <si>
    <t>Secure recovery system to failed hardware</t>
  </si>
  <si>
    <t>Inspect failed hardware</t>
  </si>
  <si>
    <t>Deploy remote handling system</t>
  </si>
  <si>
    <t>Logistical Activity List</t>
  </si>
  <si>
    <t>Delay caused by failure and recovery from failed welding operations</t>
  </si>
  <si>
    <t>Welding Assumptions</t>
  </si>
  <si>
    <t>Expected Delay</t>
  </si>
  <si>
    <t>Operations Assumptions</t>
  </si>
  <si>
    <t>TIG welding and laser cutting is the current worst case scenario</t>
  </si>
  <si>
    <t>In-situ surface treatment is not possible, so all hardware must be removed and replaced/reconditioned before it can be re-welded</t>
  </si>
  <si>
    <t>All other positioning, delivery and retrieval operations are of a similar length to nominal operations</t>
  </si>
  <si>
    <t>Service Joint system is capable of cutting and pipes without tool change</t>
  </si>
  <si>
    <t>No additional blanket modules will need to be removed to access impacted blanket module</t>
  </si>
  <si>
    <t>RM Tooling is able to cut and weld all pipes within a pipe module simultaneously</t>
  </si>
  <si>
    <t>No logistical bottlenecks occur during recovery operations</t>
  </si>
  <si>
    <t>Design Assumptions</t>
  </si>
  <si>
    <t>Each upper port pipe module contains 5 pipes</t>
  </si>
  <si>
    <t>Each lower port pipe module contains 3 pipes</t>
  </si>
  <si>
    <t>Full DEMO Maintenance</t>
  </si>
  <si>
    <t>No. Systems</t>
  </si>
  <si>
    <t>Upper Port Maintenance</t>
  </si>
  <si>
    <t>1 Port</t>
  </si>
  <si>
    <t>Operational contribution</t>
  </si>
  <si>
    <t>Logitical contribution</t>
  </si>
  <si>
    <t>Estimated Delay</t>
  </si>
  <si>
    <t>Estimated Operational Durations (taken from Hotcell Critical Path)</t>
  </si>
  <si>
    <t>Failure of COB Upper Port Welds</t>
  </si>
  <si>
    <t>Assumptions:</t>
  </si>
  <si>
    <t>DEMO</t>
  </si>
  <si>
    <t>Number of systems operating in parallel</t>
  </si>
  <si>
    <t>Failure rate:</t>
  </si>
  <si>
    <t xml:space="preserve">Assuming a weld failure rate of </t>
  </si>
  <si>
    <t xml:space="preserve">Assuming a tool failure rate of </t>
  </si>
  <si>
    <t>Probability of Secondary Failure/hr or Event</t>
  </si>
  <si>
    <t>Pipe weld failure (Sub Tasks)</t>
  </si>
  <si>
    <t>(Sub Task Notes)</t>
  </si>
  <si>
    <t>Cut Failed Welds</t>
  </si>
  <si>
    <t>Weld Failure identified at COB/Pipe Module joint</t>
  </si>
  <si>
    <t xml:space="preserve">Cut Failed COB Pipe Module Weld </t>
  </si>
  <si>
    <t>Remove COB Pipework Module</t>
  </si>
  <si>
    <t>Shield Plug &amp; Fixations Equipment Stored, Pipe Module interface hardware Collected and moved to port</t>
  </si>
  <si>
    <t>Disconnect LOB Pipe Module</t>
  </si>
  <si>
    <t>Remove LOB Pipe Module</t>
  </si>
  <si>
    <t>Disconnect ROB Pipe Module</t>
  </si>
  <si>
    <t>Remove ROB Pipe Module</t>
  </si>
  <si>
    <t>Disconnect LIB Pipe Module</t>
  </si>
  <si>
    <t>Remove LIB Pipe Module</t>
  </si>
  <si>
    <t>Disconnect RIB Pipe Module</t>
  </si>
  <si>
    <t>Remove RIB Pipe Module</t>
  </si>
  <si>
    <t>Removed Failed COB Blanket</t>
  </si>
  <si>
    <t>Move Blanket Transporter to Upper Port</t>
  </si>
  <si>
    <t xml:space="preserve"> Service Joint System Stored &amp; Blanket Transporter Collected</t>
  </si>
  <si>
    <t>Remove Other Blanket Modules</t>
  </si>
  <si>
    <t>RIB Pipe Module Stored; Pipe Module interface hardware Stored; Blanket Transporter Collected</t>
  </si>
  <si>
    <t>Install New Blanket Modules</t>
  </si>
  <si>
    <t>LIB Blanket Segment Stored; Replacement RIB Blanket Segment collected</t>
  </si>
  <si>
    <t>RIB Blanket Segment Stored; Replacement LIB Blanket Segment collected</t>
  </si>
  <si>
    <t>Move Pipe interface hardware to Upper Port</t>
  </si>
  <si>
    <t>Blanket Transporter stored &amp; Pipe Module interface hardware Collected &amp; RIB Pipe Module Exported</t>
  </si>
  <si>
    <t>Insert RIB Pipe Module</t>
  </si>
  <si>
    <t>Connect RIB Pipe Module</t>
  </si>
  <si>
    <t>RIB Lower Port Pipe Module installed</t>
  </si>
  <si>
    <t>Insert LIB Pipe Module</t>
  </si>
  <si>
    <t>Connect LIB Pipe Module</t>
  </si>
  <si>
    <t>LIB Lower Port Pipe Module installed</t>
  </si>
  <si>
    <t>Insert ROB Pipe Module</t>
  </si>
  <si>
    <t>Connect ROB Pipe Module</t>
  </si>
  <si>
    <t>ROB Lower Port Pipe Module installed</t>
  </si>
  <si>
    <t>Insert LOB Pipe Module</t>
  </si>
  <si>
    <t>Connect LOB Pipe Module</t>
  </si>
  <si>
    <t>LOB Lower Port Pipe Module installed</t>
  </si>
  <si>
    <t>Insert COB Pipe Module</t>
  </si>
  <si>
    <t>Connect COB Pipe Module</t>
  </si>
  <si>
    <t>COB Lower Port Pipe Module installed</t>
  </si>
  <si>
    <t>Failure of LOB Upper Port Welds</t>
  </si>
  <si>
    <t>Bore Pipe Welds</t>
  </si>
  <si>
    <t>Weld Failure identified at LOB/Pipe Module joint</t>
  </si>
  <si>
    <t xml:space="preserve">Cut Failed LOB Pipe Module Weld </t>
  </si>
  <si>
    <t>Remove LOB Pipework Module</t>
  </si>
  <si>
    <t>ROB Pipe Module Stored</t>
  </si>
  <si>
    <t>LIB Pipe Module Stored</t>
  </si>
  <si>
    <t>Remove Blanket Modules</t>
  </si>
  <si>
    <t>Failure of ROB Upper Port Welds</t>
  </si>
  <si>
    <t>Weld Failure identified at ROB/Pipe Module joint</t>
  </si>
  <si>
    <t xml:space="preserve">Cut Failed ROB Pipe Module Weld </t>
  </si>
  <si>
    <t>Failure of LIB Upper Port Welds</t>
  </si>
  <si>
    <t>Weld Failure identified at LIB/Pipe Module joint</t>
  </si>
  <si>
    <t xml:space="preserve">Cut Failed LIB Pipe Module Weld </t>
  </si>
  <si>
    <t>Failure of RIB Upper Port Welds</t>
  </si>
  <si>
    <t>Weld Failure identified at RIB/Pipe Module joint</t>
  </si>
  <si>
    <t xml:space="preserve">Cut Failed RIB Pipe Module Weld </t>
  </si>
  <si>
    <t>Delay caused by failure and recovery of remote handling equipment</t>
  </si>
  <si>
    <t>Additional tasks required to recover from failures</t>
  </si>
  <si>
    <t>General Assumptions:</t>
  </si>
  <si>
    <t>There are two sorts of process failure considered; failure of a weld and failure of a mechanical connection, both uncovered by failure to pass acceptance criteria</t>
  </si>
  <si>
    <t>In addition five types of equipment failure are considered; Pipe interface hardware, Overhead Crane, Blanket transporter system, divertor cask system and Multifunction manipulator system</t>
  </si>
  <si>
    <t>Equipment failure includes tool failure, for example if a weld tool fails during welding</t>
  </si>
  <si>
    <t>Loaded Overhead Crane failure</t>
  </si>
  <si>
    <t>Recovery of Blanket Transporter is completed using standard predetermined procedures.</t>
  </si>
  <si>
    <t>Rare and time consuming special recoveries are not considered</t>
  </si>
  <si>
    <t>A replacement overhead crane (if required) is available on demand from the AMF</t>
  </si>
  <si>
    <t>The crane's load is able to be set down in-situ safely, using a rescue system</t>
  </si>
  <si>
    <t>Failure rate of Overhead crane per hour</t>
  </si>
  <si>
    <t>RH Cask RHE failure (Sub Tasks)</t>
  </si>
  <si>
    <t>Duration of Overhead Crane Tasks</t>
  </si>
  <si>
    <t>Move recovery system into the upper port area</t>
  </si>
  <si>
    <t>Engage the recovery system with the failed hardware</t>
  </si>
  <si>
    <t xml:space="preserve">Recovery system engages crane safety system to lower and detach the suspended load </t>
  </si>
  <si>
    <t>Assumed to take 4 hours</t>
  </si>
  <si>
    <t>Recovery Operations</t>
  </si>
  <si>
    <t>Recovery system moves failed crane to AMF Equipment Receipt for repair</t>
  </si>
  <si>
    <t xml:space="preserve">Assumed movement speed at half to speed of the crane </t>
  </si>
  <si>
    <t>Crane is repaired or replaced</t>
  </si>
  <si>
    <t>Assumed to take 1 hours to identify fault and decide course of action, 1 hour to complete repairs</t>
  </si>
  <si>
    <t>Crane returned to abandoned payload</t>
  </si>
  <si>
    <t>Abandoned payload is collected</t>
  </si>
  <si>
    <t>Crane returns to the Upper Port</t>
  </si>
  <si>
    <t>Multifunction Manipulator failure</t>
  </si>
  <si>
    <t>Recovery of Multifunction Manipulator is completed using standard predetermined procedures.</t>
  </si>
  <si>
    <t>A replacement Multifunction Manipulator (if required) is available on demand from the AMF</t>
  </si>
  <si>
    <t>Failure rate of Multifunction Manipulator per hour</t>
  </si>
  <si>
    <t>Duration of Multifunction Manipulator Tasks</t>
  </si>
  <si>
    <t>Recover Multifunction Manipulator into hotcell</t>
  </si>
  <si>
    <t>Assumed recovery takes 3 hours</t>
  </si>
  <si>
    <t>Move to AMF Hardware Receipt</t>
  </si>
  <si>
    <t>Replace or repair the Multifunction Manipulator Transporter</t>
  </si>
  <si>
    <t>Assumed chosen tasks takes 2 hours</t>
  </si>
  <si>
    <t>Return to the Upper Port</t>
  </si>
  <si>
    <t>Blanket Transporter failure</t>
  </si>
  <si>
    <t>The failed blanket transporter can be recovered and transported without first having to detach any suspended load</t>
  </si>
  <si>
    <t>A new Blanket Transport and/or replacement blanket module (if required) is available on demand from the AMF</t>
  </si>
  <si>
    <t>Failure rate of Blanket Transporter per hour</t>
  </si>
  <si>
    <t>Blanket Removal Duration</t>
  </si>
  <si>
    <t>Blanket Installation Duration</t>
  </si>
  <si>
    <t>Deploy Recovery System from AMF</t>
  </si>
  <si>
    <t>Overhead crane (unloaded)</t>
  </si>
  <si>
    <t>Dock to failed blanket transporter</t>
  </si>
  <si>
    <t>Recover Blanket Transporter into hotcell</t>
  </si>
  <si>
    <t>Replace or repair the Blanket Transporter</t>
  </si>
  <si>
    <t>COB Weld Failure</t>
  </si>
  <si>
    <t>Collect Pipe Module Lifting Equipment</t>
  </si>
  <si>
    <t>LOB Pipe Module Stored and Transporter Returned to Upper Port</t>
  </si>
  <si>
    <t>ROB Pipe Module Stored and Transporter Returned to Upper Port</t>
  </si>
  <si>
    <t>LIB Pipe Module Stored and Transporter Returned to Upper Port</t>
  </si>
  <si>
    <t>Move Crane A to AMF Equipment Receipt</t>
  </si>
  <si>
    <t>Move Crane A to AMF Equipment Issue</t>
  </si>
  <si>
    <t>Collect Interface hardware</t>
  </si>
  <si>
    <t>Move to AMF Hardware Issue</t>
  </si>
  <si>
    <t>Collect RIB Blanket Segment</t>
  </si>
  <si>
    <t>Collect PP hardware</t>
  </si>
  <si>
    <t>Blanket Tranporter stored &amp; Service Joint System Collected</t>
  </si>
  <si>
    <t>Move Crane A to AMF AMF Equipment Receipt</t>
  </si>
  <si>
    <t>Move Crane A to AMF AMF Hardware Issue</t>
  </si>
  <si>
    <t>Collect RM equipment</t>
  </si>
  <si>
    <t>Move Crane B to AMF AMF Hardware Issue</t>
  </si>
  <si>
    <t>weld failure identified</t>
  </si>
  <si>
    <t>Delay due to lower port operations</t>
  </si>
  <si>
    <t>Install RIB blanket pipework module</t>
  </si>
  <si>
    <t>Install LIB blanket pipework module</t>
  </si>
  <si>
    <t>Install ROB blanket pipework module</t>
  </si>
  <si>
    <t>Install LOB blanket pipework module</t>
  </si>
  <si>
    <t>Install COB blanket pipework module</t>
  </si>
  <si>
    <t>LOB Weld Failure</t>
  </si>
  <si>
    <t>Move Crane B to AMF AMF Equipment Receipt</t>
  </si>
  <si>
    <t>Store interface hardware</t>
  </si>
  <si>
    <t>Move Crane B to AMF AMF Equipment Issue</t>
  </si>
  <si>
    <t>Move Crane A to AMF AMF Hardware Receipt</t>
  </si>
  <si>
    <t>Store RM equipment</t>
  </si>
  <si>
    <t>Move Crane B to AMF AMF Hardware Receipt</t>
  </si>
  <si>
    <t>ROB Weld Failure</t>
  </si>
  <si>
    <t>LIB Weld Failure</t>
  </si>
  <si>
    <t>Collect shield plug</t>
  </si>
  <si>
    <t>LIB Inner Port Pipe Module installed</t>
  </si>
  <si>
    <t>Install LIB inner port pipework module</t>
  </si>
  <si>
    <t>Store PP hardware</t>
  </si>
  <si>
    <t>RIB Inner Port Pipe Module installed</t>
  </si>
  <si>
    <t>Install RIB inner port pipework module</t>
  </si>
  <si>
    <t>Lower Port</t>
  </si>
  <si>
    <t>Seal bioshield</t>
  </si>
  <si>
    <t>Blanket Transporter</t>
  </si>
  <si>
    <t>bioshield and CCD Removal</t>
  </si>
  <si>
    <t>Deploy Overhead Crane</t>
  </si>
  <si>
    <t>Deploy Equipment from Store</t>
  </si>
  <si>
    <t>Move Overhead Crane to Upper Port</t>
  </si>
  <si>
    <t>Move Overhead Crane to bioshield Stillage</t>
  </si>
  <si>
    <t>bioshield Stillage</t>
  </si>
  <si>
    <t>Store bioshield</t>
  </si>
  <si>
    <t>Store Hardware in Storage Location</t>
  </si>
  <si>
    <t>Move Overhead Crane to AMF  Equipment Issue</t>
  </si>
  <si>
    <t>Collect Maintenance Cask</t>
  </si>
  <si>
    <t>Collect bioshield / Equipment Platform</t>
  </si>
  <si>
    <t>Install Maintenance Cask</t>
  </si>
  <si>
    <t>Dock Maintenance Cask</t>
  </si>
  <si>
    <t>Collect Equipment Cask Platform</t>
  </si>
  <si>
    <t>Move Overhead Crane to Equipment Stillage</t>
  </si>
  <si>
    <t>Install Equipment Platform</t>
  </si>
  <si>
    <t>Move Cask Transporter A to Equipment Stillage</t>
  </si>
  <si>
    <t>Dock Equipment Cask 1</t>
  </si>
  <si>
    <t>Dock Equipment Cask</t>
  </si>
  <si>
    <t>Deploy CCD Equipment</t>
  </si>
  <si>
    <t>Deploy Tool From Equipment Cask</t>
  </si>
  <si>
    <t>Store CCD in Maintenance Cask</t>
  </si>
  <si>
    <t>Store Hardware in Hardware Cask</t>
  </si>
  <si>
    <t>Store CCD Equipment in Equipment Cask 1</t>
  </si>
  <si>
    <t>Store Tool In Equipment Cask</t>
  </si>
  <si>
    <t>Deploy Multifunction Manipulator for ECH</t>
  </si>
  <si>
    <t>Store Multifunction Manipulator in Equipment Cask 1</t>
  </si>
  <si>
    <t>Deploy Component Carrier</t>
  </si>
  <si>
    <t>Store ECH in Hardware Cask 1</t>
  </si>
  <si>
    <t>Store Component Carrier in Equipment Cask 1</t>
  </si>
  <si>
    <t>Deploy Multifunction Manipulator with Closure Equipment</t>
  </si>
  <si>
    <t>Store Multifunction Manipulator &amp; Closure Equipment in Equipment Cask 1</t>
  </si>
  <si>
    <t>Store Closure Plate in Hardware Cask 2</t>
  </si>
  <si>
    <t>Deploy Multifunction Manipulator for Shield Plug Flange</t>
  </si>
  <si>
    <t>Disconnect Shield Plug Pipe Flange  using Multifunction Manipulator</t>
  </si>
  <si>
    <t>Deploy Shield Plug &amp; Fixations Equip</t>
  </si>
  <si>
    <t>Store Shield Plug &amp; Fixations in Hardware Cask 3</t>
  </si>
  <si>
    <t>Store Shield Plug &amp; Fixations Equip. in Equipment Cask 1</t>
  </si>
  <si>
    <t>Deploy Multifunction Manipulator for Multipipe Flange 1</t>
  </si>
  <si>
    <t>Disconnect Multipipe Flange 1  using Multifunction Manipulator</t>
  </si>
  <si>
    <t>Store Multifunction Manipulator in Equipment Cask 2</t>
  </si>
  <si>
    <t>Deploy Service Joint System</t>
  </si>
  <si>
    <t>Store Service Joint System in Equipment Cask 2</t>
  </si>
  <si>
    <t>Deploy Pipe module lifting attachment</t>
  </si>
  <si>
    <t>Store COB Pipe Module In Hardware Cask 4</t>
  </si>
  <si>
    <t>Store Pipe Lifter in Equipment Cask 2</t>
  </si>
  <si>
    <t>Deploy Multifunction Manipulator</t>
  </si>
  <si>
    <t>Disconnect Multipipe Flange 2  using Multifunction Manipulator</t>
  </si>
  <si>
    <t>Store LOB Pipe Module In Hardware Cask 4</t>
  </si>
  <si>
    <t>Disconnect Multipipe Flange 3  using Multifunction Manipulator</t>
  </si>
  <si>
    <t>Store ROB Pipe Module In Hardware Cask 4</t>
  </si>
  <si>
    <t>Store LIB Pipe Module In Hardware Cask 4</t>
  </si>
  <si>
    <t>Store RIB Pipe Module In Hardware Cask 4</t>
  </si>
  <si>
    <t>Un-Dock Equipment Cask 2</t>
  </si>
  <si>
    <t>Un-Dock Equipment Cask</t>
  </si>
  <si>
    <t>Dock Equipment Cask 3</t>
  </si>
  <si>
    <t>Deploy Blanket Transporter</t>
  </si>
  <si>
    <t>Store COB Blanket Segment in Hardware Cask 5</t>
  </si>
  <si>
    <t>Store LOB Blanket Segment in Hardware Cask 6</t>
  </si>
  <si>
    <t>Store ROB Blanket Segment in Hardware Cask 5</t>
  </si>
  <si>
    <t>Store LIB Blanket Segment in Hardware Cask 6</t>
  </si>
  <si>
    <t>Store RIB Blanket Segment in Hardware Cask 5</t>
  </si>
  <si>
    <t>Un-Dock Hardware Cask 5</t>
  </si>
  <si>
    <t>Un-Dock Hardware Cask</t>
  </si>
  <si>
    <t>Blanket Removal Complete</t>
  </si>
  <si>
    <t>Movements</t>
  </si>
  <si>
    <t>Inspect and re-condition Upper Port</t>
  </si>
  <si>
    <t>Port Inspection System Collected; Hardware Cask 7 docked</t>
  </si>
  <si>
    <t>Store Inspection system in equipment cask</t>
  </si>
  <si>
    <t>un-dock inspection cask</t>
  </si>
  <si>
    <t>Dock equipment cask</t>
  </si>
  <si>
    <t>Dock Hardware Cask</t>
  </si>
  <si>
    <t>Collect Blanket Segment 5 from Hardware Cask 6</t>
  </si>
  <si>
    <t>Export Hardware from Hardware Cask</t>
  </si>
  <si>
    <t>RIB Blanket Segment Collected; Hardware Cask 6 docked</t>
  </si>
  <si>
    <t>Collect Blanket Segment 4 from Hardware Cask 5</t>
  </si>
  <si>
    <t>LIB Blanket Segment Collected; Hardware Cask 5 docked</t>
  </si>
  <si>
    <t>Collect Blanket Segment 3 from Hardware Cask 6</t>
  </si>
  <si>
    <t>ROB Blanket Segment Collected; Hardware Cask 6 docked</t>
  </si>
  <si>
    <t>Collect Blanket Segment 2 from Hardware Cask 5</t>
  </si>
  <si>
    <t>LOB Blanket Segment Collected; Hardware Cask 5 docked</t>
  </si>
  <si>
    <t>Collect Blanket Segment 1 from Hardware Cask 6</t>
  </si>
  <si>
    <t>COB Blanket Segment Collected; Hardware Cask 6 docked</t>
  </si>
  <si>
    <t>Store Blanket transporter in equipment cask</t>
  </si>
  <si>
    <t>Un-dock equipment cask 6</t>
  </si>
  <si>
    <t>Un-dock equipment cask</t>
  </si>
  <si>
    <t xml:space="preserve">Dock Equipment Cask </t>
  </si>
  <si>
    <t>Collect RIB Pipe Module from Hardware Cask 3</t>
  </si>
  <si>
    <t>Collect RIB Pipe Module from Hardware Cask 4</t>
  </si>
  <si>
    <t>Equipment Cask 6 stored; Equipment Cask 2 Collected; Hardware Cask 2 docked; RIB Pipe Module Collected</t>
  </si>
  <si>
    <t>Store Pipe Lifter in Equipment Cask 1</t>
  </si>
  <si>
    <t>Undock hardware cask 2</t>
  </si>
  <si>
    <t>Un-dock Hardware CAsk</t>
  </si>
  <si>
    <t>Deploy Service Joint System from Equipment Cask 2</t>
  </si>
  <si>
    <t>Collect LIB Pipe Module from Hardware Cask 4</t>
  </si>
  <si>
    <t>Hardware Cask 2 Un-Docked; LIB pipe module Collected; Hardware Cask 4 docked</t>
  </si>
  <si>
    <t>Store Pipe Lifter in Equipment Cask 3</t>
  </si>
  <si>
    <t>Collect ROB Pipe Module from Hardware Cask 2</t>
  </si>
  <si>
    <t>Hardware Cask 4 Un-Docked; ROB pipe module Collected; Hardware Cask 2 docked</t>
  </si>
  <si>
    <t>Collect LOB Pipe Module from Hardware Cask 4</t>
  </si>
  <si>
    <t>Hardware Cask 2 Un-Docked; LOB pipe module Collected; Hardware Cask 4 docked</t>
  </si>
  <si>
    <t>Collect COB Pipe Module from Hardware Cask 2</t>
  </si>
  <si>
    <t>Hardware Cask 4 Un-Docked; COB pipe module Collected; Hardware Cask 2 docked</t>
  </si>
  <si>
    <t xml:space="preserve">Install Shield Plug &amp; Fixations </t>
  </si>
  <si>
    <t>Deploy Shield Plug &amp; Fixations Equip from Equipment Cask 1</t>
  </si>
  <si>
    <t>Equipment Cask 2 stored;  Equipment Cask 1 collected; Equipment Cask 1 Docked</t>
  </si>
  <si>
    <t>Collect Shield Plug &amp; Fixations from Hardware Cask</t>
  </si>
  <si>
    <t>Hardware Cask 4 stored; Hardware Cask 3 collected; Hardware Cask 3 docked</t>
  </si>
  <si>
    <t>Deploy Closure Plate Equip from Equipment Cask 1</t>
  </si>
  <si>
    <t>Collect Closure Plate from Hardware Cask 2</t>
  </si>
  <si>
    <t>Hardware Cask 3 stored; Hardware Cask 2 Collected; Hardware Cask 2 Docked</t>
  </si>
  <si>
    <t>Store Closure Plate Equipment in Equipment Cask 1</t>
  </si>
  <si>
    <t>Install and Connect ECH</t>
  </si>
  <si>
    <t>Deploy Component Carrier from Equipment Cask 1</t>
  </si>
  <si>
    <t>Collect ECH from Hardware Cask 1</t>
  </si>
  <si>
    <t xml:space="preserve">Hardware Cask 2 Stored; Hardware Cask 1 Collected; Hardware Cask 1 Docked </t>
  </si>
  <si>
    <t>Install CCD and Bioshield</t>
  </si>
  <si>
    <t>Deploy CCD Equipment from Equipment Cask 1</t>
  </si>
  <si>
    <t>Collect CCD from Maintenance Cask</t>
  </si>
  <si>
    <t>Store Tool in Equipment Cask</t>
  </si>
  <si>
    <t>Un-dock Equipment Cask 1</t>
  </si>
  <si>
    <t>Remove Equipment Platform</t>
  </si>
  <si>
    <t>Move Overhead Crane to AMF  Equipment Receipt</t>
  </si>
  <si>
    <t>Store Equipment Platform</t>
  </si>
  <si>
    <t>Store Cask</t>
  </si>
  <si>
    <t>Collect Cask</t>
  </si>
  <si>
    <t>Store Maintenance Cask</t>
  </si>
  <si>
    <t>Collect bioshield</t>
  </si>
  <si>
    <t>Blanket Installation Complete</t>
  </si>
  <si>
    <t>Equipment Cask 1 collected</t>
  </si>
  <si>
    <t>Collect Equipment Cask 1</t>
  </si>
  <si>
    <t>Hardware Cask 1 collected &amp; docked</t>
  </si>
  <si>
    <t>Move Cask Transporter A to AMF Equipment Issue</t>
  </si>
  <si>
    <t>Collect Hardware Cask 1</t>
  </si>
  <si>
    <t>Move Cask Transporter A to Hardware Stillage</t>
  </si>
  <si>
    <t>Dock Hardware Cask 1</t>
  </si>
  <si>
    <t>ECH &amp; Hardware Cask 1 stored; Hardware Cask 2 collected; Hardware Cask 2 docked</t>
  </si>
  <si>
    <t>Un-Dock Hardware Cask 1</t>
  </si>
  <si>
    <t>Move Cask Transporter A to AMF Hardware Receipt</t>
  </si>
  <si>
    <t>Move Cask Transporter A to AMF Equipment Receipt</t>
  </si>
  <si>
    <t>Store Hardware Cask 1</t>
  </si>
  <si>
    <t>Collect Hardware Cask 2</t>
  </si>
  <si>
    <t>Dock Hardware Cask 2</t>
  </si>
  <si>
    <t>Closure Plate &amp; Hardware Cask 2 stored; Hardware Cask 3 collected; Hardware Cask 3 docked</t>
  </si>
  <si>
    <t>Un-Dock Hardware Cask 2</t>
  </si>
  <si>
    <t>Store Hardware Cask 2</t>
  </si>
  <si>
    <t>Collect Hardware Cask 3</t>
  </si>
  <si>
    <t>Dock Hardware Cask 3</t>
  </si>
  <si>
    <t>Shield Plug &amp; Fixations &amp; Hardware Cask 3 stored; Equipment Cask 2 collected; Equipment cask 2 docked</t>
  </si>
  <si>
    <t>Un-Dock Hardware Cask 3</t>
  </si>
  <si>
    <t>Store Shield Plug &amp; Fixations</t>
  </si>
  <si>
    <t>Store Hardware Cask 3</t>
  </si>
  <si>
    <t>Collect Equipment Cask 2</t>
  </si>
  <si>
    <t>Dock Equipment Cask 2</t>
  </si>
  <si>
    <t>Equipment Cask 1 stored; Hardware Cask 4 collected; Hardware Cask 4 docked</t>
  </si>
  <si>
    <t>Un-Dock Equipment Cask 1</t>
  </si>
  <si>
    <t>Move Cask Transporter B to AMF Equipment Receipt</t>
  </si>
  <si>
    <t>Store Equipment Cask 1</t>
  </si>
  <si>
    <t>Move Cask Transporter B to AMF Equipment Issue</t>
  </si>
  <si>
    <t>Collect Hardware Cask 4</t>
  </si>
  <si>
    <t>Move Cask Transporter B to Hardware Stillage</t>
  </si>
  <si>
    <t>Dock Hardware Cask 4</t>
  </si>
  <si>
    <t>COB Pipe Module stored; Hardware Cask 4 docked</t>
  </si>
  <si>
    <t>Un-Dock Hardware Cask 4</t>
  </si>
  <si>
    <t>Move Cask Transporter B to AMF Hardware Receipt</t>
  </si>
  <si>
    <t>Store COB Pipe Module</t>
  </si>
  <si>
    <t>LOB Pipe Module stored; Hardware Cask 4 docked</t>
  </si>
  <si>
    <t>Store LOB Pipe Module</t>
  </si>
  <si>
    <t>ROB Pipe Module stored; Hardware Cask 4 docked</t>
  </si>
  <si>
    <t>Store ROB Pipe Module</t>
  </si>
  <si>
    <t>LIB Pipe Module stored; Hardware Cask 4 docked</t>
  </si>
  <si>
    <t>Un-dock Hardware Cask 4</t>
  </si>
  <si>
    <t>Store LIB Pipe Module</t>
  </si>
  <si>
    <t>RIB Pipe Module stored; Hardware Cask 4 stored; Hardware Cask 5 collected; Hardware Cask 5 docked</t>
  </si>
  <si>
    <t>Store Hardware Cask 4</t>
  </si>
  <si>
    <t>Move to Cask Transporter B to AMF Equipment Issue</t>
  </si>
  <si>
    <t>Collect Hardware Cask 5</t>
  </si>
  <si>
    <t>Dock Hardware Cask 5</t>
  </si>
  <si>
    <t>Equipment Cask 3 collected; Equipment Cask 3 moved to equipment stillage</t>
  </si>
  <si>
    <t>Deploy Cask Transporter C</t>
  </si>
  <si>
    <t>Collect Equipment Cask 3</t>
  </si>
  <si>
    <t>Move Cask Transporter C to Equipment Stillage</t>
  </si>
  <si>
    <t>Equipment Cask 2 stored; Hardware Cask 6 Collected; Hardware Cask 6 docked</t>
  </si>
  <si>
    <t>Store Equipment Cask 2</t>
  </si>
  <si>
    <t>Collect Hardware Cask 6</t>
  </si>
  <si>
    <t>Dock Hardware Cask 6</t>
  </si>
  <si>
    <t>COB Blanket Segment stored; Hardware Cask 5 docked</t>
  </si>
  <si>
    <t>Store COB Blanket Segment</t>
  </si>
  <si>
    <t>LOB Blanket Segment stored; Hardware Cask 6 docked</t>
  </si>
  <si>
    <t>Un-Dock Hardware Cask 6</t>
  </si>
  <si>
    <t>Store LOB Blanket Segment</t>
  </si>
  <si>
    <t>ROB Blanket Segment stored; Hardware Cask 5 docked</t>
  </si>
  <si>
    <t>Store ROB Blanket Segment</t>
  </si>
  <si>
    <t>LIB Blanket Segment stored; Hardware Cask 6 docked</t>
  </si>
  <si>
    <t>Store RIB Blanket Segment</t>
  </si>
  <si>
    <t>RIB Blanket Segment stored; Hardware Cask 5 docked</t>
  </si>
  <si>
    <t>Move Cask Transporter A to AMF Hardware Issue</t>
  </si>
  <si>
    <t>Export Port Inspection and Repair hardware</t>
  </si>
  <si>
    <t>Dock Hardware Cask 7</t>
  </si>
  <si>
    <t>Un-Dock Hardware Cask 7</t>
  </si>
  <si>
    <t>Export RIB Blanket Segment</t>
  </si>
  <si>
    <t>Export LIB Blanket Segment</t>
  </si>
  <si>
    <t>Export ROB Blanket Segment</t>
  </si>
  <si>
    <t>Export LOB Blanket Segment</t>
  </si>
  <si>
    <t>Move Cask Transporter B to AMF Hardware Issue</t>
  </si>
  <si>
    <t>Export COB Blanket Segment</t>
  </si>
  <si>
    <t>Store Equipment Cask 6</t>
  </si>
  <si>
    <t>Collect RIB Pipe Module</t>
  </si>
  <si>
    <t>Hardware Cask 2 Un-Docked; LIB Pipe Module Collected; Hardware Cask 4 docked</t>
  </si>
  <si>
    <t>Collect LIB Pipe Module</t>
  </si>
  <si>
    <t>Hardware Cask 4 Un-Docked; ROB Pipe Module Collected; Hardware Cask 2 docked</t>
  </si>
  <si>
    <t>Hardware Cask 2 Un-Docked; LOB Pipe Module Collected; Hardware Cask 4 docked</t>
  </si>
  <si>
    <t>Hardware Cask 4 Un-Docked; COB Pipe Module Collected; Hardware Cask 2 docked</t>
  </si>
  <si>
    <t>Collect LOB Pipe Module</t>
  </si>
  <si>
    <t>Issue</t>
  </si>
  <si>
    <t>Un-dock Hardware Cask 2</t>
  </si>
  <si>
    <t>Move Transporter B to AMF Equipment Issue</t>
  </si>
  <si>
    <t>Un-dock Hardware Cask 3</t>
  </si>
  <si>
    <t>Collect Bioshield / Equipment Platform</t>
  </si>
  <si>
    <t>Attach crane to hardware</t>
  </si>
  <si>
    <t>Lift hardware</t>
  </si>
  <si>
    <t>Attach to cask</t>
  </si>
  <si>
    <t>Detach from Cask</t>
  </si>
  <si>
    <t>Dock to bioshield</t>
  </si>
  <si>
    <t>Store door</t>
  </si>
  <si>
    <t>Connect services</t>
  </si>
  <si>
    <t xml:space="preserve">Software check </t>
  </si>
  <si>
    <t>Hardware check</t>
  </si>
  <si>
    <t>Install VMS rails</t>
  </si>
  <si>
    <t xml:space="preserve">To:
From                                                           :                                   </t>
  </si>
  <si>
    <t>Bioshield Stillage</t>
  </si>
  <si>
    <t>Dock to interface cask</t>
  </si>
  <si>
    <t>Extend tool rail</t>
  </si>
  <si>
    <t>Rotate to collection position</t>
  </si>
  <si>
    <t>Rotate rail to storage position</t>
  </si>
  <si>
    <t>Retract rail</t>
  </si>
  <si>
    <t>Replace door</t>
  </si>
  <si>
    <t>Attach to frame</t>
  </si>
  <si>
    <t>Disconnect door and frame</t>
  </si>
  <si>
    <t>RM Equipment Cask Contents</t>
  </si>
  <si>
    <t>Demonstrate seals</t>
  </si>
  <si>
    <t>Shield Plug &amp; Fixations Equipment</t>
  </si>
  <si>
    <t>Undock from interface cask</t>
  </si>
  <si>
    <t>Pipe Cutting</t>
  </si>
  <si>
    <t>Pipe Lifter</t>
  </si>
  <si>
    <t>Pipe Welder</t>
  </si>
  <si>
    <t>Un-dock Maintenance Cask</t>
  </si>
  <si>
    <t>Position Vertical Crane</t>
  </si>
  <si>
    <t>Make Connections/commission]</t>
  </si>
  <si>
    <t>Position in storage location</t>
  </si>
  <si>
    <t>Break connections</t>
  </si>
  <si>
    <t>Holding cradle deployed</t>
  </si>
  <si>
    <t>Place on cradle</t>
  </si>
  <si>
    <t>Retract VMS</t>
  </si>
  <si>
    <t>Remove from the cradle</t>
  </si>
  <si>
    <t>Cask Transporter failure</t>
  </si>
  <si>
    <t>Recovery of Cask Transporter is completed using standard predetermined procedures.</t>
  </si>
  <si>
    <t>A replacement cask transporter (if required) is available on demand from the AMF</t>
  </si>
  <si>
    <t>The cask transporter's load is able to be set down in-situ safely, using a rescue system</t>
  </si>
  <si>
    <t>Failure rate of cask transporter crane per hour</t>
  </si>
  <si>
    <t>Engage the recovery system with the failed cask transporter</t>
  </si>
  <si>
    <t>collect cask</t>
  </si>
  <si>
    <t xml:space="preserve">Recovery system engages crane safety system to lower and detach the suspended cask </t>
  </si>
  <si>
    <t>Cask transporter is repaired or replaced</t>
  </si>
  <si>
    <t>cask transporter returned to abandoned cask</t>
  </si>
  <si>
    <t>Abandoned cask is collected</t>
  </si>
  <si>
    <t>bioshield stillage</t>
  </si>
  <si>
    <t>Vertical Maintenance Cask Failure</t>
  </si>
  <si>
    <t>Recovery of deployed  is completed using standard predetermined procedures.</t>
  </si>
  <si>
    <t>Failure rate of VM Cask per hour</t>
  </si>
  <si>
    <t>Dock with the VMC</t>
  </si>
  <si>
    <t>Commission the RM system and connect to the failed system</t>
  </si>
  <si>
    <t>Assumed to take 2 hours</t>
  </si>
  <si>
    <t>Recovery system engages crane safety system to make the suspended load safe</t>
  </si>
  <si>
    <t>Recover failed RHE into the failed VMC cask</t>
  </si>
  <si>
    <t>Store tool in equipment cask</t>
  </si>
  <si>
    <t>un-dock the recovery system</t>
  </si>
  <si>
    <t>un-dock equipment cask</t>
  </si>
  <si>
    <t>Un-dock the failed VMC</t>
  </si>
  <si>
    <t>un-dock maintenance cask</t>
  </si>
  <si>
    <t xml:space="preserve">Dock replacement VMC </t>
  </si>
  <si>
    <t>Replacement VMC issued from AMF</t>
  </si>
  <si>
    <t>dock equipment cask</t>
  </si>
  <si>
    <t>Recover failed MM into the equipment cask</t>
  </si>
  <si>
    <t>Undock recovery system</t>
  </si>
  <si>
    <t>dock replacement equipment cask</t>
  </si>
  <si>
    <t>Replacement MM equipment cask issued from AMF</t>
  </si>
  <si>
    <t>deploy new MM into port</t>
  </si>
  <si>
    <t>deploy tool from equipment cask</t>
  </si>
  <si>
    <t>Hardware Cask failure</t>
  </si>
  <si>
    <t>Recovery of a cask is completed using standard predetermined procedures.</t>
  </si>
  <si>
    <t>A new cask and hardware (if required) are available on demand from the AMF</t>
  </si>
  <si>
    <t>Failure rate of hardware per hour</t>
  </si>
  <si>
    <t>Hardware Cask 1 operating time</t>
  </si>
  <si>
    <t>Hardware cask 2 operating time</t>
  </si>
  <si>
    <t>Hardware cask 3 operating time</t>
  </si>
  <si>
    <t>Hardware cask 4 operating time</t>
  </si>
  <si>
    <t>Recover failed blanket transporter into the equipment cask</t>
  </si>
  <si>
    <t>Hardware cask 5 operating time</t>
  </si>
  <si>
    <t>Hardware cask 6 operating time</t>
  </si>
  <si>
    <t>Recovery RM tools into cask for replacement</t>
  </si>
  <si>
    <t xml:space="preserve">Un-dock Cask </t>
  </si>
  <si>
    <t>Dock Replacement cask</t>
  </si>
  <si>
    <t>Replacement hardware cask issued from AMF</t>
  </si>
  <si>
    <t>Equipment Cask failure</t>
  </si>
  <si>
    <t>Recovery of cask is completed using standard predetermined procedures.</t>
  </si>
  <si>
    <t>A new cask and equipment (if required) are available on demand from the AMF</t>
  </si>
  <si>
    <t>Failure rate of equipment cask per hour</t>
  </si>
  <si>
    <t>Equipment Cask 1 operating time</t>
  </si>
  <si>
    <t>Equipment cask 2 operating time</t>
  </si>
  <si>
    <t>Equipment cask 3 operating time</t>
  </si>
  <si>
    <t>Deploy Pipe Lifter</t>
  </si>
  <si>
    <t>Disconnect COB Divertor port pipe module</t>
  </si>
  <si>
    <t>Collect RIB Pipe Module from Hardware Cask 2</t>
  </si>
  <si>
    <t>RIB Lower Port Pipe Module Installed</t>
  </si>
  <si>
    <t>VMC Failure</t>
  </si>
  <si>
    <t>Issue replacement VMC from the AMF</t>
  </si>
  <si>
    <t>Move replacement VMC to Upper Port</t>
  </si>
  <si>
    <t>Replacement blanket transporter cask issued from AMF</t>
  </si>
  <si>
    <t>Issue replacement equipment cask from the AMF</t>
  </si>
  <si>
    <t>Move replacement cask to upper port</t>
  </si>
  <si>
    <t>Multifunction Manipulator Failure</t>
  </si>
  <si>
    <t>Issue replacement equipment cask  from the AMF</t>
  </si>
  <si>
    <t>Move equipment cask to Upper Port</t>
  </si>
  <si>
    <t>Un-dock hardware cask 5</t>
  </si>
  <si>
    <t>Un-dock equipment cask 2</t>
  </si>
  <si>
    <t>RIB Weld Failure</t>
  </si>
  <si>
    <t>Remove Bioshield Plug</t>
  </si>
  <si>
    <t>Collect Bioshield Plug Attachment</t>
  </si>
  <si>
    <t>Move Cask Transporter A to Lower Port</t>
  </si>
  <si>
    <t>Cask Transporter (Empty Cask)</t>
  </si>
  <si>
    <t>Move Cask Transporter A to Bioshield Stillage</t>
  </si>
  <si>
    <t>Cask Transporter (Loaded)</t>
  </si>
  <si>
    <t>Store Equipment / Hardware Cask</t>
  </si>
  <si>
    <t xml:space="preserve"> Perform Health Physics Checks</t>
  </si>
  <si>
    <t>Dock Cask and Commission RM Systems</t>
  </si>
  <si>
    <t>Vacuum Closure Cask Prepared; Port Plate Equipment Cask Moved to Lower Port</t>
  </si>
  <si>
    <t>Deploy Port Inspection System</t>
  </si>
  <si>
    <t>Deploy Tool / Hardware From Transport Cask</t>
  </si>
  <si>
    <t>Recovery Port Inspection System</t>
  </si>
  <si>
    <t>Store Tool / Hardware In Transport Cask</t>
  </si>
  <si>
    <t>Deploy Lower Port Plate Equipment</t>
  </si>
  <si>
    <t>Remove Port Plate</t>
  </si>
  <si>
    <t>Retract Inner Port Equipment into Transport Cask</t>
  </si>
  <si>
    <t>Recover Port Inspection System</t>
  </si>
  <si>
    <t>Un-Dock Vacuum Closure cask and move to AMF</t>
  </si>
  <si>
    <t>Un-Dock Cask</t>
  </si>
  <si>
    <t>Install Port Threshold Support Rails</t>
  </si>
  <si>
    <t>Dock Threshold Cask</t>
  </si>
  <si>
    <t>Bioshield interface hardware Stored; Port Threshold Cask collected; Port Threshold Cask Moved to Lower Port</t>
  </si>
  <si>
    <t>Deploy rails from cask</t>
  </si>
  <si>
    <t>Postion rails for installation</t>
  </si>
  <si>
    <t>Reposition tool within Port</t>
  </si>
  <si>
    <t>Deploy multifunction Manipulator</t>
  </si>
  <si>
    <t xml:space="preserve">Install Threshold rails </t>
  </si>
  <si>
    <t>Recover deployed RM system</t>
  </si>
  <si>
    <t>Un-dock cask</t>
  </si>
  <si>
    <t>Remove in-port diagnostics</t>
  </si>
  <si>
    <t>Dock Diagnostic maintenance cask</t>
  </si>
  <si>
    <t>Vacuum Closure Cask Stored; Diagnostic Maintenance Cask Collected; Diagnostic Maintenance Cask moved to Lower Port</t>
  </si>
  <si>
    <t>Deploy diagnostic maintenance system</t>
  </si>
  <si>
    <t>Disconnect diagnostic service connections</t>
  </si>
  <si>
    <t>Retract diagnostic system and store in cask</t>
  </si>
  <si>
    <t>Un-Dock diagnostic maintenance cask</t>
  </si>
  <si>
    <t>Remove vacuum pumping assembly</t>
  </si>
  <si>
    <t>Dock vacuum pumping cask</t>
  </si>
  <si>
    <t>Remove pumping services and fixations</t>
  </si>
  <si>
    <t>Retract multifunction manipulator</t>
  </si>
  <si>
    <t>Deploy pumping system lifting attachment</t>
  </si>
  <si>
    <t>Retract Cassette Handling Equipment</t>
  </si>
  <si>
    <t>Un-Dock Vacuum pumping cask and move to AMF</t>
  </si>
  <si>
    <t>Un-dock Cask</t>
  </si>
  <si>
    <t>Remove in-port Shielding modules</t>
  </si>
  <si>
    <t>Dock shielding module cask</t>
  </si>
  <si>
    <t>Diagnostic Maintenance Cask Stored;  shielding module cask collected; shielding module cask moved to Lower Port</t>
  </si>
  <si>
    <t>Deploy shielding handling system</t>
  </si>
  <si>
    <t>Retract sheild modules and store in cask</t>
  </si>
  <si>
    <t>Un-Dock shielding module cask</t>
  </si>
  <si>
    <t>Remove Divertor Cooling Pipe Modules</t>
  </si>
  <si>
    <t>Dock Divertor Pipework Equipment Cask</t>
  </si>
  <si>
    <t>Vaccum Pumping  Cask Stored;  Divertor Pipework Cask Prepared; Divertor Pipework Cask Moved to Lower Port</t>
  </si>
  <si>
    <t>Remove Centre Cassette pipework access lid using Multifunction Manipulator</t>
  </si>
  <si>
    <t>Remove Left Cassette pipework access lid using Multifunction Manipulator</t>
  </si>
  <si>
    <t>Remove Right Cassette pipework access lid using Multifunction Manipulator</t>
  </si>
  <si>
    <t>Retract Multifunction manipulator</t>
  </si>
  <si>
    <t>Remove Central Divertor pipework module</t>
  </si>
  <si>
    <t>Store Central Divertor pipework module in cask</t>
  </si>
  <si>
    <t>Reposition Pipework equipment to the second pipework module</t>
  </si>
  <si>
    <t>Remove Left Divertor pipework module</t>
  </si>
  <si>
    <t>Store Left Divertor pipework module in cask</t>
  </si>
  <si>
    <t>Reposition Pipework equipment to the third pipe module</t>
  </si>
  <si>
    <t>Remove Right Divertor pipework module</t>
  </si>
  <si>
    <t>Store Right Divertor pipework module in cask</t>
  </si>
  <si>
    <t>Retract Service Joint System into cask</t>
  </si>
  <si>
    <t>Un-Dock Divertor Pipework Module Cask</t>
  </si>
  <si>
    <t>Remove Central Cassette</t>
  </si>
  <si>
    <t>Dock Divertor Handling Cask</t>
  </si>
  <si>
    <t>Deploy Port Cleaning Equipment</t>
  </si>
  <si>
    <t>Clean Port</t>
  </si>
  <si>
    <t>Store Port Cleaning Equipment</t>
  </si>
  <si>
    <t>Deploy Cassette Handling Equipment</t>
  </si>
  <si>
    <t>Remove Central Divertor cassette</t>
  </si>
  <si>
    <t>Un-Dock Full Central Cassette Transport Cask</t>
  </si>
  <si>
    <t>Remove Left Divertor Cassette</t>
  </si>
  <si>
    <t>Divertor Pipework Modules Stored;  Cassette Transport Cask Prepared; Cassette Transport Cask Moved to Lower Port</t>
  </si>
  <si>
    <t>Remove Left Divertor cassette</t>
  </si>
  <si>
    <t>Un-Dock Left Cassette Transport Cask</t>
  </si>
  <si>
    <t>Remove Right Divertor Cassette</t>
  </si>
  <si>
    <t>Central Cassette Stored; Cassette Transport Cask Moved to Lower Port</t>
  </si>
  <si>
    <t>Remove Right Divertor cassette</t>
  </si>
  <si>
    <t>Un-Dock Full Right Cassette Transport Cask</t>
  </si>
  <si>
    <t>Cassette  Removal Complete</t>
  </si>
  <si>
    <t>Remove Outboard Blanket Pipework Modules</t>
  </si>
  <si>
    <t>Dock Service Joint System Cask</t>
  </si>
  <si>
    <t>Left Divertor Cassette Stored; Cassette Transport Cask Stored; Outboard Pipework Cask Prepared; Outboard Pipework Cask moved to Lower Port</t>
  </si>
  <si>
    <t>Remove COB pipework access lid using Multifunction Manipulator</t>
  </si>
  <si>
    <t>Deploy Service Joint System from transport cask</t>
  </si>
  <si>
    <t>Store COB Pipe Module into Cask</t>
  </si>
  <si>
    <t>Remove LOB pipework access lid using Multifunction Manipulator</t>
  </si>
  <si>
    <t>Remove ROB pipework access lid using Multifunction Manipulator</t>
  </si>
  <si>
    <t>Store LOB Pipe Module into Cask</t>
  </si>
  <si>
    <t>Store ROB Pipe Module into Cask</t>
  </si>
  <si>
    <t>Un-Dock Outboard Pipe Module Cask</t>
  </si>
  <si>
    <t>Remove Two Inboard Blanket Pipework Modules</t>
  </si>
  <si>
    <t>Dock Inboard Pipework Cask</t>
  </si>
  <si>
    <t>Right Divertor Cassette Stored; Cassette Transport Cask Stored; Inboard Pipework Cask Prepared; Inboard Pipework Cask moved to Lower Port</t>
  </si>
  <si>
    <t>Store LIB Pipe Module into Cask</t>
  </si>
  <si>
    <t>Store RIB Pipe Module into Cask</t>
  </si>
  <si>
    <t>Un-Dock Inboard Blanket Pipe Cask</t>
  </si>
  <si>
    <t>Remove Inner Pipework Modules</t>
  </si>
  <si>
    <t>Outboard Pipework Cask Stored;  Inner Port Pipework Cask Prepared; Inner Port Pipework Cask Moved to Lower Port</t>
  </si>
  <si>
    <t>Remove LIB Inner Pipework module</t>
  </si>
  <si>
    <t>Store LIB Inner Pipework module in cask</t>
  </si>
  <si>
    <t>Reposition Pipework equipment to the RIB inner pipework module</t>
  </si>
  <si>
    <t>Store Inner RIB pipework module in cask</t>
  </si>
  <si>
    <t>Un-Dock Inner Pipework Cask</t>
  </si>
  <si>
    <t>Hardware Removal Complete</t>
  </si>
  <si>
    <t>Dock Port Inspection cask</t>
  </si>
  <si>
    <t>Inspection Cask Collected; Inspection Cask Moved to Lower Port</t>
  </si>
  <si>
    <t>Retract inspection equipment</t>
  </si>
  <si>
    <t>Deploy cleaning/repair system</t>
  </si>
  <si>
    <t>Retract cleaning/re-conditioning system</t>
  </si>
  <si>
    <t>Un-Dock Inspection Cask</t>
  </si>
  <si>
    <t>Install Inner Port Pipework Modules</t>
  </si>
  <si>
    <t>Inner Port Pipework Collected and Prepared; Inner Port Pipework Cask Moved to Lower Port</t>
  </si>
  <si>
    <t>RIB Installed</t>
  </si>
  <si>
    <t>Collect second Inner Port Pipework Module from Cask</t>
  </si>
  <si>
    <t>Install LIB Pipework Module</t>
  </si>
  <si>
    <t>Connect Inner Port Pipe Module</t>
  </si>
  <si>
    <t>LIB Installed</t>
  </si>
  <si>
    <t>Un-Dock Empty Inner Port Pipework Cask</t>
  </si>
  <si>
    <t>Install Two Inboard Blanket Pipework Modules</t>
  </si>
  <si>
    <t>Inspection Cask Stored; Inboard Port Pipework Cask Prepared; Inboard Port Pipework Cask Moved to Lower Port</t>
  </si>
  <si>
    <t>Extract First Pipe Module from Cask</t>
  </si>
  <si>
    <t>Install LIB Blanket Pipe Module</t>
  </si>
  <si>
    <t>Extract Second Pipe Module from Cask</t>
  </si>
  <si>
    <t>Install RIB Blanket Pipe Module</t>
  </si>
  <si>
    <t>Un-Dock Inboard Pipe Module Cask</t>
  </si>
  <si>
    <t>Install Three Outboard Blanket Pipework Modules</t>
  </si>
  <si>
    <t>Inner Port Pipework Cask Stored; Outboard Port Pipework Cask Prepared; Outboard Port Pipework Cask Moved to Lower Port</t>
  </si>
  <si>
    <t>Extract ROB Pipework Module from Cask</t>
  </si>
  <si>
    <t>Install ROB Blanket Pipe Module</t>
  </si>
  <si>
    <t>ROB Installed</t>
  </si>
  <si>
    <t>Extract LOB Pipework Module from Cask</t>
  </si>
  <si>
    <t>Reposition Pipework equipment to the second pipework module location</t>
  </si>
  <si>
    <t>LOB Installed</t>
  </si>
  <si>
    <t>Install LOB pipework access lid using Multifunction Manipulator</t>
  </si>
  <si>
    <t>Install ROB pipework access lid using Multifunction Manipulator</t>
  </si>
  <si>
    <t>Extract COB Pipe Module from Cask</t>
  </si>
  <si>
    <t>COB Installed</t>
  </si>
  <si>
    <t>Install COB pipework access lid using Multifunction Manipulator</t>
  </si>
  <si>
    <t>Un-Dock Outboard Pipework Module Cask</t>
  </si>
  <si>
    <t>Install Right Divertor Cassette</t>
  </si>
  <si>
    <t>Dock Cassette Handling Cask</t>
  </si>
  <si>
    <t>Inboard Pipework Cask Stored; Cassette Transport Cask Prepared; Right Divertor Cassette Exported; Cassette Transport Cask Moved to Lower Port</t>
  </si>
  <si>
    <t>Install Right Divertor cassette</t>
  </si>
  <si>
    <t>Un-Dock Empty Right Cassette Transport Cask</t>
  </si>
  <si>
    <t>Install Left Divertor Cassette</t>
  </si>
  <si>
    <t>Outboard Pipework Cask Stored; Cassette Transport Cask Prepared; Left Divertor Cassette Exported; Cassette Transport Cask Moved to Lower Port</t>
  </si>
  <si>
    <t>Install Left Divertor cassette</t>
  </si>
  <si>
    <t>Un-Dock Empty Left Cassette Transport Cask</t>
  </si>
  <si>
    <t>Empty Cassette Transporter Moved to AMF; Central Divertor Cassette Exported; Cassette Transport Cask Move to Lower Port</t>
  </si>
  <si>
    <t>Un-Dock Empty Central Divertor Transport Cask</t>
  </si>
  <si>
    <t>Install Divertor Cooling Pipework Modules</t>
  </si>
  <si>
    <t>Cassette Transport Cask Stored; Divertor Pipework Modules Collected and Prepared; Pipework  Modules Moved to Lower Port</t>
  </si>
  <si>
    <t>Extract Right Divertor Pipework Module from Cask</t>
  </si>
  <si>
    <t>Install Right Divertor Blanket Pipe Module</t>
  </si>
  <si>
    <t>Extract Pipework Module from Cask</t>
  </si>
  <si>
    <t>Reposition Pipework equipment to the second location</t>
  </si>
  <si>
    <t>Extract third Pipe Module from Cask</t>
  </si>
  <si>
    <t>Install Centre Cassette pipework access lid using Multifunction Manipulator</t>
  </si>
  <si>
    <t>Install Left Cassette pipework access lid using Multifunction Manipulator</t>
  </si>
  <si>
    <t>Install Right Cassette pipework access lid using Multifunction Manipulator</t>
  </si>
  <si>
    <t>Un-Dock Empty Divertor Pipe Module Cask</t>
  </si>
  <si>
    <t>Install in-port Shielding modules</t>
  </si>
  <si>
    <t>Store Cassette Transport Cask; Collect shielding modules cask; Move shielding modules to Lower Port</t>
  </si>
  <si>
    <t>Install shielding modules</t>
  </si>
  <si>
    <t>Retract handling system into cask</t>
  </si>
  <si>
    <t>Un-Dock empty shielding module cask</t>
  </si>
  <si>
    <t>Install vacuum pumping assembly</t>
  </si>
  <si>
    <t>Store Divertor pipe work cask; Collect vaccum pumping cask; Move vacuum pumping cask to Lower Port</t>
  </si>
  <si>
    <t xml:space="preserve">Deploy vacuum pumping handling system </t>
  </si>
  <si>
    <t>Install pumping assembly in the port</t>
  </si>
  <si>
    <t>Retract vacuum pumping handling system</t>
  </si>
  <si>
    <t>connect vacuum pumping system</t>
  </si>
  <si>
    <t>Install in-port diagnostics</t>
  </si>
  <si>
    <t>Store Shielding Module Cask; Collect diagnostic maintenance Cask; Move Threshold Rail Cask to Lower Port</t>
  </si>
  <si>
    <t>Install diagnostic maintenance systems</t>
  </si>
  <si>
    <t>Retract diagnostic system handling system</t>
  </si>
  <si>
    <t>Store Shielding Module Cask; Collect Threshold Rail Cask; Move Threshold Rail Cask to Lower Port</t>
  </si>
  <si>
    <t>recovery multifunction manipulator</t>
  </si>
  <si>
    <t>Deploy rail handling system</t>
  </si>
  <si>
    <t xml:space="preserve">Install Vacuum closure Plate </t>
  </si>
  <si>
    <t>Dock Lower Port Plate Cask</t>
  </si>
  <si>
    <t>Store vacuum pumping cask; Collect vaccum closure plate cask; Move vacuum closure plate cask to Lower Port</t>
  </si>
  <si>
    <t>Fasten Port Closure Fixtures</t>
  </si>
  <si>
    <t>Store Threshold rail cask; Collect Bioshield Plug interface hardware &amp; Bioshield Plug</t>
  </si>
  <si>
    <t>Seal Port Plug</t>
  </si>
  <si>
    <t>Divertor Installation Complete</t>
  </si>
  <si>
    <t>Hardware Installation Complete</t>
  </si>
  <si>
    <t>Divertor Maintenance Cycle Complete</t>
  </si>
  <si>
    <t>Full Maintenance Cycle Complete</t>
  </si>
  <si>
    <t>Disconnect inner port pipe module</t>
  </si>
  <si>
    <t>Collect Port Plate Cask</t>
  </si>
  <si>
    <t>Collect PP hardware from the AMF</t>
  </si>
  <si>
    <t>Move Port Plate Cask to Lower Port</t>
  </si>
  <si>
    <t>Move Cask Transporter to AMF Hardware Receipt</t>
  </si>
  <si>
    <t>Dock cask</t>
  </si>
  <si>
    <t>Dock cask and commission RM systems</t>
  </si>
  <si>
    <t>Store Port Plate Cask</t>
  </si>
  <si>
    <t>Store PP Hardware in the AMF</t>
  </si>
  <si>
    <t>Move Cask Transporter to AMF Equipment Issue</t>
  </si>
  <si>
    <t>Cask Transporter (No Cask)</t>
  </si>
  <si>
    <t>Collect Port Threshold Cask</t>
  </si>
  <si>
    <t>Collect Equipment / Hardware Cask</t>
  </si>
  <si>
    <t>Move Port Threshold Cask to Lower Port</t>
  </si>
  <si>
    <t>Store Cassette Transport Cask</t>
  </si>
  <si>
    <t>Collect Outboard Pipework Cask</t>
  </si>
  <si>
    <t>Move Outboard Pipework Cask to Lower Port</t>
  </si>
  <si>
    <t>Port Threshold Cask Stored; Vacuum pumping cask prepared; vacuum pumping cask Moved to Lower Port</t>
  </si>
  <si>
    <t>Store Port Threshold Cask</t>
  </si>
  <si>
    <t>Collect Vacuum Pumping Cask</t>
  </si>
  <si>
    <t>Move Vaccum Pumping Cask to Lower Port</t>
  </si>
  <si>
    <t>Un-dock diagnostic maintenance cask</t>
  </si>
  <si>
    <t>Store Diagnostic maintenance cask</t>
  </si>
  <si>
    <t>Store Casks</t>
  </si>
  <si>
    <t>Collect Divertor pipework cask</t>
  </si>
  <si>
    <t>Move Divertor pipework Cask to Lower Port</t>
  </si>
  <si>
    <t>Store Port Plate</t>
  </si>
  <si>
    <t xml:space="preserve">Collect Cassette Transport Cask </t>
  </si>
  <si>
    <t>Move Cassette Transport Cask to Lower Port</t>
  </si>
  <si>
    <t>Store Divertor Pipework Modules</t>
  </si>
  <si>
    <t>Store Central Cassette Cask</t>
  </si>
  <si>
    <t>Collect Inboard Pipework Cask</t>
  </si>
  <si>
    <t>Move Inboard Pipework Cask to Lower Port</t>
  </si>
  <si>
    <t>Store Outboard Pipework Modules</t>
  </si>
  <si>
    <t xml:space="preserve">Collect Inner Port Pipework Cask </t>
  </si>
  <si>
    <t>Move Inner Port Pipework Cask to Lower Port</t>
  </si>
  <si>
    <t>Collect Inspection Cask</t>
  </si>
  <si>
    <t>Move Inspection Cask to Lower Port</t>
  </si>
  <si>
    <t>Collect Port Plate &amp; Pipework Cask</t>
  </si>
  <si>
    <t>Move Port Plate &amp; Pipework Cask to Lower Port</t>
  </si>
  <si>
    <t>Move cask to AMF equipment reciept</t>
  </si>
  <si>
    <t>Store cask</t>
  </si>
  <si>
    <t xml:space="preserve">Collect Right Cassette Transport Cask </t>
  </si>
  <si>
    <t>Move Pipework Cask to Lower Port</t>
  </si>
  <si>
    <t>Move Inner Port Pipework Cask to AMF Equipment Receipt</t>
  </si>
  <si>
    <t>Store Inner Port Pipework Cask</t>
  </si>
  <si>
    <t>Move Inboard Pipework Cask to AMF Equipment Receipt</t>
  </si>
  <si>
    <t>Store Inboard Pipework Cask</t>
  </si>
  <si>
    <t>Move cask transporter to AMF equipment Issue</t>
  </si>
  <si>
    <t>AMF equipment Receipt</t>
  </si>
  <si>
    <t>AMF equipment Issue</t>
  </si>
  <si>
    <t>Move to AMF equipment Issue</t>
  </si>
  <si>
    <t>Cask Transport (Unloaded)</t>
  </si>
  <si>
    <t xml:space="preserve">Collect Left Cassette Transport Cask </t>
  </si>
  <si>
    <t>Cassette Transport Cask Stored; Outboard Blanket Pipework Modules Collected and Prepared; Outboard Blanket Pipework Modules Moved to Lower Port</t>
  </si>
  <si>
    <t>Move Cask Transporter to AMF Equipment Receipt</t>
  </si>
  <si>
    <t>Collect Lower Port Pipework Cask</t>
  </si>
  <si>
    <t>Move Lower Port Pipework Cask to Lower Port</t>
  </si>
  <si>
    <t>Inner Port Pipework Cask Stored; Inboard Blanket Pipework Modules Collected and Prepared; Inboard Blanket Pipework Modules Moved to Lower Port</t>
  </si>
  <si>
    <t xml:space="preserve">Collect Right Divertor Cassette  </t>
  </si>
  <si>
    <t>Move Cassette Transport cask to  Lower Port</t>
  </si>
  <si>
    <t>Cask Transporter (loaded)</t>
  </si>
  <si>
    <t>Collect Divertor Pipework Cask</t>
  </si>
  <si>
    <t>Collect Port shielding module cask</t>
  </si>
  <si>
    <t>Move shielding modules to port</t>
  </si>
  <si>
    <t>Store divertor pipework cask</t>
  </si>
  <si>
    <t>Collect vacuum pumping cask</t>
  </si>
  <si>
    <t>Move cask to Lower Port</t>
  </si>
  <si>
    <t>Store Shielding Module Cask</t>
  </si>
  <si>
    <t>Collect disangostic maintenance cask</t>
  </si>
  <si>
    <t>Store Threshold rail cask</t>
  </si>
  <si>
    <t>Move Lower Port Pipework Cask to bioshield stillage</t>
  </si>
  <si>
    <t>Collect Bioshield plug</t>
  </si>
  <si>
    <t>Move Bioshield Plug to Lower Port</t>
  </si>
  <si>
    <t xml:space="preserve">Release fastenings </t>
  </si>
  <si>
    <t>Retract RM system</t>
  </si>
  <si>
    <t>Engage lifting fastenings</t>
  </si>
  <si>
    <t>Move PP into the cask</t>
  </si>
  <si>
    <t>Connect fastenings</t>
  </si>
  <si>
    <t>Connect Cask services</t>
  </si>
  <si>
    <t>Connect RM System Services</t>
  </si>
  <si>
    <t>RM System Software Check</t>
  </si>
  <si>
    <t>RM System Hardware Check</t>
  </si>
  <si>
    <t>Move tool to new position</t>
  </si>
  <si>
    <t>Confirm positon within port</t>
  </si>
  <si>
    <t>Make fine position adjustments</t>
  </si>
  <si>
    <t>Cask Failures during Divertor Maintenance</t>
  </si>
  <si>
    <t>Recovery of RHE is completed using standard predetermined procedures.</t>
  </si>
  <si>
    <t>Failure rate of casks per hour</t>
  </si>
  <si>
    <t>Hardware transporter failure detected during maintenance operations</t>
  </si>
  <si>
    <t>Recovery Operation</t>
  </si>
  <si>
    <t>Deploy Recovery System into ex-vessel area</t>
  </si>
  <si>
    <t>Hardware Transporter (no load)</t>
  </si>
  <si>
    <t>Connect recovery system to transporter payload</t>
  </si>
  <si>
    <t>Connect recovery system to hardware</t>
  </si>
  <si>
    <t>Remove payload from failed transporter using recovery system</t>
  </si>
  <si>
    <t>Replacement transporter commissioned; moved to port to collect abandoned payload</t>
  </si>
  <si>
    <t>Move replacement transporter to Lower Port</t>
  </si>
  <si>
    <t>hardware transporter (Loaded)</t>
  </si>
  <si>
    <t>Deploy Payload into the port</t>
  </si>
  <si>
    <t>Deploy Tool / Hardware into the Port</t>
  </si>
  <si>
    <t>Lower Port Cask Transporter failure during full port maintenance</t>
  </si>
  <si>
    <t>Failure rate of RH transporter RHE per hour</t>
  </si>
  <si>
    <t>Cask Transporter (no cask)</t>
  </si>
  <si>
    <t>Dock recovery system to the failed cask</t>
  </si>
  <si>
    <t>Time taken in a single port</t>
  </si>
  <si>
    <t>Recover failed RHE into cask for replacement</t>
  </si>
  <si>
    <t>Store Tool in Transport Cask</t>
  </si>
  <si>
    <t>Un-dock Recovery system</t>
  </si>
  <si>
    <t>Store Failed Cask</t>
  </si>
  <si>
    <t>Store Equipment / Hardware cask</t>
  </si>
  <si>
    <t>Issue Replacement Cask</t>
  </si>
  <si>
    <t>Transport Cask to Lower Port</t>
  </si>
  <si>
    <t>Deploy Divertor Handling Equipment</t>
  </si>
  <si>
    <t>A replacement system (if required) is available on demand from the AMF</t>
  </si>
  <si>
    <t>Duration of Multifunction Manipulator Tasks per port</t>
  </si>
  <si>
    <t>Recover failed MM into cask for replacement</t>
  </si>
  <si>
    <t>Divertor handling system failure</t>
  </si>
  <si>
    <t>Recovery of Divertor handling system is completed using standard predetermined procedures.</t>
  </si>
  <si>
    <t>Divertor handling system failure per hour</t>
  </si>
  <si>
    <t>Duration of port hardware removal</t>
  </si>
  <si>
    <t>Duration of port hardware installation</t>
  </si>
  <si>
    <t>Lower Port hardware transporter failure during divertor maintenance</t>
  </si>
  <si>
    <t>Failure rate of RHE per hour</t>
  </si>
  <si>
    <t>Divertor removal operations</t>
  </si>
  <si>
    <t>Divertor installation operations</t>
  </si>
  <si>
    <t>Duration of hardware removal tasks per port</t>
  </si>
  <si>
    <t>Duration of hardware installation tasks per port</t>
  </si>
  <si>
    <t>Duration of hardware removal tasks</t>
  </si>
  <si>
    <t>Duration of hardware installation tasks</t>
  </si>
  <si>
    <t>Divertor Only Maintenance</t>
  </si>
  <si>
    <t>Total Delay</t>
  </si>
  <si>
    <t>Failure of COB Lower Port Welds</t>
  </si>
  <si>
    <t>Any LOB pipe joint failures are detected prior to the installation of the COB pipework</t>
  </si>
  <si>
    <t>Lower Port COB weld failure identified</t>
  </si>
  <si>
    <t>Disconnect Blanket pipe module</t>
  </si>
  <si>
    <t>Remove Pipe Module from the port</t>
  </si>
  <si>
    <t>Remove Remaining Pipe Modules from Port</t>
  </si>
  <si>
    <t>Removed Inboard blankets stored, New Inner Port Pipe Modules Collected and moved to port</t>
  </si>
  <si>
    <t>RIB Blanket Segment Installed</t>
  </si>
  <si>
    <t>LIB Blanket Segment Installed</t>
  </si>
  <si>
    <t>Removed Inner Port Pipe Modules stored, New Inboard Pipe Modules Collected and moved to port</t>
  </si>
  <si>
    <t>Inner Port Pipe Cask stored; New Outboard Pipe Modules Collected and moved to port</t>
  </si>
  <si>
    <t>ROB Blanket Segment Installed</t>
  </si>
  <si>
    <t>LOB Blanket Segment Installed</t>
  </si>
  <si>
    <t>COB Blanket Segment Installed</t>
  </si>
  <si>
    <t>Failure of LOB Lower Port Welds</t>
  </si>
  <si>
    <t>Lower Port LOB weld failure identified</t>
  </si>
  <si>
    <t>Remove Remaining Pipe Module from the port</t>
  </si>
  <si>
    <t>Install Outboard Blanket Pipework Modules</t>
  </si>
  <si>
    <t>Failure of ROB Lower Port Welds</t>
  </si>
  <si>
    <t>Lower Port ROB weld failure identified</t>
  </si>
  <si>
    <t>RIB Blanket segment installed</t>
  </si>
  <si>
    <t>LIB Blanket segment installed</t>
  </si>
  <si>
    <t>Install Outboard Blanket Pipework Module</t>
  </si>
  <si>
    <t>Failure of LIB Lower Port Welds</t>
  </si>
  <si>
    <t>Weld Failure identified LIB Lower Port pipe  Module joint</t>
  </si>
  <si>
    <t xml:space="preserve">Cut Failed Pipe Module Weld </t>
  </si>
  <si>
    <t>Store pipe Module into Cask</t>
  </si>
  <si>
    <t>Undock Outboard Pipe Module Cask</t>
  </si>
  <si>
    <t>Remove remaining Inboard blanket module</t>
  </si>
  <si>
    <t>Outboard Port Pipework Cask Stored; Inner Port Pipework cask Prepared; Inner Port Pipework Cask Moved to Lower Port</t>
  </si>
  <si>
    <t>Dock replacement pipe modules</t>
  </si>
  <si>
    <t>Extract blanket pipe module</t>
  </si>
  <si>
    <t>Install pipe module</t>
  </si>
  <si>
    <t>Extract outboard Pipe Module from Cask</t>
  </si>
  <si>
    <t>RIB Upper Port Pipe Module installed</t>
  </si>
  <si>
    <t>Failure of LIB Inner Port Welds</t>
  </si>
  <si>
    <t>Inner LIB Weld Failure identified</t>
  </si>
  <si>
    <t>Undock Inner Port Pipe Module Cask</t>
  </si>
  <si>
    <t>Remove Inner RIB Pipe module</t>
  </si>
  <si>
    <t>Inboard Port Pipework Cask Stored; Inner Port Pipework cask Prepared; Inner Port Pipework Cask Moved to Lower Port</t>
  </si>
  <si>
    <t>Failure of RIB Inner Port Welds</t>
  </si>
  <si>
    <t>Weld Failure identified at  Module joint</t>
  </si>
  <si>
    <t>Replacement Pipe modules collected from stores</t>
  </si>
  <si>
    <t>`</t>
  </si>
  <si>
    <t>Failure of RIB Lower Port Welds</t>
  </si>
  <si>
    <t>Inner RIB Weld Failure identified</t>
  </si>
  <si>
    <t>Failure of central divertor coolant welds</t>
  </si>
  <si>
    <t>Weld Failure identified at central divertor pipe module joint</t>
  </si>
  <si>
    <t>Disconnect Divertor Pipe Module</t>
  </si>
  <si>
    <t>Store Pipe Module into Cask</t>
  </si>
  <si>
    <t>Current payload stored; Divertor transport cask collected; cask moved to Lower Port</t>
  </si>
  <si>
    <t>Un-Dock failed Central Cassette Transport Cask</t>
  </si>
  <si>
    <t>Failed Divertor Pipework Modules Stored;  Cassette Transport Cask Prepared; Cassette Transport Cask Moved to Lower Port</t>
  </si>
  <si>
    <t>Un-Dock Failed Cassette Transport Cask</t>
  </si>
  <si>
    <t>Remove Right divertor cassette</t>
  </si>
  <si>
    <t>Un-Dock Failed right Cassette Transport Cask</t>
  </si>
  <si>
    <t>Left Cassette Stored; Replacement Right Cassette collected; Transport Cask Moved to Lower Port</t>
  </si>
  <si>
    <t>Central Cassette Stored; Replacement Cassette collected; Transport Cask Moved to Lower Port</t>
  </si>
  <si>
    <t>Store failed central Divertor; Collect replacement cassette from stores; Move transporter to Lower Port</t>
  </si>
  <si>
    <t>Connect Divertor Pipe Module</t>
  </si>
  <si>
    <t>Install left divertor pipework module</t>
  </si>
  <si>
    <t>Install central divertor pipework module</t>
  </si>
  <si>
    <t>Failure of Left divertor coolant welds</t>
  </si>
  <si>
    <t>Weld Failure identified at left divertor pipe module joint</t>
  </si>
  <si>
    <t>Remove central Divertor pipework module</t>
  </si>
  <si>
    <t>Store central Divertor pipework module in cask</t>
  </si>
  <si>
    <t>Store failed left Divertor; Collect replacement cassette from stores; Move transporter to Lower Port</t>
  </si>
  <si>
    <t>Divertor cassette transport stored; Replacement pipe modules collected; replacement pipework transported to the lower port</t>
  </si>
  <si>
    <t>Install Left Divertor Blanket Pipe Module</t>
  </si>
  <si>
    <t>Failure of Right divertor coolant welds</t>
  </si>
  <si>
    <t>Weld Failure identified at right divertor pipe module joint</t>
  </si>
  <si>
    <t>Un-Dock Failed Divertor Pipework Module Cask</t>
  </si>
  <si>
    <t>failed Divertor Pipework Modules Stored;  Cassette Transport Cask Prepared; Cassette Transport Cask Moved to Lower Port</t>
  </si>
  <si>
    <t>Store failed right Divertor; Collect replacement left cassette from stores; Move transporter to Lower Port</t>
  </si>
  <si>
    <t>Collect replacement central cassette from stores; Move transporter to Lower Port</t>
  </si>
  <si>
    <t>Lower Port Pipe COB Weld Failure</t>
  </si>
  <si>
    <t>Weld failure identified</t>
  </si>
  <si>
    <t>Un-dock Outboard Pipe Module Cask</t>
  </si>
  <si>
    <t>Un-dock Inboard Blanket Pipe Cask</t>
  </si>
  <si>
    <t>Move Inboard Port Pipework Cask to AMF Equipment Receipt</t>
  </si>
  <si>
    <t>Store Inboard Port Pipework Cask</t>
  </si>
  <si>
    <t>Collect Replacement Inner Port Pipework cask</t>
  </si>
  <si>
    <t>Collect Replacement Inboard Port Pipework cask</t>
  </si>
  <si>
    <t>Collect Replacement Outboard Port Pipework cask</t>
  </si>
  <si>
    <t>COB Blanket segment installed</t>
  </si>
  <si>
    <t>Delay due to upper port operations</t>
  </si>
  <si>
    <t>COB Upper Port Pipe Module installed</t>
  </si>
  <si>
    <t>LOB Blanket segment installed</t>
  </si>
  <si>
    <t>LOB Upper Port Pipe Module installed</t>
  </si>
  <si>
    <t>ROB Blanket segment installed</t>
  </si>
  <si>
    <t>ROB Upper Port Pipe Module installed</t>
  </si>
  <si>
    <t>LIB Upper Port Pipe Module installed</t>
  </si>
  <si>
    <t>Lower Port Pipe LOB Weld Failure</t>
  </si>
  <si>
    <t>Lower Port Pipe ROB Weld Failure</t>
  </si>
  <si>
    <t>Lower Port Pipe LIB Weld Failure</t>
  </si>
  <si>
    <t>Lower Port Pipe RIB Weld Failure</t>
  </si>
  <si>
    <t>Move cask to AMF hardware receipt</t>
  </si>
  <si>
    <t>AMF hardware issue</t>
  </si>
  <si>
    <t xml:space="preserve">Dock cask </t>
  </si>
  <si>
    <t>Store current hardware</t>
  </si>
  <si>
    <t>Store PP hardware in the AMF</t>
  </si>
  <si>
    <t>move cask to AMF hardware issue</t>
  </si>
  <si>
    <t>Cask Transporter (Empty cask)</t>
  </si>
  <si>
    <t>Collect replacement pipe module</t>
  </si>
  <si>
    <t>Move to the lower port</t>
  </si>
  <si>
    <t>AMF Hardware issue</t>
  </si>
  <si>
    <t>Lower port</t>
  </si>
  <si>
    <t>LIB Inner Port Pipe Weld Failure</t>
  </si>
  <si>
    <t>RIB Inner Port Pipe Weld Failure</t>
  </si>
  <si>
    <t>Central Divertor cooling Weld Failure</t>
  </si>
  <si>
    <t>Store current cask</t>
  </si>
  <si>
    <t>Store Equipment / hardware cask</t>
  </si>
  <si>
    <t>Collect divertor transport cask</t>
  </si>
  <si>
    <t>Collect Equipment / hardware cask</t>
  </si>
  <si>
    <t>Move cask to lower port</t>
  </si>
  <si>
    <t>AMF equipment issue</t>
  </si>
  <si>
    <t>Move cask to AMF equipment receipt</t>
  </si>
  <si>
    <t>AMF equipment receipt</t>
  </si>
  <si>
    <t>Store divertor cask</t>
  </si>
  <si>
    <t>Move to AMF equipment issue</t>
  </si>
  <si>
    <t>Collect divertor pipework cask</t>
  </si>
  <si>
    <t>Move to AMF hardware issue</t>
  </si>
  <si>
    <t>Collect replacement pipework modules</t>
  </si>
  <si>
    <t>Un-dock caks</t>
  </si>
  <si>
    <t>Move to lower port</t>
  </si>
  <si>
    <t>Left Divertor cooling Weld Failure</t>
  </si>
  <si>
    <t>Store Central Cassette</t>
  </si>
  <si>
    <t xml:space="preserve">Collect replacement divertor cassette </t>
  </si>
  <si>
    <t>Store Divertor cassette</t>
  </si>
  <si>
    <t>Move to AMF equipment receipt</t>
  </si>
  <si>
    <t>Cask transporter (empty cask)</t>
  </si>
  <si>
    <t>AMF hardware receipt</t>
  </si>
  <si>
    <t>Store cassette transporter cask</t>
  </si>
  <si>
    <t>Collect replacement divertor cooling pipework</t>
  </si>
  <si>
    <t>Right Divertor cooling Weld Failure</t>
  </si>
  <si>
    <t>Un-dock left cassette transport cask</t>
  </si>
  <si>
    <t>un-dock empty right cassette transport cask</t>
  </si>
  <si>
    <t>un-dock empty left cassette transport cask</t>
  </si>
  <si>
    <t>cassette Removal Required</t>
  </si>
  <si>
    <t>Move Cask Transporter A to Divertor Port</t>
  </si>
  <si>
    <t>Hardware Transporter (Empty stillage)</t>
  </si>
  <si>
    <t>Open Divertor Port Plug</t>
  </si>
  <si>
    <t>Hardware Transporter (Loaded)</t>
  </si>
  <si>
    <t>Store Equipment / Hardware in a hot cell stillage</t>
  </si>
  <si>
    <t>Deploy contamination control system above the port</t>
  </si>
  <si>
    <t>Contamination Control System Prepared; Contamination Control System Moved to Lower Port</t>
  </si>
  <si>
    <t>Install CCS in the port</t>
  </si>
  <si>
    <t>recover CCS lifting interface</t>
  </si>
  <si>
    <t>Recover Tool / Hardware from the Port</t>
  </si>
  <si>
    <t>Comission CCS</t>
  </si>
  <si>
    <t>Recover multifunction manipulator</t>
  </si>
  <si>
    <t>Bioshield interface hardware stored;   Port Inspection System collected; Transport Moved to Lower Port</t>
  </si>
  <si>
    <t>Open Vacuum Closure Plate</t>
  </si>
  <si>
    <t>Deploy Divertor Closure Plate Equipment</t>
  </si>
  <si>
    <t>Contamination Control System Interface stored; Vacuum Closure Plate Interface collected; Transport Moved to Lower Port</t>
  </si>
  <si>
    <t>Retract Vacuum Closure Plate Equipment</t>
  </si>
  <si>
    <t>Install Threshold Rail System</t>
  </si>
  <si>
    <t>Place rails into port area</t>
  </si>
  <si>
    <t>Port Plate Equipment Stored;  Threshold rail hardware collected; Transport Moved to Lower Port</t>
  </si>
  <si>
    <t>Remove in-port diagnostic system</t>
  </si>
  <si>
    <t>Vacuum closure plate Stored;  Diagnostic maintenance hardware collected; Transport Moved to Lower Port</t>
  </si>
  <si>
    <t>Retract diagnostic system and store in the AMF</t>
  </si>
  <si>
    <t>Threshold rail handling system Stored;  vacuum pumping interface hardware collected; Transport Moved to Lower Port</t>
  </si>
  <si>
    <t>Remove vacuum pumping system assembly from the port</t>
  </si>
  <si>
    <t>Remove Shielding Modules</t>
  </si>
  <si>
    <t>Diagnostic maintenance system stored;  shielding module hardware collected; Transport Moved to Lower port</t>
  </si>
  <si>
    <t>Remove Divertor Pipe Module</t>
  </si>
  <si>
    <t>Vacuum pumping hardware stored;  Divertor pipework maintenance system collected; Transport Moved to Lower Port</t>
  </si>
  <si>
    <t>Sheilding Modules stored;  Divertor pipework maintenance system collected; Transport Moved to Lower Port</t>
  </si>
  <si>
    <t>Central Divertor Pipework Module Stored;  Pipe Module handling System Moved to Lower Port</t>
  </si>
  <si>
    <t>Remove divertor pipework handling system from the port</t>
  </si>
  <si>
    <t>Clean Port and Remove Central Cassette</t>
  </si>
  <si>
    <t>Left Divertor Pipework Module Stored;  Pipe Module handling System stored; Central divertor system and maintenance system collected and moved to Lower Port</t>
  </si>
  <si>
    <t>Remove Central Cassette from the port</t>
  </si>
  <si>
    <t>Right Divertor Pipework Module Stored;  Pipe Module handling System stored; Divertor handling system collected and moved to Lower Port</t>
  </si>
  <si>
    <t>Remove Left Cassette from the port</t>
  </si>
  <si>
    <t>Remove Right Cassette from the port</t>
  </si>
  <si>
    <t>Remove Outboard Pipe Modules</t>
  </si>
  <si>
    <t>Left Divertor Cassette Stored; Cassette Handling system Stored; Blanket Pipe Module Interface hardware Prepared; Blanket Pipe Module Interface hardware moved to Lower Port</t>
  </si>
  <si>
    <t xml:space="preserve">Deploy Service Joint System </t>
  </si>
  <si>
    <t>Disconnect COB blanket pipework module</t>
  </si>
  <si>
    <t>Remove COB pipe module from the port</t>
  </si>
  <si>
    <t xml:space="preserve">Retract Service Joint System </t>
  </si>
  <si>
    <t>Disconnect LOB blanket pipework module</t>
  </si>
  <si>
    <t>Remove LOB pipe module from the port</t>
  </si>
  <si>
    <t>Right Divertor Cassette Stored; Cassette Transport Cask Stored; Blanket Pipe Module Interface hardware Prepared; Blanket Pipe Module Interface hardware moved to Lower Port</t>
  </si>
  <si>
    <t>Disconnect ROB blanket pipework module</t>
  </si>
  <si>
    <t>Remove ROB pipe module from the port</t>
  </si>
  <si>
    <t>COB pipe module stored;  Pipe Module handling System Moved to Lower Port</t>
  </si>
  <si>
    <t>Remove Inboard pipe modules</t>
  </si>
  <si>
    <t>Disconnect LIB blanket pipework module</t>
  </si>
  <si>
    <t>Remove LIB Pipe Module from the port</t>
  </si>
  <si>
    <t>LOB pipe module stored;  Pipe Module handling System Moved to Lower Port</t>
  </si>
  <si>
    <t>Disconnect RIB blanket pipework module</t>
  </si>
  <si>
    <t>Remove RIB Pipe Module from the port</t>
  </si>
  <si>
    <t>ROB pipe module stored;  Pipe Module handling System Moved to Lower Port</t>
  </si>
  <si>
    <t>Remove Inner Port Pipe modules</t>
  </si>
  <si>
    <t>Disconnect LIB Inner Pipework module</t>
  </si>
  <si>
    <t>Remove Inner LIB Pipe Module from port</t>
  </si>
  <si>
    <t>LIB pipe module stored;  Pipe Module handling System Moved to Lower Port</t>
  </si>
  <si>
    <t xml:space="preserve">Disconnect RIB Inner Pipe module </t>
  </si>
  <si>
    <t>Remove Inner RIB Pipe Module from port</t>
  </si>
  <si>
    <t>RIB pipe module stored;  Pipe Module handling System Moved to Lower Port</t>
  </si>
  <si>
    <t>Retract Blanket Pipe Module Handling System from port</t>
  </si>
  <si>
    <t xml:space="preserve">Collect Port Inspection Hardware </t>
  </si>
  <si>
    <t>Move Inspection Hardware to Divertor Port</t>
  </si>
  <si>
    <t>Retract port maintenance system</t>
  </si>
  <si>
    <t>Install Inner Port Pipe Modules</t>
  </si>
  <si>
    <t>Inner Port Pipework Collected and Prepared; RIB inner pipe module collected; Inner Port Pipework Cask Moved to Lower Port</t>
  </si>
  <si>
    <t>Install RIB Inner pipe module</t>
  </si>
  <si>
    <t>Connect RIB Inner pipe module</t>
  </si>
  <si>
    <t>Collect LIB inner pipe module</t>
  </si>
  <si>
    <t>Inspection Cask Stored; Blanket Pipe Module handling system collected; LIB Inner Pipe Module collected; hardware transporter moved to Lower Port</t>
  </si>
  <si>
    <t>Install LIB Inner pipe module</t>
  </si>
  <si>
    <t>Connect LIB inner Pipe Module</t>
  </si>
  <si>
    <t>Install Inboard Blanket Pipe Modules</t>
  </si>
  <si>
    <t>Install RIB pipe module</t>
  </si>
  <si>
    <t>RIB pipe module collected; Pipe Module handling System Moved to Lower Port</t>
  </si>
  <si>
    <t>Collect second Port Pipework Module</t>
  </si>
  <si>
    <t>LIB pipe module collected; Pipe Module handling System Moved to Lower Port</t>
  </si>
  <si>
    <t>Install Outboard Blanket Pipe Modules</t>
  </si>
  <si>
    <t xml:space="preserve">Extract ROB Pipework Module </t>
  </si>
  <si>
    <t>ROB pipe module collected; Pipe Module handling System Moved to Lower Port</t>
  </si>
  <si>
    <t xml:space="preserve">Extract LOB Pipework Module </t>
  </si>
  <si>
    <t>Connect LOB pipe module</t>
  </si>
  <si>
    <t>LOB pipe module collected; Pipe Module handling System Moved to Lower Port</t>
  </si>
  <si>
    <t xml:space="preserve">Extract COB Pipe Module </t>
  </si>
  <si>
    <t>COB pipe module collected; Pipe Module handling System Moved to Lower Port</t>
  </si>
  <si>
    <t>Connect COB pipework module</t>
  </si>
  <si>
    <t>Retract Service Joint System</t>
  </si>
  <si>
    <t>Remove Blanket pipe module handling system from port</t>
  </si>
  <si>
    <t>Blanket pipe module handling system stored; divertor cassette handling system collect; Divertor cassette collected; hardware transporter moved to port</t>
  </si>
  <si>
    <t>Retract Right Cassette Handling Equipment</t>
  </si>
  <si>
    <t>Blanket pipe module handling system stored; second divertor cassette handling system collect; Divertor cassette collected; hardware transporter moved to port</t>
  </si>
  <si>
    <t>Retract Left Cassette Handling Equipment</t>
  </si>
  <si>
    <t>Divertor cassette collected; Divertor cassette handling System Moved to Lower Port</t>
  </si>
  <si>
    <t>Install Central Divertor cassette</t>
  </si>
  <si>
    <t>Retract Central Cassette Handling Equipment</t>
  </si>
  <si>
    <t>Install Divertor Pipe Modules</t>
  </si>
  <si>
    <t>Deploy Service Joint System and Multifunction manipulator</t>
  </si>
  <si>
    <t>Divertor Handling system Stored; Divertor Pipework handling system collected; Right Divertor pipe module collected; Transport Moved to Lower Port</t>
  </si>
  <si>
    <t>Collect Right Pipe Module from transport</t>
  </si>
  <si>
    <t>Connect Right divertor Pipe Module</t>
  </si>
  <si>
    <t>Collect next Pipe Module from transport</t>
  </si>
  <si>
    <t>Divertor Handling system Stored; Divertor Pipework handling system collected; Left Divertor pipe module collected; Transport Moved to Lower Port</t>
  </si>
  <si>
    <t>Connect Left divertor pipe module</t>
  </si>
  <si>
    <t>Collect final pipe module from hardware transport</t>
  </si>
  <si>
    <t>Divertor pipe module collected; Divertor cassette handling System Moved to Lower Port</t>
  </si>
  <si>
    <t>Connect Central divertor pipe module</t>
  </si>
  <si>
    <t>Install Shielding Modules</t>
  </si>
  <si>
    <t>Store Divertor pipework handling system; Collect Shield module handling system &amp; shield modules; Move to Lower Port</t>
  </si>
  <si>
    <t>Retract sheild module handling system</t>
  </si>
  <si>
    <t>Store Divertor pipework handling system; Collect Vacuum Plumping system handling system &amp; vaccum pumping sled; move to port</t>
  </si>
  <si>
    <t>Install vacuum pumping system assembly from the port</t>
  </si>
  <si>
    <t>Connect pumping services and fixations</t>
  </si>
  <si>
    <t>Retract pumping sled handling system</t>
  </si>
  <si>
    <t>Install in-port diagnostic system</t>
  </si>
  <si>
    <t>Store Shield Module handling system; Collect in-port diagnostic system; move to port</t>
  </si>
  <si>
    <t>Connect diagnostic service connections</t>
  </si>
  <si>
    <t>Recover diagnostic handling system</t>
  </si>
  <si>
    <t>Remove Threshold Rail System</t>
  </si>
  <si>
    <t>Deploy Rail Handling System</t>
  </si>
  <si>
    <t>Store Pumping system handling system; Collect threshold rail lifting interface; Move to Lower Port</t>
  </si>
  <si>
    <t xml:space="preserve">Disconnect Threshold rails </t>
  </si>
  <si>
    <t>Recover Rails from the port</t>
  </si>
  <si>
    <t>Store diagnostic handling system; Collect port inspection system; Move to Lower Port</t>
  </si>
  <si>
    <t>Install Lower Vacuum Closure Plate</t>
  </si>
  <si>
    <t>Deploy Divertor Vacuum Closure Plate Equipment</t>
  </si>
  <si>
    <t>Store threshold rail handling system; Collect vacuum closure plate &amp; handling system; Move to Lower Port</t>
  </si>
  <si>
    <t>install Vacuum Closure Plate</t>
  </si>
  <si>
    <t>Retract Vaccum closure plate lifting interface</t>
  </si>
  <si>
    <t>Recovery Port Inspection System and store in the AMF</t>
  </si>
  <si>
    <t>Remove Contamination Control System from the port</t>
  </si>
  <si>
    <t>Store vacuum closure plate handling system; Collect CCS handling system; Move to Lower Port</t>
  </si>
  <si>
    <t>Decomission CCS</t>
  </si>
  <si>
    <t>Remove CCS in the port</t>
  </si>
  <si>
    <t>Store Port Inspection system; Collect Bioshield plug handling system; collect bioshield plug; move to port</t>
  </si>
  <si>
    <t>Hardware Transporter (Empty Stillage)</t>
  </si>
  <si>
    <t xml:space="preserve">Collect Port Plate </t>
  </si>
  <si>
    <t>Collect hardware from the AMF</t>
  </si>
  <si>
    <t>Move Port Plate  to Divertor Port</t>
  </si>
  <si>
    <t>Move hardware transporter to AMF Hardware Receipt</t>
  </si>
  <si>
    <t>hardware transporter (empty stillage)</t>
  </si>
  <si>
    <t>Store Biosheild interface hardware</t>
  </si>
  <si>
    <t>Store hardware in the AMF</t>
  </si>
  <si>
    <t>Move hardware transporter to AMF Equipment Issue</t>
  </si>
  <si>
    <t>hardware transporter (no load)</t>
  </si>
  <si>
    <t>Collect Port Inspection System</t>
  </si>
  <si>
    <t>Collect Hardware from the AMF</t>
  </si>
  <si>
    <t>Move transporter  to Divertor Port</t>
  </si>
  <si>
    <t>Store CCS</t>
  </si>
  <si>
    <t>Collect Vacuum Closure Plate Handling System</t>
  </si>
  <si>
    <t>Store Port Plate interface hardware</t>
  </si>
  <si>
    <t>Collect Threshold rail hardware system</t>
  </si>
  <si>
    <t>Move Transporter to Divertor Port</t>
  </si>
  <si>
    <t>Store Threshold Rail interface hardware</t>
  </si>
  <si>
    <t>Collect Vacuum pumping hardware interface</t>
  </si>
  <si>
    <t>Diagnostic maintenance system stored;  shielding module hardware collected; Transport Moved to Lower Port</t>
  </si>
  <si>
    <t>Store diagnostic system</t>
  </si>
  <si>
    <t>Collect Shielding module lifting hardware interface</t>
  </si>
  <si>
    <t>Collect divertor pipework maintenance system</t>
  </si>
  <si>
    <t>Remove Central Divertor Pipework module</t>
  </si>
  <si>
    <t>Move cassette transporter  to Divertor Port</t>
  </si>
  <si>
    <t>Remove Left Divertor Pipework module</t>
  </si>
  <si>
    <t>AMF hardware Receipt</t>
  </si>
  <si>
    <t>Move hardware transporter to AMF Equipment Receipt</t>
  </si>
  <si>
    <t>Hardware transporter (No load)</t>
  </si>
  <si>
    <t>Store Pipe module handling system</t>
  </si>
  <si>
    <t>Store Hardware in the AMF</t>
  </si>
  <si>
    <t>Collect port cleaning and maintenance system</t>
  </si>
  <si>
    <t>Remove Right Divertor Pipework module</t>
  </si>
  <si>
    <t>hardware transporter (loaded)</t>
  </si>
  <si>
    <t>Move transporter to AMF equipment reciept</t>
  </si>
  <si>
    <t>Store divertor pipe module handling system</t>
  </si>
  <si>
    <t>Collect Divertor cassette handling system</t>
  </si>
  <si>
    <t>Remove Central cassette from the port</t>
  </si>
  <si>
    <t xml:space="preserve">Collect cassette transporterer </t>
  </si>
  <si>
    <t>Move cassette transporter to Divertor Port</t>
  </si>
  <si>
    <t>Remove Left cassette from the port</t>
  </si>
  <si>
    <t>Store Left Divertor Cassette</t>
  </si>
  <si>
    <t>Store Divertor Cassette Handling System</t>
  </si>
  <si>
    <t>Collect Outboard Pipework Maintenance System</t>
  </si>
  <si>
    <t>Move Outboard Pipework  to Divertor Port</t>
  </si>
  <si>
    <t>Remove Right cassette from the port</t>
  </si>
  <si>
    <t xml:space="preserve">Store cassette transporter </t>
  </si>
  <si>
    <t xml:space="preserve">Collect Inboard Pipework </t>
  </si>
  <si>
    <t>Move Inboard Pipework  to Divertor Port</t>
  </si>
  <si>
    <t>Divertor pipe module handling system stored; blanket pipework handling system collected; blanket pipework handling system moved to the port</t>
  </si>
  <si>
    <t>Collect Vacuum pumping interface hardware</t>
  </si>
  <si>
    <t>Move hardware transporter to Divertor Port</t>
  </si>
  <si>
    <t>hardware transporter (Empty Stillage)</t>
  </si>
  <si>
    <t>Remove LIB pipe module from the port</t>
  </si>
  <si>
    <t>Remove RIB pipe module from the port</t>
  </si>
  <si>
    <t>LIB Inner pipe module stored;  Blanket Pipe Module handling System Stored</t>
  </si>
  <si>
    <t>RIB Inner pipe module stored;  Blanket Pipe Module handling System Stored</t>
  </si>
  <si>
    <t xml:space="preserve">Collect cassette transporter  </t>
  </si>
  <si>
    <t>Divertor Port COB pipework joint cut and pipework removed</t>
  </si>
  <si>
    <t>Divertor Port LOB pipework joint cut and pipework removed</t>
  </si>
  <si>
    <t>Divertor Port ROB pipework joint cut and pipework removed</t>
  </si>
  <si>
    <t>Divertor Port LIB pipework joint cut and pipework removed</t>
  </si>
  <si>
    <t>Divertor Port RIB pipework joint cut and pipework removed</t>
  </si>
  <si>
    <t>Collect Blanket Pipe Module handling system</t>
  </si>
  <si>
    <t>Move to AMF Hardware issue</t>
  </si>
  <si>
    <t>Collect new Inner Port Pipe Modules</t>
  </si>
  <si>
    <t>Move Port Plate &amp; Pipework  to Divertor Port</t>
  </si>
  <si>
    <t>Move  to AMF equipment reciept</t>
  </si>
  <si>
    <t>Store Port maintenance system</t>
  </si>
  <si>
    <t>move to AMF hardware issue</t>
  </si>
  <si>
    <t>Collect RIB inner pipe module</t>
  </si>
  <si>
    <t>Move hardware transporter to divertor port</t>
  </si>
  <si>
    <t>Connect RIB inner pipe module</t>
  </si>
  <si>
    <t>Move hardware transporter to AMF Hardware issue</t>
  </si>
  <si>
    <t>Collect blanket Pipe Module</t>
  </si>
  <si>
    <t>Connect LIB Inner Pipe Module</t>
  </si>
  <si>
    <t>Connect RIB pipe module</t>
  </si>
  <si>
    <t>Move blanket pipework handling system to AMF Equipment Receipt</t>
  </si>
  <si>
    <t>Store blanket pipework handling system</t>
  </si>
  <si>
    <t>Move hardware transport to AMF hardware issue</t>
  </si>
  <si>
    <t>AMF Equipment issue</t>
  </si>
  <si>
    <t>Move hardware transporter to Divertor port</t>
  </si>
  <si>
    <t>Remove blanket pipe module handling system from port</t>
  </si>
  <si>
    <t>Retract Right cassette handling equipment</t>
  </si>
  <si>
    <t>Move Inboard Pipework  to AMF Equipment Receipt</t>
  </si>
  <si>
    <t xml:space="preserve">Store Inboard Pipework </t>
  </si>
  <si>
    <t>Move hardware transporter to AMF equipment Issue</t>
  </si>
  <si>
    <t xml:space="preserve">Collect Right cassette transporter  </t>
  </si>
  <si>
    <t>Move Pipework  to Divertor Port</t>
  </si>
  <si>
    <t>Connect Right divertor pipe module</t>
  </si>
  <si>
    <t>Collect shield module handling system</t>
  </si>
  <si>
    <t>Move shield modules to Divertor Port</t>
  </si>
  <si>
    <t>Collect vacuum pumping interface and pumping hardware</t>
  </si>
  <si>
    <t>Move pumping equipment to Divertor Port</t>
  </si>
  <si>
    <t xml:space="preserve">Collect Port Plate &amp; Pipework </t>
  </si>
  <si>
    <t>Move Port Plate to Divertor Port</t>
  </si>
  <si>
    <t>Store port inspection system</t>
  </si>
  <si>
    <t>Move Divertor Port Pipework  to bioshield stillage</t>
  </si>
  <si>
    <t>Move Bioshield Plug to Divertor Port</t>
  </si>
  <si>
    <t>hardware transporter (No load)</t>
  </si>
  <si>
    <t>hardware transporter (Empty stillage)</t>
  </si>
  <si>
    <t>Collect Equipment / Hardware from stillage</t>
  </si>
  <si>
    <t>Connect tool / hardware to Divertor port interface</t>
  </si>
  <si>
    <t>Confirm mechancial connections</t>
  </si>
  <si>
    <t>Make service connections/commission</t>
  </si>
  <si>
    <t>Release from AMF hardware transporter</t>
  </si>
  <si>
    <t>Transfer hardware into the port</t>
  </si>
  <si>
    <t>Recover divertor port interface from port</t>
  </si>
  <si>
    <t>Make mechanical connections to AMF transporter</t>
  </si>
  <si>
    <t>Disconnect any service connections</t>
  </si>
  <si>
    <t>Release mechanical connections with interface</t>
  </si>
  <si>
    <t>Make mechanical connections to the failed hardware</t>
  </si>
  <si>
    <t>Connect services and supplies</t>
  </si>
  <si>
    <t>Commission handling systems</t>
  </si>
  <si>
    <t>Deploy handling system</t>
  </si>
  <si>
    <t>Disconnect recovery system from hardware</t>
  </si>
  <si>
    <t>Recovery deployed end effectors</t>
  </si>
  <si>
    <t>Disconnect services and supplies</t>
  </si>
  <si>
    <t>Release mechancial connections</t>
  </si>
  <si>
    <t>Confirm disconnection</t>
  </si>
  <si>
    <t>Hardware Transporter failure at the divertor port</t>
  </si>
  <si>
    <t>mfm failure detected during maintenance operations</t>
  </si>
  <si>
    <t>Connect recovery system to port</t>
  </si>
  <si>
    <t>Remove Engage with failed Multifunctional manipulator</t>
  </si>
  <si>
    <t>Extract failed hardware from the port</t>
  </si>
  <si>
    <t>Remove PP hardware from the multifunction manipulator and place it in a laydown area</t>
  </si>
  <si>
    <t>Disconnect the failed manipulator from the recovery system</t>
  </si>
  <si>
    <t>disconnect recovery system from hardware</t>
  </si>
  <si>
    <t>Connect replacement multifunction manipulator to the recovery system</t>
  </si>
  <si>
    <t>Hardware transporter moved to the AMF; Replacement MFM issued; MFM moved to port</t>
  </si>
  <si>
    <t>Deploy replacement multifunction manipulator into the port</t>
  </si>
  <si>
    <t>Disconnect recovery system from the port</t>
  </si>
  <si>
    <t>Transport recovery system back to the AMF</t>
  </si>
  <si>
    <t>Failure rate of cassette handling system per hour</t>
  </si>
  <si>
    <t>cassette handling system failure detected during maintenance operations</t>
  </si>
  <si>
    <t>Divertor port</t>
  </si>
  <si>
    <t>Connect recovery system to the failed hardware</t>
  </si>
  <si>
    <t>Disconnect divertor cassette and place in a suitable laydown area</t>
  </si>
  <si>
    <t>Install replacement divertor cassette handling system</t>
  </si>
  <si>
    <t>collect divertor cassette from the laydown area</t>
  </si>
  <si>
    <t>Deploy replacement Divertor Handling Equipment into the port</t>
  </si>
  <si>
    <t>Deploy tool / hardware into the port</t>
  </si>
  <si>
    <t>Hardware Transporter failure at the divertor port during divertor maintenance</t>
  </si>
  <si>
    <t>Duration of hardware installation movements a single port</t>
  </si>
  <si>
    <t>Disconnect blanket pipe module</t>
  </si>
  <si>
    <t>Remove Pipe Module from Port</t>
  </si>
  <si>
    <t>Remove remaining Outboard pipe modules</t>
  </si>
  <si>
    <t>Pumping handling system store; pipe module handing system collected; Pipe Module handling System Moved to Lower Port</t>
  </si>
  <si>
    <t>LIB Inner pipe module stored;  Replacement RIB Inner Port Pipe Module collected; Transporter moved to port</t>
  </si>
  <si>
    <t>Inner LIB pipe module collected; Pipe Module handling System Moved to Lower Port</t>
  </si>
  <si>
    <t>Install LIB pipe module</t>
  </si>
  <si>
    <t>RIB pipe module stored;  Blanket Pipe Module handling System Stored</t>
  </si>
  <si>
    <t>Install replacement Outboard pipe modules</t>
  </si>
  <si>
    <t>Install replacement ROB Pipe Module</t>
  </si>
  <si>
    <t>Weld Failure identified at LIB Inner Port Module joint</t>
  </si>
  <si>
    <t>Remove LIB Inner Port Pipe Module from the port</t>
  </si>
  <si>
    <t>Remove RIB Inner Port Pipe Module</t>
  </si>
  <si>
    <t>Disconnect Inner RIB Pipe Module</t>
  </si>
  <si>
    <t>Remove RIB Inner Pipework module from the port</t>
  </si>
  <si>
    <t>New RIB pipe module stored;  Pipe Module handling System Moved to Lower Port</t>
  </si>
  <si>
    <t>Install replacement Inner Port Pipe Modules</t>
  </si>
  <si>
    <t>Collect RIB Inner Port Pipe Module from hardware transporter</t>
  </si>
  <si>
    <t>Collect LIB Inner Port Pipe Module from hardware transporter</t>
  </si>
  <si>
    <t>LIB Inner pipe module module collected; Pipe Module handling System Moved to Lower Port</t>
  </si>
  <si>
    <t>Connect LIB inner pipe module</t>
  </si>
  <si>
    <t>Weld Failure identified at LIB Module joint</t>
  </si>
  <si>
    <t>Remove Failed Pipe Module from the port</t>
  </si>
  <si>
    <t>New ROB pipe module stored;  Pipe Module handling System Moved to Lower Port</t>
  </si>
  <si>
    <t>Remove Inner Port Pipe Module</t>
  </si>
  <si>
    <t>Disconnect Inner LIB Pipe Module</t>
  </si>
  <si>
    <t>Remove LIB Inner Pipework module from the port</t>
  </si>
  <si>
    <t>Install replacement LIB Pipe module</t>
  </si>
  <si>
    <t>Collect RIB Pipe Module from hardware transporter</t>
  </si>
  <si>
    <t>Collect second Inner Port Pipework Module from hardware transporter</t>
  </si>
  <si>
    <t>Connect LIB Pipework Module</t>
  </si>
  <si>
    <t>Weld Failure identified at RIB Inner Port Module joint</t>
  </si>
  <si>
    <t>Remove RIB Inner Port Pipe Module from the port</t>
  </si>
  <si>
    <t>Install Replacement Inner Port Pipe Module</t>
  </si>
  <si>
    <t>New LIB Inner Port pipe module stored; Replacement RIB Inner Port Pipe collected; Hardware transporter moved to Lower Port</t>
  </si>
  <si>
    <t>Weld Failure identified at RIB Module joint</t>
  </si>
  <si>
    <t>New LIB pipe module stored;  Pipe Module handling System Moved to Lower Port</t>
  </si>
  <si>
    <t>Remove Inner RIB pipework module from the port</t>
  </si>
  <si>
    <t>Install replacement inner port pipe modules</t>
  </si>
  <si>
    <t>Install replacement RIB pipe module</t>
  </si>
  <si>
    <t>remove central divertor cassette pipe module from port</t>
  </si>
  <si>
    <t>Remove remaining divertor pipework</t>
  </si>
  <si>
    <t>Current payload stored; Divertor pipe module transporter collected; transporter moved to Divertor Port</t>
  </si>
  <si>
    <t>Central Divertor pipe module stored and transporter moved to divertor Port</t>
  </si>
  <si>
    <t>Left Divertor Pipework Module Stored; pipe module handling system stored; Divertor cassette transporter collected and moved to Lower Port</t>
  </si>
  <si>
    <t>Remove Central Divertor cassette from the port</t>
  </si>
  <si>
    <t>Right Divertor Pipework Module Stored; pipe module handling system stored; Divertor cassette transporter collected and moved to Lower Port</t>
  </si>
  <si>
    <t>Central Divertor cassette stored and transporter moved to divertor Port</t>
  </si>
  <si>
    <t>Left Divertor cassette stored; replacement right divertor cassette collected; transporter moved to divertor Port</t>
  </si>
  <si>
    <t>Right Divertor cassette stored; replacement left divertor cassette collected; transporter moved to divertor Port</t>
  </si>
  <si>
    <t>Replacement Central Divertor cassette collected and transporter moved to divertor Port</t>
  </si>
  <si>
    <t>Divertor handling system stored; pipe module handling system collected; Replacement right divertor cassette pipe module collected and moved to Lower Port</t>
  </si>
  <si>
    <t>Connect Right Divertor Pipe Module</t>
  </si>
  <si>
    <t>Divertor handling system stored; pipe module handling system collected; Replacement left divertor cassette pipe module collected and moved to Lower Port</t>
  </si>
  <si>
    <t>Replacement Central Divertor pipe module collected and transporter moved to divertor Port</t>
  </si>
  <si>
    <t>Remove left divertor pipe module from the port</t>
  </si>
  <si>
    <t>Remove remaining divertor pipe modules</t>
  </si>
  <si>
    <t>Remove Right Divertor pipework module from the port</t>
  </si>
  <si>
    <t>Remove right divertor pipe module from the port</t>
  </si>
  <si>
    <t>Current payload stored; Divertor cassette transporter collected; transporter moved to Divertor Port</t>
  </si>
  <si>
    <t>Divertor Port Pipe COB Weld Failure</t>
  </si>
  <si>
    <t>Move Cassette Transport Cask to Divertor Port</t>
  </si>
  <si>
    <t>Move to AMF equipment reciept</t>
  </si>
  <si>
    <t>Store Inner Port Pipe Module</t>
  </si>
  <si>
    <t>Failure identified</t>
  </si>
  <si>
    <t>Divertor Port Pipe LOB Weld Failure</t>
  </si>
  <si>
    <t>Divertor Port Pipe ROB Weld Failure</t>
  </si>
  <si>
    <t>Divertor Port Pipe LIB Weld Failure</t>
  </si>
  <si>
    <t>Connect RIB Inner Pipe Module</t>
  </si>
  <si>
    <t>Divertor Port Pipe RIB Weld Failure</t>
  </si>
  <si>
    <t>Divertor Port Pipe LIB Inner Port Weld Failure</t>
  </si>
  <si>
    <t>RIB Inner Port pipe module stored;  Pipe Module handling System Moved to Lower Port</t>
  </si>
  <si>
    <t>Divertor Port Pipe RIB Inner Port Weld Failure</t>
  </si>
  <si>
    <t>Move transporter to AMF hardware receipt</t>
  </si>
  <si>
    <t>Hardware Transporter (loaded)</t>
  </si>
  <si>
    <t>Store current transporter</t>
  </si>
  <si>
    <t>Collect divertor pipe module transporter</t>
  </si>
  <si>
    <t>Move transporter to Divertor Port</t>
  </si>
  <si>
    <t>remove central divertor cassette from the port</t>
  </si>
  <si>
    <t>remove left cassette from the port</t>
  </si>
  <si>
    <t>Move hardware transporter to AMF Hardware Issue</t>
  </si>
  <si>
    <t>Collect Divertor cassette</t>
  </si>
  <si>
    <t>Right Divertor cassette stored; replacement Left divertor cassette collected; transporter moved to divertor Port</t>
  </si>
  <si>
    <t>Retract right cassette handling equipment</t>
  </si>
  <si>
    <t>Retract left cassette handling equipment</t>
  </si>
  <si>
    <t>Connect right divertor pipe module</t>
  </si>
  <si>
    <t>Collect divertor transporter</t>
  </si>
  <si>
    <t>Hardware transporter exported from the AMF</t>
  </si>
  <si>
    <t>Hardware transporter moved to AMF equipment issue</t>
  </si>
  <si>
    <t>movement</t>
  </si>
  <si>
    <t>Hardware stillage or handling system collected</t>
  </si>
  <si>
    <t>Transporter moved to Divertor port to collect abandoned load</t>
  </si>
  <si>
    <t>Multifunction Manipulator failure at the divertor port</t>
  </si>
  <si>
    <t>Hardware transporter moved to the AMF equipment reciept</t>
  </si>
  <si>
    <t>Current hardware stored in the AMF</t>
  </si>
  <si>
    <t>Hardware transporter moved to the AMF equipment issue</t>
  </si>
  <si>
    <t>Replacement MFM collected from AMF</t>
  </si>
  <si>
    <t>Move replacement MFM to the port</t>
  </si>
  <si>
    <t>Cassette Handling system failure at the divertor port</t>
  </si>
  <si>
    <t>Carry Out Engineering survey</t>
  </si>
  <si>
    <t>Retract health physics hardware</t>
  </si>
  <si>
    <t>Deploy health physics hardware</t>
  </si>
  <si>
    <t xml:space="preserve">Deploy Port Inspection Hardware </t>
  </si>
  <si>
    <t>Perform engineering checks</t>
  </si>
  <si>
    <t>Closure plate &amp; Closure Attachment Stored &amp; Service Joint System collected</t>
  </si>
  <si>
    <t>Port Inspection System stored and Port Closure plate lifting hardware collected</t>
  </si>
  <si>
    <t>Move Crane A to AMF equipment reciept</t>
  </si>
  <si>
    <t>Move Crane A to AMF  Equipment issue</t>
  </si>
  <si>
    <t>Store port closure plate lifting attachment</t>
  </si>
  <si>
    <t>Move Crane A to vertical port</t>
  </si>
  <si>
    <t>Perform photogramity survey of site 1</t>
  </si>
  <si>
    <t>Perform photogramity survey of site 2</t>
  </si>
  <si>
    <t>Deploy port inspection system</t>
  </si>
  <si>
    <t>Retract port inspection system</t>
  </si>
  <si>
    <t>Perform engineering survey</t>
  </si>
  <si>
    <t>Perform Health Physics and engineering checks</t>
  </si>
  <si>
    <t xml:space="preserve"> Perform Health Physics and engineering checks</t>
  </si>
  <si>
    <t>mm per pass</t>
  </si>
  <si>
    <t>Values taken from J. Anthony, “Operational Concept Document for DEMO,” https://idm.euro-fusion.org/?uid=2M6ALV&amp;version=v1.2&amp;action=get_document, 2016.</t>
  </si>
  <si>
    <t>IVC Component lifetimes taken from J. Anthony, “Operational Concept Document for DEMO,” https://idm.euro-fusion.org/?uid=2M6ALV&amp;version=v1.2&amp;action=get_document, 2016.</t>
  </si>
  <si>
    <t>o</t>
  </si>
  <si>
    <t>Welding tool linear speed in mm/sec</t>
  </si>
  <si>
    <t>Cutting tool linear speed in m/min</t>
  </si>
  <si>
    <t>Cutting tool linear speed in mm/sec</t>
  </si>
  <si>
    <t xml:space="preserve">Days </t>
  </si>
  <si>
    <t>Disconnect CCS Services</t>
  </si>
  <si>
    <t>Recover CCS from port area</t>
  </si>
  <si>
    <t>Remove Port Threshold Support Rails</t>
  </si>
  <si>
    <t>Recovery health physics system</t>
  </si>
  <si>
    <t>Deploy health physics system</t>
  </si>
  <si>
    <t>Perform health physics checks</t>
  </si>
  <si>
    <t>Recover health physics system</t>
  </si>
  <si>
    <t>Un-dock Equipment Cask</t>
  </si>
  <si>
    <t>Deploy engineering survey equipment</t>
  </si>
  <si>
    <t>perfrom engineering survey</t>
  </si>
  <si>
    <t>Recover engineering survey equipment</t>
  </si>
  <si>
    <t>Reposition tool at cooling services connection</t>
  </si>
  <si>
    <t>connect ECH cooling services</t>
  </si>
  <si>
    <t>Port Lengths</t>
  </si>
  <si>
    <t>Cask Transporter Movement Speeds</t>
  </si>
  <si>
    <t>Multifunction Manipulator Deployment Speeds</t>
  </si>
  <si>
    <t>Unloaded Cask Transporter speeds</t>
  </si>
  <si>
    <t>Loaded Cask Transporter speeds</t>
  </si>
  <si>
    <t>Empty Cask Transport speed</t>
  </si>
  <si>
    <t>MFM Deployment speed</t>
  </si>
  <si>
    <t>MFM Fine movement speeds</t>
  </si>
  <si>
    <t>MFM Recovery speeds</t>
  </si>
  <si>
    <t>IPD Recovery speeds</t>
  </si>
  <si>
    <t>Blanket Transporter System Speeds</t>
  </si>
  <si>
    <t>Hot Cell Hardware Transporter Speeds</t>
  </si>
  <si>
    <t>SJS Deployer speeds</t>
  </si>
  <si>
    <t>SJS deployment speed</t>
  </si>
  <si>
    <t>SJS Recovery speed</t>
  </si>
  <si>
    <t>m/sec</t>
  </si>
  <si>
    <t>loaded_hardware_transporter_spd</t>
  </si>
  <si>
    <t>empty_hardware_transporter_spd</t>
  </si>
  <si>
    <t>unloaded_hardware_transporter_spd</t>
  </si>
  <si>
    <t>loaded_cask_transporter_spd</t>
  </si>
  <si>
    <t>unloaded_cask_transporter_spd</t>
  </si>
  <si>
    <t>empty_cask_transporter_spd</t>
  </si>
  <si>
    <t>MFM_deployment_spd</t>
  </si>
  <si>
    <t>MFM_fine_mvmt_spd</t>
  </si>
  <si>
    <t>MFM_recovery_spd</t>
  </si>
  <si>
    <t>IPD_recovery_speed</t>
  </si>
  <si>
    <t>SJS_deployment_spd</t>
  </si>
  <si>
    <t>SJS_recovery_spd</t>
  </si>
  <si>
    <t>Overhead Crane Speeds</t>
  </si>
  <si>
    <t>Loaded crane speed</t>
  </si>
  <si>
    <t>loaded_crane_spd</t>
  </si>
  <si>
    <t>unloaded_crane_spd</t>
  </si>
  <si>
    <t>unloaded crane speed</t>
  </si>
  <si>
    <t>crane recovery  speed</t>
  </si>
  <si>
    <t>crane_recovery_spd</t>
  </si>
  <si>
    <t>Clamp to pipe</t>
  </si>
  <si>
    <t>Tension pipes</t>
  </si>
  <si>
    <t>Camera inspection of cut</t>
  </si>
  <si>
    <t>Release pipe/unclamp</t>
  </si>
  <si>
    <t>Remove cutting tool from the pipe</t>
  </si>
  <si>
    <t>Inspect weld fit up</t>
  </si>
  <si>
    <t>Fill with inert gas</t>
  </si>
  <si>
    <t>Inspect weld</t>
  </si>
  <si>
    <t>Change end effector</t>
  </si>
  <si>
    <t>Deploy SJS_post weld heat treatment system</t>
  </si>
  <si>
    <t xml:space="preserve">Deploy SJS - welding system </t>
  </si>
  <si>
    <t>Perform post weld heat treatment</t>
  </si>
  <si>
    <t>SJS Tool Change time</t>
  </si>
  <si>
    <t>SJS_Tool_Change</t>
  </si>
  <si>
    <t>Recovery welding system</t>
  </si>
  <si>
    <t>Recovery SJS - PWHT system</t>
  </si>
  <si>
    <t>Change SJS end effector</t>
  </si>
  <si>
    <t>Deploy SJS - NDT System</t>
  </si>
  <si>
    <t>Visual inspection</t>
  </si>
  <si>
    <t>Volumetric inspection</t>
  </si>
  <si>
    <t>He leaktest</t>
  </si>
  <si>
    <t>Visual Inspection</t>
  </si>
  <si>
    <t>Generate inert atmosphere</t>
  </si>
  <si>
    <t>SJS_inserting_welding_gas</t>
  </si>
  <si>
    <t>SJS_visual_check</t>
  </si>
  <si>
    <t>SJS_volumetric_testing</t>
  </si>
  <si>
    <t>SJS_pipe_clamp</t>
  </si>
  <si>
    <t>SJS_tension_pipe</t>
  </si>
  <si>
    <t>Unclamp and release pipe</t>
  </si>
  <si>
    <t>SJS_unclamp_pipe</t>
  </si>
  <si>
    <t>Release SJS clamps</t>
  </si>
  <si>
    <t>Weld Divertor Port Pipe Joints near manifold</t>
  </si>
  <si>
    <t>Cut Upper Port Pipe Joints near manifold</t>
  </si>
  <si>
    <t>Cut welded joints near blanket mainifold</t>
  </si>
  <si>
    <t>Reposition welding tool</t>
  </si>
  <si>
    <t>Cut second welded joint</t>
  </si>
  <si>
    <t>Disconnect Vertical Port Pipework</t>
  </si>
  <si>
    <t>Connect Vertical Port Pipework</t>
  </si>
  <si>
    <t>Clamp SJS tool to pipe</t>
  </si>
  <si>
    <t>Clamp SJS to pipe</t>
  </si>
  <si>
    <t>Not currently referenced in the model</t>
  </si>
  <si>
    <t>Welding tool linear speed</t>
  </si>
  <si>
    <t>Hardware Transporter (Unloaded)</t>
  </si>
  <si>
    <t>Hardware Transporter (empty Stillage)</t>
  </si>
  <si>
    <t>Cask transporer (unloaded)</t>
  </si>
  <si>
    <t>Cask transporter (empty)</t>
  </si>
  <si>
    <t>Cask Transporter (empty)</t>
  </si>
  <si>
    <t>Cask Transporter (unloaded)</t>
  </si>
  <si>
    <t>Cask Transporter (Empty)</t>
  </si>
  <si>
    <t>Move Cask Transporter A to AMF Hardware issue</t>
  </si>
  <si>
    <t>un-dock cask</t>
  </si>
  <si>
    <t>Move Cask Transporter B to vertical port</t>
  </si>
  <si>
    <t>Cask transporter (loaded)</t>
  </si>
  <si>
    <t>Cask transporter (unloaded)</t>
  </si>
  <si>
    <t>Move recovery system into the Vertical Port area</t>
  </si>
  <si>
    <t>Crane returns to the Vertical Port</t>
  </si>
  <si>
    <t>Cask transporter returns to the Vertical Port</t>
  </si>
  <si>
    <t>Each Vertical Port pipe module contains 5 pipes</t>
  </si>
  <si>
    <t>Vertical Port Maintenance</t>
  </si>
  <si>
    <t>Failure of COB Vertical Port Welds</t>
  </si>
  <si>
    <t>Failure of LOB Vertical Port Welds</t>
  </si>
  <si>
    <t>Failure of ROB Vertical Port Welds</t>
  </si>
  <si>
    <t>Failure of LIB Vertical Port Welds</t>
  </si>
  <si>
    <t>Failure of RIB Vertical Port Welds</t>
  </si>
  <si>
    <t>Connect pumping system services with multifunction manipulator</t>
  </si>
  <si>
    <t>remove fixations and store in cask with multifunction manipulator</t>
  </si>
  <si>
    <t>Collect second Inner Port Pipework Module</t>
  </si>
  <si>
    <t>Disconnect shielding modules with multifunction manipulator</t>
  </si>
  <si>
    <t>Remove pumping services and fixations with multifunction manipulator</t>
  </si>
  <si>
    <t>Disconnect diagnostic service connections with multifunction manipulator</t>
  </si>
  <si>
    <t>Deploy multifunction Manipulator with multifunction manipulator</t>
  </si>
  <si>
    <t xml:space="preserve">Hardware Transporter (loaded) </t>
  </si>
  <si>
    <t>--units--</t>
  </si>
  <si>
    <t>--Select Design Variable--</t>
  </si>
  <si>
    <t>Hot Cell Long Maintenance Interval</t>
  </si>
  <si>
    <t>Cask Divertor Port Long Maintenance Interval</t>
  </si>
  <si>
    <t>Cask Short Maintenance Interval</t>
  </si>
  <si>
    <t>Hot Cell Vertical Port Long Maintenance Interval</t>
  </si>
  <si>
    <t>Cask Vertical Port Maintenance Interval</t>
  </si>
  <si>
    <t>Hot Cell Short Maintenance Interval</t>
  </si>
  <si>
    <t>~10 seconds</t>
  </si>
  <si>
    <t>~5 seconds</t>
  </si>
  <si>
    <t>~5 minutes</t>
  </si>
  <si>
    <t>Cooldown happens as tooling is removed from port rather than as a defined maintenance phase</t>
  </si>
  <si>
    <t>Sum of the visual, volumetric and leak testing tasks</t>
  </si>
  <si>
    <t>Guess but will be refined as concept is tested</t>
  </si>
  <si>
    <t>NDT Testing processes</t>
  </si>
  <si>
    <t>Welding Processes</t>
  </si>
  <si>
    <t>This is to allow for any mechanical fixation to be tightened in stages, rather than a single operation</t>
  </si>
  <si>
    <t>This is to allow for any mechanical fixation to be released in stages, rather than a single operation</t>
  </si>
  <si>
    <t xml:space="preserve">This defines the number of bolt runners that are deployed into the port to remove the ECH </t>
  </si>
  <si>
    <t>This defines the number of bolt runners that are deployed into the port to remove the port closure plate</t>
  </si>
  <si>
    <t>This is the number of bolts, clamp, etc that is used to secure the port closure plate</t>
  </si>
  <si>
    <t>This is the number of bolts, clamp, etc that is used to secure the ECH</t>
  </si>
  <si>
    <t>Time taken to remove and store the removed fixation</t>
  </si>
  <si>
    <t>The time taken to collect a new fixation and place it ready for installation</t>
  </si>
  <si>
    <t>full power years (fpy)</t>
  </si>
  <si>
    <t>Used to calculate the deployment time of certain pieces of RM equipment</t>
  </si>
  <si>
    <t>mm ID</t>
  </si>
  <si>
    <t>Total Divertor Pipework per cassette</t>
  </si>
  <si>
    <t>This calculates the number of passes required for the defined SJS to completely cut through the defined pipe wall</t>
  </si>
  <si>
    <t>This takes the linear speed in m/min and converts it into mm/sec</t>
  </si>
  <si>
    <t>Linear speed of the welding head of the SJS system</t>
  </si>
  <si>
    <t>This defines the linear speed of the cutting head of the SJS system</t>
  </si>
  <si>
    <t>The maximum cutting depth achievable by the SJS is defined here</t>
  </si>
  <si>
    <t>The maximum weld penitration depth achievable by the SJS is defined here</t>
  </si>
  <si>
    <t>comment from Tristan Tremethic: 25min @900°C + 1h @700°C, to be refined. Cooldown happens as tooling is removed from port</t>
  </si>
  <si>
    <t>This is the number of bolts, clamp, etc that is used to secure the shield plug</t>
  </si>
  <si>
    <t>This is the number of bolts, clamp, etc that is used to secure the port plug</t>
  </si>
  <si>
    <t>This defines the number of bolt runners that are deployed into the port to remove the shield plug</t>
  </si>
  <si>
    <t>Informed guess based on nuclear crane speeds</t>
  </si>
  <si>
    <t>Guess</t>
  </si>
  <si>
    <t>Early guess which will be informed by future design work</t>
  </si>
  <si>
    <t>Inner diameter of the blanket coolant pipework</t>
  </si>
  <si>
    <t>The circumerence of the inner surface of the pipework</t>
  </si>
  <si>
    <t>and the pipe wall thickness</t>
  </si>
  <si>
    <t>Pipe welding operations</t>
  </si>
  <si>
    <t>Pipe cutting operations</t>
  </si>
  <si>
    <t>SJS tasks / operations</t>
  </si>
  <si>
    <t>Deliverable-ID(s)</t>
  </si>
  <si>
    <t>RM-2-T002 D003</t>
  </si>
  <si>
    <t>Work Package</t>
  </si>
  <si>
    <t>Date</t>
  </si>
  <si>
    <t>Project Leader</t>
  </si>
  <si>
    <t>Dan Wolff</t>
  </si>
  <si>
    <t>TS Title(s)</t>
  </si>
  <si>
    <t>Assessment of plant architecture</t>
  </si>
  <si>
    <t>TS Ref. No.(s)</t>
  </si>
  <si>
    <t>AWP2017-RM-2-T002</t>
  </si>
  <si>
    <t>Task Owner(s)</t>
  </si>
  <si>
    <t>RU(s)</t>
  </si>
  <si>
    <t>Report Review &amp; Approval</t>
  </si>
  <si>
    <t>IDM role</t>
  </si>
  <si>
    <t>Name(s)</t>
  </si>
  <si>
    <t>Author/Editor</t>
  </si>
  <si>
    <t>Iain Farquhar</t>
  </si>
  <si>
    <t>Co-author(s)</t>
  </si>
  <si>
    <t>Reviewer(s)</t>
  </si>
  <si>
    <t>PMU Reviewer</t>
  </si>
  <si>
    <t>Approver</t>
  </si>
  <si>
    <t xml:space="preserve">Antony Loving </t>
  </si>
  <si>
    <t>29  Sept. 2017</t>
  </si>
  <si>
    <t>WPRM-2-T002</t>
  </si>
  <si>
    <t>RACE</t>
  </si>
  <si>
    <t>OB blankets</t>
  </si>
  <si>
    <t>IB blankets</t>
  </si>
  <si>
    <t>blankets</t>
  </si>
  <si>
    <t>cassettes</t>
  </si>
  <si>
    <t>These variables currently impact welding and failure calculations but in order to correctly update the model the critical path(s) will need to be updated take into account any changes in the number of blankets or divertor cassettes</t>
  </si>
  <si>
    <t>Full Maintenance Campaign</t>
  </si>
  <si>
    <t>%/hr</t>
  </si>
  <si>
    <t>Pretensions studs prior to removal</t>
  </si>
  <si>
    <t>Recovery ECH Fixations and Lift ECH clamps</t>
  </si>
  <si>
    <t>Recovery fixations</t>
  </si>
  <si>
    <t>Collect and recovery tools from the port</t>
  </si>
  <si>
    <t>Retract tooling</t>
  </si>
  <si>
    <t>Attach to central cassette to transporter</t>
  </si>
  <si>
    <t>Attach to left or right cassette to transporter</t>
  </si>
  <si>
    <t>Disconnect left or right cassette from VV</t>
  </si>
  <si>
    <t>Disconnect central cassette cassette from VV</t>
  </si>
  <si>
    <t>Connect left or right cassette to VV</t>
  </si>
  <si>
    <t>Recovery hardware transporter from port</t>
  </si>
  <si>
    <t>Release pumping assembly hardware from transporter</t>
  </si>
  <si>
    <t>Based on Inuktun NanoMag crawller system moving at 2.5m/min</t>
  </si>
  <si>
    <t>Time (hrs)</t>
  </si>
  <si>
    <t>Power Generating Availability (%)</t>
  </si>
  <si>
    <t>Undergoing Maintenance (%)</t>
  </si>
  <si>
    <t>Testing, pumping and standby status (%)</t>
  </si>
  <si>
    <t>loaded_IPD_speed</t>
  </si>
  <si>
    <t>Movement speed of IPD when loaded</t>
  </si>
  <si>
    <t>Movement speed of IPD when unloaded</t>
  </si>
  <si>
    <t>unloaded_IPD_speed</t>
  </si>
  <si>
    <t>Length of the Upper Port</t>
  </si>
  <si>
    <t>Number of blanket cooling pipes in the Upper Port</t>
  </si>
  <si>
    <t>Number of blanket LiPb pipes in the Upper Port</t>
  </si>
  <si>
    <t>Number of blanket drain pipes in the Upper Port</t>
  </si>
  <si>
    <t>Total Blanket Pipework in the Upper Port</t>
  </si>
  <si>
    <t>Length of the Lower Port</t>
  </si>
  <si>
    <t>Number of blanket cooling pipes in the Lower Port</t>
  </si>
  <si>
    <t>Number of blanket LiPb pipes in the Lower Port</t>
  </si>
  <si>
    <t>Number of blanket drain pipes in the Lower Port</t>
  </si>
  <si>
    <t>Total Blanket Pipework in the Lower Port</t>
  </si>
  <si>
    <t>Number of Divertor drain pipes in the Lower Port</t>
  </si>
  <si>
    <t>Upper_Port_Length</t>
  </si>
  <si>
    <t>Lower_Port_Length</t>
  </si>
  <si>
    <t>Maxamum number of ports maintained by a RMS</t>
  </si>
  <si>
    <t>Perform port inspection survey</t>
  </si>
  <si>
    <t>Greg Keech</t>
  </si>
  <si>
    <t>MDE</t>
  </si>
  <si>
    <r>
      <t>M</t>
    </r>
    <r>
      <rPr>
        <sz val="14"/>
        <color theme="1"/>
        <rFont val="Calibri"/>
        <family val="2"/>
        <scheme val="minor"/>
      </rPr>
      <t xml:space="preserve">aintenance </t>
    </r>
    <r>
      <rPr>
        <b/>
        <sz val="14"/>
        <color theme="1"/>
        <rFont val="Calibri"/>
        <family val="2"/>
        <scheme val="minor"/>
      </rPr>
      <t>D</t>
    </r>
    <r>
      <rPr>
        <sz val="14"/>
        <color theme="1"/>
        <rFont val="Calibri"/>
        <family val="2"/>
        <scheme val="minor"/>
      </rPr>
      <t xml:space="preserve">uration </t>
    </r>
    <r>
      <rPr>
        <b/>
        <sz val="14"/>
        <color theme="1"/>
        <rFont val="Calibri"/>
        <family val="2"/>
        <scheme val="minor"/>
      </rPr>
      <t>E</t>
    </r>
    <r>
      <rPr>
        <sz val="14"/>
        <color theme="1"/>
        <rFont val="Calibri"/>
        <family val="2"/>
        <scheme val="minor"/>
      </rPr>
      <t>stimator</t>
    </r>
  </si>
  <si>
    <t>Divertor Port In-port Deployer Speeds</t>
  </si>
  <si>
    <t>Vertical Port Vertical Deployer System Speeds</t>
  </si>
  <si>
    <t>Movement speed of VDS when loaded</t>
  </si>
  <si>
    <t>Movement speed of VDS when unloaded</t>
  </si>
  <si>
    <t>VDS Recovery speeds</t>
  </si>
  <si>
    <t>loaded_VDS_speed</t>
  </si>
  <si>
    <t>unloaded_VDS_speed</t>
  </si>
  <si>
    <t>VDS_recovery_speed</t>
  </si>
  <si>
    <t>Position shield plug within port</t>
  </si>
  <si>
    <t>Un-Dock Right Cassette Transport Cask</t>
  </si>
  <si>
    <t>Right Cassette Stored; Replacement Left Cassette collected; Transport Cask Moved to Lower Port</t>
  </si>
  <si>
    <t>Estimated delay</t>
  </si>
  <si>
    <t>Idle time due to waiting for dependant operations</t>
  </si>
  <si>
    <t>Logistical contribution</t>
  </si>
  <si>
    <t>Dock Cask with replacement blanket pipe modules</t>
  </si>
  <si>
    <t>Both upper and lower port  welding operations are carried out simulations for each blanket, to prevent unnecessary cutting of welds</t>
  </si>
  <si>
    <t>Estimated Delay (h)</t>
  </si>
  <si>
    <t>Idle time waiting for dependent operations</t>
  </si>
  <si>
    <t>Idle time waiting for dependant operations</t>
  </si>
  <si>
    <t>Estimated Delay (H)</t>
  </si>
  <si>
    <t>Duration of welding operations (h)</t>
  </si>
  <si>
    <t>Estimated number of recoveries required</t>
  </si>
  <si>
    <t>Total Duration of Recovery Operations</t>
  </si>
  <si>
    <t>Duration of RM operations (h)</t>
  </si>
  <si>
    <t>Duration of hardware removal movements a single port</t>
  </si>
  <si>
    <t>Duration of Overhead Crane Tasks per port</t>
  </si>
  <si>
    <t>Move Pipe Module interface hardware to Vertical Port</t>
  </si>
  <si>
    <t>COB Pipe Module Stored and Transporter Returned to Vertical Port</t>
  </si>
  <si>
    <t>LOB Pipe Module Stored and Transporter Returned to Vertical Port</t>
  </si>
  <si>
    <t>ROB Pipe Module Stored and Transporter Returned to Vertical Port</t>
  </si>
  <si>
    <t>LIB Pipe Module Stored and Transporter Returned to Vertical Port</t>
  </si>
  <si>
    <t>Move Blanket Transporter to Vertical Port</t>
  </si>
  <si>
    <t>Dock Vacuum Closure Plate Cask</t>
  </si>
  <si>
    <t>Position rails for installation</t>
  </si>
  <si>
    <t>Remove pumping system assembly from the port</t>
  </si>
  <si>
    <t>Retract shield modules and store in cask</t>
  </si>
  <si>
    <t>Vacuum Pumping  Cask Stored;  Divertor Pipework Cask Prepared; Divertor Pipework Cask Moved to Lower Port</t>
  </si>
  <si>
    <t>Vacuum Pumping  Cask Stored;  Cassette Transport Cask Prepared; Cassette Transport Cask Moved to Lower Port</t>
  </si>
  <si>
    <t>Store Divertor pipe work cask; Collect vacuum pumping cask; Move vacuum pumping cask to Lower Port</t>
  </si>
  <si>
    <t>Remove threshold rails and store in cask</t>
  </si>
  <si>
    <t>Store vacuum pumping cask; Collect vacuum closure plate cask; Move vacuum closure plate cask to Lower Port</t>
  </si>
  <si>
    <t>Total Duration of Recovery Tasks</t>
  </si>
  <si>
    <t>Both upper and lower port  welding operations are carried out simultaneously for each blanket, to prevent unnecessary cutting of welds</t>
  </si>
  <si>
    <t>Full DEMO Maintnance</t>
  </si>
  <si>
    <t>Full Maintenance of DEMO</t>
  </si>
  <si>
    <t>Any LOB pipe joint failures are detected prior to the Connection of the COB pipework</t>
  </si>
  <si>
    <t>LIB Inner pipe module  collected; Pipe Module handling System Moved to Lower Port</t>
  </si>
  <si>
    <t xml:space="preserve">Impact of </t>
  </si>
  <si>
    <t>Estimated number of failures, impacting all RM systems equally</t>
  </si>
  <si>
    <t>Disconnect recovery hardware from the failed divertor transporter</t>
  </si>
  <si>
    <t>Delay to the Critical Path</t>
  </si>
  <si>
    <t>Maintenace Campaign</t>
  </si>
  <si>
    <t>Estimated Duration of</t>
  </si>
  <si>
    <t>Time Taken to complete</t>
  </si>
  <si>
    <t>Idle time</t>
  </si>
  <si>
    <t>Duration of a Long</t>
  </si>
  <si>
    <t>Maintenance Interval</t>
  </si>
  <si>
    <t>Upper Port Hot Cell</t>
  </si>
  <si>
    <t>Upper Port Cask System</t>
  </si>
  <si>
    <t>Lower Port Hot Cell</t>
  </si>
  <si>
    <t>Lower Port Cask System</t>
  </si>
  <si>
    <t>EuroFusion UID:</t>
  </si>
  <si>
    <t>2NBXBQ</t>
  </si>
  <si>
    <t>Cask</t>
  </si>
  <si>
    <t>1 system</t>
  </si>
  <si>
    <t>2 system</t>
  </si>
  <si>
    <t>3 system</t>
  </si>
  <si>
    <t>4 system</t>
  </si>
  <si>
    <t>6 system</t>
  </si>
  <si>
    <t>Full divertor maintenance (days)</t>
  </si>
  <si>
    <t>Full blanket and divertor maintenance (days)</t>
  </si>
  <si>
    <t>Single divertor port maintenance (days)</t>
  </si>
  <si>
    <t>Single sector maintenance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</si>
</sst>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
    <numFmt numFmtId="166" formatCode="0.000"/>
    <numFmt numFmtId="167" formatCode="0.00;[Red]0.00"/>
    <numFmt numFmtId="168" formatCode="0.00_ ;[Red]\-0.00\ "/>
    <numFmt numFmtId="169" formatCode="0.0E+00"/>
  </numFmts>
  <fonts count="94" x14ac:knownFonts="1">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1"/>
      <color theme="0"/>
      <name val="Calibri"/>
      <family val="2"/>
      <scheme val="minor"/>
    </font>
    <font>
      <b/>
      <sz val="11"/>
      <color theme="1"/>
      <name val="Calibri"/>
      <family val="2"/>
      <scheme val="minor"/>
    </font>
    <font>
      <i/>
      <u/>
      <sz val="11"/>
      <color theme="1"/>
      <name val="Calibri"/>
      <family val="2"/>
      <scheme val="minor"/>
    </font>
    <font>
      <b/>
      <sz val="14"/>
      <color theme="1"/>
      <name val="Calibri"/>
      <family val="2"/>
      <scheme val="minor"/>
    </font>
    <font>
      <b/>
      <sz val="16"/>
      <color theme="1"/>
      <name val="Calibri"/>
      <family val="2"/>
      <scheme val="minor"/>
    </font>
    <font>
      <sz val="10"/>
      <color theme="1"/>
      <name val="Calibri"/>
      <family val="2"/>
      <scheme val="minor"/>
    </font>
    <font>
      <sz val="9"/>
      <color indexed="81"/>
      <name val="Tahoma"/>
      <family val="2"/>
    </font>
    <font>
      <b/>
      <sz val="9"/>
      <color indexed="81"/>
      <name val="Tahoma"/>
      <family val="2"/>
    </font>
    <font>
      <b/>
      <sz val="10"/>
      <name val="Arial"/>
      <family val="2"/>
    </font>
    <font>
      <sz val="11"/>
      <color rgb="FFFF0000"/>
      <name val="Calibri"/>
      <family val="2"/>
      <scheme val="minor"/>
    </font>
    <font>
      <b/>
      <sz val="14"/>
      <name val="Calibri"/>
      <family val="2"/>
      <scheme val="minor"/>
    </font>
    <font>
      <i/>
      <u/>
      <sz val="11"/>
      <color rgb="FFFF0000"/>
      <name val="Calibri"/>
      <family val="2"/>
      <scheme val="minor"/>
    </font>
    <font>
      <sz val="11"/>
      <color rgb="FF000000"/>
      <name val="Calibri"/>
      <family val="2"/>
      <scheme val="minor"/>
    </font>
    <font>
      <b/>
      <u/>
      <sz val="11"/>
      <color theme="1"/>
      <name val="Calibri"/>
      <family val="2"/>
      <scheme val="minor"/>
    </font>
    <font>
      <sz val="12"/>
      <color theme="1"/>
      <name val="Calibri"/>
      <family val="2"/>
      <scheme val="minor"/>
    </font>
    <font>
      <b/>
      <sz val="18"/>
      <color theme="1"/>
      <name val="Calibri"/>
      <family val="2"/>
      <scheme val="minor"/>
    </font>
    <font>
      <sz val="10"/>
      <color rgb="FF000000"/>
      <name val="Calibri"/>
      <family val="2"/>
      <scheme val="minor"/>
    </font>
    <font>
      <b/>
      <u/>
      <sz val="12"/>
      <color theme="1"/>
      <name val="Calibri"/>
      <family val="2"/>
      <scheme val="minor"/>
    </font>
    <font>
      <b/>
      <sz val="10"/>
      <name val="Calibri"/>
      <family val="2"/>
      <scheme val="minor"/>
    </font>
    <font>
      <b/>
      <sz val="10"/>
      <color theme="1"/>
      <name val="Calibri"/>
      <family val="2"/>
      <scheme val="minor"/>
    </font>
    <font>
      <sz val="10"/>
      <name val="Calibri"/>
      <family val="2"/>
      <scheme val="minor"/>
    </font>
    <font>
      <i/>
      <sz val="9"/>
      <color theme="1"/>
      <name val="Calibri"/>
      <family val="2"/>
      <scheme val="minor"/>
    </font>
    <font>
      <sz val="11"/>
      <color theme="0"/>
      <name val="Calibri"/>
      <family val="2"/>
      <scheme val="minor"/>
    </font>
    <font>
      <b/>
      <sz val="12"/>
      <name val="Calibri"/>
      <family val="2"/>
      <scheme val="minor"/>
    </font>
    <font>
      <sz val="11"/>
      <color rgb="FF3F3F76"/>
      <name val="Calibri"/>
      <family val="2"/>
      <scheme val="minor"/>
    </font>
    <font>
      <b/>
      <sz val="11"/>
      <color rgb="FFFA7D00"/>
      <name val="Calibri"/>
      <family val="2"/>
      <scheme val="minor"/>
    </font>
    <font>
      <i/>
      <u/>
      <sz val="10"/>
      <color theme="1"/>
      <name val="Calibri"/>
      <family val="2"/>
      <scheme val="minor"/>
    </font>
    <font>
      <sz val="11"/>
      <name val="Calibri"/>
      <family val="2"/>
      <scheme val="minor"/>
    </font>
    <font>
      <b/>
      <sz val="11"/>
      <name val="Calibri"/>
      <family val="2"/>
      <scheme val="minor"/>
    </font>
    <font>
      <sz val="20"/>
      <name val="Arial"/>
      <family val="2"/>
    </font>
    <font>
      <b/>
      <sz val="16"/>
      <name val="Arial"/>
      <family val="2"/>
    </font>
    <font>
      <b/>
      <sz val="12"/>
      <name val="Arial"/>
      <family val="2"/>
    </font>
    <font>
      <b/>
      <sz val="11"/>
      <name val="Arial"/>
      <family val="2"/>
    </font>
    <font>
      <sz val="11"/>
      <name val="Arial"/>
      <family val="2"/>
    </font>
    <font>
      <i/>
      <sz val="11"/>
      <color theme="1"/>
      <name val="Calibri"/>
      <family val="2"/>
      <scheme val="minor"/>
    </font>
    <font>
      <i/>
      <sz val="11"/>
      <name val="Arial"/>
      <family val="2"/>
    </font>
    <font>
      <i/>
      <sz val="9"/>
      <name val="Arial"/>
      <family val="2"/>
    </font>
    <font>
      <sz val="10"/>
      <color indexed="8"/>
      <name val="Arial"/>
      <family val="2"/>
    </font>
    <font>
      <u/>
      <sz val="10"/>
      <color indexed="12"/>
      <name val="Arial"/>
      <family val="2"/>
    </font>
    <font>
      <b/>
      <sz val="10"/>
      <color rgb="FFFA7D00"/>
      <name val="Calibri"/>
      <family val="2"/>
      <scheme val="minor"/>
    </font>
    <font>
      <sz val="10"/>
      <color rgb="FF3F3F76"/>
      <name val="Calibri"/>
      <family val="2"/>
      <scheme val="minor"/>
    </font>
    <font>
      <sz val="10"/>
      <color theme="0"/>
      <name val="Calibri"/>
      <family val="2"/>
      <scheme val="minor"/>
    </font>
    <font>
      <b/>
      <sz val="10"/>
      <color theme="0"/>
      <name val="Calibri"/>
      <family val="2"/>
      <scheme val="minor"/>
    </font>
    <font>
      <b/>
      <sz val="8"/>
      <color indexed="81"/>
      <name val="Tahoma"/>
      <family val="2"/>
    </font>
    <font>
      <sz val="8"/>
      <color indexed="81"/>
      <name val="Tahoma"/>
      <family val="2"/>
    </font>
    <font>
      <sz val="12"/>
      <color indexed="81"/>
      <name val="Tahoma"/>
      <family val="2"/>
    </font>
    <font>
      <sz val="10"/>
      <color theme="0"/>
      <name val="Arial"/>
      <family val="2"/>
    </font>
    <font>
      <u/>
      <sz val="10"/>
      <name val="Arial"/>
      <family val="2"/>
    </font>
    <font>
      <sz val="72"/>
      <color theme="1"/>
      <name val="Calibri"/>
      <family val="2"/>
      <scheme val="minor"/>
    </font>
    <font>
      <i/>
      <sz val="10"/>
      <color theme="1"/>
      <name val="Calibri"/>
      <family val="2"/>
      <scheme val="minor"/>
    </font>
    <font>
      <b/>
      <i/>
      <sz val="10"/>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s>
  <fills count="63">
    <fill>
      <patternFill patternType="none"/>
    </fill>
    <fill>
      <patternFill patternType="gray125"/>
    </fill>
    <fill>
      <patternFill patternType="solid">
        <fgColor indexed="32"/>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27"/>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indexed="44"/>
        <bgColor indexed="64"/>
      </patternFill>
    </fill>
    <fill>
      <patternFill patternType="solid">
        <fgColor rgb="FFFFDC6D"/>
        <bgColor indexed="64"/>
      </patternFill>
    </fill>
    <fill>
      <patternFill patternType="solid">
        <fgColor rgb="FFFFC000"/>
        <bgColor indexed="64"/>
      </patternFill>
    </fill>
    <fill>
      <patternFill patternType="solid">
        <fgColor theme="3" tint="-0.249977111117893"/>
        <bgColor indexed="64"/>
      </patternFill>
    </fill>
    <fill>
      <patternFill patternType="solid">
        <fgColor rgb="FFFFCC99"/>
      </patternFill>
    </fill>
    <fill>
      <patternFill patternType="solid">
        <fgColor rgb="FFF2F2F2"/>
      </patternFill>
    </fill>
    <fill>
      <patternFill patternType="solid">
        <fgColor theme="1" tint="4.9989318521683403E-2"/>
        <bgColor indexed="64"/>
      </patternFill>
    </fill>
    <fill>
      <patternFill patternType="solid">
        <fgColor indexed="42"/>
        <bgColor indexed="64"/>
      </patternFill>
    </fill>
    <fill>
      <patternFill patternType="solid">
        <fgColor rgb="FF99CCFF"/>
        <bgColor indexed="64"/>
      </patternFill>
    </fill>
    <fill>
      <patternFill patternType="solid">
        <fgColor rgb="FFCCECFF"/>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39997558519241921"/>
        <bgColor indexed="64"/>
      </patternFill>
    </fill>
    <fill>
      <patternFill patternType="solid">
        <fgColor indexed="51"/>
        <bgColor indexed="64"/>
      </patternFill>
    </fill>
    <fill>
      <patternFill patternType="solid">
        <fgColor rgb="FFFFD03B"/>
        <bgColor indexed="64"/>
      </patternFill>
    </fill>
    <fill>
      <patternFill patternType="solid">
        <fgColor rgb="FFFFFF66"/>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0" tint="-0.499984740745262"/>
        <bgColor indexed="64"/>
      </patternFill>
    </fill>
    <fill>
      <patternFill patternType="solid">
        <fgColor theme="5"/>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9" tint="-0.499984740745262"/>
        <bgColor indexed="64"/>
      </patternFill>
    </fill>
    <fill>
      <patternFill patternType="solid">
        <fgColor theme="0" tint="-0.34998626667073579"/>
        <bgColor indexed="64"/>
      </patternFill>
    </fill>
    <fill>
      <patternFill patternType="solid">
        <fgColor theme="6" tint="-0.499984740745262"/>
        <bgColor indexed="64"/>
      </patternFill>
    </fill>
  </fills>
  <borders count="10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bottom/>
      <diagonal/>
    </border>
    <border>
      <left/>
      <right style="thin">
        <color indexed="64"/>
      </right>
      <top/>
      <bottom/>
      <diagonal/>
    </border>
    <border>
      <left style="thin">
        <color indexed="64"/>
      </left>
      <right style="thin">
        <color indexed="64"/>
      </right>
      <top/>
      <bottom/>
      <diagonal/>
    </border>
    <border>
      <left/>
      <right/>
      <top style="medium">
        <color indexed="64"/>
      </top>
      <bottom/>
      <diagonal/>
    </border>
    <border>
      <left style="thin">
        <color indexed="64"/>
      </left>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right/>
      <top style="thin">
        <color indexed="64"/>
      </top>
      <bottom style="thick">
        <color indexed="64"/>
      </bottom>
      <diagonal/>
    </border>
    <border>
      <left/>
      <right/>
      <top style="thick">
        <color indexed="64"/>
      </top>
      <bottom style="thin">
        <color indexed="64"/>
      </bottom>
      <diagonal/>
    </border>
    <border>
      <left style="medium">
        <color indexed="64"/>
      </left>
      <right/>
      <top/>
      <bottom style="thick">
        <color indexed="64"/>
      </bottom>
      <diagonal/>
    </border>
    <border>
      <left/>
      <right style="medium">
        <color indexed="64"/>
      </right>
      <top style="thin">
        <color indexed="64"/>
      </top>
      <bottom style="thick">
        <color indexed="64"/>
      </bottom>
      <diagonal/>
    </border>
    <border>
      <left style="medium">
        <color indexed="64"/>
      </left>
      <right/>
      <top style="thick">
        <color indexed="64"/>
      </top>
      <bottom/>
      <diagonal/>
    </border>
    <border>
      <left/>
      <right style="medium">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top style="medium">
        <color indexed="64"/>
      </top>
      <bottom/>
      <diagonal/>
    </border>
    <border diagonalDown="1">
      <left style="medium">
        <color indexed="64"/>
      </left>
      <right style="thin">
        <color indexed="64"/>
      </right>
      <top style="medium">
        <color indexed="64"/>
      </top>
      <bottom style="thin">
        <color indexed="64"/>
      </bottom>
      <diagonal style="medium">
        <color indexed="64"/>
      </diagonal>
    </border>
    <border>
      <left style="thin">
        <color rgb="FF7F7F7F"/>
      </left>
      <right style="medium">
        <color indexed="64"/>
      </right>
      <top style="thin">
        <color rgb="FF7F7F7F"/>
      </top>
      <bottom style="thin">
        <color rgb="FF7F7F7F"/>
      </bottom>
      <diagonal/>
    </border>
    <border>
      <left style="thin">
        <color rgb="FF7F7F7F"/>
      </left>
      <right style="thin">
        <color rgb="FF7F7F7F"/>
      </right>
      <top style="thin">
        <color rgb="FF7F7F7F"/>
      </top>
      <bottom style="medium">
        <color indexed="64"/>
      </bottom>
      <diagonal/>
    </border>
    <border>
      <left style="thin">
        <color indexed="64"/>
      </left>
      <right/>
      <top/>
      <bottom style="medium">
        <color indexed="64"/>
      </bottom>
      <diagonal/>
    </border>
    <border>
      <left style="thin">
        <color rgb="FF7F7F7F"/>
      </left>
      <right style="medium">
        <color indexed="64"/>
      </right>
      <top/>
      <bottom style="thin">
        <color rgb="FF7F7F7F"/>
      </bottom>
      <diagonal/>
    </border>
  </borders>
  <cellStyleXfs count="52">
    <xf numFmtId="0" fontId="0"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 borderId="0" applyNumberFormat="0" applyBorder="0" applyAlignment="0" applyProtection="0"/>
    <xf numFmtId="0" fontId="2" fillId="7" borderId="0" applyNumberFormat="0" applyBorder="0" applyAlignment="0" applyProtection="0"/>
    <xf numFmtId="0" fontId="2" fillId="4"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3" fillId="12"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4"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4" fillId="3" borderId="0" applyNumberFormat="0" applyBorder="0" applyAlignment="0" applyProtection="0"/>
    <xf numFmtId="0" fontId="5" fillId="2" borderId="1" applyNumberFormat="0" applyAlignment="0" applyProtection="0"/>
    <xf numFmtId="0" fontId="5" fillId="2" borderId="1" applyNumberFormat="0" applyAlignment="0" applyProtection="0"/>
    <xf numFmtId="0" fontId="6" fillId="17" borderId="2" applyNumberFormat="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4" borderId="1" applyNumberFormat="0" applyAlignment="0" applyProtection="0"/>
    <xf numFmtId="0" fontId="12" fillId="4" borderId="1" applyNumberFormat="0" applyAlignment="0" applyProtection="0"/>
    <xf numFmtId="0" fontId="13" fillId="0" borderId="6" applyNumberFormat="0" applyFill="0" applyAlignment="0" applyProtection="0"/>
    <xf numFmtId="0" fontId="14" fillId="11" borderId="0" applyNumberFormat="0" applyBorder="0" applyAlignment="0" applyProtection="0"/>
    <xf numFmtId="0" fontId="1" fillId="0" borderId="0"/>
    <xf numFmtId="0" fontId="1" fillId="6" borderId="7" applyNumberFormat="0" applyFont="0" applyAlignment="0" applyProtection="0"/>
    <xf numFmtId="0" fontId="1" fillId="6" borderId="7" applyNumberFormat="0" applyFont="0" applyAlignment="0" applyProtection="0"/>
    <xf numFmtId="0" fontId="15" fillId="2" borderId="8" applyNumberFormat="0" applyAlignment="0" applyProtection="0"/>
    <xf numFmtId="0" fontId="15" fillId="2"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7" fillId="0" borderId="9" applyNumberFormat="0" applyFill="0" applyAlignment="0" applyProtection="0"/>
    <xf numFmtId="0" fontId="18" fillId="0" borderId="0" applyNumberFormat="0" applyFill="0" applyBorder="0" applyAlignment="0" applyProtection="0"/>
    <xf numFmtId="0" fontId="43" fillId="38" borderId="96" applyNumberFormat="0" applyAlignment="0" applyProtection="0"/>
    <xf numFmtId="0" fontId="44" fillId="39" borderId="96" applyNumberFormat="0" applyAlignment="0" applyProtection="0"/>
    <xf numFmtId="0" fontId="57" fillId="0" borderId="0" applyNumberFormat="0" applyFill="0" applyBorder="0" applyAlignment="0" applyProtection="0">
      <alignment vertical="top"/>
      <protection locked="0"/>
    </xf>
  </cellStyleXfs>
  <cellXfs count="4072">
    <xf numFmtId="0" fontId="0" fillId="0" borderId="0" xfId="0"/>
    <xf numFmtId="0" fontId="20" fillId="0" borderId="13" xfId="0" applyFont="1" applyBorder="1"/>
    <xf numFmtId="0" fontId="0" fillId="0" borderId="15" xfId="0" applyBorder="1"/>
    <xf numFmtId="0" fontId="0" fillId="0" borderId="17" xfId="0" applyBorder="1"/>
    <xf numFmtId="0" fontId="20" fillId="0" borderId="12" xfId="0" applyFont="1" applyBorder="1"/>
    <xf numFmtId="0" fontId="0" fillId="0" borderId="0" xfId="0" applyFill="1" applyBorder="1"/>
    <xf numFmtId="0" fontId="0" fillId="0" borderId="0" xfId="0" applyBorder="1" applyAlignment="1">
      <alignment horizontal="center"/>
    </xf>
    <xf numFmtId="0" fontId="0" fillId="0" borderId="0" xfId="0" applyBorder="1"/>
    <xf numFmtId="0" fontId="0" fillId="0" borderId="0" xfId="0" applyFill="1"/>
    <xf numFmtId="0" fontId="27" fillId="0" borderId="0" xfId="40" applyFont="1" applyAlignment="1">
      <alignment horizontal="center"/>
    </xf>
    <xf numFmtId="0" fontId="1" fillId="0" borderId="0" xfId="40"/>
    <xf numFmtId="0" fontId="1" fillId="0" borderId="0" xfId="40" applyAlignment="1">
      <alignment horizontal="center"/>
    </xf>
    <xf numFmtId="0" fontId="1" fillId="0" borderId="0" xfId="40" applyNumberFormat="1"/>
    <xf numFmtId="0" fontId="1" fillId="0" borderId="0" xfId="40" applyAlignment="1">
      <alignment horizontal="right"/>
    </xf>
    <xf numFmtId="166" fontId="1" fillId="0" borderId="0" xfId="40" applyNumberFormat="1" applyAlignment="1">
      <alignment horizontal="right"/>
    </xf>
    <xf numFmtId="2" fontId="1" fillId="0" borderId="0" xfId="40" applyNumberFormat="1" applyAlignment="1">
      <alignment horizontal="right"/>
    </xf>
    <xf numFmtId="0" fontId="1" fillId="0" borderId="0" xfId="40" applyNumberFormat="1" applyAlignment="1">
      <alignment horizontal="right"/>
    </xf>
    <xf numFmtId="0" fontId="27" fillId="0" borderId="0" xfId="40" applyFont="1" applyAlignment="1">
      <alignment horizontal="right"/>
    </xf>
    <xf numFmtId="10" fontId="1" fillId="0" borderId="0" xfId="40" applyNumberFormat="1" applyAlignment="1">
      <alignment horizontal="right"/>
    </xf>
    <xf numFmtId="0" fontId="0" fillId="0" borderId="0" xfId="0" applyFont="1" applyBorder="1" applyAlignment="1">
      <alignment wrapText="1"/>
    </xf>
    <xf numFmtId="0" fontId="24" fillId="0" borderId="10" xfId="0" applyFont="1" applyBorder="1" applyAlignment="1">
      <alignment wrapText="1"/>
    </xf>
    <xf numFmtId="0" fontId="0" fillId="27" borderId="33" xfId="0" applyFill="1" applyBorder="1" applyAlignment="1">
      <alignment horizontal="center"/>
    </xf>
    <xf numFmtId="0" fontId="0" fillId="32" borderId="33" xfId="0" applyFill="1" applyBorder="1" applyAlignment="1">
      <alignment horizontal="center"/>
    </xf>
    <xf numFmtId="0" fontId="0" fillId="32" borderId="34" xfId="0" applyFill="1" applyBorder="1" applyAlignment="1">
      <alignment horizontal="center"/>
    </xf>
    <xf numFmtId="0" fontId="0" fillId="24" borderId="72" xfId="0" applyFill="1" applyBorder="1" applyAlignment="1">
      <alignment horizontal="center"/>
    </xf>
    <xf numFmtId="2" fontId="0" fillId="24" borderId="43" xfId="0" applyNumberFormat="1" applyFill="1" applyBorder="1" applyAlignment="1">
      <alignment horizontal="center"/>
    </xf>
    <xf numFmtId="2" fontId="0" fillId="24" borderId="42" xfId="0" applyNumberFormat="1" applyFill="1" applyBorder="1" applyAlignment="1">
      <alignment horizontal="center"/>
    </xf>
    <xf numFmtId="2" fontId="0" fillId="27" borderId="43" xfId="0" applyNumberFormat="1" applyFill="1" applyBorder="1" applyAlignment="1">
      <alignment horizontal="center"/>
    </xf>
    <xf numFmtId="2" fontId="0" fillId="27" borderId="42" xfId="0" applyNumberFormat="1" applyFill="1" applyBorder="1" applyAlignment="1">
      <alignment horizontal="center"/>
    </xf>
    <xf numFmtId="0" fontId="0" fillId="0" borderId="0" xfId="0" applyAlignment="1">
      <alignment horizontal="center" vertical="center"/>
    </xf>
    <xf numFmtId="1" fontId="1" fillId="0" borderId="0" xfId="40" applyNumberFormat="1"/>
    <xf numFmtId="2" fontId="1" fillId="0" borderId="0" xfId="40" applyNumberFormat="1"/>
    <xf numFmtId="166" fontId="1" fillId="0" borderId="0" xfId="40" applyNumberFormat="1"/>
    <xf numFmtId="0" fontId="0" fillId="0" borderId="73" xfId="0" applyFont="1" applyBorder="1" applyAlignment="1">
      <alignment wrapText="1"/>
    </xf>
    <xf numFmtId="11" fontId="31" fillId="0" borderId="72" xfId="0" applyNumberFormat="1" applyFont="1" applyBorder="1" applyAlignment="1">
      <alignment wrapText="1"/>
    </xf>
    <xf numFmtId="0" fontId="0" fillId="0" borderId="16" xfId="0" applyFont="1" applyBorder="1" applyAlignment="1">
      <alignment wrapText="1"/>
    </xf>
    <xf numFmtId="0" fontId="0" fillId="0" borderId="18" xfId="0" applyFont="1" applyBorder="1" applyAlignment="1">
      <alignment wrapText="1"/>
    </xf>
    <xf numFmtId="11" fontId="31" fillId="0" borderId="42" xfId="0" applyNumberFormat="1" applyFont="1" applyBorder="1" applyAlignment="1">
      <alignment wrapText="1"/>
    </xf>
    <xf numFmtId="11" fontId="31" fillId="0" borderId="75" xfId="0" applyNumberFormat="1" applyFont="1" applyBorder="1" applyAlignment="1">
      <alignment wrapText="1"/>
    </xf>
    <xf numFmtId="11" fontId="31" fillId="0" borderId="44" xfId="0" applyNumberFormat="1" applyFont="1" applyBorder="1" applyAlignment="1">
      <alignment wrapText="1"/>
    </xf>
    <xf numFmtId="11" fontId="31" fillId="0" borderId="0" xfId="0" applyNumberFormat="1" applyFont="1" applyBorder="1" applyAlignment="1">
      <alignment wrapText="1"/>
    </xf>
    <xf numFmtId="0" fontId="32" fillId="0" borderId="73" xfId="0" applyFont="1" applyBorder="1" applyAlignment="1">
      <alignment wrapText="1"/>
    </xf>
    <xf numFmtId="0" fontId="0" fillId="0" borderId="47" xfId="0" applyFont="1" applyBorder="1" applyAlignment="1">
      <alignment wrapText="1"/>
    </xf>
    <xf numFmtId="0" fontId="33" fillId="0" borderId="20" xfId="0" applyFont="1" applyBorder="1" applyAlignment="1">
      <alignment horizontal="center" vertical="center"/>
    </xf>
    <xf numFmtId="0" fontId="33" fillId="0" borderId="21" xfId="0" applyFont="1" applyBorder="1" applyAlignment="1">
      <alignment horizontal="center" vertical="center"/>
    </xf>
    <xf numFmtId="0" fontId="33" fillId="0" borderId="65" xfId="0" applyFont="1" applyBorder="1" applyAlignment="1">
      <alignment horizontal="center" vertical="center" wrapText="1"/>
    </xf>
    <xf numFmtId="0" fontId="33" fillId="0" borderId="35" xfId="0" applyFont="1" applyBorder="1" applyAlignment="1">
      <alignment horizontal="center" vertical="center" wrapText="1"/>
    </xf>
    <xf numFmtId="11" fontId="35" fillId="0" borderId="32" xfId="0" applyNumberFormat="1" applyFont="1" applyBorder="1" applyAlignment="1">
      <alignment wrapText="1"/>
    </xf>
    <xf numFmtId="11" fontId="35" fillId="0" borderId="73" xfId="0" applyNumberFormat="1" applyFont="1" applyBorder="1" applyAlignment="1">
      <alignment wrapText="1"/>
    </xf>
    <xf numFmtId="11" fontId="35" fillId="0" borderId="47" xfId="0" applyNumberFormat="1" applyFont="1" applyBorder="1" applyAlignment="1">
      <alignment wrapText="1"/>
    </xf>
    <xf numFmtId="0" fontId="24" fillId="0" borderId="16" xfId="0" applyFont="1" applyBorder="1" applyAlignment="1">
      <alignment wrapText="1"/>
    </xf>
    <xf numFmtId="11" fontId="35" fillId="0" borderId="33" xfId="0" applyNumberFormat="1" applyFont="1" applyBorder="1" applyAlignment="1">
      <alignment wrapText="1"/>
    </xf>
    <xf numFmtId="11" fontId="35" fillId="0" borderId="72" xfId="0" applyNumberFormat="1" applyFont="1" applyBorder="1" applyAlignment="1">
      <alignment wrapText="1"/>
    </xf>
    <xf numFmtId="11" fontId="35" fillId="0" borderId="42" xfId="0" applyNumberFormat="1" applyFont="1" applyBorder="1" applyAlignment="1">
      <alignment wrapText="1"/>
    </xf>
    <xf numFmtId="0" fontId="35" fillId="0" borderId="33" xfId="0" applyFont="1" applyBorder="1" applyAlignment="1">
      <alignment wrapText="1"/>
    </xf>
    <xf numFmtId="0" fontId="35" fillId="0" borderId="72" xfId="0" applyFont="1" applyBorder="1" applyAlignment="1">
      <alignment wrapText="1"/>
    </xf>
    <xf numFmtId="0" fontId="35" fillId="0" borderId="42" xfId="0" applyFont="1" applyBorder="1" applyAlignment="1">
      <alignment wrapText="1"/>
    </xf>
    <xf numFmtId="0" fontId="24" fillId="0" borderId="18" xfId="0" applyFont="1" applyBorder="1" applyAlignment="1">
      <alignment wrapText="1"/>
    </xf>
    <xf numFmtId="0" fontId="35" fillId="0" borderId="34" xfId="0" applyFont="1" applyBorder="1" applyAlignment="1">
      <alignment wrapText="1"/>
    </xf>
    <xf numFmtId="0" fontId="35" fillId="0" borderId="75" xfId="0" applyFont="1" applyBorder="1" applyAlignment="1">
      <alignment wrapText="1"/>
    </xf>
    <xf numFmtId="0" fontId="35" fillId="0" borderId="44" xfId="0" applyFont="1" applyBorder="1" applyAlignment="1">
      <alignment wrapText="1"/>
    </xf>
    <xf numFmtId="0" fontId="24" fillId="0" borderId="19" xfId="0" applyFont="1" applyBorder="1" applyAlignment="1">
      <alignment wrapText="1"/>
    </xf>
    <xf numFmtId="11" fontId="35" fillId="0" borderId="39" xfId="0" applyNumberFormat="1" applyFont="1" applyBorder="1" applyAlignment="1">
      <alignment wrapText="1"/>
    </xf>
    <xf numFmtId="11" fontId="35" fillId="0" borderId="71" xfId="0" applyNumberFormat="1" applyFont="1" applyBorder="1" applyAlignment="1">
      <alignment wrapText="1"/>
    </xf>
    <xf numFmtId="11" fontId="35" fillId="0" borderId="59" xfId="0" applyNumberFormat="1" applyFont="1" applyBorder="1" applyAlignment="1">
      <alignment wrapText="1"/>
    </xf>
    <xf numFmtId="11" fontId="35" fillId="0" borderId="77" xfId="0" applyNumberFormat="1" applyFont="1" applyBorder="1" applyAlignment="1">
      <alignment wrapText="1"/>
    </xf>
    <xf numFmtId="11" fontId="35" fillId="0" borderId="78" xfId="0" applyNumberFormat="1" applyFont="1" applyBorder="1" applyAlignment="1">
      <alignment wrapText="1"/>
    </xf>
    <xf numFmtId="11" fontId="35" fillId="0" borderId="75" xfId="0" applyNumberFormat="1" applyFont="1" applyBorder="1" applyAlignment="1">
      <alignment wrapText="1"/>
    </xf>
    <xf numFmtId="11" fontId="35" fillId="0" borderId="44" xfId="0" applyNumberFormat="1" applyFont="1" applyBorder="1" applyAlignment="1">
      <alignment wrapText="1"/>
    </xf>
    <xf numFmtId="0" fontId="36" fillId="0" borderId="73" xfId="0" applyFont="1" applyBorder="1" applyAlignment="1">
      <alignment wrapText="1"/>
    </xf>
    <xf numFmtId="0" fontId="33" fillId="0" borderId="73" xfId="0" applyFont="1" applyBorder="1" applyAlignment="1">
      <alignment wrapText="1"/>
    </xf>
    <xf numFmtId="0" fontId="33" fillId="0" borderId="47" xfId="0" applyFont="1" applyBorder="1" applyAlignment="1">
      <alignment wrapText="1"/>
    </xf>
    <xf numFmtId="0" fontId="33" fillId="0" borderId="74" xfId="0" applyFont="1" applyBorder="1" applyAlignment="1">
      <alignment horizontal="center" vertical="center" wrapText="1"/>
    </xf>
    <xf numFmtId="11" fontId="35" fillId="0" borderId="80" xfId="0" applyNumberFormat="1" applyFont="1" applyBorder="1" applyAlignment="1">
      <alignment wrapText="1"/>
    </xf>
    <xf numFmtId="11" fontId="35" fillId="0" borderId="82" xfId="0" applyNumberFormat="1" applyFont="1" applyBorder="1" applyAlignment="1">
      <alignment wrapText="1"/>
    </xf>
    <xf numFmtId="0" fontId="24" fillId="0" borderId="83" xfId="0" applyFont="1" applyBorder="1" applyAlignment="1">
      <alignment wrapText="1"/>
    </xf>
    <xf numFmtId="0" fontId="24" fillId="0" borderId="84" xfId="0" applyFont="1" applyBorder="1" applyAlignment="1">
      <alignment wrapText="1"/>
    </xf>
    <xf numFmtId="0" fontId="33" fillId="0" borderId="74" xfId="0" applyFont="1" applyBorder="1" applyAlignment="1">
      <alignment horizontal="center" vertical="center"/>
    </xf>
    <xf numFmtId="0" fontId="33" fillId="0" borderId="48" xfId="0" applyFont="1" applyFill="1" applyBorder="1" applyAlignment="1">
      <alignment horizontal="center" vertical="center" wrapText="1"/>
    </xf>
    <xf numFmtId="0" fontId="0" fillId="0" borderId="0" xfId="0" applyAlignment="1">
      <alignment horizontal="center"/>
    </xf>
    <xf numFmtId="0" fontId="24" fillId="0" borderId="85" xfId="0" applyFont="1" applyBorder="1"/>
    <xf numFmtId="2" fontId="24" fillId="0" borderId="86" xfId="0" applyNumberFormat="1" applyFont="1" applyBorder="1"/>
    <xf numFmtId="0" fontId="0" fillId="0" borderId="0" xfId="0" applyAlignment="1">
      <alignment wrapText="1"/>
    </xf>
    <xf numFmtId="0" fontId="24" fillId="0" borderId="87" xfId="0" applyFont="1" applyBorder="1"/>
    <xf numFmtId="2" fontId="24" fillId="0" borderId="14" xfId="0" applyNumberFormat="1" applyFont="1" applyBorder="1"/>
    <xf numFmtId="0" fontId="37" fillId="28" borderId="25" xfId="40" applyFont="1" applyFill="1" applyBorder="1" applyAlignment="1"/>
    <xf numFmtId="0" fontId="37" fillId="25" borderId="25" xfId="40" applyFont="1" applyFill="1" applyBorder="1" applyAlignment="1"/>
    <xf numFmtId="2" fontId="38" fillId="25" borderId="13" xfId="0" applyNumberFormat="1" applyFont="1" applyFill="1" applyBorder="1"/>
    <xf numFmtId="0" fontId="24" fillId="0" borderId="0" xfId="0" applyFont="1" applyAlignment="1">
      <alignment wrapText="1"/>
    </xf>
    <xf numFmtId="0" fontId="24" fillId="0" borderId="0" xfId="0" applyFont="1"/>
    <xf numFmtId="0" fontId="24" fillId="0" borderId="0" xfId="0" applyFont="1" applyFill="1" applyBorder="1"/>
    <xf numFmtId="0" fontId="24" fillId="0" borderId="23" xfId="0" applyFont="1" applyBorder="1"/>
    <xf numFmtId="0" fontId="24" fillId="0" borderId="15" xfId="0" applyFont="1" applyBorder="1"/>
    <xf numFmtId="0" fontId="24" fillId="0" borderId="17" xfId="0" applyFont="1" applyBorder="1"/>
    <xf numFmtId="0" fontId="24" fillId="0" borderId="0" xfId="0" applyFont="1" applyFill="1" applyBorder="1" applyAlignment="1">
      <alignment vertical="center" wrapText="1"/>
    </xf>
    <xf numFmtId="0" fontId="24" fillId="0" borderId="0" xfId="0" applyFont="1" applyBorder="1"/>
    <xf numFmtId="0" fontId="0" fillId="0" borderId="0" xfId="0" applyBorder="1" applyAlignment="1">
      <alignment horizontal="center" vertical="center"/>
    </xf>
    <xf numFmtId="0" fontId="38" fillId="0" borderId="12" xfId="0" applyFont="1" applyBorder="1"/>
    <xf numFmtId="0" fontId="38" fillId="0" borderId="13" xfId="0" applyFont="1" applyBorder="1"/>
    <xf numFmtId="0" fontId="24" fillId="0" borderId="86" xfId="0" applyFont="1" applyBorder="1"/>
    <xf numFmtId="0" fontId="24" fillId="0" borderId="14" xfId="0" applyFont="1" applyBorder="1"/>
    <xf numFmtId="0" fontId="24" fillId="0" borderId="19" xfId="0" applyFont="1" applyBorder="1"/>
    <xf numFmtId="0" fontId="24" fillId="0" borderId="27" xfId="0" applyFont="1" applyBorder="1"/>
    <xf numFmtId="0" fontId="24" fillId="0" borderId="14" xfId="0" applyFont="1" applyFill="1" applyBorder="1"/>
    <xf numFmtId="2" fontId="24" fillId="0" borderId="0" xfId="0" applyNumberFormat="1" applyFont="1"/>
    <xf numFmtId="0" fontId="20" fillId="0" borderId="11" xfId="0" applyFont="1" applyBorder="1" applyAlignment="1">
      <alignment horizontal="center"/>
    </xf>
    <xf numFmtId="0" fontId="0" fillId="0" borderId="48" xfId="0" applyFont="1" applyBorder="1" applyAlignment="1">
      <alignment horizontal="center" vertical="center" wrapText="1"/>
    </xf>
    <xf numFmtId="0" fontId="38" fillId="28" borderId="13" xfId="0" applyFont="1" applyFill="1" applyBorder="1"/>
    <xf numFmtId="0" fontId="39" fillId="0" borderId="85" xfId="40" applyFont="1" applyFill="1" applyBorder="1" applyAlignment="1"/>
    <xf numFmtId="2" fontId="24" fillId="0" borderId="26" xfId="0" applyNumberFormat="1" applyFont="1" applyBorder="1"/>
    <xf numFmtId="0" fontId="39" fillId="0" borderId="87" xfId="40" applyFont="1" applyFill="1" applyBorder="1" applyAlignment="1"/>
    <xf numFmtId="2" fontId="24" fillId="0" borderId="16" xfId="0" applyNumberFormat="1" applyFont="1" applyBorder="1"/>
    <xf numFmtId="0" fontId="39" fillId="0" borderId="89" xfId="40" applyFont="1" applyFill="1" applyBorder="1" applyAlignment="1"/>
    <xf numFmtId="0" fontId="39" fillId="0" borderId="85" xfId="40" applyFont="1" applyFill="1" applyBorder="1" applyAlignment="1">
      <alignment wrapText="1"/>
    </xf>
    <xf numFmtId="0" fontId="24" fillId="0" borderId="86" xfId="0" applyFont="1" applyFill="1" applyBorder="1"/>
    <xf numFmtId="0" fontId="39" fillId="0" borderId="87" xfId="40" applyFont="1" applyFill="1" applyBorder="1" applyAlignment="1">
      <alignment wrapText="1"/>
    </xf>
    <xf numFmtId="0" fontId="39" fillId="0" borderId="85" xfId="40" applyFont="1" applyBorder="1" applyAlignment="1"/>
    <xf numFmtId="2" fontId="39" fillId="0" borderId="86" xfId="40" applyNumberFormat="1" applyFont="1" applyBorder="1" applyAlignment="1"/>
    <xf numFmtId="0" fontId="39" fillId="0" borderId="87" xfId="40" applyFont="1" applyBorder="1" applyAlignment="1"/>
    <xf numFmtId="2" fontId="39" fillId="0" borderId="14" xfId="40" applyNumberFormat="1" applyFont="1" applyBorder="1" applyAlignment="1"/>
    <xf numFmtId="2" fontId="24" fillId="0" borderId="24" xfId="0" applyNumberFormat="1" applyFont="1" applyBorder="1"/>
    <xf numFmtId="2" fontId="39" fillId="0" borderId="86" xfId="40" applyNumberFormat="1" applyFont="1" applyFill="1" applyBorder="1" applyAlignment="1"/>
    <xf numFmtId="2" fontId="39" fillId="0" borderId="14" xfId="40" applyNumberFormat="1" applyFont="1" applyFill="1" applyBorder="1" applyAlignment="1"/>
    <xf numFmtId="0" fontId="39" fillId="0" borderId="85" xfId="40" applyFont="1" applyBorder="1"/>
    <xf numFmtId="0" fontId="39" fillId="0" borderId="87" xfId="40" applyFont="1" applyFill="1" applyBorder="1"/>
    <xf numFmtId="0" fontId="39" fillId="0" borderId="87" xfId="40" applyFont="1" applyBorder="1"/>
    <xf numFmtId="0" fontId="37" fillId="28" borderId="91" xfId="40" applyFont="1" applyFill="1" applyBorder="1" applyAlignment="1"/>
    <xf numFmtId="0" fontId="37" fillId="25" borderId="91" xfId="40" applyFont="1" applyFill="1" applyBorder="1" applyAlignment="1"/>
    <xf numFmtId="0" fontId="24" fillId="0" borderId="85" xfId="0" applyFont="1" applyBorder="1" applyAlignment="1">
      <alignment vertical="center"/>
    </xf>
    <xf numFmtId="0" fontId="24" fillId="0" borderId="87" xfId="0" applyFont="1" applyBorder="1" applyAlignment="1">
      <alignment vertical="center"/>
    </xf>
    <xf numFmtId="0" fontId="24" fillId="0" borderId="89" xfId="0" applyFont="1" applyBorder="1" applyAlignment="1">
      <alignment vertical="center"/>
    </xf>
    <xf numFmtId="0" fontId="38" fillId="25" borderId="91" xfId="0" applyFont="1" applyFill="1" applyBorder="1" applyAlignment="1">
      <alignment vertical="center"/>
    </xf>
    <xf numFmtId="0" fontId="38" fillId="25" borderId="25" xfId="0" applyFont="1" applyFill="1" applyBorder="1"/>
    <xf numFmtId="0" fontId="24" fillId="0" borderId="63" xfId="0" applyFont="1" applyBorder="1"/>
    <xf numFmtId="0" fontId="24" fillId="0" borderId="0" xfId="0" applyFont="1" applyFill="1" applyBorder="1" applyAlignment="1">
      <alignment wrapText="1"/>
    </xf>
    <xf numFmtId="0" fontId="39" fillId="0" borderId="63" xfId="40" applyFont="1" applyFill="1" applyBorder="1" applyAlignment="1">
      <alignment wrapText="1"/>
    </xf>
    <xf numFmtId="0" fontId="39" fillId="20" borderId="11" xfId="40" applyFont="1" applyFill="1" applyBorder="1" applyAlignment="1"/>
    <xf numFmtId="0" fontId="0" fillId="0" borderId="41" xfId="0" applyFont="1" applyBorder="1" applyAlignment="1">
      <alignment horizontal="center" vertical="center" wrapText="1"/>
    </xf>
    <xf numFmtId="0" fontId="37" fillId="30" borderId="63" xfId="40" applyFont="1" applyFill="1" applyBorder="1" applyAlignment="1"/>
    <xf numFmtId="0" fontId="24" fillId="0" borderId="28" xfId="0" applyFont="1" applyBorder="1"/>
    <xf numFmtId="0" fontId="38" fillId="30" borderId="20" xfId="0" applyFont="1" applyFill="1" applyBorder="1"/>
    <xf numFmtId="0" fontId="39" fillId="0" borderId="15" xfId="0" applyFont="1" applyFill="1" applyBorder="1" applyAlignment="1"/>
    <xf numFmtId="2" fontId="38" fillId="30" borderId="35" xfId="0" applyNumberFormat="1" applyFont="1" applyFill="1" applyBorder="1"/>
    <xf numFmtId="0" fontId="39" fillId="0" borderId="17" xfId="0" applyFont="1" applyFill="1" applyBorder="1" applyAlignment="1"/>
    <xf numFmtId="0" fontId="39" fillId="0" borderId="15" xfId="0" applyFont="1" applyFill="1" applyBorder="1"/>
    <xf numFmtId="0" fontId="39" fillId="0" borderId="28" xfId="0" applyFont="1" applyFill="1" applyBorder="1"/>
    <xf numFmtId="0" fontId="38" fillId="30" borderId="11" xfId="0" applyFont="1" applyFill="1" applyBorder="1"/>
    <xf numFmtId="0" fontId="38" fillId="21" borderId="11" xfId="0" applyFont="1" applyFill="1" applyBorder="1"/>
    <xf numFmtId="0" fontId="38" fillId="21" borderId="20" xfId="0" applyFont="1" applyFill="1" applyBorder="1"/>
    <xf numFmtId="2" fontId="38" fillId="21" borderId="35" xfId="0" applyNumberFormat="1" applyFont="1" applyFill="1" applyBorder="1"/>
    <xf numFmtId="0" fontId="38" fillId="21" borderId="90" xfId="0" applyFont="1" applyFill="1" applyBorder="1"/>
    <xf numFmtId="2" fontId="38" fillId="21" borderId="40" xfId="0" applyNumberFormat="1" applyFont="1" applyFill="1" applyBorder="1"/>
    <xf numFmtId="0" fontId="0" fillId="0" borderId="48" xfId="0" applyBorder="1" applyAlignment="1">
      <alignment horizontal="center"/>
    </xf>
    <xf numFmtId="0" fontId="38" fillId="20" borderId="25" xfId="0" applyFont="1" applyFill="1" applyBorder="1"/>
    <xf numFmtId="0" fontId="27" fillId="0" borderId="0" xfId="40" applyFont="1" applyAlignment="1">
      <alignment horizontal="left"/>
    </xf>
    <xf numFmtId="0" fontId="1" fillId="0" borderId="0" xfId="40" applyAlignment="1">
      <alignment horizontal="left"/>
    </xf>
    <xf numFmtId="16" fontId="1" fillId="0" borderId="0" xfId="40" applyNumberFormat="1" applyAlignment="1">
      <alignment horizontal="left"/>
    </xf>
    <xf numFmtId="11" fontId="1" fillId="0" borderId="0" xfId="40" applyNumberFormat="1" applyAlignment="1">
      <alignment horizontal="right"/>
    </xf>
    <xf numFmtId="0" fontId="37" fillId="30" borderId="25" xfId="40" applyFont="1" applyFill="1" applyBorder="1" applyAlignment="1"/>
    <xf numFmtId="2" fontId="38" fillId="30" borderId="13" xfId="0" applyNumberFormat="1" applyFont="1" applyFill="1" applyBorder="1"/>
    <xf numFmtId="0" fontId="38" fillId="0" borderId="0" xfId="0" applyFont="1" applyFill="1" applyBorder="1"/>
    <xf numFmtId="0" fontId="37" fillId="21" borderId="25" xfId="40" applyFont="1" applyFill="1" applyBorder="1" applyAlignment="1"/>
    <xf numFmtId="2" fontId="38" fillId="21" borderId="13" xfId="0" applyNumberFormat="1" applyFont="1" applyFill="1" applyBorder="1"/>
    <xf numFmtId="10" fontId="1" fillId="0" borderId="0" xfId="40" applyNumberFormat="1"/>
    <xf numFmtId="0" fontId="27" fillId="25" borderId="0" xfId="40" applyFont="1" applyFill="1" applyAlignment="1">
      <alignment horizontal="right"/>
    </xf>
    <xf numFmtId="166" fontId="0" fillId="0" borderId="0" xfId="0" applyNumberFormat="1" applyAlignment="1">
      <alignment horizontal="center" vertical="center"/>
    </xf>
    <xf numFmtId="1"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wrapText="1"/>
    </xf>
    <xf numFmtId="2" fontId="0" fillId="0" borderId="0" xfId="0" applyNumberFormat="1" applyAlignment="1">
      <alignment horizontal="center" vertical="center" wrapText="1"/>
    </xf>
    <xf numFmtId="166" fontId="0" fillId="0" borderId="0" xfId="0" applyNumberFormat="1" applyAlignment="1">
      <alignment horizontal="center" vertical="center" wrapText="1"/>
    </xf>
    <xf numFmtId="1" fontId="0" fillId="0" borderId="0" xfId="0" applyNumberFormat="1" applyAlignment="1">
      <alignment horizontal="center" vertical="center" wrapText="1"/>
    </xf>
    <xf numFmtId="2" fontId="24" fillId="0" borderId="62" xfId="0" applyNumberFormat="1" applyFont="1" applyBorder="1"/>
    <xf numFmtId="2" fontId="38" fillId="28" borderId="13" xfId="0" applyNumberFormat="1" applyFont="1" applyFill="1" applyBorder="1"/>
    <xf numFmtId="0" fontId="27" fillId="0" borderId="0" xfId="40" applyFont="1"/>
    <xf numFmtId="10" fontId="27" fillId="0" borderId="0" xfId="40" applyNumberFormat="1" applyFont="1"/>
    <xf numFmtId="0" fontId="27" fillId="0" borderId="0" xfId="40" applyNumberFormat="1" applyFont="1"/>
    <xf numFmtId="2" fontId="0" fillId="0" borderId="0" xfId="0" applyNumberFormat="1"/>
    <xf numFmtId="0" fontId="1" fillId="0" borderId="0" xfId="40" applyFont="1"/>
    <xf numFmtId="10" fontId="1" fillId="0" borderId="0" xfId="40" applyNumberFormat="1" applyFont="1"/>
    <xf numFmtId="0" fontId="1" fillId="0" borderId="0" xfId="40" applyFont="1" applyAlignment="1">
      <alignment horizontal="left"/>
    </xf>
    <xf numFmtId="2" fontId="38" fillId="0" borderId="13" xfId="0" applyNumberFormat="1" applyFont="1" applyBorder="1"/>
    <xf numFmtId="2" fontId="24" fillId="0" borderId="30" xfId="0" applyNumberFormat="1" applyFont="1" applyBorder="1"/>
    <xf numFmtId="2" fontId="24" fillId="0" borderId="86" xfId="0" applyNumberFormat="1" applyFont="1" applyFill="1" applyBorder="1"/>
    <xf numFmtId="2" fontId="24" fillId="0" borderId="62" xfId="0" applyNumberFormat="1" applyFont="1" applyFill="1" applyBorder="1"/>
    <xf numFmtId="2" fontId="24" fillId="0" borderId="14" xfId="0" applyNumberFormat="1" applyFont="1" applyFill="1" applyBorder="1"/>
    <xf numFmtId="2" fontId="38" fillId="28" borderId="22" xfId="0" applyNumberFormat="1" applyFont="1" applyFill="1" applyBorder="1"/>
    <xf numFmtId="2" fontId="38" fillId="25" borderId="22" xfId="0" applyNumberFormat="1" applyFont="1" applyFill="1" applyBorder="1"/>
    <xf numFmtId="2" fontId="24" fillId="0" borderId="86" xfId="0" applyNumberFormat="1" applyFont="1" applyBorder="1" applyAlignment="1">
      <alignment vertical="center"/>
    </xf>
    <xf numFmtId="2" fontId="24" fillId="0" borderId="14" xfId="0" applyNumberFormat="1" applyFont="1" applyBorder="1" applyAlignment="1">
      <alignment vertical="center"/>
    </xf>
    <xf numFmtId="2" fontId="24" fillId="0" borderId="30" xfId="0" applyNumberFormat="1" applyFont="1" applyBorder="1" applyAlignment="1">
      <alignment vertical="center"/>
    </xf>
    <xf numFmtId="2" fontId="38" fillId="25" borderId="22" xfId="0" applyNumberFormat="1" applyFont="1" applyFill="1" applyBorder="1" applyAlignment="1">
      <alignment vertical="center"/>
    </xf>
    <xf numFmtId="2" fontId="24" fillId="20" borderId="13" xfId="0" applyNumberFormat="1" applyFont="1" applyFill="1" applyBorder="1"/>
    <xf numFmtId="2" fontId="38" fillId="20" borderId="13" xfId="0" applyNumberFormat="1" applyFont="1" applyFill="1" applyBorder="1"/>
    <xf numFmtId="0" fontId="1" fillId="25" borderId="0" xfId="40" applyFont="1" applyFill="1" applyAlignment="1">
      <alignment horizontal="right"/>
    </xf>
    <xf numFmtId="0" fontId="39" fillId="0" borderId="91" xfId="40" applyFont="1" applyFill="1" applyBorder="1" applyAlignment="1">
      <alignment wrapText="1"/>
    </xf>
    <xf numFmtId="2" fontId="24" fillId="0" borderId="22" xfId="0" applyNumberFormat="1" applyFont="1" applyFill="1" applyBorder="1"/>
    <xf numFmtId="0" fontId="39" fillId="0" borderId="17" xfId="40" applyFont="1" applyFill="1" applyBorder="1" applyAlignment="1">
      <alignment wrapText="1"/>
    </xf>
    <xf numFmtId="2" fontId="24" fillId="0" borderId="24" xfId="0" applyNumberFormat="1" applyFont="1" applyFill="1" applyBorder="1"/>
    <xf numFmtId="169" fontId="1" fillId="0" borderId="0" xfId="40" applyNumberFormat="1" applyAlignment="1">
      <alignment horizontal="right"/>
    </xf>
    <xf numFmtId="2" fontId="0" fillId="0" borderId="0" xfId="0" applyNumberFormat="1" applyFill="1"/>
    <xf numFmtId="0" fontId="42" fillId="0" borderId="0" xfId="0" applyFont="1" applyFill="1" applyBorder="1" applyAlignment="1">
      <alignment horizontal="center"/>
    </xf>
    <xf numFmtId="0" fontId="42" fillId="0" borderId="0" xfId="0" applyFont="1" applyFill="1" applyBorder="1" applyAlignment="1"/>
    <xf numFmtId="0" fontId="20" fillId="35" borderId="88" xfId="0" applyFont="1" applyFill="1" applyBorder="1" applyAlignment="1">
      <alignment horizontal="center"/>
    </xf>
    <xf numFmtId="0" fontId="29" fillId="0" borderId="0" xfId="0" applyFont="1" applyFill="1" applyBorder="1" applyAlignment="1">
      <alignment horizontal="center"/>
    </xf>
    <xf numFmtId="0" fontId="20" fillId="30" borderId="88" xfId="0" applyFont="1" applyFill="1" applyBorder="1" applyAlignment="1">
      <alignment horizontal="center"/>
    </xf>
    <xf numFmtId="0" fontId="20" fillId="0" borderId="0" xfId="0" applyFont="1" applyFill="1" applyBorder="1" applyAlignment="1"/>
    <xf numFmtId="0" fontId="41" fillId="36" borderId="17" xfId="0" applyFont="1" applyFill="1" applyBorder="1" applyAlignment="1">
      <alignment horizontal="center" vertical="center" wrapText="1"/>
    </xf>
    <xf numFmtId="0" fontId="41" fillId="36" borderId="44" xfId="0" applyFont="1" applyFill="1" applyBorder="1" applyAlignment="1">
      <alignment horizontal="center" vertical="center" wrapText="1"/>
    </xf>
    <xf numFmtId="0" fontId="41" fillId="36" borderId="28" xfId="0" applyFont="1" applyFill="1" applyBorder="1" applyAlignment="1">
      <alignment horizontal="center" vertical="center" wrapText="1"/>
    </xf>
    <xf numFmtId="0" fontId="41" fillId="36" borderId="93" xfId="0" applyFont="1" applyFill="1" applyBorder="1" applyAlignment="1">
      <alignment horizontal="center" vertical="center" wrapText="1"/>
    </xf>
    <xf numFmtId="0" fontId="41" fillId="36" borderId="61" xfId="0" applyFont="1" applyFill="1" applyBorder="1" applyAlignment="1">
      <alignment horizontal="center" vertical="center" wrapText="1"/>
    </xf>
    <xf numFmtId="0" fontId="41" fillId="0" borderId="0" xfId="0" applyFont="1" applyFill="1" applyBorder="1" applyAlignment="1">
      <alignment horizontal="center" vertical="center"/>
    </xf>
    <xf numFmtId="0" fontId="41" fillId="31" borderId="17" xfId="0" applyFont="1" applyFill="1" applyBorder="1" applyAlignment="1">
      <alignment horizontal="center" vertical="center" wrapText="1"/>
    </xf>
    <xf numFmtId="0" fontId="41" fillId="31" borderId="44" xfId="0" applyFont="1" applyFill="1" applyBorder="1" applyAlignment="1">
      <alignment horizontal="center" vertical="center" wrapText="1"/>
    </xf>
    <xf numFmtId="0" fontId="41" fillId="31" borderId="45" xfId="0" applyFont="1" applyFill="1" applyBorder="1" applyAlignment="1">
      <alignment horizontal="center" vertical="center" wrapText="1"/>
    </xf>
    <xf numFmtId="0" fontId="0" fillId="24" borderId="73" xfId="0" applyFill="1" applyBorder="1" applyAlignment="1">
      <alignment horizontal="center"/>
    </xf>
    <xf numFmtId="2" fontId="0" fillId="24" borderId="23" xfId="0" applyNumberFormat="1" applyFill="1" applyBorder="1" applyAlignment="1">
      <alignment horizontal="center"/>
    </xf>
    <xf numFmtId="2" fontId="0" fillId="24" borderId="85" xfId="0" applyNumberFormat="1" applyFill="1" applyBorder="1" applyAlignment="1">
      <alignment horizontal="center"/>
    </xf>
    <xf numFmtId="2" fontId="0" fillId="24" borderId="47" xfId="0" applyNumberFormat="1" applyFill="1" applyBorder="1" applyAlignment="1">
      <alignment horizontal="center"/>
    </xf>
    <xf numFmtId="2" fontId="0" fillId="24" borderId="46" xfId="0" applyNumberFormat="1" applyFill="1" applyBorder="1" applyAlignment="1">
      <alignment horizontal="center"/>
    </xf>
    <xf numFmtId="2" fontId="21" fillId="0" borderId="0" xfId="0" applyNumberFormat="1" applyFont="1" applyFill="1" applyBorder="1" applyAlignment="1">
      <alignment horizontal="center"/>
    </xf>
    <xf numFmtId="10" fontId="0" fillId="24" borderId="15" xfId="0" applyNumberFormat="1" applyFill="1" applyBorder="1" applyAlignment="1">
      <alignment horizontal="center"/>
    </xf>
    <xf numFmtId="10" fontId="0" fillId="24" borderId="87" xfId="0" applyNumberFormat="1" applyFill="1" applyBorder="1" applyAlignment="1">
      <alignment horizontal="center"/>
    </xf>
    <xf numFmtId="10" fontId="0" fillId="24" borderId="42" xfId="0" applyNumberFormat="1" applyFill="1" applyBorder="1" applyAlignment="1">
      <alignment horizontal="center"/>
    </xf>
    <xf numFmtId="10" fontId="0" fillId="24" borderId="43" xfId="0" applyNumberFormat="1" applyFill="1" applyBorder="1" applyAlignment="1">
      <alignment horizontal="center"/>
    </xf>
    <xf numFmtId="10" fontId="21"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0" fillId="27" borderId="15" xfId="0" applyNumberFormat="1" applyFill="1" applyBorder="1" applyAlignment="1">
      <alignment horizontal="center"/>
    </xf>
    <xf numFmtId="2" fontId="0" fillId="27" borderId="87" xfId="0" applyNumberFormat="1" applyFill="1" applyBorder="1" applyAlignment="1">
      <alignment horizontal="center"/>
    </xf>
    <xf numFmtId="10" fontId="0" fillId="27" borderId="15" xfId="0" applyNumberFormat="1" applyFill="1" applyBorder="1" applyAlignment="1">
      <alignment horizontal="center"/>
    </xf>
    <xf numFmtId="10" fontId="0" fillId="27" borderId="87" xfId="0" applyNumberFormat="1" applyFill="1" applyBorder="1" applyAlignment="1">
      <alignment horizontal="center"/>
    </xf>
    <xf numFmtId="10" fontId="0" fillId="27" borderId="42" xfId="0" applyNumberFormat="1" applyFill="1" applyBorder="1" applyAlignment="1">
      <alignment horizontal="center"/>
    </xf>
    <xf numFmtId="10" fontId="0" fillId="27" borderId="43" xfId="0" applyNumberFormat="1" applyFill="1" applyBorder="1" applyAlignment="1">
      <alignment horizontal="center"/>
    </xf>
    <xf numFmtId="2" fontId="28" fillId="27" borderId="15" xfId="0" applyNumberFormat="1" applyFont="1" applyFill="1" applyBorder="1" applyAlignment="1">
      <alignment horizontal="center"/>
    </xf>
    <xf numFmtId="2" fontId="28" fillId="27" borderId="87" xfId="0" applyNumberFormat="1" applyFont="1" applyFill="1" applyBorder="1" applyAlignment="1">
      <alignment horizontal="center"/>
    </xf>
    <xf numFmtId="2" fontId="28" fillId="27" borderId="42" xfId="0" applyNumberFormat="1" applyFont="1" applyFill="1" applyBorder="1" applyAlignment="1">
      <alignment horizontal="center"/>
    </xf>
    <xf numFmtId="2" fontId="28" fillId="27" borderId="43" xfId="0" applyNumberFormat="1" applyFont="1" applyFill="1" applyBorder="1" applyAlignment="1">
      <alignment horizontal="center"/>
    </xf>
    <xf numFmtId="0" fontId="0" fillId="27" borderId="94" xfId="0" applyFill="1" applyBorder="1" applyAlignment="1">
      <alignment horizontal="center"/>
    </xf>
    <xf numFmtId="10" fontId="28" fillId="27" borderId="28" xfId="0" applyNumberFormat="1" applyFont="1" applyFill="1" applyBorder="1" applyAlignment="1">
      <alignment horizontal="center"/>
    </xf>
    <xf numFmtId="10" fontId="28" fillId="27" borderId="89" xfId="0" applyNumberFormat="1" applyFont="1" applyFill="1" applyBorder="1" applyAlignment="1">
      <alignment horizontal="center"/>
    </xf>
    <xf numFmtId="10" fontId="28" fillId="27" borderId="93" xfId="0" applyNumberFormat="1" applyFont="1" applyFill="1" applyBorder="1" applyAlignment="1">
      <alignment horizontal="center"/>
    </xf>
    <xf numFmtId="10" fontId="28" fillId="27" borderId="61" xfId="0" applyNumberFormat="1" applyFont="1" applyFill="1" applyBorder="1" applyAlignment="1">
      <alignment horizontal="center"/>
    </xf>
    <xf numFmtId="10" fontId="30" fillId="0" borderId="0" xfId="0" applyNumberFormat="1" applyFont="1" applyFill="1" applyBorder="1" applyAlignment="1">
      <alignment horizontal="center"/>
    </xf>
    <xf numFmtId="0" fontId="20" fillId="0" borderId="72" xfId="0" applyFont="1" applyBorder="1" applyAlignment="1">
      <alignment horizontal="center" vertical="center"/>
    </xf>
    <xf numFmtId="2" fontId="20" fillId="0" borderId="15" xfId="0" applyNumberFormat="1" applyFont="1" applyBorder="1" applyAlignment="1">
      <alignment horizontal="center" vertical="center"/>
    </xf>
    <xf numFmtId="2" fontId="20" fillId="0" borderId="87" xfId="0" applyNumberFormat="1" applyFont="1" applyBorder="1" applyAlignment="1">
      <alignment horizontal="center" vertical="center"/>
    </xf>
    <xf numFmtId="2" fontId="20" fillId="0" borderId="42" xfId="0" applyNumberFormat="1" applyFont="1" applyBorder="1" applyAlignment="1">
      <alignment horizontal="center" vertical="center"/>
    </xf>
    <xf numFmtId="2" fontId="20" fillId="0" borderId="43" xfId="0" applyNumberFormat="1" applyFont="1" applyBorder="1" applyAlignment="1">
      <alignment horizontal="center" vertical="center"/>
    </xf>
    <xf numFmtId="2" fontId="21" fillId="0" borderId="0" xfId="0" applyNumberFormat="1" applyFont="1" applyFill="1" applyBorder="1" applyAlignment="1">
      <alignment horizontal="center" vertical="center"/>
    </xf>
    <xf numFmtId="0" fontId="0" fillId="0" borderId="0" xfId="0" applyFill="1" applyBorder="1" applyAlignment="1">
      <alignment vertical="center"/>
    </xf>
    <xf numFmtId="0" fontId="0" fillId="0" borderId="0" xfId="0" applyAlignment="1">
      <alignment vertical="center"/>
    </xf>
    <xf numFmtId="0" fontId="20" fillId="0" borderId="36" xfId="0" applyFont="1" applyBorder="1" applyAlignment="1">
      <alignment horizontal="center"/>
    </xf>
    <xf numFmtId="2" fontId="20" fillId="0" borderId="50" xfId="0" applyNumberFormat="1" applyFont="1" applyBorder="1" applyAlignment="1">
      <alignment horizontal="center"/>
    </xf>
    <xf numFmtId="2" fontId="20" fillId="0" borderId="40" xfId="0" applyNumberFormat="1" applyFont="1" applyBorder="1" applyAlignment="1">
      <alignment horizontal="center"/>
    </xf>
    <xf numFmtId="2" fontId="20" fillId="0" borderId="17" xfId="0" applyNumberFormat="1" applyFont="1" applyBorder="1" applyAlignment="1">
      <alignment horizontal="center"/>
    </xf>
    <xf numFmtId="2" fontId="20" fillId="0" borderId="44" xfId="0" applyNumberFormat="1" applyFont="1" applyBorder="1" applyAlignment="1">
      <alignment horizontal="center"/>
    </xf>
    <xf numFmtId="0" fontId="0" fillId="32" borderId="32" xfId="0" applyFill="1" applyBorder="1" applyAlignment="1">
      <alignment horizontal="center"/>
    </xf>
    <xf numFmtId="2" fontId="0" fillId="32" borderId="23" xfId="0" applyNumberFormat="1" applyFill="1" applyBorder="1" applyAlignment="1">
      <alignment horizontal="center"/>
    </xf>
    <xf numFmtId="2" fontId="0" fillId="32" borderId="85" xfId="0" applyNumberFormat="1" applyFill="1" applyBorder="1" applyAlignment="1">
      <alignment horizontal="center"/>
    </xf>
    <xf numFmtId="2" fontId="0" fillId="32" borderId="46" xfId="0" applyNumberFormat="1" applyFill="1" applyBorder="1" applyAlignment="1">
      <alignment horizontal="center"/>
    </xf>
    <xf numFmtId="164" fontId="0" fillId="0" borderId="0" xfId="0" applyNumberFormat="1" applyFill="1" applyBorder="1" applyAlignment="1">
      <alignment horizontal="center"/>
    </xf>
    <xf numFmtId="2" fontId="0" fillId="32" borderId="15" xfId="0" applyNumberFormat="1" applyFill="1" applyBorder="1" applyAlignment="1">
      <alignment horizontal="center"/>
    </xf>
    <xf numFmtId="2" fontId="0" fillId="32" borderId="87" xfId="0" applyNumberFormat="1" applyFill="1" applyBorder="1" applyAlignment="1">
      <alignment horizontal="center"/>
    </xf>
    <xf numFmtId="2" fontId="0" fillId="32" borderId="42" xfId="0" applyNumberFormat="1" applyFill="1" applyBorder="1" applyAlignment="1">
      <alignment horizontal="center"/>
    </xf>
    <xf numFmtId="2" fontId="0" fillId="32" borderId="43" xfId="0" applyNumberFormat="1" applyFill="1" applyBorder="1" applyAlignment="1">
      <alignment horizontal="center"/>
    </xf>
    <xf numFmtId="10" fontId="0" fillId="32" borderId="17" xfId="0" applyNumberFormat="1" applyFill="1" applyBorder="1" applyAlignment="1">
      <alignment horizontal="center"/>
    </xf>
    <xf numFmtId="10" fontId="0" fillId="32" borderId="95" xfId="0" applyNumberFormat="1" applyFill="1" applyBorder="1" applyAlignment="1">
      <alignment horizontal="center"/>
    </xf>
    <xf numFmtId="10" fontId="0" fillId="32" borderId="44" xfId="0" applyNumberFormat="1" applyFill="1" applyBorder="1" applyAlignment="1">
      <alignment horizontal="center"/>
    </xf>
    <xf numFmtId="10" fontId="0" fillId="32" borderId="45" xfId="0" applyNumberFormat="1" applyFill="1" applyBorder="1" applyAlignment="1">
      <alignment horizontal="center"/>
    </xf>
    <xf numFmtId="0" fontId="0" fillId="0" borderId="0" xfId="0" applyBorder="1" applyAlignment="1">
      <alignment horizontal="center" vertical="center" wrapText="1"/>
    </xf>
    <xf numFmtId="10" fontId="0" fillId="0" borderId="0" xfId="0" applyNumberFormat="1"/>
    <xf numFmtId="10" fontId="0" fillId="0" borderId="0" xfId="0" applyNumberFormat="1" applyFill="1" applyBorder="1"/>
    <xf numFmtId="2" fontId="0" fillId="0" borderId="0" xfId="0" applyNumberFormat="1" applyFill="1" applyBorder="1"/>
    <xf numFmtId="2" fontId="0" fillId="24" borderId="72" xfId="0" applyNumberFormat="1" applyFill="1" applyBorder="1" applyAlignment="1">
      <alignment horizontal="center"/>
    </xf>
    <xf numFmtId="2" fontId="0" fillId="24" borderId="15" xfId="0" applyNumberFormat="1" applyFill="1" applyBorder="1" applyAlignment="1">
      <alignment horizontal="center"/>
    </xf>
    <xf numFmtId="2" fontId="0" fillId="24" borderId="87" xfId="0" applyNumberFormat="1" applyFill="1" applyBorder="1" applyAlignment="1">
      <alignment horizontal="center"/>
    </xf>
    <xf numFmtId="2" fontId="0" fillId="27" borderId="33" xfId="0" applyNumberFormat="1" applyFill="1" applyBorder="1" applyAlignment="1">
      <alignment horizontal="center"/>
    </xf>
    <xf numFmtId="2" fontId="28" fillId="27" borderId="28" xfId="0" applyNumberFormat="1" applyFont="1" applyFill="1" applyBorder="1" applyAlignment="1">
      <alignment horizontal="center"/>
    </xf>
    <xf numFmtId="2" fontId="28" fillId="27" borderId="89" xfId="0" applyNumberFormat="1" applyFont="1" applyFill="1" applyBorder="1" applyAlignment="1">
      <alignment horizontal="center"/>
    </xf>
    <xf numFmtId="2" fontId="28" fillId="27" borderId="93" xfId="0" applyNumberFormat="1" applyFont="1" applyFill="1" applyBorder="1" applyAlignment="1">
      <alignment horizontal="center"/>
    </xf>
    <xf numFmtId="2" fontId="28" fillId="27" borderId="61" xfId="0" applyNumberFormat="1" applyFont="1" applyFill="1" applyBorder="1" applyAlignment="1">
      <alignment horizontal="center"/>
    </xf>
    <xf numFmtId="10" fontId="0" fillId="32" borderId="34" xfId="0" applyNumberFormat="1" applyFill="1" applyBorder="1" applyAlignment="1">
      <alignment horizontal="center"/>
    </xf>
    <xf numFmtId="10" fontId="0" fillId="0" borderId="0" xfId="0" applyNumberFormat="1" applyBorder="1"/>
    <xf numFmtId="1" fontId="1" fillId="0" borderId="0" xfId="40" applyNumberFormat="1" applyAlignment="1">
      <alignment horizontal="right"/>
    </xf>
    <xf numFmtId="0" fontId="20" fillId="0" borderId="54" xfId="0" applyFont="1" applyBorder="1" applyAlignment="1">
      <alignment horizontal="center"/>
    </xf>
    <xf numFmtId="0" fontId="0" fillId="0" borderId="0" xfId="0" applyFill="1" applyAlignment="1">
      <alignment horizontal="center"/>
    </xf>
    <xf numFmtId="0" fontId="0" fillId="0" borderId="0" xfId="0" applyAlignment="1">
      <alignment horizontal="left"/>
    </xf>
    <xf numFmtId="0" fontId="0" fillId="0" borderId="0" xfId="0" applyAlignment="1">
      <alignment horizontal="right"/>
    </xf>
    <xf numFmtId="0" fontId="0" fillId="0" borderId="27" xfId="0" applyBorder="1"/>
    <xf numFmtId="2" fontId="0" fillId="0" borderId="0" xfId="0" applyNumberFormat="1" applyBorder="1"/>
    <xf numFmtId="0" fontId="0" fillId="0" borderId="0" xfId="0" applyAlignment="1">
      <alignment horizontal="center" wrapText="1"/>
    </xf>
    <xf numFmtId="0" fontId="20" fillId="0" borderId="36" xfId="0" applyFont="1" applyBorder="1" applyAlignment="1">
      <alignment vertical="center" wrapText="1"/>
    </xf>
    <xf numFmtId="0" fontId="0" fillId="0" borderId="40" xfId="0" applyBorder="1" applyAlignment="1">
      <alignment wrapText="1"/>
    </xf>
    <xf numFmtId="0" fontId="20" fillId="0" borderId="20" xfId="0" applyFont="1" applyBorder="1" applyAlignment="1">
      <alignment horizontal="center" vertical="center" wrapText="1"/>
    </xf>
    <xf numFmtId="0" fontId="20" fillId="0" borderId="97"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35"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21" xfId="0" applyFont="1" applyBorder="1" applyAlignment="1">
      <alignment horizontal="center" vertical="center" wrapText="1"/>
    </xf>
    <xf numFmtId="0" fontId="20" fillId="0" borderId="22" xfId="0" applyFont="1" applyBorder="1" applyAlignment="1">
      <alignment horizontal="center" vertical="center" wrapText="1"/>
    </xf>
    <xf numFmtId="0" fontId="20" fillId="0" borderId="31" xfId="0" applyFont="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20" fillId="0" borderId="13" xfId="0" applyFont="1" applyFill="1" applyBorder="1" applyAlignment="1">
      <alignment horizontal="center" vertical="center" wrapText="1"/>
    </xf>
    <xf numFmtId="2" fontId="21" fillId="33" borderId="10" xfId="0" applyNumberFormat="1" applyFont="1" applyFill="1" applyBorder="1" applyAlignment="1">
      <alignment horizontal="center" wrapText="1"/>
    </xf>
    <xf numFmtId="2" fontId="21" fillId="33" borderId="86" xfId="0" applyNumberFormat="1" applyFont="1" applyFill="1" applyBorder="1" applyAlignment="1">
      <alignment horizontal="center" wrapText="1"/>
    </xf>
    <xf numFmtId="2" fontId="21" fillId="33" borderId="30" xfId="0" applyNumberFormat="1" applyFont="1" applyFill="1" applyBorder="1" applyAlignment="1">
      <alignment horizontal="center" vertical="center" wrapText="1"/>
    </xf>
    <xf numFmtId="2" fontId="0" fillId="33" borderId="20" xfId="0" applyNumberFormat="1" applyFill="1" applyBorder="1" applyAlignment="1">
      <alignment vertical="center" wrapText="1"/>
    </xf>
    <xf numFmtId="2" fontId="21" fillId="33" borderId="22" xfId="0" applyNumberFormat="1" applyFont="1" applyFill="1" applyBorder="1" applyAlignment="1">
      <alignment horizontal="center" vertical="center" wrapText="1"/>
    </xf>
    <xf numFmtId="2" fontId="21" fillId="33" borderId="16" xfId="0" applyNumberFormat="1" applyFont="1" applyFill="1" applyBorder="1" applyAlignment="1">
      <alignment horizontal="center" wrapText="1"/>
    </xf>
    <xf numFmtId="2" fontId="21" fillId="33" borderId="14" xfId="0" applyNumberFormat="1" applyFont="1" applyFill="1" applyBorder="1" applyAlignment="1">
      <alignment horizontal="center" wrapText="1"/>
    </xf>
    <xf numFmtId="2" fontId="0" fillId="33" borderId="28" xfId="0" applyNumberFormat="1" applyFill="1" applyBorder="1" applyAlignment="1">
      <alignment vertical="center" wrapText="1"/>
    </xf>
    <xf numFmtId="2" fontId="21" fillId="33" borderId="29" xfId="0" applyNumberFormat="1" applyFont="1" applyFill="1" applyBorder="1" applyAlignment="1">
      <alignment horizontal="center" vertical="center" wrapText="1"/>
    </xf>
    <xf numFmtId="2" fontId="0" fillId="33" borderId="89" xfId="0" applyNumberFormat="1" applyFill="1" applyBorder="1" applyAlignment="1">
      <alignment vertical="center" wrapText="1"/>
    </xf>
    <xf numFmtId="2" fontId="21" fillId="33" borderId="29" xfId="0" applyNumberFormat="1" applyFont="1" applyFill="1" applyBorder="1" applyAlignment="1">
      <alignment horizontal="center" wrapText="1"/>
    </xf>
    <xf numFmtId="0" fontId="0" fillId="33" borderId="28" xfId="0" applyFill="1" applyBorder="1" applyAlignment="1">
      <alignment vertical="center" wrapText="1"/>
    </xf>
    <xf numFmtId="0" fontId="0" fillId="33" borderId="29" xfId="0" applyFill="1" applyBorder="1" applyAlignment="1">
      <alignment vertical="center" wrapText="1"/>
    </xf>
    <xf numFmtId="0" fontId="21" fillId="33" borderId="29" xfId="0" applyFont="1" applyFill="1" applyBorder="1" applyAlignment="1">
      <alignment horizontal="center" vertical="center" wrapText="1"/>
    </xf>
    <xf numFmtId="2" fontId="21" fillId="33" borderId="14" xfId="0" applyNumberFormat="1" applyFont="1" applyFill="1" applyBorder="1" applyAlignment="1">
      <alignment horizontal="center" vertical="center" wrapText="1"/>
    </xf>
    <xf numFmtId="2" fontId="21" fillId="33" borderId="16" xfId="0" applyNumberFormat="1" applyFont="1" applyFill="1" applyBorder="1" applyAlignment="1">
      <alignment horizontal="center" vertical="center" wrapText="1"/>
    </xf>
    <xf numFmtId="0" fontId="0" fillId="33" borderId="89" xfId="0" applyFill="1" applyBorder="1" applyAlignment="1">
      <alignment vertical="center" wrapText="1"/>
    </xf>
    <xf numFmtId="0" fontId="0" fillId="33" borderId="94" xfId="0" applyFill="1" applyBorder="1" applyAlignment="1">
      <alignment vertical="center" wrapText="1"/>
    </xf>
    <xf numFmtId="2" fontId="21" fillId="33" borderId="30" xfId="0" applyNumberFormat="1" applyFont="1" applyFill="1" applyBorder="1" applyAlignment="1">
      <alignment horizontal="center" wrapText="1"/>
    </xf>
    <xf numFmtId="0" fontId="0" fillId="0" borderId="91" xfId="0" applyFill="1" applyBorder="1" applyAlignment="1">
      <alignment vertical="center" wrapText="1"/>
    </xf>
    <xf numFmtId="0" fontId="0" fillId="0" borderId="97" xfId="0" applyFill="1" applyBorder="1" applyAlignment="1">
      <alignment vertical="center" wrapText="1"/>
    </xf>
    <xf numFmtId="2" fontId="21" fillId="0" borderId="10" xfId="0" applyNumberFormat="1" applyFont="1" applyFill="1" applyBorder="1" applyAlignment="1">
      <alignment horizontal="center" wrapText="1"/>
    </xf>
    <xf numFmtId="2" fontId="21" fillId="0" borderId="86" xfId="0" applyNumberFormat="1" applyFont="1" applyFill="1" applyBorder="1" applyAlignment="1">
      <alignment horizontal="center" wrapText="1"/>
    </xf>
    <xf numFmtId="0" fontId="0" fillId="0" borderId="20" xfId="0" applyFill="1" applyBorder="1" applyAlignment="1">
      <alignment vertical="center" wrapText="1"/>
    </xf>
    <xf numFmtId="2" fontId="21" fillId="0" borderId="86" xfId="0" applyNumberFormat="1" applyFont="1" applyFill="1" applyBorder="1" applyAlignment="1">
      <alignment horizontal="center" vertical="center" wrapText="1"/>
    </xf>
    <xf numFmtId="0" fontId="0" fillId="0" borderId="21" xfId="0" applyFill="1" applyBorder="1" applyAlignment="1">
      <alignment vertical="center" wrapText="1"/>
    </xf>
    <xf numFmtId="0" fontId="21" fillId="0" borderId="21" xfId="0" applyFont="1" applyFill="1" applyBorder="1" applyAlignment="1">
      <alignment horizontal="center" vertical="center" wrapText="1"/>
    </xf>
    <xf numFmtId="2" fontId="21" fillId="0" borderId="22" xfId="0" applyNumberFormat="1" applyFont="1" applyFill="1" applyBorder="1" applyAlignment="1">
      <alignment horizontal="center" vertical="center" wrapText="1"/>
    </xf>
    <xf numFmtId="2" fontId="0" fillId="0" borderId="20" xfId="0" applyNumberFormat="1" applyFill="1" applyBorder="1" applyAlignment="1">
      <alignment vertical="center" wrapText="1"/>
    </xf>
    <xf numFmtId="2" fontId="0" fillId="0" borderId="28" xfId="0" applyNumberFormat="1" applyFill="1" applyBorder="1" applyAlignment="1">
      <alignment vertical="center" wrapText="1"/>
    </xf>
    <xf numFmtId="2" fontId="21" fillId="0" borderId="29" xfId="0" applyNumberFormat="1" applyFont="1" applyFill="1" applyBorder="1" applyAlignment="1">
      <alignment horizontal="center" vertical="center" wrapText="1"/>
    </xf>
    <xf numFmtId="2" fontId="21" fillId="0" borderId="30" xfId="0" applyNumberFormat="1" applyFont="1" applyFill="1" applyBorder="1" applyAlignment="1">
      <alignment horizontal="center" vertical="center" wrapText="1"/>
    </xf>
    <xf numFmtId="2" fontId="0" fillId="0" borderId="91" xfId="0" applyNumberFormat="1" applyFill="1" applyBorder="1" applyAlignment="1">
      <alignment vertical="center" wrapText="1"/>
    </xf>
    <xf numFmtId="0" fontId="0" fillId="0" borderId="89" xfId="0" applyFill="1" applyBorder="1" applyAlignment="1">
      <alignment vertical="center" wrapText="1"/>
    </xf>
    <xf numFmtId="0" fontId="0" fillId="0" borderId="94" xfId="0" applyFill="1" applyBorder="1" applyAlignment="1">
      <alignment vertical="center" wrapText="1"/>
    </xf>
    <xf numFmtId="2" fontId="21" fillId="0" borderId="29" xfId="0" applyNumberFormat="1" applyFont="1" applyFill="1" applyBorder="1" applyAlignment="1">
      <alignment horizontal="center" wrapText="1"/>
    </xf>
    <xf numFmtId="2" fontId="21" fillId="0" borderId="30" xfId="0" applyNumberFormat="1" applyFont="1" applyFill="1" applyBorder="1" applyAlignment="1">
      <alignment horizontal="center" wrapText="1"/>
    </xf>
    <xf numFmtId="0" fontId="0" fillId="0" borderId="28" xfId="0" applyFill="1" applyBorder="1" applyAlignment="1">
      <alignment vertical="center" wrapText="1"/>
    </xf>
    <xf numFmtId="2" fontId="21" fillId="0" borderId="14" xfId="0" applyNumberFormat="1" applyFont="1" applyFill="1" applyBorder="1" applyAlignment="1">
      <alignment horizontal="center" vertical="center" wrapText="1"/>
    </xf>
    <xf numFmtId="0" fontId="0" fillId="0" borderId="29" xfId="0" applyFill="1" applyBorder="1" applyAlignment="1">
      <alignment vertical="center" wrapText="1"/>
    </xf>
    <xf numFmtId="0" fontId="21" fillId="0" borderId="29" xfId="0" applyFont="1" applyFill="1" applyBorder="1" applyAlignment="1">
      <alignment horizontal="center" vertical="center" wrapText="1"/>
    </xf>
    <xf numFmtId="2" fontId="0" fillId="0" borderId="89" xfId="0" applyNumberFormat="1" applyFill="1" applyBorder="1" applyAlignment="1">
      <alignment vertical="center" wrapText="1"/>
    </xf>
    <xf numFmtId="0" fontId="0" fillId="0" borderId="18" xfId="0" applyFill="1" applyBorder="1" applyAlignment="1">
      <alignment vertical="center" wrapText="1"/>
    </xf>
    <xf numFmtId="0" fontId="0" fillId="0" borderId="34" xfId="0" applyFill="1" applyBorder="1" applyAlignment="1">
      <alignment vertical="center" wrapText="1"/>
    </xf>
    <xf numFmtId="2" fontId="21" fillId="0" borderId="18" xfId="0" applyNumberFormat="1" applyFont="1" applyFill="1" applyBorder="1" applyAlignment="1">
      <alignment horizontal="center" wrapText="1"/>
    </xf>
    <xf numFmtId="2" fontId="21" fillId="0" borderId="24" xfId="0" applyNumberFormat="1" applyFont="1" applyFill="1" applyBorder="1" applyAlignment="1">
      <alignment horizontal="center" wrapText="1"/>
    </xf>
    <xf numFmtId="0" fontId="0" fillId="0" borderId="17" xfId="0" applyFill="1" applyBorder="1" applyAlignment="1">
      <alignment vertical="center" wrapText="1"/>
    </xf>
    <xf numFmtId="2" fontId="0" fillId="0" borderId="17" xfId="0" applyNumberFormat="1" applyFill="1" applyBorder="1" applyAlignment="1">
      <alignment vertical="center" wrapText="1"/>
    </xf>
    <xf numFmtId="2" fontId="21" fillId="0" borderId="24" xfId="0" applyNumberFormat="1" applyFont="1" applyFill="1" applyBorder="1" applyAlignment="1">
      <alignment horizontal="center" vertical="center" wrapText="1"/>
    </xf>
    <xf numFmtId="0" fontId="0" fillId="33" borderId="91" xfId="0" applyFill="1" applyBorder="1" applyAlignment="1">
      <alignment vertical="center" wrapText="1"/>
    </xf>
    <xf numFmtId="0" fontId="0" fillId="33" borderId="97" xfId="0" applyFill="1" applyBorder="1" applyAlignment="1">
      <alignment vertical="center" wrapText="1"/>
    </xf>
    <xf numFmtId="2" fontId="21" fillId="33" borderId="21" xfId="0" applyNumberFormat="1" applyFont="1" applyFill="1" applyBorder="1" applyAlignment="1">
      <alignment horizontal="center" wrapText="1"/>
    </xf>
    <xf numFmtId="2" fontId="21" fillId="33" borderId="22" xfId="0" applyNumberFormat="1" applyFont="1" applyFill="1" applyBorder="1" applyAlignment="1">
      <alignment horizontal="center" wrapText="1"/>
    </xf>
    <xf numFmtId="0" fontId="0" fillId="33" borderId="20" xfId="0" applyFill="1" applyBorder="1" applyAlignment="1">
      <alignment vertical="center" wrapText="1"/>
    </xf>
    <xf numFmtId="0" fontId="0" fillId="33" borderId="21" xfId="0" applyFill="1" applyBorder="1" applyAlignment="1">
      <alignment vertical="center" wrapText="1"/>
    </xf>
    <xf numFmtId="0" fontId="21" fillId="33" borderId="21" xfId="0" applyFont="1" applyFill="1" applyBorder="1" applyAlignment="1">
      <alignment horizontal="center" vertical="center" wrapText="1"/>
    </xf>
    <xf numFmtId="0" fontId="0" fillId="33" borderId="34" xfId="0" applyFill="1" applyBorder="1" applyAlignment="1">
      <alignment vertical="center" wrapText="1"/>
    </xf>
    <xf numFmtId="2" fontId="21" fillId="33" borderId="18" xfId="0" applyNumberFormat="1" applyFont="1" applyFill="1" applyBorder="1" applyAlignment="1">
      <alignment horizontal="center" wrapText="1"/>
    </xf>
    <xf numFmtId="2" fontId="21" fillId="33" borderId="24" xfId="0" applyNumberFormat="1" applyFont="1" applyFill="1" applyBorder="1" applyAlignment="1">
      <alignment horizontal="center" wrapText="1"/>
    </xf>
    <xf numFmtId="0" fontId="0" fillId="33" borderId="17" xfId="0" applyFill="1" applyBorder="1" applyAlignment="1">
      <alignment vertical="center" wrapText="1"/>
    </xf>
    <xf numFmtId="2" fontId="21" fillId="33" borderId="24" xfId="0" applyNumberFormat="1" applyFont="1" applyFill="1" applyBorder="1" applyAlignment="1">
      <alignment horizontal="center" vertical="center" wrapText="1"/>
    </xf>
    <xf numFmtId="0" fontId="0" fillId="33" borderId="18" xfId="0" applyFill="1" applyBorder="1" applyAlignment="1">
      <alignment vertical="center" wrapText="1"/>
    </xf>
    <xf numFmtId="2" fontId="0" fillId="33" borderId="17" xfId="0" applyNumberFormat="1" applyFill="1" applyBorder="1" applyAlignment="1">
      <alignment vertical="center" wrapText="1"/>
    </xf>
    <xf numFmtId="2" fontId="21" fillId="33" borderId="18" xfId="0" applyNumberFormat="1" applyFont="1" applyFill="1" applyBorder="1" applyAlignment="1">
      <alignment horizontal="center" vertical="center" wrapText="1"/>
    </xf>
    <xf numFmtId="0" fontId="0" fillId="0" borderId="85" xfId="0" applyBorder="1" applyAlignment="1">
      <alignment wrapText="1"/>
    </xf>
    <xf numFmtId="0" fontId="0" fillId="0" borderId="32" xfId="0" applyFill="1" applyBorder="1" applyAlignment="1">
      <alignment wrapText="1"/>
    </xf>
    <xf numFmtId="2" fontId="21" fillId="0" borderId="10" xfId="0" applyNumberFormat="1" applyFont="1" applyBorder="1" applyAlignment="1">
      <alignment horizontal="center" wrapText="1"/>
    </xf>
    <xf numFmtId="2" fontId="21" fillId="0" borderId="86" xfId="0" applyNumberFormat="1" applyFont="1" applyBorder="1" applyAlignment="1">
      <alignment horizontal="center" wrapText="1"/>
    </xf>
    <xf numFmtId="0" fontId="0" fillId="0" borderId="23" xfId="0" applyFill="1" applyBorder="1" applyAlignment="1">
      <alignment wrapText="1"/>
    </xf>
    <xf numFmtId="0" fontId="0" fillId="0" borderId="10" xfId="0" applyFill="1" applyBorder="1" applyAlignment="1">
      <alignment wrapText="1"/>
    </xf>
    <xf numFmtId="0" fontId="21" fillId="0" borderId="10" xfId="0" applyFont="1" applyFill="1" applyBorder="1" applyAlignment="1">
      <alignment horizontal="center" wrapText="1"/>
    </xf>
    <xf numFmtId="2" fontId="0" fillId="0" borderId="23" xfId="0" applyNumberFormat="1" applyFill="1" applyBorder="1" applyAlignment="1">
      <alignment wrapText="1"/>
    </xf>
    <xf numFmtId="2" fontId="21" fillId="0" borderId="32" xfId="0" applyNumberFormat="1" applyFont="1" applyFill="1" applyBorder="1" applyAlignment="1">
      <alignment horizontal="center" wrapText="1"/>
    </xf>
    <xf numFmtId="2" fontId="0" fillId="0" borderId="85" xfId="0" applyNumberFormat="1" applyFill="1" applyBorder="1" applyAlignment="1">
      <alignment wrapText="1"/>
    </xf>
    <xf numFmtId="2" fontId="21" fillId="0" borderId="46" xfId="0" applyNumberFormat="1" applyFont="1" applyFill="1" applyBorder="1" applyAlignment="1">
      <alignment horizontal="center" wrapText="1"/>
    </xf>
    <xf numFmtId="0" fontId="0" fillId="0" borderId="87" xfId="0" applyBorder="1" applyAlignment="1">
      <alignment wrapText="1"/>
    </xf>
    <xf numFmtId="0" fontId="0" fillId="0" borderId="33" xfId="0" applyFill="1" applyBorder="1" applyAlignment="1">
      <alignment wrapText="1"/>
    </xf>
    <xf numFmtId="2" fontId="21" fillId="0" borderId="16" xfId="0" applyNumberFormat="1" applyFont="1" applyBorder="1" applyAlignment="1">
      <alignment horizontal="center" wrapText="1"/>
    </xf>
    <xf numFmtId="2" fontId="21" fillId="0" borderId="14" xfId="0" applyNumberFormat="1" applyFont="1" applyBorder="1" applyAlignment="1">
      <alignment horizontal="center" wrapText="1"/>
    </xf>
    <xf numFmtId="0" fontId="0" fillId="0" borderId="15" xfId="0" applyFill="1" applyBorder="1" applyAlignment="1">
      <alignment wrapText="1"/>
    </xf>
    <xf numFmtId="2" fontId="21" fillId="0" borderId="14" xfId="0" applyNumberFormat="1" applyFont="1" applyFill="1" applyBorder="1" applyAlignment="1">
      <alignment horizontal="center" wrapText="1"/>
    </xf>
    <xf numFmtId="0" fontId="0" fillId="0" borderId="16" xfId="0" applyFill="1" applyBorder="1" applyAlignment="1">
      <alignment wrapText="1"/>
    </xf>
    <xf numFmtId="0" fontId="21" fillId="0" borderId="16" xfId="0" applyFont="1" applyFill="1" applyBorder="1" applyAlignment="1">
      <alignment horizontal="center" wrapText="1"/>
    </xf>
    <xf numFmtId="2" fontId="0" fillId="0" borderId="15" xfId="0" applyNumberFormat="1" applyFill="1" applyBorder="1" applyAlignment="1">
      <alignment wrapText="1"/>
    </xf>
    <xf numFmtId="2" fontId="21" fillId="0" borderId="33" xfId="0" applyNumberFormat="1" applyFont="1" applyFill="1" applyBorder="1" applyAlignment="1">
      <alignment horizontal="center" wrapText="1"/>
    </xf>
    <xf numFmtId="2" fontId="21" fillId="0" borderId="16" xfId="0" applyNumberFormat="1" applyFont="1" applyFill="1" applyBorder="1" applyAlignment="1">
      <alignment horizontal="center" wrapText="1"/>
    </xf>
    <xf numFmtId="2" fontId="0" fillId="0" borderId="87" xfId="0" applyNumberFormat="1" applyFill="1" applyBorder="1" applyAlignment="1">
      <alignment wrapText="1"/>
    </xf>
    <xf numFmtId="0" fontId="0" fillId="0" borderId="95" xfId="0" applyBorder="1" applyAlignment="1">
      <alignment wrapText="1"/>
    </xf>
    <xf numFmtId="0" fontId="0" fillId="0" borderId="34" xfId="0" applyFill="1" applyBorder="1" applyAlignment="1">
      <alignment wrapText="1"/>
    </xf>
    <xf numFmtId="2" fontId="21" fillId="0" borderId="18" xfId="0" applyNumberFormat="1" applyFont="1" applyBorder="1" applyAlignment="1">
      <alignment horizontal="center" wrapText="1"/>
    </xf>
    <xf numFmtId="2" fontId="21" fillId="0" borderId="24" xfId="0" applyNumberFormat="1" applyFont="1" applyBorder="1" applyAlignment="1">
      <alignment horizontal="center" wrapText="1"/>
    </xf>
    <xf numFmtId="0" fontId="0" fillId="0" borderId="17" xfId="0" applyFill="1" applyBorder="1" applyAlignment="1">
      <alignment wrapText="1"/>
    </xf>
    <xf numFmtId="0" fontId="0" fillId="0" borderId="18" xfId="0" applyFill="1" applyBorder="1" applyAlignment="1">
      <alignment wrapText="1"/>
    </xf>
    <xf numFmtId="0" fontId="21" fillId="0" borderId="18" xfId="0" applyFont="1" applyFill="1" applyBorder="1" applyAlignment="1">
      <alignment horizontal="center" wrapText="1"/>
    </xf>
    <xf numFmtId="2" fontId="0" fillId="0" borderId="17" xfId="0" applyNumberFormat="1" applyFill="1" applyBorder="1" applyAlignment="1">
      <alignment wrapText="1"/>
    </xf>
    <xf numFmtId="2" fontId="21" fillId="0" borderId="34" xfId="0" applyNumberFormat="1" applyFont="1" applyFill="1" applyBorder="1" applyAlignment="1">
      <alignment horizontal="center" wrapText="1"/>
    </xf>
    <xf numFmtId="2" fontId="0" fillId="0" borderId="95" xfId="0" applyNumberFormat="1" applyFill="1" applyBorder="1" applyAlignment="1">
      <alignment wrapText="1"/>
    </xf>
    <xf numFmtId="2" fontId="21" fillId="0" borderId="45" xfId="0" applyNumberFormat="1" applyFont="1" applyFill="1" applyBorder="1" applyAlignment="1">
      <alignment horizontal="center" wrapText="1"/>
    </xf>
    <xf numFmtId="0" fontId="0" fillId="33" borderId="91" xfId="0" applyFill="1" applyBorder="1" applyAlignment="1">
      <alignment wrapText="1"/>
    </xf>
    <xf numFmtId="0" fontId="0" fillId="33" borderId="97" xfId="0" applyFill="1" applyBorder="1" applyAlignment="1">
      <alignment wrapText="1"/>
    </xf>
    <xf numFmtId="0" fontId="0" fillId="33" borderId="20" xfId="0" applyFill="1" applyBorder="1" applyAlignment="1">
      <alignment wrapText="1"/>
    </xf>
    <xf numFmtId="0" fontId="0" fillId="33" borderId="21" xfId="0" applyFill="1" applyBorder="1" applyAlignment="1">
      <alignment wrapText="1"/>
    </xf>
    <xf numFmtId="0" fontId="21" fillId="33" borderId="21" xfId="0" applyFont="1" applyFill="1" applyBorder="1" applyAlignment="1">
      <alignment horizontal="center" wrapText="1"/>
    </xf>
    <xf numFmtId="2" fontId="0" fillId="33" borderId="20" xfId="0" applyNumberFormat="1" applyFill="1" applyBorder="1" applyAlignment="1">
      <alignment wrapText="1"/>
    </xf>
    <xf numFmtId="2" fontId="0" fillId="33" borderId="91" xfId="0" applyNumberFormat="1" applyFill="1" applyBorder="1" applyAlignment="1">
      <alignment wrapText="1"/>
    </xf>
    <xf numFmtId="0" fontId="0" fillId="33" borderId="87" xfId="0" applyFill="1" applyBorder="1" applyAlignment="1">
      <alignment wrapText="1"/>
    </xf>
    <xf numFmtId="0" fontId="0" fillId="33" borderId="33"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21" fillId="33" borderId="16" xfId="0" applyFont="1" applyFill="1" applyBorder="1" applyAlignment="1">
      <alignment horizontal="center" wrapText="1"/>
    </xf>
    <xf numFmtId="2" fontId="0" fillId="33" borderId="15" xfId="0" applyNumberFormat="1" applyFill="1" applyBorder="1" applyAlignment="1">
      <alignment wrapText="1"/>
    </xf>
    <xf numFmtId="2" fontId="21" fillId="33" borderId="33" xfId="0" applyNumberFormat="1" applyFont="1" applyFill="1" applyBorder="1" applyAlignment="1">
      <alignment horizontal="center" wrapText="1"/>
    </xf>
    <xf numFmtId="2" fontId="0" fillId="33" borderId="87" xfId="0" applyNumberFormat="1" applyFill="1" applyBorder="1" applyAlignment="1">
      <alignment wrapText="1"/>
    </xf>
    <xf numFmtId="0" fontId="0" fillId="33" borderId="95" xfId="0" applyFill="1" applyBorder="1" applyAlignment="1">
      <alignment wrapText="1"/>
    </xf>
    <xf numFmtId="0" fontId="0" fillId="33" borderId="34" xfId="0" applyFill="1" applyBorder="1" applyAlignment="1">
      <alignment wrapText="1"/>
    </xf>
    <xf numFmtId="0" fontId="0" fillId="33" borderId="17" xfId="0" applyFill="1" applyBorder="1" applyAlignment="1">
      <alignment wrapText="1"/>
    </xf>
    <xf numFmtId="0" fontId="0" fillId="33" borderId="18" xfId="0" applyFill="1" applyBorder="1" applyAlignment="1">
      <alignment wrapText="1"/>
    </xf>
    <xf numFmtId="0" fontId="21" fillId="33" borderId="18" xfId="0" applyFont="1" applyFill="1" applyBorder="1" applyAlignment="1">
      <alignment horizontal="center" wrapText="1"/>
    </xf>
    <xf numFmtId="2" fontId="0" fillId="33" borderId="17" xfId="0" applyNumberFormat="1" applyFill="1" applyBorder="1" applyAlignment="1">
      <alignment wrapText="1"/>
    </xf>
    <xf numFmtId="2" fontId="21" fillId="33" borderId="34" xfId="0" applyNumberFormat="1" applyFont="1" applyFill="1" applyBorder="1" applyAlignment="1">
      <alignment horizontal="center" wrapText="1"/>
    </xf>
    <xf numFmtId="2" fontId="0" fillId="33" borderId="95" xfId="0" applyNumberFormat="1" applyFill="1" applyBorder="1" applyAlignment="1">
      <alignment wrapText="1"/>
    </xf>
    <xf numFmtId="0" fontId="0" fillId="33" borderId="85" xfId="0" applyFill="1" applyBorder="1" applyAlignment="1">
      <alignment wrapText="1"/>
    </xf>
    <xf numFmtId="0" fontId="0" fillId="33" borderId="32" xfId="0" applyFill="1" applyBorder="1" applyAlignment="1">
      <alignment wrapText="1"/>
    </xf>
    <xf numFmtId="0" fontId="0" fillId="33" borderId="23" xfId="0" applyFill="1" applyBorder="1" applyAlignment="1">
      <alignment wrapText="1"/>
    </xf>
    <xf numFmtId="0" fontId="0" fillId="33" borderId="10" xfId="0" applyFill="1" applyBorder="1" applyAlignment="1">
      <alignment wrapText="1"/>
    </xf>
    <xf numFmtId="0" fontId="21" fillId="33" borderId="10" xfId="0" applyFont="1" applyFill="1" applyBorder="1" applyAlignment="1">
      <alignment horizontal="center" wrapText="1"/>
    </xf>
    <xf numFmtId="2" fontId="0" fillId="33" borderId="23" xfId="0" applyNumberFormat="1" applyFill="1" applyBorder="1" applyAlignment="1">
      <alignment wrapText="1"/>
    </xf>
    <xf numFmtId="2" fontId="0" fillId="33" borderId="85" xfId="0" applyNumberFormat="1" applyFill="1" applyBorder="1" applyAlignment="1">
      <alignment wrapText="1"/>
    </xf>
    <xf numFmtId="0" fontId="20" fillId="28" borderId="65" xfId="0" applyFont="1" applyFill="1" applyBorder="1" applyAlignment="1">
      <alignment wrapText="1"/>
    </xf>
    <xf numFmtId="2" fontId="20" fillId="28" borderId="65" xfId="0" applyNumberFormat="1" applyFont="1" applyFill="1" applyBorder="1" applyAlignment="1">
      <alignment wrapText="1"/>
    </xf>
    <xf numFmtId="0" fontId="0" fillId="28" borderId="65" xfId="0" applyFill="1" applyBorder="1" applyAlignment="1">
      <alignment wrapText="1"/>
    </xf>
    <xf numFmtId="0" fontId="0" fillId="28" borderId="65" xfId="0" applyFill="1" applyBorder="1" applyAlignment="1">
      <alignment horizontal="center" wrapText="1"/>
    </xf>
    <xf numFmtId="0" fontId="0" fillId="28" borderId="65" xfId="0" applyFill="1" applyBorder="1"/>
    <xf numFmtId="0" fontId="0" fillId="28" borderId="35" xfId="0" applyFill="1" applyBorder="1"/>
    <xf numFmtId="0" fontId="0" fillId="28" borderId="0" xfId="0" applyFill="1" applyBorder="1"/>
    <xf numFmtId="0" fontId="0" fillId="28" borderId="0" xfId="0" applyFill="1" applyBorder="1" applyAlignment="1">
      <alignment wrapText="1"/>
    </xf>
    <xf numFmtId="2" fontId="0" fillId="28" borderId="0" xfId="0" applyNumberFormat="1" applyFill="1" applyBorder="1" applyAlignment="1">
      <alignment wrapText="1"/>
    </xf>
    <xf numFmtId="0" fontId="20" fillId="28" borderId="0" xfId="0" applyFont="1" applyFill="1" applyBorder="1" applyAlignment="1">
      <alignment wrapText="1"/>
    </xf>
    <xf numFmtId="10" fontId="0" fillId="28" borderId="0" xfId="0" applyNumberFormat="1" applyFont="1" applyFill="1" applyBorder="1" applyAlignment="1">
      <alignment horizontal="left" wrapText="1"/>
    </xf>
    <xf numFmtId="0" fontId="20" fillId="28" borderId="0" xfId="0" applyFont="1" applyFill="1" applyBorder="1" applyAlignment="1">
      <alignment horizontal="center" wrapText="1"/>
    </xf>
    <xf numFmtId="0" fontId="0" fillId="28" borderId="57" xfId="0" applyFill="1" applyBorder="1"/>
    <xf numFmtId="10" fontId="0" fillId="28" borderId="0" xfId="0" applyNumberFormat="1" applyFill="1" applyBorder="1" applyAlignment="1">
      <alignment horizontal="left" wrapText="1"/>
    </xf>
    <xf numFmtId="0" fontId="0" fillId="28" borderId="0" xfId="0" applyFill="1" applyBorder="1" applyAlignment="1">
      <alignment horizontal="center" wrapText="1"/>
    </xf>
    <xf numFmtId="0" fontId="0" fillId="28" borderId="0" xfId="0" applyFill="1" applyBorder="1" applyAlignment="1">
      <alignment horizontal="right"/>
    </xf>
    <xf numFmtId="167" fontId="0" fillId="28" borderId="57" xfId="0" applyNumberFormat="1" applyFill="1" applyBorder="1" applyAlignment="1">
      <alignment horizontal="left"/>
    </xf>
    <xf numFmtId="0" fontId="0" fillId="0" borderId="85" xfId="0" applyFont="1" applyFill="1" applyBorder="1" applyAlignment="1">
      <alignment vertical="center" wrapText="1"/>
    </xf>
    <xf numFmtId="0" fontId="0" fillId="0" borderId="10" xfId="0" applyFont="1" applyFill="1" applyBorder="1" applyAlignment="1">
      <alignment vertical="center" wrapText="1"/>
    </xf>
    <xf numFmtId="2" fontId="21" fillId="0" borderId="97" xfId="0" applyNumberFormat="1" applyFont="1" applyFill="1" applyBorder="1" applyAlignment="1">
      <alignment horizontal="center" wrapText="1"/>
    </xf>
    <xf numFmtId="2" fontId="21" fillId="0" borderId="32" xfId="0" applyNumberFormat="1" applyFont="1" applyFill="1" applyBorder="1" applyAlignment="1">
      <alignment horizontal="center" vertical="center" wrapText="1"/>
    </xf>
    <xf numFmtId="0" fontId="0" fillId="0" borderId="23" xfId="0" applyFont="1" applyFill="1" applyBorder="1" applyAlignment="1">
      <alignment vertical="center" wrapText="1"/>
    </xf>
    <xf numFmtId="2" fontId="0" fillId="0" borderId="85" xfId="0" applyNumberFormat="1" applyFont="1" applyFill="1" applyBorder="1" applyAlignment="1">
      <alignment vertical="center" wrapText="1"/>
    </xf>
    <xf numFmtId="2" fontId="21" fillId="0" borderId="10" xfId="0" applyNumberFormat="1" applyFont="1" applyFill="1" applyBorder="1" applyAlignment="1">
      <alignment horizontal="center" vertical="center" wrapText="1"/>
    </xf>
    <xf numFmtId="0" fontId="0" fillId="0" borderId="87" xfId="0" applyFont="1" applyFill="1" applyBorder="1" applyAlignment="1">
      <alignment vertical="center" wrapText="1"/>
    </xf>
    <xf numFmtId="0" fontId="0" fillId="0" borderId="16" xfId="0" applyFont="1" applyFill="1" applyBorder="1" applyAlignment="1">
      <alignment vertical="center" wrapText="1"/>
    </xf>
    <xf numFmtId="2" fontId="21" fillId="0" borderId="19" xfId="0" applyNumberFormat="1" applyFont="1" applyFill="1" applyBorder="1" applyAlignment="1">
      <alignment horizontal="center" wrapText="1"/>
    </xf>
    <xf numFmtId="2" fontId="21" fillId="0" borderId="94" xfId="0" applyNumberFormat="1" applyFont="1" applyFill="1" applyBorder="1" applyAlignment="1">
      <alignment horizontal="center" wrapText="1"/>
    </xf>
    <xf numFmtId="2" fontId="21" fillId="0" borderId="33" xfId="0" applyNumberFormat="1" applyFont="1" applyFill="1" applyBorder="1" applyAlignment="1">
      <alignment horizontal="center" vertical="center" wrapText="1"/>
    </xf>
    <xf numFmtId="0" fontId="0" fillId="0" borderId="15" xfId="0" applyFont="1" applyFill="1" applyBorder="1" applyAlignment="1">
      <alignment vertical="center" wrapText="1"/>
    </xf>
    <xf numFmtId="2" fontId="0" fillId="0" borderId="87" xfId="0" applyNumberFormat="1" applyFont="1" applyFill="1" applyBorder="1" applyAlignment="1">
      <alignment vertical="center" wrapText="1"/>
    </xf>
    <xf numFmtId="2" fontId="21" fillId="0" borderId="16" xfId="0" applyNumberFormat="1" applyFont="1" applyFill="1" applyBorder="1" applyAlignment="1">
      <alignment horizontal="center" vertical="center" wrapText="1"/>
    </xf>
    <xf numFmtId="0" fontId="0" fillId="0" borderId="95" xfId="0" applyFont="1" applyFill="1" applyBorder="1" applyAlignment="1">
      <alignment vertical="center" wrapText="1"/>
    </xf>
    <xf numFmtId="0" fontId="0" fillId="0" borderId="18" xfId="0" applyFont="1" applyFill="1" applyBorder="1" applyAlignment="1">
      <alignment vertical="center" wrapText="1"/>
    </xf>
    <xf numFmtId="2" fontId="21" fillId="0" borderId="60" xfId="0" applyNumberFormat="1" applyFont="1" applyFill="1" applyBorder="1" applyAlignment="1">
      <alignment horizontal="center" wrapText="1"/>
    </xf>
    <xf numFmtId="2" fontId="21" fillId="0" borderId="34" xfId="0" applyNumberFormat="1" applyFont="1" applyFill="1" applyBorder="1" applyAlignment="1">
      <alignment horizontal="center" vertical="center" wrapText="1"/>
    </xf>
    <xf numFmtId="0" fontId="0" fillId="0" borderId="17" xfId="0" applyFont="1" applyFill="1" applyBorder="1" applyAlignment="1">
      <alignment vertical="center" wrapText="1"/>
    </xf>
    <xf numFmtId="2" fontId="0" fillId="0" borderId="95" xfId="0" applyNumberFormat="1" applyFont="1" applyFill="1" applyBorder="1" applyAlignment="1">
      <alignment vertical="center" wrapText="1"/>
    </xf>
    <xf numFmtId="2" fontId="21" fillId="0" borderId="18" xfId="0" applyNumberFormat="1" applyFont="1" applyFill="1" applyBorder="1" applyAlignment="1">
      <alignment horizontal="center" vertical="center" wrapText="1"/>
    </xf>
    <xf numFmtId="0" fontId="0" fillId="27" borderId="27" xfId="0" applyFill="1" applyBorder="1" applyAlignment="1">
      <alignment wrapText="1"/>
    </xf>
    <xf numFmtId="0" fontId="0" fillId="27" borderId="39" xfId="0" applyFill="1" applyBorder="1" applyAlignment="1">
      <alignment wrapText="1"/>
    </xf>
    <xf numFmtId="2" fontId="21" fillId="27" borderId="19" xfId="0" applyNumberFormat="1" applyFont="1" applyFill="1" applyBorder="1" applyAlignment="1">
      <alignment horizontal="center" wrapText="1"/>
    </xf>
    <xf numFmtId="2" fontId="21" fillId="27" borderId="26" xfId="0" applyNumberFormat="1" applyFont="1" applyFill="1" applyBorder="1" applyAlignment="1">
      <alignment horizontal="center" wrapText="1"/>
    </xf>
    <xf numFmtId="0" fontId="0" fillId="27" borderId="38" xfId="0" applyFill="1" applyBorder="1" applyAlignment="1">
      <alignment wrapText="1"/>
    </xf>
    <xf numFmtId="0" fontId="0" fillId="27" borderId="19" xfId="0" applyFill="1" applyBorder="1" applyAlignment="1">
      <alignment wrapText="1"/>
    </xf>
    <xf numFmtId="0" fontId="21" fillId="27" borderId="19" xfId="0" applyFont="1" applyFill="1" applyBorder="1" applyAlignment="1">
      <alignment horizontal="center" wrapText="1"/>
    </xf>
    <xf numFmtId="2" fontId="0" fillId="27" borderId="38" xfId="0" applyNumberFormat="1" applyFill="1" applyBorder="1" applyAlignment="1">
      <alignment wrapText="1"/>
    </xf>
    <xf numFmtId="2" fontId="0" fillId="27" borderId="27" xfId="0" applyNumberFormat="1" applyFill="1" applyBorder="1" applyAlignment="1">
      <alignment wrapText="1"/>
    </xf>
    <xf numFmtId="0" fontId="0" fillId="27" borderId="87" xfId="0" applyFill="1" applyBorder="1" applyAlignment="1">
      <alignment wrapText="1"/>
    </xf>
    <xf numFmtId="0" fontId="0" fillId="27" borderId="33" xfId="0" applyFill="1" applyBorder="1" applyAlignment="1">
      <alignment wrapText="1"/>
    </xf>
    <xf numFmtId="2" fontId="21" fillId="27" borderId="16" xfId="0" applyNumberFormat="1" applyFont="1" applyFill="1" applyBorder="1" applyAlignment="1">
      <alignment horizontal="center" wrapText="1"/>
    </xf>
    <xf numFmtId="2" fontId="21" fillId="27" borderId="14" xfId="0" applyNumberFormat="1" applyFont="1" applyFill="1" applyBorder="1" applyAlignment="1">
      <alignment horizontal="center" wrapText="1"/>
    </xf>
    <xf numFmtId="0" fontId="0" fillId="27" borderId="15" xfId="0" applyFill="1" applyBorder="1" applyAlignment="1">
      <alignment wrapText="1"/>
    </xf>
    <xf numFmtId="0" fontId="0" fillId="27" borderId="16" xfId="0" applyFill="1" applyBorder="1" applyAlignment="1">
      <alignment wrapText="1"/>
    </xf>
    <xf numFmtId="0" fontId="21" fillId="27" borderId="16" xfId="0" applyFont="1" applyFill="1" applyBorder="1" applyAlignment="1">
      <alignment horizontal="center" wrapText="1"/>
    </xf>
    <xf numFmtId="2" fontId="0" fillId="27" borderId="15" xfId="0" applyNumberFormat="1" applyFill="1" applyBorder="1" applyAlignment="1">
      <alignment wrapText="1"/>
    </xf>
    <xf numFmtId="2" fontId="0" fillId="27" borderId="87" xfId="0" applyNumberFormat="1" applyFill="1" applyBorder="1" applyAlignment="1">
      <alignment wrapText="1"/>
    </xf>
    <xf numFmtId="0" fontId="0" fillId="27" borderId="87" xfId="0" applyFont="1" applyFill="1" applyBorder="1" applyAlignment="1">
      <alignment wrapText="1"/>
    </xf>
    <xf numFmtId="0" fontId="0" fillId="27" borderId="95" xfId="0" applyFill="1" applyBorder="1" applyAlignment="1">
      <alignment wrapText="1"/>
    </xf>
    <xf numFmtId="0" fontId="0" fillId="27" borderId="34" xfId="0" applyFill="1" applyBorder="1" applyAlignment="1">
      <alignment wrapText="1"/>
    </xf>
    <xf numFmtId="2" fontId="21" fillId="27" borderId="18" xfId="0" applyNumberFormat="1" applyFont="1" applyFill="1" applyBorder="1" applyAlignment="1">
      <alignment horizontal="center" wrapText="1"/>
    </xf>
    <xf numFmtId="0" fontId="0" fillId="27" borderId="17" xfId="0" applyFill="1" applyBorder="1" applyAlignment="1">
      <alignment wrapText="1"/>
    </xf>
    <xf numFmtId="2" fontId="21" fillId="27" borderId="24" xfId="0" applyNumberFormat="1" applyFont="1" applyFill="1" applyBorder="1" applyAlignment="1">
      <alignment horizontal="center" wrapText="1"/>
    </xf>
    <xf numFmtId="0" fontId="0" fillId="27" borderId="18" xfId="0" applyFill="1" applyBorder="1" applyAlignment="1">
      <alignment wrapText="1"/>
    </xf>
    <xf numFmtId="0" fontId="21" fillId="27" borderId="18" xfId="0" applyFont="1" applyFill="1" applyBorder="1" applyAlignment="1">
      <alignment horizontal="center" wrapText="1"/>
    </xf>
    <xf numFmtId="2" fontId="0" fillId="27" borderId="17" xfId="0" applyNumberFormat="1" applyFill="1" applyBorder="1" applyAlignment="1">
      <alignment wrapText="1"/>
    </xf>
    <xf numFmtId="2" fontId="21" fillId="27" borderId="34" xfId="0" applyNumberFormat="1" applyFont="1" applyFill="1" applyBorder="1" applyAlignment="1">
      <alignment horizontal="center" wrapText="1"/>
    </xf>
    <xf numFmtId="2" fontId="0" fillId="27" borderId="95" xfId="0" applyNumberFormat="1" applyFill="1" applyBorder="1" applyAlignment="1">
      <alignment wrapText="1"/>
    </xf>
    <xf numFmtId="0" fontId="0" fillId="0" borderId="85" xfId="0" applyFill="1" applyBorder="1" applyAlignment="1">
      <alignment wrapText="1"/>
    </xf>
    <xf numFmtId="0" fontId="0" fillId="0" borderId="23" xfId="0" applyFill="1" applyBorder="1" applyAlignment="1"/>
    <xf numFmtId="0" fontId="0" fillId="0" borderId="95" xfId="0" applyFill="1" applyBorder="1" applyAlignment="1">
      <alignment wrapText="1"/>
    </xf>
    <xf numFmtId="0" fontId="0" fillId="27" borderId="23" xfId="0" applyFill="1" applyBorder="1" applyAlignment="1">
      <alignment wrapText="1"/>
    </xf>
    <xf numFmtId="2" fontId="21" fillId="27" borderId="86" xfId="0" applyNumberFormat="1" applyFont="1" applyFill="1" applyBorder="1" applyAlignment="1">
      <alignment horizontal="center" wrapText="1"/>
    </xf>
    <xf numFmtId="0" fontId="0" fillId="27" borderId="10" xfId="0" applyFill="1" applyBorder="1" applyAlignment="1">
      <alignment wrapText="1"/>
    </xf>
    <xf numFmtId="0" fontId="21" fillId="27" borderId="10" xfId="0" applyFont="1" applyFill="1" applyBorder="1" applyAlignment="1">
      <alignment horizontal="center" wrapText="1"/>
    </xf>
    <xf numFmtId="2" fontId="0" fillId="27" borderId="23" xfId="0" applyNumberFormat="1" applyFill="1" applyBorder="1" applyAlignment="1">
      <alignment wrapText="1"/>
    </xf>
    <xf numFmtId="0" fontId="0" fillId="27" borderId="85" xfId="0" applyFill="1" applyBorder="1" applyAlignment="1">
      <alignment wrapText="1"/>
    </xf>
    <xf numFmtId="0" fontId="0" fillId="27" borderId="32" xfId="0" applyFill="1" applyBorder="1" applyAlignment="1">
      <alignment wrapText="1"/>
    </xf>
    <xf numFmtId="2" fontId="21" fillId="27" borderId="10" xfId="0" applyNumberFormat="1" applyFont="1" applyFill="1" applyBorder="1" applyAlignment="1">
      <alignment horizontal="center" wrapText="1"/>
    </xf>
    <xf numFmtId="2" fontId="0" fillId="27" borderId="85" xfId="0" applyNumberFormat="1" applyFill="1" applyBorder="1" applyAlignment="1">
      <alignment wrapText="1"/>
    </xf>
    <xf numFmtId="2" fontId="21" fillId="27" borderId="29" xfId="0" applyNumberFormat="1" applyFont="1" applyFill="1" applyBorder="1" applyAlignment="1">
      <alignment horizontal="center" wrapText="1"/>
    </xf>
    <xf numFmtId="2" fontId="21" fillId="27" borderId="30" xfId="0" applyNumberFormat="1" applyFont="1" applyFill="1" applyBorder="1" applyAlignment="1">
      <alignment horizontal="center" wrapText="1"/>
    </xf>
    <xf numFmtId="2" fontId="0" fillId="27" borderId="89" xfId="0" applyNumberFormat="1" applyFill="1" applyBorder="1" applyAlignment="1">
      <alignment wrapText="1"/>
    </xf>
    <xf numFmtId="2" fontId="0" fillId="0" borderId="38" xfId="0" applyNumberFormat="1" applyFill="1" applyBorder="1" applyAlignment="1">
      <alignment wrapText="1"/>
    </xf>
    <xf numFmtId="2" fontId="21" fillId="0" borderId="26" xfId="0" applyNumberFormat="1" applyFont="1" applyFill="1" applyBorder="1" applyAlignment="1">
      <alignment horizontal="center" wrapText="1"/>
    </xf>
    <xf numFmtId="2" fontId="0" fillId="0" borderId="27" xfId="0" applyNumberFormat="1" applyFill="1" applyBorder="1" applyAlignment="1">
      <alignment wrapText="1"/>
    </xf>
    <xf numFmtId="0" fontId="0" fillId="0" borderId="87" xfId="0" applyFill="1" applyBorder="1" applyAlignment="1">
      <alignment wrapText="1"/>
    </xf>
    <xf numFmtId="0" fontId="20" fillId="25" borderId="65" xfId="0" applyFont="1" applyFill="1" applyBorder="1" applyAlignment="1">
      <alignment wrapText="1"/>
    </xf>
    <xf numFmtId="2" fontId="20" fillId="25" borderId="65" xfId="0" applyNumberFormat="1" applyFont="1" applyFill="1" applyBorder="1" applyAlignment="1">
      <alignment wrapText="1"/>
    </xf>
    <xf numFmtId="2" fontId="0" fillId="25" borderId="65" xfId="0" applyNumberFormat="1" applyFill="1" applyBorder="1" applyAlignment="1">
      <alignment wrapText="1"/>
    </xf>
    <xf numFmtId="0" fontId="0" fillId="25" borderId="65" xfId="0" applyFill="1" applyBorder="1" applyAlignment="1">
      <alignment wrapText="1"/>
    </xf>
    <xf numFmtId="0" fontId="0" fillId="25" borderId="65" xfId="0" applyFill="1" applyBorder="1" applyAlignment="1">
      <alignment horizontal="center" wrapText="1"/>
    </xf>
    <xf numFmtId="0" fontId="0" fillId="25" borderId="65" xfId="0" applyFill="1" applyBorder="1"/>
    <xf numFmtId="0" fontId="0" fillId="25" borderId="35" xfId="0" applyFill="1" applyBorder="1"/>
    <xf numFmtId="0" fontId="0" fillId="25" borderId="0" xfId="0" applyFill="1" applyBorder="1" applyAlignment="1">
      <alignment wrapText="1"/>
    </xf>
    <xf numFmtId="2" fontId="0" fillId="25" borderId="0" xfId="0" applyNumberFormat="1" applyFill="1" applyBorder="1" applyAlignment="1">
      <alignment wrapText="1"/>
    </xf>
    <xf numFmtId="10" fontId="0" fillId="25" borderId="0" xfId="0" applyNumberFormat="1" applyFont="1" applyFill="1" applyBorder="1" applyAlignment="1">
      <alignment horizontal="left" wrapText="1"/>
    </xf>
    <xf numFmtId="0" fontId="20" fillId="25" borderId="0" xfId="0" applyFont="1" applyFill="1" applyBorder="1" applyAlignment="1">
      <alignment wrapText="1"/>
    </xf>
    <xf numFmtId="0" fontId="20" fillId="25" borderId="0" xfId="0" applyFont="1" applyFill="1" applyBorder="1" applyAlignment="1">
      <alignment horizontal="center" wrapText="1"/>
    </xf>
    <xf numFmtId="0" fontId="0" fillId="25" borderId="0" xfId="0" applyFill="1" applyBorder="1"/>
    <xf numFmtId="0" fontId="0" fillId="25" borderId="57" xfId="0" applyFill="1" applyBorder="1"/>
    <xf numFmtId="0" fontId="0" fillId="25" borderId="0" xfId="0" applyFill="1" applyBorder="1" applyAlignment="1">
      <alignment horizontal="right"/>
    </xf>
    <xf numFmtId="0" fontId="20" fillId="26" borderId="65" xfId="0" applyFont="1" applyFill="1" applyBorder="1" applyAlignment="1">
      <alignment wrapText="1"/>
    </xf>
    <xf numFmtId="2" fontId="20" fillId="26" borderId="65" xfId="0" applyNumberFormat="1" applyFont="1" applyFill="1" applyBorder="1" applyAlignment="1">
      <alignment wrapText="1"/>
    </xf>
    <xf numFmtId="10" fontId="0" fillId="26" borderId="65" xfId="0" applyNumberFormat="1" applyFill="1" applyBorder="1" applyAlignment="1">
      <alignment wrapText="1"/>
    </xf>
    <xf numFmtId="0" fontId="0" fillId="26" borderId="65" xfId="0" applyFill="1" applyBorder="1" applyAlignment="1">
      <alignment wrapText="1"/>
    </xf>
    <xf numFmtId="0" fontId="0" fillId="26" borderId="65" xfId="0" applyFill="1" applyBorder="1"/>
    <xf numFmtId="0" fontId="0" fillId="26" borderId="35" xfId="0" applyFill="1" applyBorder="1"/>
    <xf numFmtId="0" fontId="0" fillId="26" borderId="0" xfId="0" applyFill="1" applyBorder="1" applyAlignment="1">
      <alignment wrapText="1"/>
    </xf>
    <xf numFmtId="2" fontId="0" fillId="26" borderId="0" xfId="0" applyNumberFormat="1" applyFont="1" applyFill="1" applyBorder="1" applyAlignment="1">
      <alignment wrapText="1"/>
    </xf>
    <xf numFmtId="10" fontId="0" fillId="26" borderId="0" xfId="0" applyNumberFormat="1" applyFont="1" applyFill="1" applyBorder="1" applyAlignment="1">
      <alignment horizontal="left" wrapText="1"/>
    </xf>
    <xf numFmtId="0" fontId="20" fillId="26" borderId="0" xfId="0" applyFont="1" applyFill="1" applyBorder="1" applyAlignment="1">
      <alignment wrapText="1"/>
    </xf>
    <xf numFmtId="0" fontId="0" fillId="26" borderId="0" xfId="0" applyFill="1" applyBorder="1"/>
    <xf numFmtId="0" fontId="0" fillId="26" borderId="57" xfId="0" applyFill="1" applyBorder="1"/>
    <xf numFmtId="0" fontId="0" fillId="26" borderId="0" xfId="0" applyFill="1" applyBorder="1" applyAlignment="1">
      <alignment horizontal="right"/>
    </xf>
    <xf numFmtId="167" fontId="0" fillId="26" borderId="57" xfId="0" applyNumberFormat="1" applyFill="1" applyBorder="1" applyAlignment="1">
      <alignment horizontal="left"/>
    </xf>
    <xf numFmtId="0" fontId="0" fillId="26" borderId="36" xfId="0" applyFill="1" applyBorder="1" applyAlignment="1">
      <alignment wrapText="1"/>
    </xf>
    <xf numFmtId="2" fontId="0" fillId="26" borderId="36" xfId="0" applyNumberFormat="1" applyFont="1" applyFill="1" applyBorder="1" applyAlignment="1">
      <alignment wrapText="1"/>
    </xf>
    <xf numFmtId="10" fontId="0" fillId="26" borderId="36" xfId="0" applyNumberFormat="1" applyFont="1" applyFill="1" applyBorder="1" applyAlignment="1">
      <alignment horizontal="left" wrapText="1"/>
    </xf>
    <xf numFmtId="0" fontId="0" fillId="26" borderId="36" xfId="0" applyFill="1" applyBorder="1" applyAlignment="1">
      <alignment horizontal="center" wrapText="1"/>
    </xf>
    <xf numFmtId="0" fontId="0" fillId="26" borderId="36" xfId="0" applyFill="1" applyBorder="1"/>
    <xf numFmtId="0" fontId="0" fillId="26" borderId="40" xfId="0" applyFill="1" applyBorder="1"/>
    <xf numFmtId="2" fontId="24" fillId="0" borderId="0" xfId="0" applyNumberFormat="1" applyFont="1" applyAlignment="1">
      <alignment wrapText="1"/>
    </xf>
    <xf numFmtId="0" fontId="24" fillId="0" borderId="0" xfId="0" applyFont="1" applyAlignment="1">
      <alignment horizontal="center" vertical="center" wrapText="1"/>
    </xf>
    <xf numFmtId="0" fontId="38" fillId="0" borderId="11" xfId="0" applyFont="1" applyBorder="1" applyAlignment="1">
      <alignment horizontal="center" vertical="center" wrapText="1"/>
    </xf>
    <xf numFmtId="0" fontId="38" fillId="0" borderId="25" xfId="0" applyFont="1" applyBorder="1" applyAlignment="1">
      <alignment vertical="center" wrapText="1"/>
    </xf>
    <xf numFmtId="0" fontId="38" fillId="0" borderId="12" xfId="0" applyFont="1" applyBorder="1" applyAlignment="1">
      <alignment vertical="center" wrapText="1"/>
    </xf>
    <xf numFmtId="0" fontId="38" fillId="0" borderId="37" xfId="0" applyFont="1" applyBorder="1" applyAlignment="1">
      <alignment vertical="center" wrapText="1"/>
    </xf>
    <xf numFmtId="0" fontId="38" fillId="0" borderId="13" xfId="0" applyFont="1" applyBorder="1" applyAlignment="1">
      <alignment vertical="center" wrapText="1"/>
    </xf>
    <xf numFmtId="0" fontId="38" fillId="0" borderId="20" xfId="0" applyFont="1" applyBorder="1" applyAlignment="1">
      <alignment vertical="center" wrapText="1"/>
    </xf>
    <xf numFmtId="0" fontId="38" fillId="0" borderId="21" xfId="0" applyFont="1" applyBorder="1" applyAlignment="1">
      <alignment vertical="center" wrapText="1"/>
    </xf>
    <xf numFmtId="0" fontId="38" fillId="0" borderId="97" xfId="0" applyFont="1" applyBorder="1" applyAlignment="1">
      <alignment vertical="center" wrapText="1"/>
    </xf>
    <xf numFmtId="0" fontId="38" fillId="0" borderId="11" xfId="0" applyFont="1" applyBorder="1" applyAlignment="1">
      <alignment vertical="center" wrapText="1"/>
    </xf>
    <xf numFmtId="0" fontId="24" fillId="0" borderId="10" xfId="0" applyFont="1" applyFill="1" applyBorder="1" applyAlignment="1">
      <alignment vertical="center" wrapText="1"/>
    </xf>
    <xf numFmtId="2" fontId="45" fillId="0" borderId="10" xfId="0" applyNumberFormat="1" applyFont="1" applyFill="1" applyBorder="1" applyAlignment="1">
      <alignment horizontal="center" wrapText="1"/>
    </xf>
    <xf numFmtId="0" fontId="24" fillId="0" borderId="23" xfId="0" applyFont="1" applyFill="1" applyBorder="1" applyAlignment="1">
      <alignment vertical="center" wrapText="1"/>
    </xf>
    <xf numFmtId="0" fontId="45" fillId="0" borderId="86" xfId="0" applyFont="1" applyFill="1" applyBorder="1" applyAlignment="1">
      <alignment horizontal="center" vertical="center" wrapText="1"/>
    </xf>
    <xf numFmtId="0" fontId="45" fillId="0" borderId="10" xfId="0" applyFont="1" applyFill="1" applyBorder="1" applyAlignment="1">
      <alignment horizontal="center" vertical="center" wrapText="1"/>
    </xf>
    <xf numFmtId="0" fontId="45" fillId="0" borderId="32" xfId="0" applyFont="1" applyFill="1" applyBorder="1" applyAlignment="1">
      <alignment horizontal="center" vertical="center" wrapText="1"/>
    </xf>
    <xf numFmtId="0" fontId="24" fillId="0" borderId="16" xfId="0" applyFont="1" applyFill="1" applyBorder="1" applyAlignment="1">
      <alignment wrapText="1"/>
    </xf>
    <xf numFmtId="0" fontId="24" fillId="0" borderId="16" xfId="0" applyFont="1" applyFill="1" applyBorder="1" applyAlignment="1">
      <alignment vertical="center" wrapText="1"/>
    </xf>
    <xf numFmtId="2" fontId="45" fillId="0" borderId="16" xfId="0" applyNumberFormat="1" applyFont="1" applyFill="1" applyBorder="1" applyAlignment="1">
      <alignment horizontal="center" wrapText="1"/>
    </xf>
    <xf numFmtId="0" fontId="24" fillId="0" borderId="15" xfId="0" applyFont="1" applyFill="1" applyBorder="1" applyAlignment="1">
      <alignment vertical="center" wrapText="1"/>
    </xf>
    <xf numFmtId="0" fontId="45" fillId="0" borderId="14" xfId="0" applyFont="1" applyFill="1" applyBorder="1" applyAlignment="1">
      <alignment horizontal="center" vertical="center" wrapText="1"/>
    </xf>
    <xf numFmtId="0" fontId="45" fillId="0" borderId="16" xfId="0" applyFont="1" applyFill="1" applyBorder="1" applyAlignment="1">
      <alignment horizontal="center" wrapText="1"/>
    </xf>
    <xf numFmtId="2" fontId="45" fillId="0" borderId="33" xfId="0" applyNumberFormat="1" applyFont="1" applyFill="1" applyBorder="1" applyAlignment="1">
      <alignment horizontal="center" wrapText="1"/>
    </xf>
    <xf numFmtId="2" fontId="24" fillId="0" borderId="15" xfId="0" applyNumberFormat="1" applyFont="1" applyFill="1" applyBorder="1" applyAlignment="1">
      <alignment vertical="center" wrapText="1"/>
    </xf>
    <xf numFmtId="2" fontId="45" fillId="0" borderId="14" xfId="0" applyNumberFormat="1" applyFont="1" applyFill="1" applyBorder="1" applyAlignment="1">
      <alignment horizontal="center" vertical="center" wrapText="1"/>
    </xf>
    <xf numFmtId="0" fontId="24" fillId="0" borderId="29" xfId="0" applyFont="1" applyFill="1" applyBorder="1" applyAlignment="1">
      <alignment wrapText="1"/>
    </xf>
    <xf numFmtId="0" fontId="24" fillId="0" borderId="29" xfId="0" applyFont="1" applyFill="1" applyBorder="1" applyAlignment="1">
      <alignment vertical="center" wrapText="1"/>
    </xf>
    <xf numFmtId="0" fontId="24" fillId="0" borderId="18" xfId="0" applyFont="1" applyFill="1" applyBorder="1" applyAlignment="1">
      <alignment wrapText="1"/>
    </xf>
    <xf numFmtId="0" fontId="24" fillId="0" borderId="18" xfId="0" applyFont="1" applyFill="1" applyBorder="1" applyAlignment="1">
      <alignment vertical="center" wrapText="1"/>
    </xf>
    <xf numFmtId="2" fontId="45" fillId="0" borderId="18" xfId="0" applyNumberFormat="1" applyFont="1" applyFill="1" applyBorder="1" applyAlignment="1">
      <alignment horizontal="center" wrapText="1"/>
    </xf>
    <xf numFmtId="0" fontId="24" fillId="0" borderId="17" xfId="0" applyFont="1" applyFill="1" applyBorder="1" applyAlignment="1">
      <alignment vertical="center" wrapText="1"/>
    </xf>
    <xf numFmtId="0" fontId="45" fillId="0" borderId="24" xfId="0" applyFont="1" applyFill="1" applyBorder="1" applyAlignment="1">
      <alignment horizontal="center" vertical="center" wrapText="1"/>
    </xf>
    <xf numFmtId="0" fontId="45" fillId="0" borderId="18" xfId="0" applyFont="1" applyFill="1" applyBorder="1" applyAlignment="1">
      <alignment horizontal="center" wrapText="1"/>
    </xf>
    <xf numFmtId="2" fontId="45" fillId="0" borderId="34" xfId="0" applyNumberFormat="1" applyFont="1" applyFill="1" applyBorder="1" applyAlignment="1">
      <alignment horizontal="center" wrapText="1"/>
    </xf>
    <xf numFmtId="2" fontId="24" fillId="0" borderId="17" xfId="0" applyNumberFormat="1" applyFont="1" applyFill="1" applyBorder="1" applyAlignment="1">
      <alignment vertical="center" wrapText="1"/>
    </xf>
    <xf numFmtId="2" fontId="45" fillId="0" borderId="24" xfId="0" applyNumberFormat="1" applyFont="1" applyFill="1" applyBorder="1" applyAlignment="1">
      <alignment horizontal="center" vertical="center" wrapText="1"/>
    </xf>
    <xf numFmtId="0" fontId="24" fillId="33" borderId="10" xfId="0" applyFont="1" applyFill="1" applyBorder="1" applyAlignment="1">
      <alignment vertical="center" wrapText="1"/>
    </xf>
    <xf numFmtId="2" fontId="45" fillId="33" borderId="10" xfId="0" applyNumberFormat="1" applyFont="1" applyFill="1" applyBorder="1" applyAlignment="1">
      <alignment horizontal="center" wrapText="1"/>
    </xf>
    <xf numFmtId="0" fontId="24" fillId="33" borderId="23" xfId="0" applyFont="1" applyFill="1" applyBorder="1" applyAlignment="1">
      <alignment vertical="center" wrapText="1"/>
    </xf>
    <xf numFmtId="0" fontId="45" fillId="33" borderId="86" xfId="0" applyFont="1" applyFill="1" applyBorder="1" applyAlignment="1">
      <alignment horizontal="center" vertical="center" wrapText="1"/>
    </xf>
    <xf numFmtId="0" fontId="24" fillId="33" borderId="10" xfId="0" applyFont="1" applyFill="1" applyBorder="1" applyAlignment="1">
      <alignment wrapText="1"/>
    </xf>
    <xf numFmtId="0" fontId="45" fillId="33" borderId="10" xfId="0" applyFont="1" applyFill="1" applyBorder="1" applyAlignment="1">
      <alignment horizontal="center" wrapText="1"/>
    </xf>
    <xf numFmtId="2" fontId="45" fillId="33" borderId="32" xfId="0" applyNumberFormat="1" applyFont="1" applyFill="1" applyBorder="1" applyAlignment="1">
      <alignment horizontal="center" wrapText="1"/>
    </xf>
    <xf numFmtId="2" fontId="24" fillId="33" borderId="23" xfId="0" applyNumberFormat="1" applyFont="1" applyFill="1" applyBorder="1" applyAlignment="1">
      <alignment vertical="center" wrapText="1"/>
    </xf>
    <xf numFmtId="2" fontId="45" fillId="33" borderId="86" xfId="0" applyNumberFormat="1" applyFont="1" applyFill="1" applyBorder="1" applyAlignment="1">
      <alignment horizontal="center" vertical="center" wrapText="1"/>
    </xf>
    <xf numFmtId="0" fontId="24" fillId="33" borderId="16" xfId="0" applyFont="1" applyFill="1" applyBorder="1" applyAlignment="1">
      <alignment wrapText="1"/>
    </xf>
    <xf numFmtId="2" fontId="45" fillId="33" borderId="16" xfId="0" applyNumberFormat="1" applyFont="1" applyFill="1" applyBorder="1" applyAlignment="1">
      <alignment horizontal="center" wrapText="1"/>
    </xf>
    <xf numFmtId="0" fontId="24" fillId="33" borderId="15" xfId="0" applyFont="1" applyFill="1" applyBorder="1" applyAlignment="1">
      <alignment vertical="center" wrapText="1"/>
    </xf>
    <xf numFmtId="0" fontId="45" fillId="33" borderId="14" xfId="0" applyFont="1" applyFill="1" applyBorder="1" applyAlignment="1">
      <alignment horizontal="center" vertical="center" wrapText="1"/>
    </xf>
    <xf numFmtId="0" fontId="45" fillId="33" borderId="16" xfId="0" applyFont="1" applyFill="1" applyBorder="1" applyAlignment="1">
      <alignment horizontal="center" wrapText="1"/>
    </xf>
    <xf numFmtId="2" fontId="45" fillId="33" borderId="33" xfId="0" applyNumberFormat="1" applyFont="1" applyFill="1" applyBorder="1" applyAlignment="1">
      <alignment horizontal="center" wrapText="1"/>
    </xf>
    <xf numFmtId="2" fontId="24" fillId="33" borderId="15" xfId="0" applyNumberFormat="1" applyFont="1" applyFill="1" applyBorder="1" applyAlignment="1">
      <alignment vertical="center" wrapText="1"/>
    </xf>
    <xf numFmtId="2" fontId="45" fillId="33" borderId="14" xfId="0" applyNumberFormat="1" applyFont="1" applyFill="1" applyBorder="1" applyAlignment="1">
      <alignment horizontal="center" vertical="center" wrapText="1"/>
    </xf>
    <xf numFmtId="0" fontId="24" fillId="33" borderId="18" xfId="0" applyFont="1" applyFill="1" applyBorder="1" applyAlignment="1">
      <alignment wrapText="1"/>
    </xf>
    <xf numFmtId="2" fontId="45" fillId="33" borderId="18" xfId="0" applyNumberFormat="1" applyFont="1" applyFill="1" applyBorder="1" applyAlignment="1">
      <alignment horizontal="center" wrapText="1"/>
    </xf>
    <xf numFmtId="0" fontId="24" fillId="33" borderId="17" xfId="0" applyFont="1" applyFill="1" applyBorder="1" applyAlignment="1">
      <alignment vertical="center" wrapText="1"/>
    </xf>
    <xf numFmtId="0" fontId="45" fillId="33" borderId="24" xfId="0" applyFont="1" applyFill="1" applyBorder="1" applyAlignment="1">
      <alignment horizontal="center" vertical="center" wrapText="1"/>
    </xf>
    <xf numFmtId="0" fontId="45" fillId="33" borderId="18" xfId="0" applyFont="1" applyFill="1" applyBorder="1" applyAlignment="1">
      <alignment horizontal="center" wrapText="1"/>
    </xf>
    <xf numFmtId="2" fontId="45" fillId="33" borderId="34" xfId="0" applyNumberFormat="1" applyFont="1" applyFill="1" applyBorder="1" applyAlignment="1">
      <alignment horizontal="center" wrapText="1"/>
    </xf>
    <xf numFmtId="2" fontId="24" fillId="33" borderId="17" xfId="0" applyNumberFormat="1" applyFont="1" applyFill="1" applyBorder="1" applyAlignment="1">
      <alignment vertical="center" wrapText="1"/>
    </xf>
    <xf numFmtId="2" fontId="45" fillId="33" borderId="24" xfId="0" applyNumberFormat="1" applyFont="1" applyFill="1" applyBorder="1" applyAlignment="1">
      <alignment horizontal="center" vertical="center" wrapText="1"/>
    </xf>
    <xf numFmtId="0" fontId="24" fillId="0" borderId="10" xfId="0" applyFont="1" applyFill="1" applyBorder="1" applyAlignment="1">
      <alignment wrapText="1"/>
    </xf>
    <xf numFmtId="0" fontId="45" fillId="0" borderId="10" xfId="0" applyFont="1" applyFill="1" applyBorder="1" applyAlignment="1">
      <alignment horizontal="center" wrapText="1"/>
    </xf>
    <xf numFmtId="2" fontId="45" fillId="0" borderId="32" xfId="0" applyNumberFormat="1" applyFont="1" applyFill="1" applyBorder="1" applyAlignment="1">
      <alignment horizontal="center" wrapText="1"/>
    </xf>
    <xf numFmtId="2" fontId="24" fillId="0" borderId="23" xfId="0" applyNumberFormat="1" applyFont="1" applyFill="1" applyBorder="1" applyAlignment="1">
      <alignment vertical="center" wrapText="1"/>
    </xf>
    <xf numFmtId="2" fontId="45" fillId="0" borderId="86" xfId="0" applyNumberFormat="1" applyFont="1" applyFill="1" applyBorder="1" applyAlignment="1">
      <alignment horizontal="center" vertical="center" wrapText="1"/>
    </xf>
    <xf numFmtId="0" fontId="24" fillId="33" borderId="64" xfId="0" applyFont="1" applyFill="1" applyBorder="1" applyAlignment="1">
      <alignment wrapText="1"/>
    </xf>
    <xf numFmtId="0" fontId="24" fillId="0" borderId="0" xfId="0" applyFont="1" applyFill="1" applyAlignment="1">
      <alignment wrapText="1"/>
    </xf>
    <xf numFmtId="0" fontId="24" fillId="0" borderId="0" xfId="0" applyFont="1" applyFill="1"/>
    <xf numFmtId="0" fontId="24" fillId="0" borderId="64" xfId="0" applyFont="1" applyFill="1" applyBorder="1" applyAlignment="1">
      <alignment wrapText="1"/>
    </xf>
    <xf numFmtId="2" fontId="45" fillId="0" borderId="29" xfId="0" applyNumberFormat="1" applyFont="1" applyFill="1" applyBorder="1" applyAlignment="1">
      <alignment horizontal="center" wrapText="1"/>
    </xf>
    <xf numFmtId="0" fontId="24" fillId="0" borderId="28" xfId="0" applyFont="1" applyFill="1" applyBorder="1" applyAlignment="1">
      <alignment vertical="center" wrapText="1"/>
    </xf>
    <xf numFmtId="0" fontId="45" fillId="0" borderId="30" xfId="0" applyFont="1" applyFill="1" applyBorder="1" applyAlignment="1">
      <alignment horizontal="center" vertical="center" wrapText="1"/>
    </xf>
    <xf numFmtId="0" fontId="45" fillId="0" borderId="29" xfId="0" applyFont="1" applyFill="1" applyBorder="1" applyAlignment="1">
      <alignment horizontal="center" wrapText="1"/>
    </xf>
    <xf numFmtId="2" fontId="45" fillId="0" borderId="94" xfId="0" applyNumberFormat="1" applyFont="1" applyFill="1" applyBorder="1" applyAlignment="1">
      <alignment horizontal="center" wrapText="1"/>
    </xf>
    <xf numFmtId="2" fontId="24" fillId="0" borderId="28" xfId="0" applyNumberFormat="1" applyFont="1" applyFill="1" applyBorder="1" applyAlignment="1">
      <alignment vertical="center" wrapText="1"/>
    </xf>
    <xf numFmtId="2" fontId="45" fillId="0" borderId="30" xfId="0" applyNumberFormat="1" applyFont="1" applyFill="1" applyBorder="1" applyAlignment="1">
      <alignment horizontal="center" vertical="center" wrapText="1"/>
    </xf>
    <xf numFmtId="0" fontId="0" fillId="25" borderId="36" xfId="0" applyFill="1" applyBorder="1" applyAlignment="1">
      <alignment wrapText="1"/>
    </xf>
    <xf numFmtId="165" fontId="0" fillId="25" borderId="36" xfId="0" applyNumberFormat="1" applyFill="1" applyBorder="1" applyAlignment="1">
      <alignment wrapText="1"/>
    </xf>
    <xf numFmtId="0" fontId="0" fillId="25" borderId="40" xfId="0" applyFill="1" applyBorder="1"/>
    <xf numFmtId="0" fontId="24" fillId="33" borderId="19" xfId="0" applyFont="1" applyFill="1" applyBorder="1" applyAlignment="1">
      <alignment wrapText="1"/>
    </xf>
    <xf numFmtId="2" fontId="45" fillId="33" borderId="19" xfId="0" applyNumberFormat="1" applyFont="1" applyFill="1" applyBorder="1" applyAlignment="1">
      <alignment horizontal="center" wrapText="1"/>
    </xf>
    <xf numFmtId="2" fontId="45" fillId="33" borderId="26" xfId="0" applyNumberFormat="1" applyFont="1" applyFill="1" applyBorder="1" applyAlignment="1">
      <alignment horizontal="center" vertical="center" wrapText="1"/>
    </xf>
    <xf numFmtId="0" fontId="24" fillId="33" borderId="38" xfId="0" applyFont="1" applyFill="1" applyBorder="1" applyAlignment="1">
      <alignment vertical="center" wrapText="1"/>
    </xf>
    <xf numFmtId="0" fontId="45" fillId="33" borderId="26" xfId="0" applyFont="1" applyFill="1" applyBorder="1" applyAlignment="1">
      <alignment horizontal="center" vertical="center" wrapText="1"/>
    </xf>
    <xf numFmtId="0" fontId="45" fillId="33" borderId="19" xfId="0" applyFont="1" applyFill="1" applyBorder="1" applyAlignment="1">
      <alignment horizontal="center" wrapText="1"/>
    </xf>
    <xf numFmtId="2" fontId="45" fillId="33" borderId="39" xfId="0" applyNumberFormat="1" applyFont="1" applyFill="1" applyBorder="1" applyAlignment="1">
      <alignment horizontal="center" wrapText="1"/>
    </xf>
    <xf numFmtId="2" fontId="24" fillId="33" borderId="38" xfId="0" applyNumberFormat="1" applyFont="1" applyFill="1" applyBorder="1" applyAlignment="1">
      <alignment vertical="center" wrapText="1"/>
    </xf>
    <xf numFmtId="2" fontId="24" fillId="33" borderId="10" xfId="0" applyNumberFormat="1" applyFont="1" applyFill="1" applyBorder="1" applyAlignment="1">
      <alignment vertical="center" wrapText="1"/>
    </xf>
    <xf numFmtId="0" fontId="24" fillId="33" borderId="29" xfId="0" applyFont="1" applyFill="1" applyBorder="1" applyAlignment="1">
      <alignment wrapText="1"/>
    </xf>
    <xf numFmtId="0" fontId="24" fillId="33" borderId="28" xfId="0" applyFont="1" applyFill="1" applyBorder="1" applyAlignment="1">
      <alignment vertical="center" wrapText="1"/>
    </xf>
    <xf numFmtId="0" fontId="45" fillId="33" borderId="30" xfId="0" applyFont="1" applyFill="1" applyBorder="1" applyAlignment="1">
      <alignment horizontal="center" vertical="center" wrapText="1"/>
    </xf>
    <xf numFmtId="2" fontId="24" fillId="33" borderId="28" xfId="0" applyNumberFormat="1" applyFont="1" applyFill="1" applyBorder="1" applyAlignment="1">
      <alignment vertical="center" wrapText="1"/>
    </xf>
    <xf numFmtId="2" fontId="45" fillId="33" borderId="30" xfId="0" applyNumberFormat="1" applyFont="1" applyFill="1" applyBorder="1" applyAlignment="1">
      <alignment horizontal="center" vertical="center" wrapText="1"/>
    </xf>
    <xf numFmtId="0" fontId="20" fillId="0" borderId="11" xfId="0" applyFont="1" applyBorder="1"/>
    <xf numFmtId="0" fontId="0" fillId="0" borderId="20" xfId="0" applyBorder="1"/>
    <xf numFmtId="0" fontId="47" fillId="36" borderId="11" xfId="40" applyFont="1" applyFill="1" applyBorder="1" applyAlignment="1"/>
    <xf numFmtId="0" fontId="20" fillId="36" borderId="13" xfId="0" applyFont="1" applyFill="1" applyBorder="1"/>
    <xf numFmtId="0" fontId="0" fillId="0" borderId="23" xfId="0" applyBorder="1"/>
    <xf numFmtId="0" fontId="0" fillId="0" borderId="86" xfId="0" applyBorder="1"/>
    <xf numFmtId="0" fontId="0" fillId="0" borderId="10" xfId="0" applyBorder="1"/>
    <xf numFmtId="0" fontId="0" fillId="0" borderId="14" xfId="0" applyBorder="1"/>
    <xf numFmtId="0" fontId="0" fillId="0" borderId="26" xfId="0" applyBorder="1"/>
    <xf numFmtId="0" fontId="0" fillId="0" borderId="16" xfId="0" applyBorder="1"/>
    <xf numFmtId="0" fontId="47" fillId="36" borderId="20" xfId="40" applyFont="1" applyFill="1" applyBorder="1" applyAlignment="1"/>
    <xf numFmtId="0" fontId="20" fillId="36" borderId="22" xfId="0" applyFont="1" applyFill="1" applyBorder="1"/>
    <xf numFmtId="0" fontId="0" fillId="0" borderId="24" xfId="0" applyBorder="1"/>
    <xf numFmtId="0" fontId="0" fillId="0" borderId="19" xfId="0" applyBorder="1"/>
    <xf numFmtId="0" fontId="0" fillId="0" borderId="60" xfId="0" applyBorder="1"/>
    <xf numFmtId="0" fontId="0" fillId="0" borderId="64" xfId="0" applyBorder="1"/>
    <xf numFmtId="0" fontId="0" fillId="0" borderId="62" xfId="0" applyBorder="1"/>
    <xf numFmtId="0" fontId="20" fillId="0" borderId="98" xfId="0" applyFont="1" applyBorder="1" applyAlignment="1">
      <alignment horizontal="right" wrapText="1"/>
    </xf>
    <xf numFmtId="0" fontId="0" fillId="0" borderId="10" xfId="0" applyBorder="1" applyAlignment="1">
      <alignment wrapText="1"/>
    </xf>
    <xf numFmtId="0" fontId="0" fillId="0" borderId="86" xfId="0" applyBorder="1" applyAlignment="1">
      <alignment wrapText="1"/>
    </xf>
    <xf numFmtId="0" fontId="0" fillId="40" borderId="16" xfId="0" applyFill="1" applyBorder="1"/>
    <xf numFmtId="0" fontId="44" fillId="39" borderId="96" xfId="50" applyBorder="1"/>
    <xf numFmtId="0" fontId="44" fillId="39" borderId="99" xfId="50" applyBorder="1"/>
    <xf numFmtId="0" fontId="43" fillId="38" borderId="96" xfId="49" applyBorder="1"/>
    <xf numFmtId="0" fontId="0" fillId="0" borderId="87" xfId="0" applyBorder="1"/>
    <xf numFmtId="0" fontId="0" fillId="40" borderId="24" xfId="0" applyFill="1" applyBorder="1"/>
    <xf numFmtId="0" fontId="0" fillId="0" borderId="85" xfId="0" applyBorder="1"/>
    <xf numFmtId="0" fontId="43" fillId="38" borderId="100" xfId="49" applyBorder="1"/>
    <xf numFmtId="0" fontId="0" fillId="0" borderId="95" xfId="0" applyBorder="1"/>
    <xf numFmtId="0" fontId="46" fillId="0" borderId="10" xfId="40" applyFont="1" applyFill="1" applyBorder="1" applyAlignment="1"/>
    <xf numFmtId="0" fontId="20" fillId="0" borderId="86" xfId="0" applyFont="1" applyFill="1" applyBorder="1"/>
    <xf numFmtId="0" fontId="46" fillId="0" borderId="16" xfId="40" applyFont="1" applyFill="1" applyBorder="1" applyAlignment="1"/>
    <xf numFmtId="0" fontId="20" fillId="0" borderId="14" xfId="0" applyFont="1" applyFill="1" applyBorder="1"/>
    <xf numFmtId="0" fontId="46" fillId="0" borderId="29" xfId="40" applyFont="1" applyFill="1" applyBorder="1" applyAlignment="1"/>
    <xf numFmtId="0" fontId="20" fillId="0" borderId="30" xfId="0" applyFont="1" applyFill="1" applyBorder="1"/>
    <xf numFmtId="0" fontId="20" fillId="0" borderId="0" xfId="0" applyFont="1"/>
    <xf numFmtId="1" fontId="48" fillId="0" borderId="0" xfId="0" applyNumberFormat="1" applyFont="1" applyAlignment="1">
      <alignment horizontal="center"/>
    </xf>
    <xf numFmtId="1" fontId="0" fillId="0" borderId="0" xfId="0" applyNumberFormat="1"/>
    <xf numFmtId="0" fontId="0" fillId="0" borderId="0" xfId="0" applyFont="1" applyAlignment="1">
      <alignment horizontal="center"/>
    </xf>
    <xf numFmtId="0" fontId="0" fillId="0" borderId="0" xfId="0" applyFont="1"/>
    <xf numFmtId="0" fontId="49" fillId="0" borderId="53" xfId="0" applyFont="1" applyBorder="1" applyAlignment="1"/>
    <xf numFmtId="0" fontId="49" fillId="0" borderId="54" xfId="0" applyFont="1" applyBorder="1" applyAlignment="1"/>
    <xf numFmtId="0" fontId="0" fillId="0" borderId="54" xfId="0" applyBorder="1" applyAlignment="1"/>
    <xf numFmtId="0" fontId="0" fillId="0" borderId="55" xfId="0" applyBorder="1" applyAlignment="1"/>
    <xf numFmtId="2" fontId="0" fillId="0" borderId="54" xfId="0" applyNumberFormat="1" applyBorder="1"/>
    <xf numFmtId="2" fontId="0" fillId="0" borderId="55" xfId="0" applyNumberFormat="1" applyBorder="1" applyAlignment="1"/>
    <xf numFmtId="2" fontId="0" fillId="0" borderId="0" xfId="0" applyNumberFormat="1" applyBorder="1" applyAlignment="1"/>
    <xf numFmtId="0" fontId="27" fillId="0" borderId="0" xfId="0" applyFont="1"/>
    <xf numFmtId="0" fontId="49" fillId="0" borderId="0" xfId="0" applyFont="1" applyBorder="1" applyAlignment="1"/>
    <xf numFmtId="0" fontId="49" fillId="0" borderId="0" xfId="0" applyFont="1" applyFill="1" applyBorder="1" applyAlignment="1"/>
    <xf numFmtId="0" fontId="0" fillId="0" borderId="0" xfId="0" applyBorder="1" applyAlignment="1"/>
    <xf numFmtId="0" fontId="0" fillId="0" borderId="0" xfId="0" applyFont="1" applyBorder="1" applyAlignment="1">
      <alignment horizontal="center"/>
    </xf>
    <xf numFmtId="0" fontId="24" fillId="0" borderId="0" xfId="0" applyFont="1" applyBorder="1" applyAlignment="1"/>
    <xf numFmtId="0" fontId="0" fillId="0" borderId="0" xfId="0" applyFont="1" applyBorder="1" applyAlignment="1"/>
    <xf numFmtId="0" fontId="1" fillId="0" borderId="0" xfId="0" applyFont="1" applyFill="1" applyBorder="1" applyAlignment="1">
      <alignment horizontal="left"/>
    </xf>
    <xf numFmtId="0" fontId="1" fillId="0" borderId="0" xfId="0" applyFont="1" applyFill="1" applyBorder="1" applyAlignment="1"/>
    <xf numFmtId="0" fontId="0" fillId="0" borderId="0" xfId="0" applyBorder="1" applyAlignment="1">
      <alignment wrapText="1"/>
    </xf>
    <xf numFmtId="0" fontId="0" fillId="0" borderId="0" xfId="0" applyFont="1" applyBorder="1"/>
    <xf numFmtId="0" fontId="27" fillId="0" borderId="0" xfId="0" applyFont="1" applyFill="1" applyBorder="1"/>
    <xf numFmtId="10" fontId="27" fillId="0" borderId="0" xfId="0" applyNumberFormat="1" applyFont="1" applyFill="1" applyBorder="1"/>
    <xf numFmtId="0" fontId="50" fillId="0" borderId="0" xfId="0" applyFont="1" applyFill="1"/>
    <xf numFmtId="0" fontId="27" fillId="41" borderId="20" xfId="0" applyFont="1" applyFill="1" applyBorder="1" applyAlignment="1">
      <alignment horizontal="center"/>
    </xf>
    <xf numFmtId="0" fontId="27" fillId="41" borderId="53" xfId="0" applyFont="1" applyFill="1" applyBorder="1" applyAlignment="1"/>
    <xf numFmtId="0" fontId="27" fillId="41" borderId="54" xfId="0" applyFont="1" applyFill="1" applyBorder="1" applyAlignment="1"/>
    <xf numFmtId="0" fontId="27" fillId="41" borderId="55" xfId="0" applyFont="1" applyFill="1" applyBorder="1" applyAlignment="1"/>
    <xf numFmtId="1" fontId="27" fillId="41" borderId="22" xfId="0" applyNumberFormat="1" applyFont="1" applyFill="1" applyBorder="1" applyAlignment="1">
      <alignment horizontal="center"/>
    </xf>
    <xf numFmtId="1" fontId="27" fillId="41" borderId="97" xfId="0" applyNumberFormat="1" applyFont="1" applyFill="1" applyBorder="1" applyAlignment="1">
      <alignment horizontal="center"/>
    </xf>
    <xf numFmtId="0" fontId="27" fillId="41" borderId="37" xfId="0" applyFont="1" applyFill="1" applyBorder="1"/>
    <xf numFmtId="1" fontId="27" fillId="41" borderId="88" xfId="0" applyNumberFormat="1" applyFont="1" applyFill="1" applyBorder="1" applyAlignment="1">
      <alignment horizontal="center"/>
    </xf>
    <xf numFmtId="1" fontId="27" fillId="41" borderId="21" xfId="0" applyNumberFormat="1" applyFont="1" applyFill="1" applyBorder="1" applyAlignment="1">
      <alignment horizontal="center"/>
    </xf>
    <xf numFmtId="0" fontId="51" fillId="42" borderId="65" xfId="0" applyFont="1" applyFill="1" applyBorder="1" applyAlignment="1"/>
    <xf numFmtId="0" fontId="51" fillId="42" borderId="37" xfId="0" applyFont="1" applyFill="1" applyBorder="1" applyAlignment="1"/>
    <xf numFmtId="2" fontId="51" fillId="42" borderId="65" xfId="0" applyNumberFormat="1" applyFont="1" applyFill="1" applyBorder="1" applyAlignment="1">
      <alignment horizontal="center"/>
    </xf>
    <xf numFmtId="2" fontId="51" fillId="42" borderId="35" xfId="0" applyNumberFormat="1" applyFont="1" applyFill="1" applyBorder="1" applyAlignment="1">
      <alignment horizontal="center"/>
    </xf>
    <xf numFmtId="2" fontId="53" fillId="0" borderId="35" xfId="0" applyNumberFormat="1" applyFont="1" applyBorder="1"/>
    <xf numFmtId="0" fontId="54" fillId="43" borderId="74" xfId="0" applyFont="1" applyFill="1" applyBorder="1"/>
    <xf numFmtId="2" fontId="53" fillId="0" borderId="88" xfId="0" applyNumberFormat="1" applyFont="1" applyBorder="1"/>
    <xf numFmtId="2" fontId="53" fillId="0" borderId="65" xfId="0" applyNumberFormat="1" applyFont="1" applyBorder="1"/>
    <xf numFmtId="2" fontId="53" fillId="0" borderId="57" xfId="0" applyNumberFormat="1" applyFont="1" applyBorder="1"/>
    <xf numFmtId="0" fontId="54" fillId="43" borderId="68" xfId="0" applyFont="1" applyFill="1" applyBorder="1"/>
    <xf numFmtId="2" fontId="53" fillId="0" borderId="41" xfId="0" applyNumberFormat="1" applyFont="1" applyBorder="1"/>
    <xf numFmtId="2" fontId="53" fillId="0" borderId="0" xfId="0" applyNumberFormat="1" applyFont="1" applyBorder="1"/>
    <xf numFmtId="2" fontId="53" fillId="0" borderId="40" xfId="0" applyNumberFormat="1" applyFont="1" applyBorder="1"/>
    <xf numFmtId="0" fontId="54" fillId="43" borderId="69" xfId="0" applyFont="1" applyFill="1" applyBorder="1"/>
    <xf numFmtId="2" fontId="53" fillId="0" borderId="56" xfId="0" applyNumberFormat="1" applyFont="1" applyBorder="1"/>
    <xf numFmtId="2" fontId="53" fillId="0" borderId="36" xfId="0" applyNumberFormat="1" applyFont="1" applyBorder="1"/>
    <xf numFmtId="2" fontId="0" fillId="0" borderId="55" xfId="0" applyNumberFormat="1" applyFont="1" applyBorder="1"/>
    <xf numFmtId="0" fontId="52" fillId="34" borderId="53" xfId="0" applyFont="1" applyFill="1" applyBorder="1"/>
    <xf numFmtId="2" fontId="0" fillId="0" borderId="48" xfId="0" applyNumberFormat="1" applyFont="1" applyBorder="1"/>
    <xf numFmtId="2" fontId="0" fillId="0" borderId="54" xfId="0" applyNumberFormat="1" applyFont="1" applyBorder="1"/>
    <xf numFmtId="0" fontId="51" fillId="35" borderId="55" xfId="0" applyFont="1" applyFill="1" applyBorder="1" applyAlignment="1"/>
    <xf numFmtId="2" fontId="0" fillId="0" borderId="0" xfId="0" applyNumberFormat="1" applyFont="1" applyAlignment="1">
      <alignment horizontal="center"/>
    </xf>
    <xf numFmtId="0" fontId="0" fillId="44" borderId="94" xfId="0" applyFill="1" applyBorder="1"/>
    <xf numFmtId="0" fontId="0" fillId="44" borderId="70" xfId="0" applyFill="1" applyBorder="1"/>
    <xf numFmtId="0" fontId="50" fillId="44" borderId="70" xfId="0" applyFont="1" applyFill="1" applyBorder="1" applyAlignment="1"/>
    <xf numFmtId="0" fontId="0" fillId="44" borderId="70" xfId="0" applyFill="1" applyBorder="1" applyAlignment="1"/>
    <xf numFmtId="0" fontId="0" fillId="44" borderId="89" xfId="0" applyFill="1" applyBorder="1" applyAlignment="1"/>
    <xf numFmtId="0" fontId="1" fillId="44" borderId="66" xfId="0" applyFont="1" applyFill="1" applyBorder="1" applyAlignment="1">
      <alignment horizontal="left"/>
    </xf>
    <xf numFmtId="0" fontId="27" fillId="0" borderId="0" xfId="0" applyFont="1" applyFill="1" applyBorder="1" applyAlignment="1">
      <alignment horizontal="left"/>
    </xf>
    <xf numFmtId="0" fontId="1" fillId="0" borderId="0" xfId="0" applyFont="1" applyFill="1" applyBorder="1" applyAlignment="1">
      <alignment horizontal="center"/>
    </xf>
    <xf numFmtId="2" fontId="1" fillId="0" borderId="0" xfId="0" applyNumberFormat="1" applyFont="1" applyFill="1" applyBorder="1" applyAlignment="1">
      <alignment horizontal="left"/>
    </xf>
    <xf numFmtId="2" fontId="1" fillId="0" borderId="63" xfId="0" applyNumberFormat="1" applyFont="1" applyFill="1" applyBorder="1" applyAlignment="1">
      <alignment horizontal="left"/>
    </xf>
    <xf numFmtId="2" fontId="0" fillId="0" borderId="63" xfId="0" applyNumberFormat="1" applyFill="1" applyBorder="1"/>
    <xf numFmtId="1" fontId="0" fillId="0" borderId="14" xfId="0" applyNumberFormat="1" applyFill="1" applyBorder="1" applyAlignment="1">
      <alignment horizontal="center"/>
    </xf>
    <xf numFmtId="1" fontId="0" fillId="0" borderId="33" xfId="0" applyNumberFormat="1" applyFill="1" applyBorder="1" applyAlignment="1">
      <alignment horizontal="center"/>
    </xf>
    <xf numFmtId="2" fontId="0" fillId="0" borderId="62" xfId="0" applyNumberFormat="1" applyFill="1" applyBorder="1"/>
    <xf numFmtId="2" fontId="0" fillId="0" borderId="66" xfId="0" applyNumberFormat="1" applyFill="1" applyBorder="1"/>
    <xf numFmtId="10" fontId="27" fillId="0" borderId="0" xfId="0" applyNumberFormat="1" applyFont="1" applyFill="1" applyBorder="1" applyAlignment="1">
      <alignment horizontal="center"/>
    </xf>
    <xf numFmtId="2" fontId="27" fillId="0" borderId="0" xfId="0" applyNumberFormat="1" applyFont="1" applyFill="1" applyBorder="1"/>
    <xf numFmtId="165" fontId="27" fillId="0" borderId="0" xfId="0" applyNumberFormat="1" applyFont="1" applyFill="1" applyBorder="1"/>
    <xf numFmtId="2" fontId="0" fillId="0" borderId="92" xfId="0" applyNumberFormat="1" applyFill="1" applyBorder="1"/>
    <xf numFmtId="2" fontId="0" fillId="0" borderId="101" xfId="0" applyNumberFormat="1" applyFill="1" applyBorder="1"/>
    <xf numFmtId="0" fontId="0" fillId="44" borderId="66" xfId="0" applyFill="1" applyBorder="1"/>
    <xf numFmtId="165" fontId="0" fillId="0" borderId="0" xfId="0" applyNumberFormat="1" applyFill="1" applyBorder="1"/>
    <xf numFmtId="165" fontId="0" fillId="0" borderId="0" xfId="0" applyNumberFormat="1" applyFont="1" applyFill="1" applyBorder="1" applyAlignment="1">
      <alignment horizontal="center"/>
    </xf>
    <xf numFmtId="165" fontId="24" fillId="0" borderId="0" xfId="0" applyNumberFormat="1" applyFont="1" applyFill="1" applyBorder="1"/>
    <xf numFmtId="165" fontId="0" fillId="0" borderId="0" xfId="0" applyNumberFormat="1" applyFont="1" applyFill="1" applyBorder="1"/>
    <xf numFmtId="0" fontId="0" fillId="0" borderId="0" xfId="0" applyFill="1" applyBorder="1" applyAlignment="1">
      <alignment wrapText="1"/>
    </xf>
    <xf numFmtId="2" fontId="0" fillId="0" borderId="10" xfId="0" applyNumberFormat="1" applyBorder="1"/>
    <xf numFmtId="2" fontId="0" fillId="0" borderId="16" xfId="0" applyNumberFormat="1" applyBorder="1"/>
    <xf numFmtId="2" fontId="0" fillId="0" borderId="18" xfId="0" applyNumberFormat="1" applyBorder="1"/>
    <xf numFmtId="0" fontId="0" fillId="0" borderId="0" xfId="0" applyFont="1" applyFill="1" applyBorder="1" applyAlignment="1">
      <alignment horizontal="center"/>
    </xf>
    <xf numFmtId="0" fontId="0" fillId="0" borderId="40" xfId="0" applyFill="1" applyBorder="1"/>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38" fillId="0" borderId="53" xfId="0" applyFont="1" applyFill="1" applyBorder="1" applyAlignment="1">
      <alignment horizontal="center"/>
    </xf>
    <xf numFmtId="0" fontId="38" fillId="0" borderId="54" xfId="0" applyFont="1" applyFill="1" applyBorder="1" applyAlignment="1">
      <alignment horizontal="center"/>
    </xf>
    <xf numFmtId="0" fontId="38" fillId="0" borderId="0" xfId="0" applyFont="1" applyFill="1" applyBorder="1" applyAlignment="1">
      <alignment horizontal="center"/>
    </xf>
    <xf numFmtId="0" fontId="38" fillId="0" borderId="0" xfId="0" applyFont="1" applyFill="1" applyBorder="1" applyAlignment="1">
      <alignment horizontal="center" vertical="center" wrapText="1"/>
    </xf>
    <xf numFmtId="0" fontId="20" fillId="0" borderId="20" xfId="0" applyFont="1" applyFill="1" applyBorder="1" applyAlignment="1">
      <alignment vertical="center" wrapText="1"/>
    </xf>
    <xf numFmtId="0" fontId="38" fillId="0" borderId="91" xfId="0" applyFont="1" applyFill="1" applyBorder="1" applyAlignment="1">
      <alignment vertical="center" wrapText="1"/>
    </xf>
    <xf numFmtId="0" fontId="38" fillId="0" borderId="21" xfId="0" applyFont="1" applyFill="1" applyBorder="1" applyAlignment="1">
      <alignment vertical="center" wrapText="1"/>
    </xf>
    <xf numFmtId="0" fontId="38" fillId="0" borderId="21" xfId="0" applyFont="1" applyFill="1" applyBorder="1" applyAlignment="1">
      <alignment horizontal="center" vertical="center" wrapText="1"/>
    </xf>
    <xf numFmtId="0" fontId="20" fillId="0" borderId="21" xfId="0" applyFont="1" applyFill="1" applyBorder="1" applyAlignment="1">
      <alignment vertical="center" wrapText="1"/>
    </xf>
    <xf numFmtId="0" fontId="20" fillId="0" borderId="22" xfId="0" applyFont="1" applyFill="1" applyBorder="1" applyAlignment="1">
      <alignment vertical="center" wrapText="1"/>
    </xf>
    <xf numFmtId="0" fontId="38" fillId="0" borderId="20" xfId="0" applyFont="1" applyFill="1" applyBorder="1" applyAlignment="1">
      <alignment vertical="center" wrapText="1"/>
    </xf>
    <xf numFmtId="2" fontId="38" fillId="0" borderId="22" xfId="0" applyNumberFormat="1" applyFont="1" applyFill="1" applyBorder="1" applyAlignment="1">
      <alignment vertical="center" wrapText="1"/>
    </xf>
    <xf numFmtId="0" fontId="38" fillId="0" borderId="22" xfId="0" applyFont="1" applyFill="1" applyBorder="1" applyAlignment="1">
      <alignment vertical="center" wrapText="1"/>
    </xf>
    <xf numFmtId="0" fontId="38" fillId="0" borderId="37" xfId="0" applyFont="1" applyFill="1" applyBorder="1" applyAlignment="1">
      <alignment vertical="center" wrapText="1"/>
    </xf>
    <xf numFmtId="0" fontId="38" fillId="0" borderId="35" xfId="0" applyFont="1" applyFill="1" applyBorder="1" applyAlignment="1">
      <alignment vertical="center" wrapText="1"/>
    </xf>
    <xf numFmtId="0" fontId="38" fillId="0" borderId="20" xfId="0" applyFont="1" applyFill="1" applyBorder="1" applyAlignment="1">
      <alignment vertical="center"/>
    </xf>
    <xf numFmtId="2" fontId="38" fillId="0" borderId="21" xfId="0" applyNumberFormat="1" applyFont="1" applyFill="1" applyBorder="1" applyAlignment="1">
      <alignment vertical="center" wrapText="1"/>
    </xf>
    <xf numFmtId="2" fontId="38" fillId="0" borderId="0" xfId="0" applyNumberFormat="1" applyFont="1" applyFill="1" applyBorder="1" applyAlignment="1">
      <alignment vertical="center" wrapText="1"/>
    </xf>
    <xf numFmtId="0" fontId="38" fillId="0" borderId="0" xfId="0" applyFont="1" applyFill="1" applyBorder="1" applyAlignment="1">
      <alignment vertical="center" wrapText="1"/>
    </xf>
    <xf numFmtId="0" fontId="1" fillId="0" borderId="85" xfId="0" applyFont="1" applyFill="1" applyBorder="1"/>
    <xf numFmtId="0" fontId="1" fillId="0" borderId="10" xfId="0" applyFont="1" applyFill="1" applyBorder="1"/>
    <xf numFmtId="2" fontId="0" fillId="0" borderId="10" xfId="0" applyNumberFormat="1" applyFont="1" applyFill="1" applyBorder="1" applyAlignment="1">
      <alignment horizontal="center" wrapText="1"/>
    </xf>
    <xf numFmtId="2" fontId="21" fillId="0" borderId="47" xfId="0" applyNumberFormat="1" applyFont="1" applyFill="1" applyBorder="1" applyAlignment="1">
      <alignment horizontal="center" wrapText="1"/>
    </xf>
    <xf numFmtId="0" fontId="24" fillId="0" borderId="10" xfId="0" applyFont="1" applyFill="1" applyBorder="1" applyAlignment="1">
      <alignment horizontal="center" vertical="center" wrapText="1"/>
    </xf>
    <xf numFmtId="0" fontId="45" fillId="0" borderId="85" xfId="0" applyFont="1" applyFill="1" applyBorder="1" applyAlignment="1">
      <alignment horizontal="center" vertical="center" wrapText="1"/>
    </xf>
    <xf numFmtId="0" fontId="24" fillId="0" borderId="85" xfId="0" applyFont="1" applyFill="1" applyBorder="1" applyAlignment="1">
      <alignment vertical="center" wrapText="1"/>
    </xf>
    <xf numFmtId="2" fontId="45" fillId="0" borderId="85" xfId="0" applyNumberFormat="1" applyFont="1" applyFill="1" applyBorder="1" applyAlignment="1">
      <alignment horizontal="center" vertical="center" wrapText="1"/>
    </xf>
    <xf numFmtId="168" fontId="45" fillId="0" borderId="86" xfId="0" applyNumberFormat="1" applyFont="1" applyFill="1" applyBorder="1" applyAlignment="1">
      <alignment horizontal="center" vertical="center" wrapText="1"/>
    </xf>
    <xf numFmtId="168" fontId="45" fillId="0" borderId="0" xfId="0" applyNumberFormat="1" applyFont="1" applyFill="1" applyBorder="1" applyAlignment="1">
      <alignment horizontal="center" vertical="center" wrapText="1"/>
    </xf>
    <xf numFmtId="0" fontId="1" fillId="0" borderId="95" xfId="0" applyFont="1" applyFill="1" applyBorder="1"/>
    <xf numFmtId="0" fontId="1" fillId="0" borderId="18" xfId="0" applyFont="1" applyFill="1" applyBorder="1"/>
    <xf numFmtId="2" fontId="0" fillId="0" borderId="60" xfId="0" applyNumberFormat="1" applyFont="1" applyFill="1" applyBorder="1" applyAlignment="1">
      <alignment horizontal="center" wrapText="1"/>
    </xf>
    <xf numFmtId="2" fontId="21" fillId="0" borderId="40" xfId="0" applyNumberFormat="1" applyFont="1" applyFill="1" applyBorder="1" applyAlignment="1">
      <alignment horizontal="center" wrapText="1"/>
    </xf>
    <xf numFmtId="2" fontId="45" fillId="0" borderId="92" xfId="0" applyNumberFormat="1" applyFont="1" applyFill="1" applyBorder="1" applyAlignment="1">
      <alignment horizontal="center" vertical="center" wrapText="1"/>
    </xf>
    <xf numFmtId="0" fontId="24" fillId="0" borderId="18" xfId="0" applyFont="1" applyFill="1" applyBorder="1" applyAlignment="1">
      <alignment horizontal="center" vertical="center" wrapText="1"/>
    </xf>
    <xf numFmtId="0" fontId="45" fillId="0" borderId="95" xfId="0" applyFont="1" applyFill="1" applyBorder="1" applyAlignment="1">
      <alignment horizontal="center" vertical="center" wrapText="1"/>
    </xf>
    <xf numFmtId="0" fontId="45" fillId="0" borderId="18" xfId="0" applyFont="1" applyFill="1" applyBorder="1" applyAlignment="1">
      <alignment horizontal="center" vertical="center" wrapText="1"/>
    </xf>
    <xf numFmtId="0" fontId="24" fillId="0" borderId="90" xfId="0" applyFont="1" applyFill="1" applyBorder="1" applyAlignment="1">
      <alignment vertical="center" wrapText="1"/>
    </xf>
    <xf numFmtId="2" fontId="45" fillId="0" borderId="90" xfId="0" applyNumberFormat="1" applyFont="1" applyFill="1" applyBorder="1" applyAlignment="1">
      <alignment horizontal="center" vertical="center" wrapText="1"/>
    </xf>
    <xf numFmtId="168" fontId="45" fillId="0" borderId="24" xfId="0" applyNumberFormat="1" applyFont="1" applyFill="1" applyBorder="1" applyAlignment="1">
      <alignment horizontal="center" vertical="center" wrapText="1"/>
    </xf>
    <xf numFmtId="0" fontId="1" fillId="27" borderId="85" xfId="0" applyFont="1" applyFill="1" applyBorder="1"/>
    <xf numFmtId="0" fontId="1" fillId="27" borderId="10" xfId="0" applyFont="1" applyFill="1" applyBorder="1"/>
    <xf numFmtId="2" fontId="0" fillId="27" borderId="10" xfId="0" applyNumberFormat="1" applyFont="1" applyFill="1" applyBorder="1" applyAlignment="1">
      <alignment horizontal="center" wrapText="1"/>
    </xf>
    <xf numFmtId="2" fontId="21" fillId="27" borderId="10" xfId="0" applyNumberFormat="1" applyFont="1" applyFill="1" applyBorder="1" applyAlignment="1">
      <alignment horizontal="center" vertical="center" wrapText="1"/>
    </xf>
    <xf numFmtId="2" fontId="21" fillId="27" borderId="47" xfId="0" applyNumberFormat="1" applyFont="1" applyFill="1" applyBorder="1" applyAlignment="1">
      <alignment horizontal="center" wrapText="1"/>
    </xf>
    <xf numFmtId="0" fontId="24" fillId="27" borderId="10" xfId="0" applyFont="1" applyFill="1" applyBorder="1" applyAlignment="1">
      <alignment vertical="center" wrapText="1"/>
    </xf>
    <xf numFmtId="2" fontId="45" fillId="27" borderId="86" xfId="0" applyNumberFormat="1" applyFont="1" applyFill="1" applyBorder="1" applyAlignment="1">
      <alignment horizontal="center" vertical="center" wrapText="1"/>
    </xf>
    <xf numFmtId="0" fontId="24" fillId="27" borderId="23" xfId="0" applyFont="1" applyFill="1" applyBorder="1" applyAlignment="1">
      <alignment vertical="center" wrapText="1"/>
    </xf>
    <xf numFmtId="0" fontId="24" fillId="27" borderId="10" xfId="0" applyFont="1" applyFill="1" applyBorder="1" applyAlignment="1">
      <alignment horizontal="center" vertical="center" wrapText="1"/>
    </xf>
    <xf numFmtId="0" fontId="45" fillId="27" borderId="85" xfId="0" applyFont="1" applyFill="1" applyBorder="1" applyAlignment="1">
      <alignment horizontal="center" vertical="center" wrapText="1"/>
    </xf>
    <xf numFmtId="0" fontId="45" fillId="27" borderId="10" xfId="0" applyFont="1" applyFill="1" applyBorder="1" applyAlignment="1">
      <alignment horizontal="center" vertical="center" wrapText="1"/>
    </xf>
    <xf numFmtId="0" fontId="24" fillId="27" borderId="85" xfId="0" applyFont="1" applyFill="1" applyBorder="1" applyAlignment="1">
      <alignment vertical="center" wrapText="1"/>
    </xf>
    <xf numFmtId="2" fontId="45" fillId="27" borderId="85" xfId="0" applyNumberFormat="1" applyFont="1" applyFill="1" applyBorder="1" applyAlignment="1">
      <alignment horizontal="center" vertical="center" wrapText="1"/>
    </xf>
    <xf numFmtId="168" fontId="45" fillId="27" borderId="86" xfId="0" applyNumberFormat="1" applyFont="1" applyFill="1" applyBorder="1" applyAlignment="1">
      <alignment horizontal="center" vertical="center" wrapText="1"/>
    </xf>
    <xf numFmtId="0" fontId="1" fillId="27" borderId="95" xfId="0" applyFont="1" applyFill="1" applyBorder="1"/>
    <xf numFmtId="0" fontId="1" fillId="27" borderId="18" xfId="0" applyFont="1" applyFill="1" applyBorder="1"/>
    <xf numFmtId="2" fontId="0" fillId="27" borderId="60" xfId="0" applyNumberFormat="1" applyFont="1" applyFill="1" applyBorder="1" applyAlignment="1">
      <alignment horizontal="center" wrapText="1"/>
    </xf>
    <xf numFmtId="2" fontId="21" fillId="27" borderId="18" xfId="0" applyNumberFormat="1" applyFont="1" applyFill="1" applyBorder="1" applyAlignment="1">
      <alignment horizontal="center" vertical="center" wrapText="1"/>
    </xf>
    <xf numFmtId="2" fontId="21" fillId="27" borderId="40" xfId="0" applyNumberFormat="1" applyFont="1" applyFill="1" applyBorder="1" applyAlignment="1">
      <alignment horizontal="center" wrapText="1"/>
    </xf>
    <xf numFmtId="0" fontId="24" fillId="27" borderId="18" xfId="0" applyFont="1" applyFill="1" applyBorder="1" applyAlignment="1">
      <alignment vertical="center" wrapText="1"/>
    </xf>
    <xf numFmtId="2" fontId="45" fillId="27" borderId="92" xfId="0" applyNumberFormat="1" applyFont="1" applyFill="1" applyBorder="1" applyAlignment="1">
      <alignment horizontal="center" vertical="center" wrapText="1"/>
    </xf>
    <xf numFmtId="0" fontId="24" fillId="27" borderId="17" xfId="0" applyFont="1" applyFill="1" applyBorder="1" applyAlignment="1">
      <alignment vertical="center" wrapText="1"/>
    </xf>
    <xf numFmtId="0" fontId="24" fillId="27" borderId="18" xfId="0" applyFont="1" applyFill="1" applyBorder="1" applyAlignment="1">
      <alignment horizontal="center" vertical="center" wrapText="1"/>
    </xf>
    <xf numFmtId="0" fontId="45" fillId="27" borderId="95" xfId="0" applyFont="1" applyFill="1" applyBorder="1" applyAlignment="1">
      <alignment horizontal="center" vertical="center" wrapText="1"/>
    </xf>
    <xf numFmtId="0" fontId="45" fillId="27" borderId="18" xfId="0" applyFont="1" applyFill="1" applyBorder="1" applyAlignment="1">
      <alignment horizontal="center" vertical="center" wrapText="1"/>
    </xf>
    <xf numFmtId="0" fontId="24" fillId="27" borderId="90" xfId="0" applyFont="1" applyFill="1" applyBorder="1" applyAlignment="1">
      <alignment vertical="center" wrapText="1"/>
    </xf>
    <xf numFmtId="2" fontId="45" fillId="27" borderId="90" xfId="0" applyNumberFormat="1" applyFont="1" applyFill="1" applyBorder="1" applyAlignment="1">
      <alignment horizontal="center" vertical="center" wrapText="1"/>
    </xf>
    <xf numFmtId="168" fontId="45" fillId="27" borderId="24" xfId="0" applyNumberFormat="1" applyFont="1" applyFill="1" applyBorder="1" applyAlignment="1">
      <alignment horizontal="center" vertical="center" wrapText="1"/>
    </xf>
    <xf numFmtId="0" fontId="1" fillId="0" borderId="87" xfId="0" applyFont="1" applyFill="1" applyBorder="1"/>
    <xf numFmtId="0" fontId="1" fillId="0" borderId="16" xfId="0" applyFont="1" applyFill="1" applyBorder="1"/>
    <xf numFmtId="2" fontId="0" fillId="0" borderId="19" xfId="0" applyNumberFormat="1" applyFont="1" applyFill="1" applyBorder="1" applyAlignment="1">
      <alignment horizontal="center" wrapText="1"/>
    </xf>
    <xf numFmtId="2" fontId="21" fillId="0" borderId="59" xfId="0" applyNumberFormat="1" applyFont="1" applyFill="1" applyBorder="1" applyAlignment="1">
      <alignment horizontal="center" wrapText="1"/>
    </xf>
    <xf numFmtId="2" fontId="45" fillId="0" borderId="26" xfId="0" applyNumberFormat="1" applyFont="1" applyFill="1" applyBorder="1" applyAlignment="1">
      <alignment horizontal="center" vertical="center" wrapText="1"/>
    </xf>
    <xf numFmtId="0" fontId="24" fillId="0" borderId="16" xfId="0" applyFont="1" applyFill="1" applyBorder="1" applyAlignment="1">
      <alignment horizontal="center" vertical="center" wrapText="1"/>
    </xf>
    <xf numFmtId="0" fontId="45" fillId="0" borderId="87" xfId="0" applyFont="1" applyFill="1" applyBorder="1" applyAlignment="1">
      <alignment horizontal="center" vertical="center" wrapText="1"/>
    </xf>
    <xf numFmtId="0" fontId="45" fillId="0" borderId="16" xfId="0" applyFont="1" applyFill="1" applyBorder="1" applyAlignment="1">
      <alignment horizontal="center" vertical="center" wrapText="1"/>
    </xf>
    <xf numFmtId="0" fontId="24" fillId="0" borderId="27" xfId="0" applyFont="1" applyFill="1" applyBorder="1" applyAlignment="1">
      <alignment vertical="center" wrapText="1"/>
    </xf>
    <xf numFmtId="2" fontId="45" fillId="0" borderId="27" xfId="0" applyNumberFormat="1" applyFont="1" applyFill="1" applyBorder="1" applyAlignment="1">
      <alignment horizontal="center" vertical="center" wrapText="1"/>
    </xf>
    <xf numFmtId="168" fontId="45" fillId="0" borderId="14" xfId="0" applyNumberFormat="1" applyFont="1" applyFill="1" applyBorder="1" applyAlignment="1">
      <alignment horizontal="center" vertical="center" wrapText="1"/>
    </xf>
    <xf numFmtId="0" fontId="1" fillId="27" borderId="16" xfId="0" applyFont="1" applyFill="1" applyBorder="1"/>
    <xf numFmtId="2" fontId="0" fillId="27" borderId="19" xfId="0" applyNumberFormat="1" applyFont="1" applyFill="1" applyBorder="1" applyAlignment="1">
      <alignment horizontal="center" wrapText="1"/>
    </xf>
    <xf numFmtId="2" fontId="21" fillId="27" borderId="59" xfId="0" applyNumberFormat="1" applyFont="1" applyFill="1" applyBorder="1" applyAlignment="1">
      <alignment horizontal="center" wrapText="1"/>
    </xf>
    <xf numFmtId="0" fontId="24" fillId="27" borderId="16" xfId="0" applyFont="1" applyFill="1" applyBorder="1" applyAlignment="1">
      <alignment vertical="center" wrapText="1"/>
    </xf>
    <xf numFmtId="2" fontId="45" fillId="27" borderId="26" xfId="0" applyNumberFormat="1" applyFont="1" applyFill="1" applyBorder="1" applyAlignment="1">
      <alignment horizontal="center" vertical="center" wrapText="1"/>
    </xf>
    <xf numFmtId="0" fontId="24" fillId="27" borderId="15" xfId="0" applyFont="1" applyFill="1" applyBorder="1" applyAlignment="1">
      <alignment vertical="center" wrapText="1"/>
    </xf>
    <xf numFmtId="0" fontId="24" fillId="27" borderId="16" xfId="0" applyFont="1" applyFill="1" applyBorder="1" applyAlignment="1">
      <alignment horizontal="center" vertical="center" wrapText="1"/>
    </xf>
    <xf numFmtId="0" fontId="45" fillId="27" borderId="87" xfId="0" applyFont="1" applyFill="1" applyBorder="1" applyAlignment="1">
      <alignment horizontal="center" vertical="center" wrapText="1"/>
    </xf>
    <xf numFmtId="0" fontId="45" fillId="27" borderId="16" xfId="0" applyFont="1" applyFill="1" applyBorder="1" applyAlignment="1">
      <alignment horizontal="center" vertical="center" wrapText="1"/>
    </xf>
    <xf numFmtId="0" fontId="24" fillId="27" borderId="27" xfId="0" applyFont="1" applyFill="1" applyBorder="1" applyAlignment="1">
      <alignment vertical="center" wrapText="1"/>
    </xf>
    <xf numFmtId="2" fontId="45" fillId="27" borderId="27" xfId="0" applyNumberFormat="1" applyFont="1" applyFill="1" applyBorder="1" applyAlignment="1">
      <alignment horizontal="center" vertical="center" wrapText="1"/>
    </xf>
    <xf numFmtId="168" fontId="45" fillId="27" borderId="14" xfId="0" applyNumberFormat="1" applyFont="1" applyFill="1" applyBorder="1" applyAlignment="1">
      <alignment horizontal="center" vertical="center" wrapText="1"/>
    </xf>
    <xf numFmtId="2" fontId="21" fillId="27" borderId="60" xfId="0" applyNumberFormat="1" applyFont="1" applyFill="1" applyBorder="1" applyAlignment="1">
      <alignment horizontal="center" wrapText="1"/>
    </xf>
    <xf numFmtId="0" fontId="1" fillId="0" borderId="64" xfId="0" applyFont="1" applyFill="1" applyBorder="1"/>
    <xf numFmtId="0" fontId="0" fillId="0" borderId="33" xfId="0" applyFont="1" applyFill="1" applyBorder="1" applyAlignment="1">
      <alignment horizontal="center" wrapText="1"/>
    </xf>
    <xf numFmtId="0" fontId="24" fillId="0" borderId="15" xfId="0" applyFont="1" applyFill="1" applyBorder="1" applyAlignment="1">
      <alignment wrapText="1"/>
    </xf>
    <xf numFmtId="2" fontId="21" fillId="0" borderId="42" xfId="0" applyNumberFormat="1" applyFont="1" applyFill="1" applyBorder="1" applyAlignment="1">
      <alignment horizontal="center" wrapText="1"/>
    </xf>
    <xf numFmtId="168" fontId="21" fillId="0" borderId="14" xfId="0" applyNumberFormat="1" applyFont="1" applyFill="1" applyBorder="1" applyAlignment="1">
      <alignment horizontal="center" wrapText="1"/>
    </xf>
    <xf numFmtId="168" fontId="21" fillId="0" borderId="0" xfId="0" applyNumberFormat="1" applyFont="1" applyFill="1" applyBorder="1" applyAlignment="1">
      <alignment horizontal="center"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ont="1" applyFill="1" applyBorder="1" applyAlignment="1">
      <alignment wrapText="1"/>
    </xf>
    <xf numFmtId="0" fontId="24" fillId="0" borderId="38" xfId="0" applyFont="1" applyFill="1" applyBorder="1" applyAlignment="1">
      <alignment vertical="center" wrapText="1"/>
    </xf>
    <xf numFmtId="0" fontId="24" fillId="0" borderId="19" xfId="0" applyFont="1" applyFill="1" applyBorder="1" applyAlignment="1">
      <alignment vertical="center" wrapText="1"/>
    </xf>
    <xf numFmtId="0" fontId="24" fillId="0" borderId="19" xfId="0" applyFont="1" applyFill="1" applyBorder="1" applyAlignment="1">
      <alignment horizontal="center" vertical="center" wrapText="1"/>
    </xf>
    <xf numFmtId="0" fontId="0" fillId="0" borderId="16" xfId="0" applyFont="1" applyFill="1" applyBorder="1" applyAlignment="1">
      <alignment wrapText="1"/>
    </xf>
    <xf numFmtId="0" fontId="0" fillId="0" borderId="87" xfId="0" applyFont="1" applyFill="1" applyBorder="1" applyAlignment="1">
      <alignment wrapText="1"/>
    </xf>
    <xf numFmtId="0" fontId="0" fillId="0" borderId="34" xfId="0" applyFont="1" applyFill="1" applyBorder="1" applyAlignment="1">
      <alignment horizontal="center" wrapText="1"/>
    </xf>
    <xf numFmtId="0" fontId="24" fillId="0" borderId="17" xfId="0" applyFont="1" applyFill="1" applyBorder="1" applyAlignment="1">
      <alignment wrapText="1"/>
    </xf>
    <xf numFmtId="0" fontId="0" fillId="0" borderId="18" xfId="0" applyFont="1" applyFill="1" applyBorder="1" applyAlignment="1">
      <alignment wrapText="1"/>
    </xf>
    <xf numFmtId="2" fontId="21" fillId="0" borderId="44" xfId="0" applyNumberFormat="1" applyFont="1" applyFill="1" applyBorder="1" applyAlignment="1">
      <alignment horizontal="center" wrapText="1"/>
    </xf>
    <xf numFmtId="168" fontId="21" fillId="0" borderId="24" xfId="0" applyNumberFormat="1" applyFont="1" applyFill="1" applyBorder="1" applyAlignment="1">
      <alignment horizontal="center" wrapText="1"/>
    </xf>
    <xf numFmtId="0" fontId="0" fillId="0" borderId="63" xfId="0" applyFill="1" applyBorder="1" applyAlignment="1">
      <alignment wrapText="1"/>
    </xf>
    <xf numFmtId="0" fontId="0" fillId="0" borderId="0" xfId="0" applyAlignment="1">
      <alignment horizontal="left" wrapText="1"/>
    </xf>
    <xf numFmtId="0" fontId="0" fillId="0" borderId="0" xfId="0" applyFill="1" applyBorder="1" applyAlignment="1">
      <alignment horizontal="center" vertical="center" wrapText="1"/>
    </xf>
    <xf numFmtId="0" fontId="1" fillId="0" borderId="0" xfId="0" applyFont="1" applyFill="1" applyBorder="1"/>
    <xf numFmtId="2" fontId="0" fillId="0" borderId="65" xfId="0" applyNumberFormat="1" applyFont="1" applyFill="1" applyBorder="1" applyAlignment="1">
      <alignment wrapText="1"/>
    </xf>
    <xf numFmtId="2" fontId="21" fillId="0" borderId="0" xfId="0" applyNumberFormat="1" applyFont="1" applyFill="1" applyBorder="1" applyAlignment="1">
      <alignment horizontal="center" wrapText="1"/>
    </xf>
    <xf numFmtId="2" fontId="45" fillId="0" borderId="0" xfId="0" applyNumberFormat="1" applyFont="1" applyFill="1" applyBorder="1" applyAlignment="1">
      <alignment horizontal="center" vertical="center" wrapText="1"/>
    </xf>
    <xf numFmtId="0" fontId="24" fillId="0"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2" fontId="0" fillId="0" borderId="0" xfId="0" applyNumberFormat="1" applyFont="1" applyFill="1" applyBorder="1" applyAlignment="1">
      <alignment horizontal="center" wrapText="1"/>
    </xf>
    <xf numFmtId="0" fontId="0" fillId="44" borderId="39" xfId="0" applyFill="1" applyBorder="1"/>
    <xf numFmtId="0" fontId="0" fillId="44" borderId="71" xfId="0" applyFill="1" applyBorder="1"/>
    <xf numFmtId="0" fontId="0" fillId="44" borderId="71" xfId="0" applyFont="1" applyFill="1" applyBorder="1" applyAlignment="1">
      <alignment horizontal="center"/>
    </xf>
    <xf numFmtId="0" fontId="24" fillId="44" borderId="71" xfId="0" applyFont="1" applyFill="1" applyBorder="1"/>
    <xf numFmtId="2" fontId="0" fillId="44" borderId="71" xfId="0" applyNumberFormat="1" applyFill="1" applyBorder="1"/>
    <xf numFmtId="0" fontId="0" fillId="44" borderId="71" xfId="0" applyFont="1" applyFill="1" applyBorder="1"/>
    <xf numFmtId="2" fontId="0" fillId="44" borderId="27" xfId="0" applyNumberFormat="1" applyFill="1" applyBorder="1"/>
    <xf numFmtId="0" fontId="0" fillId="0" borderId="0" xfId="0" applyFont="1" applyFill="1" applyBorder="1"/>
    <xf numFmtId="2" fontId="0" fillId="0" borderId="72" xfId="0" applyNumberFormat="1" applyFill="1" applyBorder="1"/>
    <xf numFmtId="0" fontId="0" fillId="33" borderId="94" xfId="0" applyFill="1" applyBorder="1"/>
    <xf numFmtId="0" fontId="0" fillId="33" borderId="70" xfId="0" applyFill="1" applyBorder="1"/>
    <xf numFmtId="0" fontId="50" fillId="33" borderId="70" xfId="0" applyFont="1" applyFill="1" applyBorder="1" applyAlignment="1"/>
    <xf numFmtId="0" fontId="0" fillId="33" borderId="70" xfId="0" applyFill="1" applyBorder="1" applyAlignment="1"/>
    <xf numFmtId="0" fontId="0" fillId="33" borderId="89" xfId="0" applyFill="1" applyBorder="1" applyAlignment="1"/>
    <xf numFmtId="0" fontId="1" fillId="33" borderId="66" xfId="0" applyFont="1" applyFill="1" applyBorder="1" applyAlignment="1">
      <alignment horizontal="left"/>
    </xf>
    <xf numFmtId="0" fontId="38" fillId="0" borderId="73" xfId="0" applyFont="1" applyBorder="1" applyAlignment="1">
      <alignment horizontal="center" vertical="center" wrapText="1"/>
    </xf>
    <xf numFmtId="2" fontId="0" fillId="0" borderId="63" xfId="0" applyNumberFormat="1" applyBorder="1"/>
    <xf numFmtId="1" fontId="0" fillId="0" borderId="33" xfId="0" applyNumberFormat="1" applyBorder="1" applyAlignment="1">
      <alignment horizontal="center"/>
    </xf>
    <xf numFmtId="2" fontId="0" fillId="0" borderId="66" xfId="0" applyNumberFormat="1" applyBorder="1"/>
    <xf numFmtId="165" fontId="27" fillId="0" borderId="0" xfId="0" applyNumberFormat="1" applyFont="1" applyBorder="1"/>
    <xf numFmtId="2" fontId="27" fillId="0" borderId="0" xfId="0" applyNumberFormat="1" applyFont="1" applyBorder="1"/>
    <xf numFmtId="2" fontId="0" fillId="0" borderId="101" xfId="0" applyNumberFormat="1" applyBorder="1"/>
    <xf numFmtId="0" fontId="0" fillId="33" borderId="66" xfId="0" applyFill="1" applyBorder="1"/>
    <xf numFmtId="165" fontId="0" fillId="0" borderId="0" xfId="0" applyNumberFormat="1" applyBorder="1"/>
    <xf numFmtId="165" fontId="0" fillId="0" borderId="0" xfId="0" applyNumberFormat="1" applyFont="1" applyBorder="1" applyAlignment="1">
      <alignment horizontal="center"/>
    </xf>
    <xf numFmtId="165" fontId="24" fillId="0" borderId="0" xfId="0" applyNumberFormat="1" applyFont="1" applyBorder="1"/>
    <xf numFmtId="165" fontId="0" fillId="0" borderId="0" xfId="0" applyNumberFormat="1" applyFont="1" applyBorder="1"/>
    <xf numFmtId="0" fontId="27" fillId="0" borderId="0" xfId="0" applyFont="1" applyBorder="1"/>
    <xf numFmtId="10" fontId="27" fillId="0" borderId="0" xfId="0" applyNumberFormat="1" applyFont="1" applyBorder="1"/>
    <xf numFmtId="10" fontId="27" fillId="0" borderId="0" xfId="0" applyNumberFormat="1" applyFont="1" applyBorder="1" applyAlignment="1">
      <alignment horizontal="center"/>
    </xf>
    <xf numFmtId="0" fontId="0" fillId="0" borderId="40" xfId="0" applyBorder="1"/>
    <xf numFmtId="0" fontId="38" fillId="0" borderId="37" xfId="0" applyFont="1" applyBorder="1" applyAlignment="1">
      <alignment horizontal="center" wrapText="1"/>
    </xf>
    <xf numFmtId="0" fontId="38" fillId="0" borderId="3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0" xfId="0" applyFont="1" applyBorder="1" applyAlignment="1">
      <alignment horizontal="center"/>
    </xf>
    <xf numFmtId="0" fontId="38" fillId="0" borderId="0" xfId="0" applyFont="1" applyBorder="1" applyAlignment="1">
      <alignment horizontal="center" vertical="center" wrapText="1"/>
    </xf>
    <xf numFmtId="0" fontId="20" fillId="0" borderId="20" xfId="0" applyFont="1" applyBorder="1" applyAlignment="1">
      <alignment vertical="center" wrapText="1"/>
    </xf>
    <xf numFmtId="0" fontId="38" fillId="0" borderId="91" xfId="0" applyFont="1" applyBorder="1" applyAlignment="1">
      <alignment vertical="center" wrapText="1"/>
    </xf>
    <xf numFmtId="0" fontId="38" fillId="0" borderId="21" xfId="0" applyFont="1" applyBorder="1" applyAlignment="1">
      <alignment horizontal="center" vertical="center" wrapText="1"/>
    </xf>
    <xf numFmtId="0" fontId="20" fillId="0" borderId="21" xfId="0" applyFont="1" applyBorder="1" applyAlignment="1">
      <alignment vertical="center" wrapText="1"/>
    </xf>
    <xf numFmtId="0" fontId="20" fillId="0" borderId="22" xfId="0" applyFont="1" applyBorder="1" applyAlignment="1">
      <alignment vertical="center" wrapText="1"/>
    </xf>
    <xf numFmtId="2" fontId="38" fillId="0" borderId="22" xfId="0" applyNumberFormat="1" applyFont="1" applyBorder="1" applyAlignment="1">
      <alignment vertical="center" wrapText="1"/>
    </xf>
    <xf numFmtId="0" fontId="38" fillId="0" borderId="22" xfId="0" applyFont="1" applyBorder="1" applyAlignment="1">
      <alignment vertical="center" wrapText="1"/>
    </xf>
    <xf numFmtId="0" fontId="38" fillId="0" borderId="35" xfId="0" applyFont="1" applyBorder="1" applyAlignment="1">
      <alignment vertical="center" wrapText="1"/>
    </xf>
    <xf numFmtId="0" fontId="38" fillId="0" borderId="0" xfId="0" applyFont="1" applyBorder="1" applyAlignment="1">
      <alignment vertical="center" wrapText="1"/>
    </xf>
    <xf numFmtId="0" fontId="0" fillId="0" borderId="20" xfId="0" applyFill="1" applyBorder="1" applyAlignment="1">
      <alignment horizontal="center" vertical="center" wrapText="1"/>
    </xf>
    <xf numFmtId="0" fontId="0" fillId="0" borderId="50" xfId="0" applyFill="1" applyBorder="1" applyAlignment="1">
      <alignment horizontal="center" vertical="center" wrapText="1"/>
    </xf>
    <xf numFmtId="0" fontId="0" fillId="33" borderId="20" xfId="0" applyFill="1" applyBorder="1" applyAlignment="1">
      <alignment horizontal="center" vertical="center" wrapText="1"/>
    </xf>
    <xf numFmtId="0" fontId="1" fillId="33" borderId="85" xfId="0" applyFont="1" applyFill="1" applyBorder="1"/>
    <xf numFmtId="0" fontId="1" fillId="33" borderId="10" xfId="0" applyFont="1" applyFill="1" applyBorder="1"/>
    <xf numFmtId="2" fontId="0" fillId="33" borderId="10" xfId="0" applyNumberFormat="1" applyFont="1" applyFill="1" applyBorder="1" applyAlignment="1">
      <alignment horizontal="center" wrapText="1"/>
    </xf>
    <xf numFmtId="2" fontId="21" fillId="33" borderId="10" xfId="0" applyNumberFormat="1" applyFont="1" applyFill="1" applyBorder="1" applyAlignment="1">
      <alignment horizontal="center" vertical="center" wrapText="1"/>
    </xf>
    <xf numFmtId="2" fontId="21" fillId="33" borderId="47" xfId="0" applyNumberFormat="1" applyFont="1" applyFill="1" applyBorder="1" applyAlignment="1">
      <alignment horizontal="center" wrapText="1"/>
    </xf>
    <xf numFmtId="0" fontId="24" fillId="33" borderId="10" xfId="0" applyFont="1" applyFill="1" applyBorder="1" applyAlignment="1">
      <alignment horizontal="center" vertical="center" wrapText="1"/>
    </xf>
    <xf numFmtId="0" fontId="45" fillId="33" borderId="85" xfId="0" applyFont="1" applyFill="1" applyBorder="1" applyAlignment="1">
      <alignment horizontal="center" vertical="center" wrapText="1"/>
    </xf>
    <xf numFmtId="0" fontId="45" fillId="33" borderId="10" xfId="0" applyFont="1" applyFill="1" applyBorder="1" applyAlignment="1">
      <alignment horizontal="center" vertical="center" wrapText="1"/>
    </xf>
    <xf numFmtId="0" fontId="24" fillId="33" borderId="85" xfId="0" applyFont="1" applyFill="1" applyBorder="1" applyAlignment="1">
      <alignment vertical="center" wrapText="1"/>
    </xf>
    <xf numFmtId="2" fontId="45" fillId="33" borderId="85" xfId="0" applyNumberFormat="1" applyFont="1" applyFill="1" applyBorder="1" applyAlignment="1">
      <alignment horizontal="center" vertical="center" wrapText="1"/>
    </xf>
    <xf numFmtId="0" fontId="0" fillId="33" borderId="50" xfId="0" applyFill="1" applyBorder="1" applyAlignment="1">
      <alignment horizontal="center" vertical="center" wrapText="1"/>
    </xf>
    <xf numFmtId="0" fontId="1" fillId="33" borderId="95" xfId="0" applyFont="1" applyFill="1" applyBorder="1"/>
    <xf numFmtId="0" fontId="1" fillId="33" borderId="18" xfId="0" applyFont="1" applyFill="1" applyBorder="1"/>
    <xf numFmtId="2" fontId="0" fillId="33" borderId="60" xfId="0" applyNumberFormat="1" applyFont="1" applyFill="1" applyBorder="1" applyAlignment="1">
      <alignment horizontal="center" wrapText="1"/>
    </xf>
    <xf numFmtId="2" fontId="21" fillId="33" borderId="40" xfId="0" applyNumberFormat="1" applyFont="1" applyFill="1" applyBorder="1" applyAlignment="1">
      <alignment horizontal="center" wrapText="1"/>
    </xf>
    <xf numFmtId="0" fontId="24" fillId="33" borderId="18" xfId="0" applyFont="1" applyFill="1" applyBorder="1" applyAlignment="1">
      <alignment vertical="center" wrapText="1"/>
    </xf>
    <xf numFmtId="2" fontId="45" fillId="33" borderId="92" xfId="0" applyNumberFormat="1" applyFont="1" applyFill="1" applyBorder="1" applyAlignment="1">
      <alignment horizontal="center" vertical="center" wrapText="1"/>
    </xf>
    <xf numFmtId="0" fontId="24" fillId="33" borderId="18" xfId="0" applyFont="1" applyFill="1" applyBorder="1" applyAlignment="1">
      <alignment horizontal="center" vertical="center" wrapText="1"/>
    </xf>
    <xf numFmtId="0" fontId="45" fillId="33" borderId="95" xfId="0" applyFont="1" applyFill="1" applyBorder="1" applyAlignment="1">
      <alignment horizontal="center" vertical="center" wrapText="1"/>
    </xf>
    <xf numFmtId="0" fontId="45" fillId="33" borderId="18" xfId="0" applyFont="1" applyFill="1" applyBorder="1" applyAlignment="1">
      <alignment horizontal="center" vertical="center" wrapText="1"/>
    </xf>
    <xf numFmtId="0" fontId="24" fillId="33" borderId="90" xfId="0" applyFont="1" applyFill="1" applyBorder="1" applyAlignment="1">
      <alignment vertical="center" wrapText="1"/>
    </xf>
    <xf numFmtId="2" fontId="45" fillId="33" borderId="90" xfId="0" applyNumberFormat="1" applyFont="1" applyFill="1" applyBorder="1" applyAlignment="1">
      <alignment horizontal="center" vertical="center" wrapText="1"/>
    </xf>
    <xf numFmtId="0" fontId="0" fillId="0" borderId="49" xfId="0" applyFill="1" applyBorder="1" applyAlignment="1">
      <alignment horizontal="center" vertical="center" wrapText="1"/>
    </xf>
    <xf numFmtId="0" fontId="1" fillId="33" borderId="64" xfId="0" applyFont="1" applyFill="1" applyBorder="1"/>
    <xf numFmtId="0" fontId="0" fillId="33" borderId="33" xfId="0" applyFont="1" applyFill="1" applyBorder="1" applyAlignment="1">
      <alignment horizontal="center" wrapText="1"/>
    </xf>
    <xf numFmtId="0" fontId="24" fillId="33" borderId="15" xfId="0" applyFont="1" applyFill="1" applyBorder="1" applyAlignment="1">
      <alignment wrapText="1"/>
    </xf>
    <xf numFmtId="0" fontId="24" fillId="33" borderId="16" xfId="0" applyFont="1" applyFill="1" applyBorder="1" applyAlignment="1">
      <alignment vertical="center" wrapText="1"/>
    </xf>
    <xf numFmtId="0" fontId="24" fillId="33" borderId="16" xfId="0" applyFont="1" applyFill="1" applyBorder="1" applyAlignment="1">
      <alignment horizontal="center" vertical="center" wrapText="1"/>
    </xf>
    <xf numFmtId="2" fontId="21" fillId="33" borderId="42" xfId="0" applyNumberFormat="1" applyFont="1" applyFill="1" applyBorder="1" applyAlignment="1">
      <alignment horizontal="center" wrapText="1"/>
    </xf>
    <xf numFmtId="0" fontId="0" fillId="33" borderId="49" xfId="0" applyFill="1" applyBorder="1" applyAlignment="1">
      <alignment horizontal="center" vertical="center" wrapText="1"/>
    </xf>
    <xf numFmtId="0" fontId="1" fillId="33" borderId="16" xfId="0" applyFont="1" applyFill="1" applyBorder="1"/>
    <xf numFmtId="0" fontId="0" fillId="33" borderId="28" xfId="0" applyFill="1" applyBorder="1" applyAlignment="1">
      <alignment wrapText="1"/>
    </xf>
    <xf numFmtId="0" fontId="0" fillId="33" borderId="29" xfId="0" applyFill="1" applyBorder="1" applyAlignment="1">
      <alignment wrapText="1"/>
    </xf>
    <xf numFmtId="0" fontId="0" fillId="33" borderId="29" xfId="0" applyFont="1" applyFill="1" applyBorder="1" applyAlignment="1">
      <alignment wrapText="1"/>
    </xf>
    <xf numFmtId="0" fontId="24" fillId="33" borderId="19" xfId="0" applyFont="1" applyFill="1" applyBorder="1" applyAlignment="1">
      <alignment vertical="center" wrapText="1"/>
    </xf>
    <xf numFmtId="0" fontId="24" fillId="33" borderId="19" xfId="0" applyFont="1" applyFill="1" applyBorder="1" applyAlignment="1">
      <alignment horizontal="center" vertical="center" wrapText="1"/>
    </xf>
    <xf numFmtId="0" fontId="0" fillId="33" borderId="16" xfId="0" applyFont="1" applyFill="1" applyBorder="1" applyAlignment="1">
      <alignment wrapText="1"/>
    </xf>
    <xf numFmtId="0" fontId="0" fillId="33" borderId="87" xfId="0" applyFont="1" applyFill="1" applyBorder="1" applyAlignment="1">
      <alignment wrapText="1"/>
    </xf>
    <xf numFmtId="0" fontId="0" fillId="33" borderId="34" xfId="0" applyFont="1" applyFill="1" applyBorder="1" applyAlignment="1">
      <alignment horizontal="center" wrapText="1"/>
    </xf>
    <xf numFmtId="0" fontId="24" fillId="33" borderId="17" xfId="0" applyFont="1" applyFill="1" applyBorder="1" applyAlignment="1">
      <alignment wrapText="1"/>
    </xf>
    <xf numFmtId="0" fontId="0" fillId="33" borderId="18" xfId="0" applyFont="1" applyFill="1" applyBorder="1" applyAlignment="1">
      <alignment wrapText="1"/>
    </xf>
    <xf numFmtId="2" fontId="21" fillId="33" borderId="44" xfId="0" applyNumberFormat="1" applyFont="1" applyFill="1" applyBorder="1" applyAlignment="1">
      <alignment horizontal="center" wrapText="1"/>
    </xf>
    <xf numFmtId="0" fontId="0" fillId="0" borderId="37"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63" xfId="0" applyBorder="1" applyAlignment="1">
      <alignment wrapText="1"/>
    </xf>
    <xf numFmtId="0" fontId="0" fillId="33" borderId="37" xfId="0" applyFill="1" applyBorder="1" applyAlignment="1">
      <alignment horizontal="center" vertical="center" wrapText="1"/>
    </xf>
    <xf numFmtId="0" fontId="0" fillId="33" borderId="51" xfId="0" applyFill="1" applyBorder="1" applyAlignment="1">
      <alignment horizontal="center" vertical="center" wrapText="1"/>
    </xf>
    <xf numFmtId="2" fontId="0" fillId="33" borderId="19" xfId="0" applyNumberFormat="1" applyFont="1" applyFill="1" applyBorder="1" applyAlignment="1">
      <alignment horizontal="center" wrapText="1"/>
    </xf>
    <xf numFmtId="2" fontId="21" fillId="33" borderId="19" xfId="0" applyNumberFormat="1" applyFont="1" applyFill="1" applyBorder="1" applyAlignment="1">
      <alignment horizontal="center" wrapText="1"/>
    </xf>
    <xf numFmtId="2" fontId="21" fillId="33" borderId="59" xfId="0" applyNumberFormat="1" applyFont="1" applyFill="1" applyBorder="1" applyAlignment="1">
      <alignment horizontal="center" wrapText="1"/>
    </xf>
    <xf numFmtId="0" fontId="45" fillId="33" borderId="87" xfId="0" applyFont="1" applyFill="1" applyBorder="1" applyAlignment="1">
      <alignment horizontal="center" vertical="center" wrapText="1"/>
    </xf>
    <xf numFmtId="0" fontId="45" fillId="33" borderId="16" xfId="0" applyFont="1" applyFill="1" applyBorder="1" applyAlignment="1">
      <alignment horizontal="center" vertical="center" wrapText="1"/>
    </xf>
    <xf numFmtId="0" fontId="24" fillId="33" borderId="27" xfId="0" applyFont="1" applyFill="1" applyBorder="1" applyAlignment="1">
      <alignment vertical="center" wrapText="1"/>
    </xf>
    <xf numFmtId="2" fontId="45" fillId="33" borderId="27" xfId="0" applyNumberFormat="1" applyFont="1" applyFill="1" applyBorder="1" applyAlignment="1">
      <alignment horizontal="center" vertical="center" wrapText="1"/>
    </xf>
    <xf numFmtId="0" fontId="0" fillId="33" borderId="52" xfId="0" applyFill="1" applyBorder="1" applyAlignment="1">
      <alignment horizontal="center" vertical="center" wrapText="1"/>
    </xf>
    <xf numFmtId="2" fontId="21" fillId="33" borderId="60" xfId="0" applyNumberFormat="1" applyFont="1" applyFill="1" applyBorder="1" applyAlignment="1">
      <alignment horizontal="center" wrapText="1"/>
    </xf>
    <xf numFmtId="0" fontId="0" fillId="33" borderId="39" xfId="0" applyFill="1" applyBorder="1"/>
    <xf numFmtId="0" fontId="0" fillId="33" borderId="71" xfId="0" applyFill="1" applyBorder="1"/>
    <xf numFmtId="0" fontId="0" fillId="33" borderId="71" xfId="0" applyFont="1" applyFill="1" applyBorder="1" applyAlignment="1">
      <alignment horizontal="center"/>
    </xf>
    <xf numFmtId="0" fontId="24" fillId="33" borderId="71" xfId="0" applyFont="1" applyFill="1" applyBorder="1"/>
    <xf numFmtId="2" fontId="0" fillId="33" borderId="71" xfId="0" applyNumberFormat="1" applyFill="1" applyBorder="1"/>
    <xf numFmtId="0" fontId="0" fillId="33" borderId="71" xfId="0" applyFont="1" applyFill="1" applyBorder="1"/>
    <xf numFmtId="2" fontId="0" fillId="33" borderId="27" xfId="0" applyNumberFormat="1" applyFill="1" applyBorder="1"/>
    <xf numFmtId="0" fontId="0" fillId="0" borderId="71" xfId="0" applyFill="1" applyBorder="1"/>
    <xf numFmtId="0" fontId="0" fillId="0" borderId="71" xfId="0" applyBorder="1"/>
    <xf numFmtId="0" fontId="0" fillId="0" borderId="71" xfId="0" applyFont="1" applyBorder="1" applyAlignment="1">
      <alignment horizontal="center"/>
    </xf>
    <xf numFmtId="0" fontId="24" fillId="0" borderId="71" xfId="0" applyFont="1" applyBorder="1"/>
    <xf numFmtId="2" fontId="0" fillId="0" borderId="71" xfId="0" applyNumberFormat="1" applyBorder="1"/>
    <xf numFmtId="0" fontId="0" fillId="0" borderId="71" xfId="0" applyFont="1" applyBorder="1"/>
    <xf numFmtId="2" fontId="0" fillId="0" borderId="72" xfId="0" applyNumberFormat="1" applyBorder="1"/>
    <xf numFmtId="0" fontId="0" fillId="45" borderId="94" xfId="0" applyFill="1" applyBorder="1"/>
    <xf numFmtId="0" fontId="0" fillId="45" borderId="70" xfId="0" applyFill="1" applyBorder="1"/>
    <xf numFmtId="0" fontId="50" fillId="45" borderId="70" xfId="0" applyFont="1" applyFill="1" applyBorder="1" applyAlignment="1"/>
    <xf numFmtId="0" fontId="0" fillId="45" borderId="70" xfId="0" applyFill="1" applyBorder="1" applyAlignment="1"/>
    <xf numFmtId="0" fontId="0" fillId="45" borderId="89" xfId="0" applyFill="1" applyBorder="1" applyAlignment="1"/>
    <xf numFmtId="0" fontId="1" fillId="45" borderId="66" xfId="0" applyFont="1" applyFill="1" applyBorder="1" applyAlignment="1">
      <alignment horizontal="left"/>
    </xf>
    <xf numFmtId="0" fontId="38" fillId="0" borderId="74" xfId="0" applyFont="1" applyBorder="1" applyAlignment="1">
      <alignment vertical="center" wrapText="1"/>
    </xf>
    <xf numFmtId="2" fontId="0" fillId="0" borderId="62" xfId="0" applyNumberFormat="1" applyBorder="1"/>
    <xf numFmtId="2" fontId="0" fillId="0" borderId="92" xfId="0" applyNumberFormat="1" applyBorder="1"/>
    <xf numFmtId="0" fontId="0" fillId="45" borderId="66" xfId="0" applyFill="1" applyBorder="1"/>
    <xf numFmtId="0" fontId="0" fillId="45" borderId="39" xfId="0" applyFill="1" applyBorder="1"/>
    <xf numFmtId="0" fontId="0" fillId="45" borderId="71" xfId="0" applyFill="1" applyBorder="1"/>
    <xf numFmtId="0" fontId="0" fillId="45" borderId="71" xfId="0" applyFont="1" applyFill="1" applyBorder="1" applyAlignment="1">
      <alignment horizontal="center"/>
    </xf>
    <xf numFmtId="0" fontId="24" fillId="45" borderId="71" xfId="0" applyFont="1" applyFill="1" applyBorder="1"/>
    <xf numFmtId="2" fontId="0" fillId="45" borderId="71" xfId="0" applyNumberFormat="1" applyFill="1" applyBorder="1"/>
    <xf numFmtId="0" fontId="0" fillId="45" borderId="71" xfId="0" applyFont="1" applyFill="1" applyBorder="1"/>
    <xf numFmtId="2" fontId="0" fillId="45" borderId="27" xfId="0" applyNumberFormat="1" applyFill="1" applyBorder="1"/>
    <xf numFmtId="0" fontId="0" fillId="24" borderId="94" xfId="0" applyFill="1" applyBorder="1"/>
    <xf numFmtId="0" fontId="0" fillId="24" borderId="70" xfId="0" applyFill="1" applyBorder="1"/>
    <xf numFmtId="0" fontId="50" fillId="24" borderId="70" xfId="0" applyFont="1" applyFill="1" applyBorder="1" applyAlignment="1"/>
    <xf numFmtId="0" fontId="0" fillId="24" borderId="70" xfId="0" applyFill="1" applyBorder="1" applyAlignment="1"/>
    <xf numFmtId="0" fontId="0" fillId="24" borderId="89" xfId="0" applyFill="1" applyBorder="1" applyAlignment="1"/>
    <xf numFmtId="0" fontId="1" fillId="24" borderId="66" xfId="0" applyFont="1" applyFill="1" applyBorder="1" applyAlignment="1">
      <alignment horizontal="left"/>
    </xf>
    <xf numFmtId="2" fontId="38" fillId="0" borderId="0" xfId="0" applyNumberFormat="1" applyFont="1" applyBorder="1"/>
    <xf numFmtId="1" fontId="0" fillId="0" borderId="14" xfId="0" applyNumberFormat="1" applyBorder="1" applyAlignment="1">
      <alignment horizontal="center"/>
    </xf>
    <xf numFmtId="0" fontId="0" fillId="24" borderId="66" xfId="0" applyFill="1" applyBorder="1"/>
    <xf numFmtId="2" fontId="38" fillId="0" borderId="97" xfId="0" applyNumberFormat="1" applyFont="1" applyFill="1" applyBorder="1" applyAlignment="1">
      <alignment vertical="center" wrapText="1"/>
    </xf>
    <xf numFmtId="0" fontId="0" fillId="24" borderId="39" xfId="0" applyFill="1" applyBorder="1"/>
    <xf numFmtId="0" fontId="0" fillId="24" borderId="71" xfId="0" applyFill="1" applyBorder="1"/>
    <xf numFmtId="0" fontId="0" fillId="24" borderId="71" xfId="0" applyFont="1" applyFill="1" applyBorder="1" applyAlignment="1">
      <alignment horizontal="center"/>
    </xf>
    <xf numFmtId="0" fontId="24" fillId="24" borderId="71" xfId="0" applyFont="1" applyFill="1" applyBorder="1"/>
    <xf numFmtId="2" fontId="0" fillId="24" borderId="71" xfId="0" applyNumberFormat="1" applyFill="1" applyBorder="1"/>
    <xf numFmtId="0" fontId="0" fillId="24" borderId="71" xfId="0" applyFont="1" applyFill="1" applyBorder="1"/>
    <xf numFmtId="2" fontId="0" fillId="24" borderId="27" xfId="0" applyNumberFormat="1" applyFill="1" applyBorder="1"/>
    <xf numFmtId="0" fontId="0" fillId="32" borderId="94" xfId="0" applyFill="1" applyBorder="1"/>
    <xf numFmtId="0" fontId="0" fillId="32" borderId="70" xfId="0" applyFill="1" applyBorder="1"/>
    <xf numFmtId="0" fontId="50" fillId="32" borderId="70" xfId="0" applyFont="1" applyFill="1" applyBorder="1" applyAlignment="1"/>
    <xf numFmtId="0" fontId="0" fillId="32" borderId="70" xfId="0" applyFill="1" applyBorder="1" applyAlignment="1"/>
    <xf numFmtId="0" fontId="0" fillId="32" borderId="89" xfId="0" applyFill="1" applyBorder="1" applyAlignment="1"/>
    <xf numFmtId="0" fontId="1" fillId="32" borderId="66" xfId="0" applyFont="1" applyFill="1" applyBorder="1" applyAlignment="1">
      <alignment horizontal="left"/>
    </xf>
    <xf numFmtId="0" fontId="0" fillId="32" borderId="66" xfId="0" applyFill="1" applyBorder="1"/>
    <xf numFmtId="2" fontId="0" fillId="0" borderId="86" xfId="0" applyNumberFormat="1" applyBorder="1"/>
    <xf numFmtId="2" fontId="0" fillId="0" borderId="32" xfId="0" applyNumberFormat="1" applyBorder="1"/>
    <xf numFmtId="2" fontId="0" fillId="0" borderId="14" xfId="0" applyNumberFormat="1" applyBorder="1"/>
    <xf numFmtId="2" fontId="0" fillId="0" borderId="33" xfId="0" applyNumberFormat="1" applyBorder="1"/>
    <xf numFmtId="2" fontId="0" fillId="0" borderId="24" xfId="0" applyNumberFormat="1" applyBorder="1"/>
    <xf numFmtId="2" fontId="0" fillId="0" borderId="34" xfId="0" applyNumberFormat="1" applyBorder="1"/>
    <xf numFmtId="0" fontId="0" fillId="32" borderId="39" xfId="0" applyFill="1" applyBorder="1"/>
    <xf numFmtId="0" fontId="0" fillId="32" borderId="71" xfId="0" applyFill="1" applyBorder="1"/>
    <xf numFmtId="0" fontId="0" fillId="32" borderId="71" xfId="0" applyFont="1" applyFill="1" applyBorder="1" applyAlignment="1">
      <alignment horizontal="center"/>
    </xf>
    <xf numFmtId="0" fontId="24" fillId="32" borderId="71" xfId="0" applyFont="1" applyFill="1" applyBorder="1"/>
    <xf numFmtId="2" fontId="0" fillId="32" borderId="71" xfId="0" applyNumberFormat="1" applyFill="1" applyBorder="1"/>
    <xf numFmtId="0" fontId="0" fillId="32" borderId="71" xfId="0" applyFont="1" applyFill="1" applyBorder="1"/>
    <xf numFmtId="2" fontId="0" fillId="32" borderId="27" xfId="0" applyNumberFormat="1" applyFill="1" applyBorder="1"/>
    <xf numFmtId="1" fontId="48" fillId="0" borderId="0" xfId="0" applyNumberFormat="1" applyFont="1" applyAlignment="1"/>
    <xf numFmtId="0" fontId="0" fillId="0" borderId="0" xfId="0" applyAlignment="1"/>
    <xf numFmtId="0" fontId="27" fillId="0" borderId="65" xfId="0" applyFont="1" applyFill="1" applyBorder="1" applyAlignment="1">
      <alignment horizontal="left"/>
    </xf>
    <xf numFmtId="1" fontId="27" fillId="41" borderId="53" xfId="0" applyNumberFormat="1" applyFont="1" applyFill="1" applyBorder="1" applyAlignment="1"/>
    <xf numFmtId="1" fontId="27" fillId="41" borderId="54" xfId="0" applyNumberFormat="1" applyFont="1" applyFill="1" applyBorder="1" applyAlignment="1"/>
    <xf numFmtId="1" fontId="27" fillId="41" borderId="55" xfId="0" applyNumberFormat="1" applyFont="1" applyFill="1" applyBorder="1" applyAlignment="1"/>
    <xf numFmtId="1" fontId="27" fillId="41" borderId="20" xfId="0" applyNumberFormat="1" applyFont="1" applyFill="1" applyBorder="1" applyAlignment="1">
      <alignment horizontal="center"/>
    </xf>
    <xf numFmtId="2" fontId="0" fillId="0" borderId="88" xfId="0" applyNumberFormat="1" applyBorder="1"/>
    <xf numFmtId="2" fontId="0" fillId="0" borderId="20" xfId="0" applyNumberFormat="1" applyBorder="1"/>
    <xf numFmtId="2" fontId="0" fillId="0" borderId="91" xfId="0" applyNumberFormat="1" applyBorder="1"/>
    <xf numFmtId="2" fontId="0" fillId="0" borderId="35" xfId="0" applyNumberFormat="1" applyBorder="1"/>
    <xf numFmtId="2" fontId="0" fillId="0" borderId="41" xfId="0" applyNumberFormat="1" applyBorder="1"/>
    <xf numFmtId="2" fontId="0" fillId="0" borderId="49" xfId="0" applyNumberFormat="1" applyBorder="1"/>
    <xf numFmtId="2" fontId="0" fillId="0" borderId="57" xfId="0" applyNumberFormat="1" applyBorder="1"/>
    <xf numFmtId="2" fontId="0" fillId="0" borderId="56" xfId="0" applyNumberFormat="1" applyBorder="1"/>
    <xf numFmtId="2" fontId="0" fillId="0" borderId="50" xfId="0" applyNumberFormat="1" applyBorder="1"/>
    <xf numFmtId="2" fontId="0" fillId="0" borderId="90" xfId="0" applyNumberFormat="1" applyBorder="1"/>
    <xf numFmtId="2" fontId="0" fillId="0" borderId="40" xfId="0" applyNumberFormat="1" applyBorder="1"/>
    <xf numFmtId="0" fontId="55" fillId="32" borderId="74" xfId="0" applyFont="1" applyFill="1" applyBorder="1"/>
    <xf numFmtId="2" fontId="40" fillId="0" borderId="88" xfId="0" applyNumberFormat="1" applyFont="1" applyBorder="1"/>
    <xf numFmtId="2" fontId="40" fillId="0" borderId="20" xfId="0" applyNumberFormat="1" applyFont="1" applyBorder="1"/>
    <xf numFmtId="2" fontId="40" fillId="0" borderId="91" xfId="0" applyNumberFormat="1" applyFont="1" applyBorder="1"/>
    <xf numFmtId="2" fontId="40" fillId="0" borderId="35" xfId="0" applyNumberFormat="1" applyFont="1" applyBorder="1"/>
    <xf numFmtId="0" fontId="55" fillId="32" borderId="68" xfId="0" applyFont="1" applyFill="1" applyBorder="1"/>
    <xf numFmtId="2" fontId="40" fillId="0" borderId="41" xfId="0" applyNumberFormat="1" applyFont="1" applyBorder="1"/>
    <xf numFmtId="2" fontId="40" fillId="0" borderId="49" xfId="0" applyNumberFormat="1" applyFont="1" applyBorder="1"/>
    <xf numFmtId="2" fontId="40" fillId="0" borderId="63" xfId="0" applyNumberFormat="1" applyFont="1" applyBorder="1"/>
    <xf numFmtId="2" fontId="40" fillId="0" borderId="57" xfId="0" applyNumberFormat="1" applyFont="1" applyBorder="1"/>
    <xf numFmtId="0" fontId="55" fillId="32" borderId="69" xfId="0" applyFont="1" applyFill="1" applyBorder="1"/>
    <xf numFmtId="2" fontId="40" fillId="0" borderId="56" xfId="0" applyNumberFormat="1" applyFont="1" applyBorder="1"/>
    <xf numFmtId="2" fontId="40" fillId="0" borderId="50" xfId="0" applyNumberFormat="1" applyFont="1" applyBorder="1"/>
    <xf numFmtId="2" fontId="40" fillId="0" borderId="90" xfId="0" applyNumberFormat="1" applyFont="1" applyBorder="1"/>
    <xf numFmtId="2" fontId="40" fillId="0" borderId="40" xfId="0" applyNumberFormat="1" applyFont="1" applyBorder="1"/>
    <xf numFmtId="0" fontId="0" fillId="28" borderId="52" xfId="0" applyFill="1" applyBorder="1"/>
    <xf numFmtId="2" fontId="0" fillId="0" borderId="45" xfId="0" applyNumberFormat="1" applyBorder="1"/>
    <xf numFmtId="2" fontId="0" fillId="0" borderId="17" xfId="0" applyNumberFormat="1" applyBorder="1"/>
    <xf numFmtId="2" fontId="0" fillId="0" borderId="95" xfId="0" applyNumberFormat="1" applyBorder="1"/>
    <xf numFmtId="2" fontId="0" fillId="0" borderId="44" xfId="0" applyNumberFormat="1" applyBorder="1"/>
    <xf numFmtId="0" fontId="0" fillId="28" borderId="94" xfId="0" applyFill="1" applyBorder="1"/>
    <xf numFmtId="0" fontId="50" fillId="28" borderId="70" xfId="0" applyFont="1" applyFill="1" applyBorder="1" applyAlignment="1"/>
    <xf numFmtId="0" fontId="0" fillId="28" borderId="70" xfId="0" applyFill="1" applyBorder="1" applyAlignment="1"/>
    <xf numFmtId="0" fontId="0" fillId="28" borderId="66" xfId="0" applyFill="1" applyBorder="1"/>
    <xf numFmtId="2" fontId="0" fillId="0" borderId="0" xfId="0" applyNumberFormat="1" applyBorder="1" applyAlignment="1">
      <alignment wrapText="1"/>
    </xf>
    <xf numFmtId="0" fontId="0" fillId="0" borderId="0" xfId="0" applyFill="1" applyBorder="1" applyAlignment="1"/>
    <xf numFmtId="0" fontId="38" fillId="0" borderId="88" xfId="0" applyFont="1" applyBorder="1" applyAlignment="1">
      <alignment horizontal="center" vertical="center" wrapText="1"/>
    </xf>
    <xf numFmtId="0" fontId="38" fillId="0" borderId="73" xfId="0" applyFont="1" applyBorder="1" applyAlignment="1">
      <alignment vertical="center" wrapText="1"/>
    </xf>
    <xf numFmtId="0" fontId="38" fillId="0" borderId="47" xfId="0" applyFont="1" applyBorder="1" applyAlignment="1">
      <alignment vertical="center" wrapText="1"/>
    </xf>
    <xf numFmtId="1" fontId="0" fillId="0" borderId="43" xfId="0" applyNumberFormat="1" applyBorder="1" applyAlignment="1">
      <alignment horizontal="center"/>
    </xf>
    <xf numFmtId="0" fontId="20" fillId="0" borderId="12" xfId="0" applyFont="1" applyBorder="1" applyAlignment="1">
      <alignment vertical="center" wrapText="1"/>
    </xf>
    <xf numFmtId="0" fontId="20" fillId="0" borderId="13" xfId="0" applyFont="1" applyBorder="1" applyAlignment="1">
      <alignment vertical="center" wrapText="1"/>
    </xf>
    <xf numFmtId="0" fontId="38" fillId="0" borderId="21" xfId="0" applyFont="1" applyBorder="1" applyAlignment="1">
      <alignment vertical="center"/>
    </xf>
    <xf numFmtId="0" fontId="38" fillId="0" borderId="97" xfId="0" applyFont="1" applyBorder="1" applyAlignment="1">
      <alignment vertical="center"/>
    </xf>
    <xf numFmtId="0" fontId="38" fillId="0" borderId="53" xfId="0" applyFont="1" applyBorder="1" applyAlignment="1">
      <alignment vertical="center" wrapText="1"/>
    </xf>
    <xf numFmtId="0" fontId="1" fillId="0" borderId="15" xfId="0" applyFont="1" applyFill="1" applyBorder="1" applyAlignment="1"/>
    <xf numFmtId="0" fontId="24" fillId="0" borderId="91" xfId="0" applyFont="1" applyFill="1" applyBorder="1" applyAlignment="1">
      <alignment vertical="center" wrapText="1"/>
    </xf>
    <xf numFmtId="2" fontId="45" fillId="0" borderId="22" xfId="0" applyNumberFormat="1" applyFont="1" applyFill="1" applyBorder="1" applyAlignment="1">
      <alignment horizontal="center" vertical="center" wrapText="1"/>
    </xf>
    <xf numFmtId="0" fontId="24" fillId="0" borderId="87" xfId="0" applyFont="1" applyFill="1" applyBorder="1" applyAlignment="1">
      <alignment vertical="center" wrapText="1"/>
    </xf>
    <xf numFmtId="0" fontId="45" fillId="0" borderId="33" xfId="0" applyFont="1" applyFill="1" applyBorder="1" applyAlignment="1">
      <alignment horizontal="center" vertical="center" wrapText="1"/>
    </xf>
    <xf numFmtId="2" fontId="0" fillId="0" borderId="15" xfId="0" applyNumberFormat="1" applyFill="1" applyBorder="1" applyAlignment="1">
      <alignment vertical="center" wrapText="1"/>
    </xf>
    <xf numFmtId="0" fontId="45" fillId="0" borderId="15" xfId="0" applyFont="1" applyFill="1" applyBorder="1" applyAlignment="1">
      <alignment horizontal="center" vertical="center" wrapText="1"/>
    </xf>
    <xf numFmtId="2" fontId="0" fillId="0" borderId="65" xfId="0" applyNumberFormat="1" applyBorder="1"/>
    <xf numFmtId="0" fontId="24" fillId="0" borderId="95" xfId="0" applyFont="1" applyFill="1" applyBorder="1" applyAlignment="1">
      <alignment vertical="center" wrapText="1"/>
    </xf>
    <xf numFmtId="0" fontId="45" fillId="0" borderId="17" xfId="0" applyFont="1" applyFill="1" applyBorder="1" applyAlignment="1">
      <alignment horizontal="center" vertical="center" wrapText="1"/>
    </xf>
    <xf numFmtId="2" fontId="0" fillId="0" borderId="36" xfId="0" applyNumberFormat="1" applyBorder="1"/>
    <xf numFmtId="0" fontId="27" fillId="0" borderId="0" xfId="0" applyFont="1" applyFill="1" applyBorder="1" applyAlignment="1">
      <alignment horizontal="right"/>
    </xf>
    <xf numFmtId="2" fontId="27" fillId="0" borderId="0" xfId="0" applyNumberFormat="1" applyFont="1" applyFill="1" applyBorder="1" applyAlignment="1">
      <alignment horizontal="right"/>
    </xf>
    <xf numFmtId="164" fontId="27" fillId="0" borderId="0" xfId="0" applyNumberFormat="1" applyFont="1" applyBorder="1"/>
    <xf numFmtId="0" fontId="0" fillId="28" borderId="39" xfId="0" applyFill="1" applyBorder="1"/>
    <xf numFmtId="0" fontId="38" fillId="0" borderId="71" xfId="0" applyFont="1" applyBorder="1" applyAlignment="1">
      <alignment horizontal="center" vertical="center" wrapText="1"/>
    </xf>
    <xf numFmtId="164" fontId="56" fillId="0" borderId="0" xfId="0" applyNumberFormat="1" applyFont="1" applyFill="1" applyBorder="1"/>
    <xf numFmtId="0" fontId="38" fillId="0" borderId="48" xfId="0" applyFont="1" applyBorder="1" applyAlignment="1">
      <alignment vertical="center" wrapText="1"/>
    </xf>
    <xf numFmtId="164" fontId="56" fillId="0" borderId="17" xfId="0" applyNumberFormat="1" applyFont="1" applyFill="1" applyBorder="1"/>
    <xf numFmtId="0" fontId="56" fillId="0" borderId="18" xfId="0" applyFont="1" applyFill="1" applyBorder="1"/>
    <xf numFmtId="2" fontId="21" fillId="0" borderId="92" xfId="0" applyNumberFormat="1" applyFont="1" applyFill="1" applyBorder="1" applyAlignment="1">
      <alignment horizontal="center" wrapText="1"/>
    </xf>
    <xf numFmtId="0" fontId="0" fillId="0" borderId="65" xfId="0" applyFill="1" applyBorder="1"/>
    <xf numFmtId="0" fontId="0" fillId="0" borderId="36" xfId="0" applyBorder="1"/>
    <xf numFmtId="0" fontId="20" fillId="0" borderId="97" xfId="0" applyFont="1" applyBorder="1" applyAlignment="1">
      <alignment vertical="center" wrapText="1"/>
    </xf>
    <xf numFmtId="0" fontId="38" fillId="0" borderId="88" xfId="0" applyFont="1" applyBorder="1" applyAlignment="1">
      <alignment vertical="center" wrapText="1"/>
    </xf>
    <xf numFmtId="0" fontId="24" fillId="0" borderId="49" xfId="0" applyFont="1" applyBorder="1" applyAlignment="1">
      <alignment vertical="center" wrapText="1"/>
    </xf>
    <xf numFmtId="0" fontId="38" fillId="0" borderId="64" xfId="0" applyFont="1" applyBorder="1" applyAlignment="1">
      <alignment vertical="center" wrapText="1"/>
    </xf>
    <xf numFmtId="0" fontId="24" fillId="0" borderId="28" xfId="0" applyFont="1" applyBorder="1" applyAlignment="1">
      <alignment vertical="center" wrapText="1"/>
    </xf>
    <xf numFmtId="0" fontId="38" fillId="0" borderId="29" xfId="0" applyFont="1" applyBorder="1" applyAlignment="1">
      <alignment vertical="center" wrapText="1"/>
    </xf>
    <xf numFmtId="0" fontId="0" fillId="0" borderId="15" xfId="0" applyFill="1" applyBorder="1"/>
    <xf numFmtId="2" fontId="21" fillId="0" borderId="39" xfId="0" applyNumberFormat="1" applyFont="1" applyFill="1" applyBorder="1" applyAlignment="1">
      <alignment horizontal="center" wrapText="1"/>
    </xf>
    <xf numFmtId="164" fontId="56" fillId="0" borderId="15" xfId="0" applyNumberFormat="1" applyFont="1" applyFill="1" applyBorder="1"/>
    <xf numFmtId="2" fontId="21" fillId="0" borderId="101" xfId="0" applyNumberFormat="1" applyFont="1" applyFill="1" applyBorder="1" applyAlignment="1">
      <alignment horizontal="center" wrapText="1"/>
    </xf>
    <xf numFmtId="0" fontId="24" fillId="0" borderId="0" xfId="0" applyFont="1" applyAlignment="1">
      <alignment vertical="center" wrapText="1"/>
    </xf>
    <xf numFmtId="2" fontId="24" fillId="0" borderId="0" xfId="0" applyNumberFormat="1" applyFont="1" applyAlignment="1">
      <alignment vertical="center" wrapText="1"/>
    </xf>
    <xf numFmtId="0" fontId="24" fillId="0" borderId="0" xfId="0" applyFont="1" applyAlignment="1">
      <alignment vertical="center"/>
    </xf>
    <xf numFmtId="2" fontId="38" fillId="0" borderId="12" xfId="0" applyNumberFormat="1" applyFont="1" applyBorder="1" applyAlignment="1">
      <alignment vertical="center" wrapText="1"/>
    </xf>
    <xf numFmtId="2" fontId="38" fillId="0" borderId="31" xfId="0" applyNumberFormat="1" applyFont="1" applyBorder="1" applyAlignment="1">
      <alignment vertical="center" wrapText="1"/>
    </xf>
    <xf numFmtId="0" fontId="24" fillId="44" borderId="37" xfId="0" applyFont="1" applyFill="1" applyBorder="1" applyAlignment="1">
      <alignment vertical="center" wrapText="1"/>
    </xf>
    <xf numFmtId="0" fontId="38" fillId="44" borderId="65" xfId="0" applyFont="1" applyFill="1" applyBorder="1" applyAlignment="1">
      <alignment vertical="center" wrapText="1"/>
    </xf>
    <xf numFmtId="0" fontId="38" fillId="44" borderId="35" xfId="0" applyFont="1" applyFill="1" applyBorder="1" applyAlignment="1">
      <alignment vertical="center" wrapText="1"/>
    </xf>
    <xf numFmtId="0" fontId="24" fillId="44" borderId="51" xfId="0" applyFont="1" applyFill="1" applyBorder="1" applyAlignment="1">
      <alignment vertical="center" wrapText="1"/>
    </xf>
    <xf numFmtId="0" fontId="38" fillId="44" borderId="0" xfId="0" applyFont="1" applyFill="1" applyBorder="1" applyAlignment="1">
      <alignment vertical="center" wrapText="1"/>
    </xf>
    <xf numFmtId="2" fontId="38" fillId="44" borderId="0" xfId="0" applyNumberFormat="1" applyFont="1" applyFill="1" applyBorder="1" applyAlignment="1">
      <alignment vertical="center" wrapText="1"/>
    </xf>
    <xf numFmtId="0" fontId="38" fillId="44" borderId="57" xfId="0" applyFont="1" applyFill="1" applyBorder="1" applyAlignment="1">
      <alignment vertical="center" wrapText="1"/>
    </xf>
    <xf numFmtId="0" fontId="24" fillId="44" borderId="51" xfId="0" applyFont="1" applyFill="1" applyBorder="1" applyAlignment="1">
      <alignment vertical="center"/>
    </xf>
    <xf numFmtId="0" fontId="24" fillId="0" borderId="23" xfId="0" applyFont="1" applyFill="1" applyBorder="1" applyAlignment="1">
      <alignment vertical="center" wrapText="1"/>
    </xf>
    <xf numFmtId="2" fontId="45" fillId="0" borderId="10" xfId="0" applyNumberFormat="1" applyFont="1" applyFill="1" applyBorder="1" applyAlignment="1">
      <alignment horizontal="center" vertical="center" wrapText="1"/>
    </xf>
    <xf numFmtId="2" fontId="45" fillId="0" borderId="16" xfId="0" applyNumberFormat="1" applyFont="1" applyFill="1" applyBorder="1" applyAlignment="1">
      <alignment horizontal="center" vertical="center" wrapText="1"/>
    </xf>
    <xf numFmtId="0" fontId="24" fillId="0" borderId="15" xfId="0" applyFont="1" applyFill="1" applyBorder="1" applyAlignment="1">
      <alignment vertical="center" wrapText="1"/>
    </xf>
    <xf numFmtId="0" fontId="24" fillId="0" borderId="17" xfId="0" applyFont="1" applyFill="1" applyBorder="1" applyAlignment="1">
      <alignment vertical="center" wrapText="1"/>
    </xf>
    <xf numFmtId="2" fontId="45" fillId="0" borderId="18" xfId="0" applyNumberFormat="1" applyFont="1" applyFill="1" applyBorder="1" applyAlignment="1">
      <alignment horizontal="center" vertical="center" wrapText="1"/>
    </xf>
    <xf numFmtId="2" fontId="45" fillId="0" borderId="33" xfId="0" applyNumberFormat="1" applyFont="1" applyFill="1" applyBorder="1" applyAlignment="1">
      <alignment horizontal="center" vertical="center" wrapText="1"/>
    </xf>
    <xf numFmtId="2" fontId="45" fillId="0" borderId="34" xfId="0" applyNumberFormat="1" applyFont="1" applyFill="1" applyBorder="1" applyAlignment="1">
      <alignment horizontal="center" vertical="center" wrapText="1"/>
    </xf>
    <xf numFmtId="2" fontId="45" fillId="0" borderId="32" xfId="0" applyNumberFormat="1" applyFont="1" applyFill="1" applyBorder="1" applyAlignment="1">
      <alignment horizontal="center" vertical="center" wrapText="1"/>
    </xf>
    <xf numFmtId="2" fontId="45" fillId="0" borderId="29" xfId="0" applyNumberFormat="1" applyFont="1" applyFill="1" applyBorder="1" applyAlignment="1">
      <alignment horizontal="center" vertical="center" wrapText="1"/>
    </xf>
    <xf numFmtId="0" fontId="24" fillId="44" borderId="52" xfId="0" applyFont="1" applyFill="1" applyBorder="1" applyAlignment="1">
      <alignment vertical="center"/>
    </xf>
    <xf numFmtId="0" fontId="24" fillId="44" borderId="36" xfId="0" applyFont="1" applyFill="1" applyBorder="1" applyAlignment="1">
      <alignment vertical="center"/>
    </xf>
    <xf numFmtId="2" fontId="24" fillId="44" borderId="36" xfId="0" applyNumberFormat="1" applyFont="1" applyFill="1" applyBorder="1" applyAlignment="1">
      <alignment vertical="center"/>
    </xf>
    <xf numFmtId="0" fontId="24" fillId="44" borderId="40" xfId="0" applyFont="1" applyFill="1" applyBorder="1" applyAlignment="1">
      <alignment vertical="center"/>
    </xf>
    <xf numFmtId="0" fontId="24" fillId="33" borderId="37" xfId="0" applyFont="1" applyFill="1" applyBorder="1" applyAlignment="1">
      <alignment vertical="center" wrapText="1"/>
    </xf>
    <xf numFmtId="0" fontId="38" fillId="33" borderId="65" xfId="0" applyFont="1" applyFill="1" applyBorder="1" applyAlignment="1">
      <alignment vertical="center" wrapText="1"/>
    </xf>
    <xf numFmtId="0" fontId="38" fillId="33" borderId="35" xfId="0" applyFont="1" applyFill="1" applyBorder="1" applyAlignment="1">
      <alignment vertical="center" wrapText="1"/>
    </xf>
    <xf numFmtId="0" fontId="24" fillId="33" borderId="51" xfId="0" applyFont="1" applyFill="1" applyBorder="1" applyAlignment="1">
      <alignment vertical="center" wrapText="1"/>
    </xf>
    <xf numFmtId="0" fontId="38" fillId="33" borderId="0" xfId="0" applyFont="1" applyFill="1" applyBorder="1" applyAlignment="1">
      <alignment vertical="center" wrapText="1"/>
    </xf>
    <xf numFmtId="2" fontId="38" fillId="33" borderId="0" xfId="0" applyNumberFormat="1" applyFont="1" applyFill="1" applyBorder="1" applyAlignment="1">
      <alignment vertical="center" wrapText="1"/>
    </xf>
    <xf numFmtId="0" fontId="38" fillId="33" borderId="57" xfId="0" applyFont="1" applyFill="1" applyBorder="1" applyAlignment="1">
      <alignment vertical="center" wrapText="1"/>
    </xf>
    <xf numFmtId="0" fontId="24" fillId="33" borderId="51" xfId="0" applyFont="1" applyFill="1" applyBorder="1" applyAlignment="1">
      <alignment vertical="center"/>
    </xf>
    <xf numFmtId="0" fontId="24" fillId="33" borderId="0" xfId="0" applyFont="1" applyFill="1" applyBorder="1" applyAlignment="1">
      <alignment vertical="center"/>
    </xf>
    <xf numFmtId="2" fontId="24" fillId="33" borderId="0" xfId="0" applyNumberFormat="1" applyFont="1" applyFill="1" applyBorder="1" applyAlignment="1">
      <alignment vertical="center"/>
    </xf>
    <xf numFmtId="0" fontId="24" fillId="33" borderId="57" xfId="0" applyFont="1" applyFill="1" applyBorder="1" applyAlignment="1">
      <alignment vertical="center"/>
    </xf>
    <xf numFmtId="0" fontId="24" fillId="45" borderId="37" xfId="0" applyFont="1" applyFill="1" applyBorder="1" applyAlignment="1">
      <alignment vertical="center" wrapText="1"/>
    </xf>
    <xf numFmtId="0" fontId="38" fillId="45" borderId="65" xfId="0" applyFont="1" applyFill="1" applyBorder="1" applyAlignment="1">
      <alignment vertical="center" wrapText="1"/>
    </xf>
    <xf numFmtId="0" fontId="38" fillId="45" borderId="35" xfId="0" applyFont="1" applyFill="1" applyBorder="1" applyAlignment="1">
      <alignment vertical="center" wrapText="1"/>
    </xf>
    <xf numFmtId="0" fontId="24" fillId="45" borderId="51" xfId="0" applyFont="1" applyFill="1" applyBorder="1" applyAlignment="1">
      <alignment vertical="center" wrapText="1"/>
    </xf>
    <xf numFmtId="0" fontId="38" fillId="45" borderId="0" xfId="0" applyFont="1" applyFill="1" applyBorder="1" applyAlignment="1">
      <alignment vertical="center" wrapText="1"/>
    </xf>
    <xf numFmtId="2" fontId="38" fillId="45" borderId="0" xfId="0" applyNumberFormat="1" applyFont="1" applyFill="1" applyBorder="1" applyAlignment="1">
      <alignment vertical="center" wrapText="1"/>
    </xf>
    <xf numFmtId="0" fontId="38" fillId="45" borderId="57" xfId="0" applyFont="1" applyFill="1" applyBorder="1" applyAlignment="1">
      <alignment vertical="center" wrapText="1"/>
    </xf>
    <xf numFmtId="0" fontId="24" fillId="45" borderId="51" xfId="0" applyFont="1" applyFill="1" applyBorder="1" applyAlignment="1">
      <alignment vertical="center"/>
    </xf>
    <xf numFmtId="0" fontId="24" fillId="45" borderId="0" xfId="0" applyFont="1" applyFill="1" applyBorder="1" applyAlignment="1">
      <alignment vertical="center"/>
    </xf>
    <xf numFmtId="2" fontId="24" fillId="45" borderId="0" xfId="0" applyNumberFormat="1" applyFont="1" applyFill="1" applyBorder="1" applyAlignment="1">
      <alignment vertical="center"/>
    </xf>
    <xf numFmtId="0" fontId="24" fillId="45" borderId="57" xfId="0" applyFont="1" applyFill="1" applyBorder="1" applyAlignment="1">
      <alignment vertical="center"/>
    </xf>
    <xf numFmtId="0" fontId="24" fillId="24" borderId="37" xfId="0" applyFont="1" applyFill="1" applyBorder="1" applyAlignment="1">
      <alignment vertical="center" wrapText="1"/>
    </xf>
    <xf numFmtId="0" fontId="38" fillId="24" borderId="65" xfId="0" applyFont="1" applyFill="1" applyBorder="1" applyAlignment="1">
      <alignment vertical="center" wrapText="1"/>
    </xf>
    <xf numFmtId="0" fontId="38" fillId="24" borderId="35" xfId="0" applyFont="1" applyFill="1" applyBorder="1" applyAlignment="1">
      <alignment vertical="center" wrapText="1"/>
    </xf>
    <xf numFmtId="0" fontId="24" fillId="24" borderId="51" xfId="0" applyFont="1" applyFill="1" applyBorder="1" applyAlignment="1">
      <alignment vertical="center" wrapText="1"/>
    </xf>
    <xf numFmtId="0" fontId="38" fillId="24" borderId="0" xfId="0" applyFont="1" applyFill="1" applyBorder="1" applyAlignment="1">
      <alignment vertical="center" wrapText="1"/>
    </xf>
    <xf numFmtId="2" fontId="38" fillId="24" borderId="0" xfId="0" applyNumberFormat="1" applyFont="1" applyFill="1" applyBorder="1" applyAlignment="1">
      <alignment vertical="center" wrapText="1"/>
    </xf>
    <xf numFmtId="0" fontId="38" fillId="24" borderId="57" xfId="0" applyFont="1" applyFill="1" applyBorder="1" applyAlignment="1">
      <alignment vertical="center" wrapText="1"/>
    </xf>
    <xf numFmtId="0" fontId="24" fillId="24" borderId="51" xfId="0" applyFont="1" applyFill="1" applyBorder="1" applyAlignment="1">
      <alignment vertical="center"/>
    </xf>
    <xf numFmtId="0" fontId="24" fillId="24" borderId="0" xfId="0" applyFont="1" applyFill="1" applyBorder="1" applyAlignment="1">
      <alignment vertical="center"/>
    </xf>
    <xf numFmtId="2" fontId="24" fillId="24" borderId="0" xfId="0" applyNumberFormat="1" applyFont="1" applyFill="1" applyBorder="1" applyAlignment="1">
      <alignment vertical="center"/>
    </xf>
    <xf numFmtId="0" fontId="24" fillId="24" borderId="57" xfId="0" applyFont="1" applyFill="1" applyBorder="1" applyAlignment="1">
      <alignment vertical="center"/>
    </xf>
    <xf numFmtId="0" fontId="24" fillId="32" borderId="37" xfId="0" applyFont="1" applyFill="1" applyBorder="1" applyAlignment="1">
      <alignment vertical="center" wrapText="1"/>
    </xf>
    <xf numFmtId="0" fontId="38" fillId="32" borderId="65" xfId="0" applyFont="1" applyFill="1" applyBorder="1" applyAlignment="1">
      <alignment vertical="center" wrapText="1"/>
    </xf>
    <xf numFmtId="0" fontId="38" fillId="32" borderId="35" xfId="0" applyFont="1" applyFill="1" applyBorder="1" applyAlignment="1">
      <alignment vertical="center" wrapText="1"/>
    </xf>
    <xf numFmtId="0" fontId="24" fillId="32" borderId="51" xfId="0" applyFont="1" applyFill="1" applyBorder="1" applyAlignment="1">
      <alignment vertical="center" wrapText="1"/>
    </xf>
    <xf numFmtId="0" fontId="38" fillId="32" borderId="0" xfId="0" applyFont="1" applyFill="1" applyBorder="1" applyAlignment="1">
      <alignment vertical="center" wrapText="1"/>
    </xf>
    <xf numFmtId="2" fontId="38" fillId="32" borderId="0" xfId="0" applyNumberFormat="1" applyFont="1" applyFill="1" applyBorder="1" applyAlignment="1">
      <alignment vertical="center" wrapText="1"/>
    </xf>
    <xf numFmtId="0" fontId="38" fillId="32" borderId="57" xfId="0" applyFont="1" applyFill="1" applyBorder="1" applyAlignment="1">
      <alignment vertical="center" wrapText="1"/>
    </xf>
    <xf numFmtId="0" fontId="24" fillId="32" borderId="52" xfId="0" applyFont="1" applyFill="1" applyBorder="1" applyAlignment="1">
      <alignment vertical="center"/>
    </xf>
    <xf numFmtId="0" fontId="24" fillId="32" borderId="36" xfId="0" applyFont="1" applyFill="1" applyBorder="1" applyAlignment="1">
      <alignment vertical="center"/>
    </xf>
    <xf numFmtId="2" fontId="24" fillId="32" borderId="36" xfId="0" applyNumberFormat="1" applyFont="1" applyFill="1" applyBorder="1" applyAlignment="1">
      <alignment vertical="center"/>
    </xf>
    <xf numFmtId="0" fontId="24" fillId="32" borderId="40" xfId="0" applyFont="1" applyFill="1" applyBorder="1" applyAlignment="1">
      <alignment vertical="center"/>
    </xf>
    <xf numFmtId="2" fontId="24" fillId="0" borderId="0" xfId="0" applyNumberFormat="1" applyFont="1" applyAlignment="1">
      <alignment vertical="center"/>
    </xf>
    <xf numFmtId="0" fontId="24" fillId="0" borderId="0" xfId="0" applyFont="1" applyAlignment="1">
      <alignment horizontal="left" vertical="center" wrapText="1"/>
    </xf>
    <xf numFmtId="2" fontId="24" fillId="33" borderId="16" xfId="0" applyNumberFormat="1" applyFont="1" applyFill="1" applyBorder="1" applyAlignment="1">
      <alignment wrapText="1"/>
    </xf>
    <xf numFmtId="2" fontId="24" fillId="33" borderId="16" xfId="0" applyNumberFormat="1" applyFont="1" applyFill="1" applyBorder="1" applyAlignment="1"/>
    <xf numFmtId="2" fontId="45" fillId="33" borderId="14" xfId="0" applyNumberFormat="1" applyFont="1" applyFill="1" applyBorder="1" applyAlignment="1">
      <alignment horizontal="center" wrapText="1"/>
    </xf>
    <xf numFmtId="2" fontId="24" fillId="33" borderId="18" xfId="0" applyNumberFormat="1" applyFont="1" applyFill="1" applyBorder="1" applyAlignment="1">
      <alignment wrapText="1"/>
    </xf>
    <xf numFmtId="2" fontId="24" fillId="33" borderId="18" xfId="0" applyNumberFormat="1" applyFont="1" applyFill="1" applyBorder="1" applyAlignment="1"/>
    <xf numFmtId="2" fontId="45" fillId="33" borderId="24" xfId="0" applyNumberFormat="1" applyFont="1" applyFill="1" applyBorder="1" applyAlignment="1">
      <alignment horizontal="center" wrapText="1"/>
    </xf>
    <xf numFmtId="0" fontId="24" fillId="18" borderId="19" xfId="0" applyFont="1" applyFill="1" applyBorder="1" applyAlignment="1">
      <alignment wrapText="1"/>
    </xf>
    <xf numFmtId="2" fontId="45" fillId="18" borderId="19" xfId="0" applyNumberFormat="1" applyFont="1" applyFill="1" applyBorder="1" applyAlignment="1">
      <alignment horizontal="center" wrapText="1"/>
    </xf>
    <xf numFmtId="0" fontId="45" fillId="18" borderId="19" xfId="0" applyFont="1" applyFill="1" applyBorder="1" applyAlignment="1">
      <alignment horizontal="center" wrapText="1"/>
    </xf>
    <xf numFmtId="0" fontId="24" fillId="18" borderId="16" xfId="0" applyFont="1" applyFill="1" applyBorder="1" applyAlignment="1">
      <alignment wrapText="1"/>
    </xf>
    <xf numFmtId="2" fontId="45" fillId="18" borderId="16" xfId="0" applyNumberFormat="1" applyFont="1" applyFill="1" applyBorder="1" applyAlignment="1">
      <alignment horizontal="center" wrapText="1"/>
    </xf>
    <xf numFmtId="0" fontId="45" fillId="18" borderId="16" xfId="0" applyFont="1" applyFill="1" applyBorder="1" applyAlignment="1">
      <alignment horizontal="center" wrapText="1"/>
    </xf>
    <xf numFmtId="2" fontId="24" fillId="18" borderId="16" xfId="0" applyNumberFormat="1" applyFont="1" applyFill="1" applyBorder="1" applyAlignment="1">
      <alignment wrapText="1"/>
    </xf>
    <xf numFmtId="2" fontId="24" fillId="18" borderId="16" xfId="0" applyNumberFormat="1" applyFont="1" applyFill="1" applyBorder="1" applyAlignment="1"/>
    <xf numFmtId="2" fontId="45" fillId="18" borderId="14" xfId="0" applyNumberFormat="1" applyFont="1" applyFill="1" applyBorder="1" applyAlignment="1">
      <alignment horizontal="center" wrapText="1"/>
    </xf>
    <xf numFmtId="0" fontId="24" fillId="18" borderId="29" xfId="0" applyFont="1" applyFill="1" applyBorder="1" applyAlignment="1">
      <alignment wrapText="1"/>
    </xf>
    <xf numFmtId="2" fontId="45" fillId="18" borderId="29" xfId="0" applyNumberFormat="1" applyFont="1" applyFill="1" applyBorder="1" applyAlignment="1">
      <alignment horizontal="center" wrapText="1"/>
    </xf>
    <xf numFmtId="0" fontId="45" fillId="33" borderId="29" xfId="0" applyFont="1" applyFill="1" applyBorder="1" applyAlignment="1">
      <alignment horizontal="center" wrapText="1"/>
    </xf>
    <xf numFmtId="0" fontId="45" fillId="18" borderId="29" xfId="0" applyFont="1" applyFill="1" applyBorder="1" applyAlignment="1">
      <alignment horizontal="center" wrapText="1"/>
    </xf>
    <xf numFmtId="2" fontId="24" fillId="33" borderId="10" xfId="0" applyNumberFormat="1" applyFont="1" applyFill="1" applyBorder="1" applyAlignment="1">
      <alignment wrapText="1"/>
    </xf>
    <xf numFmtId="2" fontId="24" fillId="33" borderId="10" xfId="0" applyNumberFormat="1" applyFont="1" applyFill="1" applyBorder="1" applyAlignment="1"/>
    <xf numFmtId="2" fontId="45" fillId="33" borderId="86" xfId="0" applyNumberFormat="1" applyFont="1" applyFill="1" applyBorder="1" applyAlignment="1">
      <alignment horizontal="center" wrapText="1"/>
    </xf>
    <xf numFmtId="0" fontId="24" fillId="33" borderId="85" xfId="0" applyFont="1" applyFill="1" applyBorder="1" applyAlignment="1">
      <alignment wrapText="1"/>
    </xf>
    <xf numFmtId="0" fontId="24" fillId="33" borderId="87" xfId="0" applyFont="1" applyFill="1" applyBorder="1" applyAlignment="1">
      <alignment wrapText="1"/>
    </xf>
    <xf numFmtId="0" fontId="24" fillId="33" borderId="95" xfId="0" applyFont="1" applyFill="1" applyBorder="1" applyAlignment="1">
      <alignment wrapText="1"/>
    </xf>
    <xf numFmtId="0" fontId="38" fillId="28" borderId="0" xfId="0" applyFont="1" applyFill="1" applyBorder="1" applyAlignment="1">
      <alignment wrapText="1"/>
    </xf>
    <xf numFmtId="2" fontId="38" fillId="28" borderId="0" xfId="0" applyNumberFormat="1" applyFont="1" applyFill="1" applyBorder="1" applyAlignment="1">
      <alignment wrapText="1"/>
    </xf>
    <xf numFmtId="2" fontId="24" fillId="28" borderId="0" xfId="0" applyNumberFormat="1" applyFont="1" applyFill="1" applyBorder="1" applyAlignment="1">
      <alignment wrapText="1"/>
    </xf>
    <xf numFmtId="0" fontId="24" fillId="28" borderId="0" xfId="0" applyFont="1" applyFill="1" applyBorder="1" applyAlignment="1">
      <alignment wrapText="1"/>
    </xf>
    <xf numFmtId="10" fontId="24" fillId="28" borderId="0" xfId="0" applyNumberFormat="1" applyFont="1" applyFill="1" applyBorder="1" applyAlignment="1">
      <alignment horizontal="left" wrapText="1"/>
    </xf>
    <xf numFmtId="0" fontId="24" fillId="28" borderId="36" xfId="0" applyFont="1" applyFill="1" applyBorder="1" applyAlignment="1">
      <alignment wrapText="1"/>
    </xf>
    <xf numFmtId="2" fontId="24" fillId="28" borderId="36" xfId="0" applyNumberFormat="1" applyFont="1" applyFill="1" applyBorder="1" applyAlignment="1">
      <alignment wrapText="1"/>
    </xf>
    <xf numFmtId="10" fontId="24" fillId="28" borderId="36" xfId="0" applyNumberFormat="1" applyFont="1" applyFill="1" applyBorder="1" applyAlignment="1">
      <alignment horizontal="left" wrapText="1"/>
    </xf>
    <xf numFmtId="0" fontId="24" fillId="33" borderId="29" xfId="0" applyFont="1" applyFill="1" applyBorder="1" applyAlignment="1">
      <alignment vertical="center" wrapText="1"/>
    </xf>
    <xf numFmtId="2" fontId="45" fillId="33" borderId="29" xfId="0" applyNumberFormat="1" applyFont="1" applyFill="1" applyBorder="1" applyAlignment="1">
      <alignment horizontal="center" wrapText="1"/>
    </xf>
    <xf numFmtId="2" fontId="45" fillId="33" borderId="30" xfId="0" applyNumberFormat="1" applyFont="1" applyFill="1" applyBorder="1" applyAlignment="1">
      <alignment horizontal="center" wrapText="1"/>
    </xf>
    <xf numFmtId="0" fontId="24" fillId="0" borderId="85" xfId="0" applyFont="1" applyFill="1" applyBorder="1" applyAlignment="1">
      <alignment wrapText="1"/>
    </xf>
    <xf numFmtId="2" fontId="24" fillId="0" borderId="10" xfId="0" applyNumberFormat="1" applyFont="1" applyFill="1" applyBorder="1" applyAlignment="1">
      <alignment wrapText="1"/>
    </xf>
    <xf numFmtId="2" fontId="24" fillId="0" borderId="10" xfId="0" applyNumberFormat="1" applyFont="1" applyFill="1" applyBorder="1" applyAlignment="1"/>
    <xf numFmtId="2" fontId="45" fillId="0" borderId="86" xfId="0" applyNumberFormat="1" applyFont="1" applyFill="1" applyBorder="1" applyAlignment="1">
      <alignment horizontal="center" wrapText="1"/>
    </xf>
    <xf numFmtId="0" fontId="24" fillId="0" borderId="27" xfId="0" applyFont="1" applyFill="1" applyBorder="1" applyAlignment="1">
      <alignment wrapText="1"/>
    </xf>
    <xf numFmtId="0" fontId="24" fillId="0" borderId="19" xfId="0" applyFont="1" applyFill="1" applyBorder="1" applyAlignment="1">
      <alignment wrapText="1"/>
    </xf>
    <xf numFmtId="2" fontId="45" fillId="0" borderId="19" xfId="0" applyNumberFormat="1" applyFont="1" applyFill="1" applyBorder="1" applyAlignment="1">
      <alignment horizontal="center" wrapText="1"/>
    </xf>
    <xf numFmtId="0" fontId="45" fillId="0" borderId="19" xfId="0" applyFont="1" applyFill="1" applyBorder="1" applyAlignment="1">
      <alignment horizontal="center" wrapText="1"/>
    </xf>
    <xf numFmtId="2" fontId="24" fillId="0" borderId="19" xfId="0" applyNumberFormat="1" applyFont="1" applyFill="1" applyBorder="1" applyAlignment="1">
      <alignment wrapText="1"/>
    </xf>
    <xf numFmtId="2" fontId="24" fillId="0" borderId="19" xfId="0" applyNumberFormat="1" applyFont="1" applyFill="1" applyBorder="1" applyAlignment="1"/>
    <xf numFmtId="2" fontId="45" fillId="0" borderId="26" xfId="0" applyNumberFormat="1" applyFont="1" applyFill="1" applyBorder="1" applyAlignment="1">
      <alignment horizontal="center" wrapText="1"/>
    </xf>
    <xf numFmtId="0" fontId="24" fillId="0" borderId="87" xfId="0" applyFont="1" applyFill="1" applyBorder="1" applyAlignment="1">
      <alignment wrapText="1"/>
    </xf>
    <xf numFmtId="2" fontId="24" fillId="0" borderId="16" xfId="0" applyNumberFormat="1" applyFont="1" applyFill="1" applyBorder="1" applyAlignment="1">
      <alignment wrapText="1"/>
    </xf>
    <xf numFmtId="2" fontId="24" fillId="0" borderId="16" xfId="0" applyNumberFormat="1" applyFont="1" applyFill="1" applyBorder="1" applyAlignment="1"/>
    <xf numFmtId="2" fontId="45" fillId="0" borderId="14" xfId="0" applyNumberFormat="1" applyFont="1" applyFill="1" applyBorder="1" applyAlignment="1">
      <alignment horizontal="center" wrapText="1"/>
    </xf>
    <xf numFmtId="2" fontId="24" fillId="0" borderId="18" xfId="0" applyNumberFormat="1" applyFont="1" applyFill="1" applyBorder="1" applyAlignment="1">
      <alignment wrapText="1"/>
    </xf>
    <xf numFmtId="2" fontId="24" fillId="0" borderId="18" xfId="0" applyNumberFormat="1" applyFont="1" applyFill="1" applyBorder="1" applyAlignment="1"/>
    <xf numFmtId="2" fontId="45" fillId="0" borderId="24" xfId="0" applyNumberFormat="1" applyFont="1" applyFill="1" applyBorder="1" applyAlignment="1">
      <alignment horizontal="center" wrapText="1"/>
    </xf>
    <xf numFmtId="2" fontId="24" fillId="33" borderId="19" xfId="0" applyNumberFormat="1" applyFont="1" applyFill="1" applyBorder="1" applyAlignment="1">
      <alignment wrapText="1"/>
    </xf>
    <xf numFmtId="2" fontId="24" fillId="33" borderId="29" xfId="0" applyNumberFormat="1" applyFont="1" applyFill="1" applyBorder="1" applyAlignment="1"/>
    <xf numFmtId="2" fontId="24" fillId="33" borderId="29" xfId="0" applyNumberFormat="1" applyFont="1" applyFill="1" applyBorder="1" applyAlignment="1">
      <alignment wrapText="1"/>
    </xf>
    <xf numFmtId="2" fontId="45" fillId="27" borderId="10" xfId="0" applyNumberFormat="1" applyFont="1" applyFill="1" applyBorder="1" applyAlignment="1">
      <alignment horizontal="center" wrapText="1"/>
    </xf>
    <xf numFmtId="2" fontId="45" fillId="27" borderId="16" xfId="0" applyNumberFormat="1" applyFont="1" applyFill="1" applyBorder="1" applyAlignment="1">
      <alignment horizontal="center" wrapText="1"/>
    </xf>
    <xf numFmtId="2" fontId="45" fillId="27" borderId="14" xfId="0" applyNumberFormat="1" applyFont="1" applyFill="1" applyBorder="1" applyAlignment="1">
      <alignment horizontal="center" wrapText="1"/>
    </xf>
    <xf numFmtId="0" fontId="24" fillId="27" borderId="16" xfId="0" applyFont="1" applyFill="1" applyBorder="1" applyAlignment="1">
      <alignment wrapText="1"/>
    </xf>
    <xf numFmtId="2" fontId="45" fillId="27" borderId="18" xfId="0" applyNumberFormat="1" applyFont="1" applyFill="1" applyBorder="1" applyAlignment="1">
      <alignment horizontal="center" wrapText="1"/>
    </xf>
    <xf numFmtId="0" fontId="38" fillId="25" borderId="0" xfId="0" applyFont="1" applyFill="1" applyBorder="1" applyAlignment="1">
      <alignment wrapText="1"/>
    </xf>
    <xf numFmtId="2" fontId="38" fillId="25" borderId="0" xfId="0" applyNumberFormat="1" applyFont="1" applyFill="1" applyBorder="1" applyAlignment="1">
      <alignment wrapText="1"/>
    </xf>
    <xf numFmtId="0" fontId="24" fillId="25" borderId="0" xfId="0" applyFont="1" applyFill="1" applyBorder="1" applyAlignment="1">
      <alignment wrapText="1"/>
    </xf>
    <xf numFmtId="2" fontId="24" fillId="25" borderId="0" xfId="0" applyNumberFormat="1" applyFont="1" applyFill="1" applyBorder="1" applyAlignment="1">
      <alignment wrapText="1"/>
    </xf>
    <xf numFmtId="10" fontId="24" fillId="25" borderId="0" xfId="0" applyNumberFormat="1" applyFont="1" applyFill="1" applyBorder="1" applyAlignment="1">
      <alignment horizontal="left" wrapText="1"/>
    </xf>
    <xf numFmtId="0" fontId="38" fillId="0" borderId="11" xfId="0" applyFont="1" applyBorder="1" applyAlignment="1">
      <alignment horizontal="left" vertical="center" wrapText="1"/>
    </xf>
    <xf numFmtId="0" fontId="24" fillId="18" borderId="10" xfId="0" applyFont="1" applyFill="1" applyBorder="1" applyAlignment="1">
      <alignment vertical="center" wrapText="1"/>
    </xf>
    <xf numFmtId="2" fontId="45" fillId="18" borderId="10" xfId="0" applyNumberFormat="1" applyFont="1" applyFill="1" applyBorder="1" applyAlignment="1">
      <alignment horizontal="center" wrapText="1"/>
    </xf>
    <xf numFmtId="0" fontId="24" fillId="18" borderId="23" xfId="0" applyFont="1" applyFill="1" applyBorder="1" applyAlignment="1">
      <alignment vertical="center" wrapText="1"/>
    </xf>
    <xf numFmtId="0" fontId="45" fillId="18" borderId="86" xfId="0" applyFont="1" applyFill="1" applyBorder="1" applyAlignment="1">
      <alignment horizontal="center" vertical="center" wrapText="1"/>
    </xf>
    <xf numFmtId="0" fontId="45" fillId="18" borderId="10" xfId="0" applyFont="1" applyFill="1" applyBorder="1" applyAlignment="1">
      <alignment horizontal="center" vertical="center" wrapText="1"/>
    </xf>
    <xf numFmtId="0" fontId="45" fillId="18" borderId="32" xfId="0" applyFont="1" applyFill="1" applyBorder="1" applyAlignment="1">
      <alignment horizontal="center" vertical="center" wrapText="1"/>
    </xf>
    <xf numFmtId="0" fontId="24" fillId="18" borderId="16" xfId="0" applyFont="1" applyFill="1" applyBorder="1" applyAlignment="1">
      <alignment vertical="center" wrapText="1"/>
    </xf>
    <xf numFmtId="0" fontId="24" fillId="18" borderId="15" xfId="0" applyFont="1" applyFill="1" applyBorder="1" applyAlignment="1">
      <alignment vertical="center" wrapText="1"/>
    </xf>
    <xf numFmtId="0" fontId="45" fillId="18" borderId="14" xfId="0" applyFont="1" applyFill="1" applyBorder="1" applyAlignment="1">
      <alignment horizontal="center" vertical="center" wrapText="1"/>
    </xf>
    <xf numFmtId="2" fontId="45" fillId="18" borderId="33" xfId="0" applyNumberFormat="1" applyFont="1" applyFill="1" applyBorder="1" applyAlignment="1">
      <alignment horizontal="center" wrapText="1"/>
    </xf>
    <xf numFmtId="2" fontId="24" fillId="18" borderId="15" xfId="0" applyNumberFormat="1" applyFont="1" applyFill="1" applyBorder="1" applyAlignment="1">
      <alignment vertical="center" wrapText="1"/>
    </xf>
    <xf numFmtId="2" fontId="45" fillId="18" borderId="14" xfId="0" applyNumberFormat="1" applyFont="1" applyFill="1" applyBorder="1" applyAlignment="1">
      <alignment horizontal="center" vertical="center" wrapText="1"/>
    </xf>
    <xf numFmtId="0" fontId="24" fillId="18" borderId="18" xfId="0" applyFont="1" applyFill="1" applyBorder="1" applyAlignment="1">
      <alignment wrapText="1"/>
    </xf>
    <xf numFmtId="0" fontId="24" fillId="18" borderId="18" xfId="0" applyFont="1" applyFill="1" applyBorder="1" applyAlignment="1">
      <alignment vertical="center" wrapText="1"/>
    </xf>
    <xf numFmtId="2" fontId="45" fillId="18" borderId="18" xfId="0" applyNumberFormat="1" applyFont="1" applyFill="1" applyBorder="1" applyAlignment="1">
      <alignment horizontal="center" wrapText="1"/>
    </xf>
    <xf numFmtId="0" fontId="24" fillId="18" borderId="17" xfId="0" applyFont="1" applyFill="1" applyBorder="1" applyAlignment="1">
      <alignment vertical="center" wrapText="1"/>
    </xf>
    <xf numFmtId="0" fontId="45" fillId="18" borderId="24" xfId="0" applyFont="1" applyFill="1" applyBorder="1" applyAlignment="1">
      <alignment horizontal="center" vertical="center" wrapText="1"/>
    </xf>
    <xf numFmtId="0" fontId="45" fillId="18" borderId="18" xfId="0" applyFont="1" applyFill="1" applyBorder="1" applyAlignment="1">
      <alignment horizontal="center" wrapText="1"/>
    </xf>
    <xf numFmtId="2" fontId="45" fillId="18" borderId="34" xfId="0" applyNumberFormat="1" applyFont="1" applyFill="1" applyBorder="1" applyAlignment="1">
      <alignment horizontal="center" wrapText="1"/>
    </xf>
    <xf numFmtId="2" fontId="24" fillId="18" borderId="17" xfId="0" applyNumberFormat="1" applyFont="1" applyFill="1" applyBorder="1" applyAlignment="1">
      <alignment vertical="center" wrapText="1"/>
    </xf>
    <xf numFmtId="2" fontId="45" fillId="18" borderId="24" xfId="0" applyNumberFormat="1" applyFont="1" applyFill="1" applyBorder="1" applyAlignment="1">
      <alignment horizontal="center" vertical="center" wrapText="1"/>
    </xf>
    <xf numFmtId="0" fontId="45" fillId="27" borderId="86" xfId="0" applyFont="1" applyFill="1" applyBorder="1" applyAlignment="1">
      <alignment horizontal="center" vertical="center" wrapText="1"/>
    </xf>
    <xf numFmtId="0" fontId="24" fillId="27" borderId="10" xfId="0" applyFont="1" applyFill="1" applyBorder="1" applyAlignment="1">
      <alignment wrapText="1"/>
    </xf>
    <xf numFmtId="0" fontId="45" fillId="27" borderId="10" xfId="0" applyFont="1" applyFill="1" applyBorder="1" applyAlignment="1">
      <alignment horizontal="center" wrapText="1"/>
    </xf>
    <xf numFmtId="2" fontId="45" fillId="27" borderId="32" xfId="0" applyNumberFormat="1" applyFont="1" applyFill="1" applyBorder="1" applyAlignment="1">
      <alignment horizontal="center" wrapText="1"/>
    </xf>
    <xf numFmtId="2" fontId="24" fillId="27" borderId="23" xfId="0" applyNumberFormat="1" applyFont="1" applyFill="1" applyBorder="1" applyAlignment="1">
      <alignment vertical="center" wrapText="1"/>
    </xf>
    <xf numFmtId="0" fontId="45" fillId="27" borderId="14" xfId="0" applyFont="1" applyFill="1" applyBorder="1" applyAlignment="1">
      <alignment horizontal="center" vertical="center" wrapText="1"/>
    </xf>
    <xf numFmtId="0" fontId="45" fillId="27" borderId="16" xfId="0" applyFont="1" applyFill="1" applyBorder="1" applyAlignment="1">
      <alignment horizontal="center" wrapText="1"/>
    </xf>
    <xf numFmtId="2" fontId="45" fillId="27" borderId="33" xfId="0" applyNumberFormat="1" applyFont="1" applyFill="1" applyBorder="1" applyAlignment="1">
      <alignment horizontal="center" wrapText="1"/>
    </xf>
    <xf numFmtId="2" fontId="24" fillId="27" borderId="15" xfId="0" applyNumberFormat="1" applyFont="1" applyFill="1" applyBorder="1" applyAlignment="1">
      <alignment vertical="center" wrapText="1"/>
    </xf>
    <xf numFmtId="2" fontId="45" fillId="27" borderId="14" xfId="0" applyNumberFormat="1" applyFont="1" applyFill="1" applyBorder="1" applyAlignment="1">
      <alignment horizontal="center" vertical="center" wrapText="1"/>
    </xf>
    <xf numFmtId="0" fontId="24" fillId="18" borderId="10" xfId="0" applyFont="1" applyFill="1" applyBorder="1" applyAlignment="1">
      <alignment wrapText="1"/>
    </xf>
    <xf numFmtId="0" fontId="45" fillId="18" borderId="10" xfId="0" applyFont="1" applyFill="1" applyBorder="1" applyAlignment="1">
      <alignment horizontal="center" wrapText="1"/>
    </xf>
    <xf numFmtId="2" fontId="45" fillId="18" borderId="32" xfId="0" applyNumberFormat="1" applyFont="1" applyFill="1" applyBorder="1" applyAlignment="1">
      <alignment horizontal="center" wrapText="1"/>
    </xf>
    <xf numFmtId="2" fontId="24" fillId="18" borderId="23" xfId="0" applyNumberFormat="1" applyFont="1" applyFill="1" applyBorder="1" applyAlignment="1">
      <alignment vertical="center" wrapText="1"/>
    </xf>
    <xf numFmtId="2" fontId="45" fillId="18" borderId="86" xfId="0" applyNumberFormat="1" applyFont="1" applyFill="1" applyBorder="1" applyAlignment="1">
      <alignment horizontal="center" vertical="center" wrapText="1"/>
    </xf>
    <xf numFmtId="0" fontId="24" fillId="18" borderId="28" xfId="0" applyFont="1" applyFill="1" applyBorder="1" applyAlignment="1">
      <alignment vertical="center" wrapText="1"/>
    </xf>
    <xf numFmtId="2" fontId="24" fillId="18" borderId="28" xfId="0" applyNumberFormat="1" applyFont="1" applyFill="1" applyBorder="1" applyAlignment="1">
      <alignment vertical="center" wrapText="1"/>
    </xf>
    <xf numFmtId="0" fontId="24" fillId="27" borderId="18" xfId="0" applyFont="1" applyFill="1" applyBorder="1" applyAlignment="1">
      <alignment wrapText="1"/>
    </xf>
    <xf numFmtId="0" fontId="45" fillId="27" borderId="24" xfId="0" applyFont="1" applyFill="1" applyBorder="1" applyAlignment="1">
      <alignment horizontal="center" vertical="center" wrapText="1"/>
    </xf>
    <xf numFmtId="0" fontId="45" fillId="27" borderId="18" xfId="0" applyFont="1" applyFill="1" applyBorder="1" applyAlignment="1">
      <alignment horizontal="center" wrapText="1"/>
    </xf>
    <xf numFmtId="2" fontId="45" fillId="27" borderId="34" xfId="0" applyNumberFormat="1" applyFont="1" applyFill="1" applyBorder="1" applyAlignment="1">
      <alignment horizontal="center" wrapText="1"/>
    </xf>
    <xf numFmtId="2" fontId="24" fillId="27" borderId="17" xfId="0" applyNumberFormat="1" applyFont="1" applyFill="1" applyBorder="1" applyAlignment="1">
      <alignment vertical="center" wrapText="1"/>
    </xf>
    <xf numFmtId="2" fontId="45" fillId="27" borderId="24" xfId="0" applyNumberFormat="1" applyFont="1" applyFill="1" applyBorder="1" applyAlignment="1">
      <alignment horizontal="center" vertical="center" wrapText="1"/>
    </xf>
    <xf numFmtId="0" fontId="24" fillId="27" borderId="29" xfId="0" applyFont="1" applyFill="1" applyBorder="1" applyAlignment="1">
      <alignment wrapText="1"/>
    </xf>
    <xf numFmtId="2" fontId="45" fillId="27" borderId="29" xfId="0" applyNumberFormat="1" applyFont="1" applyFill="1" applyBorder="1" applyAlignment="1">
      <alignment horizontal="center" wrapText="1"/>
    </xf>
    <xf numFmtId="0" fontId="24" fillId="27" borderId="28" xfId="0" applyFont="1" applyFill="1" applyBorder="1" applyAlignment="1">
      <alignment vertical="center" wrapText="1"/>
    </xf>
    <xf numFmtId="0" fontId="45" fillId="27" borderId="30" xfId="0" applyFont="1" applyFill="1" applyBorder="1" applyAlignment="1">
      <alignment horizontal="center" vertical="center" wrapText="1"/>
    </xf>
    <xf numFmtId="0" fontId="45" fillId="27" borderId="29" xfId="0" applyFont="1" applyFill="1" applyBorder="1" applyAlignment="1">
      <alignment horizontal="center" wrapText="1"/>
    </xf>
    <xf numFmtId="2" fontId="45" fillId="27" borderId="94" xfId="0" applyNumberFormat="1" applyFont="1" applyFill="1" applyBorder="1" applyAlignment="1">
      <alignment horizontal="center" wrapText="1"/>
    </xf>
    <xf numFmtId="2" fontId="24" fillId="27" borderId="28" xfId="0" applyNumberFormat="1" applyFont="1" applyFill="1" applyBorder="1" applyAlignment="1">
      <alignment vertical="center" wrapText="1"/>
    </xf>
    <xf numFmtId="2" fontId="45" fillId="27" borderId="30" xfId="0" applyNumberFormat="1" applyFont="1" applyFill="1" applyBorder="1" applyAlignment="1">
      <alignment horizontal="center" vertical="center" wrapText="1"/>
    </xf>
    <xf numFmtId="0" fontId="24" fillId="18" borderId="38" xfId="0" applyFont="1" applyFill="1" applyBorder="1" applyAlignment="1">
      <alignment vertical="center" wrapText="1"/>
    </xf>
    <xf numFmtId="0" fontId="45" fillId="18" borderId="26" xfId="0" applyFont="1" applyFill="1" applyBorder="1" applyAlignment="1">
      <alignment horizontal="center" vertical="center" wrapText="1"/>
    </xf>
    <xf numFmtId="2" fontId="45" fillId="18" borderId="39" xfId="0" applyNumberFormat="1" applyFont="1" applyFill="1" applyBorder="1" applyAlignment="1">
      <alignment horizontal="center" wrapText="1"/>
    </xf>
    <xf numFmtId="2" fontId="24" fillId="18" borderId="38" xfId="0" applyNumberFormat="1" applyFont="1" applyFill="1" applyBorder="1" applyAlignment="1">
      <alignment vertical="center" wrapText="1"/>
    </xf>
    <xf numFmtId="2" fontId="45" fillId="18" borderId="26" xfId="0" applyNumberFormat="1" applyFont="1" applyFill="1" applyBorder="1" applyAlignment="1">
      <alignment horizontal="center" vertical="center" wrapText="1"/>
    </xf>
    <xf numFmtId="0" fontId="45" fillId="18" borderId="30" xfId="0" applyFont="1" applyFill="1" applyBorder="1" applyAlignment="1">
      <alignment horizontal="center" vertical="center" wrapText="1"/>
    </xf>
    <xf numFmtId="2" fontId="45" fillId="18" borderId="94" xfId="0" applyNumberFormat="1" applyFont="1" applyFill="1" applyBorder="1" applyAlignment="1">
      <alignment horizontal="center" wrapText="1"/>
    </xf>
    <xf numFmtId="2" fontId="45" fillId="18" borderId="30" xfId="0" applyNumberFormat="1" applyFont="1" applyFill="1" applyBorder="1" applyAlignment="1">
      <alignment horizontal="center" vertical="center" wrapText="1"/>
    </xf>
    <xf numFmtId="0" fontId="24" fillId="27" borderId="19" xfId="0" applyFont="1" applyFill="1" applyBorder="1" applyAlignment="1">
      <alignment wrapText="1"/>
    </xf>
    <xf numFmtId="2" fontId="45" fillId="27" borderId="19" xfId="0" applyNumberFormat="1" applyFont="1" applyFill="1" applyBorder="1" applyAlignment="1">
      <alignment horizontal="center" wrapText="1"/>
    </xf>
    <xf numFmtId="0" fontId="24" fillId="27" borderId="38" xfId="0" applyFont="1" applyFill="1" applyBorder="1" applyAlignment="1">
      <alignment vertical="center" wrapText="1"/>
    </xf>
    <xf numFmtId="0" fontId="45" fillId="27" borderId="26" xfId="0" applyFont="1" applyFill="1" applyBorder="1" applyAlignment="1">
      <alignment horizontal="center" vertical="center" wrapText="1"/>
    </xf>
    <xf numFmtId="0" fontId="45" fillId="27" borderId="19" xfId="0" applyFont="1" applyFill="1" applyBorder="1" applyAlignment="1">
      <alignment horizontal="center" wrapText="1"/>
    </xf>
    <xf numFmtId="2" fontId="45" fillId="27" borderId="39" xfId="0" applyNumberFormat="1" applyFont="1" applyFill="1" applyBorder="1" applyAlignment="1">
      <alignment horizontal="center" wrapText="1"/>
    </xf>
    <xf numFmtId="2" fontId="24" fillId="27" borderId="38" xfId="0" applyNumberFormat="1" applyFont="1" applyFill="1" applyBorder="1" applyAlignment="1">
      <alignment vertical="center" wrapText="1"/>
    </xf>
    <xf numFmtId="0" fontId="24" fillId="25" borderId="37" xfId="0" applyFont="1" applyFill="1" applyBorder="1" applyAlignment="1">
      <alignment horizontal="left" vertical="center" wrapText="1"/>
    </xf>
    <xf numFmtId="0" fontId="24" fillId="25" borderId="65" xfId="0" applyFont="1" applyFill="1" applyBorder="1"/>
    <xf numFmtId="0" fontId="24" fillId="25" borderId="35" xfId="0" applyFont="1" applyFill="1" applyBorder="1"/>
    <xf numFmtId="0" fontId="24" fillId="25" borderId="51" xfId="0" applyFont="1" applyFill="1" applyBorder="1" applyAlignment="1">
      <alignment horizontal="left" vertical="center" wrapText="1"/>
    </xf>
    <xf numFmtId="0" fontId="24" fillId="25" borderId="0" xfId="0" applyFont="1" applyFill="1" applyBorder="1"/>
    <xf numFmtId="0" fontId="24" fillId="25" borderId="57" xfId="0" applyFont="1" applyFill="1" applyBorder="1"/>
    <xf numFmtId="0" fontId="24" fillId="25" borderId="52" xfId="0" applyFont="1" applyFill="1" applyBorder="1" applyAlignment="1">
      <alignment horizontal="left" vertical="center" wrapText="1"/>
    </xf>
    <xf numFmtId="0" fontId="24" fillId="25" borderId="36" xfId="0" applyFont="1" applyFill="1" applyBorder="1"/>
    <xf numFmtId="0" fontId="24" fillId="25" borderId="40" xfId="0" applyFont="1" applyFill="1" applyBorder="1"/>
    <xf numFmtId="0" fontId="24" fillId="18" borderId="18" xfId="0" applyFont="1" applyFill="1" applyBorder="1" applyAlignment="1">
      <alignment horizontal="left" wrapText="1"/>
    </xf>
    <xf numFmtId="0" fontId="45" fillId="0" borderId="26" xfId="0" applyFont="1" applyFill="1" applyBorder="1" applyAlignment="1">
      <alignment horizontal="center" vertical="center" wrapText="1"/>
    </xf>
    <xf numFmtId="2" fontId="45" fillId="0" borderId="39" xfId="0" applyNumberFormat="1" applyFont="1" applyFill="1" applyBorder="1" applyAlignment="1">
      <alignment horizontal="center" wrapText="1"/>
    </xf>
    <xf numFmtId="2" fontId="24" fillId="0" borderId="38" xfId="0" applyNumberFormat="1" applyFont="1" applyFill="1" applyBorder="1" applyAlignment="1">
      <alignment vertical="center" wrapText="1"/>
    </xf>
    <xf numFmtId="0" fontId="45" fillId="18" borderId="86" xfId="0" applyFont="1" applyFill="1" applyBorder="1" applyAlignment="1">
      <alignment horizontal="center" wrapText="1"/>
    </xf>
    <xf numFmtId="0" fontId="45" fillId="18" borderId="14" xfId="0" applyFont="1" applyFill="1" applyBorder="1" applyAlignment="1">
      <alignment horizontal="center" wrapText="1"/>
    </xf>
    <xf numFmtId="0" fontId="45" fillId="18" borderId="24" xfId="0" applyFont="1" applyFill="1" applyBorder="1" applyAlignment="1">
      <alignment horizontal="center" wrapText="1"/>
    </xf>
    <xf numFmtId="0" fontId="38" fillId="0" borderId="55" xfId="0" applyFont="1" applyBorder="1" applyAlignment="1">
      <alignment horizontal="center"/>
    </xf>
    <xf numFmtId="0" fontId="38" fillId="0" borderId="11" xfId="0" applyFont="1" applyBorder="1"/>
    <xf numFmtId="0" fontId="24" fillId="0" borderId="11" xfId="0" applyFont="1" applyBorder="1"/>
    <xf numFmtId="0" fontId="37" fillId="36" borderId="25" xfId="40" applyFont="1" applyFill="1" applyBorder="1" applyAlignment="1"/>
    <xf numFmtId="0" fontId="38" fillId="36" borderId="13" xfId="0" applyFont="1" applyFill="1" applyBorder="1"/>
    <xf numFmtId="0" fontId="24" fillId="0" borderId="10" xfId="0" applyFont="1" applyBorder="1"/>
    <xf numFmtId="0" fontId="24" fillId="0" borderId="26" xfId="0" applyFont="1" applyBorder="1"/>
    <xf numFmtId="0" fontId="24" fillId="0" borderId="16" xfId="0" applyFont="1" applyBorder="1"/>
    <xf numFmtId="0" fontId="24" fillId="0" borderId="24" xfId="0" applyFont="1" applyBorder="1"/>
    <xf numFmtId="0" fontId="37" fillId="36" borderId="11" xfId="40" applyFont="1" applyFill="1" applyBorder="1" applyAlignment="1"/>
    <xf numFmtId="0" fontId="38" fillId="0" borderId="0" xfId="0" applyFont="1"/>
    <xf numFmtId="0" fontId="38" fillId="0" borderId="98" xfId="0" applyFont="1" applyBorder="1" applyAlignment="1">
      <alignment horizontal="right" wrapText="1"/>
    </xf>
    <xf numFmtId="0" fontId="24" fillId="0" borderId="32" xfId="0" applyFont="1" applyBorder="1" applyAlignment="1">
      <alignment wrapText="1"/>
    </xf>
    <xf numFmtId="0" fontId="24" fillId="40" borderId="16" xfId="0" applyFont="1" applyFill="1" applyBorder="1"/>
    <xf numFmtId="0" fontId="58" fillId="39" borderId="96" xfId="50" applyFont="1" applyBorder="1"/>
    <xf numFmtId="0" fontId="58" fillId="39" borderId="102" xfId="50" applyFont="1" applyBorder="1"/>
    <xf numFmtId="0" fontId="59" fillId="38" borderId="96" xfId="49" applyFont="1" applyBorder="1"/>
    <xf numFmtId="0" fontId="58" fillId="39" borderId="99" xfId="50" applyFont="1" applyBorder="1"/>
    <xf numFmtId="0" fontId="24" fillId="0" borderId="49" xfId="0" applyFont="1" applyFill="1" applyBorder="1"/>
    <xf numFmtId="0" fontId="24" fillId="40" borderId="24" xfId="0" applyFont="1" applyFill="1" applyBorder="1"/>
    <xf numFmtId="0" fontId="59" fillId="38" borderId="100" xfId="49" applyFont="1" applyBorder="1"/>
    <xf numFmtId="0" fontId="24" fillId="0" borderId="38" xfId="0" applyFont="1" applyBorder="1"/>
    <xf numFmtId="0" fontId="24" fillId="0" borderId="59" xfId="0" applyFont="1" applyBorder="1"/>
    <xf numFmtId="0" fontId="24" fillId="0" borderId="50" xfId="0" applyFont="1" applyBorder="1"/>
    <xf numFmtId="0" fontId="24" fillId="0" borderId="36" xfId="0" applyFont="1" applyBorder="1"/>
    <xf numFmtId="0" fontId="24" fillId="0" borderId="40" xfId="0" applyFont="1" applyBorder="1"/>
    <xf numFmtId="0" fontId="24" fillId="0" borderId="26" xfId="0" applyFont="1" applyFill="1" applyBorder="1"/>
    <xf numFmtId="0" fontId="0" fillId="0" borderId="0" xfId="0" applyFill="1" applyBorder="1" applyAlignment="1">
      <alignment horizontal="center"/>
    </xf>
    <xf numFmtId="0" fontId="0" fillId="0" borderId="0" xfId="0" applyBorder="1" applyAlignment="1">
      <alignment horizontal="left"/>
    </xf>
    <xf numFmtId="2" fontId="0" fillId="0" borderId="37" xfId="0" applyNumberFormat="1" applyBorder="1"/>
    <xf numFmtId="2" fontId="0" fillId="0" borderId="51" xfId="0" applyNumberFormat="1" applyBorder="1"/>
    <xf numFmtId="2" fontId="0" fillId="0" borderId="52" xfId="0" applyNumberFormat="1" applyBorder="1"/>
    <xf numFmtId="0" fontId="55" fillId="43" borderId="46" xfId="0" applyFont="1" applyFill="1" applyBorder="1"/>
    <xf numFmtId="2" fontId="40" fillId="0" borderId="37" xfId="0" applyNumberFormat="1" applyFont="1" applyBorder="1"/>
    <xf numFmtId="0" fontId="55" fillId="43" borderId="43" xfId="0" applyFont="1" applyFill="1" applyBorder="1"/>
    <xf numFmtId="2" fontId="40" fillId="0" borderId="51" xfId="0" applyNumberFormat="1" applyFont="1" applyBorder="1"/>
    <xf numFmtId="0" fontId="55" fillId="43" borderId="45" xfId="0" applyFont="1" applyFill="1" applyBorder="1"/>
    <xf numFmtId="2" fontId="40" fillId="0" borderId="52" xfId="0" applyNumberFormat="1" applyFont="1" applyBorder="1"/>
    <xf numFmtId="0" fontId="0" fillId="42" borderId="52" xfId="0" applyFill="1" applyBorder="1"/>
    <xf numFmtId="2" fontId="0" fillId="0" borderId="69" xfId="0" applyNumberFormat="1" applyBorder="1"/>
    <xf numFmtId="0" fontId="0" fillId="42" borderId="94" xfId="0" applyFill="1" applyBorder="1"/>
    <xf numFmtId="0" fontId="50" fillId="34" borderId="70" xfId="0" applyFont="1" applyFill="1" applyBorder="1" applyAlignment="1"/>
    <xf numFmtId="0" fontId="0" fillId="34" borderId="70" xfId="0" applyFill="1" applyBorder="1" applyAlignment="1"/>
    <xf numFmtId="0" fontId="0" fillId="34" borderId="89" xfId="0" applyFill="1" applyBorder="1" applyAlignment="1"/>
    <xf numFmtId="0" fontId="0" fillId="42" borderId="66" xfId="0" applyFill="1" applyBorder="1"/>
    <xf numFmtId="0" fontId="0" fillId="0" borderId="63" xfId="0" applyFill="1" applyBorder="1"/>
    <xf numFmtId="0" fontId="38" fillId="0" borderId="35" xfId="0" applyFont="1" applyBorder="1" applyAlignment="1">
      <alignment horizontal="center" vertical="center" wrapText="1"/>
    </xf>
    <xf numFmtId="0" fontId="38" fillId="0" borderId="54" xfId="0" applyFont="1" applyBorder="1" applyAlignment="1">
      <alignment vertical="center" wrapText="1"/>
    </xf>
    <xf numFmtId="0" fontId="38" fillId="0" borderId="55" xfId="0" applyFont="1" applyBorder="1" applyAlignment="1">
      <alignment vertical="center" wrapText="1"/>
    </xf>
    <xf numFmtId="1" fontId="0" fillId="0" borderId="42" xfId="0" applyNumberFormat="1" applyBorder="1" applyAlignment="1">
      <alignment horizontal="center"/>
    </xf>
    <xf numFmtId="1" fontId="0" fillId="0" borderId="39" xfId="0" applyNumberFormat="1" applyBorder="1" applyAlignment="1">
      <alignment horizontal="center"/>
    </xf>
    <xf numFmtId="1" fontId="0" fillId="0" borderId="26" xfId="0" applyNumberFormat="1" applyBorder="1" applyAlignment="1">
      <alignment horizontal="center"/>
    </xf>
    <xf numFmtId="0" fontId="1" fillId="0" borderId="17" xfId="0" applyFont="1" applyFill="1" applyBorder="1" applyAlignment="1"/>
    <xf numFmtId="0" fontId="0" fillId="0" borderId="18" xfId="0" applyBorder="1"/>
    <xf numFmtId="2" fontId="0" fillId="0" borderId="0" xfId="0" applyNumberFormat="1" applyFont="1" applyFill="1" applyBorder="1" applyAlignment="1">
      <alignment wrapText="1"/>
    </xf>
    <xf numFmtId="0" fontId="0" fillId="42" borderId="39" xfId="0" applyFill="1" applyBorder="1"/>
    <xf numFmtId="0" fontId="38" fillId="0" borderId="71" xfId="0" applyFont="1" applyBorder="1" applyAlignment="1">
      <alignment vertical="center" wrapText="1"/>
    </xf>
    <xf numFmtId="0" fontId="38" fillId="0" borderId="27" xfId="0" applyFont="1" applyBorder="1" applyAlignment="1">
      <alignment vertical="center" wrapText="1"/>
    </xf>
    <xf numFmtId="0" fontId="38" fillId="0" borderId="66" xfId="0" applyFont="1" applyBorder="1" applyAlignment="1">
      <alignment vertical="center" wrapText="1"/>
    </xf>
    <xf numFmtId="0" fontId="45" fillId="0" borderId="0" xfId="0" applyFont="1" applyFill="1" applyBorder="1" applyAlignment="1">
      <alignment horizontal="left" vertical="center" wrapText="1"/>
    </xf>
    <xf numFmtId="0" fontId="0" fillId="34" borderId="70" xfId="0" applyFill="1" applyBorder="1" applyAlignment="1">
      <alignment horizontal="left"/>
    </xf>
    <xf numFmtId="0" fontId="38" fillId="0" borderId="65" xfId="0" applyFont="1" applyBorder="1" applyAlignment="1">
      <alignment vertical="center" wrapText="1"/>
    </xf>
    <xf numFmtId="0" fontId="20" fillId="0" borderId="20" xfId="0" applyFont="1" applyFill="1" applyBorder="1" applyAlignment="1">
      <alignment horizontal="left" vertical="center" wrapText="1"/>
    </xf>
    <xf numFmtId="2" fontId="0" fillId="0" borderId="15" xfId="0" applyNumberFormat="1" applyFill="1" applyBorder="1" applyAlignment="1">
      <alignment horizontal="left" vertical="center" wrapText="1"/>
    </xf>
    <xf numFmtId="0" fontId="45" fillId="0" borderId="15" xfId="0" applyFont="1" applyFill="1" applyBorder="1" applyAlignment="1">
      <alignment horizontal="left" vertical="center" wrapText="1"/>
    </xf>
    <xf numFmtId="0" fontId="45" fillId="0" borderId="17" xfId="0" applyFont="1" applyFill="1" applyBorder="1" applyAlignment="1">
      <alignment horizontal="left" vertical="center" wrapText="1"/>
    </xf>
    <xf numFmtId="0" fontId="0" fillId="0" borderId="71" xfId="0" applyBorder="1" applyAlignment="1">
      <alignment horizontal="left"/>
    </xf>
    <xf numFmtId="2" fontId="38" fillId="0" borderId="13" xfId="0" applyNumberFormat="1" applyFont="1" applyBorder="1" applyAlignment="1">
      <alignment vertical="center" wrapText="1"/>
    </xf>
    <xf numFmtId="0" fontId="38" fillId="0" borderId="12" xfId="0" applyFont="1" applyBorder="1" applyAlignment="1">
      <alignment vertical="center"/>
    </xf>
    <xf numFmtId="0" fontId="38" fillId="0" borderId="31" xfId="0" applyFont="1" applyBorder="1" applyAlignment="1">
      <alignment vertical="center"/>
    </xf>
    <xf numFmtId="0" fontId="20" fillId="0" borderId="11" xfId="0" applyFont="1" applyFill="1" applyBorder="1" applyAlignment="1">
      <alignment horizontal="left" vertical="center" wrapText="1"/>
    </xf>
    <xf numFmtId="0" fontId="20" fillId="0" borderId="12" xfId="0" applyFont="1" applyFill="1" applyBorder="1" applyAlignment="1">
      <alignment vertical="center" wrapText="1"/>
    </xf>
    <xf numFmtId="0" fontId="20" fillId="0" borderId="13" xfId="0" applyFont="1" applyFill="1" applyBorder="1" applyAlignment="1">
      <alignment vertical="center" wrapText="1"/>
    </xf>
    <xf numFmtId="0" fontId="1" fillId="0" borderId="38" xfId="0" applyFont="1" applyFill="1" applyBorder="1" applyAlignment="1"/>
    <xf numFmtId="0" fontId="45" fillId="0" borderId="19" xfId="0" applyFont="1" applyFill="1" applyBorder="1" applyAlignment="1">
      <alignment horizontal="center" vertical="center" wrapText="1"/>
    </xf>
    <xf numFmtId="0" fontId="45" fillId="0" borderId="27" xfId="0" applyFont="1" applyFill="1" applyBorder="1" applyAlignment="1">
      <alignment horizontal="center" vertical="center" wrapText="1"/>
    </xf>
    <xf numFmtId="0" fontId="45" fillId="0" borderId="39" xfId="0" applyFont="1" applyFill="1" applyBorder="1" applyAlignment="1">
      <alignment horizontal="center" vertical="center" wrapText="1"/>
    </xf>
    <xf numFmtId="2" fontId="21" fillId="33" borderId="19" xfId="0" applyNumberFormat="1" applyFont="1" applyFill="1" applyBorder="1" applyAlignment="1">
      <alignment horizontal="center" vertical="center" wrapText="1"/>
    </xf>
    <xf numFmtId="2" fontId="21" fillId="33" borderId="26" xfId="0" applyNumberFormat="1" applyFont="1" applyFill="1" applyBorder="1" applyAlignment="1">
      <alignment horizontal="center" vertical="center" wrapText="1"/>
    </xf>
    <xf numFmtId="0" fontId="45" fillId="0" borderId="34" xfId="0" applyFont="1" applyFill="1" applyBorder="1" applyAlignment="1">
      <alignment horizontal="center" vertical="center" wrapText="1"/>
    </xf>
    <xf numFmtId="2" fontId="0" fillId="0" borderId="0" xfId="0" applyNumberFormat="1" applyFill="1" applyBorder="1" applyAlignment="1">
      <alignment horizontal="left" vertical="center" wrapText="1"/>
    </xf>
    <xf numFmtId="2" fontId="21" fillId="0" borderId="0" xfId="0" applyNumberFormat="1" applyFont="1" applyFill="1" applyBorder="1" applyAlignment="1">
      <alignment horizontal="center" vertical="center" wrapText="1"/>
    </xf>
    <xf numFmtId="0" fontId="0" fillId="0" borderId="63" xfId="0" applyBorder="1"/>
    <xf numFmtId="0" fontId="24" fillId="0" borderId="15" xfId="0" applyFont="1" applyBorder="1" applyAlignment="1">
      <alignment vertical="center" wrapText="1"/>
    </xf>
    <xf numFmtId="0" fontId="38" fillId="0" borderId="16" xfId="0" applyFont="1" applyBorder="1" applyAlignment="1">
      <alignment vertical="center" wrapText="1"/>
    </xf>
    <xf numFmtId="0" fontId="38" fillId="0" borderId="76" xfId="0" applyFont="1" applyBorder="1" applyAlignment="1">
      <alignment vertical="center" wrapText="1"/>
    </xf>
    <xf numFmtId="0" fontId="20" fillId="0" borderId="28" xfId="0" applyFont="1" applyFill="1" applyBorder="1" applyAlignment="1">
      <alignment horizontal="left" vertical="center" wrapText="1"/>
    </xf>
    <xf numFmtId="2" fontId="24" fillId="0" borderId="16" xfId="0" applyNumberFormat="1" applyFont="1" applyFill="1" applyBorder="1" applyAlignment="1">
      <alignment horizontal="center" vertical="center" wrapText="1"/>
    </xf>
    <xf numFmtId="2" fontId="24" fillId="0" borderId="14" xfId="0" applyNumberFormat="1" applyFont="1" applyFill="1" applyBorder="1" applyAlignment="1">
      <alignment horizontal="center" vertical="center" wrapText="1"/>
    </xf>
    <xf numFmtId="0" fontId="1" fillId="0" borderId="29" xfId="0" applyFont="1" applyFill="1" applyBorder="1"/>
    <xf numFmtId="2" fontId="21" fillId="0" borderId="64" xfId="0" applyNumberFormat="1" applyFont="1" applyFill="1" applyBorder="1" applyAlignment="1">
      <alignment horizontal="center" wrapText="1"/>
    </xf>
    <xf numFmtId="2" fontId="45" fillId="0" borderId="62" xfId="0" applyNumberFormat="1" applyFont="1" applyFill="1" applyBorder="1" applyAlignment="1">
      <alignment horizontal="center" vertical="center" wrapText="1"/>
    </xf>
    <xf numFmtId="0" fontId="38" fillId="0" borderId="28" xfId="0" applyFont="1" applyBorder="1" applyAlignment="1">
      <alignment vertical="center" wrapText="1"/>
    </xf>
    <xf numFmtId="0" fontId="45" fillId="0" borderId="29" xfId="0" applyFont="1" applyFill="1" applyBorder="1" applyAlignment="1">
      <alignment horizontal="center" vertical="center" wrapText="1"/>
    </xf>
    <xf numFmtId="0" fontId="45" fillId="0" borderId="89" xfId="0" applyFont="1" applyFill="1" applyBorder="1" applyAlignment="1">
      <alignment horizontal="center" vertical="center" wrapText="1"/>
    </xf>
    <xf numFmtId="2" fontId="24" fillId="0" borderId="29" xfId="0" applyNumberFormat="1" applyFont="1" applyFill="1" applyBorder="1" applyAlignment="1">
      <alignment horizontal="center" vertical="center" wrapText="1"/>
    </xf>
    <xf numFmtId="2" fontId="24" fillId="0" borderId="30" xfId="0" applyNumberFormat="1" applyFont="1" applyFill="1" applyBorder="1" applyAlignment="1">
      <alignment horizontal="center" vertical="center" wrapText="1"/>
    </xf>
    <xf numFmtId="0" fontId="24" fillId="0" borderId="15" xfId="0" applyFont="1" applyFill="1" applyBorder="1" applyAlignment="1">
      <alignment horizontal="left" vertical="center" wrapText="1"/>
    </xf>
    <xf numFmtId="0" fontId="56" fillId="0" borderId="0" xfId="0" applyFont="1" applyFill="1" applyBorder="1"/>
    <xf numFmtId="0" fontId="50" fillId="34" borderId="70" xfId="0" applyFont="1" applyFill="1" applyBorder="1" applyAlignment="1">
      <alignment horizontal="left"/>
    </xf>
    <xf numFmtId="0" fontId="50" fillId="34" borderId="89" xfId="0" applyFont="1" applyFill="1" applyBorder="1" applyAlignment="1"/>
    <xf numFmtId="0" fontId="24" fillId="0" borderId="17" xfId="0" applyFont="1" applyBorder="1" applyAlignment="1">
      <alignment vertical="center" wrapText="1"/>
    </xf>
    <xf numFmtId="0" fontId="24" fillId="0" borderId="17" xfId="0" applyFont="1" applyFill="1" applyBorder="1" applyAlignment="1">
      <alignment horizontal="left" vertical="center" wrapText="1"/>
    </xf>
    <xf numFmtId="2" fontId="24" fillId="0" borderId="18" xfId="0" applyNumberFormat="1" applyFont="1" applyFill="1" applyBorder="1" applyAlignment="1">
      <alignment horizontal="center" vertical="center" wrapText="1"/>
    </xf>
    <xf numFmtId="2" fontId="24" fillId="0" borderId="24" xfId="0" applyNumberFormat="1" applyFont="1" applyFill="1" applyBorder="1" applyAlignment="1">
      <alignment horizontal="center" vertical="center" wrapText="1"/>
    </xf>
    <xf numFmtId="0" fontId="24" fillId="0" borderId="0" xfId="0" applyFont="1" applyBorder="1" applyAlignment="1">
      <alignment vertical="center" wrapText="1"/>
    </xf>
    <xf numFmtId="0" fontId="27" fillId="41" borderId="20" xfId="0" applyFont="1" applyFill="1" applyBorder="1"/>
    <xf numFmtId="0" fontId="51" fillId="42" borderId="65" xfId="0" applyFont="1" applyFill="1" applyBorder="1" applyAlignment="1">
      <alignment horizontal="center"/>
    </xf>
    <xf numFmtId="0" fontId="54" fillId="43" borderId="23" xfId="0" applyFont="1" applyFill="1" applyBorder="1"/>
    <xf numFmtId="0" fontId="54" fillId="43" borderId="15" xfId="0" applyFont="1" applyFill="1" applyBorder="1"/>
    <xf numFmtId="0" fontId="54" fillId="43" borderId="17" xfId="0" applyFont="1" applyFill="1" applyBorder="1"/>
    <xf numFmtId="0" fontId="52" fillId="34" borderId="11" xfId="0" applyFont="1" applyFill="1" applyBorder="1"/>
    <xf numFmtId="1" fontId="0" fillId="0" borderId="68" xfId="0" applyNumberFormat="1" applyFill="1" applyBorder="1" applyAlignment="1">
      <alignment horizontal="center"/>
    </xf>
    <xf numFmtId="2" fontId="0" fillId="0" borderId="51" xfId="0" applyNumberFormat="1" applyFill="1" applyBorder="1"/>
    <xf numFmtId="2" fontId="0" fillId="0" borderId="52" xfId="0" applyNumberFormat="1" applyFill="1" applyBorder="1"/>
    <xf numFmtId="2" fontId="0" fillId="0" borderId="23" xfId="0" applyNumberFormat="1" applyBorder="1"/>
    <xf numFmtId="2" fontId="0" fillId="0" borderId="85" xfId="0" applyNumberFormat="1" applyBorder="1"/>
    <xf numFmtId="2" fontId="0" fillId="0" borderId="15" xfId="0" applyNumberFormat="1" applyBorder="1"/>
    <xf numFmtId="2" fontId="0" fillId="0" borderId="87" xfId="0" applyNumberFormat="1" applyBorder="1"/>
    <xf numFmtId="2" fontId="24" fillId="18" borderId="10" xfId="0" applyNumberFormat="1" applyFont="1" applyFill="1" applyBorder="1" applyAlignment="1">
      <alignment wrapText="1"/>
    </xf>
    <xf numFmtId="2" fontId="24" fillId="18" borderId="10" xfId="0" applyNumberFormat="1" applyFont="1" applyFill="1" applyBorder="1" applyAlignment="1"/>
    <xf numFmtId="2" fontId="45" fillId="18" borderId="86" xfId="0" applyNumberFormat="1" applyFont="1" applyFill="1" applyBorder="1" applyAlignment="1">
      <alignment horizontal="center" wrapText="1"/>
    </xf>
    <xf numFmtId="2" fontId="24" fillId="18" borderId="18" xfId="0" applyNumberFormat="1" applyFont="1" applyFill="1" applyBorder="1" applyAlignment="1">
      <alignment wrapText="1"/>
    </xf>
    <xf numFmtId="2" fontId="24" fillId="18" borderId="18" xfId="0" applyNumberFormat="1" applyFont="1" applyFill="1" applyBorder="1" applyAlignment="1"/>
    <xf numFmtId="2" fontId="45" fillId="18" borderId="24" xfId="0" applyNumberFormat="1" applyFont="1" applyFill="1" applyBorder="1" applyAlignment="1">
      <alignment horizontal="center" wrapText="1"/>
    </xf>
    <xf numFmtId="2" fontId="45" fillId="0" borderId="0" xfId="0" applyNumberFormat="1" applyFont="1" applyFill="1" applyBorder="1" applyAlignment="1">
      <alignment horizontal="center" wrapText="1"/>
    </xf>
    <xf numFmtId="0" fontId="24" fillId="33" borderId="60" xfId="0" applyFont="1" applyFill="1" applyBorder="1" applyAlignment="1">
      <alignment wrapText="1"/>
    </xf>
    <xf numFmtId="1" fontId="0" fillId="0" borderId="68" xfId="0" applyNumberFormat="1" applyBorder="1" applyAlignment="1">
      <alignment horizontal="center"/>
    </xf>
    <xf numFmtId="1" fontId="0" fillId="0" borderId="72" xfId="0" applyNumberFormat="1" applyBorder="1" applyAlignment="1">
      <alignment horizontal="center"/>
    </xf>
    <xf numFmtId="2" fontId="38" fillId="0" borderId="32" xfId="0" applyNumberFormat="1" applyFont="1" applyBorder="1"/>
    <xf numFmtId="2" fontId="0" fillId="0" borderId="47" xfId="0" applyNumberFormat="1" applyBorder="1"/>
    <xf numFmtId="2" fontId="0" fillId="0" borderId="42" xfId="0" applyNumberFormat="1" applyBorder="1"/>
    <xf numFmtId="0" fontId="38" fillId="0" borderId="13" xfId="0" applyFont="1" applyBorder="1" applyAlignment="1">
      <alignment horizontal="center" vertical="center" wrapText="1"/>
    </xf>
    <xf numFmtId="0" fontId="38" fillId="0" borderId="65" xfId="0" applyFont="1" applyBorder="1" applyAlignment="1">
      <alignment horizontal="left" vertical="center" wrapText="1"/>
    </xf>
    <xf numFmtId="0" fontId="38" fillId="0" borderId="65" xfId="0" applyFont="1" applyBorder="1" applyAlignment="1">
      <alignment horizontal="center" vertical="center" wrapText="1"/>
    </xf>
    <xf numFmtId="2" fontId="38" fillId="0" borderId="65" xfId="0" applyNumberFormat="1" applyFont="1" applyBorder="1" applyAlignment="1">
      <alignment vertical="center" wrapText="1"/>
    </xf>
    <xf numFmtId="0" fontId="24" fillId="27" borderId="37" xfId="0" applyFont="1" applyFill="1" applyBorder="1" applyAlignment="1">
      <alignment vertical="center" wrapText="1"/>
    </xf>
    <xf numFmtId="0" fontId="38" fillId="27" borderId="65" xfId="0" applyFont="1" applyFill="1" applyBorder="1" applyAlignment="1">
      <alignment vertical="center" wrapText="1"/>
    </xf>
    <xf numFmtId="0" fontId="38" fillId="27" borderId="35" xfId="0" applyFont="1" applyFill="1" applyBorder="1" applyAlignment="1">
      <alignment vertical="center" wrapText="1"/>
    </xf>
    <xf numFmtId="0" fontId="24" fillId="27" borderId="51" xfId="0" applyFont="1" applyFill="1" applyBorder="1" applyAlignment="1">
      <alignment vertical="center" wrapText="1"/>
    </xf>
    <xf numFmtId="0" fontId="38" fillId="27" borderId="0" xfId="0" applyFont="1" applyFill="1" applyBorder="1" applyAlignment="1">
      <alignment horizontal="left" vertical="center" wrapText="1"/>
    </xf>
    <xf numFmtId="0" fontId="38" fillId="27" borderId="0" xfId="0" applyFont="1" applyFill="1" applyBorder="1" applyAlignment="1">
      <alignment vertical="center" wrapText="1"/>
    </xf>
    <xf numFmtId="0" fontId="38" fillId="27" borderId="0" xfId="0" applyFont="1" applyFill="1" applyBorder="1" applyAlignment="1">
      <alignment horizontal="center" vertical="center" wrapText="1"/>
    </xf>
    <xf numFmtId="2" fontId="38" fillId="27" borderId="0" xfId="0" applyNumberFormat="1" applyFont="1" applyFill="1" applyBorder="1" applyAlignment="1">
      <alignment vertical="center" wrapText="1"/>
    </xf>
    <xf numFmtId="0" fontId="38" fillId="27" borderId="57" xfId="0" applyFont="1" applyFill="1" applyBorder="1" applyAlignment="1">
      <alignment vertical="center" wrapText="1"/>
    </xf>
    <xf numFmtId="0" fontId="24" fillId="27" borderId="51" xfId="0" applyFont="1" applyFill="1" applyBorder="1" applyAlignment="1">
      <alignment vertical="center"/>
    </xf>
    <xf numFmtId="0" fontId="24" fillId="27" borderId="0" xfId="0" applyFont="1" applyFill="1" applyBorder="1" applyAlignment="1">
      <alignment horizontal="left" vertical="center" wrapText="1"/>
    </xf>
    <xf numFmtId="0" fontId="24" fillId="27" borderId="0" xfId="0" applyFont="1" applyFill="1" applyBorder="1" applyAlignment="1">
      <alignment vertical="center" wrapText="1"/>
    </xf>
    <xf numFmtId="2" fontId="45" fillId="27" borderId="0" xfId="0" applyNumberFormat="1" applyFont="1" applyFill="1" applyBorder="1" applyAlignment="1">
      <alignment horizontal="center" vertical="center" wrapText="1"/>
    </xf>
    <xf numFmtId="0" fontId="45" fillId="27" borderId="0" xfId="0" applyFont="1" applyFill="1" applyBorder="1" applyAlignment="1">
      <alignment horizontal="center" vertical="center" wrapText="1"/>
    </xf>
    <xf numFmtId="2" fontId="24" fillId="27" borderId="0" xfId="0" applyNumberFormat="1" applyFont="1" applyFill="1" applyBorder="1" applyAlignment="1">
      <alignment vertical="center" wrapText="1"/>
    </xf>
    <xf numFmtId="2" fontId="45" fillId="27" borderId="57" xfId="0" applyNumberFormat="1" applyFont="1" applyFill="1" applyBorder="1" applyAlignment="1">
      <alignment horizontal="center" vertical="center" wrapText="1"/>
    </xf>
    <xf numFmtId="0" fontId="24" fillId="27" borderId="52" xfId="0" applyFont="1" applyFill="1" applyBorder="1" applyAlignment="1">
      <alignment vertical="center"/>
    </xf>
    <xf numFmtId="0" fontId="24" fillId="27" borderId="36" xfId="0" applyFont="1" applyFill="1" applyBorder="1" applyAlignment="1">
      <alignment horizontal="left" vertical="center" wrapText="1"/>
    </xf>
    <xf numFmtId="0" fontId="24" fillId="27" borderId="36" xfId="0" applyFont="1" applyFill="1" applyBorder="1" applyAlignment="1">
      <alignment vertical="center" wrapText="1"/>
    </xf>
    <xf numFmtId="2" fontId="45" fillId="27" borderId="36" xfId="0" applyNumberFormat="1" applyFont="1" applyFill="1" applyBorder="1" applyAlignment="1">
      <alignment horizontal="center" vertical="center" wrapText="1"/>
    </xf>
    <xf numFmtId="0" fontId="45" fillId="27" borderId="36" xfId="0" applyFont="1" applyFill="1" applyBorder="1" applyAlignment="1">
      <alignment horizontal="center" vertical="center" wrapText="1"/>
    </xf>
    <xf numFmtId="2" fontId="24" fillId="27" borderId="36" xfId="0" applyNumberFormat="1" applyFont="1" applyFill="1" applyBorder="1" applyAlignment="1">
      <alignment vertical="center" wrapText="1"/>
    </xf>
    <xf numFmtId="2" fontId="45" fillId="27" borderId="40" xfId="0" applyNumberFormat="1" applyFont="1" applyFill="1" applyBorder="1" applyAlignment="1">
      <alignment horizontal="center" vertical="center" wrapText="1"/>
    </xf>
    <xf numFmtId="0" fontId="38" fillId="0" borderId="0" xfId="0" applyFont="1" applyBorder="1" applyAlignment="1">
      <alignment horizontal="left" vertical="center" wrapText="1"/>
    </xf>
    <xf numFmtId="2" fontId="38" fillId="0" borderId="0" xfId="0" applyNumberFormat="1" applyFont="1" applyBorder="1" applyAlignment="1">
      <alignment vertical="center" wrapText="1"/>
    </xf>
    <xf numFmtId="0" fontId="38" fillId="0" borderId="57" xfId="0" applyFont="1" applyBorder="1" applyAlignment="1">
      <alignment vertical="center" wrapText="1"/>
    </xf>
    <xf numFmtId="0" fontId="38" fillId="44" borderId="0" xfId="0" applyFont="1" applyFill="1" applyBorder="1" applyAlignment="1">
      <alignment horizontal="left" vertical="center" wrapText="1"/>
    </xf>
    <xf numFmtId="0" fontId="38" fillId="44" borderId="0" xfId="0" applyFont="1" applyFill="1" applyBorder="1" applyAlignment="1">
      <alignment horizontal="center" vertical="center" wrapText="1"/>
    </xf>
    <xf numFmtId="2" fontId="45" fillId="18" borderId="21" xfId="0" applyNumberFormat="1" applyFont="1" applyFill="1" applyBorder="1" applyAlignment="1">
      <alignment horizontal="center" wrapText="1"/>
    </xf>
    <xf numFmtId="0" fontId="24" fillId="44" borderId="36" xfId="0" applyFont="1" applyFill="1" applyBorder="1" applyAlignment="1">
      <alignment horizontal="left" vertical="center" wrapText="1"/>
    </xf>
    <xf numFmtId="0" fontId="24" fillId="44" borderId="36" xfId="0" applyFont="1" applyFill="1" applyBorder="1" applyAlignment="1">
      <alignment horizontal="center" vertical="center"/>
    </xf>
    <xf numFmtId="0" fontId="38" fillId="33" borderId="0" xfId="0" applyFont="1" applyFill="1" applyBorder="1" applyAlignment="1">
      <alignment horizontal="left" vertical="center" wrapText="1"/>
    </xf>
    <xf numFmtId="0" fontId="38" fillId="33" borderId="0" xfId="0" applyFont="1" applyFill="1" applyBorder="1" applyAlignment="1">
      <alignment horizontal="center" vertical="center" wrapText="1"/>
    </xf>
    <xf numFmtId="0" fontId="24" fillId="33" borderId="0" xfId="0" applyFont="1" applyFill="1" applyBorder="1" applyAlignment="1">
      <alignment horizontal="left" vertical="center" wrapText="1"/>
    </xf>
    <xf numFmtId="0" fontId="24" fillId="33" borderId="0" xfId="0" applyFont="1" applyFill="1" applyBorder="1" applyAlignment="1">
      <alignment horizontal="center" vertical="center"/>
    </xf>
    <xf numFmtId="0" fontId="38" fillId="45" borderId="0" xfId="0" applyFont="1" applyFill="1" applyBorder="1" applyAlignment="1">
      <alignment horizontal="left" vertical="center" wrapText="1"/>
    </xf>
    <xf numFmtId="0" fontId="38" fillId="45" borderId="0" xfId="0" applyFont="1" applyFill="1" applyBorder="1" applyAlignment="1">
      <alignment horizontal="center" vertical="center" wrapText="1"/>
    </xf>
    <xf numFmtId="0" fontId="24" fillId="45" borderId="0" xfId="0" applyFont="1" applyFill="1" applyBorder="1" applyAlignment="1">
      <alignment horizontal="left" vertical="center" wrapText="1"/>
    </xf>
    <xf numFmtId="0" fontId="24" fillId="45" borderId="0" xfId="0" applyFont="1" applyFill="1" applyBorder="1" applyAlignment="1">
      <alignment horizontal="center" vertical="center"/>
    </xf>
    <xf numFmtId="0" fontId="38" fillId="24" borderId="0" xfId="0" applyFont="1" applyFill="1" applyBorder="1" applyAlignment="1">
      <alignment horizontal="left" vertical="center" wrapText="1"/>
    </xf>
    <xf numFmtId="0" fontId="38" fillId="24" borderId="0" xfId="0" applyFont="1" applyFill="1" applyBorder="1" applyAlignment="1">
      <alignment horizontal="center" vertical="center" wrapText="1"/>
    </xf>
    <xf numFmtId="0" fontId="24" fillId="24" borderId="0" xfId="0" applyFont="1" applyFill="1" applyBorder="1" applyAlignment="1">
      <alignment horizontal="left" vertical="center" wrapText="1"/>
    </xf>
    <xf numFmtId="0" fontId="24" fillId="24" borderId="0" xfId="0" applyFont="1" applyFill="1" applyBorder="1" applyAlignment="1">
      <alignment horizontal="center" vertical="center"/>
    </xf>
    <xf numFmtId="0" fontId="38" fillId="32" borderId="0" xfId="0" applyFont="1" applyFill="1" applyBorder="1" applyAlignment="1">
      <alignment horizontal="left" vertical="center" wrapText="1"/>
    </xf>
    <xf numFmtId="0" fontId="38" fillId="32" borderId="0" xfId="0" applyFont="1" applyFill="1" applyBorder="1" applyAlignment="1">
      <alignment horizontal="center" vertical="center" wrapText="1"/>
    </xf>
    <xf numFmtId="0" fontId="24" fillId="32" borderId="36" xfId="0" applyFont="1" applyFill="1" applyBorder="1" applyAlignment="1">
      <alignment horizontal="left" vertical="center" wrapText="1"/>
    </xf>
    <xf numFmtId="0" fontId="24" fillId="32" borderId="36" xfId="0" applyFont="1" applyFill="1" applyBorder="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wrapText="1"/>
    </xf>
    <xf numFmtId="0" fontId="38" fillId="0" borderId="36" xfId="0" applyFont="1" applyBorder="1" applyAlignment="1">
      <alignment vertical="center" wrapText="1"/>
    </xf>
    <xf numFmtId="0" fontId="24" fillId="0" borderId="36" xfId="0" applyFont="1" applyBorder="1" applyAlignment="1">
      <alignment wrapText="1"/>
    </xf>
    <xf numFmtId="0" fontId="20" fillId="0" borderId="53" xfId="0" applyFont="1" applyBorder="1" applyAlignment="1">
      <alignment horizontal="center"/>
    </xf>
    <xf numFmtId="0" fontId="38" fillId="0" borderId="22" xfId="0" applyFont="1" applyBorder="1" applyAlignment="1">
      <alignment horizontal="center" vertical="center" wrapText="1"/>
    </xf>
    <xf numFmtId="0" fontId="24" fillId="0" borderId="32" xfId="0" applyFont="1" applyFill="1" applyBorder="1" applyAlignment="1">
      <alignment vertical="center" wrapText="1"/>
    </xf>
    <xf numFmtId="2" fontId="45" fillId="0" borderId="21" xfId="0" applyNumberFormat="1" applyFont="1" applyFill="1" applyBorder="1" applyAlignment="1">
      <alignment horizontal="center" vertical="center" wrapText="1"/>
    </xf>
    <xf numFmtId="2" fontId="24" fillId="0" borderId="91" xfId="0" applyNumberFormat="1" applyFont="1" applyFill="1" applyBorder="1" applyAlignment="1">
      <alignment vertical="center" wrapText="1"/>
    </xf>
    <xf numFmtId="0" fontId="24" fillId="0" borderId="33" xfId="0" applyFont="1" applyFill="1" applyBorder="1" applyAlignment="1">
      <alignment vertical="center" wrapText="1"/>
    </xf>
    <xf numFmtId="2" fontId="24" fillId="0" borderId="89" xfId="0" applyNumberFormat="1" applyFont="1" applyFill="1" applyBorder="1" applyAlignment="1">
      <alignment vertical="center" wrapText="1"/>
    </xf>
    <xf numFmtId="0" fontId="24" fillId="0" borderId="89" xfId="0" applyFont="1" applyFill="1" applyBorder="1" applyAlignment="1">
      <alignment vertical="center" wrapText="1"/>
    </xf>
    <xf numFmtId="2" fontId="24" fillId="0" borderId="87" xfId="0" applyNumberFormat="1" applyFont="1" applyFill="1" applyBorder="1" applyAlignment="1">
      <alignment vertical="center" wrapText="1"/>
    </xf>
    <xf numFmtId="0" fontId="24" fillId="0" borderId="34" xfId="0" applyFont="1" applyFill="1" applyBorder="1" applyAlignment="1">
      <alignment vertical="center" wrapText="1"/>
    </xf>
    <xf numFmtId="2" fontId="24" fillId="0" borderId="95" xfId="0" applyNumberFormat="1" applyFont="1" applyFill="1" applyBorder="1" applyAlignment="1">
      <alignment vertical="center" wrapText="1"/>
    </xf>
    <xf numFmtId="0" fontId="24" fillId="48" borderId="63" xfId="0" applyFont="1" applyFill="1" applyBorder="1" applyAlignment="1">
      <alignment vertical="center" wrapText="1"/>
    </xf>
    <xf numFmtId="0" fontId="24" fillId="48" borderId="66" xfId="0" applyFont="1" applyFill="1" applyBorder="1" applyAlignment="1">
      <alignment vertical="center" wrapText="1"/>
    </xf>
    <xf numFmtId="2" fontId="45" fillId="48" borderId="64" xfId="0" applyNumberFormat="1" applyFont="1" applyFill="1" applyBorder="1" applyAlignment="1">
      <alignment horizontal="center" wrapText="1"/>
    </xf>
    <xf numFmtId="2" fontId="45" fillId="48" borderId="64" xfId="0" applyNumberFormat="1" applyFont="1" applyFill="1" applyBorder="1" applyAlignment="1">
      <alignment horizontal="center" vertical="center" wrapText="1"/>
    </xf>
    <xf numFmtId="0" fontId="24" fillId="48" borderId="64" xfId="0" applyFont="1" applyFill="1" applyBorder="1" applyAlignment="1">
      <alignment vertical="center" wrapText="1"/>
    </xf>
    <xf numFmtId="0" fontId="45" fillId="48" borderId="64" xfId="0" applyFont="1" applyFill="1" applyBorder="1" applyAlignment="1">
      <alignment horizontal="center" vertical="center" wrapText="1"/>
    </xf>
    <xf numFmtId="2" fontId="24" fillId="48" borderId="63" xfId="0" applyNumberFormat="1" applyFont="1" applyFill="1" applyBorder="1" applyAlignment="1">
      <alignment vertical="center" wrapText="1"/>
    </xf>
    <xf numFmtId="0" fontId="24" fillId="48" borderId="16" xfId="0" applyFont="1" applyFill="1" applyBorder="1" applyAlignment="1">
      <alignment vertical="center" wrapText="1"/>
    </xf>
    <xf numFmtId="0" fontId="24" fillId="48" borderId="33" xfId="0" applyFont="1" applyFill="1" applyBorder="1" applyAlignment="1">
      <alignment vertical="center" wrapText="1"/>
    </xf>
    <xf numFmtId="2" fontId="45" fillId="48" borderId="16" xfId="0" applyNumberFormat="1" applyFont="1" applyFill="1" applyBorder="1" applyAlignment="1">
      <alignment horizontal="center" wrapText="1"/>
    </xf>
    <xf numFmtId="0" fontId="24" fillId="48" borderId="87" xfId="0" applyFont="1" applyFill="1" applyBorder="1" applyAlignment="1">
      <alignment vertical="center" wrapText="1"/>
    </xf>
    <xf numFmtId="2" fontId="45" fillId="48" borderId="16" xfId="0" applyNumberFormat="1" applyFont="1" applyFill="1" applyBorder="1" applyAlignment="1">
      <alignment horizontal="center" vertical="center" wrapText="1"/>
    </xf>
    <xf numFmtId="0" fontId="45" fillId="48" borderId="16" xfId="0" applyFont="1" applyFill="1" applyBorder="1" applyAlignment="1">
      <alignment horizontal="center" vertical="center" wrapText="1"/>
    </xf>
    <xf numFmtId="2" fontId="24" fillId="48" borderId="87" xfId="0" applyNumberFormat="1" applyFont="1" applyFill="1" applyBorder="1" applyAlignment="1">
      <alignment vertical="center" wrapText="1"/>
    </xf>
    <xf numFmtId="0" fontId="24" fillId="48" borderId="89" xfId="0" applyFont="1" applyFill="1" applyBorder="1" applyAlignment="1">
      <alignment vertical="center" wrapText="1"/>
    </xf>
    <xf numFmtId="0" fontId="24" fillId="48" borderId="94" xfId="0" applyFont="1" applyFill="1" applyBorder="1" applyAlignment="1">
      <alignment vertical="center" wrapText="1"/>
    </xf>
    <xf numFmtId="2" fontId="45" fillId="48" borderId="29" xfId="0" applyNumberFormat="1" applyFont="1" applyFill="1" applyBorder="1" applyAlignment="1">
      <alignment horizontal="center" wrapText="1"/>
    </xf>
    <xf numFmtId="2" fontId="45" fillId="48" borderId="29" xfId="0" applyNumberFormat="1" applyFont="1" applyFill="1" applyBorder="1" applyAlignment="1">
      <alignment horizontal="center" vertical="center" wrapText="1"/>
    </xf>
    <xf numFmtId="0" fontId="24" fillId="48" borderId="29" xfId="0" applyFont="1" applyFill="1" applyBorder="1" applyAlignment="1">
      <alignment vertical="center" wrapText="1"/>
    </xf>
    <xf numFmtId="0" fontId="45" fillId="48" borderId="29" xfId="0" applyFont="1" applyFill="1" applyBorder="1" applyAlignment="1">
      <alignment horizontal="center" vertical="center" wrapText="1"/>
    </xf>
    <xf numFmtId="2" fontId="24" fillId="48" borderId="89" xfId="0" applyNumberFormat="1" applyFont="1" applyFill="1" applyBorder="1" applyAlignment="1">
      <alignment vertical="center" wrapText="1"/>
    </xf>
    <xf numFmtId="0" fontId="24" fillId="48" borderId="95" xfId="0" applyFont="1" applyFill="1" applyBorder="1" applyAlignment="1">
      <alignment vertical="center" wrapText="1"/>
    </xf>
    <xf numFmtId="0" fontId="24" fillId="48" borderId="34" xfId="0" applyFont="1" applyFill="1" applyBorder="1" applyAlignment="1">
      <alignment vertical="center" wrapText="1"/>
    </xf>
    <xf numFmtId="2" fontId="45" fillId="48" borderId="18" xfId="0" applyNumberFormat="1" applyFont="1" applyFill="1" applyBorder="1" applyAlignment="1">
      <alignment horizontal="center" wrapText="1"/>
    </xf>
    <xf numFmtId="2" fontId="45" fillId="48" borderId="18" xfId="0" applyNumberFormat="1" applyFont="1" applyFill="1" applyBorder="1" applyAlignment="1">
      <alignment horizontal="center" vertical="center" wrapText="1"/>
    </xf>
    <xf numFmtId="0" fontId="24" fillId="48" borderId="18" xfId="0" applyFont="1" applyFill="1" applyBorder="1" applyAlignment="1">
      <alignment vertical="center" wrapText="1"/>
    </xf>
    <xf numFmtId="0" fontId="45" fillId="48" borderId="18" xfId="0" applyFont="1" applyFill="1" applyBorder="1" applyAlignment="1">
      <alignment horizontal="center" vertical="center" wrapText="1"/>
    </xf>
    <xf numFmtId="2" fontId="24" fillId="48" borderId="95" xfId="0" applyNumberFormat="1" applyFont="1" applyFill="1" applyBorder="1" applyAlignment="1">
      <alignment vertical="center" wrapText="1"/>
    </xf>
    <xf numFmtId="0" fontId="24" fillId="0" borderId="94" xfId="0" applyFont="1" applyFill="1" applyBorder="1" applyAlignment="1">
      <alignment vertical="center" wrapText="1"/>
    </xf>
    <xf numFmtId="0" fontId="24" fillId="48" borderId="10" xfId="0" applyFont="1" applyFill="1" applyBorder="1" applyAlignment="1">
      <alignment vertical="center" wrapText="1"/>
    </xf>
    <xf numFmtId="0" fontId="24" fillId="48" borderId="32" xfId="0" applyFont="1" applyFill="1" applyBorder="1" applyAlignment="1">
      <alignment vertical="center" wrapText="1"/>
    </xf>
    <xf numFmtId="2" fontId="45" fillId="48" borderId="10" xfId="0" applyNumberFormat="1" applyFont="1" applyFill="1" applyBorder="1" applyAlignment="1">
      <alignment horizontal="center" wrapText="1"/>
    </xf>
    <xf numFmtId="0" fontId="24" fillId="48" borderId="85" xfId="0" applyFont="1" applyFill="1" applyBorder="1" applyAlignment="1">
      <alignment vertical="center" wrapText="1"/>
    </xf>
    <xf numFmtId="2" fontId="45" fillId="48" borderId="10" xfId="0" applyNumberFormat="1" applyFont="1" applyFill="1" applyBorder="1" applyAlignment="1">
      <alignment horizontal="center" vertical="center" wrapText="1"/>
    </xf>
    <xf numFmtId="0" fontId="45" fillId="48" borderId="10" xfId="0" applyFont="1" applyFill="1" applyBorder="1" applyAlignment="1">
      <alignment horizontal="center" vertical="center" wrapText="1"/>
    </xf>
    <xf numFmtId="2" fontId="24" fillId="48" borderId="85" xfId="0" applyNumberFormat="1" applyFont="1" applyFill="1" applyBorder="1" applyAlignment="1">
      <alignment vertical="center" wrapText="1"/>
    </xf>
    <xf numFmtId="0" fontId="24" fillId="0" borderId="21" xfId="0" applyFont="1" applyFill="1" applyBorder="1" applyAlignment="1">
      <alignment vertical="center" wrapText="1"/>
    </xf>
    <xf numFmtId="0" fontId="24" fillId="0" borderId="97" xfId="0" applyFont="1" applyFill="1" applyBorder="1" applyAlignment="1">
      <alignment vertical="center" wrapText="1"/>
    </xf>
    <xf numFmtId="2" fontId="45" fillId="0" borderId="21" xfId="0" applyNumberFormat="1" applyFont="1" applyFill="1" applyBorder="1" applyAlignment="1">
      <alignment horizontal="center" wrapText="1"/>
    </xf>
    <xf numFmtId="0" fontId="45" fillId="0" borderId="91" xfId="0" applyFont="1" applyFill="1" applyBorder="1" applyAlignment="1">
      <alignment horizontal="center" vertical="center" wrapText="1"/>
    </xf>
    <xf numFmtId="0" fontId="45" fillId="0" borderId="21" xfId="0" applyFont="1" applyFill="1" applyBorder="1" applyAlignment="1">
      <alignment horizontal="center" vertical="center" wrapText="1"/>
    </xf>
    <xf numFmtId="2" fontId="21" fillId="0" borderId="21" xfId="0" applyNumberFormat="1" applyFont="1" applyFill="1" applyBorder="1" applyAlignment="1">
      <alignment horizontal="center" vertical="center" wrapText="1"/>
    </xf>
    <xf numFmtId="0" fontId="24" fillId="48" borderId="19" xfId="0" applyFont="1" applyFill="1" applyBorder="1" applyAlignment="1">
      <alignment vertical="center" wrapText="1"/>
    </xf>
    <xf numFmtId="2" fontId="45" fillId="48" borderId="19" xfId="0" applyNumberFormat="1" applyFont="1" applyFill="1" applyBorder="1" applyAlignment="1">
      <alignment horizontal="center" wrapText="1"/>
    </xf>
    <xf numFmtId="0" fontId="24" fillId="48" borderId="27" xfId="0" applyFont="1" applyFill="1" applyBorder="1" applyAlignment="1">
      <alignment vertical="center" wrapText="1"/>
    </xf>
    <xf numFmtId="2" fontId="45" fillId="48" borderId="19" xfId="0" applyNumberFormat="1" applyFont="1" applyFill="1" applyBorder="1" applyAlignment="1">
      <alignment horizontal="center" vertical="center" wrapText="1"/>
    </xf>
    <xf numFmtId="2" fontId="24" fillId="48" borderId="27" xfId="0" applyNumberFormat="1" applyFont="1" applyFill="1" applyBorder="1" applyAlignment="1">
      <alignment vertical="center" wrapText="1"/>
    </xf>
    <xf numFmtId="0" fontId="24" fillId="0" borderId="22" xfId="0" applyFont="1" applyFill="1" applyBorder="1" applyAlignment="1">
      <alignment vertical="center" wrapText="1"/>
    </xf>
    <xf numFmtId="0" fontId="24" fillId="0" borderId="14" xfId="0" applyFont="1" applyFill="1" applyBorder="1" applyAlignment="1">
      <alignment vertical="center" wrapText="1"/>
    </xf>
    <xf numFmtId="2" fontId="45" fillId="0" borderId="60" xfId="0" applyNumberFormat="1" applyFont="1" applyFill="1" applyBorder="1" applyAlignment="1">
      <alignment horizontal="center" wrapText="1"/>
    </xf>
    <xf numFmtId="0" fontId="24" fillId="0" borderId="24" xfId="0" applyFont="1" applyFill="1" applyBorder="1" applyAlignment="1">
      <alignment vertical="center" wrapText="1"/>
    </xf>
    <xf numFmtId="2" fontId="45" fillId="48" borderId="21" xfId="0" applyNumberFormat="1" applyFont="1" applyFill="1" applyBorder="1" applyAlignment="1">
      <alignment horizontal="center" wrapText="1"/>
    </xf>
    <xf numFmtId="0" fontId="45" fillId="48" borderId="21" xfId="0" applyFont="1" applyFill="1" applyBorder="1" applyAlignment="1">
      <alignment horizontal="center" vertical="center" wrapText="1"/>
    </xf>
    <xf numFmtId="2" fontId="45" fillId="48" borderId="21" xfId="0" applyNumberFormat="1" applyFont="1" applyFill="1" applyBorder="1" applyAlignment="1">
      <alignment horizontal="center" vertical="center" wrapText="1"/>
    </xf>
    <xf numFmtId="2" fontId="45" fillId="48" borderId="60" xfId="0" applyNumberFormat="1" applyFont="1" applyFill="1" applyBorder="1" applyAlignment="1">
      <alignment horizontal="center" wrapText="1"/>
    </xf>
    <xf numFmtId="0" fontId="24" fillId="0" borderId="63" xfId="0" applyFont="1" applyFill="1" applyBorder="1" applyAlignment="1">
      <alignment vertical="center" wrapText="1"/>
    </xf>
    <xf numFmtId="0" fontId="24" fillId="0" borderId="66" xfId="0" applyFont="1" applyFill="1" applyBorder="1" applyAlignment="1">
      <alignment vertical="center" wrapText="1"/>
    </xf>
    <xf numFmtId="2" fontId="45" fillId="0" borderId="64" xfId="0" applyNumberFormat="1" applyFont="1" applyFill="1" applyBorder="1" applyAlignment="1">
      <alignment horizontal="center" wrapText="1"/>
    </xf>
    <xf numFmtId="2" fontId="45" fillId="0" borderId="64" xfId="0" applyNumberFormat="1" applyFont="1" applyFill="1" applyBorder="1" applyAlignment="1">
      <alignment horizontal="center" vertical="center" wrapText="1"/>
    </xf>
    <xf numFmtId="0" fontId="24" fillId="0" borderId="64" xfId="0" applyFont="1" applyFill="1" applyBorder="1" applyAlignment="1">
      <alignment vertical="center" wrapText="1"/>
    </xf>
    <xf numFmtId="0" fontId="45" fillId="0" borderId="64" xfId="0" applyFont="1" applyFill="1" applyBorder="1" applyAlignment="1">
      <alignment horizontal="center" vertical="center" wrapText="1"/>
    </xf>
    <xf numFmtId="2" fontId="24" fillId="0" borderId="63" xfId="0" applyNumberFormat="1" applyFont="1" applyFill="1" applyBorder="1" applyAlignment="1">
      <alignment vertical="center" wrapText="1"/>
    </xf>
    <xf numFmtId="2" fontId="45" fillId="0" borderId="19" xfId="0" applyNumberFormat="1" applyFont="1" applyFill="1" applyBorder="1" applyAlignment="1">
      <alignment horizontal="center" vertical="center" wrapText="1"/>
    </xf>
    <xf numFmtId="2" fontId="24" fillId="0" borderId="27" xfId="0" applyNumberFormat="1" applyFont="1" applyFill="1" applyBorder="1" applyAlignment="1">
      <alignment vertical="center" wrapText="1"/>
    </xf>
    <xf numFmtId="0" fontId="38" fillId="30" borderId="0" xfId="0" applyFont="1" applyFill="1" applyBorder="1" applyAlignment="1">
      <alignment wrapText="1"/>
    </xf>
    <xf numFmtId="2" fontId="38" fillId="30" borderId="0" xfId="0" applyNumberFormat="1" applyFont="1" applyFill="1" applyBorder="1" applyAlignment="1">
      <alignment wrapText="1"/>
    </xf>
    <xf numFmtId="0" fontId="24" fillId="30" borderId="0" xfId="0" applyFont="1" applyFill="1" applyBorder="1" applyAlignment="1">
      <alignment wrapText="1"/>
    </xf>
    <xf numFmtId="0" fontId="24" fillId="30" borderId="0" xfId="0" applyFont="1" applyFill="1" applyBorder="1" applyAlignment="1">
      <alignment horizontal="center" wrapText="1"/>
    </xf>
    <xf numFmtId="0" fontId="24" fillId="30" borderId="0" xfId="0" applyFont="1" applyFill="1" applyBorder="1"/>
    <xf numFmtId="2" fontId="24" fillId="30" borderId="0" xfId="0" applyNumberFormat="1" applyFont="1" applyFill="1" applyBorder="1" applyAlignment="1">
      <alignment wrapText="1"/>
    </xf>
    <xf numFmtId="10" fontId="24" fillId="30" borderId="0" xfId="0" applyNumberFormat="1" applyFont="1" applyFill="1" applyBorder="1" applyAlignment="1">
      <alignment horizontal="left" wrapText="1"/>
    </xf>
    <xf numFmtId="0" fontId="38" fillId="30" borderId="0" xfId="0" applyFont="1" applyFill="1" applyBorder="1" applyAlignment="1">
      <alignment horizontal="center" wrapText="1"/>
    </xf>
    <xf numFmtId="0" fontId="24" fillId="28" borderId="0" xfId="0" applyFont="1" applyFill="1" applyBorder="1" applyAlignment="1">
      <alignment horizontal="center" wrapText="1"/>
    </xf>
    <xf numFmtId="0" fontId="24" fillId="28" borderId="0" xfId="0" applyFont="1" applyFill="1" applyBorder="1"/>
    <xf numFmtId="0" fontId="38" fillId="28" borderId="0" xfId="0" applyFont="1" applyFill="1" applyBorder="1" applyAlignment="1">
      <alignment horizontal="center" wrapText="1"/>
    </xf>
    <xf numFmtId="0" fontId="24" fillId="28" borderId="36" xfId="0" applyFont="1" applyFill="1" applyBorder="1" applyAlignment="1">
      <alignment horizontal="center" wrapText="1"/>
    </xf>
    <xf numFmtId="0" fontId="24" fillId="28" borderId="36" xfId="0" applyFont="1" applyFill="1" applyBorder="1"/>
    <xf numFmtId="0" fontId="24" fillId="48" borderId="91" xfId="0" applyFont="1" applyFill="1" applyBorder="1" applyAlignment="1">
      <alignment vertical="center" wrapText="1"/>
    </xf>
    <xf numFmtId="0" fontId="24" fillId="48" borderId="97" xfId="0" applyFont="1" applyFill="1" applyBorder="1" applyAlignment="1">
      <alignment vertical="center" wrapText="1"/>
    </xf>
    <xf numFmtId="0" fontId="24" fillId="48" borderId="21" xfId="0" applyFont="1" applyFill="1" applyBorder="1" applyAlignment="1">
      <alignment vertical="center" wrapText="1"/>
    </xf>
    <xf numFmtId="2" fontId="24" fillId="48" borderId="91" xfId="0" applyNumberFormat="1" applyFont="1" applyFill="1" applyBorder="1" applyAlignment="1">
      <alignment vertical="center" wrapText="1"/>
    </xf>
    <xf numFmtId="2" fontId="24" fillId="0" borderId="85" xfId="0" applyNumberFormat="1" applyFont="1" applyFill="1" applyBorder="1" applyAlignment="1">
      <alignment vertical="center" wrapText="1"/>
    </xf>
    <xf numFmtId="0" fontId="24" fillId="48" borderId="22" xfId="0" applyFont="1" applyFill="1" applyBorder="1" applyAlignment="1">
      <alignment vertical="center" wrapText="1"/>
    </xf>
    <xf numFmtId="0" fontId="45" fillId="48" borderId="91" xfId="0" applyFont="1" applyFill="1" applyBorder="1" applyAlignment="1">
      <alignment horizontal="center" vertical="center" wrapText="1"/>
    </xf>
    <xf numFmtId="0" fontId="24" fillId="48" borderId="14" xfId="0" applyFont="1" applyFill="1" applyBorder="1" applyAlignment="1">
      <alignment vertical="center" wrapText="1"/>
    </xf>
    <xf numFmtId="0" fontId="45" fillId="48" borderId="87" xfId="0" applyFont="1" applyFill="1" applyBorder="1" applyAlignment="1">
      <alignment horizontal="center" vertical="center" wrapText="1"/>
    </xf>
    <xf numFmtId="0" fontId="24" fillId="48" borderId="24" xfId="0" applyFont="1" applyFill="1" applyBorder="1" applyAlignment="1">
      <alignment vertical="center" wrapText="1"/>
    </xf>
    <xf numFmtId="0" fontId="45" fillId="48" borderId="95" xfId="0" applyFont="1" applyFill="1" applyBorder="1" applyAlignment="1">
      <alignment horizontal="center" vertical="center" wrapText="1"/>
    </xf>
    <xf numFmtId="0" fontId="45" fillId="48" borderId="89" xfId="0" applyFont="1" applyFill="1" applyBorder="1" applyAlignment="1">
      <alignment horizontal="center" vertical="center" wrapText="1"/>
    </xf>
    <xf numFmtId="0" fontId="24" fillId="30" borderId="65" xfId="0" applyFont="1" applyFill="1" applyBorder="1"/>
    <xf numFmtId="0" fontId="24" fillId="30" borderId="36" xfId="0" applyFont="1" applyFill="1" applyBorder="1" applyAlignment="1">
      <alignment wrapText="1"/>
    </xf>
    <xf numFmtId="2" fontId="24" fillId="30" borderId="36" xfId="0" applyNumberFormat="1" applyFont="1" applyFill="1" applyBorder="1" applyAlignment="1">
      <alignment wrapText="1"/>
    </xf>
    <xf numFmtId="10" fontId="24" fillId="30" borderId="36" xfId="0" applyNumberFormat="1" applyFont="1" applyFill="1" applyBorder="1" applyAlignment="1">
      <alignment horizontal="left" wrapText="1"/>
    </xf>
    <xf numFmtId="0" fontId="24" fillId="30" borderId="36" xfId="0" applyFont="1" applyFill="1" applyBorder="1" applyAlignment="1">
      <alignment horizontal="center" wrapText="1"/>
    </xf>
    <xf numFmtId="0" fontId="24" fillId="30" borderId="36" xfId="0" applyFont="1" applyFill="1" applyBorder="1"/>
    <xf numFmtId="0" fontId="24" fillId="25" borderId="0" xfId="0" applyFont="1" applyFill="1" applyBorder="1" applyAlignment="1">
      <alignment horizontal="center" wrapText="1"/>
    </xf>
    <xf numFmtId="0" fontId="38" fillId="25" borderId="0" xfId="0" applyFont="1" applyFill="1" applyBorder="1" applyAlignment="1">
      <alignment horizontal="center" wrapText="1"/>
    </xf>
    <xf numFmtId="0" fontId="61" fillId="31" borderId="65" xfId="0" applyFont="1" applyFill="1" applyBorder="1" applyAlignment="1">
      <alignment wrapText="1"/>
    </xf>
    <xf numFmtId="2" fontId="61" fillId="31" borderId="65" xfId="0" applyNumberFormat="1" applyFont="1" applyFill="1" applyBorder="1" applyAlignment="1">
      <alignment horizontal="right" wrapText="1"/>
    </xf>
    <xf numFmtId="0" fontId="60" fillId="31" borderId="65" xfId="0" applyFont="1" applyFill="1" applyBorder="1" applyAlignment="1">
      <alignment wrapText="1"/>
    </xf>
    <xf numFmtId="10" fontId="60" fillId="31" borderId="65" xfId="0" applyNumberFormat="1" applyFont="1" applyFill="1" applyBorder="1" applyAlignment="1">
      <alignment wrapText="1"/>
    </xf>
    <xf numFmtId="0" fontId="60" fillId="31" borderId="65" xfId="0" applyFont="1" applyFill="1" applyBorder="1" applyAlignment="1">
      <alignment horizontal="center" wrapText="1"/>
    </xf>
    <xf numFmtId="0" fontId="60" fillId="31" borderId="65" xfId="0" applyFont="1" applyFill="1" applyBorder="1"/>
    <xf numFmtId="0" fontId="60" fillId="31" borderId="0" xfId="0" applyFont="1" applyFill="1" applyBorder="1" applyAlignment="1">
      <alignment wrapText="1"/>
    </xf>
    <xf numFmtId="2" fontId="60" fillId="31" borderId="0" xfId="0" applyNumberFormat="1" applyFont="1" applyFill="1" applyBorder="1" applyAlignment="1">
      <alignment horizontal="right" wrapText="1"/>
    </xf>
    <xf numFmtId="165" fontId="60" fillId="31" borderId="0" xfId="0" applyNumberFormat="1" applyFont="1" applyFill="1" applyBorder="1" applyAlignment="1">
      <alignment horizontal="left" wrapText="1"/>
    </xf>
    <xf numFmtId="10" fontId="60" fillId="31" borderId="0" xfId="0" applyNumberFormat="1" applyFont="1" applyFill="1" applyBorder="1" applyAlignment="1">
      <alignment horizontal="left" wrapText="1"/>
    </xf>
    <xf numFmtId="0" fontId="61" fillId="31" borderId="0" xfId="0" applyFont="1" applyFill="1" applyBorder="1" applyAlignment="1">
      <alignment wrapText="1"/>
    </xf>
    <xf numFmtId="0" fontId="61" fillId="31" borderId="0" xfId="0" applyFont="1" applyFill="1" applyBorder="1" applyAlignment="1">
      <alignment horizontal="center" wrapText="1"/>
    </xf>
    <xf numFmtId="0" fontId="60" fillId="31" borderId="0" xfId="0" applyFont="1" applyFill="1" applyBorder="1"/>
    <xf numFmtId="0" fontId="60" fillId="31" borderId="0" xfId="0" applyFont="1" applyFill="1" applyBorder="1" applyAlignment="1">
      <alignment horizontal="center" wrapText="1"/>
    </xf>
    <xf numFmtId="0" fontId="60" fillId="31" borderId="36" xfId="0" applyFont="1" applyFill="1" applyBorder="1" applyAlignment="1">
      <alignment wrapText="1"/>
    </xf>
    <xf numFmtId="2" fontId="60" fillId="31" borderId="36" xfId="0" applyNumberFormat="1" applyFont="1" applyFill="1" applyBorder="1" applyAlignment="1">
      <alignment horizontal="right" wrapText="1"/>
    </xf>
    <xf numFmtId="10" fontId="60" fillId="31" borderId="36" xfId="0" applyNumberFormat="1" applyFont="1" applyFill="1" applyBorder="1" applyAlignment="1">
      <alignment horizontal="left" wrapText="1"/>
    </xf>
    <xf numFmtId="2" fontId="60" fillId="31" borderId="36" xfId="0" applyNumberFormat="1" applyFont="1" applyFill="1" applyBorder="1" applyAlignment="1">
      <alignment wrapText="1"/>
    </xf>
    <xf numFmtId="0" fontId="60" fillId="31" borderId="36" xfId="0" applyFont="1" applyFill="1" applyBorder="1" applyAlignment="1">
      <alignment horizontal="center" wrapText="1"/>
    </xf>
    <xf numFmtId="0" fontId="60" fillId="31" borderId="36" xfId="0" applyFont="1" applyFill="1" applyBorder="1"/>
    <xf numFmtId="0" fontId="38" fillId="19" borderId="65" xfId="0" applyFont="1" applyFill="1" applyBorder="1" applyAlignment="1">
      <alignment wrapText="1"/>
    </xf>
    <xf numFmtId="2" fontId="38" fillId="19" borderId="65" xfId="0" applyNumberFormat="1" applyFont="1" applyFill="1" applyBorder="1" applyAlignment="1">
      <alignment wrapText="1"/>
    </xf>
    <xf numFmtId="0" fontId="24" fillId="19" borderId="65" xfId="0" applyFont="1" applyFill="1" applyBorder="1" applyAlignment="1">
      <alignment wrapText="1"/>
    </xf>
    <xf numFmtId="10" fontId="24" fillId="19" borderId="65" xfId="0" applyNumberFormat="1" applyFont="1" applyFill="1" applyBorder="1" applyAlignment="1">
      <alignment wrapText="1"/>
    </xf>
    <xf numFmtId="0" fontId="24" fillId="19" borderId="65" xfId="0" applyFont="1" applyFill="1" applyBorder="1" applyAlignment="1">
      <alignment horizontal="center" wrapText="1"/>
    </xf>
    <xf numFmtId="0" fontId="24" fillId="19" borderId="65" xfId="0" applyFont="1" applyFill="1" applyBorder="1"/>
    <xf numFmtId="0" fontId="24" fillId="19" borderId="0" xfId="0" applyFont="1" applyFill="1" applyBorder="1" applyAlignment="1">
      <alignment wrapText="1"/>
    </xf>
    <xf numFmtId="2" fontId="24" fillId="19" borderId="0" xfId="0" applyNumberFormat="1" applyFont="1" applyFill="1" applyBorder="1" applyAlignment="1">
      <alignment wrapText="1"/>
    </xf>
    <xf numFmtId="165" fontId="24" fillId="19" borderId="0" xfId="0" applyNumberFormat="1" applyFont="1" applyFill="1" applyBorder="1" applyAlignment="1">
      <alignment horizontal="left" wrapText="1"/>
    </xf>
    <xf numFmtId="10" fontId="24" fillId="19" borderId="0" xfId="0" applyNumberFormat="1" applyFont="1" applyFill="1" applyBorder="1" applyAlignment="1">
      <alignment horizontal="left" wrapText="1"/>
    </xf>
    <xf numFmtId="0" fontId="38" fillId="19" borderId="0" xfId="0" applyFont="1" applyFill="1" applyBorder="1" applyAlignment="1">
      <alignment wrapText="1"/>
    </xf>
    <xf numFmtId="0" fontId="38" fillId="19" borderId="0" xfId="0" applyFont="1" applyFill="1" applyBorder="1" applyAlignment="1">
      <alignment horizontal="center" wrapText="1"/>
    </xf>
    <xf numFmtId="0" fontId="24" fillId="19" borderId="0" xfId="0" applyFont="1" applyFill="1" applyBorder="1"/>
    <xf numFmtId="0" fontId="24" fillId="19" borderId="0" xfId="0" applyFont="1" applyFill="1" applyBorder="1" applyAlignment="1">
      <alignment horizontal="center" wrapText="1"/>
    </xf>
    <xf numFmtId="0" fontId="24" fillId="19" borderId="36" xfId="0" applyFont="1" applyFill="1" applyBorder="1" applyAlignment="1">
      <alignment wrapText="1"/>
    </xf>
    <xf numFmtId="2" fontId="24" fillId="19" borderId="36" xfId="0" applyNumberFormat="1" applyFont="1" applyFill="1" applyBorder="1" applyAlignment="1">
      <alignment wrapText="1"/>
    </xf>
    <xf numFmtId="10" fontId="24" fillId="19" borderId="36" xfId="0" applyNumberFormat="1" applyFont="1" applyFill="1" applyBorder="1" applyAlignment="1">
      <alignment horizontal="left" wrapText="1"/>
    </xf>
    <xf numFmtId="0" fontId="24" fillId="19" borderId="36" xfId="0" applyFont="1" applyFill="1" applyBorder="1" applyAlignment="1">
      <alignment horizontal="center" wrapText="1"/>
    </xf>
    <xf numFmtId="0" fontId="24" fillId="19" borderId="36" xfId="0" applyFont="1" applyFill="1" applyBorder="1"/>
    <xf numFmtId="164" fontId="24" fillId="0" borderId="0" xfId="0" applyNumberFormat="1" applyFont="1" applyAlignment="1">
      <alignment wrapText="1"/>
    </xf>
    <xf numFmtId="0" fontId="24" fillId="0" borderId="95" xfId="0" applyFont="1" applyFill="1" applyBorder="1" applyAlignment="1">
      <alignment wrapText="1"/>
    </xf>
    <xf numFmtId="0" fontId="24" fillId="27" borderId="85" xfId="0" applyFont="1" applyFill="1" applyBorder="1" applyAlignment="1">
      <alignment wrapText="1"/>
    </xf>
    <xf numFmtId="0" fontId="24" fillId="27" borderId="15" xfId="0" applyFont="1" applyFill="1" applyBorder="1" applyAlignment="1">
      <alignment wrapText="1"/>
    </xf>
    <xf numFmtId="0" fontId="24" fillId="27" borderId="14" xfId="0" applyFont="1" applyFill="1" applyBorder="1" applyAlignment="1">
      <alignment horizontal="center" vertical="center" wrapText="1"/>
    </xf>
    <xf numFmtId="0" fontId="24" fillId="27" borderId="87" xfId="0" applyFont="1" applyFill="1" applyBorder="1" applyAlignment="1">
      <alignment wrapText="1"/>
    </xf>
    <xf numFmtId="2" fontId="24" fillId="27" borderId="87" xfId="0" applyNumberFormat="1" applyFont="1" applyFill="1" applyBorder="1" applyAlignment="1">
      <alignment vertical="center" wrapText="1"/>
    </xf>
    <xf numFmtId="0" fontId="45" fillId="27" borderId="87" xfId="0" applyFont="1" applyFill="1" applyBorder="1" applyAlignment="1">
      <alignment horizontal="center" wrapText="1"/>
    </xf>
    <xf numFmtId="0" fontId="24" fillId="27" borderId="95" xfId="0" applyFont="1" applyFill="1" applyBorder="1" applyAlignment="1">
      <alignment wrapText="1"/>
    </xf>
    <xf numFmtId="0" fontId="45" fillId="0" borderId="85" xfId="0" applyFont="1" applyFill="1" applyBorder="1" applyAlignment="1">
      <alignment horizontal="center" wrapText="1"/>
    </xf>
    <xf numFmtId="0" fontId="24" fillId="0" borderId="14" xfId="0" applyFont="1" applyFill="1" applyBorder="1" applyAlignment="1">
      <alignment horizontal="center" vertical="center" wrapText="1"/>
    </xf>
    <xf numFmtId="0" fontId="45" fillId="0" borderId="87" xfId="0" applyFont="1" applyFill="1" applyBorder="1" applyAlignment="1">
      <alignment horizontal="center" wrapText="1"/>
    </xf>
    <xf numFmtId="0" fontId="45" fillId="27" borderId="85" xfId="0" applyFont="1" applyFill="1" applyBorder="1" applyAlignment="1">
      <alignment horizontal="center" wrapText="1"/>
    </xf>
    <xf numFmtId="2" fontId="45" fillId="25" borderId="35" xfId="0" applyNumberFormat="1" applyFont="1" applyFill="1" applyBorder="1" applyAlignment="1">
      <alignment horizontal="center" vertical="center" wrapText="1"/>
    </xf>
    <xf numFmtId="0" fontId="0" fillId="25" borderId="0" xfId="0" applyFill="1" applyBorder="1" applyAlignment="1">
      <alignment horizontal="right" wrapText="1"/>
    </xf>
    <xf numFmtId="2" fontId="0" fillId="25" borderId="0" xfId="0" applyNumberFormat="1" applyFill="1" applyBorder="1" applyAlignment="1">
      <alignment horizontal="left" wrapText="1"/>
    </xf>
    <xf numFmtId="0" fontId="24" fillId="25" borderId="0" xfId="0" applyFont="1" applyFill="1"/>
    <xf numFmtId="2" fontId="45" fillId="25" borderId="57" xfId="0" applyNumberFormat="1" applyFont="1" applyFill="1" applyBorder="1" applyAlignment="1">
      <alignment horizontal="center" vertical="center" wrapText="1"/>
    </xf>
    <xf numFmtId="2" fontId="0" fillId="25" borderId="36" xfId="0" applyNumberFormat="1" applyFill="1" applyBorder="1" applyAlignment="1">
      <alignment wrapText="1"/>
    </xf>
    <xf numFmtId="2" fontId="45" fillId="25" borderId="40" xfId="0" applyNumberFormat="1" applyFont="1" applyFill="1" applyBorder="1" applyAlignment="1">
      <alignment horizontal="center" vertical="center" wrapText="1"/>
    </xf>
    <xf numFmtId="2" fontId="45" fillId="27" borderId="21" xfId="0" applyNumberFormat="1" applyFont="1" applyFill="1" applyBorder="1" applyAlignment="1">
      <alignment horizontal="center" wrapText="1"/>
    </xf>
    <xf numFmtId="0" fontId="24" fillId="0" borderId="89" xfId="0" applyFont="1" applyFill="1" applyBorder="1" applyAlignment="1">
      <alignment wrapText="1"/>
    </xf>
    <xf numFmtId="0" fontId="22" fillId="0" borderId="0" xfId="0" applyFont="1" applyBorder="1" applyAlignment="1">
      <alignment horizontal="center"/>
    </xf>
    <xf numFmtId="0" fontId="0" fillId="0" borderId="29" xfId="0" applyBorder="1"/>
    <xf numFmtId="0" fontId="47" fillId="36" borderId="90" xfId="40" applyFont="1" applyFill="1" applyBorder="1" applyAlignment="1"/>
    <xf numFmtId="0" fontId="20" fillId="36" borderId="92" xfId="0" applyFont="1" applyFill="1" applyBorder="1"/>
    <xf numFmtId="0" fontId="47" fillId="36" borderId="25" xfId="40" applyFont="1" applyFill="1" applyBorder="1" applyAlignment="1"/>
    <xf numFmtId="1" fontId="27" fillId="41" borderId="52" xfId="0" applyNumberFormat="1" applyFont="1" applyFill="1" applyBorder="1" applyAlignment="1"/>
    <xf numFmtId="1" fontId="27" fillId="41" borderId="36" xfId="0" applyNumberFormat="1" applyFont="1" applyFill="1" applyBorder="1" applyAlignment="1"/>
    <xf numFmtId="1" fontId="27" fillId="41" borderId="40" xfId="0" applyNumberFormat="1" applyFont="1" applyFill="1" applyBorder="1" applyAlignment="1"/>
    <xf numFmtId="0" fontId="27" fillId="41" borderId="74" xfId="0" applyFont="1" applyFill="1" applyBorder="1"/>
    <xf numFmtId="1" fontId="27" fillId="41" borderId="46" xfId="0" applyNumberFormat="1" applyFont="1" applyFill="1" applyBorder="1" applyAlignment="1">
      <alignment horizontal="center"/>
    </xf>
    <xf numFmtId="1" fontId="27" fillId="41" borderId="23" xfId="0" applyNumberFormat="1" applyFont="1" applyFill="1" applyBorder="1" applyAlignment="1">
      <alignment horizontal="center"/>
    </xf>
    <xf numFmtId="1" fontId="27" fillId="41" borderId="10" xfId="0" applyNumberFormat="1" applyFont="1" applyFill="1" applyBorder="1" applyAlignment="1">
      <alignment horizontal="center"/>
    </xf>
    <xf numFmtId="1" fontId="27" fillId="41" borderId="32" xfId="0" applyNumberFormat="1" applyFont="1" applyFill="1" applyBorder="1" applyAlignment="1">
      <alignment horizontal="center"/>
    </xf>
    <xf numFmtId="1" fontId="27" fillId="41" borderId="86" xfId="0" applyNumberFormat="1" applyFont="1" applyFill="1" applyBorder="1" applyAlignment="1">
      <alignment horizontal="center"/>
    </xf>
    <xf numFmtId="0" fontId="55" fillId="35" borderId="58" xfId="0" applyFont="1" applyFill="1" applyBorder="1"/>
    <xf numFmtId="2" fontId="40" fillId="0" borderId="65" xfId="0" applyNumberFormat="1" applyFont="1" applyBorder="1"/>
    <xf numFmtId="2" fontId="40" fillId="0" borderId="0" xfId="0" applyNumberFormat="1" applyFont="1" applyBorder="1"/>
    <xf numFmtId="0" fontId="55" fillId="35" borderId="56" xfId="0" applyFont="1" applyFill="1" applyBorder="1"/>
    <xf numFmtId="2" fontId="40" fillId="0" borderId="36" xfId="0" applyNumberFormat="1" applyFont="1" applyBorder="1"/>
    <xf numFmtId="0" fontId="0" fillId="50" borderId="56" xfId="0" applyFill="1" applyBorder="1"/>
    <xf numFmtId="2" fontId="0" fillId="0" borderId="61" xfId="0" applyNumberFormat="1" applyBorder="1"/>
    <xf numFmtId="2" fontId="0" fillId="0" borderId="70" xfId="0" applyNumberFormat="1" applyBorder="1"/>
    <xf numFmtId="0" fontId="55" fillId="45" borderId="58" xfId="0" applyFont="1" applyFill="1" applyBorder="1"/>
    <xf numFmtId="0" fontId="55" fillId="45" borderId="56" xfId="0" applyFont="1" applyFill="1" applyBorder="1"/>
    <xf numFmtId="0" fontId="0" fillId="30" borderId="56" xfId="0" applyFill="1" applyBorder="1"/>
    <xf numFmtId="2" fontId="0" fillId="0" borderId="75" xfId="0" applyNumberFormat="1" applyBorder="1"/>
    <xf numFmtId="0" fontId="0" fillId="0" borderId="66" xfId="0" applyFill="1" applyBorder="1"/>
    <xf numFmtId="0" fontId="0" fillId="0" borderId="0" xfId="0" applyFill="1" applyBorder="1" applyAlignment="1">
      <alignment horizontal="left"/>
    </xf>
    <xf numFmtId="0" fontId="0" fillId="36" borderId="94" xfId="0" applyFill="1" applyBorder="1"/>
    <xf numFmtId="0" fontId="50" fillId="36" borderId="70" xfId="0" applyFont="1" applyFill="1" applyBorder="1" applyAlignment="1"/>
    <xf numFmtId="0" fontId="0" fillId="36" borderId="66" xfId="0" applyFill="1" applyBorder="1"/>
    <xf numFmtId="0" fontId="38" fillId="0" borderId="37" xfId="0" applyFont="1" applyBorder="1" applyAlignment="1">
      <alignment horizontal="center" vertical="center" wrapText="1"/>
    </xf>
    <xf numFmtId="0" fontId="0" fillId="0" borderId="57" xfId="0" applyBorder="1"/>
    <xf numFmtId="0" fontId="20" fillId="0" borderId="55" xfId="0" applyFont="1" applyBorder="1" applyAlignment="1">
      <alignment horizontal="center"/>
    </xf>
    <xf numFmtId="0" fontId="20" fillId="0" borderId="11" xfId="0" applyFont="1" applyBorder="1" applyAlignment="1">
      <alignment vertical="center" wrapText="1"/>
    </xf>
    <xf numFmtId="0" fontId="0" fillId="0" borderId="20" xfId="0" applyFont="1" applyBorder="1" applyAlignment="1">
      <alignment vertical="center" wrapText="1"/>
    </xf>
    <xf numFmtId="2" fontId="0" fillId="0" borderId="97" xfId="0" applyNumberFormat="1" applyBorder="1"/>
    <xf numFmtId="2" fontId="0" fillId="0" borderId="22" xfId="0" applyNumberFormat="1" applyBorder="1"/>
    <xf numFmtId="0" fontId="0" fillId="0" borderId="15" xfId="0" applyFont="1" applyBorder="1" applyAlignment="1">
      <alignment vertical="center" wrapText="1"/>
    </xf>
    <xf numFmtId="0" fontId="0" fillId="0" borderId="38" xfId="0" applyFont="1" applyBorder="1" applyAlignment="1">
      <alignment vertical="center" wrapText="1"/>
    </xf>
    <xf numFmtId="0" fontId="1" fillId="0" borderId="19" xfId="0" applyFont="1" applyFill="1" applyBorder="1"/>
    <xf numFmtId="2" fontId="45" fillId="0" borderId="0" xfId="0" applyNumberFormat="1" applyFont="1" applyFill="1" applyBorder="1" applyAlignment="1">
      <alignment horizontal="left" vertical="center" wrapText="1"/>
    </xf>
    <xf numFmtId="0" fontId="0" fillId="36" borderId="39" xfId="0" applyFill="1" applyBorder="1"/>
    <xf numFmtId="0" fontId="0" fillId="36" borderId="71" xfId="0" applyFill="1" applyBorder="1"/>
    <xf numFmtId="0" fontId="50" fillId="49" borderId="70" xfId="0" applyFont="1" applyFill="1" applyBorder="1" applyAlignment="1"/>
    <xf numFmtId="0" fontId="50" fillId="49" borderId="70" xfId="0" applyFont="1" applyFill="1" applyBorder="1" applyAlignment="1">
      <alignment horizontal="left"/>
    </xf>
    <xf numFmtId="0" fontId="50" fillId="49" borderId="89" xfId="0" applyFont="1" applyFill="1" applyBorder="1" applyAlignment="1"/>
    <xf numFmtId="0" fontId="0" fillId="0" borderId="23" xfId="0" applyFont="1" applyBorder="1" applyAlignment="1">
      <alignment vertical="center" wrapText="1"/>
    </xf>
    <xf numFmtId="0" fontId="0" fillId="0" borderId="28" xfId="0" applyBorder="1"/>
    <xf numFmtId="2" fontId="0" fillId="0" borderId="64" xfId="0" applyNumberFormat="1" applyBorder="1"/>
    <xf numFmtId="2" fontId="0" fillId="0" borderId="60" xfId="0" applyNumberFormat="1" applyBorder="1"/>
    <xf numFmtId="0" fontId="27" fillId="36" borderId="71" xfId="0" applyFont="1" applyFill="1" applyBorder="1" applyAlignment="1">
      <alignment horizontal="right"/>
    </xf>
    <xf numFmtId="2" fontId="27" fillId="36" borderId="71" xfId="0" applyNumberFormat="1" applyFont="1" applyFill="1" applyBorder="1" applyAlignment="1">
      <alignment horizontal="right"/>
    </xf>
    <xf numFmtId="164" fontId="27" fillId="36" borderId="71" xfId="0" applyNumberFormat="1" applyFont="1" applyFill="1" applyBorder="1"/>
    <xf numFmtId="0" fontId="0" fillId="36" borderId="71" xfId="0" applyFill="1" applyBorder="1" applyAlignment="1">
      <alignment horizontal="left"/>
    </xf>
    <xf numFmtId="2" fontId="0" fillId="36" borderId="71" xfId="0" applyNumberFormat="1" applyFill="1" applyBorder="1"/>
    <xf numFmtId="2" fontId="0" fillId="36" borderId="27" xfId="0" applyNumberFormat="1" applyFill="1" applyBorder="1"/>
    <xf numFmtId="0" fontId="0" fillId="36" borderId="70" xfId="0" applyFill="1" applyBorder="1" applyAlignment="1"/>
    <xf numFmtId="0" fontId="0" fillId="36" borderId="70" xfId="0" applyFill="1" applyBorder="1" applyAlignment="1">
      <alignment horizontal="left"/>
    </xf>
    <xf numFmtId="0" fontId="0" fillId="36" borderId="89" xfId="0" applyFill="1" applyBorder="1" applyAlignment="1"/>
    <xf numFmtId="0" fontId="38" fillId="36" borderId="71" xfId="0" applyFont="1" applyFill="1" applyBorder="1" applyAlignment="1">
      <alignment horizontal="center" vertical="center" wrapText="1"/>
    </xf>
    <xf numFmtId="0" fontId="38" fillId="36" borderId="27" xfId="0" applyFont="1" applyFill="1" applyBorder="1" applyAlignment="1">
      <alignment horizontal="center" vertical="center" wrapText="1"/>
    </xf>
    <xf numFmtId="0" fontId="0" fillId="30" borderId="94" xfId="0" applyFill="1" applyBorder="1"/>
    <xf numFmtId="0" fontId="50" fillId="30" borderId="70" xfId="0" applyFont="1" applyFill="1" applyBorder="1" applyAlignment="1"/>
    <xf numFmtId="0" fontId="50" fillId="30" borderId="70" xfId="0" applyFont="1" applyFill="1" applyBorder="1" applyAlignment="1">
      <alignment horizontal="left"/>
    </xf>
    <xf numFmtId="0" fontId="50" fillId="30" borderId="89" xfId="0" applyFont="1" applyFill="1" applyBorder="1" applyAlignment="1"/>
    <xf numFmtId="0" fontId="0" fillId="30" borderId="66" xfId="0" applyFill="1" applyBorder="1"/>
    <xf numFmtId="0" fontId="0" fillId="30" borderId="39" xfId="0" applyFill="1" applyBorder="1"/>
    <xf numFmtId="0" fontId="0" fillId="30" borderId="71" xfId="0" applyFill="1" applyBorder="1"/>
    <xf numFmtId="0" fontId="27" fillId="30" borderId="71" xfId="0" applyFont="1" applyFill="1" applyBorder="1" applyAlignment="1">
      <alignment horizontal="right"/>
    </xf>
    <xf numFmtId="2" fontId="27" fillId="30" borderId="71" xfId="0" applyNumberFormat="1" applyFont="1" applyFill="1" applyBorder="1" applyAlignment="1">
      <alignment horizontal="right"/>
    </xf>
    <xf numFmtId="164" fontId="27" fillId="30" borderId="71" xfId="0" applyNumberFormat="1" applyFont="1" applyFill="1" applyBorder="1"/>
    <xf numFmtId="0" fontId="0" fillId="30" borderId="71" xfId="0" applyFill="1" applyBorder="1" applyAlignment="1">
      <alignment horizontal="left"/>
    </xf>
    <xf numFmtId="2" fontId="0" fillId="30" borderId="71" xfId="0" applyNumberFormat="1" applyFill="1" applyBorder="1"/>
    <xf numFmtId="2" fontId="0" fillId="30" borderId="27" xfId="0" applyNumberFormat="1" applyFill="1" applyBorder="1"/>
    <xf numFmtId="0" fontId="0" fillId="30" borderId="89" xfId="0" applyFill="1" applyBorder="1"/>
    <xf numFmtId="2" fontId="0" fillId="0" borderId="93" xfId="0" applyNumberFormat="1" applyBorder="1"/>
    <xf numFmtId="2" fontId="0" fillId="0" borderId="89" xfId="0" applyNumberFormat="1" applyBorder="1"/>
    <xf numFmtId="0" fontId="0" fillId="30" borderId="70" xfId="0" applyFill="1" applyBorder="1" applyAlignment="1"/>
    <xf numFmtId="0" fontId="0" fillId="30" borderId="70" xfId="0" applyFill="1" applyBorder="1" applyAlignment="1">
      <alignment horizontal="left"/>
    </xf>
    <xf numFmtId="0" fontId="38" fillId="30" borderId="71" xfId="0" applyFont="1" applyFill="1" applyBorder="1" applyAlignment="1">
      <alignment horizontal="center" vertical="center" wrapText="1"/>
    </xf>
    <xf numFmtId="0" fontId="0" fillId="30" borderId="27" xfId="0" applyFill="1" applyBorder="1"/>
    <xf numFmtId="1" fontId="52" fillId="0" borderId="0" xfId="0" applyNumberFormat="1" applyFont="1" applyAlignment="1">
      <alignment horizontal="center"/>
    </xf>
    <xf numFmtId="0" fontId="51" fillId="0" borderId="54" xfId="0" applyFont="1" applyBorder="1" applyAlignment="1"/>
    <xf numFmtId="0" fontId="51" fillId="0" borderId="0" xfId="0" applyFont="1" applyBorder="1" applyAlignment="1"/>
    <xf numFmtId="0" fontId="52" fillId="0" borderId="0" xfId="0" applyFont="1" applyFill="1" applyBorder="1" applyAlignment="1">
      <alignment horizontal="left"/>
    </xf>
    <xf numFmtId="0" fontId="27" fillId="41" borderId="91" xfId="0" applyFont="1" applyFill="1" applyBorder="1"/>
    <xf numFmtId="0" fontId="27" fillId="41" borderId="52" xfId="0" applyFont="1" applyFill="1" applyBorder="1" applyAlignment="1"/>
    <xf numFmtId="0" fontId="27" fillId="41" borderId="36" xfId="0" applyFont="1" applyFill="1" applyBorder="1" applyAlignment="1"/>
    <xf numFmtId="0" fontId="51" fillId="41" borderId="37" xfId="0" applyFont="1" applyFill="1" applyBorder="1"/>
    <xf numFmtId="1" fontId="27" fillId="41" borderId="35" xfId="0" applyNumberFormat="1" applyFont="1" applyFill="1" applyBorder="1" applyAlignment="1">
      <alignment horizontal="center"/>
    </xf>
    <xf numFmtId="0" fontId="51" fillId="35" borderId="53" xfId="0" applyFont="1" applyFill="1" applyBorder="1" applyAlignment="1"/>
    <xf numFmtId="0" fontId="51" fillId="35" borderId="54" xfId="0" applyFont="1" applyFill="1" applyBorder="1" applyAlignment="1"/>
    <xf numFmtId="0" fontId="54" fillId="51" borderId="74" xfId="0" applyFont="1" applyFill="1" applyBorder="1"/>
    <xf numFmtId="2" fontId="53" fillId="0" borderId="37" xfId="0" applyNumberFormat="1" applyFont="1" applyBorder="1"/>
    <xf numFmtId="0" fontId="54" fillId="51" borderId="76" xfId="0" applyFont="1" applyFill="1" applyBorder="1"/>
    <xf numFmtId="2" fontId="53" fillId="0" borderId="51" xfId="0" applyNumberFormat="1" applyFont="1" applyBorder="1"/>
    <xf numFmtId="0" fontId="54" fillId="51" borderId="69" xfId="0" applyFont="1" applyFill="1" applyBorder="1"/>
    <xf numFmtId="2" fontId="53" fillId="0" borderId="52" xfId="0" applyNumberFormat="1" applyFont="1" applyBorder="1"/>
    <xf numFmtId="0" fontId="52" fillId="50" borderId="53" xfId="0" applyFont="1" applyFill="1" applyBorder="1"/>
    <xf numFmtId="2" fontId="0" fillId="0" borderId="53" xfId="0" applyNumberFormat="1" applyFont="1" applyBorder="1"/>
    <xf numFmtId="0" fontId="51" fillId="30" borderId="55" xfId="0" applyFont="1" applyFill="1" applyBorder="1" applyAlignment="1"/>
    <xf numFmtId="0" fontId="51" fillId="30" borderId="53" xfId="0" applyFont="1" applyFill="1" applyBorder="1" applyAlignment="1"/>
    <xf numFmtId="0" fontId="51" fillId="30" borderId="54" xfId="0" applyFont="1" applyFill="1" applyBorder="1" applyAlignment="1"/>
    <xf numFmtId="0" fontId="54" fillId="45" borderId="74" xfId="0" applyFont="1" applyFill="1" applyBorder="1"/>
    <xf numFmtId="0" fontId="54" fillId="45" borderId="76" xfId="0" applyFont="1" applyFill="1" applyBorder="1"/>
    <xf numFmtId="0" fontId="54" fillId="45" borderId="69" xfId="0" applyFont="1" applyFill="1" applyBorder="1"/>
    <xf numFmtId="0" fontId="52" fillId="30" borderId="53" xfId="0" applyFont="1" applyFill="1" applyBorder="1"/>
    <xf numFmtId="0" fontId="0" fillId="36" borderId="70" xfId="0" applyFont="1" applyFill="1" applyBorder="1"/>
    <xf numFmtId="0" fontId="1" fillId="36" borderId="66" xfId="0" applyFont="1" applyFill="1" applyBorder="1" applyAlignment="1">
      <alignment horizontal="left"/>
    </xf>
    <xf numFmtId="1" fontId="0" fillId="0" borderId="0" xfId="0" applyNumberFormat="1" applyBorder="1" applyAlignment="1">
      <alignment horizontal="center"/>
    </xf>
    <xf numFmtId="0" fontId="24" fillId="0" borderId="51" xfId="0" applyFont="1" applyBorder="1" applyAlignment="1">
      <alignment horizontal="right" wrapText="1"/>
    </xf>
    <xf numFmtId="0" fontId="24" fillId="0" borderId="0" xfId="0" applyFont="1" applyBorder="1" applyAlignment="1">
      <alignment wrapText="1"/>
    </xf>
    <xf numFmtId="0" fontId="38" fillId="0" borderId="48" xfId="0" applyFont="1" applyBorder="1" applyAlignment="1">
      <alignment horizontal="center" vertical="center" wrapText="1"/>
    </xf>
    <xf numFmtId="2" fontId="21" fillId="0" borderId="73" xfId="0" applyNumberFormat="1" applyFont="1" applyFill="1" applyBorder="1" applyAlignment="1">
      <alignment horizontal="center" wrapText="1"/>
    </xf>
    <xf numFmtId="0" fontId="24" fillId="0" borderId="73" xfId="0" applyFont="1" applyFill="1" applyBorder="1" applyAlignment="1">
      <alignment vertical="center" wrapText="1"/>
    </xf>
    <xf numFmtId="0" fontId="45" fillId="0" borderId="46" xfId="0" applyFont="1" applyFill="1" applyBorder="1" applyAlignment="1">
      <alignment horizontal="center" vertical="center" wrapText="1"/>
    </xf>
    <xf numFmtId="2" fontId="21" fillId="0" borderId="36" xfId="0" applyNumberFormat="1" applyFont="1" applyFill="1" applyBorder="1" applyAlignment="1">
      <alignment horizontal="center" wrapText="1"/>
    </xf>
    <xf numFmtId="2" fontId="21" fillId="0" borderId="56" xfId="0" applyNumberFormat="1" applyFont="1" applyFill="1" applyBorder="1" applyAlignment="1">
      <alignment horizontal="center" wrapText="1"/>
    </xf>
    <xf numFmtId="0" fontId="24" fillId="0" borderId="36" xfId="0" applyFont="1" applyFill="1" applyBorder="1" applyAlignment="1">
      <alignment vertical="center" wrapText="1"/>
    </xf>
    <xf numFmtId="0" fontId="45" fillId="0" borderId="45" xfId="0" applyFont="1" applyFill="1" applyBorder="1" applyAlignment="1">
      <alignment horizontal="center" vertical="center" wrapText="1"/>
    </xf>
    <xf numFmtId="2" fontId="0" fillId="27" borderId="21" xfId="0" applyNumberFormat="1" applyFont="1" applyFill="1" applyBorder="1" applyAlignment="1">
      <alignment horizontal="center" wrapText="1"/>
    </xf>
    <xf numFmtId="2" fontId="21" fillId="27" borderId="65" xfId="0" applyNumberFormat="1" applyFont="1" applyFill="1" applyBorder="1" applyAlignment="1">
      <alignment horizontal="center" wrapText="1"/>
    </xf>
    <xf numFmtId="0" fontId="45" fillId="27" borderId="32" xfId="0" applyFont="1" applyFill="1" applyBorder="1" applyAlignment="1">
      <alignment horizontal="center" vertical="center" wrapText="1"/>
    </xf>
    <xf numFmtId="2" fontId="21" fillId="27" borderId="46" xfId="0" applyNumberFormat="1" applyFont="1" applyFill="1" applyBorder="1" applyAlignment="1">
      <alignment horizontal="center" wrapText="1"/>
    </xf>
    <xf numFmtId="0" fontId="24" fillId="27" borderId="65" xfId="0" applyFont="1" applyFill="1" applyBorder="1" applyAlignment="1">
      <alignment vertical="center" wrapText="1"/>
    </xf>
    <xf numFmtId="0" fontId="45" fillId="27" borderId="46" xfId="0" applyFont="1" applyFill="1" applyBorder="1" applyAlignment="1">
      <alignment horizontal="center" vertical="center" wrapText="1"/>
    </xf>
    <xf numFmtId="2" fontId="0" fillId="27" borderId="18" xfId="0" applyNumberFormat="1" applyFont="1" applyFill="1" applyBorder="1" applyAlignment="1">
      <alignment horizontal="center" wrapText="1"/>
    </xf>
    <xf numFmtId="0" fontId="24" fillId="27" borderId="95" xfId="0" applyFont="1" applyFill="1" applyBorder="1" applyAlignment="1">
      <alignment vertical="center" wrapText="1"/>
    </xf>
    <xf numFmtId="0" fontId="45" fillId="27" borderId="34" xfId="0" applyFont="1" applyFill="1" applyBorder="1" applyAlignment="1">
      <alignment horizontal="center" vertical="center" wrapText="1"/>
    </xf>
    <xf numFmtId="2" fontId="21" fillId="27" borderId="45" xfId="0" applyNumberFormat="1" applyFont="1" applyFill="1" applyBorder="1" applyAlignment="1">
      <alignment horizontal="center" wrapText="1"/>
    </xf>
    <xf numFmtId="0" fontId="24" fillId="27" borderId="75" xfId="0" applyFont="1" applyFill="1" applyBorder="1" applyAlignment="1">
      <alignment vertical="center" wrapText="1"/>
    </xf>
    <xf numFmtId="0" fontId="45" fillId="27" borderId="45" xfId="0" applyFont="1" applyFill="1" applyBorder="1" applyAlignment="1">
      <alignment horizontal="center" vertical="center" wrapText="1"/>
    </xf>
    <xf numFmtId="0" fontId="24" fillId="0" borderId="20" xfId="0" applyFont="1" applyFill="1" applyBorder="1" applyAlignment="1">
      <alignment vertical="center" wrapText="1"/>
    </xf>
    <xf numFmtId="0" fontId="45" fillId="0" borderId="97" xfId="0" applyFont="1" applyFill="1" applyBorder="1" applyAlignment="1">
      <alignment horizontal="center" vertical="center" wrapText="1"/>
    </xf>
    <xf numFmtId="2" fontId="45" fillId="0" borderId="88" xfId="0" applyNumberFormat="1" applyFont="1" applyFill="1" applyBorder="1" applyAlignment="1">
      <alignment horizontal="center" vertical="center" wrapText="1"/>
    </xf>
    <xf numFmtId="2" fontId="24" fillId="0" borderId="65" xfId="0" applyNumberFormat="1" applyFont="1" applyFill="1" applyBorder="1" applyAlignment="1">
      <alignment vertical="center" wrapText="1"/>
    </xf>
    <xf numFmtId="0" fontId="45" fillId="0" borderId="94" xfId="0" applyFont="1" applyFill="1" applyBorder="1" applyAlignment="1">
      <alignment horizontal="center" vertical="center" wrapText="1"/>
    </xf>
    <xf numFmtId="2" fontId="45" fillId="0" borderId="61" xfId="0" applyNumberFormat="1" applyFont="1" applyFill="1" applyBorder="1" applyAlignment="1">
      <alignment horizontal="center" vertical="center" wrapText="1"/>
    </xf>
    <xf numFmtId="2" fontId="24" fillId="0" borderId="70" xfId="0" applyNumberFormat="1" applyFont="1" applyFill="1" applyBorder="1" applyAlignment="1">
      <alignment vertical="center" wrapText="1"/>
    </xf>
    <xf numFmtId="2" fontId="45" fillId="0" borderId="45" xfId="0" applyNumberFormat="1" applyFont="1" applyFill="1" applyBorder="1" applyAlignment="1">
      <alignment horizontal="center" vertical="center" wrapText="1"/>
    </xf>
    <xf numFmtId="2" fontId="24" fillId="0" borderId="75" xfId="0" applyNumberFormat="1" applyFont="1" applyFill="1" applyBorder="1" applyAlignment="1">
      <alignment vertical="center" wrapText="1"/>
    </xf>
    <xf numFmtId="0" fontId="24" fillId="27" borderId="63" xfId="0" applyFont="1" applyFill="1" applyBorder="1" applyAlignment="1">
      <alignment vertical="center" wrapText="1"/>
    </xf>
    <xf numFmtId="0" fontId="24" fillId="27" borderId="66" xfId="0" applyFont="1" applyFill="1" applyBorder="1" applyAlignment="1">
      <alignment vertical="center" wrapText="1"/>
    </xf>
    <xf numFmtId="2" fontId="45" fillId="27" borderId="64" xfId="0" applyNumberFormat="1" applyFont="1" applyFill="1" applyBorder="1" applyAlignment="1">
      <alignment horizontal="center" wrapText="1"/>
    </xf>
    <xf numFmtId="2" fontId="45" fillId="27" borderId="66" xfId="0" applyNumberFormat="1" applyFont="1" applyFill="1" applyBorder="1" applyAlignment="1">
      <alignment horizontal="center" wrapText="1"/>
    </xf>
    <xf numFmtId="0" fontId="24" fillId="27" borderId="49" xfId="0" applyFont="1" applyFill="1" applyBorder="1" applyAlignment="1">
      <alignment vertical="center" wrapText="1"/>
    </xf>
    <xf numFmtId="2" fontId="45" fillId="27" borderId="62" xfId="0" applyNumberFormat="1" applyFont="1" applyFill="1" applyBorder="1" applyAlignment="1">
      <alignment horizontal="center" vertical="center" wrapText="1"/>
    </xf>
    <xf numFmtId="0" fontId="24" fillId="27" borderId="64" xfId="0" applyFont="1" applyFill="1" applyBorder="1" applyAlignment="1">
      <alignment vertical="center" wrapText="1"/>
    </xf>
    <xf numFmtId="0" fontId="45" fillId="27" borderId="64" xfId="0" applyFont="1" applyFill="1" applyBorder="1" applyAlignment="1">
      <alignment horizontal="center" vertical="center" wrapText="1"/>
    </xf>
    <xf numFmtId="0" fontId="45" fillId="27" borderId="66" xfId="0" applyFont="1" applyFill="1" applyBorder="1" applyAlignment="1">
      <alignment horizontal="center" vertical="center" wrapText="1"/>
    </xf>
    <xf numFmtId="2" fontId="45" fillId="27" borderId="41" xfId="0" applyNumberFormat="1" applyFont="1" applyFill="1" applyBorder="1" applyAlignment="1">
      <alignment horizontal="center" vertical="center" wrapText="1"/>
    </xf>
    <xf numFmtId="2" fontId="24" fillId="27" borderId="63" xfId="0" applyNumberFormat="1" applyFont="1" applyFill="1" applyBorder="1" applyAlignment="1">
      <alignment vertical="center" wrapText="1"/>
    </xf>
    <xf numFmtId="2" fontId="45" fillId="27" borderId="64" xfId="0" applyNumberFormat="1" applyFont="1" applyFill="1" applyBorder="1" applyAlignment="1">
      <alignment horizontal="center" vertical="center" wrapText="1"/>
    </xf>
    <xf numFmtId="0" fontId="24" fillId="27" borderId="89" xfId="0" applyFont="1" applyFill="1" applyBorder="1" applyAlignment="1">
      <alignment vertical="center" wrapText="1"/>
    </xf>
    <xf numFmtId="0" fontId="24" fillId="27" borderId="94" xfId="0" applyFont="1" applyFill="1" applyBorder="1" applyAlignment="1">
      <alignment vertical="center" wrapText="1"/>
    </xf>
    <xf numFmtId="0" fontId="24" fillId="27" borderId="29" xfId="0" applyFont="1" applyFill="1" applyBorder="1" applyAlignment="1">
      <alignment vertical="center" wrapText="1"/>
    </xf>
    <xf numFmtId="0" fontId="45" fillId="27" borderId="29" xfId="0" applyFont="1" applyFill="1" applyBorder="1" applyAlignment="1">
      <alignment horizontal="center" vertical="center" wrapText="1"/>
    </xf>
    <xf numFmtId="0" fontId="45" fillId="27" borderId="94" xfId="0" applyFont="1" applyFill="1" applyBorder="1" applyAlignment="1">
      <alignment horizontal="center" vertical="center" wrapText="1"/>
    </xf>
    <xf numFmtId="2" fontId="45" fillId="27" borderId="61" xfId="0" applyNumberFormat="1" applyFont="1" applyFill="1" applyBorder="1" applyAlignment="1">
      <alignment horizontal="center" vertical="center" wrapText="1"/>
    </xf>
    <xf numFmtId="2" fontId="24" fillId="27" borderId="70" xfId="0" applyNumberFormat="1" applyFont="1" applyFill="1" applyBorder="1" applyAlignment="1">
      <alignment vertical="center" wrapText="1"/>
    </xf>
    <xf numFmtId="2" fontId="24" fillId="27" borderId="89" xfId="0" applyNumberFormat="1" applyFont="1" applyFill="1" applyBorder="1" applyAlignment="1">
      <alignment vertical="center" wrapText="1"/>
    </xf>
    <xf numFmtId="2" fontId="45" fillId="27" borderId="29" xfId="0" applyNumberFormat="1" applyFont="1" applyFill="1" applyBorder="1" applyAlignment="1">
      <alignment horizontal="center" vertical="center" wrapText="1"/>
    </xf>
    <xf numFmtId="2" fontId="21" fillId="27" borderId="16" xfId="0" applyNumberFormat="1" applyFont="1" applyFill="1" applyBorder="1" applyAlignment="1">
      <alignment horizontal="center" vertical="center" wrapText="1"/>
    </xf>
    <xf numFmtId="2" fontId="45" fillId="0" borderId="97" xfId="0" applyNumberFormat="1" applyFont="1" applyFill="1" applyBorder="1" applyAlignment="1">
      <alignment horizontal="center" wrapText="1"/>
    </xf>
    <xf numFmtId="0" fontId="24" fillId="27" borderId="91" xfId="0" applyFont="1" applyFill="1" applyBorder="1" applyAlignment="1">
      <alignment vertical="center" wrapText="1"/>
    </xf>
    <xf numFmtId="0" fontId="24" fillId="27" borderId="97" xfId="0" applyFont="1" applyFill="1" applyBorder="1" applyAlignment="1">
      <alignment vertical="center" wrapText="1"/>
    </xf>
    <xf numFmtId="2" fontId="45" fillId="27" borderId="97" xfId="0" applyNumberFormat="1" applyFont="1" applyFill="1" applyBorder="1" applyAlignment="1">
      <alignment horizontal="center" wrapText="1"/>
    </xf>
    <xf numFmtId="0" fontId="24" fillId="27" borderId="20" xfId="0" applyFont="1" applyFill="1" applyBorder="1" applyAlignment="1">
      <alignment vertical="center" wrapText="1"/>
    </xf>
    <xf numFmtId="2" fontId="45" fillId="27" borderId="22" xfId="0" applyNumberFormat="1" applyFont="1" applyFill="1" applyBorder="1" applyAlignment="1">
      <alignment horizontal="center" vertical="center" wrapText="1"/>
    </xf>
    <xf numFmtId="0" fontId="24" fillId="27" borderId="21" xfId="0" applyFont="1" applyFill="1" applyBorder="1" applyAlignment="1">
      <alignment vertical="center" wrapText="1"/>
    </xf>
    <xf numFmtId="0" fontId="45" fillId="27" borderId="21" xfId="0" applyFont="1" applyFill="1" applyBorder="1" applyAlignment="1">
      <alignment horizontal="center" vertical="center" wrapText="1"/>
    </xf>
    <xf numFmtId="0" fontId="45" fillId="27" borderId="97" xfId="0" applyFont="1" applyFill="1" applyBorder="1" applyAlignment="1">
      <alignment horizontal="center" vertical="center" wrapText="1"/>
    </xf>
    <xf numFmtId="2" fontId="45" fillId="27" borderId="88" xfId="0" applyNumberFormat="1" applyFont="1" applyFill="1" applyBorder="1" applyAlignment="1">
      <alignment horizontal="center" vertical="center" wrapText="1"/>
    </xf>
    <xf numFmtId="2" fontId="24" fillId="27" borderId="65" xfId="0" applyNumberFormat="1" applyFont="1" applyFill="1" applyBorder="1" applyAlignment="1">
      <alignment vertical="center" wrapText="1"/>
    </xf>
    <xf numFmtId="2" fontId="24" fillId="27" borderId="91" xfId="0" applyNumberFormat="1" applyFont="1" applyFill="1" applyBorder="1" applyAlignment="1">
      <alignment vertical="center" wrapText="1"/>
    </xf>
    <xf numFmtId="2" fontId="45" fillId="27" borderId="21" xfId="0" applyNumberFormat="1" applyFont="1" applyFill="1" applyBorder="1" applyAlignment="1">
      <alignment horizontal="center" vertical="center" wrapText="1"/>
    </xf>
    <xf numFmtId="0" fontId="24" fillId="27" borderId="34" xfId="0" applyFont="1" applyFill="1" applyBorder="1" applyAlignment="1">
      <alignment vertical="center" wrapText="1"/>
    </xf>
    <xf numFmtId="2" fontId="45" fillId="27" borderId="45" xfId="0" applyNumberFormat="1" applyFont="1" applyFill="1" applyBorder="1" applyAlignment="1">
      <alignment horizontal="center" vertical="center" wrapText="1"/>
    </xf>
    <xf numFmtId="2" fontId="24" fillId="27" borderId="75" xfId="0" applyNumberFormat="1" applyFont="1" applyFill="1" applyBorder="1" applyAlignment="1">
      <alignment vertical="center" wrapText="1"/>
    </xf>
    <xf numFmtId="2" fontId="24" fillId="27" borderId="95" xfId="0" applyNumberFormat="1" applyFont="1" applyFill="1" applyBorder="1" applyAlignment="1">
      <alignment vertical="center" wrapText="1"/>
    </xf>
    <xf numFmtId="2" fontId="45" fillId="27" borderId="18" xfId="0" applyNumberFormat="1"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36" borderId="71" xfId="0" applyFont="1" applyFill="1" applyBorder="1"/>
    <xf numFmtId="0" fontId="0" fillId="36" borderId="71" xfId="0" applyFont="1" applyFill="1" applyBorder="1" applyAlignment="1">
      <alignment horizontal="center"/>
    </xf>
    <xf numFmtId="0" fontId="24" fillId="36" borderId="71" xfId="0" applyFont="1" applyFill="1" applyBorder="1"/>
    <xf numFmtId="0" fontId="0" fillId="52" borderId="94" xfId="0" applyFill="1" applyBorder="1"/>
    <xf numFmtId="0" fontId="0" fillId="52" borderId="70" xfId="0" applyFont="1" applyFill="1" applyBorder="1"/>
    <xf numFmtId="0" fontId="50" fillId="52" borderId="70" xfId="0" applyFont="1" applyFill="1" applyBorder="1" applyAlignment="1"/>
    <xf numFmtId="0" fontId="0" fillId="52" borderId="70" xfId="0" applyFill="1" applyBorder="1" applyAlignment="1"/>
    <xf numFmtId="0" fontId="1" fillId="52" borderId="66" xfId="0" applyFont="1" applyFill="1" applyBorder="1" applyAlignment="1">
      <alignment horizontal="left"/>
    </xf>
    <xf numFmtId="0" fontId="0" fillId="52" borderId="66" xfId="0" applyFill="1" applyBorder="1"/>
    <xf numFmtId="2" fontId="21" fillId="27" borderId="73" xfId="0" applyNumberFormat="1" applyFont="1" applyFill="1" applyBorder="1" applyAlignment="1">
      <alignment horizontal="center" wrapText="1"/>
    </xf>
    <xf numFmtId="0" fontId="24" fillId="27" borderId="73" xfId="0" applyFont="1" applyFill="1" applyBorder="1" applyAlignment="1">
      <alignment vertical="center" wrapText="1"/>
    </xf>
    <xf numFmtId="2" fontId="21" fillId="27" borderId="36" xfId="0" applyNumberFormat="1" applyFont="1" applyFill="1" applyBorder="1" applyAlignment="1">
      <alignment horizontal="center" wrapText="1"/>
    </xf>
    <xf numFmtId="2" fontId="21" fillId="27" borderId="56" xfId="0" applyNumberFormat="1" applyFont="1" applyFill="1" applyBorder="1" applyAlignment="1">
      <alignment horizontal="center" wrapText="1"/>
    </xf>
    <xf numFmtId="2" fontId="0" fillId="0" borderId="21" xfId="0" applyNumberFormat="1" applyFont="1" applyFill="1" applyBorder="1" applyAlignment="1">
      <alignment horizontal="center" wrapText="1"/>
    </xf>
    <xf numFmtId="2" fontId="21" fillId="0" borderId="65" xfId="0" applyNumberFormat="1" applyFont="1" applyFill="1" applyBorder="1" applyAlignment="1">
      <alignment horizontal="center" wrapText="1"/>
    </xf>
    <xf numFmtId="0" fontId="24" fillId="0" borderId="65" xfId="0" applyFont="1" applyFill="1" applyBorder="1" applyAlignment="1">
      <alignment vertical="center" wrapText="1"/>
    </xf>
    <xf numFmtId="2" fontId="45" fillId="0" borderId="66" xfId="0" applyNumberFormat="1" applyFont="1" applyFill="1" applyBorder="1" applyAlignment="1">
      <alignment horizontal="center" wrapText="1"/>
    </xf>
    <xf numFmtId="0" fontId="24" fillId="0" borderId="49" xfId="0" applyFont="1" applyFill="1" applyBorder="1" applyAlignment="1">
      <alignment vertical="center" wrapText="1"/>
    </xf>
    <xf numFmtId="0" fontId="45" fillId="0" borderId="66" xfId="0" applyFont="1" applyFill="1" applyBorder="1" applyAlignment="1">
      <alignment horizontal="center" vertical="center" wrapText="1"/>
    </xf>
    <xf numFmtId="2" fontId="45" fillId="0" borderId="41" xfId="0" applyNumberFormat="1" applyFont="1" applyFill="1" applyBorder="1" applyAlignment="1">
      <alignment horizontal="center" vertical="center" wrapText="1"/>
    </xf>
    <xf numFmtId="2" fontId="24" fillId="0" borderId="0" xfId="0" applyNumberFormat="1" applyFont="1" applyFill="1" applyBorder="1" applyAlignment="1">
      <alignment vertical="center" wrapText="1"/>
    </xf>
    <xf numFmtId="0" fontId="0" fillId="52" borderId="39" xfId="0" applyFill="1" applyBorder="1"/>
    <xf numFmtId="0" fontId="0" fillId="52" borderId="71" xfId="0" applyFont="1" applyFill="1" applyBorder="1"/>
    <xf numFmtId="0" fontId="0" fillId="52" borderId="71" xfId="0" applyFill="1" applyBorder="1"/>
    <xf numFmtId="0" fontId="0" fillId="52" borderId="71" xfId="0" applyFont="1" applyFill="1" applyBorder="1" applyAlignment="1">
      <alignment horizontal="center"/>
    </xf>
    <xf numFmtId="0" fontId="24" fillId="52" borderId="71" xfId="0" applyFont="1" applyFill="1" applyBorder="1"/>
    <xf numFmtId="2" fontId="0" fillId="52" borderId="71" xfId="0" applyNumberFormat="1" applyFill="1" applyBorder="1"/>
    <xf numFmtId="0" fontId="0" fillId="53" borderId="94" xfId="0" applyFill="1" applyBorder="1"/>
    <xf numFmtId="0" fontId="0" fillId="53" borderId="70" xfId="0" applyFont="1" applyFill="1" applyBorder="1"/>
    <xf numFmtId="0" fontId="50" fillId="53" borderId="70" xfId="0" applyFont="1" applyFill="1" applyBorder="1" applyAlignment="1"/>
    <xf numFmtId="0" fontId="0" fillId="53" borderId="70" xfId="0" applyFill="1" applyBorder="1" applyAlignment="1"/>
    <xf numFmtId="0" fontId="1" fillId="53" borderId="66" xfId="0" applyFont="1" applyFill="1" applyBorder="1" applyAlignment="1">
      <alignment horizontal="left"/>
    </xf>
    <xf numFmtId="0" fontId="0" fillId="53" borderId="66" xfId="0" applyFill="1" applyBorder="1"/>
    <xf numFmtId="0" fontId="1" fillId="0" borderId="21" xfId="0" applyFont="1" applyFill="1" applyBorder="1"/>
    <xf numFmtId="0" fontId="24" fillId="0" borderId="21" xfId="0" applyFont="1" applyFill="1" applyBorder="1" applyAlignment="1">
      <alignment horizontal="center" vertical="center" wrapText="1"/>
    </xf>
    <xf numFmtId="2" fontId="21" fillId="0" borderId="88" xfId="0" applyNumberFormat="1" applyFont="1" applyFill="1" applyBorder="1" applyAlignment="1">
      <alignment horizontal="center" wrapText="1"/>
    </xf>
    <xf numFmtId="0" fontId="45" fillId="0" borderId="88" xfId="0" applyFont="1" applyFill="1" applyBorder="1" applyAlignment="1">
      <alignment horizontal="center" vertical="center" wrapText="1"/>
    </xf>
    <xf numFmtId="2" fontId="0" fillId="0" borderId="29" xfId="0" applyNumberFormat="1" applyFont="1" applyFill="1" applyBorder="1" applyAlignment="1">
      <alignment horizontal="center" wrapText="1"/>
    </xf>
    <xf numFmtId="0" fontId="24" fillId="0" borderId="29" xfId="0" applyFont="1" applyFill="1" applyBorder="1" applyAlignment="1">
      <alignment horizontal="center" vertical="center" wrapText="1"/>
    </xf>
    <xf numFmtId="2" fontId="21" fillId="0" borderId="61" xfId="0" applyNumberFormat="1" applyFont="1" applyFill="1" applyBorder="1" applyAlignment="1">
      <alignment horizontal="center" wrapText="1"/>
    </xf>
    <xf numFmtId="0" fontId="24" fillId="0" borderId="70" xfId="0" applyFont="1" applyFill="1" applyBorder="1" applyAlignment="1">
      <alignment vertical="center" wrapText="1"/>
    </xf>
    <xf numFmtId="0" fontId="45" fillId="0" borderId="61" xfId="0" applyFont="1" applyFill="1" applyBorder="1" applyAlignment="1">
      <alignment horizontal="center" vertical="center" wrapText="1"/>
    </xf>
    <xf numFmtId="2" fontId="0" fillId="0" borderId="18" xfId="0" applyNumberFormat="1" applyFont="1" applyFill="1" applyBorder="1" applyAlignment="1">
      <alignment horizontal="center" wrapText="1"/>
    </xf>
    <xf numFmtId="0" fontId="24" fillId="0" borderId="75" xfId="0" applyFont="1" applyFill="1" applyBorder="1" applyAlignment="1">
      <alignment vertical="center" wrapText="1"/>
    </xf>
    <xf numFmtId="2" fontId="45" fillId="0" borderId="95" xfId="0" applyNumberFormat="1" applyFont="1" applyFill="1" applyBorder="1" applyAlignment="1">
      <alignment horizontal="center" vertical="center" wrapText="1"/>
    </xf>
    <xf numFmtId="0" fontId="0" fillId="53" borderId="39" xfId="0" applyFill="1" applyBorder="1"/>
    <xf numFmtId="0" fontId="0" fillId="53" borderId="71" xfId="0" applyFont="1" applyFill="1" applyBorder="1"/>
    <xf numFmtId="0" fontId="0" fillId="53" borderId="71" xfId="0" applyFill="1" applyBorder="1"/>
    <xf numFmtId="0" fontId="0" fillId="53" borderId="71" xfId="0" applyFont="1" applyFill="1" applyBorder="1" applyAlignment="1">
      <alignment horizontal="center"/>
    </xf>
    <xf numFmtId="0" fontId="24" fillId="53" borderId="71" xfId="0" applyFont="1" applyFill="1" applyBorder="1"/>
    <xf numFmtId="2" fontId="0" fillId="53" borderId="71" xfId="0" applyNumberFormat="1" applyFill="1" applyBorder="1"/>
    <xf numFmtId="0" fontId="0" fillId="54" borderId="94" xfId="0" applyFill="1" applyBorder="1"/>
    <xf numFmtId="0" fontId="0" fillId="54" borderId="70" xfId="0" applyFont="1" applyFill="1" applyBorder="1"/>
    <xf numFmtId="0" fontId="50" fillId="54" borderId="70" xfId="0" applyFont="1" applyFill="1" applyBorder="1" applyAlignment="1"/>
    <xf numFmtId="0" fontId="0" fillId="54" borderId="70" xfId="0" applyFill="1" applyBorder="1" applyAlignment="1"/>
    <xf numFmtId="0" fontId="1" fillId="54" borderId="66" xfId="0" applyFont="1" applyFill="1" applyBorder="1" applyAlignment="1">
      <alignment horizontal="left"/>
    </xf>
    <xf numFmtId="0" fontId="0" fillId="54" borderId="66" xfId="0" applyFill="1" applyBorder="1"/>
    <xf numFmtId="2" fontId="21" fillId="0" borderId="35" xfId="0" applyNumberFormat="1" applyFont="1" applyFill="1" applyBorder="1" applyAlignment="1">
      <alignment horizontal="center" wrapText="1"/>
    </xf>
    <xf numFmtId="2" fontId="21" fillId="0" borderId="93" xfId="0" applyNumberFormat="1" applyFont="1" applyFill="1" applyBorder="1" applyAlignment="1">
      <alignment horizontal="center" wrapText="1"/>
    </xf>
    <xf numFmtId="0" fontId="24" fillId="0" borderId="60" xfId="0" applyFont="1" applyFill="1" applyBorder="1" applyAlignment="1">
      <alignment vertical="center" wrapText="1"/>
    </xf>
    <xf numFmtId="0" fontId="24" fillId="0" borderId="50" xfId="0" applyFont="1" applyFill="1" applyBorder="1" applyAlignment="1">
      <alignment vertical="center" wrapText="1"/>
    </xf>
    <xf numFmtId="0" fontId="24" fillId="0" borderId="60" xfId="0" applyFont="1" applyFill="1" applyBorder="1" applyAlignment="1">
      <alignment horizontal="center" vertical="center" wrapText="1"/>
    </xf>
    <xf numFmtId="0" fontId="45" fillId="0" borderId="90" xfId="0" applyFont="1" applyFill="1" applyBorder="1" applyAlignment="1">
      <alignment horizontal="center" vertical="center" wrapText="1"/>
    </xf>
    <xf numFmtId="0" fontId="45" fillId="0" borderId="60" xfId="0" applyFont="1" applyFill="1" applyBorder="1" applyAlignment="1">
      <alignment horizontal="center" vertical="center" wrapText="1"/>
    </xf>
    <xf numFmtId="2" fontId="0" fillId="47" borderId="0" xfId="0" applyNumberFormat="1" applyFont="1" applyFill="1" applyBorder="1" applyAlignment="1">
      <alignment wrapText="1"/>
    </xf>
    <xf numFmtId="0" fontId="0" fillId="54" borderId="39" xfId="0" applyFill="1" applyBorder="1"/>
    <xf numFmtId="0" fontId="0" fillId="54" borderId="71" xfId="0" applyFont="1" applyFill="1" applyBorder="1"/>
    <xf numFmtId="0" fontId="0" fillId="54" borderId="71" xfId="0" applyFill="1" applyBorder="1"/>
    <xf numFmtId="0" fontId="0" fillId="54" borderId="71" xfId="0" applyFont="1" applyFill="1" applyBorder="1" applyAlignment="1">
      <alignment horizontal="center"/>
    </xf>
    <xf numFmtId="0" fontId="24" fillId="54" borderId="71" xfId="0" applyFont="1" applyFill="1" applyBorder="1"/>
    <xf numFmtId="2" fontId="0" fillId="54" borderId="71" xfId="0" applyNumberFormat="1" applyFill="1" applyBorder="1"/>
    <xf numFmtId="0" fontId="0" fillId="55" borderId="94" xfId="0" applyFill="1" applyBorder="1"/>
    <xf numFmtId="0" fontId="0" fillId="55" borderId="70" xfId="0" applyFont="1" applyFill="1" applyBorder="1"/>
    <xf numFmtId="0" fontId="50" fillId="55" borderId="70" xfId="0" applyFont="1" applyFill="1" applyBorder="1" applyAlignment="1"/>
    <xf numFmtId="0" fontId="0" fillId="55" borderId="70" xfId="0" applyFill="1" applyBorder="1" applyAlignment="1"/>
    <xf numFmtId="0" fontId="1" fillId="55" borderId="66" xfId="0" applyFont="1" applyFill="1" applyBorder="1" applyAlignment="1">
      <alignment horizontal="left"/>
    </xf>
    <xf numFmtId="0" fontId="0" fillId="55" borderId="66" xfId="0" applyFill="1" applyBorder="1"/>
    <xf numFmtId="0" fontId="1" fillId="0" borderId="89" xfId="0" applyFont="1" applyFill="1" applyBorder="1"/>
    <xf numFmtId="2" fontId="0" fillId="0" borderId="64" xfId="0" applyNumberFormat="1" applyFont="1" applyFill="1" applyBorder="1" applyAlignment="1">
      <alignment horizontal="center" wrapText="1"/>
    </xf>
    <xf numFmtId="2" fontId="21" fillId="0" borderId="57" xfId="0" applyNumberFormat="1" applyFont="1" applyFill="1" applyBorder="1" applyAlignment="1">
      <alignment horizontal="center" wrapText="1"/>
    </xf>
    <xf numFmtId="2" fontId="45" fillId="0" borderId="63" xfId="0" applyNumberFormat="1" applyFont="1" applyFill="1" applyBorder="1" applyAlignment="1">
      <alignment horizontal="center" vertical="center" wrapText="1"/>
    </xf>
    <xf numFmtId="2" fontId="21" fillId="27" borderId="35" xfId="0" applyNumberFormat="1" applyFont="1" applyFill="1" applyBorder="1" applyAlignment="1">
      <alignment horizontal="center" wrapText="1"/>
    </xf>
    <xf numFmtId="2" fontId="0" fillId="27" borderId="29" xfId="0" applyNumberFormat="1" applyFont="1" applyFill="1" applyBorder="1" applyAlignment="1">
      <alignment horizontal="center" wrapText="1"/>
    </xf>
    <xf numFmtId="0" fontId="24" fillId="27" borderId="29" xfId="0" applyFont="1" applyFill="1" applyBorder="1" applyAlignment="1">
      <alignment horizontal="center" vertical="center" wrapText="1"/>
    </xf>
    <xf numFmtId="0" fontId="45" fillId="27" borderId="89" xfId="0" applyFont="1" applyFill="1" applyBorder="1" applyAlignment="1">
      <alignment horizontal="center" vertical="center" wrapText="1"/>
    </xf>
    <xf numFmtId="2" fontId="21" fillId="27" borderId="93" xfId="0" applyNumberFormat="1" applyFont="1" applyFill="1" applyBorder="1" applyAlignment="1">
      <alignment horizontal="center" wrapText="1"/>
    </xf>
    <xf numFmtId="2" fontId="21" fillId="27" borderId="44" xfId="0" applyNumberFormat="1" applyFont="1" applyFill="1" applyBorder="1" applyAlignment="1">
      <alignment horizontal="center" wrapText="1"/>
    </xf>
    <xf numFmtId="0" fontId="0" fillId="55" borderId="39" xfId="0" applyFill="1" applyBorder="1"/>
    <xf numFmtId="0" fontId="0" fillId="55" borderId="71" xfId="0" applyFont="1" applyFill="1" applyBorder="1"/>
    <xf numFmtId="0" fontId="0" fillId="55" borderId="71" xfId="0" applyFill="1" applyBorder="1"/>
    <xf numFmtId="0" fontId="0" fillId="55" borderId="71" xfId="0" applyFont="1" applyFill="1" applyBorder="1" applyAlignment="1">
      <alignment horizontal="center"/>
    </xf>
    <xf numFmtId="0" fontId="24" fillId="55" borderId="71" xfId="0" applyFont="1" applyFill="1" applyBorder="1"/>
    <xf numFmtId="2" fontId="0" fillId="55" borderId="71" xfId="0" applyNumberFormat="1" applyFill="1" applyBorder="1"/>
    <xf numFmtId="0" fontId="0" fillId="56" borderId="94" xfId="0" applyFill="1" applyBorder="1"/>
    <xf numFmtId="0" fontId="0" fillId="56" borderId="70" xfId="0" applyFont="1" applyFill="1" applyBorder="1"/>
    <xf numFmtId="0" fontId="50" fillId="56" borderId="70" xfId="0" applyFont="1" applyFill="1" applyBorder="1" applyAlignment="1"/>
    <xf numFmtId="0" fontId="0" fillId="56" borderId="70" xfId="0" applyFill="1" applyBorder="1" applyAlignment="1"/>
    <xf numFmtId="0" fontId="1" fillId="56" borderId="66" xfId="0" applyFont="1" applyFill="1" applyBorder="1" applyAlignment="1">
      <alignment horizontal="left"/>
    </xf>
    <xf numFmtId="0" fontId="0" fillId="56" borderId="66" xfId="0" applyFill="1" applyBorder="1"/>
    <xf numFmtId="2" fontId="21" fillId="27" borderId="21" xfId="0" applyNumberFormat="1" applyFont="1" applyFill="1" applyBorder="1" applyAlignment="1">
      <alignment horizontal="center" vertical="center" wrapText="1"/>
    </xf>
    <xf numFmtId="0" fontId="0" fillId="56" borderId="39" xfId="0" applyFill="1" applyBorder="1"/>
    <xf numFmtId="0" fontId="0" fillId="56" borderId="71" xfId="0" applyFont="1" applyFill="1" applyBorder="1"/>
    <xf numFmtId="0" fontId="0" fillId="56" borderId="71" xfId="0" applyFill="1" applyBorder="1"/>
    <xf numFmtId="0" fontId="0" fillId="56" borderId="71" xfId="0" applyFont="1" applyFill="1" applyBorder="1" applyAlignment="1">
      <alignment horizontal="center"/>
    </xf>
    <xf numFmtId="0" fontId="24" fillId="56" borderId="71" xfId="0" applyFont="1" applyFill="1" applyBorder="1"/>
    <xf numFmtId="2" fontId="0" fillId="56" borderId="71" xfId="0" applyNumberFormat="1" applyFill="1" applyBorder="1"/>
    <xf numFmtId="2" fontId="21" fillId="0" borderId="41" xfId="0" applyNumberFormat="1" applyFont="1" applyFill="1" applyBorder="1" applyAlignment="1">
      <alignment horizontal="center" wrapText="1"/>
    </xf>
    <xf numFmtId="2" fontId="0" fillId="0" borderId="0" xfId="0" applyNumberFormat="1" applyFill="1" applyBorder="1" applyAlignment="1">
      <alignment vertical="center" wrapText="1"/>
    </xf>
    <xf numFmtId="11" fontId="21" fillId="0" borderId="0" xfId="0" applyNumberFormat="1" applyFont="1" applyFill="1" applyBorder="1" applyAlignment="1">
      <alignment horizontal="center" vertical="center" wrapText="1"/>
    </xf>
    <xf numFmtId="0" fontId="0" fillId="57" borderId="94" xfId="0" applyFill="1" applyBorder="1"/>
    <xf numFmtId="0" fontId="0" fillId="57" borderId="70" xfId="0" applyFont="1" applyFill="1" applyBorder="1"/>
    <xf numFmtId="0" fontId="50" fillId="57" borderId="70" xfId="0" applyFont="1" applyFill="1" applyBorder="1" applyAlignment="1"/>
    <xf numFmtId="0" fontId="0" fillId="57" borderId="70" xfId="0" applyFill="1" applyBorder="1" applyAlignment="1"/>
    <xf numFmtId="0" fontId="1" fillId="57" borderId="66" xfId="0" applyFont="1" applyFill="1" applyBorder="1" applyAlignment="1">
      <alignment horizontal="left"/>
    </xf>
    <xf numFmtId="0" fontId="0" fillId="57" borderId="66" xfId="0" applyFill="1" applyBorder="1"/>
    <xf numFmtId="2" fontId="24" fillId="27" borderId="85" xfId="0" applyNumberFormat="1" applyFont="1" applyFill="1" applyBorder="1" applyAlignment="1">
      <alignment vertical="center" wrapText="1"/>
    </xf>
    <xf numFmtId="2" fontId="45" fillId="27" borderId="10" xfId="0" applyNumberFormat="1" applyFont="1" applyFill="1" applyBorder="1" applyAlignment="1">
      <alignment horizontal="center" vertical="center" wrapText="1"/>
    </xf>
    <xf numFmtId="0" fontId="24" fillId="27" borderId="87" xfId="0" applyFont="1" applyFill="1" applyBorder="1" applyAlignment="1">
      <alignment vertical="center" wrapText="1"/>
    </xf>
    <xf numFmtId="2" fontId="45" fillId="27" borderId="16" xfId="0" applyNumberFormat="1" applyFont="1" applyFill="1" applyBorder="1" applyAlignment="1">
      <alignment horizontal="center" vertical="center" wrapText="1"/>
    </xf>
    <xf numFmtId="2" fontId="45" fillId="27" borderId="60" xfId="0" applyNumberFormat="1" applyFont="1" applyFill="1" applyBorder="1" applyAlignment="1">
      <alignment horizontal="center" wrapText="1"/>
    </xf>
    <xf numFmtId="0" fontId="24" fillId="22" borderId="10" xfId="0" applyFont="1" applyFill="1" applyBorder="1" applyAlignment="1">
      <alignment vertical="center" wrapText="1"/>
    </xf>
    <xf numFmtId="2" fontId="45" fillId="22" borderId="10" xfId="0" applyNumberFormat="1" applyFont="1" applyFill="1" applyBorder="1" applyAlignment="1">
      <alignment horizontal="center" wrapText="1"/>
    </xf>
    <xf numFmtId="0" fontId="24" fillId="22" borderId="85" xfId="0" applyFont="1" applyFill="1" applyBorder="1" applyAlignment="1">
      <alignment vertical="center" wrapText="1"/>
    </xf>
    <xf numFmtId="2" fontId="45" fillId="22" borderId="21" xfId="0" applyNumberFormat="1" applyFont="1" applyFill="1" applyBorder="1" applyAlignment="1">
      <alignment horizontal="center" vertical="center" wrapText="1"/>
    </xf>
    <xf numFmtId="0" fontId="24" fillId="22" borderId="91" xfId="0" applyFont="1" applyFill="1" applyBorder="1" applyAlignment="1">
      <alignment vertical="center" wrapText="1"/>
    </xf>
    <xf numFmtId="0" fontId="24" fillId="22" borderId="21" xfId="0" applyFont="1" applyFill="1" applyBorder="1" applyAlignment="1">
      <alignment vertical="center" wrapText="1"/>
    </xf>
    <xf numFmtId="0" fontId="45" fillId="22" borderId="21" xfId="0" applyFont="1" applyFill="1" applyBorder="1" applyAlignment="1">
      <alignment horizontal="center" vertical="center" wrapText="1"/>
    </xf>
    <xf numFmtId="2" fontId="24" fillId="22" borderId="85" xfId="0" applyNumberFormat="1" applyFont="1" applyFill="1" applyBorder="1" applyAlignment="1">
      <alignment vertical="center" wrapText="1"/>
    </xf>
    <xf numFmtId="2" fontId="45" fillId="22" borderId="10" xfId="0" applyNumberFormat="1" applyFont="1" applyFill="1" applyBorder="1" applyAlignment="1">
      <alignment horizontal="center" vertical="center" wrapText="1"/>
    </xf>
    <xf numFmtId="2" fontId="45" fillId="22" borderId="86" xfId="0" applyNumberFormat="1" applyFont="1" applyFill="1" applyBorder="1" applyAlignment="1">
      <alignment horizontal="center" vertical="center" wrapText="1"/>
    </xf>
    <xf numFmtId="0" fontId="24" fillId="22" borderId="16" xfId="0" applyFont="1" applyFill="1" applyBorder="1" applyAlignment="1">
      <alignment vertical="center" wrapText="1"/>
    </xf>
    <xf numFmtId="2" fontId="45" fillId="22" borderId="19" xfId="0" applyNumberFormat="1" applyFont="1" applyFill="1" applyBorder="1" applyAlignment="1">
      <alignment horizontal="center" wrapText="1"/>
    </xf>
    <xf numFmtId="2" fontId="45" fillId="22" borderId="29" xfId="0" applyNumberFormat="1" applyFont="1" applyFill="1" applyBorder="1" applyAlignment="1">
      <alignment horizontal="center" wrapText="1"/>
    </xf>
    <xf numFmtId="0" fontId="24" fillId="22" borderId="87" xfId="0" applyFont="1" applyFill="1" applyBorder="1" applyAlignment="1">
      <alignment vertical="center" wrapText="1"/>
    </xf>
    <xf numFmtId="2" fontId="45" fillId="22" borderId="29" xfId="0" applyNumberFormat="1" applyFont="1" applyFill="1" applyBorder="1" applyAlignment="1">
      <alignment horizontal="center" vertical="center" wrapText="1"/>
    </xf>
    <xf numFmtId="0" fontId="24" fillId="22" borderId="89" xfId="0" applyFont="1" applyFill="1" applyBorder="1" applyAlignment="1">
      <alignment vertical="center" wrapText="1"/>
    </xf>
    <xf numFmtId="0" fontId="24" fillId="22" borderId="29" xfId="0" applyFont="1" applyFill="1" applyBorder="1" applyAlignment="1">
      <alignment vertical="center" wrapText="1"/>
    </xf>
    <xf numFmtId="0" fontId="45" fillId="22" borderId="29" xfId="0" applyFont="1" applyFill="1" applyBorder="1" applyAlignment="1">
      <alignment horizontal="center" vertical="center" wrapText="1"/>
    </xf>
    <xf numFmtId="2" fontId="24" fillId="22" borderId="87" xfId="0" applyNumberFormat="1" applyFont="1" applyFill="1" applyBorder="1" applyAlignment="1">
      <alignment vertical="center" wrapText="1"/>
    </xf>
    <xf numFmtId="2" fontId="45" fillId="22" borderId="16" xfId="0" applyNumberFormat="1" applyFont="1" applyFill="1" applyBorder="1" applyAlignment="1">
      <alignment horizontal="center" vertical="center" wrapText="1"/>
    </xf>
    <xf numFmtId="2" fontId="45" fillId="22" borderId="14" xfId="0" applyNumberFormat="1" applyFont="1" applyFill="1" applyBorder="1" applyAlignment="1">
      <alignment horizontal="center" vertical="center" wrapText="1"/>
    </xf>
    <xf numFmtId="2" fontId="45" fillId="22" borderId="64" xfId="0" applyNumberFormat="1" applyFont="1" applyFill="1" applyBorder="1" applyAlignment="1">
      <alignment horizontal="center" wrapText="1"/>
    </xf>
    <xf numFmtId="2" fontId="24" fillId="22" borderId="89" xfId="0" applyNumberFormat="1" applyFont="1" applyFill="1" applyBorder="1" applyAlignment="1">
      <alignment vertical="center" wrapText="1"/>
    </xf>
    <xf numFmtId="2" fontId="45" fillId="22" borderId="30" xfId="0" applyNumberFormat="1" applyFont="1" applyFill="1" applyBorder="1" applyAlignment="1">
      <alignment horizontal="center" vertical="center" wrapText="1"/>
    </xf>
    <xf numFmtId="0" fontId="24" fillId="27" borderId="19" xfId="0" applyFont="1" applyFill="1" applyBorder="1" applyAlignment="1">
      <alignment vertical="center" wrapText="1"/>
    </xf>
    <xf numFmtId="2" fontId="45" fillId="27" borderId="19" xfId="0" applyNumberFormat="1" applyFont="1" applyFill="1" applyBorder="1" applyAlignment="1">
      <alignment horizontal="center" vertical="center" wrapText="1"/>
    </xf>
    <xf numFmtId="2" fontId="24" fillId="27" borderId="27" xfId="0" applyNumberFormat="1" applyFont="1" applyFill="1" applyBorder="1" applyAlignment="1">
      <alignment vertical="center" wrapText="1"/>
    </xf>
    <xf numFmtId="0" fontId="0" fillId="57" borderId="39" xfId="0" applyFill="1" applyBorder="1"/>
    <xf numFmtId="0" fontId="0" fillId="57" borderId="71" xfId="0" applyFont="1" applyFill="1" applyBorder="1"/>
    <xf numFmtId="0" fontId="0" fillId="57" borderId="71" xfId="0" applyFill="1" applyBorder="1"/>
    <xf numFmtId="0" fontId="0" fillId="57" borderId="71" xfId="0" applyFont="1" applyFill="1" applyBorder="1" applyAlignment="1">
      <alignment horizontal="center"/>
    </xf>
    <xf numFmtId="0" fontId="24" fillId="57" borderId="71" xfId="0" applyFont="1" applyFill="1" applyBorder="1"/>
    <xf numFmtId="2" fontId="0" fillId="57" borderId="71" xfId="0" applyNumberFormat="1" applyFill="1" applyBorder="1"/>
    <xf numFmtId="0" fontId="0" fillId="58" borderId="94" xfId="0" applyFill="1" applyBorder="1"/>
    <xf numFmtId="0" fontId="0" fillId="58" borderId="70" xfId="0" applyFont="1" applyFill="1" applyBorder="1"/>
    <xf numFmtId="0" fontId="50" fillId="58" borderId="70" xfId="0" applyFont="1" applyFill="1" applyBorder="1" applyAlignment="1"/>
    <xf numFmtId="0" fontId="0" fillId="58" borderId="70" xfId="0" applyFill="1" applyBorder="1" applyAlignment="1"/>
    <xf numFmtId="0" fontId="1" fillId="58" borderId="66" xfId="0" applyFont="1" applyFill="1" applyBorder="1" applyAlignment="1">
      <alignment horizontal="left"/>
    </xf>
    <xf numFmtId="0" fontId="0" fillId="58" borderId="39" xfId="0" applyFill="1" applyBorder="1"/>
    <xf numFmtId="0" fontId="0" fillId="58" borderId="71" xfId="0" applyFont="1" applyFill="1" applyBorder="1"/>
    <xf numFmtId="0" fontId="0" fillId="58" borderId="71" xfId="0" applyFill="1" applyBorder="1"/>
    <xf numFmtId="2" fontId="0" fillId="58" borderId="71" xfId="0" applyNumberFormat="1" applyFill="1" applyBorder="1"/>
    <xf numFmtId="0" fontId="0" fillId="0" borderId="2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24" fillId="22" borderId="95" xfId="0" applyFont="1" applyFill="1" applyBorder="1" applyAlignment="1">
      <alignment vertical="center" wrapText="1"/>
    </xf>
    <xf numFmtId="2" fontId="45" fillId="22" borderId="18" xfId="0" applyNumberFormat="1" applyFont="1" applyFill="1" applyBorder="1" applyAlignment="1">
      <alignment horizontal="center" vertical="center" wrapText="1"/>
    </xf>
    <xf numFmtId="0" fontId="24" fillId="22" borderId="18" xfId="0" applyFont="1" applyFill="1" applyBorder="1" applyAlignment="1">
      <alignment vertical="center" wrapText="1"/>
    </xf>
    <xf numFmtId="0" fontId="45" fillId="22" borderId="18" xfId="0" applyFont="1" applyFill="1" applyBorder="1" applyAlignment="1">
      <alignment horizontal="center" vertical="center" wrapText="1"/>
    </xf>
    <xf numFmtId="2" fontId="24" fillId="22" borderId="95" xfId="0" applyNumberFormat="1" applyFont="1" applyFill="1" applyBorder="1" applyAlignment="1">
      <alignment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24" fillId="27" borderId="33" xfId="0" applyFont="1" applyFill="1" applyBorder="1" applyAlignment="1">
      <alignment vertical="center" wrapText="1"/>
    </xf>
    <xf numFmtId="0" fontId="24" fillId="27" borderId="101" xfId="0" applyFont="1" applyFill="1" applyBorder="1" applyAlignment="1">
      <alignment vertical="center" wrapText="1"/>
    </xf>
    <xf numFmtId="2" fontId="45" fillId="27" borderId="60" xfId="0" applyNumberFormat="1" applyFont="1" applyFill="1" applyBorder="1" applyAlignment="1">
      <alignment horizontal="center" vertical="center" wrapText="1"/>
    </xf>
    <xf numFmtId="0" fontId="24" fillId="27" borderId="60" xfId="0" applyFont="1" applyFill="1" applyBorder="1" applyAlignment="1">
      <alignment vertical="center" wrapText="1"/>
    </xf>
    <xf numFmtId="0" fontId="45" fillId="27" borderId="60" xfId="0" applyFont="1" applyFill="1" applyBorder="1" applyAlignment="1">
      <alignment horizontal="center" vertical="center" wrapText="1"/>
    </xf>
    <xf numFmtId="2" fontId="24" fillId="27" borderId="90" xfId="0" applyNumberFormat="1" applyFont="1" applyFill="1" applyBorder="1" applyAlignment="1">
      <alignment vertical="center" wrapText="1"/>
    </xf>
    <xf numFmtId="0" fontId="24" fillId="36" borderId="37" xfId="0" applyFont="1" applyFill="1" applyBorder="1" applyAlignment="1">
      <alignment vertical="center" wrapText="1"/>
    </xf>
    <xf numFmtId="0" fontId="38" fillId="36" borderId="65" xfId="0" applyFont="1" applyFill="1" applyBorder="1" applyAlignment="1">
      <alignment vertical="center" wrapText="1"/>
    </xf>
    <xf numFmtId="0" fontId="38" fillId="36" borderId="35" xfId="0" applyFont="1" applyFill="1" applyBorder="1" applyAlignment="1">
      <alignment vertical="center" wrapText="1"/>
    </xf>
    <xf numFmtId="0" fontId="24" fillId="36" borderId="51" xfId="0" applyFont="1" applyFill="1" applyBorder="1" applyAlignment="1">
      <alignment vertical="center" wrapText="1"/>
    </xf>
    <xf numFmtId="0" fontId="38" fillId="36" borderId="0" xfId="0" applyFont="1" applyFill="1" applyBorder="1" applyAlignment="1">
      <alignment horizontal="left" vertical="center" wrapText="1"/>
    </xf>
    <xf numFmtId="0" fontId="38" fillId="36" borderId="0" xfId="0" applyFont="1" applyFill="1" applyBorder="1" applyAlignment="1">
      <alignment vertical="center" wrapText="1"/>
    </xf>
    <xf numFmtId="0" fontId="38" fillId="36" borderId="0" xfId="0" applyFont="1" applyFill="1" applyBorder="1" applyAlignment="1">
      <alignment horizontal="center" vertical="center" wrapText="1"/>
    </xf>
    <xf numFmtId="2" fontId="38" fillId="36" borderId="0" xfId="0" applyNumberFormat="1" applyFont="1" applyFill="1" applyBorder="1" applyAlignment="1">
      <alignment vertical="center" wrapText="1"/>
    </xf>
    <xf numFmtId="0" fontId="38" fillId="36" borderId="57" xfId="0" applyFont="1" applyFill="1" applyBorder="1" applyAlignment="1">
      <alignment vertical="center" wrapText="1"/>
    </xf>
    <xf numFmtId="0" fontId="24" fillId="36" borderId="51" xfId="0" applyFont="1" applyFill="1" applyBorder="1" applyAlignment="1">
      <alignment vertical="center"/>
    </xf>
    <xf numFmtId="0" fontId="24" fillId="36" borderId="52" xfId="0" applyFont="1" applyFill="1" applyBorder="1" applyAlignment="1">
      <alignment vertical="center"/>
    </xf>
    <xf numFmtId="0" fontId="24" fillId="36" borderId="36" xfId="0" applyFont="1" applyFill="1" applyBorder="1" applyAlignment="1">
      <alignment horizontal="left" vertical="center" wrapText="1"/>
    </xf>
    <xf numFmtId="0" fontId="24" fillId="36" borderId="36" xfId="0" applyFont="1" applyFill="1" applyBorder="1" applyAlignment="1">
      <alignment vertical="center"/>
    </xf>
    <xf numFmtId="0" fontId="24" fillId="36" borderId="36" xfId="0" applyFont="1" applyFill="1" applyBorder="1" applyAlignment="1">
      <alignment horizontal="center" vertical="center"/>
    </xf>
    <xf numFmtId="2" fontId="24" fillId="36" borderId="36" xfId="0" applyNumberFormat="1" applyFont="1" applyFill="1" applyBorder="1" applyAlignment="1">
      <alignment vertical="center"/>
    </xf>
    <xf numFmtId="0" fontId="24" fillId="36" borderId="40" xfId="0" applyFont="1" applyFill="1" applyBorder="1" applyAlignment="1">
      <alignment vertical="center"/>
    </xf>
    <xf numFmtId="0" fontId="24" fillId="0" borderId="0" xfId="0" applyFont="1" applyFill="1" applyAlignment="1">
      <alignment vertical="center"/>
    </xf>
    <xf numFmtId="0" fontId="24" fillId="33" borderId="52" xfId="0" applyFont="1" applyFill="1" applyBorder="1" applyAlignment="1">
      <alignment vertical="center"/>
    </xf>
    <xf numFmtId="0" fontId="24" fillId="33" borderId="36" xfId="0" applyFont="1" applyFill="1" applyBorder="1" applyAlignment="1">
      <alignment horizontal="left" vertical="center" wrapText="1"/>
    </xf>
    <xf numFmtId="0" fontId="24" fillId="33" borderId="36" xfId="0" applyFont="1" applyFill="1" applyBorder="1" applyAlignment="1">
      <alignment vertical="center"/>
    </xf>
    <xf numFmtId="0" fontId="24" fillId="33" borderId="36" xfId="0" applyFont="1" applyFill="1" applyBorder="1" applyAlignment="1">
      <alignment horizontal="center" vertical="center"/>
    </xf>
    <xf numFmtId="2" fontId="24" fillId="33" borderId="36" xfId="0" applyNumberFormat="1" applyFont="1" applyFill="1" applyBorder="1" applyAlignment="1">
      <alignment vertical="center"/>
    </xf>
    <xf numFmtId="0" fontId="24" fillId="33" borderId="40" xfId="0" applyFont="1" applyFill="1" applyBorder="1" applyAlignment="1">
      <alignment vertical="center"/>
    </xf>
    <xf numFmtId="0" fontId="24" fillId="45" borderId="52" xfId="0" applyFont="1" applyFill="1" applyBorder="1" applyAlignment="1">
      <alignment vertical="center"/>
    </xf>
    <xf numFmtId="0" fontId="24" fillId="45" borderId="36" xfId="0" applyFont="1" applyFill="1" applyBorder="1" applyAlignment="1">
      <alignment horizontal="left" vertical="center" wrapText="1"/>
    </xf>
    <xf numFmtId="0" fontId="24" fillId="45" borderId="36" xfId="0" applyFont="1" applyFill="1" applyBorder="1" applyAlignment="1">
      <alignment vertical="center"/>
    </xf>
    <xf numFmtId="0" fontId="24" fillId="45" borderId="36" xfId="0" applyFont="1" applyFill="1" applyBorder="1" applyAlignment="1">
      <alignment horizontal="center" vertical="center"/>
    </xf>
    <xf numFmtId="2" fontId="24" fillId="45" borderId="36" xfId="0" applyNumberFormat="1" applyFont="1" applyFill="1" applyBorder="1" applyAlignment="1">
      <alignment vertical="center"/>
    </xf>
    <xf numFmtId="0" fontId="24" fillId="45" borderId="40" xfId="0" applyFont="1" applyFill="1" applyBorder="1" applyAlignment="1">
      <alignment vertical="center"/>
    </xf>
    <xf numFmtId="0" fontId="24" fillId="24" borderId="52" xfId="0" applyFont="1" applyFill="1" applyBorder="1" applyAlignment="1">
      <alignment vertical="center"/>
    </xf>
    <xf numFmtId="0" fontId="24" fillId="24" borderId="36" xfId="0" applyFont="1" applyFill="1" applyBorder="1" applyAlignment="1">
      <alignment horizontal="left" vertical="center" wrapText="1"/>
    </xf>
    <xf numFmtId="0" fontId="24" fillId="24" borderId="36" xfId="0" applyFont="1" applyFill="1" applyBorder="1" applyAlignment="1">
      <alignment vertical="center"/>
    </xf>
    <xf numFmtId="0" fontId="24" fillId="24" borderId="36" xfId="0" applyFont="1" applyFill="1" applyBorder="1" applyAlignment="1">
      <alignment horizontal="center" vertical="center"/>
    </xf>
    <xf numFmtId="2" fontId="24" fillId="24" borderId="36" xfId="0" applyNumberFormat="1" applyFont="1" applyFill="1" applyBorder="1" applyAlignment="1">
      <alignment vertical="center"/>
    </xf>
    <xf numFmtId="0" fontId="24" fillId="24" borderId="40" xfId="0" applyFont="1" applyFill="1" applyBorder="1" applyAlignment="1">
      <alignment vertical="center"/>
    </xf>
    <xf numFmtId="0" fontId="24" fillId="46" borderId="37" xfId="0" applyFont="1" applyFill="1" applyBorder="1" applyAlignment="1">
      <alignment vertical="center" wrapText="1"/>
    </xf>
    <xf numFmtId="0" fontId="38" fillId="46" borderId="65" xfId="0" applyFont="1" applyFill="1" applyBorder="1" applyAlignment="1">
      <alignment vertical="center" wrapText="1"/>
    </xf>
    <xf numFmtId="0" fontId="38" fillId="46" borderId="35" xfId="0" applyFont="1" applyFill="1" applyBorder="1" applyAlignment="1">
      <alignment vertical="center" wrapText="1"/>
    </xf>
    <xf numFmtId="0" fontId="24" fillId="46" borderId="51" xfId="0" applyFont="1" applyFill="1" applyBorder="1" applyAlignment="1">
      <alignment vertical="center" wrapText="1"/>
    </xf>
    <xf numFmtId="0" fontId="38" fillId="46" borderId="0" xfId="0" applyFont="1" applyFill="1" applyBorder="1" applyAlignment="1">
      <alignment horizontal="left" vertical="center" wrapText="1"/>
    </xf>
    <xf numFmtId="0" fontId="38" fillId="46" borderId="0" xfId="0" applyFont="1" applyFill="1" applyBorder="1" applyAlignment="1">
      <alignment vertical="center" wrapText="1"/>
    </xf>
    <xf numFmtId="0" fontId="38" fillId="46" borderId="0" xfId="0" applyFont="1" applyFill="1" applyBorder="1" applyAlignment="1">
      <alignment horizontal="center" vertical="center" wrapText="1"/>
    </xf>
    <xf numFmtId="2" fontId="38" fillId="46" borderId="0" xfId="0" applyNumberFormat="1" applyFont="1" applyFill="1" applyBorder="1" applyAlignment="1">
      <alignment vertical="center" wrapText="1"/>
    </xf>
    <xf numFmtId="0" fontId="38" fillId="46" borderId="57" xfId="0" applyFont="1" applyFill="1" applyBorder="1" applyAlignment="1">
      <alignment vertical="center" wrapText="1"/>
    </xf>
    <xf numFmtId="0" fontId="24" fillId="46" borderId="52" xfId="0" applyFont="1" applyFill="1" applyBorder="1" applyAlignment="1">
      <alignment vertical="center"/>
    </xf>
    <xf numFmtId="0" fontId="24" fillId="46" borderId="36" xfId="0" applyFont="1" applyFill="1" applyBorder="1" applyAlignment="1">
      <alignment horizontal="left" vertical="center" wrapText="1"/>
    </xf>
    <xf numFmtId="0" fontId="24" fillId="46" borderId="36" xfId="0" applyFont="1" applyFill="1" applyBorder="1" applyAlignment="1">
      <alignment vertical="center"/>
    </xf>
    <xf numFmtId="0" fontId="24" fillId="46" borderId="36" xfId="0" applyFont="1" applyFill="1" applyBorder="1" applyAlignment="1">
      <alignment horizontal="center" vertical="center"/>
    </xf>
    <xf numFmtId="2" fontId="24" fillId="46" borderId="36" xfId="0" applyNumberFormat="1" applyFont="1" applyFill="1" applyBorder="1" applyAlignment="1">
      <alignment vertical="center"/>
    </xf>
    <xf numFmtId="0" fontId="24" fillId="46" borderId="40" xfId="0" applyFont="1" applyFill="1" applyBorder="1" applyAlignment="1">
      <alignment vertical="center"/>
    </xf>
    <xf numFmtId="0" fontId="24" fillId="57" borderId="37" xfId="0" applyFont="1" applyFill="1" applyBorder="1" applyAlignment="1">
      <alignment vertical="center"/>
    </xf>
    <xf numFmtId="0" fontId="38" fillId="57" borderId="65" xfId="0" applyFont="1" applyFill="1" applyBorder="1" applyAlignment="1">
      <alignment vertical="center" wrapText="1"/>
    </xf>
    <xf numFmtId="0" fontId="38" fillId="57" borderId="35" xfId="0" applyFont="1" applyFill="1" applyBorder="1" applyAlignment="1">
      <alignment vertical="center" wrapText="1"/>
    </xf>
    <xf numFmtId="0" fontId="24" fillId="57" borderId="51" xfId="0" applyFont="1" applyFill="1" applyBorder="1" applyAlignment="1">
      <alignment vertical="center"/>
    </xf>
    <xf numFmtId="0" fontId="24" fillId="0" borderId="0" xfId="0" applyFont="1" applyBorder="1" applyAlignment="1">
      <alignment horizontal="left" vertical="center" wrapText="1"/>
    </xf>
    <xf numFmtId="0" fontId="24" fillId="0" borderId="0" xfId="0" applyFont="1" applyBorder="1" applyAlignment="1">
      <alignment vertical="center"/>
    </xf>
    <xf numFmtId="0" fontId="24" fillId="0" borderId="0" xfId="0" applyFont="1" applyBorder="1" applyAlignment="1">
      <alignment horizontal="center" vertical="center"/>
    </xf>
    <xf numFmtId="2" fontId="24" fillId="0" borderId="0" xfId="0" applyNumberFormat="1" applyFont="1" applyBorder="1" applyAlignment="1">
      <alignment vertical="center"/>
    </xf>
    <xf numFmtId="0" fontId="24" fillId="0" borderId="57" xfId="0" applyFont="1" applyBorder="1" applyAlignment="1">
      <alignment vertical="center"/>
    </xf>
    <xf numFmtId="0" fontId="24" fillId="57" borderId="52" xfId="0" applyFont="1" applyFill="1" applyBorder="1" applyAlignment="1">
      <alignment vertical="center"/>
    </xf>
    <xf numFmtId="0" fontId="24" fillId="57" borderId="36" xfId="0" applyFont="1" applyFill="1" applyBorder="1" applyAlignment="1">
      <alignment horizontal="left" vertical="center" wrapText="1"/>
    </xf>
    <xf numFmtId="0" fontId="24" fillId="57" borderId="36" xfId="0" applyFont="1" applyFill="1" applyBorder="1" applyAlignment="1">
      <alignment vertical="center"/>
    </xf>
    <xf numFmtId="0" fontId="24" fillId="57" borderId="36" xfId="0" applyFont="1" applyFill="1" applyBorder="1" applyAlignment="1">
      <alignment horizontal="center" vertical="center"/>
    </xf>
    <xf numFmtId="2" fontId="24" fillId="57" borderId="36" xfId="0" applyNumberFormat="1" applyFont="1" applyFill="1" applyBorder="1" applyAlignment="1">
      <alignment vertical="center"/>
    </xf>
    <xf numFmtId="0" fontId="24" fillId="57" borderId="40" xfId="0" applyFont="1" applyFill="1" applyBorder="1" applyAlignment="1">
      <alignment vertical="center"/>
    </xf>
    <xf numFmtId="0" fontId="24" fillId="58" borderId="37" xfId="0" applyFont="1" applyFill="1" applyBorder="1" applyAlignment="1">
      <alignment vertical="center"/>
    </xf>
    <xf numFmtId="0" fontId="38" fillId="58" borderId="65" xfId="0" applyFont="1" applyFill="1" applyBorder="1" applyAlignment="1">
      <alignment vertical="center" wrapText="1"/>
    </xf>
    <xf numFmtId="0" fontId="38" fillId="58" borderId="35" xfId="0" applyFont="1" applyFill="1" applyBorder="1" applyAlignment="1">
      <alignment vertical="center" wrapText="1"/>
    </xf>
    <xf numFmtId="0" fontId="24" fillId="58" borderId="51" xfId="0" applyFont="1" applyFill="1" applyBorder="1" applyAlignment="1">
      <alignment vertical="center"/>
    </xf>
    <xf numFmtId="0" fontId="24" fillId="58" borderId="52" xfId="0" applyFont="1" applyFill="1" applyBorder="1" applyAlignment="1">
      <alignment vertical="center"/>
    </xf>
    <xf numFmtId="0" fontId="24" fillId="58" borderId="36" xfId="0" applyFont="1" applyFill="1" applyBorder="1" applyAlignment="1">
      <alignment horizontal="left" vertical="center" wrapText="1"/>
    </xf>
    <xf numFmtId="0" fontId="24" fillId="58" borderId="36" xfId="0" applyFont="1" applyFill="1" applyBorder="1" applyAlignment="1">
      <alignment vertical="center"/>
    </xf>
    <xf numFmtId="0" fontId="24" fillId="58" borderId="36" xfId="0" applyFont="1" applyFill="1" applyBorder="1" applyAlignment="1">
      <alignment horizontal="center" vertical="center"/>
    </xf>
    <xf numFmtId="2" fontId="24" fillId="58" borderId="36" xfId="0" applyNumberFormat="1" applyFont="1" applyFill="1" applyBorder="1" applyAlignment="1">
      <alignment vertical="center"/>
    </xf>
    <xf numFmtId="0" fontId="24" fillId="58" borderId="40" xfId="0" applyFont="1" applyFill="1" applyBorder="1" applyAlignment="1">
      <alignment vertical="center"/>
    </xf>
    <xf numFmtId="0" fontId="24" fillId="59" borderId="37" xfId="0" applyFont="1" applyFill="1" applyBorder="1" applyAlignment="1">
      <alignment vertical="center"/>
    </xf>
    <xf numFmtId="0" fontId="38" fillId="59" borderId="65" xfId="0" applyFont="1" applyFill="1" applyBorder="1" applyAlignment="1">
      <alignment vertical="center" wrapText="1"/>
    </xf>
    <xf numFmtId="0" fontId="38" fillId="59" borderId="35" xfId="0" applyFont="1" applyFill="1" applyBorder="1" applyAlignment="1">
      <alignment vertical="center" wrapText="1"/>
    </xf>
    <xf numFmtId="0" fontId="24" fillId="59" borderId="51" xfId="0" applyFont="1" applyFill="1" applyBorder="1" applyAlignment="1">
      <alignment vertical="center"/>
    </xf>
    <xf numFmtId="0" fontId="24" fillId="59" borderId="52" xfId="0" applyFont="1" applyFill="1" applyBorder="1" applyAlignment="1">
      <alignment vertical="center"/>
    </xf>
    <xf numFmtId="0" fontId="24" fillId="59" borderId="36" xfId="0" applyFont="1" applyFill="1" applyBorder="1" applyAlignment="1">
      <alignment horizontal="left" vertical="center" wrapText="1"/>
    </xf>
    <xf numFmtId="0" fontId="24" fillId="59" borderId="36" xfId="0" applyFont="1" applyFill="1" applyBorder="1" applyAlignment="1">
      <alignment vertical="center"/>
    </xf>
    <xf numFmtId="0" fontId="24" fillId="59" borderId="36" xfId="0" applyFont="1" applyFill="1" applyBorder="1" applyAlignment="1">
      <alignment horizontal="center" vertical="center"/>
    </xf>
    <xf numFmtId="2" fontId="24" fillId="59" borderId="36" xfId="0" applyNumberFormat="1" applyFont="1" applyFill="1" applyBorder="1" applyAlignment="1">
      <alignment vertical="center"/>
    </xf>
    <xf numFmtId="0" fontId="24" fillId="59" borderId="40" xfId="0" applyFont="1" applyFill="1" applyBorder="1" applyAlignment="1">
      <alignment vertical="center"/>
    </xf>
    <xf numFmtId="0" fontId="24" fillId="27" borderId="32" xfId="0" applyFont="1" applyFill="1" applyBorder="1" applyAlignment="1">
      <alignment vertical="center" wrapText="1"/>
    </xf>
    <xf numFmtId="0" fontId="24" fillId="27" borderId="86" xfId="0" applyFont="1" applyFill="1" applyBorder="1" applyAlignment="1">
      <alignment vertical="center" wrapText="1"/>
    </xf>
    <xf numFmtId="0" fontId="24" fillId="27" borderId="14" xfId="0" applyFont="1" applyFill="1" applyBorder="1" applyAlignment="1">
      <alignment vertical="center" wrapText="1"/>
    </xf>
    <xf numFmtId="0" fontId="24" fillId="27" borderId="30" xfId="0" applyFont="1" applyFill="1" applyBorder="1" applyAlignment="1">
      <alignment vertical="center" wrapText="1"/>
    </xf>
    <xf numFmtId="0" fontId="24" fillId="0" borderId="30" xfId="0" applyFont="1" applyFill="1" applyBorder="1" applyAlignment="1">
      <alignment vertical="center" wrapText="1"/>
    </xf>
    <xf numFmtId="2" fontId="24" fillId="0" borderId="16" xfId="0" applyNumberFormat="1" applyFont="1" applyFill="1" applyBorder="1" applyAlignment="1">
      <alignment vertical="center" wrapText="1"/>
    </xf>
    <xf numFmtId="2" fontId="0" fillId="0" borderId="95" xfId="0" applyNumberFormat="1" applyFill="1" applyBorder="1" applyAlignment="1">
      <alignment vertical="center" wrapText="1"/>
    </xf>
    <xf numFmtId="2" fontId="45" fillId="27" borderId="33" xfId="0" applyNumberFormat="1" applyFont="1" applyFill="1" applyBorder="1" applyAlignment="1">
      <alignment horizontal="center" vertical="center" wrapText="1"/>
    </xf>
    <xf numFmtId="11" fontId="21" fillId="18" borderId="0" xfId="0" applyNumberFormat="1" applyFont="1" applyFill="1" applyBorder="1" applyAlignment="1">
      <alignment horizontal="center" vertical="center" wrapText="1"/>
    </xf>
    <xf numFmtId="2" fontId="45" fillId="27" borderId="34" xfId="0" applyNumberFormat="1" applyFont="1" applyFill="1" applyBorder="1" applyAlignment="1">
      <alignment horizontal="center" vertical="center" wrapText="1"/>
    </xf>
    <xf numFmtId="2" fontId="45" fillId="27" borderId="32" xfId="0" applyNumberFormat="1" applyFont="1" applyFill="1" applyBorder="1" applyAlignment="1">
      <alignment horizontal="center" vertical="center" wrapText="1"/>
    </xf>
    <xf numFmtId="0" fontId="24" fillId="0" borderId="26" xfId="0" applyFont="1" applyFill="1" applyBorder="1" applyAlignment="1">
      <alignment vertical="center" wrapText="1"/>
    </xf>
    <xf numFmtId="0" fontId="24" fillId="0" borderId="62" xfId="0" applyFont="1" applyFill="1" applyBorder="1" applyAlignment="1">
      <alignment vertical="center" wrapText="1"/>
    </xf>
    <xf numFmtId="0" fontId="45" fillId="0" borderId="63" xfId="0" applyFont="1" applyFill="1" applyBorder="1" applyAlignment="1">
      <alignment horizontal="center" vertical="center" wrapText="1"/>
    </xf>
    <xf numFmtId="0" fontId="24" fillId="27" borderId="24" xfId="0" applyFont="1" applyFill="1" applyBorder="1" applyAlignment="1">
      <alignment vertical="center" wrapText="1"/>
    </xf>
    <xf numFmtId="0" fontId="24" fillId="0" borderId="86" xfId="0" applyFont="1" applyFill="1" applyBorder="1" applyAlignment="1">
      <alignment vertical="center" wrapText="1"/>
    </xf>
    <xf numFmtId="0" fontId="24" fillId="30" borderId="65" xfId="0" applyFont="1" applyFill="1" applyBorder="1" applyAlignment="1">
      <alignment wrapText="1"/>
    </xf>
    <xf numFmtId="0" fontId="24" fillId="30" borderId="65" xfId="0" applyFont="1" applyFill="1" applyBorder="1" applyAlignment="1">
      <alignment horizontal="center" wrapText="1"/>
    </xf>
    <xf numFmtId="0" fontId="24" fillId="18" borderId="95" xfId="0" applyFont="1" applyFill="1" applyBorder="1" applyAlignment="1">
      <alignment vertical="center" wrapText="1"/>
    </xf>
    <xf numFmtId="0" fontId="24" fillId="18" borderId="89" xfId="0" applyFont="1" applyFill="1" applyBorder="1" applyAlignment="1">
      <alignment vertical="center" wrapText="1"/>
    </xf>
    <xf numFmtId="0" fontId="24" fillId="18" borderId="94" xfId="0" applyFont="1" applyFill="1" applyBorder="1" applyAlignment="1">
      <alignment vertical="center" wrapText="1"/>
    </xf>
    <xf numFmtId="2" fontId="45" fillId="18" borderId="29" xfId="0" applyNumberFormat="1" applyFont="1" applyFill="1" applyBorder="1" applyAlignment="1">
      <alignment horizontal="center" vertical="center" wrapText="1"/>
    </xf>
    <xf numFmtId="0" fontId="24" fillId="18" borderId="29" xfId="0" applyFont="1" applyFill="1" applyBorder="1" applyAlignment="1">
      <alignment vertical="center" wrapText="1"/>
    </xf>
    <xf numFmtId="0" fontId="45" fillId="18" borderId="29" xfId="0" applyFont="1" applyFill="1" applyBorder="1" applyAlignment="1">
      <alignment horizontal="center" vertical="center" wrapText="1"/>
    </xf>
    <xf numFmtId="2" fontId="24" fillId="18" borderId="89" xfId="0" applyNumberFormat="1" applyFont="1" applyFill="1" applyBorder="1" applyAlignment="1">
      <alignment vertical="center" wrapText="1"/>
    </xf>
    <xf numFmtId="0" fontId="24" fillId="27" borderId="22" xfId="0" applyFont="1" applyFill="1" applyBorder="1" applyAlignment="1">
      <alignment vertical="center" wrapText="1"/>
    </xf>
    <xf numFmtId="0" fontId="45" fillId="27" borderId="91" xfId="0" applyFont="1" applyFill="1" applyBorder="1" applyAlignment="1">
      <alignment horizontal="center" vertical="center" wrapText="1"/>
    </xf>
    <xf numFmtId="2" fontId="24" fillId="27" borderId="10" xfId="0" applyNumberFormat="1" applyFont="1" applyFill="1" applyBorder="1" applyAlignment="1">
      <alignment vertical="center" wrapText="1"/>
    </xf>
    <xf numFmtId="0" fontId="38" fillId="0" borderId="97" xfId="0" applyFont="1" applyBorder="1" applyAlignment="1">
      <alignment horizontal="center" vertical="center" wrapText="1"/>
    </xf>
    <xf numFmtId="0" fontId="24" fillId="27" borderId="14" xfId="0" applyFont="1" applyFill="1" applyBorder="1" applyAlignment="1">
      <alignment horizontal="center" wrapText="1"/>
    </xf>
    <xf numFmtId="2" fontId="24" fillId="27" borderId="87" xfId="0" applyNumberFormat="1" applyFont="1" applyFill="1" applyBorder="1" applyAlignment="1">
      <alignment horizontal="center" vertical="center" wrapText="1"/>
    </xf>
    <xf numFmtId="0" fontId="24" fillId="0" borderId="14" xfId="0" applyFont="1" applyFill="1" applyBorder="1" applyAlignment="1">
      <alignment horizontal="center" wrapText="1"/>
    </xf>
    <xf numFmtId="2" fontId="24" fillId="0" borderId="87" xfId="0" applyNumberFormat="1" applyFont="1" applyFill="1" applyBorder="1" applyAlignment="1">
      <alignment horizontal="center" vertical="center" wrapText="1"/>
    </xf>
    <xf numFmtId="0" fontId="0" fillId="25" borderId="65" xfId="0" applyFill="1" applyBorder="1" applyAlignment="1">
      <alignment horizontal="center" vertical="center" wrapText="1"/>
    </xf>
    <xf numFmtId="0" fontId="20" fillId="25" borderId="0" xfId="0" applyFont="1" applyFill="1" applyBorder="1" applyAlignment="1">
      <alignment horizontal="center" vertical="center" wrapText="1"/>
    </xf>
    <xf numFmtId="0" fontId="0" fillId="25" borderId="0" xfId="0" applyFill="1" applyBorder="1" applyAlignment="1">
      <alignment horizontal="center" wrapText="1"/>
    </xf>
    <xf numFmtId="0" fontId="0" fillId="25" borderId="0" xfId="0" applyFill="1" applyBorder="1" applyAlignment="1">
      <alignment horizontal="center" vertical="center" wrapText="1"/>
    </xf>
    <xf numFmtId="0" fontId="0" fillId="25" borderId="36" xfId="0" applyFill="1" applyBorder="1" applyAlignment="1">
      <alignment horizontal="center" wrapText="1"/>
    </xf>
    <xf numFmtId="0" fontId="0" fillId="25" borderId="36" xfId="0" applyFill="1" applyBorder="1" applyAlignment="1">
      <alignment horizontal="center" vertical="center" wrapText="1"/>
    </xf>
    <xf numFmtId="2" fontId="45" fillId="33" borderId="32" xfId="0" applyNumberFormat="1" applyFont="1" applyFill="1" applyBorder="1" applyAlignment="1">
      <alignment horizontal="center" vertical="center" wrapText="1"/>
    </xf>
    <xf numFmtId="2" fontId="45" fillId="33" borderId="33" xfId="0" applyNumberFormat="1" applyFont="1" applyFill="1" applyBorder="1" applyAlignment="1">
      <alignment horizontal="center" vertical="center" wrapText="1"/>
    </xf>
    <xf numFmtId="0" fontId="24" fillId="27" borderId="27" xfId="0" applyFont="1" applyFill="1" applyBorder="1" applyAlignment="1">
      <alignment wrapText="1"/>
    </xf>
    <xf numFmtId="0" fontId="45" fillId="27" borderId="19" xfId="0" applyFont="1" applyFill="1" applyBorder="1" applyAlignment="1">
      <alignment horizontal="center" vertical="center" wrapText="1"/>
    </xf>
    <xf numFmtId="2" fontId="45" fillId="27" borderId="39" xfId="0" applyNumberFormat="1" applyFont="1" applyFill="1" applyBorder="1" applyAlignment="1">
      <alignment horizontal="center" vertical="center" wrapText="1"/>
    </xf>
    <xf numFmtId="0" fontId="24" fillId="18" borderId="27" xfId="0" applyFont="1" applyFill="1" applyBorder="1" applyAlignment="1">
      <alignment wrapText="1"/>
    </xf>
    <xf numFmtId="0" fontId="45" fillId="18" borderId="19" xfId="0" applyFont="1" applyFill="1" applyBorder="1" applyAlignment="1">
      <alignment horizontal="center" vertical="center" wrapText="1"/>
    </xf>
    <xf numFmtId="2" fontId="45" fillId="18" borderId="39" xfId="0" applyNumberFormat="1" applyFont="1" applyFill="1" applyBorder="1" applyAlignment="1">
      <alignment horizontal="center" vertical="center" wrapText="1"/>
    </xf>
    <xf numFmtId="0" fontId="24" fillId="18" borderId="87" xfId="0" applyFont="1" applyFill="1" applyBorder="1" applyAlignment="1">
      <alignment wrapText="1"/>
    </xf>
    <xf numFmtId="0" fontId="45" fillId="18" borderId="16" xfId="0" applyFont="1" applyFill="1" applyBorder="1" applyAlignment="1">
      <alignment horizontal="center" vertical="center" wrapText="1"/>
    </xf>
    <xf numFmtId="2" fontId="45" fillId="18" borderId="33" xfId="0" applyNumberFormat="1" applyFont="1" applyFill="1" applyBorder="1" applyAlignment="1">
      <alignment horizontal="center" vertical="center" wrapText="1"/>
    </xf>
    <xf numFmtId="0" fontId="24" fillId="18" borderId="95" xfId="0" applyFont="1" applyFill="1" applyBorder="1" applyAlignment="1">
      <alignment wrapText="1"/>
    </xf>
    <xf numFmtId="0" fontId="45" fillId="18" borderId="18" xfId="0" applyFont="1" applyFill="1" applyBorder="1" applyAlignment="1">
      <alignment horizontal="center" vertical="center" wrapText="1"/>
    </xf>
    <xf numFmtId="2" fontId="45" fillId="18" borderId="34" xfId="0" applyNumberFormat="1" applyFont="1" applyFill="1" applyBorder="1" applyAlignment="1">
      <alignment horizontal="center" vertical="center" wrapText="1"/>
    </xf>
    <xf numFmtId="0" fontId="24" fillId="22" borderId="10" xfId="0" applyFont="1" applyFill="1" applyBorder="1" applyAlignment="1">
      <alignment wrapText="1"/>
    </xf>
    <xf numFmtId="0" fontId="24" fillId="22" borderId="23" xfId="0" applyFont="1" applyFill="1" applyBorder="1" applyAlignment="1">
      <alignment vertical="center" wrapText="1"/>
    </xf>
    <xf numFmtId="0" fontId="45" fillId="22" borderId="86" xfId="0" applyFont="1" applyFill="1" applyBorder="1" applyAlignment="1">
      <alignment horizontal="center" vertical="center" wrapText="1"/>
    </xf>
    <xf numFmtId="0" fontId="24" fillId="22" borderId="85" xfId="0" applyFont="1" applyFill="1" applyBorder="1" applyAlignment="1">
      <alignment wrapText="1"/>
    </xf>
    <xf numFmtId="0" fontId="45" fillId="22" borderId="10" xfId="0" applyFont="1" applyFill="1" applyBorder="1" applyAlignment="1">
      <alignment horizontal="center" vertical="center" wrapText="1"/>
    </xf>
    <xf numFmtId="0" fontId="45" fillId="22" borderId="85" xfId="0" applyFont="1" applyFill="1" applyBorder="1" applyAlignment="1">
      <alignment horizontal="center" vertical="center" wrapText="1"/>
    </xf>
    <xf numFmtId="2" fontId="45" fillId="22" borderId="32" xfId="0" applyNumberFormat="1" applyFont="1" applyFill="1" applyBorder="1" applyAlignment="1">
      <alignment horizontal="center" vertical="center" wrapText="1"/>
    </xf>
    <xf numFmtId="2" fontId="24" fillId="22" borderId="23" xfId="0" applyNumberFormat="1" applyFont="1" applyFill="1" applyBorder="1" applyAlignment="1">
      <alignment vertical="center" wrapText="1"/>
    </xf>
    <xf numFmtId="0" fontId="24" fillId="22" borderId="19" xfId="0" applyFont="1" applyFill="1" applyBorder="1" applyAlignment="1">
      <alignment wrapText="1"/>
    </xf>
    <xf numFmtId="0" fontId="24" fillId="22" borderId="16" xfId="0" applyFont="1" applyFill="1" applyBorder="1" applyAlignment="1">
      <alignment wrapText="1"/>
    </xf>
    <xf numFmtId="2" fontId="45" fillId="22" borderId="33" xfId="0" applyNumberFormat="1" applyFont="1" applyFill="1" applyBorder="1" applyAlignment="1">
      <alignment horizontal="center" wrapText="1"/>
    </xf>
    <xf numFmtId="0" fontId="24" fillId="22" borderId="15" xfId="0" applyFont="1" applyFill="1" applyBorder="1" applyAlignment="1">
      <alignment wrapText="1"/>
    </xf>
    <xf numFmtId="0" fontId="24" fillId="22" borderId="14" xfId="0" applyFont="1" applyFill="1" applyBorder="1" applyAlignment="1">
      <alignment horizontal="center" wrapText="1"/>
    </xf>
    <xf numFmtId="0" fontId="24" fillId="22" borderId="87" xfId="0" applyFont="1" applyFill="1" applyBorder="1" applyAlignment="1">
      <alignment wrapText="1"/>
    </xf>
    <xf numFmtId="2" fontId="24" fillId="22" borderId="87" xfId="0" applyNumberFormat="1" applyFont="1" applyFill="1" applyBorder="1" applyAlignment="1">
      <alignment horizontal="center" vertical="center" wrapText="1"/>
    </xf>
    <xf numFmtId="2" fontId="24" fillId="22" borderId="28" xfId="0" applyNumberFormat="1" applyFont="1" applyFill="1" applyBorder="1" applyAlignment="1">
      <alignment vertical="center" wrapText="1"/>
    </xf>
    <xf numFmtId="2" fontId="45" fillId="22" borderId="16" xfId="0" applyNumberFormat="1" applyFont="1" applyFill="1" applyBorder="1" applyAlignment="1">
      <alignment horizontal="center" wrapText="1"/>
    </xf>
    <xf numFmtId="0" fontId="24" fillId="22" borderId="15" xfId="0" applyFont="1" applyFill="1" applyBorder="1" applyAlignment="1">
      <alignment vertical="center" wrapText="1"/>
    </xf>
    <xf numFmtId="0" fontId="45" fillId="22" borderId="14" xfId="0" applyFont="1" applyFill="1" applyBorder="1" applyAlignment="1">
      <alignment horizontal="center" vertical="center" wrapText="1"/>
    </xf>
    <xf numFmtId="0" fontId="45" fillId="22" borderId="16" xfId="0" applyFont="1" applyFill="1" applyBorder="1" applyAlignment="1">
      <alignment horizontal="center" vertical="center" wrapText="1"/>
    </xf>
    <xf numFmtId="2" fontId="45" fillId="22" borderId="33" xfId="0" applyNumberFormat="1" applyFont="1" applyFill="1" applyBorder="1" applyAlignment="1">
      <alignment horizontal="center" vertical="center" wrapText="1"/>
    </xf>
    <xf numFmtId="2" fontId="24" fillId="22" borderId="15" xfId="0" applyNumberFormat="1" applyFont="1" applyFill="1" applyBorder="1" applyAlignment="1">
      <alignment vertical="center" wrapText="1"/>
    </xf>
    <xf numFmtId="0" fontId="24" fillId="22" borderId="18" xfId="0" applyFont="1" applyFill="1" applyBorder="1" applyAlignment="1">
      <alignment wrapText="1"/>
    </xf>
    <xf numFmtId="2" fontId="45" fillId="22" borderId="18" xfId="0" applyNumberFormat="1" applyFont="1" applyFill="1" applyBorder="1" applyAlignment="1">
      <alignment horizontal="center" wrapText="1"/>
    </xf>
    <xf numFmtId="0" fontId="24" fillId="22" borderId="17" xfId="0" applyFont="1" applyFill="1" applyBorder="1" applyAlignment="1">
      <alignment vertical="center" wrapText="1"/>
    </xf>
    <xf numFmtId="0" fontId="45" fillId="22" borderId="24" xfId="0" applyFont="1" applyFill="1" applyBorder="1" applyAlignment="1">
      <alignment horizontal="center" vertical="center" wrapText="1"/>
    </xf>
    <xf numFmtId="0" fontId="24" fillId="22" borderId="95" xfId="0" applyFont="1" applyFill="1" applyBorder="1" applyAlignment="1">
      <alignment wrapText="1"/>
    </xf>
    <xf numFmtId="2" fontId="45" fillId="22" borderId="34" xfId="0" applyNumberFormat="1" applyFont="1" applyFill="1" applyBorder="1" applyAlignment="1">
      <alignment horizontal="center" vertical="center" wrapText="1"/>
    </xf>
    <xf numFmtId="2" fontId="24" fillId="22" borderId="17" xfId="0" applyNumberFormat="1" applyFont="1" applyFill="1" applyBorder="1" applyAlignment="1">
      <alignment vertical="center" wrapText="1"/>
    </xf>
    <xf numFmtId="2" fontId="45" fillId="22" borderId="24" xfId="0" applyNumberFormat="1" applyFont="1" applyFill="1" applyBorder="1" applyAlignment="1">
      <alignment horizontal="center" vertical="center" wrapText="1"/>
    </xf>
    <xf numFmtId="0" fontId="24" fillId="0" borderId="0" xfId="0" applyFont="1" applyAlignment="1">
      <alignment horizontal="center"/>
    </xf>
    <xf numFmtId="2" fontId="0" fillId="0" borderId="76" xfId="0" applyNumberFormat="1" applyBorder="1"/>
    <xf numFmtId="2" fontId="0" fillId="0" borderId="23" xfId="0" applyNumberFormat="1" applyFill="1" applyBorder="1" applyAlignment="1">
      <alignment horizontal="left" vertical="center" wrapText="1"/>
    </xf>
    <xf numFmtId="2" fontId="21" fillId="0" borderId="21" xfId="0" applyNumberFormat="1" applyFont="1" applyFill="1" applyBorder="1" applyAlignment="1">
      <alignment horizontal="center" wrapText="1"/>
    </xf>
    <xf numFmtId="2" fontId="21" fillId="0" borderId="22" xfId="0" applyNumberFormat="1" applyFont="1" applyFill="1" applyBorder="1" applyAlignment="1">
      <alignment horizontal="center" wrapText="1"/>
    </xf>
    <xf numFmtId="2" fontId="0" fillId="0" borderId="20" xfId="0" applyNumberFormat="1" applyFill="1" applyBorder="1" applyAlignment="1">
      <alignment horizontal="left" vertical="center" wrapText="1"/>
    </xf>
    <xf numFmtId="164" fontId="56" fillId="0" borderId="28" xfId="0" applyNumberFormat="1" applyFont="1" applyFill="1" applyBorder="1"/>
    <xf numFmtId="2" fontId="0" fillId="0" borderId="0" xfId="0" applyNumberFormat="1" applyFill="1" applyBorder="1" applyAlignment="1">
      <alignment wrapText="1"/>
    </xf>
    <xf numFmtId="0" fontId="38" fillId="0" borderId="88" xfId="0" applyFont="1" applyFill="1" applyBorder="1" applyAlignment="1">
      <alignment horizontal="center" vertical="center" wrapText="1"/>
    </xf>
    <xf numFmtId="1" fontId="0" fillId="0" borderId="43" xfId="0" applyNumberFormat="1" applyFill="1" applyBorder="1" applyAlignment="1">
      <alignment horizontal="center"/>
    </xf>
    <xf numFmtId="0" fontId="0" fillId="0" borderId="57" xfId="0" applyFill="1" applyBorder="1"/>
    <xf numFmtId="2" fontId="0" fillId="0" borderId="41" xfId="0" applyNumberFormat="1" applyFill="1" applyBorder="1"/>
    <xf numFmtId="0" fontId="20" fillId="0" borderId="11" xfId="0" applyFont="1" applyFill="1" applyBorder="1" applyAlignment="1">
      <alignment vertical="center" wrapText="1"/>
    </xf>
    <xf numFmtId="0" fontId="38" fillId="0" borderId="11" xfId="0" applyFont="1" applyFill="1" applyBorder="1" applyAlignment="1">
      <alignment vertical="center" wrapText="1"/>
    </xf>
    <xf numFmtId="0" fontId="38" fillId="0" borderId="12" xfId="0" applyFont="1" applyFill="1" applyBorder="1" applyAlignment="1">
      <alignment vertical="center" wrapText="1"/>
    </xf>
    <xf numFmtId="0" fontId="38" fillId="0" borderId="13" xfId="0" applyFont="1" applyFill="1" applyBorder="1" applyAlignment="1">
      <alignment vertical="center" wrapText="1"/>
    </xf>
    <xf numFmtId="0" fontId="38" fillId="0" borderId="48" xfId="0" applyFont="1" applyFill="1" applyBorder="1" applyAlignment="1">
      <alignment vertical="center" wrapText="1"/>
    </xf>
    <xf numFmtId="0" fontId="38" fillId="0" borderId="88" xfId="0" applyFont="1" applyFill="1" applyBorder="1" applyAlignment="1">
      <alignment vertical="center" wrapText="1"/>
    </xf>
    <xf numFmtId="0" fontId="0" fillId="0" borderId="20" xfId="0" applyFont="1" applyFill="1" applyBorder="1" applyAlignment="1">
      <alignment vertical="center" wrapText="1"/>
    </xf>
    <xf numFmtId="2" fontId="0" fillId="0" borderId="56" xfId="0" applyNumberFormat="1" applyFill="1" applyBorder="1"/>
    <xf numFmtId="0" fontId="0" fillId="0" borderId="38" xfId="0" applyFont="1" applyFill="1" applyBorder="1" applyAlignment="1">
      <alignment vertical="center" wrapText="1"/>
    </xf>
    <xf numFmtId="2" fontId="0" fillId="0" borderId="88" xfId="0" applyNumberFormat="1" applyFill="1" applyBorder="1"/>
    <xf numFmtId="2" fontId="0" fillId="0" borderId="97" xfId="0" applyNumberFormat="1" applyFill="1" applyBorder="1"/>
    <xf numFmtId="2" fontId="0" fillId="0" borderId="22" xfId="0" applyNumberFormat="1" applyFill="1" applyBorder="1"/>
    <xf numFmtId="0" fontId="0" fillId="36" borderId="70" xfId="0" applyFill="1" applyBorder="1"/>
    <xf numFmtId="2" fontId="0" fillId="33" borderId="18" xfId="0" applyNumberFormat="1" applyFont="1" applyFill="1" applyBorder="1" applyAlignment="1">
      <alignment horizontal="center" wrapText="1"/>
    </xf>
    <xf numFmtId="2" fontId="45" fillId="33" borderId="95" xfId="0" applyNumberFormat="1" applyFont="1" applyFill="1" applyBorder="1" applyAlignment="1">
      <alignment horizontal="center" vertical="center" wrapText="1"/>
    </xf>
    <xf numFmtId="0" fontId="0" fillId="52" borderId="70" xfId="0" applyFill="1" applyBorder="1"/>
    <xf numFmtId="0" fontId="0" fillId="53" borderId="70" xfId="0" applyFill="1" applyBorder="1"/>
    <xf numFmtId="0" fontId="0" fillId="55" borderId="70" xfId="0" applyFill="1" applyBorder="1"/>
    <xf numFmtId="0" fontId="0" fillId="27" borderId="11" xfId="0" applyFill="1" applyBorder="1" applyAlignment="1">
      <alignment horizontal="center" vertical="center" wrapText="1"/>
    </xf>
    <xf numFmtId="0" fontId="1" fillId="27" borderId="25" xfId="0" applyFont="1" applyFill="1" applyBorder="1"/>
    <xf numFmtId="2" fontId="0" fillId="27" borderId="12" xfId="0" applyNumberFormat="1" applyFont="1" applyFill="1" applyBorder="1" applyAlignment="1">
      <alignment horizontal="center" wrapText="1"/>
    </xf>
    <xf numFmtId="2" fontId="21" fillId="27" borderId="12" xfId="0" applyNumberFormat="1" applyFont="1" applyFill="1" applyBorder="1" applyAlignment="1">
      <alignment horizontal="center" vertical="center" wrapText="1"/>
    </xf>
    <xf numFmtId="2" fontId="21" fillId="27" borderId="55" xfId="0" applyNumberFormat="1" applyFont="1" applyFill="1" applyBorder="1" applyAlignment="1">
      <alignment horizontal="center" wrapText="1"/>
    </xf>
    <xf numFmtId="0" fontId="24" fillId="27" borderId="25" xfId="0" applyFont="1" applyFill="1" applyBorder="1" applyAlignment="1">
      <alignment vertical="center" wrapText="1"/>
    </xf>
    <xf numFmtId="2" fontId="45" fillId="27" borderId="13" xfId="0" applyNumberFormat="1" applyFont="1" applyFill="1" applyBorder="1" applyAlignment="1">
      <alignment horizontal="center" vertical="center" wrapText="1"/>
    </xf>
    <xf numFmtId="0" fontId="24" fillId="27" borderId="11" xfId="0" applyFont="1" applyFill="1" applyBorder="1" applyAlignment="1">
      <alignment vertical="center" wrapText="1"/>
    </xf>
    <xf numFmtId="0" fontId="24" fillId="27" borderId="12" xfId="0" applyFont="1" applyFill="1" applyBorder="1" applyAlignment="1">
      <alignment vertical="center" wrapText="1"/>
    </xf>
    <xf numFmtId="0" fontId="24" fillId="27" borderId="12" xfId="0" applyFont="1" applyFill="1" applyBorder="1" applyAlignment="1">
      <alignment horizontal="center" vertical="center" wrapText="1"/>
    </xf>
    <xf numFmtId="0" fontId="45" fillId="27" borderId="25" xfId="0" applyFont="1" applyFill="1" applyBorder="1" applyAlignment="1">
      <alignment horizontal="center" vertical="center" wrapText="1"/>
    </xf>
    <xf numFmtId="0" fontId="45" fillId="27" borderId="12" xfId="0" applyFont="1" applyFill="1" applyBorder="1" applyAlignment="1">
      <alignment horizontal="center" vertical="center" wrapText="1"/>
    </xf>
    <xf numFmtId="2" fontId="45" fillId="27" borderId="25" xfId="0" applyNumberFormat="1" applyFont="1" applyFill="1" applyBorder="1" applyAlignment="1">
      <alignment horizontal="center" vertical="center" wrapText="1"/>
    </xf>
    <xf numFmtId="0" fontId="1" fillId="27" borderId="19" xfId="0" applyFont="1" applyFill="1" applyBorder="1"/>
    <xf numFmtId="0" fontId="24" fillId="27" borderId="19" xfId="0" applyFont="1" applyFill="1" applyBorder="1" applyAlignment="1">
      <alignment horizontal="center" vertical="center" wrapText="1"/>
    </xf>
    <xf numFmtId="0" fontId="45" fillId="27" borderId="27" xfId="0" applyFont="1" applyFill="1" applyBorder="1" applyAlignment="1">
      <alignment horizontal="center" vertical="center" wrapText="1"/>
    </xf>
    <xf numFmtId="0" fontId="24" fillId="27" borderId="50" xfId="0" applyFont="1" applyFill="1" applyBorder="1" applyAlignment="1">
      <alignment vertical="center" wrapText="1"/>
    </xf>
    <xf numFmtId="0" fontId="24" fillId="27" borderId="60" xfId="0" applyFont="1" applyFill="1" applyBorder="1" applyAlignment="1">
      <alignment horizontal="center" vertical="center" wrapText="1"/>
    </xf>
    <xf numFmtId="0" fontId="45" fillId="27" borderId="90" xfId="0" applyFont="1" applyFill="1" applyBorder="1" applyAlignment="1">
      <alignment horizontal="center" vertical="center" wrapText="1"/>
    </xf>
    <xf numFmtId="0" fontId="0" fillId="54" borderId="70" xfId="0" applyFill="1" applyBorder="1"/>
    <xf numFmtId="2" fontId="0" fillId="27" borderId="16" xfId="0" applyNumberFormat="1" applyFont="1" applyFill="1" applyBorder="1" applyAlignment="1">
      <alignment horizontal="center" wrapText="1"/>
    </xf>
    <xf numFmtId="2" fontId="21" fillId="27" borderId="42" xfId="0" applyNumberFormat="1" applyFont="1" applyFill="1" applyBorder="1" applyAlignment="1">
      <alignment horizontal="center" wrapText="1"/>
    </xf>
    <xf numFmtId="2" fontId="45" fillId="27" borderId="87" xfId="0" applyNumberFormat="1" applyFont="1" applyFill="1" applyBorder="1" applyAlignment="1">
      <alignment horizontal="center" vertical="center" wrapText="1"/>
    </xf>
    <xf numFmtId="0" fontId="0" fillId="27" borderId="20" xfId="0" applyFill="1" applyBorder="1" applyAlignment="1">
      <alignment horizontal="center" vertical="center" wrapText="1"/>
    </xf>
    <xf numFmtId="0" fontId="1" fillId="27" borderId="91" xfId="0" applyFont="1" applyFill="1" applyBorder="1"/>
    <xf numFmtId="0" fontId="24" fillId="27" borderId="21" xfId="0" applyFont="1" applyFill="1" applyBorder="1" applyAlignment="1">
      <alignment horizontal="center" vertical="center" wrapText="1"/>
    </xf>
    <xf numFmtId="2" fontId="45" fillId="27" borderId="91" xfId="0" applyNumberFormat="1" applyFont="1" applyFill="1" applyBorder="1" applyAlignment="1">
      <alignment horizontal="center" vertical="center" wrapText="1"/>
    </xf>
    <xf numFmtId="0" fontId="0" fillId="56" borderId="70" xfId="0" applyFill="1" applyBorder="1"/>
    <xf numFmtId="0" fontId="0" fillId="57" borderId="70" xfId="0" applyFill="1" applyBorder="1"/>
    <xf numFmtId="0" fontId="0" fillId="58" borderId="70" xfId="0" applyFill="1" applyBorder="1"/>
    <xf numFmtId="0" fontId="24" fillId="55" borderId="37" xfId="0" applyFont="1" applyFill="1" applyBorder="1" applyAlignment="1">
      <alignment vertical="center" wrapText="1"/>
    </xf>
    <xf numFmtId="0" fontId="38" fillId="55" borderId="65" xfId="0" applyFont="1" applyFill="1" applyBorder="1" applyAlignment="1">
      <alignment vertical="center" wrapText="1"/>
    </xf>
    <xf numFmtId="0" fontId="38" fillId="55" borderId="35" xfId="0" applyFont="1" applyFill="1" applyBorder="1" applyAlignment="1">
      <alignment vertical="center" wrapText="1"/>
    </xf>
    <xf numFmtId="0" fontId="24" fillId="55" borderId="51" xfId="0" applyFont="1" applyFill="1" applyBorder="1" applyAlignment="1">
      <alignment vertical="center" wrapText="1"/>
    </xf>
    <xf numFmtId="0" fontId="38" fillId="55" borderId="0" xfId="0" applyFont="1" applyFill="1" applyBorder="1" applyAlignment="1">
      <alignment horizontal="left" vertical="center" wrapText="1"/>
    </xf>
    <xf numFmtId="0" fontId="38" fillId="55" borderId="0" xfId="0" applyFont="1" applyFill="1" applyBorder="1" applyAlignment="1">
      <alignment vertical="center" wrapText="1"/>
    </xf>
    <xf numFmtId="0" fontId="38" fillId="55" borderId="0" xfId="0" applyFont="1" applyFill="1" applyBorder="1" applyAlignment="1">
      <alignment horizontal="center" vertical="center" wrapText="1"/>
    </xf>
    <xf numFmtId="2" fontId="38" fillId="55" borderId="0" xfId="0" applyNumberFormat="1" applyFont="1" applyFill="1" applyBorder="1" applyAlignment="1">
      <alignment vertical="center" wrapText="1"/>
    </xf>
    <xf numFmtId="0" fontId="38" fillId="55" borderId="57" xfId="0" applyFont="1" applyFill="1" applyBorder="1" applyAlignment="1">
      <alignment vertical="center" wrapText="1"/>
    </xf>
    <xf numFmtId="0" fontId="24" fillId="55" borderId="52" xfId="0" applyFont="1" applyFill="1" applyBorder="1" applyAlignment="1">
      <alignment vertical="center"/>
    </xf>
    <xf numFmtId="0" fontId="24" fillId="55" borderId="36" xfId="0" applyFont="1" applyFill="1" applyBorder="1" applyAlignment="1">
      <alignment horizontal="left" vertical="center" wrapText="1"/>
    </xf>
    <xf numFmtId="0" fontId="24" fillId="55" borderId="36" xfId="0" applyFont="1" applyFill="1" applyBorder="1" applyAlignment="1">
      <alignment vertical="center"/>
    </xf>
    <xf numFmtId="0" fontId="24" fillId="55" borderId="36" xfId="0" applyFont="1" applyFill="1" applyBorder="1" applyAlignment="1">
      <alignment horizontal="center" vertical="center"/>
    </xf>
    <xf numFmtId="2" fontId="24" fillId="55" borderId="36" xfId="0" applyNumberFormat="1" applyFont="1" applyFill="1" applyBorder="1" applyAlignment="1">
      <alignment vertical="center"/>
    </xf>
    <xf numFmtId="0" fontId="24" fillId="55" borderId="40" xfId="0" applyFont="1" applyFill="1" applyBorder="1" applyAlignment="1">
      <alignment vertical="center"/>
    </xf>
    <xf numFmtId="0" fontId="39" fillId="0" borderId="19" xfId="0" applyFont="1" applyFill="1" applyBorder="1" applyAlignment="1">
      <alignment wrapText="1"/>
    </xf>
    <xf numFmtId="0" fontId="39" fillId="27" borderId="19" xfId="0" applyFont="1" applyFill="1" applyBorder="1" applyAlignment="1">
      <alignment wrapText="1"/>
    </xf>
    <xf numFmtId="0" fontId="24" fillId="60" borderId="37" xfId="0" applyFont="1" applyFill="1" applyBorder="1" applyAlignment="1">
      <alignment vertical="center"/>
    </xf>
    <xf numFmtId="0" fontId="50" fillId="60" borderId="65" xfId="0" applyFont="1" applyFill="1" applyBorder="1" applyAlignment="1"/>
    <xf numFmtId="0" fontId="24" fillId="60" borderId="65" xfId="0" applyFont="1" applyFill="1" applyBorder="1" applyAlignment="1">
      <alignment vertical="center"/>
    </xf>
    <xf numFmtId="0" fontId="24" fillId="60" borderId="65" xfId="0" applyFont="1" applyFill="1" applyBorder="1" applyAlignment="1">
      <alignment horizontal="center" vertical="center"/>
    </xf>
    <xf numFmtId="2" fontId="24" fillId="60" borderId="65" xfId="0" applyNumberFormat="1" applyFont="1" applyFill="1" applyBorder="1" applyAlignment="1">
      <alignment vertical="center"/>
    </xf>
    <xf numFmtId="0" fontId="24" fillId="60" borderId="35" xfId="0" applyFont="1" applyFill="1" applyBorder="1" applyAlignment="1">
      <alignment vertical="center"/>
    </xf>
    <xf numFmtId="0" fontId="24" fillId="60" borderId="51" xfId="0" applyFont="1" applyFill="1" applyBorder="1" applyAlignment="1">
      <alignment vertical="center"/>
    </xf>
    <xf numFmtId="0" fontId="24" fillId="60" borderId="52" xfId="0" applyFont="1" applyFill="1" applyBorder="1" applyAlignment="1">
      <alignment vertical="center"/>
    </xf>
    <xf numFmtId="0" fontId="24" fillId="60" borderId="36" xfId="0" applyFont="1" applyFill="1" applyBorder="1" applyAlignment="1">
      <alignment horizontal="left" vertical="center" wrapText="1"/>
    </xf>
    <xf numFmtId="0" fontId="24" fillId="60" borderId="36" xfId="0" applyFont="1" applyFill="1" applyBorder="1" applyAlignment="1">
      <alignment vertical="center"/>
    </xf>
    <xf numFmtId="0" fontId="24" fillId="60" borderId="36" xfId="0" applyFont="1" applyFill="1" applyBorder="1" applyAlignment="1">
      <alignment horizontal="center" vertical="center"/>
    </xf>
    <xf numFmtId="2" fontId="24" fillId="60" borderId="36" xfId="0" applyNumberFormat="1" applyFont="1" applyFill="1" applyBorder="1" applyAlignment="1">
      <alignment vertical="center"/>
    </xf>
    <xf numFmtId="0" fontId="24" fillId="60" borderId="40" xfId="0" applyFont="1" applyFill="1" applyBorder="1" applyAlignment="1">
      <alignment vertical="center"/>
    </xf>
    <xf numFmtId="0" fontId="24" fillId="20" borderId="37" xfId="0" applyFont="1" applyFill="1" applyBorder="1" applyAlignment="1">
      <alignment vertical="center"/>
    </xf>
    <xf numFmtId="0" fontId="50" fillId="20" borderId="65" xfId="0" applyFont="1" applyFill="1" applyBorder="1" applyAlignment="1"/>
    <xf numFmtId="0" fontId="24" fillId="20" borderId="65" xfId="0" applyFont="1" applyFill="1" applyBorder="1" applyAlignment="1">
      <alignment vertical="center"/>
    </xf>
    <xf numFmtId="0" fontId="24" fillId="20" borderId="65" xfId="0" applyFont="1" applyFill="1" applyBorder="1" applyAlignment="1">
      <alignment horizontal="center" vertical="center"/>
    </xf>
    <xf numFmtId="2" fontId="24" fillId="20" borderId="65" xfId="0" applyNumberFormat="1" applyFont="1" applyFill="1" applyBorder="1" applyAlignment="1">
      <alignment vertical="center"/>
    </xf>
    <xf numFmtId="0" fontId="24" fillId="20" borderId="35" xfId="0" applyFont="1" applyFill="1" applyBorder="1" applyAlignment="1">
      <alignment vertical="center"/>
    </xf>
    <xf numFmtId="0" fontId="24" fillId="20" borderId="51" xfId="0" applyFont="1" applyFill="1" applyBorder="1" applyAlignment="1">
      <alignment vertical="center"/>
    </xf>
    <xf numFmtId="0" fontId="24" fillId="20" borderId="52" xfId="0" applyFont="1" applyFill="1" applyBorder="1" applyAlignment="1">
      <alignment vertical="center"/>
    </xf>
    <xf numFmtId="0" fontId="24" fillId="20" borderId="36" xfId="0" applyFont="1" applyFill="1" applyBorder="1" applyAlignment="1">
      <alignment horizontal="left" vertical="center" wrapText="1"/>
    </xf>
    <xf numFmtId="0" fontId="24" fillId="20" borderId="36" xfId="0" applyFont="1" applyFill="1" applyBorder="1" applyAlignment="1">
      <alignment vertical="center"/>
    </xf>
    <xf numFmtId="0" fontId="24" fillId="20" borderId="36" xfId="0" applyFont="1" applyFill="1" applyBorder="1" applyAlignment="1">
      <alignment horizontal="center" vertical="center"/>
    </xf>
    <xf numFmtId="2" fontId="24" fillId="20" borderId="36" xfId="0" applyNumberFormat="1" applyFont="1" applyFill="1" applyBorder="1" applyAlignment="1">
      <alignment vertical="center"/>
    </xf>
    <xf numFmtId="0" fontId="24" fillId="20" borderId="40" xfId="0" applyFont="1" applyFill="1" applyBorder="1" applyAlignment="1">
      <alignment vertical="center"/>
    </xf>
    <xf numFmtId="0" fontId="24" fillId="26" borderId="37" xfId="0" applyFont="1" applyFill="1" applyBorder="1" applyAlignment="1">
      <alignment vertical="center"/>
    </xf>
    <xf numFmtId="0" fontId="50" fillId="26" borderId="65" xfId="0" applyFont="1" applyFill="1" applyBorder="1" applyAlignment="1"/>
    <xf numFmtId="0" fontId="24" fillId="26" borderId="65" xfId="0" applyFont="1" applyFill="1" applyBorder="1" applyAlignment="1">
      <alignment vertical="center"/>
    </xf>
    <xf numFmtId="0" fontId="24" fillId="26" borderId="65" xfId="0" applyFont="1" applyFill="1" applyBorder="1" applyAlignment="1">
      <alignment horizontal="center" vertical="center"/>
    </xf>
    <xf numFmtId="2" fontId="24" fillId="26" borderId="65" xfId="0" applyNumberFormat="1" applyFont="1" applyFill="1" applyBorder="1" applyAlignment="1">
      <alignment vertical="center"/>
    </xf>
    <xf numFmtId="0" fontId="24" fillId="26" borderId="35" xfId="0" applyFont="1" applyFill="1" applyBorder="1" applyAlignment="1">
      <alignment vertical="center"/>
    </xf>
    <xf numFmtId="0" fontId="24" fillId="26" borderId="51" xfId="0" applyFont="1" applyFill="1" applyBorder="1" applyAlignment="1">
      <alignment vertical="center"/>
    </xf>
    <xf numFmtId="0" fontId="24" fillId="26" borderId="52" xfId="0" applyFont="1" applyFill="1" applyBorder="1" applyAlignment="1">
      <alignment vertical="center"/>
    </xf>
    <xf numFmtId="0" fontId="24" fillId="26" borderId="36" xfId="0" applyFont="1" applyFill="1" applyBorder="1" applyAlignment="1">
      <alignment horizontal="left" vertical="center" wrapText="1"/>
    </xf>
    <xf numFmtId="0" fontId="24" fillId="26" borderId="36" xfId="0" applyFont="1" applyFill="1" applyBorder="1" applyAlignment="1">
      <alignment vertical="center"/>
    </xf>
    <xf numFmtId="0" fontId="24" fillId="26" borderId="36" xfId="0" applyFont="1" applyFill="1" applyBorder="1" applyAlignment="1">
      <alignment horizontal="center" vertical="center"/>
    </xf>
    <xf numFmtId="2" fontId="24" fillId="26" borderId="36" xfId="0" applyNumberFormat="1" applyFont="1" applyFill="1" applyBorder="1" applyAlignment="1">
      <alignment vertical="center"/>
    </xf>
    <xf numFmtId="0" fontId="24" fillId="26" borderId="40" xfId="0" applyFont="1" applyFill="1" applyBorder="1" applyAlignment="1">
      <alignment vertical="center"/>
    </xf>
    <xf numFmtId="2" fontId="21" fillId="33" borderId="86" xfId="0" applyNumberFormat="1" applyFont="1" applyFill="1" applyBorder="1" applyAlignment="1">
      <alignment horizontal="center" vertical="center" wrapText="1"/>
    </xf>
    <xf numFmtId="0" fontId="0" fillId="0" borderId="16" xfId="0" applyFill="1" applyBorder="1" applyAlignment="1">
      <alignment vertical="center" wrapText="1"/>
    </xf>
    <xf numFmtId="0" fontId="0" fillId="0" borderId="33" xfId="0" applyFill="1" applyBorder="1" applyAlignment="1">
      <alignment vertical="center" wrapText="1"/>
    </xf>
    <xf numFmtId="0" fontId="0" fillId="0" borderId="15" xfId="0" applyFill="1" applyBorder="1" applyAlignment="1">
      <alignment vertical="center" wrapText="1"/>
    </xf>
    <xf numFmtId="0" fontId="21" fillId="0" borderId="16" xfId="0" applyFont="1" applyFill="1" applyBorder="1" applyAlignment="1">
      <alignment horizontal="center" vertical="center" wrapText="1"/>
    </xf>
    <xf numFmtId="2" fontId="0" fillId="0" borderId="87" xfId="0" applyNumberFormat="1" applyFill="1" applyBorder="1" applyAlignment="1">
      <alignment vertical="center" wrapText="1"/>
    </xf>
    <xf numFmtId="0" fontId="0" fillId="0" borderId="95" xfId="0" applyFill="1" applyBorder="1" applyAlignment="1">
      <alignment vertical="center" wrapText="1"/>
    </xf>
    <xf numFmtId="0" fontId="21" fillId="0" borderId="18" xfId="0" applyFont="1" applyFill="1" applyBorder="1" applyAlignment="1">
      <alignment horizontal="center" vertical="center" wrapText="1"/>
    </xf>
    <xf numFmtId="0" fontId="0" fillId="0" borderId="85" xfId="0" applyFill="1" applyBorder="1" applyAlignment="1">
      <alignment vertical="center" wrapText="1"/>
    </xf>
    <xf numFmtId="0" fontId="0" fillId="0" borderId="32" xfId="0" applyFill="1" applyBorder="1" applyAlignment="1">
      <alignment vertical="center" wrapText="1"/>
    </xf>
    <xf numFmtId="0" fontId="0" fillId="0" borderId="23" xfId="0" applyFill="1" applyBorder="1" applyAlignment="1">
      <alignment vertical="center" wrapText="1"/>
    </xf>
    <xf numFmtId="0" fontId="0" fillId="0" borderId="10" xfId="0" applyFill="1" applyBorder="1" applyAlignment="1">
      <alignment vertical="center" wrapText="1"/>
    </xf>
    <xf numFmtId="0" fontId="21" fillId="0" borderId="10" xfId="0" applyFont="1" applyFill="1" applyBorder="1" applyAlignment="1">
      <alignment horizontal="center" vertical="center" wrapText="1"/>
    </xf>
    <xf numFmtId="0" fontId="0" fillId="0" borderId="87" xfId="0" applyFill="1" applyBorder="1" applyAlignment="1">
      <alignment vertical="center" wrapText="1"/>
    </xf>
    <xf numFmtId="0" fontId="45" fillId="33" borderId="32" xfId="0" applyFont="1" applyFill="1" applyBorder="1" applyAlignment="1">
      <alignment horizontal="center" vertical="center" wrapText="1"/>
    </xf>
    <xf numFmtId="2" fontId="24" fillId="48" borderId="16" xfId="0" applyNumberFormat="1" applyFont="1" applyFill="1" applyBorder="1" applyAlignment="1">
      <alignment vertical="center" wrapText="1"/>
    </xf>
    <xf numFmtId="2" fontId="24" fillId="48" borderId="18" xfId="0" applyNumberFormat="1" applyFont="1" applyFill="1" applyBorder="1" applyAlignment="1">
      <alignment vertical="center" wrapText="1"/>
    </xf>
    <xf numFmtId="164" fontId="1" fillId="0" borderId="0" xfId="40" applyNumberFormat="1" applyAlignment="1">
      <alignment horizontal="right"/>
    </xf>
    <xf numFmtId="0" fontId="24" fillId="0" borderId="15" xfId="0" applyFont="1" applyFill="1" applyBorder="1" applyAlignment="1">
      <alignment vertical="center" wrapText="1"/>
    </xf>
    <xf numFmtId="0" fontId="24" fillId="0" borderId="28" xfId="0" applyFont="1" applyFill="1" applyBorder="1" applyAlignment="1">
      <alignment vertical="center" wrapText="1"/>
    </xf>
    <xf numFmtId="0" fontId="24" fillId="0" borderId="17" xfId="0" applyFont="1" applyFill="1" applyBorder="1" applyAlignment="1">
      <alignment vertical="center" wrapText="1"/>
    </xf>
    <xf numFmtId="0" fontId="24" fillId="0" borderId="15" xfId="0" applyFont="1" applyFill="1" applyBorder="1" applyAlignment="1">
      <alignment horizontal="left" vertical="center" wrapText="1"/>
    </xf>
    <xf numFmtId="0" fontId="0" fillId="0" borderId="27" xfId="0" applyFill="1" applyBorder="1" applyAlignment="1">
      <alignment wrapText="1"/>
    </xf>
    <xf numFmtId="0" fontId="0" fillId="0" borderId="39" xfId="0" applyFill="1" applyBorder="1" applyAlignment="1">
      <alignment wrapText="1"/>
    </xf>
    <xf numFmtId="0" fontId="0" fillId="0" borderId="38" xfId="0" applyFill="1" applyBorder="1" applyAlignment="1">
      <alignment wrapText="1"/>
    </xf>
    <xf numFmtId="0" fontId="0" fillId="0" borderId="19" xfId="0" applyFill="1" applyBorder="1" applyAlignment="1">
      <alignment wrapText="1"/>
    </xf>
    <xf numFmtId="0" fontId="21" fillId="0" borderId="19" xfId="0" applyFont="1" applyFill="1" applyBorder="1" applyAlignment="1">
      <alignment horizontal="center" wrapText="1"/>
    </xf>
    <xf numFmtId="0" fontId="39" fillId="0" borderId="27" xfId="40" applyFont="1" applyFill="1" applyBorder="1" applyAlignment="1">
      <alignment wrapText="1"/>
    </xf>
    <xf numFmtId="2" fontId="24" fillId="0" borderId="26" xfId="0" applyNumberFormat="1" applyFont="1" applyFill="1" applyBorder="1"/>
    <xf numFmtId="0" fontId="39" fillId="0" borderId="15" xfId="40" applyFont="1" applyFill="1" applyBorder="1" applyAlignment="1">
      <alignment wrapText="1"/>
    </xf>
    <xf numFmtId="0" fontId="54" fillId="26" borderId="52" xfId="0" applyFont="1" applyFill="1" applyBorder="1"/>
    <xf numFmtId="0" fontId="50" fillId="42" borderId="70" xfId="0" applyFont="1" applyFill="1" applyBorder="1" applyAlignment="1"/>
    <xf numFmtId="0" fontId="50" fillId="42" borderId="89" xfId="0" applyFont="1" applyFill="1" applyBorder="1" applyAlignment="1"/>
    <xf numFmtId="0" fontId="24" fillId="0" borderId="16" xfId="0" applyFont="1" applyBorder="1" applyAlignment="1">
      <alignment horizontal="left" vertical="center" wrapText="1"/>
    </xf>
    <xf numFmtId="166" fontId="24" fillId="0" borderId="26" xfId="0" applyNumberFormat="1" applyFont="1" applyBorder="1"/>
    <xf numFmtId="164" fontId="0" fillId="0" borderId="0" xfId="0" applyNumberFormat="1"/>
    <xf numFmtId="0" fontId="22" fillId="0" borderId="0" xfId="0" applyFont="1" applyBorder="1" applyAlignment="1">
      <alignment horizontal="center"/>
    </xf>
    <xf numFmtId="0" fontId="0" fillId="0" borderId="30" xfId="0" applyBorder="1"/>
    <xf numFmtId="0" fontId="24" fillId="0" borderId="51" xfId="0" applyFont="1" applyBorder="1"/>
    <xf numFmtId="0" fontId="65" fillId="0" borderId="0" xfId="40" quotePrefix="1" applyFont="1"/>
    <xf numFmtId="0" fontId="65" fillId="0" borderId="0" xfId="40" applyFont="1"/>
    <xf numFmtId="0" fontId="27" fillId="30" borderId="0" xfId="40" applyFont="1" applyFill="1" applyAlignment="1">
      <alignment horizontal="right"/>
    </xf>
    <xf numFmtId="0" fontId="27" fillId="23" borderId="0" xfId="40" applyFont="1" applyFill="1" applyAlignment="1">
      <alignment horizontal="right"/>
    </xf>
    <xf numFmtId="0" fontId="27" fillId="28" borderId="0" xfId="40" applyFont="1" applyFill="1" applyAlignment="1">
      <alignment horizontal="right"/>
    </xf>
    <xf numFmtId="0" fontId="1" fillId="28" borderId="0" xfId="40" applyFont="1" applyFill="1" applyAlignment="1">
      <alignment horizontal="right"/>
    </xf>
    <xf numFmtId="0" fontId="1" fillId="23" borderId="0" xfId="40" applyFont="1" applyFill="1" applyAlignment="1">
      <alignment horizontal="right"/>
    </xf>
    <xf numFmtId="0" fontId="27" fillId="26" borderId="0" xfId="40" applyFont="1" applyFill="1" applyAlignment="1">
      <alignment horizontal="right"/>
    </xf>
    <xf numFmtId="0" fontId="1" fillId="26" borderId="0" xfId="40" applyFont="1" applyFill="1" applyAlignment="1">
      <alignment horizontal="right"/>
    </xf>
    <xf numFmtId="0" fontId="1" fillId="26" borderId="0" xfId="40" applyFill="1" applyAlignment="1">
      <alignment horizontal="right"/>
    </xf>
    <xf numFmtId="0" fontId="27" fillId="61" borderId="0" xfId="40" applyFont="1" applyFill="1" applyAlignment="1">
      <alignment horizontal="right"/>
    </xf>
    <xf numFmtId="0" fontId="1" fillId="61" borderId="0" xfId="40" applyFont="1" applyFill="1" applyAlignment="1">
      <alignment horizontal="right"/>
    </xf>
    <xf numFmtId="0" fontId="27" fillId="55" borderId="0" xfId="40" applyFont="1" applyFill="1" applyAlignment="1">
      <alignment horizontal="right"/>
    </xf>
    <xf numFmtId="0" fontId="1" fillId="55" borderId="0" xfId="40" applyFill="1"/>
    <xf numFmtId="166" fontId="27" fillId="0" borderId="0" xfId="40" applyNumberFormat="1" applyFont="1"/>
    <xf numFmtId="0" fontId="1" fillId="0" borderId="0" xfId="40" applyAlignment="1"/>
    <xf numFmtId="2" fontId="1" fillId="0" borderId="0" xfId="40" applyNumberFormat="1" applyAlignment="1">
      <alignment horizontal="left"/>
    </xf>
    <xf numFmtId="0" fontId="66" fillId="0" borderId="0" xfId="40" applyFont="1" applyAlignment="1">
      <alignment horizontal="left"/>
    </xf>
    <xf numFmtId="0" fontId="0" fillId="18" borderId="37" xfId="0" applyFill="1" applyBorder="1"/>
    <xf numFmtId="0" fontId="0" fillId="18" borderId="65" xfId="0" applyFill="1" applyBorder="1"/>
    <xf numFmtId="0" fontId="0" fillId="18" borderId="35" xfId="0" applyFill="1" applyBorder="1"/>
    <xf numFmtId="0" fontId="0" fillId="18" borderId="51" xfId="0" applyFill="1" applyBorder="1"/>
    <xf numFmtId="0" fontId="0" fillId="18" borderId="0" xfId="0" applyFill="1" applyBorder="1"/>
    <xf numFmtId="0" fontId="0" fillId="18" borderId="57" xfId="0" applyFill="1" applyBorder="1"/>
    <xf numFmtId="0" fontId="20" fillId="18" borderId="0" xfId="0" applyFont="1" applyFill="1" applyBorder="1"/>
    <xf numFmtId="0" fontId="0" fillId="18" borderId="0" xfId="0" applyFill="1"/>
    <xf numFmtId="0" fontId="20" fillId="18" borderId="0" xfId="0" applyFont="1" applyFill="1" applyBorder="1" applyAlignment="1">
      <alignment horizontal="right"/>
    </xf>
    <xf numFmtId="0" fontId="0" fillId="18" borderId="0" xfId="0" applyFill="1" applyBorder="1" applyAlignment="1"/>
    <xf numFmtId="0" fontId="68" fillId="18" borderId="66" xfId="0" applyFont="1" applyFill="1" applyBorder="1"/>
    <xf numFmtId="0" fontId="69" fillId="18" borderId="89" xfId="0" applyFont="1" applyFill="1" applyBorder="1" applyAlignment="1">
      <alignment horizontal="right"/>
    </xf>
    <xf numFmtId="0" fontId="68" fillId="18" borderId="0" xfId="0" applyFont="1" applyFill="1" applyBorder="1"/>
    <xf numFmtId="0" fontId="68" fillId="18" borderId="63" xfId="0" applyFont="1" applyFill="1" applyBorder="1"/>
    <xf numFmtId="0" fontId="0" fillId="18" borderId="66" xfId="0" applyFill="1" applyBorder="1"/>
    <xf numFmtId="0" fontId="20" fillId="18" borderId="63" xfId="0" applyFont="1" applyFill="1" applyBorder="1" applyAlignment="1">
      <alignment horizontal="right"/>
    </xf>
    <xf numFmtId="0" fontId="0" fillId="18" borderId="63" xfId="0" applyFill="1" applyBorder="1"/>
    <xf numFmtId="0" fontId="20" fillId="18" borderId="63" xfId="0" applyFont="1" applyFill="1" applyBorder="1" applyAlignment="1"/>
    <xf numFmtId="0" fontId="0" fillId="18" borderId="39" xfId="0" applyFill="1" applyBorder="1"/>
    <xf numFmtId="0" fontId="20" fillId="18" borderId="27" xfId="0" applyFont="1" applyFill="1" applyBorder="1" applyAlignment="1"/>
    <xf numFmtId="0" fontId="0" fillId="18" borderId="71" xfId="0" applyFill="1" applyBorder="1"/>
    <xf numFmtId="0" fontId="0" fillId="18" borderId="27" xfId="0" applyFill="1" applyBorder="1"/>
    <xf numFmtId="0" fontId="0" fillId="18" borderId="52" xfId="0" applyFill="1" applyBorder="1"/>
    <xf numFmtId="0" fontId="0" fillId="18" borderId="36" xfId="0" applyFill="1" applyBorder="1"/>
    <xf numFmtId="0" fontId="0" fillId="18" borderId="40" xfId="0" applyFill="1" applyBorder="1"/>
    <xf numFmtId="0" fontId="1" fillId="0" borderId="0" xfId="40" applyFont="1" applyAlignment="1"/>
    <xf numFmtId="2" fontId="39" fillId="0" borderId="26" xfId="40" applyNumberFormat="1" applyFont="1" applyBorder="1" applyAlignment="1"/>
    <xf numFmtId="164" fontId="1" fillId="0" borderId="0" xfId="40" applyNumberFormat="1"/>
    <xf numFmtId="0" fontId="39" fillId="0" borderId="20" xfId="0" applyFont="1" applyFill="1" applyBorder="1"/>
    <xf numFmtId="2" fontId="38" fillId="30" borderId="22" xfId="0" applyNumberFormat="1" applyFont="1" applyFill="1" applyBorder="1"/>
    <xf numFmtId="2" fontId="39" fillId="0" borderId="14" xfId="0" applyNumberFormat="1" applyFont="1" applyFill="1" applyBorder="1" applyAlignment="1"/>
    <xf numFmtId="2" fontId="39" fillId="0" borderId="22" xfId="0" applyNumberFormat="1" applyFont="1" applyFill="1" applyBorder="1"/>
    <xf numFmtId="2" fontId="38" fillId="30" borderId="62" xfId="0" applyNumberFormat="1" applyFont="1" applyFill="1" applyBorder="1"/>
    <xf numFmtId="2" fontId="39" fillId="0" borderId="14" xfId="0" applyNumberFormat="1" applyFont="1" applyFill="1" applyBorder="1"/>
    <xf numFmtId="2" fontId="39" fillId="0" borderId="30" xfId="0" applyNumberFormat="1" applyFont="1" applyFill="1" applyBorder="1"/>
    <xf numFmtId="2" fontId="38" fillId="0" borderId="0" xfId="0" applyNumberFormat="1" applyFont="1" applyFill="1" applyBorder="1"/>
    <xf numFmtId="2" fontId="38" fillId="21" borderId="22" xfId="0" applyNumberFormat="1" applyFont="1" applyFill="1" applyBorder="1"/>
    <xf numFmtId="2" fontId="38" fillId="21" borderId="20" xfId="0" applyNumberFormat="1" applyFont="1" applyFill="1" applyBorder="1"/>
    <xf numFmtId="0" fontId="39" fillId="0" borderId="49" xfId="0" applyFont="1" applyFill="1" applyBorder="1"/>
    <xf numFmtId="0" fontId="39" fillId="0" borderId="17" xfId="0" applyFont="1" applyFill="1" applyBorder="1"/>
    <xf numFmtId="2" fontId="39" fillId="0" borderId="62" xfId="0" applyNumberFormat="1" applyFont="1" applyFill="1" applyBorder="1"/>
    <xf numFmtId="0" fontId="1" fillId="0" borderId="0" xfId="40" applyFill="1"/>
    <xf numFmtId="10" fontId="27" fillId="0" borderId="0" xfId="40" applyNumberFormat="1" applyFont="1" applyFill="1"/>
    <xf numFmtId="0" fontId="0" fillId="18" borderId="0" xfId="0" applyFill="1" applyAlignment="1">
      <alignment horizontal="center" vertical="center" wrapText="1"/>
    </xf>
    <xf numFmtId="0" fontId="0" fillId="18" borderId="88" xfId="0" applyFont="1" applyFill="1" applyBorder="1" applyAlignment="1">
      <alignment horizontal="right" vertical="center"/>
    </xf>
    <xf numFmtId="1" fontId="20" fillId="18" borderId="91" xfId="0" applyNumberFormat="1" applyFont="1" applyFill="1" applyBorder="1" applyAlignment="1" applyProtection="1">
      <alignment horizontal="center" vertical="center"/>
      <protection locked="0"/>
    </xf>
    <xf numFmtId="1" fontId="20" fillId="18" borderId="21" xfId="0" applyNumberFormat="1" applyFont="1" applyFill="1" applyBorder="1" applyAlignment="1" applyProtection="1">
      <alignment horizontal="center" vertical="center"/>
    </xf>
    <xf numFmtId="1" fontId="20" fillId="18" borderId="22" xfId="0" applyNumberFormat="1" applyFont="1" applyFill="1" applyBorder="1" applyAlignment="1" applyProtection="1">
      <alignment horizontal="center" vertical="center"/>
    </xf>
    <xf numFmtId="1" fontId="20" fillId="18" borderId="20" xfId="0" applyNumberFormat="1" applyFont="1" applyFill="1" applyBorder="1" applyAlignment="1" applyProtection="1">
      <alignment horizontal="center" vertical="center"/>
      <protection locked="0"/>
    </xf>
    <xf numFmtId="0" fontId="40" fillId="18" borderId="35" xfId="0" applyFont="1" applyFill="1" applyBorder="1" applyAlignment="1">
      <alignment horizontal="center" vertical="center"/>
    </xf>
    <xf numFmtId="0" fontId="0" fillId="18" borderId="41" xfId="0" applyFill="1" applyBorder="1" applyAlignment="1">
      <alignment horizontal="right" vertical="center"/>
    </xf>
    <xf numFmtId="1" fontId="20" fillId="18" borderId="63" xfId="0" applyNumberFormat="1" applyFont="1" applyFill="1" applyBorder="1" applyAlignment="1" applyProtection="1">
      <alignment horizontal="center" vertical="center"/>
    </xf>
    <xf numFmtId="1" fontId="20" fillId="18" borderId="64" xfId="0" applyNumberFormat="1" applyFont="1" applyFill="1" applyBorder="1" applyAlignment="1" applyProtection="1">
      <alignment horizontal="center" vertical="center"/>
    </xf>
    <xf numFmtId="1" fontId="20" fillId="18" borderId="62" xfId="0" applyNumberFormat="1" applyFont="1" applyFill="1" applyBorder="1" applyAlignment="1" applyProtection="1">
      <alignment horizontal="center" vertical="center"/>
    </xf>
    <xf numFmtId="1" fontId="20" fillId="18" borderId="49" xfId="0" applyNumberFormat="1" applyFont="1" applyFill="1" applyBorder="1" applyAlignment="1" applyProtection="1">
      <alignment horizontal="center" vertical="center"/>
    </xf>
    <xf numFmtId="0" fontId="40" fillId="18" borderId="57" xfId="0" applyFont="1" applyFill="1" applyBorder="1" applyAlignment="1">
      <alignment horizontal="center" vertical="center"/>
    </xf>
    <xf numFmtId="0" fontId="0" fillId="18" borderId="41" xfId="0" applyFont="1" applyFill="1" applyBorder="1" applyAlignment="1">
      <alignment horizontal="right" vertical="center"/>
    </xf>
    <xf numFmtId="0" fontId="0" fillId="18" borderId="61" xfId="0" applyFont="1" applyFill="1" applyBorder="1" applyAlignment="1">
      <alignment horizontal="right" vertical="center"/>
    </xf>
    <xf numFmtId="0" fontId="40" fillId="18" borderId="93" xfId="0" applyFont="1" applyFill="1" applyBorder="1" applyAlignment="1">
      <alignment horizontal="center" vertical="center"/>
    </xf>
    <xf numFmtId="0" fontId="0" fillId="18" borderId="58" xfId="0" applyFont="1" applyFill="1" applyBorder="1" applyAlignment="1">
      <alignment horizontal="right" vertical="center"/>
    </xf>
    <xf numFmtId="0" fontId="40" fillId="18" borderId="59" xfId="0" applyFont="1" applyFill="1" applyBorder="1" applyAlignment="1">
      <alignment horizontal="center" vertical="center"/>
    </xf>
    <xf numFmtId="0" fontId="0" fillId="18" borderId="41" xfId="0" applyFill="1" applyBorder="1" applyAlignment="1">
      <alignment horizontal="center" vertical="center"/>
    </xf>
    <xf numFmtId="0" fontId="0" fillId="18" borderId="43" xfId="0" applyFill="1" applyBorder="1" applyAlignment="1">
      <alignment horizontal="center" vertical="center"/>
    </xf>
    <xf numFmtId="2" fontId="20" fillId="18" borderId="63" xfId="0" applyNumberFormat="1" applyFont="1" applyFill="1" applyBorder="1" applyAlignment="1" applyProtection="1">
      <alignment horizontal="center" vertical="center"/>
    </xf>
    <xf numFmtId="2" fontId="20" fillId="18" borderId="64" xfId="0" applyNumberFormat="1" applyFont="1" applyFill="1" applyBorder="1" applyAlignment="1" applyProtection="1">
      <alignment horizontal="center" vertical="center"/>
    </xf>
    <xf numFmtId="2" fontId="20" fillId="18" borderId="62" xfId="0" applyNumberFormat="1" applyFont="1" applyFill="1" applyBorder="1" applyAlignment="1" applyProtection="1">
      <alignment horizontal="center" vertical="center"/>
    </xf>
    <xf numFmtId="2" fontId="20" fillId="18" borderId="49" xfId="0" applyNumberFormat="1" applyFont="1" applyFill="1" applyBorder="1" applyAlignment="1" applyProtection="1">
      <alignment horizontal="center" vertical="center"/>
    </xf>
    <xf numFmtId="2" fontId="20" fillId="18" borderId="63" xfId="0" applyNumberFormat="1" applyFont="1" applyFill="1" applyBorder="1" applyAlignment="1">
      <alignment horizontal="center" vertical="center"/>
    </xf>
    <xf numFmtId="2" fontId="20" fillId="18" borderId="64" xfId="0" applyNumberFormat="1" applyFont="1" applyFill="1" applyBorder="1" applyAlignment="1">
      <alignment horizontal="center" vertical="center"/>
    </xf>
    <xf numFmtId="2" fontId="20" fillId="18" borderId="62" xfId="0" applyNumberFormat="1" applyFont="1" applyFill="1" applyBorder="1" applyAlignment="1">
      <alignment horizontal="center" vertical="center"/>
    </xf>
    <xf numFmtId="2" fontId="20" fillId="18" borderId="49" xfId="0" applyNumberFormat="1" applyFont="1" applyFill="1" applyBorder="1" applyAlignment="1">
      <alignment horizontal="center" vertical="center"/>
    </xf>
    <xf numFmtId="2" fontId="20" fillId="18" borderId="27" xfId="0" applyNumberFormat="1" applyFont="1" applyFill="1" applyBorder="1" applyAlignment="1">
      <alignment horizontal="center" vertical="center"/>
    </xf>
    <xf numFmtId="2" fontId="20" fillId="18" borderId="19" xfId="0" applyNumberFormat="1" applyFont="1" applyFill="1" applyBorder="1" applyAlignment="1">
      <alignment horizontal="center" vertical="center"/>
    </xf>
    <xf numFmtId="2" fontId="20" fillId="18" borderId="26" xfId="0" applyNumberFormat="1" applyFont="1" applyFill="1" applyBorder="1" applyAlignment="1">
      <alignment horizontal="center" vertical="center"/>
    </xf>
    <xf numFmtId="2" fontId="20" fillId="18" borderId="38" xfId="0" applyNumberFormat="1" applyFont="1" applyFill="1" applyBorder="1" applyAlignment="1">
      <alignment horizontal="center" vertical="center"/>
    </xf>
    <xf numFmtId="2" fontId="20" fillId="18" borderId="89" xfId="0" applyNumberFormat="1" applyFont="1" applyFill="1" applyBorder="1" applyAlignment="1" applyProtection="1">
      <alignment horizontal="center" vertical="center"/>
    </xf>
    <xf numFmtId="2" fontId="20" fillId="18" borderId="29" xfId="0" applyNumberFormat="1" applyFont="1" applyFill="1" applyBorder="1" applyAlignment="1" applyProtection="1">
      <alignment horizontal="center" vertical="center"/>
    </xf>
    <xf numFmtId="2" fontId="20" fillId="18" borderId="28" xfId="0" applyNumberFormat="1" applyFont="1" applyFill="1" applyBorder="1" applyAlignment="1" applyProtection="1">
      <alignment horizontal="center" vertical="center"/>
    </xf>
    <xf numFmtId="2" fontId="20" fillId="18" borderId="30" xfId="0" applyNumberFormat="1" applyFont="1" applyFill="1" applyBorder="1" applyAlignment="1" applyProtection="1">
      <alignment horizontal="center" vertical="center"/>
    </xf>
    <xf numFmtId="2" fontId="20" fillId="18" borderId="27" xfId="0" applyNumberFormat="1" applyFont="1" applyFill="1" applyBorder="1" applyAlignment="1" applyProtection="1">
      <alignment horizontal="center" vertical="center"/>
    </xf>
    <xf numFmtId="2" fontId="20" fillId="18" borderId="19" xfId="0" applyNumberFormat="1" applyFont="1" applyFill="1" applyBorder="1" applyAlignment="1" applyProtection="1">
      <alignment horizontal="center" vertical="center"/>
    </xf>
    <xf numFmtId="2" fontId="20" fillId="18" borderId="26" xfId="0" applyNumberFormat="1" applyFont="1" applyFill="1" applyBorder="1" applyAlignment="1" applyProtection="1">
      <alignment horizontal="center" vertical="center"/>
    </xf>
    <xf numFmtId="2" fontId="20" fillId="18" borderId="38" xfId="0" applyNumberFormat="1" applyFont="1" applyFill="1" applyBorder="1" applyAlignment="1" applyProtection="1">
      <alignment horizontal="center" vertical="center"/>
    </xf>
    <xf numFmtId="0" fontId="0" fillId="18" borderId="61" xfId="0" applyFill="1" applyBorder="1" applyAlignment="1">
      <alignment horizontal="right" vertical="center"/>
    </xf>
    <xf numFmtId="10" fontId="20" fillId="18" borderId="89" xfId="0" applyNumberFormat="1" applyFont="1" applyFill="1" applyBorder="1" applyAlignment="1" applyProtection="1">
      <alignment horizontal="center" vertical="center"/>
    </xf>
    <xf numFmtId="10" fontId="20" fillId="18" borderId="29" xfId="0" applyNumberFormat="1" applyFont="1" applyFill="1" applyBorder="1" applyAlignment="1" applyProtection="1">
      <alignment horizontal="center" vertical="center"/>
    </xf>
    <xf numFmtId="10" fontId="20" fillId="18" borderId="30" xfId="0" applyNumberFormat="1" applyFont="1" applyFill="1" applyBorder="1" applyAlignment="1" applyProtection="1">
      <alignment horizontal="center" vertical="center"/>
    </xf>
    <xf numFmtId="10" fontId="20" fillId="18" borderId="28" xfId="0" applyNumberFormat="1" applyFont="1" applyFill="1" applyBorder="1" applyAlignment="1" applyProtection="1">
      <alignment horizontal="center" vertical="center"/>
    </xf>
    <xf numFmtId="10" fontId="20" fillId="18" borderId="63" xfId="0" applyNumberFormat="1" applyFont="1" applyFill="1" applyBorder="1" applyAlignment="1" applyProtection="1">
      <alignment horizontal="center" vertical="center"/>
    </xf>
    <xf numFmtId="10" fontId="20" fillId="18" borderId="64" xfId="0" applyNumberFormat="1" applyFont="1" applyFill="1" applyBorder="1" applyAlignment="1" applyProtection="1">
      <alignment horizontal="center" vertical="center"/>
    </xf>
    <xf numFmtId="10" fontId="20" fillId="18" borderId="62" xfId="0" applyNumberFormat="1" applyFont="1" applyFill="1" applyBorder="1" applyAlignment="1" applyProtection="1">
      <alignment horizontal="center" vertical="center"/>
    </xf>
    <xf numFmtId="10" fontId="20" fillId="18" borderId="49" xfId="0" applyNumberFormat="1" applyFont="1" applyFill="1" applyBorder="1" applyAlignment="1" applyProtection="1">
      <alignment horizontal="center" vertical="center"/>
    </xf>
    <xf numFmtId="0" fontId="0" fillId="18" borderId="56" xfId="0" applyFill="1" applyBorder="1" applyAlignment="1">
      <alignment horizontal="right" vertical="center"/>
    </xf>
    <xf numFmtId="10" fontId="20" fillId="18" borderId="90" xfId="0" applyNumberFormat="1" applyFont="1" applyFill="1" applyBorder="1" applyAlignment="1" applyProtection="1">
      <alignment horizontal="center" vertical="center"/>
    </xf>
    <xf numFmtId="10" fontId="20" fillId="18" borderId="60" xfId="0" applyNumberFormat="1" applyFont="1" applyFill="1" applyBorder="1" applyAlignment="1" applyProtection="1">
      <alignment horizontal="center" vertical="center"/>
    </xf>
    <xf numFmtId="10" fontId="20" fillId="18" borderId="92" xfId="0" applyNumberFormat="1" applyFont="1" applyFill="1" applyBorder="1" applyAlignment="1" applyProtection="1">
      <alignment horizontal="center" vertical="center"/>
    </xf>
    <xf numFmtId="10" fontId="20" fillId="18" borderId="50" xfId="0" applyNumberFormat="1" applyFont="1" applyFill="1" applyBorder="1" applyAlignment="1" applyProtection="1">
      <alignment horizontal="center" vertical="center"/>
    </xf>
    <xf numFmtId="0" fontId="40" fillId="18" borderId="40" xfId="0" applyFont="1" applyFill="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wrapText="1"/>
    </xf>
    <xf numFmtId="2" fontId="71" fillId="0" borderId="0" xfId="0" applyNumberFormat="1" applyFont="1" applyAlignment="1">
      <alignment wrapText="1"/>
    </xf>
    <xf numFmtId="2" fontId="71" fillId="0" borderId="0" xfId="0" applyNumberFormat="1" applyFont="1" applyAlignment="1">
      <alignment horizontal="center" wrapText="1"/>
    </xf>
    <xf numFmtId="0" fontId="71" fillId="0" borderId="0" xfId="0" applyFont="1" applyAlignment="1"/>
    <xf numFmtId="2" fontId="72" fillId="0" borderId="36" xfId="0" applyNumberFormat="1" applyFont="1" applyBorder="1" applyAlignment="1">
      <alignment vertical="center" wrapText="1"/>
    </xf>
    <xf numFmtId="0" fontId="72" fillId="0" borderId="20" xfId="0" applyFont="1" applyBorder="1" applyAlignment="1">
      <alignment vertical="center" wrapText="1"/>
    </xf>
    <xf numFmtId="0" fontId="72" fillId="0" borderId="97" xfId="0" applyFont="1" applyBorder="1" applyAlignment="1">
      <alignment vertical="center" wrapText="1"/>
    </xf>
    <xf numFmtId="2" fontId="72" fillId="0" borderId="22" xfId="0" applyNumberFormat="1" applyFont="1" applyBorder="1" applyAlignment="1">
      <alignment vertical="center" wrapText="1"/>
    </xf>
    <xf numFmtId="2" fontId="72" fillId="0" borderId="35" xfId="0" applyNumberFormat="1" applyFont="1" applyBorder="1" applyAlignment="1">
      <alignment vertical="center" wrapText="1"/>
    </xf>
    <xf numFmtId="0" fontId="72" fillId="0" borderId="21" xfId="0" applyFont="1" applyBorder="1" applyAlignment="1">
      <alignment vertical="center" wrapText="1"/>
    </xf>
    <xf numFmtId="2" fontId="72" fillId="0" borderId="97" xfId="0" applyNumberFormat="1" applyFont="1" applyBorder="1" applyAlignment="1">
      <alignment horizontal="center" vertical="center" wrapText="1"/>
    </xf>
    <xf numFmtId="0" fontId="72" fillId="0" borderId="20" xfId="0" applyFont="1" applyFill="1" applyBorder="1" applyAlignment="1">
      <alignment vertical="center"/>
    </xf>
    <xf numFmtId="2" fontId="72" fillId="0" borderId="21" xfId="0" applyNumberFormat="1" applyFont="1" applyFill="1" applyBorder="1" applyAlignment="1">
      <alignment vertical="center" wrapText="1"/>
    </xf>
    <xf numFmtId="2" fontId="72" fillId="0" borderId="22" xfId="0" applyNumberFormat="1" applyFont="1" applyFill="1" applyBorder="1" applyAlignment="1">
      <alignment vertical="center" wrapText="1"/>
    </xf>
    <xf numFmtId="0" fontId="71" fillId="0" borderId="0" xfId="0" applyFont="1" applyAlignment="1">
      <alignment vertical="center" wrapText="1"/>
    </xf>
    <xf numFmtId="0" fontId="71" fillId="33" borderId="10" xfId="0" applyFont="1" applyFill="1" applyBorder="1" applyAlignment="1">
      <alignment vertical="center" wrapText="1"/>
    </xf>
    <xf numFmtId="2" fontId="73" fillId="33" borderId="10" xfId="0" applyNumberFormat="1" applyFont="1" applyFill="1" applyBorder="1" applyAlignment="1">
      <alignment horizontal="center" wrapText="1"/>
    </xf>
    <xf numFmtId="2" fontId="73" fillId="33" borderId="10" xfId="0" applyNumberFormat="1" applyFont="1" applyFill="1" applyBorder="1" applyAlignment="1">
      <alignment horizontal="center" vertical="center" wrapText="1"/>
    </xf>
    <xf numFmtId="0" fontId="73" fillId="33" borderId="10" xfId="0" applyFont="1" applyFill="1" applyBorder="1" applyAlignment="1">
      <alignment horizontal="center" wrapText="1"/>
    </xf>
    <xf numFmtId="0" fontId="73" fillId="33" borderId="10" xfId="0" applyFont="1" applyFill="1" applyBorder="1" applyAlignment="1">
      <alignment horizontal="center" vertical="center" wrapText="1"/>
    </xf>
    <xf numFmtId="2" fontId="71" fillId="33" borderId="10" xfId="0" applyNumberFormat="1" applyFont="1" applyFill="1" applyBorder="1" applyAlignment="1">
      <alignment vertical="center" wrapText="1"/>
    </xf>
    <xf numFmtId="2" fontId="71" fillId="33" borderId="10" xfId="0" applyNumberFormat="1" applyFont="1" applyFill="1" applyBorder="1" applyAlignment="1">
      <alignment vertical="center"/>
    </xf>
    <xf numFmtId="2" fontId="73" fillId="33" borderId="86" xfId="0" applyNumberFormat="1" applyFont="1" applyFill="1" applyBorder="1" applyAlignment="1">
      <alignment horizontal="center" vertical="center" wrapText="1"/>
    </xf>
    <xf numFmtId="0" fontId="71" fillId="33" borderId="16" xfId="0" applyFont="1" applyFill="1" applyBorder="1" applyAlignment="1">
      <alignment vertical="center" wrapText="1"/>
    </xf>
    <xf numFmtId="2" fontId="73" fillId="33" borderId="16" xfId="0" applyNumberFormat="1" applyFont="1" applyFill="1" applyBorder="1" applyAlignment="1">
      <alignment horizontal="center" wrapText="1"/>
    </xf>
    <xf numFmtId="2" fontId="73" fillId="33" borderId="16" xfId="0" applyNumberFormat="1" applyFont="1" applyFill="1" applyBorder="1" applyAlignment="1">
      <alignment horizontal="center" vertical="center" wrapText="1"/>
    </xf>
    <xf numFmtId="0" fontId="73" fillId="33" borderId="16" xfId="0" applyFont="1" applyFill="1" applyBorder="1" applyAlignment="1">
      <alignment horizontal="center" wrapText="1"/>
    </xf>
    <xf numFmtId="0" fontId="73" fillId="33" borderId="16" xfId="0" applyFont="1" applyFill="1" applyBorder="1" applyAlignment="1">
      <alignment horizontal="center" vertical="center" wrapText="1"/>
    </xf>
    <xf numFmtId="2" fontId="71" fillId="33" borderId="16" xfId="0" applyNumberFormat="1" applyFont="1" applyFill="1" applyBorder="1" applyAlignment="1">
      <alignment vertical="center" wrapText="1"/>
    </xf>
    <xf numFmtId="2" fontId="71" fillId="33" borderId="16" xfId="0" applyNumberFormat="1" applyFont="1" applyFill="1" applyBorder="1" applyAlignment="1">
      <alignment vertical="center"/>
    </xf>
    <xf numFmtId="2" fontId="73" fillId="33" borderId="14" xfId="0" applyNumberFormat="1" applyFont="1" applyFill="1" applyBorder="1" applyAlignment="1">
      <alignment horizontal="center" vertical="center" wrapText="1"/>
    </xf>
    <xf numFmtId="0" fontId="71" fillId="33" borderId="16" xfId="0" applyFont="1" applyFill="1" applyBorder="1" applyAlignment="1">
      <alignment wrapText="1"/>
    </xf>
    <xf numFmtId="2" fontId="71" fillId="33" borderId="16" xfId="0" applyNumberFormat="1" applyFont="1" applyFill="1" applyBorder="1" applyAlignment="1">
      <alignment wrapText="1"/>
    </xf>
    <xf numFmtId="2" fontId="71" fillId="33" borderId="16" xfId="0" applyNumberFormat="1" applyFont="1" applyFill="1" applyBorder="1" applyAlignment="1"/>
    <xf numFmtId="2" fontId="73" fillId="33" borderId="14" xfId="0" applyNumberFormat="1" applyFont="1" applyFill="1" applyBorder="1" applyAlignment="1">
      <alignment horizontal="center" wrapText="1"/>
    </xf>
    <xf numFmtId="0" fontId="71" fillId="33" borderId="18" xfId="0" applyFont="1" applyFill="1" applyBorder="1" applyAlignment="1">
      <alignment vertical="center" wrapText="1"/>
    </xf>
    <xf numFmtId="2" fontId="73" fillId="33" borderId="18" xfId="0" applyNumberFormat="1" applyFont="1" applyFill="1" applyBorder="1" applyAlignment="1">
      <alignment horizontal="center" wrapText="1"/>
    </xf>
    <xf numFmtId="0" fontId="71" fillId="33" borderId="18" xfId="0" applyFont="1" applyFill="1" applyBorder="1" applyAlignment="1">
      <alignment wrapText="1"/>
    </xf>
    <xf numFmtId="0" fontId="73" fillId="33" borderId="18" xfId="0" applyFont="1" applyFill="1" applyBorder="1" applyAlignment="1">
      <alignment horizontal="center" wrapText="1"/>
    </xf>
    <xf numFmtId="2" fontId="71" fillId="33" borderId="18" xfId="0" applyNumberFormat="1" applyFont="1" applyFill="1" applyBorder="1" applyAlignment="1">
      <alignment wrapText="1"/>
    </xf>
    <xf numFmtId="2" fontId="71" fillId="33" borderId="18" xfId="0" applyNumberFormat="1" applyFont="1" applyFill="1" applyBorder="1" applyAlignment="1"/>
    <xf numFmtId="2" fontId="73" fillId="33" borderId="24" xfId="0" applyNumberFormat="1" applyFont="1" applyFill="1" applyBorder="1" applyAlignment="1">
      <alignment horizontal="center" wrapText="1"/>
    </xf>
    <xf numFmtId="0" fontId="71" fillId="18" borderId="19" xfId="0" applyFont="1" applyFill="1" applyBorder="1" applyAlignment="1">
      <alignment wrapText="1"/>
    </xf>
    <xf numFmtId="2" fontId="73" fillId="18" borderId="19" xfId="0" applyNumberFormat="1" applyFont="1" applyFill="1" applyBorder="1" applyAlignment="1">
      <alignment horizontal="center" wrapText="1"/>
    </xf>
    <xf numFmtId="0" fontId="73" fillId="18" borderId="19" xfId="0" applyFont="1" applyFill="1" applyBorder="1" applyAlignment="1">
      <alignment horizontal="center" wrapText="1"/>
    </xf>
    <xf numFmtId="2" fontId="71" fillId="18" borderId="19" xfId="0" applyNumberFormat="1" applyFont="1" applyFill="1" applyBorder="1" applyAlignment="1">
      <alignment wrapText="1"/>
    </xf>
    <xf numFmtId="2" fontId="71" fillId="18" borderId="19" xfId="0" applyNumberFormat="1" applyFont="1" applyFill="1" applyBorder="1" applyAlignment="1"/>
    <xf numFmtId="2" fontId="73" fillId="18" borderId="26" xfId="0" applyNumberFormat="1" applyFont="1" applyFill="1" applyBorder="1" applyAlignment="1">
      <alignment horizontal="center" wrapText="1"/>
    </xf>
    <xf numFmtId="0" fontId="71" fillId="0" borderId="0" xfId="0" applyFont="1" applyFill="1" applyAlignment="1">
      <alignment wrapText="1"/>
    </xf>
    <xf numFmtId="0" fontId="71" fillId="18" borderId="16" xfId="0" applyFont="1" applyFill="1" applyBorder="1" applyAlignment="1">
      <alignment wrapText="1"/>
    </xf>
    <xf numFmtId="2" fontId="73" fillId="18" borderId="16" xfId="0" applyNumberFormat="1" applyFont="1" applyFill="1" applyBorder="1" applyAlignment="1">
      <alignment horizontal="center" wrapText="1"/>
    </xf>
    <xf numFmtId="0" fontId="73" fillId="18" borderId="16" xfId="0" applyFont="1" applyFill="1" applyBorder="1" applyAlignment="1">
      <alignment horizontal="center" wrapText="1"/>
    </xf>
    <xf numFmtId="2" fontId="71" fillId="18" borderId="16" xfId="0" applyNumberFormat="1" applyFont="1" applyFill="1" applyBorder="1" applyAlignment="1">
      <alignment wrapText="1"/>
    </xf>
    <xf numFmtId="2" fontId="71" fillId="18" borderId="16" xfId="0" applyNumberFormat="1" applyFont="1" applyFill="1" applyBorder="1" applyAlignment="1"/>
    <xf numFmtId="2" fontId="73" fillId="18" borderId="14" xfId="0" applyNumberFormat="1" applyFont="1" applyFill="1" applyBorder="1" applyAlignment="1">
      <alignment horizontal="center" wrapText="1"/>
    </xf>
    <xf numFmtId="0" fontId="71" fillId="18" borderId="64" xfId="0" applyFont="1" applyFill="1" applyBorder="1" applyAlignment="1">
      <alignment wrapText="1"/>
    </xf>
    <xf numFmtId="2" fontId="73" fillId="18" borderId="64" xfId="0" applyNumberFormat="1" applyFont="1" applyFill="1" applyBorder="1" applyAlignment="1">
      <alignment horizontal="center" wrapText="1"/>
    </xf>
    <xf numFmtId="0" fontId="73" fillId="18" borderId="64" xfId="0" applyFont="1" applyFill="1" applyBorder="1" applyAlignment="1">
      <alignment horizontal="center" wrapText="1"/>
    </xf>
    <xf numFmtId="2" fontId="71" fillId="18" borderId="64" xfId="0" applyNumberFormat="1" applyFont="1" applyFill="1" applyBorder="1" applyAlignment="1">
      <alignment wrapText="1"/>
    </xf>
    <xf numFmtId="2" fontId="71" fillId="18" borderId="64" xfId="0" applyNumberFormat="1" applyFont="1" applyFill="1" applyBorder="1" applyAlignment="1"/>
    <xf numFmtId="2" fontId="73" fillId="18" borderId="62" xfId="0" applyNumberFormat="1" applyFont="1" applyFill="1" applyBorder="1" applyAlignment="1">
      <alignment horizontal="center" wrapText="1"/>
    </xf>
    <xf numFmtId="0" fontId="71" fillId="33" borderId="10" xfId="0" applyFont="1" applyFill="1" applyBorder="1" applyAlignment="1">
      <alignment wrapText="1"/>
    </xf>
    <xf numFmtId="2" fontId="71" fillId="33" borderId="10" xfId="0" applyNumberFormat="1" applyFont="1" applyFill="1" applyBorder="1" applyAlignment="1">
      <alignment wrapText="1"/>
    </xf>
    <xf numFmtId="2" fontId="71" fillId="33" borderId="10" xfId="0" applyNumberFormat="1" applyFont="1" applyFill="1" applyBorder="1" applyAlignment="1"/>
    <xf numFmtId="2" fontId="73" fillId="33" borderId="86" xfId="0" applyNumberFormat="1" applyFont="1" applyFill="1" applyBorder="1" applyAlignment="1">
      <alignment horizontal="center" wrapText="1"/>
    </xf>
    <xf numFmtId="0" fontId="71" fillId="18" borderId="29" xfId="0" applyFont="1" applyFill="1" applyBorder="1" applyAlignment="1">
      <alignment wrapText="1"/>
    </xf>
    <xf numFmtId="2" fontId="73" fillId="18" borderId="29" xfId="0" applyNumberFormat="1" applyFont="1" applyFill="1" applyBorder="1" applyAlignment="1">
      <alignment horizontal="center" wrapText="1"/>
    </xf>
    <xf numFmtId="0" fontId="73" fillId="18" borderId="29" xfId="0" applyFont="1" applyFill="1" applyBorder="1" applyAlignment="1">
      <alignment horizontal="center" wrapText="1"/>
    </xf>
    <xf numFmtId="2" fontId="71" fillId="18" borderId="29" xfId="0" applyNumberFormat="1" applyFont="1" applyFill="1" applyBorder="1" applyAlignment="1"/>
    <xf numFmtId="2" fontId="73" fillId="18" borderId="30" xfId="0" applyNumberFormat="1" applyFont="1" applyFill="1" applyBorder="1" applyAlignment="1">
      <alignment horizontal="center" wrapText="1"/>
    </xf>
    <xf numFmtId="2" fontId="71" fillId="18" borderId="29" xfId="0" applyNumberFormat="1" applyFont="1" applyFill="1" applyBorder="1" applyAlignment="1">
      <alignment wrapText="1"/>
    </xf>
    <xf numFmtId="0" fontId="71" fillId="33" borderId="85" xfId="0" applyFont="1" applyFill="1" applyBorder="1" applyAlignment="1">
      <alignment wrapText="1"/>
    </xf>
    <xf numFmtId="0" fontId="71" fillId="33" borderId="87" xfId="0" applyFont="1" applyFill="1" applyBorder="1" applyAlignment="1">
      <alignment wrapText="1"/>
    </xf>
    <xf numFmtId="0" fontId="71" fillId="33" borderId="95" xfId="0" applyFont="1" applyFill="1" applyBorder="1" applyAlignment="1">
      <alignment wrapText="1"/>
    </xf>
    <xf numFmtId="0" fontId="72" fillId="28" borderId="65" xfId="0" applyFont="1" applyFill="1" applyBorder="1" applyAlignment="1">
      <alignment wrapText="1"/>
    </xf>
    <xf numFmtId="2" fontId="72" fillId="28" borderId="65" xfId="0" applyNumberFormat="1" applyFont="1" applyFill="1" applyBorder="1" applyAlignment="1">
      <alignment wrapText="1"/>
    </xf>
    <xf numFmtId="2" fontId="71" fillId="28" borderId="65" xfId="0" applyNumberFormat="1" applyFont="1" applyFill="1" applyBorder="1" applyAlignment="1">
      <alignment wrapText="1"/>
    </xf>
    <xf numFmtId="0" fontId="71" fillId="28" borderId="65" xfId="0" applyFont="1" applyFill="1" applyBorder="1" applyAlignment="1">
      <alignment wrapText="1"/>
    </xf>
    <xf numFmtId="2" fontId="71" fillId="28" borderId="65" xfId="0" applyNumberFormat="1" applyFont="1" applyFill="1" applyBorder="1" applyAlignment="1">
      <alignment horizontal="center" wrapText="1"/>
    </xf>
    <xf numFmtId="2" fontId="71" fillId="28" borderId="0" xfId="0" applyNumberFormat="1" applyFont="1" applyFill="1" applyBorder="1" applyAlignment="1">
      <alignment horizontal="center" wrapText="1"/>
    </xf>
    <xf numFmtId="0" fontId="71" fillId="28" borderId="0" xfId="0" applyFont="1" applyFill="1" applyBorder="1" applyAlignment="1">
      <alignment wrapText="1"/>
    </xf>
    <xf numFmtId="2" fontId="71" fillId="28" borderId="0" xfId="0" applyNumberFormat="1" applyFont="1" applyFill="1" applyBorder="1" applyAlignment="1">
      <alignment wrapText="1"/>
    </xf>
    <xf numFmtId="10" fontId="71" fillId="28" borderId="0" xfId="0" applyNumberFormat="1" applyFont="1" applyFill="1" applyBorder="1" applyAlignment="1">
      <alignment horizontal="left" wrapText="1"/>
    </xf>
    <xf numFmtId="0" fontId="71" fillId="28" borderId="36" xfId="0" applyFont="1" applyFill="1" applyBorder="1" applyAlignment="1">
      <alignment wrapText="1"/>
    </xf>
    <xf numFmtId="2" fontId="71" fillId="28" borderId="36" xfId="0" applyNumberFormat="1" applyFont="1" applyFill="1" applyBorder="1" applyAlignment="1">
      <alignment wrapText="1"/>
    </xf>
    <xf numFmtId="10" fontId="71" fillId="28" borderId="36" xfId="0" applyNumberFormat="1" applyFont="1" applyFill="1" applyBorder="1" applyAlignment="1">
      <alignment horizontal="left" wrapText="1"/>
    </xf>
    <xf numFmtId="2" fontId="71" fillId="28" borderId="36" xfId="0" applyNumberFormat="1" applyFont="1" applyFill="1" applyBorder="1" applyAlignment="1">
      <alignment horizontal="center" wrapText="1"/>
    </xf>
    <xf numFmtId="0" fontId="71" fillId="33" borderId="85" xfId="0" applyFont="1" applyFill="1" applyBorder="1" applyAlignment="1">
      <alignment vertical="center" wrapText="1"/>
    </xf>
    <xf numFmtId="2" fontId="73" fillId="33" borderId="97" xfId="0" applyNumberFormat="1" applyFont="1" applyFill="1" applyBorder="1" applyAlignment="1">
      <alignment horizontal="center" wrapText="1"/>
    </xf>
    <xf numFmtId="2" fontId="71" fillId="33" borderId="85" xfId="0" applyNumberFormat="1" applyFont="1" applyFill="1" applyBorder="1" applyAlignment="1">
      <alignment vertical="center" wrapText="1"/>
    </xf>
    <xf numFmtId="0" fontId="71" fillId="33" borderId="87" xfId="0" applyFont="1" applyFill="1" applyBorder="1" applyAlignment="1">
      <alignment vertical="center" wrapText="1"/>
    </xf>
    <xf numFmtId="2" fontId="73" fillId="33" borderId="19" xfId="0" applyNumberFormat="1" applyFont="1" applyFill="1" applyBorder="1" applyAlignment="1">
      <alignment horizontal="center" wrapText="1"/>
    </xf>
    <xf numFmtId="2" fontId="73" fillId="33" borderId="94" xfId="0" applyNumberFormat="1" applyFont="1" applyFill="1" applyBorder="1" applyAlignment="1">
      <alignment horizontal="center" wrapText="1"/>
    </xf>
    <xf numFmtId="2" fontId="71" fillId="33" borderId="87" xfId="0" applyNumberFormat="1" applyFont="1" applyFill="1" applyBorder="1" applyAlignment="1">
      <alignment vertical="center" wrapText="1"/>
    </xf>
    <xf numFmtId="0" fontId="71" fillId="33" borderId="0" xfId="0" applyFont="1" applyFill="1" applyAlignment="1">
      <alignment wrapText="1"/>
    </xf>
    <xf numFmtId="0" fontId="71" fillId="33" borderId="89" xfId="0" applyFont="1" applyFill="1" applyBorder="1" applyAlignment="1">
      <alignment vertical="center" wrapText="1"/>
    </xf>
    <xf numFmtId="0" fontId="71" fillId="33" borderId="29" xfId="0" applyFont="1" applyFill="1" applyBorder="1" applyAlignment="1">
      <alignment vertical="center" wrapText="1"/>
    </xf>
    <xf numFmtId="2" fontId="73" fillId="33" borderId="64" xfId="0" applyNumberFormat="1" applyFont="1" applyFill="1" applyBorder="1" applyAlignment="1">
      <alignment horizontal="center" wrapText="1"/>
    </xf>
    <xf numFmtId="2" fontId="73" fillId="33" borderId="29" xfId="0" applyNumberFormat="1" applyFont="1" applyFill="1" applyBorder="1" applyAlignment="1">
      <alignment horizontal="center" vertical="center" wrapText="1"/>
    </xf>
    <xf numFmtId="0" fontId="73" fillId="33" borderId="29" xfId="0" applyFont="1" applyFill="1" applyBorder="1" applyAlignment="1">
      <alignment horizontal="center" wrapText="1"/>
    </xf>
    <xf numFmtId="2" fontId="73" fillId="33" borderId="29" xfId="0" applyNumberFormat="1" applyFont="1" applyFill="1" applyBorder="1" applyAlignment="1">
      <alignment horizontal="center" wrapText="1"/>
    </xf>
    <xf numFmtId="2" fontId="71" fillId="33" borderId="89" xfId="0" applyNumberFormat="1" applyFont="1" applyFill="1" applyBorder="1" applyAlignment="1">
      <alignment vertical="center" wrapText="1"/>
    </xf>
    <xf numFmtId="2" fontId="71" fillId="33" borderId="29" xfId="0" applyNumberFormat="1" applyFont="1" applyFill="1" applyBorder="1" applyAlignment="1">
      <alignment vertical="center" wrapText="1"/>
    </xf>
    <xf numFmtId="2" fontId="73" fillId="33" borderId="30" xfId="0" applyNumberFormat="1" applyFont="1" applyFill="1" applyBorder="1" applyAlignment="1">
      <alignment horizontal="center" wrapText="1"/>
    </xf>
    <xf numFmtId="0" fontId="71" fillId="18" borderId="85" xfId="0" applyFont="1" applyFill="1" applyBorder="1" applyAlignment="1">
      <alignment wrapText="1"/>
    </xf>
    <xf numFmtId="0" fontId="71" fillId="18" borderId="10" xfId="0" applyFont="1" applyFill="1" applyBorder="1" applyAlignment="1">
      <alignment wrapText="1"/>
    </xf>
    <xf numFmtId="2" fontId="73" fillId="18" borderId="10" xfId="0" applyNumberFormat="1" applyFont="1" applyFill="1" applyBorder="1" applyAlignment="1">
      <alignment horizontal="center" wrapText="1"/>
    </xf>
    <xf numFmtId="0" fontId="73" fillId="18" borderId="10" xfId="0" applyFont="1" applyFill="1" applyBorder="1" applyAlignment="1">
      <alignment horizontal="center" wrapText="1"/>
    </xf>
    <xf numFmtId="2" fontId="71" fillId="18" borderId="10" xfId="0" applyNumberFormat="1" applyFont="1" applyFill="1" applyBorder="1" applyAlignment="1">
      <alignment wrapText="1"/>
    </xf>
    <xf numFmtId="2" fontId="71" fillId="18" borderId="10" xfId="0" applyNumberFormat="1" applyFont="1" applyFill="1" applyBorder="1" applyAlignment="1"/>
    <xf numFmtId="2" fontId="73" fillId="18" borderId="86" xfId="0" applyNumberFormat="1" applyFont="1" applyFill="1" applyBorder="1" applyAlignment="1">
      <alignment horizontal="center" wrapText="1"/>
    </xf>
    <xf numFmtId="0" fontId="71" fillId="18" borderId="27" xfId="0" applyFont="1" applyFill="1" applyBorder="1" applyAlignment="1">
      <alignment wrapText="1"/>
    </xf>
    <xf numFmtId="0" fontId="71" fillId="18" borderId="87" xfId="0" applyFont="1" applyFill="1" applyBorder="1" applyAlignment="1">
      <alignment wrapText="1"/>
    </xf>
    <xf numFmtId="0" fontId="71" fillId="18" borderId="18" xfId="0" applyFont="1" applyFill="1" applyBorder="1" applyAlignment="1">
      <alignment wrapText="1"/>
    </xf>
    <xf numFmtId="2" fontId="73" fillId="18" borderId="18" xfId="0" applyNumberFormat="1" applyFont="1" applyFill="1" applyBorder="1" applyAlignment="1">
      <alignment horizontal="center" wrapText="1"/>
    </xf>
    <xf numFmtId="0" fontId="73" fillId="18" borderId="18" xfId="0" applyFont="1" applyFill="1" applyBorder="1" applyAlignment="1">
      <alignment horizontal="center" wrapText="1"/>
    </xf>
    <xf numFmtId="2" fontId="71" fillId="18" borderId="18" xfId="0" applyNumberFormat="1" applyFont="1" applyFill="1" applyBorder="1" applyAlignment="1">
      <alignment wrapText="1"/>
    </xf>
    <xf numFmtId="2" fontId="71" fillId="18" borderId="18" xfId="0" applyNumberFormat="1" applyFont="1" applyFill="1" applyBorder="1" applyAlignment="1"/>
    <xf numFmtId="2" fontId="73" fillId="18" borderId="24" xfId="0" applyNumberFormat="1" applyFont="1" applyFill="1" applyBorder="1" applyAlignment="1">
      <alignment horizontal="center" wrapText="1"/>
    </xf>
    <xf numFmtId="0" fontId="71" fillId="33" borderId="19" xfId="0" applyFont="1" applyFill="1" applyBorder="1" applyAlignment="1">
      <alignment wrapText="1"/>
    </xf>
    <xf numFmtId="0" fontId="73" fillId="33" borderId="19" xfId="0" applyFont="1" applyFill="1" applyBorder="1" applyAlignment="1">
      <alignment horizontal="center" wrapText="1"/>
    </xf>
    <xf numFmtId="2" fontId="71" fillId="33" borderId="19" xfId="0" applyNumberFormat="1" applyFont="1" applyFill="1" applyBorder="1" applyAlignment="1">
      <alignment wrapText="1"/>
    </xf>
    <xf numFmtId="2" fontId="71" fillId="33" borderId="19" xfId="0" applyNumberFormat="1" applyFont="1" applyFill="1" applyBorder="1" applyAlignment="1"/>
    <xf numFmtId="2" fontId="73" fillId="0" borderId="26" xfId="0" applyNumberFormat="1" applyFont="1" applyFill="1" applyBorder="1" applyAlignment="1">
      <alignment horizontal="center" wrapText="1"/>
    </xf>
    <xf numFmtId="2" fontId="73" fillId="0" borderId="14" xfId="0" applyNumberFormat="1" applyFont="1" applyFill="1" applyBorder="1" applyAlignment="1">
      <alignment horizontal="center" wrapText="1"/>
    </xf>
    <xf numFmtId="0" fontId="71" fillId="33" borderId="29" xfId="0" applyFont="1" applyFill="1" applyBorder="1" applyAlignment="1">
      <alignment wrapText="1"/>
    </xf>
    <xf numFmtId="2" fontId="71" fillId="33" borderId="64" xfId="0" applyNumberFormat="1" applyFont="1" applyFill="1" applyBorder="1" applyAlignment="1">
      <alignment wrapText="1"/>
    </xf>
    <xf numFmtId="2" fontId="71" fillId="33" borderId="29" xfId="0" applyNumberFormat="1" applyFont="1" applyFill="1" applyBorder="1" applyAlignment="1"/>
    <xf numFmtId="2" fontId="73" fillId="0" borderId="30" xfId="0" applyNumberFormat="1" applyFont="1" applyFill="1" applyBorder="1" applyAlignment="1">
      <alignment horizontal="center" wrapText="1"/>
    </xf>
    <xf numFmtId="0" fontId="71" fillId="0" borderId="10" xfId="0" applyFont="1" applyFill="1" applyBorder="1" applyAlignment="1">
      <alignment wrapText="1"/>
    </xf>
    <xf numFmtId="2" fontId="73" fillId="0" borderId="10" xfId="0" applyNumberFormat="1" applyFont="1" applyFill="1" applyBorder="1" applyAlignment="1">
      <alignment horizontal="center" wrapText="1"/>
    </xf>
    <xf numFmtId="0" fontId="73" fillId="0" borderId="10" xfId="0" applyFont="1" applyFill="1" applyBorder="1" applyAlignment="1">
      <alignment horizontal="center" wrapText="1"/>
    </xf>
    <xf numFmtId="2" fontId="71" fillId="0" borderId="10" xfId="0" applyNumberFormat="1" applyFont="1" applyFill="1" applyBorder="1" applyAlignment="1">
      <alignment wrapText="1"/>
    </xf>
    <xf numFmtId="2" fontId="71" fillId="0" borderId="10" xfId="0" applyNumberFormat="1" applyFont="1" applyFill="1" applyBorder="1" applyAlignment="1"/>
    <xf numFmtId="2" fontId="73" fillId="0" borderId="86" xfId="0" applyNumberFormat="1" applyFont="1" applyFill="1" applyBorder="1" applyAlignment="1">
      <alignment horizontal="center" wrapText="1"/>
    </xf>
    <xf numFmtId="0" fontId="71" fillId="0" borderId="16" xfId="0" applyFont="1" applyFill="1" applyBorder="1" applyAlignment="1">
      <alignment wrapText="1"/>
    </xf>
    <xf numFmtId="2" fontId="73" fillId="0" borderId="16" xfId="0" applyNumberFormat="1" applyFont="1" applyFill="1" applyBorder="1" applyAlignment="1">
      <alignment horizontal="center" wrapText="1"/>
    </xf>
    <xf numFmtId="0" fontId="73" fillId="0" borderId="16" xfId="0" applyFont="1" applyFill="1" applyBorder="1" applyAlignment="1">
      <alignment horizontal="center" wrapText="1"/>
    </xf>
    <xf numFmtId="2" fontId="71" fillId="0" borderId="16" xfId="0" applyNumberFormat="1" applyFont="1" applyFill="1" applyBorder="1" applyAlignment="1">
      <alignment wrapText="1"/>
    </xf>
    <xf numFmtId="2" fontId="71" fillId="0" borderId="16" xfId="0" applyNumberFormat="1" applyFont="1" applyFill="1" applyBorder="1" applyAlignment="1"/>
    <xf numFmtId="0" fontId="71" fillId="0" borderId="18" xfId="0" applyFont="1" applyFill="1" applyBorder="1" applyAlignment="1">
      <alignment wrapText="1"/>
    </xf>
    <xf numFmtId="2" fontId="73" fillId="0" borderId="18" xfId="0" applyNumberFormat="1" applyFont="1" applyFill="1" applyBorder="1" applyAlignment="1">
      <alignment horizontal="center" wrapText="1"/>
    </xf>
    <xf numFmtId="0" fontId="73" fillId="0" borderId="18" xfId="0" applyFont="1" applyFill="1" applyBorder="1" applyAlignment="1">
      <alignment horizontal="center" wrapText="1"/>
    </xf>
    <xf numFmtId="2" fontId="71" fillId="0" borderId="18" xfId="0" applyNumberFormat="1" applyFont="1" applyFill="1" applyBorder="1" applyAlignment="1">
      <alignment wrapText="1"/>
    </xf>
    <xf numFmtId="2" fontId="71" fillId="0" borderId="18" xfId="0" applyNumberFormat="1" applyFont="1" applyFill="1" applyBorder="1" applyAlignment="1"/>
    <xf numFmtId="2" fontId="73" fillId="0" borderId="24" xfId="0" applyNumberFormat="1" applyFont="1" applyFill="1" applyBorder="1" applyAlignment="1">
      <alignment horizontal="center" wrapText="1"/>
    </xf>
    <xf numFmtId="0" fontId="71" fillId="33" borderId="64" xfId="0" applyFont="1" applyFill="1" applyBorder="1" applyAlignment="1">
      <alignment wrapText="1"/>
    </xf>
    <xf numFmtId="0" fontId="73" fillId="33" borderId="64" xfId="0" applyFont="1" applyFill="1" applyBorder="1" applyAlignment="1">
      <alignment horizontal="center" wrapText="1"/>
    </xf>
    <xf numFmtId="2" fontId="71" fillId="33" borderId="29" xfId="0" applyNumberFormat="1" applyFont="1" applyFill="1" applyBorder="1" applyAlignment="1">
      <alignment wrapText="1"/>
    </xf>
    <xf numFmtId="2" fontId="71" fillId="33" borderId="64" xfId="0" applyNumberFormat="1" applyFont="1" applyFill="1" applyBorder="1" applyAlignment="1"/>
    <xf numFmtId="2" fontId="73" fillId="33" borderId="26" xfId="0" applyNumberFormat="1" applyFont="1" applyFill="1" applyBorder="1" applyAlignment="1">
      <alignment horizontal="center" wrapText="1"/>
    </xf>
    <xf numFmtId="2" fontId="73" fillId="27" borderId="10" xfId="0" applyNumberFormat="1" applyFont="1" applyFill="1" applyBorder="1" applyAlignment="1">
      <alignment horizontal="center" wrapText="1"/>
    </xf>
    <xf numFmtId="2" fontId="73" fillId="27" borderId="86" xfId="0" applyNumberFormat="1" applyFont="1" applyFill="1" applyBorder="1" applyAlignment="1">
      <alignment horizontal="center" wrapText="1"/>
    </xf>
    <xf numFmtId="2" fontId="73" fillId="27" borderId="16" xfId="0" applyNumberFormat="1" applyFont="1" applyFill="1" applyBorder="1" applyAlignment="1">
      <alignment horizontal="center" wrapText="1"/>
    </xf>
    <xf numFmtId="2" fontId="73" fillId="27" borderId="14" xfId="0" applyNumberFormat="1" applyFont="1" applyFill="1" applyBorder="1" applyAlignment="1">
      <alignment horizontal="center" wrapText="1"/>
    </xf>
    <xf numFmtId="0" fontId="71" fillId="27" borderId="16" xfId="0" applyFont="1" applyFill="1" applyBorder="1" applyAlignment="1">
      <alignment wrapText="1"/>
    </xf>
    <xf numFmtId="2" fontId="71" fillId="0" borderId="19" xfId="0" applyNumberFormat="1" applyFont="1" applyFill="1" applyBorder="1" applyAlignment="1">
      <alignment wrapText="1"/>
    </xf>
    <xf numFmtId="2" fontId="73" fillId="27" borderId="18" xfId="0" applyNumberFormat="1" applyFont="1" applyFill="1" applyBorder="1" applyAlignment="1">
      <alignment horizontal="center" wrapText="1"/>
    </xf>
    <xf numFmtId="2" fontId="73" fillId="27" borderId="24" xfId="0" applyNumberFormat="1" applyFont="1" applyFill="1" applyBorder="1" applyAlignment="1">
      <alignment horizontal="center" wrapText="1"/>
    </xf>
    <xf numFmtId="0" fontId="72" fillId="25" borderId="65" xfId="0" applyFont="1" applyFill="1" applyBorder="1" applyAlignment="1">
      <alignment wrapText="1"/>
    </xf>
    <xf numFmtId="2" fontId="72" fillId="25" borderId="65" xfId="0" applyNumberFormat="1" applyFont="1" applyFill="1" applyBorder="1" applyAlignment="1">
      <alignment wrapText="1"/>
    </xf>
    <xf numFmtId="0" fontId="71" fillId="25" borderId="65" xfId="0" applyFont="1" applyFill="1" applyBorder="1" applyAlignment="1">
      <alignment wrapText="1"/>
    </xf>
    <xf numFmtId="2" fontId="71" fillId="25" borderId="65" xfId="0" applyNumberFormat="1" applyFont="1" applyFill="1" applyBorder="1" applyAlignment="1">
      <alignment wrapText="1"/>
    </xf>
    <xf numFmtId="2" fontId="71" fillId="25" borderId="65" xfId="0" applyNumberFormat="1" applyFont="1" applyFill="1" applyBorder="1" applyAlignment="1">
      <alignment horizontal="center" wrapText="1"/>
    </xf>
    <xf numFmtId="2" fontId="71" fillId="25" borderId="0" xfId="0" applyNumberFormat="1" applyFont="1" applyFill="1" applyBorder="1" applyAlignment="1">
      <alignment horizontal="center" wrapText="1"/>
    </xf>
    <xf numFmtId="0" fontId="71" fillId="25" borderId="0" xfId="0" applyFont="1" applyFill="1" applyBorder="1" applyAlignment="1">
      <alignment wrapText="1"/>
    </xf>
    <xf numFmtId="2" fontId="71" fillId="25" borderId="0" xfId="0" applyNumberFormat="1" applyFont="1" applyFill="1" applyBorder="1" applyAlignment="1">
      <alignment wrapText="1"/>
    </xf>
    <xf numFmtId="10" fontId="71" fillId="25" borderId="0" xfId="0" applyNumberFormat="1" applyFont="1" applyFill="1" applyBorder="1" applyAlignment="1">
      <alignment horizontal="left" wrapText="1"/>
    </xf>
    <xf numFmtId="0" fontId="71" fillId="25" borderId="36" xfId="0" applyFont="1" applyFill="1" applyBorder="1" applyAlignment="1">
      <alignment wrapText="1"/>
    </xf>
    <xf numFmtId="2" fontId="71" fillId="25" borderId="36" xfId="0" applyNumberFormat="1" applyFont="1" applyFill="1" applyBorder="1" applyAlignment="1">
      <alignment wrapText="1"/>
    </xf>
    <xf numFmtId="10" fontId="71" fillId="25" borderId="36" xfId="0" applyNumberFormat="1" applyFont="1" applyFill="1" applyBorder="1" applyAlignment="1">
      <alignment horizontal="left" wrapText="1"/>
    </xf>
    <xf numFmtId="2" fontId="71" fillId="25" borderId="36" xfId="0" applyNumberFormat="1" applyFont="1" applyFill="1" applyBorder="1" applyAlignment="1">
      <alignment horizontal="center" wrapText="1"/>
    </xf>
    <xf numFmtId="0" fontId="72" fillId="26" borderId="65" xfId="0" applyFont="1" applyFill="1" applyBorder="1" applyAlignment="1">
      <alignment wrapText="1"/>
    </xf>
    <xf numFmtId="2" fontId="72" fillId="26" borderId="65" xfId="0" applyNumberFormat="1" applyFont="1" applyFill="1" applyBorder="1" applyAlignment="1">
      <alignment wrapText="1"/>
    </xf>
    <xf numFmtId="0" fontId="71" fillId="26" borderId="65" xfId="0" applyFont="1" applyFill="1" applyBorder="1" applyAlignment="1">
      <alignment wrapText="1"/>
    </xf>
    <xf numFmtId="2" fontId="71" fillId="26" borderId="65" xfId="0" applyNumberFormat="1" applyFont="1" applyFill="1" applyBorder="1" applyAlignment="1">
      <alignment wrapText="1"/>
    </xf>
    <xf numFmtId="2" fontId="71" fillId="26" borderId="65" xfId="0" applyNumberFormat="1" applyFont="1" applyFill="1" applyBorder="1" applyAlignment="1">
      <alignment horizontal="center" wrapText="1"/>
    </xf>
    <xf numFmtId="0" fontId="71" fillId="26" borderId="0" xfId="0" applyFont="1" applyFill="1" applyBorder="1" applyAlignment="1">
      <alignment wrapText="1"/>
    </xf>
    <xf numFmtId="2" fontId="71" fillId="26" borderId="0" xfId="0" applyNumberFormat="1" applyFont="1" applyFill="1" applyBorder="1" applyAlignment="1">
      <alignment wrapText="1"/>
    </xf>
    <xf numFmtId="10" fontId="71" fillId="26" borderId="0" xfId="0" applyNumberFormat="1" applyFont="1" applyFill="1" applyBorder="1" applyAlignment="1">
      <alignment horizontal="left" wrapText="1"/>
    </xf>
    <xf numFmtId="2" fontId="71" fillId="26" borderId="0" xfId="0" applyNumberFormat="1" applyFont="1" applyFill="1" applyBorder="1" applyAlignment="1">
      <alignment horizontal="center" wrapText="1"/>
    </xf>
    <xf numFmtId="0" fontId="71" fillId="26" borderId="36" xfId="0" applyFont="1" applyFill="1" applyBorder="1" applyAlignment="1">
      <alignment wrapText="1"/>
    </xf>
    <xf numFmtId="2" fontId="71" fillId="26" borderId="36" xfId="0" applyNumberFormat="1" applyFont="1" applyFill="1" applyBorder="1" applyAlignment="1">
      <alignment wrapText="1"/>
    </xf>
    <xf numFmtId="10" fontId="71" fillId="26" borderId="36" xfId="0" applyNumberFormat="1" applyFont="1" applyFill="1" applyBorder="1" applyAlignment="1">
      <alignment horizontal="left" wrapText="1"/>
    </xf>
    <xf numFmtId="2" fontId="71" fillId="26" borderId="36" xfId="0" applyNumberFormat="1" applyFont="1" applyFill="1" applyBorder="1" applyAlignment="1">
      <alignment horizontal="center" wrapText="1"/>
    </xf>
    <xf numFmtId="0" fontId="0" fillId="0" borderId="0" xfId="0" applyNumberFormat="1" applyBorder="1"/>
    <xf numFmtId="0" fontId="74" fillId="0" borderId="0" xfId="0" applyFont="1" applyAlignment="1">
      <alignment vertical="center" wrapText="1"/>
    </xf>
    <xf numFmtId="0" fontId="74" fillId="0" borderId="0" xfId="0" applyFont="1" applyAlignment="1">
      <alignment horizontal="left" vertical="center" wrapText="1"/>
    </xf>
    <xf numFmtId="0" fontId="74" fillId="0" borderId="0" xfId="0" applyFont="1" applyAlignment="1">
      <alignment horizontal="center" vertical="center" wrapText="1"/>
    </xf>
    <xf numFmtId="2" fontId="74" fillId="0" borderId="0" xfId="0" applyNumberFormat="1" applyFont="1" applyAlignment="1">
      <alignment vertical="center" wrapText="1"/>
    </xf>
    <xf numFmtId="0" fontId="74" fillId="0" borderId="0" xfId="0" applyFont="1" applyAlignment="1">
      <alignment vertical="center"/>
    </xf>
    <xf numFmtId="0" fontId="75" fillId="0" borderId="11" xfId="0" applyFont="1" applyBorder="1" applyAlignment="1">
      <alignment horizontal="left"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53" xfId="0" applyFont="1" applyBorder="1" applyAlignment="1">
      <alignment vertical="center" wrapText="1"/>
    </xf>
    <xf numFmtId="0" fontId="75" fillId="0" borderId="13" xfId="0" applyFont="1" applyBorder="1" applyAlignment="1">
      <alignment horizontal="center" vertical="center" wrapText="1"/>
    </xf>
    <xf numFmtId="0" fontId="75" fillId="0" borderId="11" xfId="0" applyFont="1" applyBorder="1" applyAlignment="1">
      <alignment vertical="center" wrapText="1"/>
    </xf>
    <xf numFmtId="2" fontId="75" fillId="0" borderId="12" xfId="0" applyNumberFormat="1" applyFont="1" applyBorder="1" applyAlignment="1">
      <alignment vertical="center" wrapText="1"/>
    </xf>
    <xf numFmtId="2" fontId="75" fillId="0" borderId="31" xfId="0" applyNumberFormat="1" applyFont="1" applyBorder="1" applyAlignment="1">
      <alignment vertical="center" wrapText="1"/>
    </xf>
    <xf numFmtId="0" fontId="75" fillId="0" borderId="13" xfId="0" applyFont="1" applyBorder="1" applyAlignment="1">
      <alignment vertical="center" wrapText="1"/>
    </xf>
    <xf numFmtId="0" fontId="74" fillId="36" borderId="37" xfId="0" applyFont="1" applyFill="1" applyBorder="1" applyAlignment="1">
      <alignment vertical="center" wrapText="1"/>
    </xf>
    <xf numFmtId="0" fontId="75" fillId="36" borderId="65" xfId="0" applyFont="1" applyFill="1" applyBorder="1" applyAlignment="1">
      <alignment vertical="center" wrapText="1"/>
    </xf>
    <xf numFmtId="0" fontId="75" fillId="36" borderId="35" xfId="0" applyFont="1" applyFill="1" applyBorder="1" applyAlignment="1">
      <alignment vertical="center" wrapText="1"/>
    </xf>
    <xf numFmtId="0" fontId="74" fillId="36" borderId="51" xfId="0" applyFont="1" applyFill="1" applyBorder="1" applyAlignment="1">
      <alignment vertical="center" wrapText="1"/>
    </xf>
    <xf numFmtId="0" fontId="75" fillId="36" borderId="0" xfId="0" applyFont="1" applyFill="1" applyBorder="1" applyAlignment="1">
      <alignment horizontal="left" vertical="center" wrapText="1"/>
    </xf>
    <xf numFmtId="0" fontId="75" fillId="36" borderId="0" xfId="0" applyFont="1" applyFill="1" applyBorder="1" applyAlignment="1">
      <alignment vertical="center" wrapText="1"/>
    </xf>
    <xf numFmtId="0" fontId="75" fillId="36" borderId="0" xfId="0" applyFont="1" applyFill="1" applyBorder="1" applyAlignment="1">
      <alignment horizontal="center" vertical="center" wrapText="1"/>
    </xf>
    <xf numFmtId="2" fontId="75" fillId="36" borderId="0" xfId="0" applyNumberFormat="1" applyFont="1" applyFill="1" applyBorder="1" applyAlignment="1">
      <alignment vertical="center" wrapText="1"/>
    </xf>
    <xf numFmtId="0" fontId="75" fillId="36" borderId="57" xfId="0" applyFont="1" applyFill="1" applyBorder="1" applyAlignment="1">
      <alignment vertical="center" wrapText="1"/>
    </xf>
    <xf numFmtId="0" fontId="74" fillId="36" borderId="51" xfId="0" applyFont="1" applyFill="1" applyBorder="1" applyAlignment="1">
      <alignment vertical="center"/>
    </xf>
    <xf numFmtId="0" fontId="74" fillId="27" borderId="10" xfId="0" applyFont="1" applyFill="1" applyBorder="1" applyAlignment="1">
      <alignment wrapText="1"/>
    </xf>
    <xf numFmtId="2" fontId="76" fillId="27" borderId="10" xfId="0" applyNumberFormat="1" applyFont="1" applyFill="1" applyBorder="1" applyAlignment="1">
      <alignment horizontal="center" wrapText="1"/>
    </xf>
    <xf numFmtId="0" fontId="74" fillId="27" borderId="23" xfId="0" applyFont="1" applyFill="1" applyBorder="1" applyAlignment="1">
      <alignment vertical="center" wrapText="1"/>
    </xf>
    <xf numFmtId="0" fontId="76" fillId="27" borderId="86" xfId="0" applyFont="1" applyFill="1" applyBorder="1" applyAlignment="1">
      <alignment horizontal="center" vertical="center" wrapText="1"/>
    </xf>
    <xf numFmtId="0" fontId="74" fillId="27" borderId="85" xfId="0" applyFont="1" applyFill="1" applyBorder="1" applyAlignment="1">
      <alignment wrapText="1"/>
    </xf>
    <xf numFmtId="0" fontId="76" fillId="27" borderId="10" xfId="0" applyFont="1" applyFill="1" applyBorder="1" applyAlignment="1">
      <alignment horizontal="center" wrapText="1"/>
    </xf>
    <xf numFmtId="2" fontId="76" fillId="27" borderId="32" xfId="0" applyNumberFormat="1" applyFont="1" applyFill="1" applyBorder="1" applyAlignment="1">
      <alignment horizontal="center" wrapText="1"/>
    </xf>
    <xf numFmtId="2" fontId="74" fillId="27" borderId="23" xfId="0" applyNumberFormat="1" applyFont="1" applyFill="1" applyBorder="1" applyAlignment="1">
      <alignment vertical="center" wrapText="1"/>
    </xf>
    <xf numFmtId="2" fontId="76" fillId="27" borderId="86" xfId="0" applyNumberFormat="1" applyFont="1" applyFill="1" applyBorder="1" applyAlignment="1">
      <alignment horizontal="center" vertical="center" wrapText="1"/>
    </xf>
    <xf numFmtId="0" fontId="74" fillId="0" borderId="0" xfId="0" applyFont="1"/>
    <xf numFmtId="0" fontId="77" fillId="0" borderId="0" xfId="0" applyFont="1"/>
    <xf numFmtId="0" fontId="74" fillId="27" borderId="19" xfId="0" applyFont="1" applyFill="1" applyBorder="1" applyAlignment="1">
      <alignment wrapText="1"/>
    </xf>
    <xf numFmtId="0" fontId="74" fillId="27" borderId="16" xfId="0" applyFont="1" applyFill="1" applyBorder="1" applyAlignment="1">
      <alignment wrapText="1"/>
    </xf>
    <xf numFmtId="2" fontId="76" fillId="27" borderId="33" xfId="0" applyNumberFormat="1" applyFont="1" applyFill="1" applyBorder="1" applyAlignment="1">
      <alignment horizontal="center" wrapText="1"/>
    </xf>
    <xf numFmtId="0" fontId="74" fillId="27" borderId="15" xfId="0" applyFont="1" applyFill="1" applyBorder="1" applyAlignment="1">
      <alignment wrapText="1"/>
    </xf>
    <xf numFmtId="0" fontId="74" fillId="27" borderId="14" xfId="0" applyFont="1" applyFill="1" applyBorder="1" applyAlignment="1">
      <alignment horizontal="center" vertical="center" wrapText="1"/>
    </xf>
    <xf numFmtId="0" fontId="74" fillId="27" borderId="87" xfId="0" applyFont="1" applyFill="1" applyBorder="1" applyAlignment="1">
      <alignment wrapText="1"/>
    </xf>
    <xf numFmtId="2" fontId="76" fillId="27" borderId="16" xfId="0" applyNumberFormat="1" applyFont="1" applyFill="1" applyBorder="1" applyAlignment="1">
      <alignment horizontal="center" wrapText="1"/>
    </xf>
    <xf numFmtId="2" fontId="74" fillId="27" borderId="87" xfId="0" applyNumberFormat="1" applyFont="1" applyFill="1" applyBorder="1" applyAlignment="1">
      <alignment vertical="center" wrapText="1"/>
    </xf>
    <xf numFmtId="2" fontId="76" fillId="27" borderId="14" xfId="0" applyNumberFormat="1" applyFont="1" applyFill="1" applyBorder="1" applyAlignment="1">
      <alignment horizontal="center" vertical="center" wrapText="1"/>
    </xf>
    <xf numFmtId="2" fontId="74" fillId="27" borderId="28" xfId="0" applyNumberFormat="1" applyFont="1" applyFill="1" applyBorder="1" applyAlignment="1">
      <alignment vertical="center" wrapText="1"/>
    </xf>
    <xf numFmtId="2" fontId="76" fillId="27" borderId="30" xfId="0" applyNumberFormat="1" applyFont="1" applyFill="1" applyBorder="1" applyAlignment="1">
      <alignment horizontal="center" vertical="center" wrapText="1"/>
    </xf>
    <xf numFmtId="0" fontId="74" fillId="27" borderId="15" xfId="0" applyFont="1" applyFill="1" applyBorder="1" applyAlignment="1">
      <alignment vertical="center" wrapText="1"/>
    </xf>
    <xf numFmtId="2" fontId="74" fillId="27" borderId="15" xfId="0" applyNumberFormat="1" applyFont="1" applyFill="1" applyBorder="1" applyAlignment="1">
      <alignment vertical="center" wrapText="1"/>
    </xf>
    <xf numFmtId="0" fontId="74" fillId="27" borderId="18" xfId="0" applyFont="1" applyFill="1" applyBorder="1" applyAlignment="1">
      <alignment wrapText="1"/>
    </xf>
    <xf numFmtId="2" fontId="76" fillId="27" borderId="18" xfId="0" applyNumberFormat="1" applyFont="1" applyFill="1" applyBorder="1" applyAlignment="1">
      <alignment horizontal="center" wrapText="1"/>
    </xf>
    <xf numFmtId="0" fontId="74" fillId="27" borderId="17" xfId="0" applyFont="1" applyFill="1" applyBorder="1" applyAlignment="1">
      <alignment vertical="center" wrapText="1"/>
    </xf>
    <xf numFmtId="0" fontId="76" fillId="27" borderId="24" xfId="0" applyFont="1" applyFill="1" applyBorder="1" applyAlignment="1">
      <alignment horizontal="center" vertical="center" wrapText="1"/>
    </xf>
    <xf numFmtId="0" fontId="74" fillId="27" borderId="95" xfId="0" applyFont="1" applyFill="1" applyBorder="1" applyAlignment="1">
      <alignment wrapText="1"/>
    </xf>
    <xf numFmtId="0" fontId="76" fillId="27" borderId="18" xfId="0" applyFont="1" applyFill="1" applyBorder="1" applyAlignment="1">
      <alignment horizontal="center" wrapText="1"/>
    </xf>
    <xf numFmtId="2" fontId="76" fillId="27" borderId="34" xfId="0" applyNumberFormat="1" applyFont="1" applyFill="1" applyBorder="1" applyAlignment="1">
      <alignment horizontal="center" wrapText="1"/>
    </xf>
    <xf numFmtId="2" fontId="74" fillId="27" borderId="17" xfId="0" applyNumberFormat="1" applyFont="1" applyFill="1" applyBorder="1" applyAlignment="1">
      <alignment vertical="center" wrapText="1"/>
    </xf>
    <xf numFmtId="2" fontId="76" fillId="27" borderId="24" xfId="0" applyNumberFormat="1" applyFont="1" applyFill="1" applyBorder="1" applyAlignment="1">
      <alignment horizontal="center" vertical="center" wrapText="1"/>
    </xf>
    <xf numFmtId="0" fontId="74" fillId="0" borderId="10" xfId="0" applyFont="1" applyFill="1" applyBorder="1" applyAlignment="1">
      <alignment wrapText="1"/>
    </xf>
    <xf numFmtId="2" fontId="76" fillId="0" borderId="10" xfId="0" applyNumberFormat="1" applyFont="1" applyFill="1" applyBorder="1" applyAlignment="1">
      <alignment horizontal="center" wrapText="1"/>
    </xf>
    <xf numFmtId="0" fontId="74" fillId="0" borderId="23" xfId="0" applyFont="1" applyFill="1" applyBorder="1" applyAlignment="1">
      <alignment vertical="center" wrapText="1"/>
    </xf>
    <xf numFmtId="0" fontId="76" fillId="0" borderId="86" xfId="0" applyFont="1" applyFill="1" applyBorder="1" applyAlignment="1">
      <alignment horizontal="center" vertical="center" wrapText="1"/>
    </xf>
    <xf numFmtId="0" fontId="74" fillId="0" borderId="85" xfId="0" applyFont="1" applyFill="1" applyBorder="1" applyAlignment="1">
      <alignment wrapText="1"/>
    </xf>
    <xf numFmtId="0" fontId="76" fillId="0" borderId="10" xfId="0" applyFont="1" applyFill="1" applyBorder="1" applyAlignment="1">
      <alignment horizontal="center" wrapText="1"/>
    </xf>
    <xf numFmtId="2" fontId="76" fillId="0" borderId="32" xfId="0" applyNumberFormat="1" applyFont="1" applyFill="1" applyBorder="1" applyAlignment="1">
      <alignment horizontal="center" wrapText="1"/>
    </xf>
    <xf numFmtId="2" fontId="74" fillId="0" borderId="23" xfId="0" applyNumberFormat="1" applyFont="1" applyFill="1" applyBorder="1" applyAlignment="1">
      <alignment vertical="center" wrapText="1"/>
    </xf>
    <xf numFmtId="2" fontId="76" fillId="0" borderId="86" xfId="0" applyNumberFormat="1" applyFont="1" applyFill="1" applyBorder="1" applyAlignment="1">
      <alignment horizontal="center" vertical="center" wrapText="1"/>
    </xf>
    <xf numFmtId="0" fontId="74" fillId="0" borderId="19" xfId="0" applyFont="1" applyFill="1" applyBorder="1" applyAlignment="1">
      <alignment wrapText="1"/>
    </xf>
    <xf numFmtId="0" fontId="74" fillId="0" borderId="16" xfId="0" applyFont="1" applyFill="1" applyBorder="1" applyAlignment="1">
      <alignment wrapText="1"/>
    </xf>
    <xf numFmtId="2" fontId="76" fillId="0" borderId="33" xfId="0" applyNumberFormat="1" applyFont="1" applyFill="1" applyBorder="1" applyAlignment="1">
      <alignment horizontal="center" wrapText="1"/>
    </xf>
    <xf numFmtId="0" fontId="74" fillId="0" borderId="15" xfId="0" applyFont="1" applyFill="1" applyBorder="1" applyAlignment="1">
      <alignment wrapText="1"/>
    </xf>
    <xf numFmtId="0" fontId="74" fillId="0" borderId="14" xfId="0" applyFont="1" applyFill="1" applyBorder="1" applyAlignment="1">
      <alignment horizontal="center" vertical="center" wrapText="1"/>
    </xf>
    <xf numFmtId="0" fontId="74" fillId="0" borderId="87" xfId="0" applyFont="1" applyFill="1" applyBorder="1" applyAlignment="1">
      <alignment wrapText="1"/>
    </xf>
    <xf numFmtId="2" fontId="76" fillId="0" borderId="16" xfId="0" applyNumberFormat="1" applyFont="1" applyFill="1" applyBorder="1" applyAlignment="1">
      <alignment horizontal="center" wrapText="1"/>
    </xf>
    <xf numFmtId="2" fontId="74" fillId="0" borderId="87" xfId="0" applyNumberFormat="1" applyFont="1" applyFill="1" applyBorder="1" applyAlignment="1">
      <alignment vertical="center" wrapText="1"/>
    </xf>
    <xf numFmtId="2" fontId="76" fillId="0" borderId="14" xfId="0" applyNumberFormat="1" applyFont="1" applyFill="1" applyBorder="1" applyAlignment="1">
      <alignment horizontal="center" vertical="center" wrapText="1"/>
    </xf>
    <xf numFmtId="2" fontId="74" fillId="0" borderId="28" xfId="0" applyNumberFormat="1" applyFont="1" applyFill="1" applyBorder="1" applyAlignment="1">
      <alignment vertical="center" wrapText="1"/>
    </xf>
    <xf numFmtId="2" fontId="76" fillId="0" borderId="30" xfId="0" applyNumberFormat="1" applyFont="1" applyFill="1" applyBorder="1" applyAlignment="1">
      <alignment horizontal="center" vertical="center" wrapText="1"/>
    </xf>
    <xf numFmtId="0" fontId="74" fillId="0" borderId="15" xfId="0" applyFont="1" applyFill="1" applyBorder="1" applyAlignment="1">
      <alignment vertical="center" wrapText="1"/>
    </xf>
    <xf numFmtId="2" fontId="74" fillId="0" borderId="15" xfId="0" applyNumberFormat="1" applyFont="1" applyFill="1" applyBorder="1" applyAlignment="1">
      <alignment vertical="center" wrapText="1"/>
    </xf>
    <xf numFmtId="0" fontId="74" fillId="0" borderId="18" xfId="0" applyFont="1" applyFill="1" applyBorder="1" applyAlignment="1">
      <alignment wrapText="1"/>
    </xf>
    <xf numFmtId="2" fontId="76" fillId="0" borderId="18" xfId="0" applyNumberFormat="1" applyFont="1" applyFill="1" applyBorder="1" applyAlignment="1">
      <alignment horizontal="center" wrapText="1"/>
    </xf>
    <xf numFmtId="0" fontId="74" fillId="0" borderId="17" xfId="0" applyFont="1" applyFill="1" applyBorder="1" applyAlignment="1">
      <alignment vertical="center" wrapText="1"/>
    </xf>
    <xf numFmtId="0" fontId="76" fillId="0" borderId="24" xfId="0" applyFont="1" applyFill="1" applyBorder="1" applyAlignment="1">
      <alignment horizontal="center" vertical="center" wrapText="1"/>
    </xf>
    <xf numFmtId="0" fontId="74" fillId="0" borderId="95" xfId="0" applyFont="1" applyFill="1" applyBorder="1" applyAlignment="1">
      <alignment wrapText="1"/>
    </xf>
    <xf numFmtId="0" fontId="76" fillId="0" borderId="18" xfId="0" applyFont="1" applyFill="1" applyBorder="1" applyAlignment="1">
      <alignment horizontal="center" wrapText="1"/>
    </xf>
    <xf numFmtId="2" fontId="76" fillId="0" borderId="34" xfId="0" applyNumberFormat="1" applyFont="1" applyFill="1" applyBorder="1" applyAlignment="1">
      <alignment horizontal="center" wrapText="1"/>
    </xf>
    <xf numFmtId="2" fontId="74" fillId="0" borderId="17" xfId="0" applyNumberFormat="1" applyFont="1" applyFill="1" applyBorder="1" applyAlignment="1">
      <alignment vertical="center" wrapText="1"/>
    </xf>
    <xf numFmtId="0" fontId="76" fillId="27" borderId="14" xfId="0" applyFont="1" applyFill="1" applyBorder="1" applyAlignment="1">
      <alignment horizontal="center" vertical="center" wrapText="1"/>
    </xf>
    <xf numFmtId="0" fontId="76" fillId="27" borderId="16" xfId="0" applyFont="1" applyFill="1" applyBorder="1" applyAlignment="1">
      <alignment horizontal="center" wrapText="1"/>
    </xf>
    <xf numFmtId="0" fontId="76" fillId="0" borderId="14" xfId="0" applyFont="1" applyFill="1" applyBorder="1" applyAlignment="1">
      <alignment horizontal="center" vertical="center" wrapText="1"/>
    </xf>
    <xf numFmtId="0" fontId="76" fillId="0" borderId="16" xfId="0" applyFont="1" applyFill="1" applyBorder="1" applyAlignment="1">
      <alignment horizontal="center" wrapText="1"/>
    </xf>
    <xf numFmtId="2" fontId="76" fillId="0" borderId="24" xfId="0" applyNumberFormat="1" applyFont="1" applyFill="1" applyBorder="1" applyAlignment="1">
      <alignment horizontal="center" vertical="center" wrapText="1"/>
    </xf>
    <xf numFmtId="0" fontId="74" fillId="0" borderId="10" xfId="0" applyFont="1" applyFill="1" applyBorder="1" applyAlignment="1">
      <alignment vertical="center" wrapText="1"/>
    </xf>
    <xf numFmtId="2" fontId="76" fillId="0" borderId="10" xfId="0" applyNumberFormat="1" applyFont="1" applyFill="1" applyBorder="1" applyAlignment="1">
      <alignment horizontal="center" vertical="center" wrapText="1"/>
    </xf>
    <xf numFmtId="0" fontId="74" fillId="0" borderId="16" xfId="0" applyFont="1" applyFill="1" applyBorder="1" applyAlignment="1">
      <alignment vertical="center" wrapText="1"/>
    </xf>
    <xf numFmtId="2" fontId="76" fillId="0" borderId="16" xfId="0" applyNumberFormat="1" applyFont="1" applyFill="1" applyBorder="1" applyAlignment="1">
      <alignment horizontal="center" vertical="center" wrapText="1"/>
    </xf>
    <xf numFmtId="0" fontId="74" fillId="0" borderId="18" xfId="0" applyFont="1" applyFill="1" applyBorder="1" applyAlignment="1">
      <alignment vertical="center" wrapText="1"/>
    </xf>
    <xf numFmtId="2" fontId="76" fillId="0" borderId="18" xfId="0" applyNumberFormat="1" applyFont="1" applyFill="1" applyBorder="1" applyAlignment="1">
      <alignment horizontal="center" vertical="center" wrapText="1"/>
    </xf>
    <xf numFmtId="0" fontId="74" fillId="36" borderId="52" xfId="0" applyFont="1" applyFill="1" applyBorder="1" applyAlignment="1">
      <alignment vertical="center"/>
    </xf>
    <xf numFmtId="0" fontId="74" fillId="36" borderId="36" xfId="0" applyFont="1" applyFill="1" applyBorder="1" applyAlignment="1">
      <alignment horizontal="left" vertical="center" wrapText="1"/>
    </xf>
    <xf numFmtId="0" fontId="74" fillId="36" borderId="36" xfId="0" applyFont="1" applyFill="1" applyBorder="1" applyAlignment="1">
      <alignment vertical="center"/>
    </xf>
    <xf numFmtId="0" fontId="74" fillId="36" borderId="36" xfId="0" applyFont="1" applyFill="1" applyBorder="1" applyAlignment="1">
      <alignment horizontal="center" vertical="center"/>
    </xf>
    <xf numFmtId="2" fontId="74" fillId="36" borderId="36" xfId="0" applyNumberFormat="1" applyFont="1" applyFill="1" applyBorder="1" applyAlignment="1">
      <alignment vertical="center"/>
    </xf>
    <xf numFmtId="0" fontId="74" fillId="36" borderId="40" xfId="0" applyFont="1" applyFill="1" applyBorder="1" applyAlignment="1">
      <alignment vertical="center"/>
    </xf>
    <xf numFmtId="0" fontId="74" fillId="0" borderId="0" xfId="0" applyFont="1" applyFill="1" applyAlignment="1">
      <alignment vertical="center"/>
    </xf>
    <xf numFmtId="0" fontId="74" fillId="33" borderId="37" xfId="0" applyFont="1" applyFill="1" applyBorder="1" applyAlignment="1">
      <alignment vertical="center" wrapText="1"/>
    </xf>
    <xf numFmtId="0" fontId="75" fillId="33" borderId="65" xfId="0" applyFont="1" applyFill="1" applyBorder="1" applyAlignment="1">
      <alignment vertical="center" wrapText="1"/>
    </xf>
    <xf numFmtId="0" fontId="75" fillId="33" borderId="35" xfId="0" applyFont="1" applyFill="1" applyBorder="1" applyAlignment="1">
      <alignment vertical="center" wrapText="1"/>
    </xf>
    <xf numFmtId="0" fontId="74" fillId="33" borderId="51" xfId="0" applyFont="1" applyFill="1" applyBorder="1" applyAlignment="1">
      <alignment vertical="center" wrapText="1"/>
    </xf>
    <xf numFmtId="0" fontId="75" fillId="33" borderId="0" xfId="0" applyFont="1" applyFill="1" applyBorder="1" applyAlignment="1">
      <alignment horizontal="left" vertical="center" wrapText="1"/>
    </xf>
    <xf numFmtId="0" fontId="75" fillId="33" borderId="0" xfId="0" applyFont="1" applyFill="1" applyBorder="1" applyAlignment="1">
      <alignment vertical="center" wrapText="1"/>
    </xf>
    <xf numFmtId="0" fontId="75" fillId="33" borderId="0" xfId="0" applyFont="1" applyFill="1" applyBorder="1" applyAlignment="1">
      <alignment horizontal="center" vertical="center" wrapText="1"/>
    </xf>
    <xf numFmtId="2" fontId="75" fillId="33" borderId="0" xfId="0" applyNumberFormat="1" applyFont="1" applyFill="1" applyBorder="1" applyAlignment="1">
      <alignment vertical="center" wrapText="1"/>
    </xf>
    <xf numFmtId="0" fontId="75" fillId="33" borderId="57" xfId="0" applyFont="1" applyFill="1" applyBorder="1" applyAlignment="1">
      <alignment vertical="center" wrapText="1"/>
    </xf>
    <xf numFmtId="0" fontId="74" fillId="33" borderId="51" xfId="0" applyFont="1" applyFill="1" applyBorder="1" applyAlignment="1">
      <alignment vertical="center"/>
    </xf>
    <xf numFmtId="0" fontId="74" fillId="33" borderId="52" xfId="0" applyFont="1" applyFill="1" applyBorder="1" applyAlignment="1">
      <alignment vertical="center"/>
    </xf>
    <xf numFmtId="0" fontId="74" fillId="33" borderId="36" xfId="0" applyFont="1" applyFill="1" applyBorder="1" applyAlignment="1">
      <alignment horizontal="left" vertical="center" wrapText="1"/>
    </xf>
    <xf numFmtId="0" fontId="74" fillId="33" borderId="36" xfId="0" applyFont="1" applyFill="1" applyBorder="1" applyAlignment="1">
      <alignment vertical="center"/>
    </xf>
    <xf numFmtId="0" fontId="74" fillId="33" borderId="36" xfId="0" applyFont="1" applyFill="1" applyBorder="1" applyAlignment="1">
      <alignment horizontal="center" vertical="center"/>
    </xf>
    <xf numFmtId="2" fontId="74" fillId="33" borderId="36" xfId="0" applyNumberFormat="1" applyFont="1" applyFill="1" applyBorder="1" applyAlignment="1">
      <alignment vertical="center"/>
    </xf>
    <xf numFmtId="0" fontId="74" fillId="33" borderId="40" xfId="0" applyFont="1" applyFill="1" applyBorder="1" applyAlignment="1">
      <alignment vertical="center"/>
    </xf>
    <xf numFmtId="0" fontId="74" fillId="45" borderId="37" xfId="0" applyFont="1" applyFill="1" applyBorder="1" applyAlignment="1">
      <alignment vertical="center" wrapText="1"/>
    </xf>
    <xf numFmtId="0" fontId="75" fillId="45" borderId="65" xfId="0" applyFont="1" applyFill="1" applyBorder="1" applyAlignment="1">
      <alignment vertical="center" wrapText="1"/>
    </xf>
    <xf numFmtId="0" fontId="75" fillId="45" borderId="35" xfId="0" applyFont="1" applyFill="1" applyBorder="1" applyAlignment="1">
      <alignment vertical="center" wrapText="1"/>
    </xf>
    <xf numFmtId="0" fontId="74" fillId="45" borderId="51" xfId="0" applyFont="1" applyFill="1" applyBorder="1" applyAlignment="1">
      <alignment vertical="center" wrapText="1"/>
    </xf>
    <xf numFmtId="0" fontId="75" fillId="45" borderId="0" xfId="0" applyFont="1" applyFill="1" applyBorder="1" applyAlignment="1">
      <alignment horizontal="left" vertical="center" wrapText="1"/>
    </xf>
    <xf numFmtId="0" fontId="75" fillId="45" borderId="0" xfId="0" applyFont="1" applyFill="1" applyBorder="1" applyAlignment="1">
      <alignment vertical="center" wrapText="1"/>
    </xf>
    <xf numFmtId="0" fontId="75" fillId="45" borderId="0" xfId="0" applyFont="1" applyFill="1" applyBorder="1" applyAlignment="1">
      <alignment horizontal="center" vertical="center" wrapText="1"/>
    </xf>
    <xf numFmtId="2" fontId="75" fillId="45" borderId="0" xfId="0" applyNumberFormat="1" applyFont="1" applyFill="1" applyBorder="1" applyAlignment="1">
      <alignment vertical="center" wrapText="1"/>
    </xf>
    <xf numFmtId="0" fontId="75" fillId="45" borderId="57" xfId="0" applyFont="1" applyFill="1" applyBorder="1" applyAlignment="1">
      <alignment vertical="center" wrapText="1"/>
    </xf>
    <xf numFmtId="2" fontId="74" fillId="0" borderId="15" xfId="0" applyNumberFormat="1" applyFont="1" applyFill="1" applyBorder="1" applyAlignment="1">
      <alignment wrapText="1"/>
    </xf>
    <xf numFmtId="0" fontId="74" fillId="45" borderId="51" xfId="0" applyFont="1" applyFill="1" applyBorder="1" applyAlignment="1">
      <alignment vertical="center"/>
    </xf>
    <xf numFmtId="0" fontId="74" fillId="45" borderId="52" xfId="0" applyFont="1" applyFill="1" applyBorder="1" applyAlignment="1">
      <alignment vertical="center"/>
    </xf>
    <xf numFmtId="0" fontId="74" fillId="45" borderId="36" xfId="0" applyFont="1" applyFill="1" applyBorder="1" applyAlignment="1">
      <alignment horizontal="left" vertical="center" wrapText="1"/>
    </xf>
    <xf numFmtId="0" fontId="74" fillId="45" borderId="36" xfId="0" applyFont="1" applyFill="1" applyBorder="1" applyAlignment="1">
      <alignment vertical="center"/>
    </xf>
    <xf numFmtId="0" fontId="74" fillId="45" borderId="36" xfId="0" applyFont="1" applyFill="1" applyBorder="1" applyAlignment="1">
      <alignment horizontal="center" vertical="center"/>
    </xf>
    <xf numFmtId="2" fontId="74" fillId="45" borderId="36" xfId="0" applyNumberFormat="1" applyFont="1" applyFill="1" applyBorder="1" applyAlignment="1">
      <alignment vertical="center"/>
    </xf>
    <xf numFmtId="0" fontId="74" fillId="45" borderId="40" xfId="0" applyFont="1" applyFill="1" applyBorder="1" applyAlignment="1">
      <alignment vertical="center"/>
    </xf>
    <xf numFmtId="0" fontId="74" fillId="24" borderId="37" xfId="0" applyFont="1" applyFill="1" applyBorder="1" applyAlignment="1">
      <alignment vertical="center" wrapText="1"/>
    </xf>
    <xf numFmtId="0" fontId="75" fillId="24" borderId="65" xfId="0" applyFont="1" applyFill="1" applyBorder="1" applyAlignment="1">
      <alignment vertical="center" wrapText="1"/>
    </xf>
    <xf numFmtId="0" fontId="75" fillId="24" borderId="35" xfId="0" applyFont="1" applyFill="1" applyBorder="1" applyAlignment="1">
      <alignment vertical="center" wrapText="1"/>
    </xf>
    <xf numFmtId="0" fontId="74" fillId="24" borderId="51" xfId="0" applyFont="1" applyFill="1" applyBorder="1" applyAlignment="1">
      <alignment vertical="center" wrapText="1"/>
    </xf>
    <xf numFmtId="0" fontId="75" fillId="24" borderId="0" xfId="0" applyFont="1" applyFill="1" applyBorder="1" applyAlignment="1">
      <alignment horizontal="left" vertical="center" wrapText="1"/>
    </xf>
    <xf numFmtId="0" fontId="75" fillId="24" borderId="0" xfId="0" applyFont="1" applyFill="1" applyBorder="1" applyAlignment="1">
      <alignment vertical="center" wrapText="1"/>
    </xf>
    <xf numFmtId="0" fontId="75" fillId="24" borderId="0" xfId="0" applyFont="1" applyFill="1" applyBorder="1" applyAlignment="1">
      <alignment horizontal="center" vertical="center" wrapText="1"/>
    </xf>
    <xf numFmtId="2" fontId="75" fillId="24" borderId="0" xfId="0" applyNumberFormat="1" applyFont="1" applyFill="1" applyBorder="1" applyAlignment="1">
      <alignment vertical="center" wrapText="1"/>
    </xf>
    <xf numFmtId="0" fontId="75" fillId="24" borderId="57" xfId="0" applyFont="1" applyFill="1" applyBorder="1" applyAlignment="1">
      <alignment vertical="center" wrapText="1"/>
    </xf>
    <xf numFmtId="0" fontId="74" fillId="27" borderId="10" xfId="0" applyFont="1" applyFill="1" applyBorder="1" applyAlignment="1">
      <alignment vertical="center" wrapText="1"/>
    </xf>
    <xf numFmtId="2" fontId="76" fillId="27" borderId="10" xfId="0" applyNumberFormat="1" applyFont="1" applyFill="1" applyBorder="1" applyAlignment="1">
      <alignment horizontal="center" vertical="center" wrapText="1"/>
    </xf>
    <xf numFmtId="0" fontId="74" fillId="27" borderId="16" xfId="0" applyFont="1" applyFill="1" applyBorder="1" applyAlignment="1">
      <alignment vertical="center" wrapText="1"/>
    </xf>
    <xf numFmtId="2" fontId="76" fillId="27" borderId="16" xfId="0" applyNumberFormat="1" applyFont="1" applyFill="1" applyBorder="1" applyAlignment="1">
      <alignment horizontal="center" vertical="center" wrapText="1"/>
    </xf>
    <xf numFmtId="0" fontId="74" fillId="27" borderId="18" xfId="0" applyFont="1" applyFill="1" applyBorder="1" applyAlignment="1">
      <alignment vertical="center" wrapText="1"/>
    </xf>
    <xf numFmtId="2" fontId="76" fillId="27" borderId="18" xfId="0" applyNumberFormat="1" applyFont="1" applyFill="1" applyBorder="1" applyAlignment="1">
      <alignment horizontal="center" vertical="center" wrapText="1"/>
    </xf>
    <xf numFmtId="0" fontId="74" fillId="24" borderId="51" xfId="0" applyFont="1" applyFill="1" applyBorder="1" applyAlignment="1">
      <alignment vertical="center"/>
    </xf>
    <xf numFmtId="0" fontId="74" fillId="24" borderId="52" xfId="0" applyFont="1" applyFill="1" applyBorder="1" applyAlignment="1">
      <alignment vertical="center"/>
    </xf>
    <xf numFmtId="0" fontId="74" fillId="24" borderId="36" xfId="0" applyFont="1" applyFill="1" applyBorder="1" applyAlignment="1">
      <alignment horizontal="left" vertical="center" wrapText="1"/>
    </xf>
    <xf numFmtId="0" fontId="74" fillId="24" borderId="36" xfId="0" applyFont="1" applyFill="1" applyBorder="1" applyAlignment="1">
      <alignment vertical="center"/>
    </xf>
    <xf numFmtId="0" fontId="74" fillId="24" borderId="36" xfId="0" applyFont="1" applyFill="1" applyBorder="1" applyAlignment="1">
      <alignment horizontal="center" vertical="center"/>
    </xf>
    <xf numFmtId="2" fontId="74" fillId="24" borderId="36" xfId="0" applyNumberFormat="1" applyFont="1" applyFill="1" applyBorder="1" applyAlignment="1">
      <alignment vertical="center"/>
    </xf>
    <xf numFmtId="0" fontId="74" fillId="24" borderId="40" xfId="0" applyFont="1" applyFill="1" applyBorder="1" applyAlignment="1">
      <alignment vertical="center"/>
    </xf>
    <xf numFmtId="0" fontId="74" fillId="32" borderId="37" xfId="0" applyFont="1" applyFill="1" applyBorder="1" applyAlignment="1">
      <alignment vertical="center" wrapText="1"/>
    </xf>
    <xf numFmtId="0" fontId="75" fillId="32" borderId="65" xfId="0" applyFont="1" applyFill="1" applyBorder="1" applyAlignment="1">
      <alignment vertical="center" wrapText="1"/>
    </xf>
    <xf numFmtId="0" fontId="75" fillId="32" borderId="35" xfId="0" applyFont="1" applyFill="1" applyBorder="1" applyAlignment="1">
      <alignment vertical="center" wrapText="1"/>
    </xf>
    <xf numFmtId="0" fontId="74" fillId="32" borderId="51" xfId="0" applyFont="1" applyFill="1" applyBorder="1" applyAlignment="1">
      <alignment vertical="center" wrapText="1"/>
    </xf>
    <xf numFmtId="0" fontId="75" fillId="32" borderId="0" xfId="0" applyFont="1" applyFill="1" applyBorder="1" applyAlignment="1">
      <alignment horizontal="left" vertical="center" wrapText="1"/>
    </xf>
    <xf numFmtId="0" fontId="75" fillId="32" borderId="0" xfId="0" applyFont="1" applyFill="1" applyBorder="1" applyAlignment="1">
      <alignment vertical="center" wrapText="1"/>
    </xf>
    <xf numFmtId="0" fontId="75" fillId="32" borderId="0" xfId="0" applyFont="1" applyFill="1" applyBorder="1" applyAlignment="1">
      <alignment horizontal="center" vertical="center" wrapText="1"/>
    </xf>
    <xf numFmtId="2" fontId="75" fillId="32" borderId="0" xfId="0" applyNumberFormat="1" applyFont="1" applyFill="1" applyBorder="1" applyAlignment="1">
      <alignment vertical="center" wrapText="1"/>
    </xf>
    <xf numFmtId="0" fontId="75" fillId="32" borderId="57" xfId="0" applyFont="1" applyFill="1" applyBorder="1" applyAlignment="1">
      <alignment vertical="center" wrapText="1"/>
    </xf>
    <xf numFmtId="0" fontId="74" fillId="32" borderId="51" xfId="0" applyFont="1" applyFill="1" applyBorder="1" applyAlignment="1">
      <alignment vertical="center"/>
    </xf>
    <xf numFmtId="0" fontId="74" fillId="0" borderId="29" xfId="0" applyFont="1" applyFill="1" applyBorder="1" applyAlignment="1">
      <alignment vertical="center" wrapText="1"/>
    </xf>
    <xf numFmtId="0" fontId="74" fillId="32" borderId="52" xfId="0" applyFont="1" applyFill="1" applyBorder="1" applyAlignment="1">
      <alignment vertical="center"/>
    </xf>
    <xf numFmtId="0" fontId="74" fillId="32" borderId="36" xfId="0" applyFont="1" applyFill="1" applyBorder="1" applyAlignment="1">
      <alignment horizontal="left" vertical="center" wrapText="1"/>
    </xf>
    <xf numFmtId="0" fontId="74" fillId="32" borderId="36" xfId="0" applyFont="1" applyFill="1" applyBorder="1" applyAlignment="1">
      <alignment vertical="center"/>
    </xf>
    <xf numFmtId="0" fontId="74" fillId="32" borderId="36" xfId="0" applyFont="1" applyFill="1" applyBorder="1" applyAlignment="1">
      <alignment horizontal="center" vertical="center"/>
    </xf>
    <xf numFmtId="2" fontId="74" fillId="32" borderId="36" xfId="0" applyNumberFormat="1" applyFont="1" applyFill="1" applyBorder="1" applyAlignment="1">
      <alignment vertical="center"/>
    </xf>
    <xf numFmtId="0" fontId="74" fillId="32" borderId="40" xfId="0" applyFont="1" applyFill="1" applyBorder="1" applyAlignment="1">
      <alignment vertical="center"/>
    </xf>
    <xf numFmtId="0" fontId="74" fillId="46" borderId="37" xfId="0" applyFont="1" applyFill="1" applyBorder="1" applyAlignment="1">
      <alignment vertical="center" wrapText="1"/>
    </xf>
    <xf numFmtId="0" fontId="75" fillId="46" borderId="65" xfId="0" applyFont="1" applyFill="1" applyBorder="1" applyAlignment="1">
      <alignment vertical="center" wrapText="1"/>
    </xf>
    <xf numFmtId="0" fontId="75" fillId="46" borderId="35" xfId="0" applyFont="1" applyFill="1" applyBorder="1" applyAlignment="1">
      <alignment vertical="center" wrapText="1"/>
    </xf>
    <xf numFmtId="0" fontId="74" fillId="46" borderId="51" xfId="0" applyFont="1" applyFill="1" applyBorder="1" applyAlignment="1">
      <alignment vertical="center" wrapText="1"/>
    </xf>
    <xf numFmtId="0" fontId="75" fillId="46" borderId="0" xfId="0" applyFont="1" applyFill="1" applyBorder="1" applyAlignment="1">
      <alignment horizontal="left" vertical="center" wrapText="1"/>
    </xf>
    <xf numFmtId="0" fontId="75" fillId="46" borderId="0" xfId="0" applyFont="1" applyFill="1" applyBorder="1" applyAlignment="1">
      <alignment vertical="center" wrapText="1"/>
    </xf>
    <xf numFmtId="0" fontId="75" fillId="46" borderId="0" xfId="0" applyFont="1" applyFill="1" applyBorder="1" applyAlignment="1">
      <alignment horizontal="center" vertical="center" wrapText="1"/>
    </xf>
    <xf numFmtId="2" fontId="75" fillId="46" borderId="0" xfId="0" applyNumberFormat="1" applyFont="1" applyFill="1" applyBorder="1" applyAlignment="1">
      <alignment vertical="center" wrapText="1"/>
    </xf>
    <xf numFmtId="0" fontId="75" fillId="46" borderId="57" xfId="0" applyFont="1" applyFill="1" applyBorder="1" applyAlignment="1">
      <alignment vertical="center" wrapText="1"/>
    </xf>
    <xf numFmtId="0" fontId="74" fillId="46" borderId="51" xfId="0" applyFont="1" applyFill="1" applyBorder="1" applyAlignment="1">
      <alignment vertical="center"/>
    </xf>
    <xf numFmtId="0" fontId="74" fillId="46" borderId="52" xfId="0" applyFont="1" applyFill="1" applyBorder="1" applyAlignment="1">
      <alignment vertical="center"/>
    </xf>
    <xf numFmtId="0" fontId="74" fillId="46" borderId="36" xfId="0" applyFont="1" applyFill="1" applyBorder="1" applyAlignment="1">
      <alignment horizontal="left" vertical="center" wrapText="1"/>
    </xf>
    <xf numFmtId="0" fontId="74" fillId="46" borderId="36" xfId="0" applyFont="1" applyFill="1" applyBorder="1" applyAlignment="1">
      <alignment vertical="center"/>
    </xf>
    <xf numFmtId="0" fontId="74" fillId="46" borderId="36" xfId="0" applyFont="1" applyFill="1" applyBorder="1" applyAlignment="1">
      <alignment horizontal="center" vertical="center"/>
    </xf>
    <xf numFmtId="2" fontId="74" fillId="46" borderId="36" xfId="0" applyNumberFormat="1" applyFont="1" applyFill="1" applyBorder="1" applyAlignment="1">
      <alignment vertical="center"/>
    </xf>
    <xf numFmtId="0" fontId="74" fillId="46" borderId="40" xfId="0" applyFont="1" applyFill="1" applyBorder="1" applyAlignment="1">
      <alignment vertical="center"/>
    </xf>
    <xf numFmtId="0" fontId="74" fillId="57" borderId="37" xfId="0" applyFont="1" applyFill="1" applyBorder="1" applyAlignment="1">
      <alignment vertical="center"/>
    </xf>
    <xf numFmtId="0" fontId="75" fillId="57" borderId="65" xfId="0" applyFont="1" applyFill="1" applyBorder="1" applyAlignment="1">
      <alignment vertical="center" wrapText="1"/>
    </xf>
    <xf numFmtId="0" fontId="75" fillId="57" borderId="35" xfId="0" applyFont="1" applyFill="1" applyBorder="1" applyAlignment="1">
      <alignment vertical="center" wrapText="1"/>
    </xf>
    <xf numFmtId="0" fontId="74" fillId="57" borderId="51" xfId="0" applyFont="1" applyFill="1" applyBorder="1" applyAlignment="1">
      <alignment vertical="center"/>
    </xf>
    <xf numFmtId="0" fontId="74" fillId="0" borderId="0" xfId="0" applyFont="1" applyBorder="1" applyAlignment="1">
      <alignment horizontal="left" vertical="center" wrapText="1"/>
    </xf>
    <xf numFmtId="0" fontId="74" fillId="0" borderId="0" xfId="0" applyFont="1" applyBorder="1" applyAlignment="1">
      <alignment vertical="center"/>
    </xf>
    <xf numFmtId="0" fontId="74" fillId="0" borderId="0" xfId="0" applyFont="1" applyBorder="1" applyAlignment="1">
      <alignment horizontal="center" vertical="center"/>
    </xf>
    <xf numFmtId="2" fontId="74" fillId="0" borderId="0" xfId="0" applyNumberFormat="1" applyFont="1" applyBorder="1" applyAlignment="1">
      <alignment vertical="center"/>
    </xf>
    <xf numFmtId="0" fontId="74" fillId="0" borderId="57" xfId="0" applyFont="1" applyBorder="1" applyAlignment="1">
      <alignment vertical="center"/>
    </xf>
    <xf numFmtId="0" fontId="76" fillId="0" borderId="85" xfId="0" applyFont="1" applyFill="1" applyBorder="1" applyAlignment="1">
      <alignment horizontal="center" wrapText="1"/>
    </xf>
    <xf numFmtId="0" fontId="76" fillId="0" borderId="87" xfId="0" applyFont="1" applyFill="1" applyBorder="1" applyAlignment="1">
      <alignment horizontal="center" wrapText="1"/>
    </xf>
    <xf numFmtId="2" fontId="76" fillId="0" borderId="21" xfId="0" applyNumberFormat="1" applyFont="1" applyFill="1" applyBorder="1" applyAlignment="1">
      <alignment horizontal="center" vertical="center" wrapText="1"/>
    </xf>
    <xf numFmtId="2" fontId="76" fillId="0" borderId="22" xfId="0" applyNumberFormat="1" applyFont="1" applyFill="1" applyBorder="1" applyAlignment="1">
      <alignment horizontal="center" vertical="center" wrapText="1"/>
    </xf>
    <xf numFmtId="0" fontId="74" fillId="0" borderId="20" xfId="0" applyFont="1" applyFill="1" applyBorder="1" applyAlignment="1">
      <alignment vertical="center" wrapText="1"/>
    </xf>
    <xf numFmtId="0" fontId="76" fillId="0" borderId="22" xfId="0" applyFont="1" applyFill="1" applyBorder="1" applyAlignment="1">
      <alignment horizontal="center" vertical="center" wrapText="1"/>
    </xf>
    <xf numFmtId="0" fontId="74" fillId="0" borderId="21" xfId="0" applyFont="1" applyFill="1" applyBorder="1" applyAlignment="1">
      <alignment vertical="center" wrapText="1"/>
    </xf>
    <xf numFmtId="2" fontId="74" fillId="0" borderId="20" xfId="0" applyNumberFormat="1" applyFont="1" applyFill="1" applyBorder="1" applyAlignment="1">
      <alignment vertical="center" wrapText="1"/>
    </xf>
    <xf numFmtId="0" fontId="74" fillId="0" borderId="19" xfId="0" applyFont="1" applyFill="1" applyBorder="1" applyAlignment="1">
      <alignment vertical="center" wrapText="1"/>
    </xf>
    <xf numFmtId="0" fontId="74" fillId="57" borderId="52" xfId="0" applyFont="1" applyFill="1" applyBorder="1" applyAlignment="1">
      <alignment vertical="center"/>
    </xf>
    <xf numFmtId="0" fontId="74" fillId="57" borderId="36" xfId="0" applyFont="1" applyFill="1" applyBorder="1" applyAlignment="1">
      <alignment horizontal="left" vertical="center" wrapText="1"/>
    </xf>
    <xf numFmtId="0" fontId="74" fillId="57" borderId="36" xfId="0" applyFont="1" applyFill="1" applyBorder="1" applyAlignment="1">
      <alignment vertical="center"/>
    </xf>
    <xf numFmtId="0" fontId="74" fillId="57" borderId="36" xfId="0" applyFont="1" applyFill="1" applyBorder="1" applyAlignment="1">
      <alignment horizontal="center" vertical="center"/>
    </xf>
    <xf numFmtId="2" fontId="74" fillId="57" borderId="36" xfId="0" applyNumberFormat="1" applyFont="1" applyFill="1" applyBorder="1" applyAlignment="1">
      <alignment vertical="center"/>
    </xf>
    <xf numFmtId="0" fontId="74" fillId="57" borderId="40" xfId="0" applyFont="1" applyFill="1" applyBorder="1" applyAlignment="1">
      <alignment vertical="center"/>
    </xf>
    <xf numFmtId="0" fontId="74" fillId="58" borderId="37" xfId="0" applyFont="1" applyFill="1" applyBorder="1" applyAlignment="1">
      <alignment vertical="center"/>
    </xf>
    <xf numFmtId="0" fontId="75" fillId="58" borderId="65" xfId="0" applyFont="1" applyFill="1" applyBorder="1" applyAlignment="1">
      <alignment vertical="center" wrapText="1"/>
    </xf>
    <xf numFmtId="0" fontId="75" fillId="58" borderId="35" xfId="0" applyFont="1" applyFill="1" applyBorder="1" applyAlignment="1">
      <alignment vertical="center" wrapText="1"/>
    </xf>
    <xf numFmtId="0" fontId="74" fillId="58" borderId="51" xfId="0" applyFont="1" applyFill="1" applyBorder="1" applyAlignment="1">
      <alignment vertical="center"/>
    </xf>
    <xf numFmtId="0" fontId="74" fillId="58" borderId="51" xfId="0" applyFont="1" applyFill="1" applyBorder="1"/>
    <xf numFmtId="0" fontId="74" fillId="58" borderId="52" xfId="0" applyFont="1" applyFill="1" applyBorder="1" applyAlignment="1">
      <alignment vertical="center"/>
    </xf>
    <xf numFmtId="0" fontId="74" fillId="58" borderId="36" xfId="0" applyFont="1" applyFill="1" applyBorder="1" applyAlignment="1">
      <alignment horizontal="left" vertical="center" wrapText="1"/>
    </xf>
    <xf numFmtId="0" fontId="74" fillId="58" borderId="36" xfId="0" applyFont="1" applyFill="1" applyBorder="1" applyAlignment="1">
      <alignment vertical="center"/>
    </xf>
    <xf numFmtId="0" fontId="74" fillId="58" borderId="36" xfId="0" applyFont="1" applyFill="1" applyBorder="1" applyAlignment="1">
      <alignment horizontal="center" vertical="center"/>
    </xf>
    <xf numFmtId="2" fontId="74" fillId="58" borderId="36" xfId="0" applyNumberFormat="1" applyFont="1" applyFill="1" applyBorder="1" applyAlignment="1">
      <alignment vertical="center"/>
    </xf>
    <xf numFmtId="0" fontId="74" fillId="58" borderId="40" xfId="0" applyFont="1" applyFill="1" applyBorder="1" applyAlignment="1">
      <alignment vertical="center"/>
    </xf>
    <xf numFmtId="0" fontId="74" fillId="59" borderId="37" xfId="0" applyFont="1" applyFill="1" applyBorder="1" applyAlignment="1">
      <alignment vertical="center"/>
    </xf>
    <xf numFmtId="0" fontId="75" fillId="59" borderId="65" xfId="0" applyFont="1" applyFill="1" applyBorder="1" applyAlignment="1">
      <alignment vertical="center" wrapText="1"/>
    </xf>
    <xf numFmtId="0" fontId="75" fillId="59" borderId="35" xfId="0" applyFont="1" applyFill="1" applyBorder="1" applyAlignment="1">
      <alignment vertical="center" wrapText="1"/>
    </xf>
    <xf numFmtId="0" fontId="74" fillId="59" borderId="51" xfId="0" applyFont="1" applyFill="1" applyBorder="1" applyAlignment="1">
      <alignment vertical="center"/>
    </xf>
    <xf numFmtId="0" fontId="74" fillId="59" borderId="51" xfId="0" applyFont="1" applyFill="1" applyBorder="1"/>
    <xf numFmtId="0" fontId="74" fillId="59" borderId="52" xfId="0" applyFont="1" applyFill="1" applyBorder="1" applyAlignment="1">
      <alignment vertical="center"/>
    </xf>
    <xf numFmtId="0" fontId="74" fillId="59" borderId="36" xfId="0" applyFont="1" applyFill="1" applyBorder="1" applyAlignment="1">
      <alignment horizontal="left" vertical="center" wrapText="1"/>
    </xf>
    <xf numFmtId="0" fontId="74" fillId="59" borderId="36" xfId="0" applyFont="1" applyFill="1" applyBorder="1" applyAlignment="1">
      <alignment vertical="center"/>
    </xf>
    <xf numFmtId="0" fontId="74" fillId="59" borderId="36" xfId="0" applyFont="1" applyFill="1" applyBorder="1" applyAlignment="1">
      <alignment horizontal="center" vertical="center"/>
    </xf>
    <xf numFmtId="2" fontId="74" fillId="59" borderId="36" xfId="0" applyNumberFormat="1" applyFont="1" applyFill="1" applyBorder="1" applyAlignment="1">
      <alignment vertical="center"/>
    </xf>
    <xf numFmtId="0" fontId="74" fillId="59" borderId="40" xfId="0" applyFont="1" applyFill="1" applyBorder="1" applyAlignment="1">
      <alignment vertical="center"/>
    </xf>
    <xf numFmtId="0" fontId="74" fillId="0" borderId="0" xfId="0" applyFont="1" applyAlignment="1">
      <alignment horizontal="center" vertical="center"/>
    </xf>
    <xf numFmtId="2" fontId="74" fillId="0" borderId="0" xfId="0" applyNumberFormat="1" applyFont="1" applyAlignment="1">
      <alignment vertical="center"/>
    </xf>
    <xf numFmtId="0" fontId="38" fillId="0" borderId="73" xfId="0" applyFont="1" applyBorder="1" applyAlignment="1">
      <alignment horizontal="center" vertical="center" wrapText="1"/>
    </xf>
    <xf numFmtId="0" fontId="24" fillId="0" borderId="53" xfId="0" applyFont="1" applyBorder="1" applyAlignment="1">
      <alignment wrapText="1"/>
    </xf>
    <xf numFmtId="2" fontId="0" fillId="0" borderId="55" xfId="0" applyNumberFormat="1" applyBorder="1"/>
    <xf numFmtId="2" fontId="0" fillId="0" borderId="31" xfId="0" applyNumberFormat="1" applyBorder="1"/>
    <xf numFmtId="1" fontId="53" fillId="0" borderId="37" xfId="0" applyNumberFormat="1" applyFont="1" applyBorder="1"/>
    <xf numFmtId="1" fontId="53" fillId="0" borderId="51" xfId="0" applyNumberFormat="1" applyFont="1" applyBorder="1"/>
    <xf numFmtId="1" fontId="53" fillId="0" borderId="52" xfId="0" applyNumberFormat="1" applyFont="1" applyBorder="1"/>
    <xf numFmtId="1" fontId="53" fillId="0" borderId="35" xfId="0" applyNumberFormat="1" applyFont="1" applyBorder="1"/>
    <xf numFmtId="1" fontId="53" fillId="0" borderId="65" xfId="0" applyNumberFormat="1" applyFont="1" applyBorder="1"/>
    <xf numFmtId="1" fontId="53" fillId="0" borderId="57" xfId="0" applyNumberFormat="1" applyFont="1" applyBorder="1"/>
    <xf numFmtId="1" fontId="53" fillId="0" borderId="0" xfId="0" applyNumberFormat="1" applyFont="1" applyBorder="1"/>
    <xf numFmtId="1" fontId="53" fillId="0" borderId="40" xfId="0" applyNumberFormat="1" applyFont="1" applyBorder="1"/>
    <xf numFmtId="1" fontId="53" fillId="0" borderId="36" xfId="0" applyNumberFormat="1" applyFont="1" applyBorder="1"/>
    <xf numFmtId="1" fontId="0" fillId="0" borderId="55" xfId="0" applyNumberFormat="1" applyFont="1" applyBorder="1"/>
    <xf numFmtId="1" fontId="0" fillId="0" borderId="53" xfId="0" applyNumberFormat="1" applyFont="1" applyBorder="1"/>
    <xf numFmtId="1" fontId="0" fillId="0" borderId="54" xfId="0" applyNumberFormat="1" applyFont="1" applyBorder="1"/>
    <xf numFmtId="1" fontId="0" fillId="0" borderId="40" xfId="0" applyNumberFormat="1" applyBorder="1"/>
    <xf numFmtId="1" fontId="0" fillId="0" borderId="52" xfId="0" applyNumberFormat="1" applyBorder="1"/>
    <xf numFmtId="1" fontId="0" fillId="0" borderId="36" xfId="0" applyNumberFormat="1" applyBorder="1"/>
    <xf numFmtId="1" fontId="0" fillId="0" borderId="71" xfId="0" applyNumberFormat="1" applyBorder="1" applyAlignment="1">
      <alignment horizontal="center"/>
    </xf>
    <xf numFmtId="0" fontId="38" fillId="0" borderId="46" xfId="0" applyFont="1" applyBorder="1" applyAlignment="1">
      <alignment vertical="center" wrapText="1"/>
    </xf>
    <xf numFmtId="2" fontId="0" fillId="0" borderId="48" xfId="0" applyNumberFormat="1" applyBorder="1"/>
    <xf numFmtId="2" fontId="0" fillId="0" borderId="53" xfId="0" applyNumberFormat="1" applyBorder="1"/>
    <xf numFmtId="2" fontId="0" fillId="0" borderId="13" xfId="0" applyNumberFormat="1" applyBorder="1"/>
    <xf numFmtId="1" fontId="0" fillId="0" borderId="0" xfId="0" applyNumberFormat="1" applyFill="1" applyBorder="1" applyAlignment="1">
      <alignment horizontal="center"/>
    </xf>
    <xf numFmtId="0" fontId="0" fillId="0" borderId="51" xfId="0" applyBorder="1" applyAlignment="1">
      <alignment horizontal="right"/>
    </xf>
    <xf numFmtId="1" fontId="0" fillId="0" borderId="58" xfId="0" applyNumberFormat="1" applyBorder="1" applyAlignment="1">
      <alignment horizontal="center"/>
    </xf>
    <xf numFmtId="0" fontId="0" fillId="0" borderId="37" xfId="0" applyBorder="1" applyAlignment="1">
      <alignment horizontal="right"/>
    </xf>
    <xf numFmtId="0" fontId="0" fillId="0" borderId="52" xfId="0" applyBorder="1" applyAlignment="1">
      <alignment horizontal="right"/>
    </xf>
    <xf numFmtId="0" fontId="24" fillId="0" borderId="53" xfId="0" applyFont="1" applyBorder="1" applyAlignment="1">
      <alignment horizontal="right" wrapText="1"/>
    </xf>
    <xf numFmtId="0" fontId="0" fillId="34" borderId="70" xfId="0" applyFill="1" applyBorder="1" applyAlignment="1">
      <alignment horizontal="right"/>
    </xf>
    <xf numFmtId="0" fontId="0" fillId="0" borderId="0" xfId="0" applyBorder="1" applyAlignment="1">
      <alignment horizontal="right"/>
    </xf>
    <xf numFmtId="0" fontId="38" fillId="0" borderId="53" xfId="0" applyFont="1" applyBorder="1" applyAlignment="1">
      <alignment horizontal="right" vertical="center" wrapText="1"/>
    </xf>
    <xf numFmtId="0" fontId="0" fillId="0" borderId="67" xfId="0" applyBorder="1" applyAlignment="1">
      <alignment horizontal="right"/>
    </xf>
    <xf numFmtId="0" fontId="38" fillId="0" borderId="71" xfId="0" applyFont="1" applyBorder="1" applyAlignment="1">
      <alignment horizontal="right" vertical="center" wrapText="1"/>
    </xf>
    <xf numFmtId="0" fontId="38" fillId="0" borderId="37" xfId="0" applyFont="1" applyBorder="1" applyAlignment="1">
      <alignment horizontal="right" vertical="center" wrapText="1"/>
    </xf>
    <xf numFmtId="0" fontId="0" fillId="0" borderId="68" xfId="0" applyBorder="1" applyAlignment="1">
      <alignment horizontal="right"/>
    </xf>
    <xf numFmtId="0" fontId="38" fillId="0" borderId="0" xfId="0" applyFont="1" applyBorder="1" applyAlignment="1">
      <alignment horizontal="right" vertical="center" wrapText="1"/>
    </xf>
    <xf numFmtId="0" fontId="50" fillId="34" borderId="70" xfId="0" applyFont="1" applyFill="1" applyBorder="1" applyAlignment="1">
      <alignment horizontal="right"/>
    </xf>
    <xf numFmtId="0" fontId="0" fillId="0" borderId="71" xfId="0" applyBorder="1" applyAlignment="1">
      <alignment horizontal="right"/>
    </xf>
    <xf numFmtId="0" fontId="50" fillId="42" borderId="70" xfId="0" applyFont="1" applyFill="1" applyBorder="1" applyAlignment="1">
      <alignment horizontal="right"/>
    </xf>
    <xf numFmtId="0" fontId="38" fillId="0" borderId="74" xfId="0" applyFont="1" applyBorder="1" applyAlignment="1">
      <alignment horizontal="right" vertical="center" wrapText="1"/>
    </xf>
    <xf numFmtId="0" fontId="0" fillId="0" borderId="0" xfId="0" applyFill="1" applyAlignment="1">
      <alignment horizontal="right"/>
    </xf>
    <xf numFmtId="2" fontId="38" fillId="0" borderId="88" xfId="0" applyNumberFormat="1" applyFont="1" applyFill="1" applyBorder="1" applyAlignment="1">
      <alignment horizontal="center"/>
    </xf>
    <xf numFmtId="2" fontId="0" fillId="0" borderId="46" xfId="0" applyNumberFormat="1" applyBorder="1"/>
    <xf numFmtId="2" fontId="0" fillId="0" borderId="43" xfId="0" applyNumberFormat="1" applyBorder="1"/>
    <xf numFmtId="0" fontId="38" fillId="0" borderId="54" xfId="0" applyFont="1" applyBorder="1" applyAlignment="1">
      <alignment horizontal="center"/>
    </xf>
    <xf numFmtId="0" fontId="38" fillId="0" borderId="55" xfId="0" applyFont="1" applyBorder="1" applyAlignment="1">
      <alignment horizontal="center"/>
    </xf>
    <xf numFmtId="0" fontId="78" fillId="0" borderId="0" xfId="0" applyFont="1" applyAlignment="1">
      <alignment vertical="center" wrapText="1"/>
    </xf>
    <xf numFmtId="2" fontId="78" fillId="0" borderId="0" xfId="0" applyNumberFormat="1" applyFont="1" applyAlignment="1">
      <alignment horizontal="center" vertical="center" wrapText="1"/>
    </xf>
    <xf numFmtId="2" fontId="78" fillId="0" borderId="0" xfId="0" applyNumberFormat="1" applyFont="1" applyAlignment="1">
      <alignment vertical="center" wrapText="1"/>
    </xf>
    <xf numFmtId="0" fontId="78" fillId="0" borderId="0" xfId="0" applyFont="1" applyAlignment="1">
      <alignment vertical="center"/>
    </xf>
    <xf numFmtId="0" fontId="79" fillId="0" borderId="11" xfId="0" applyFont="1" applyBorder="1" applyAlignment="1">
      <alignment vertical="center" wrapText="1"/>
    </xf>
    <xf numFmtId="0" fontId="79" fillId="0" borderId="25" xfId="0" applyFont="1" applyBorder="1" applyAlignment="1">
      <alignment vertical="center" wrapText="1"/>
    </xf>
    <xf numFmtId="0" fontId="79" fillId="0" borderId="12" xfId="0" applyFont="1" applyBorder="1" applyAlignment="1">
      <alignment vertical="center" wrapText="1"/>
    </xf>
    <xf numFmtId="0" fontId="79" fillId="0" borderId="53" xfId="0" applyFont="1" applyBorder="1" applyAlignment="1">
      <alignment vertical="center" wrapText="1"/>
    </xf>
    <xf numFmtId="2" fontId="79" fillId="0" borderId="13" xfId="0" applyNumberFormat="1" applyFont="1" applyBorder="1" applyAlignment="1">
      <alignment horizontal="center" vertical="center" wrapText="1"/>
    </xf>
    <xf numFmtId="2" fontId="79" fillId="0" borderId="12" xfId="0" applyNumberFormat="1" applyFont="1" applyBorder="1" applyAlignment="1">
      <alignment vertical="center" wrapText="1"/>
    </xf>
    <xf numFmtId="2" fontId="79" fillId="0" borderId="31" xfId="0" applyNumberFormat="1" applyFont="1" applyBorder="1" applyAlignment="1">
      <alignment vertical="center" wrapText="1"/>
    </xf>
    <xf numFmtId="0" fontId="79" fillId="0" borderId="13" xfId="0" applyFont="1" applyBorder="1" applyAlignment="1">
      <alignment vertical="center" wrapText="1"/>
    </xf>
    <xf numFmtId="0" fontId="78" fillId="44" borderId="37" xfId="0" applyFont="1" applyFill="1" applyBorder="1" applyAlignment="1">
      <alignment vertical="center" wrapText="1"/>
    </xf>
    <xf numFmtId="0" fontId="79" fillId="44" borderId="65" xfId="0" applyFont="1" applyFill="1" applyBorder="1" applyAlignment="1">
      <alignment vertical="center" wrapText="1"/>
    </xf>
    <xf numFmtId="2" fontId="79" fillId="44" borderId="65" xfId="0" applyNumberFormat="1" applyFont="1" applyFill="1" applyBorder="1" applyAlignment="1">
      <alignment vertical="center" wrapText="1"/>
    </xf>
    <xf numFmtId="0" fontId="79" fillId="44" borderId="35" xfId="0" applyFont="1" applyFill="1" applyBorder="1" applyAlignment="1">
      <alignment vertical="center" wrapText="1"/>
    </xf>
    <xf numFmtId="0" fontId="78" fillId="44" borderId="51" xfId="0" applyFont="1" applyFill="1" applyBorder="1" applyAlignment="1">
      <alignment vertical="center" wrapText="1"/>
    </xf>
    <xf numFmtId="0" fontId="79" fillId="44" borderId="0" xfId="0" applyFont="1" applyFill="1" applyBorder="1" applyAlignment="1">
      <alignment vertical="center" wrapText="1"/>
    </xf>
    <xf numFmtId="2" fontId="79" fillId="44" borderId="0" xfId="0" applyNumberFormat="1" applyFont="1" applyFill="1" applyBorder="1" applyAlignment="1">
      <alignment horizontal="center" vertical="center" wrapText="1"/>
    </xf>
    <xf numFmtId="2" fontId="79" fillId="44" borderId="0" xfId="0" applyNumberFormat="1" applyFont="1" applyFill="1" applyBorder="1" applyAlignment="1">
      <alignment vertical="center" wrapText="1"/>
    </xf>
    <xf numFmtId="0" fontId="79" fillId="44" borderId="57" xfId="0" applyFont="1" applyFill="1" applyBorder="1" applyAlignment="1">
      <alignment vertical="center" wrapText="1"/>
    </xf>
    <xf numFmtId="0" fontId="78" fillId="44" borderId="51" xfId="0" applyFont="1" applyFill="1" applyBorder="1" applyAlignment="1">
      <alignment vertical="center"/>
    </xf>
    <xf numFmtId="0" fontId="78" fillId="0" borderId="10" xfId="0" applyFont="1" applyFill="1" applyBorder="1" applyAlignment="1">
      <alignment vertical="center" wrapText="1"/>
    </xf>
    <xf numFmtId="2" fontId="80" fillId="0" borderId="10" xfId="0" applyNumberFormat="1" applyFont="1" applyFill="1" applyBorder="1" applyAlignment="1">
      <alignment horizontal="center" vertical="center" wrapText="1"/>
    </xf>
    <xf numFmtId="2" fontId="80" fillId="0" borderId="86" xfId="0" applyNumberFormat="1" applyFont="1" applyFill="1" applyBorder="1" applyAlignment="1">
      <alignment horizontal="center" vertical="center" wrapText="1"/>
    </xf>
    <xf numFmtId="0" fontId="78" fillId="0" borderId="23" xfId="0" applyFont="1" applyFill="1" applyBorder="1" applyAlignment="1">
      <alignment vertical="center" wrapText="1"/>
    </xf>
    <xf numFmtId="2" fontId="80" fillId="0" borderId="14" xfId="0" applyNumberFormat="1" applyFont="1" applyFill="1" applyBorder="1" applyAlignment="1">
      <alignment horizontal="center" vertical="center" wrapText="1"/>
    </xf>
    <xf numFmtId="2" fontId="80" fillId="0" borderId="16" xfId="0" applyNumberFormat="1" applyFont="1" applyFill="1" applyBorder="1" applyAlignment="1">
      <alignment horizontal="center" vertical="center" wrapText="1"/>
    </xf>
    <xf numFmtId="2" fontId="78" fillId="0" borderId="23" xfId="0" applyNumberFormat="1" applyFont="1" applyFill="1" applyBorder="1" applyAlignment="1">
      <alignment vertical="center" wrapText="1"/>
    </xf>
    <xf numFmtId="0" fontId="78" fillId="0" borderId="16" xfId="0" applyFont="1" applyFill="1" applyBorder="1" applyAlignment="1">
      <alignment vertical="center" wrapText="1"/>
    </xf>
    <xf numFmtId="0" fontId="78" fillId="0" borderId="15" xfId="0" applyFont="1" applyFill="1" applyBorder="1" applyAlignment="1">
      <alignment vertical="center" wrapText="1"/>
    </xf>
    <xf numFmtId="2" fontId="78" fillId="0" borderId="15" xfId="0" applyNumberFormat="1" applyFont="1" applyFill="1" applyBorder="1" applyAlignment="1">
      <alignment vertical="center" wrapText="1"/>
    </xf>
    <xf numFmtId="0" fontId="78" fillId="0" borderId="29" xfId="0" applyFont="1" applyFill="1" applyBorder="1" applyAlignment="1">
      <alignment vertical="center" wrapText="1"/>
    </xf>
    <xf numFmtId="0" fontId="78" fillId="0" borderId="18" xfId="0" applyFont="1" applyFill="1" applyBorder="1" applyAlignment="1">
      <alignment vertical="center" wrapText="1"/>
    </xf>
    <xf numFmtId="2" fontId="80" fillId="0" borderId="18" xfId="0" applyNumberFormat="1" applyFont="1" applyFill="1" applyBorder="1" applyAlignment="1">
      <alignment horizontal="center" vertical="center" wrapText="1"/>
    </xf>
    <xf numFmtId="2" fontId="80" fillId="0" borderId="24" xfId="0" applyNumberFormat="1" applyFont="1" applyFill="1" applyBorder="1" applyAlignment="1">
      <alignment horizontal="center" vertical="center" wrapText="1"/>
    </xf>
    <xf numFmtId="0" fontId="78" fillId="0" borderId="17" xfId="0" applyFont="1" applyFill="1" applyBorder="1" applyAlignment="1">
      <alignment vertical="center" wrapText="1"/>
    </xf>
    <xf numFmtId="2" fontId="78" fillId="0" borderId="17" xfId="0" applyNumberFormat="1" applyFont="1" applyFill="1" applyBorder="1" applyAlignment="1">
      <alignment vertical="center" wrapText="1"/>
    </xf>
    <xf numFmtId="0" fontId="81" fillId="0" borderId="0" xfId="0" applyFont="1" applyAlignment="1">
      <alignment vertical="center"/>
    </xf>
    <xf numFmtId="2" fontId="80" fillId="0" borderId="33" xfId="0" applyNumberFormat="1" applyFont="1" applyFill="1" applyBorder="1" applyAlignment="1">
      <alignment horizontal="center" vertical="center" wrapText="1"/>
    </xf>
    <xf numFmtId="2" fontId="80" fillId="0" borderId="34" xfId="0" applyNumberFormat="1" applyFont="1" applyFill="1" applyBorder="1" applyAlignment="1">
      <alignment horizontal="center" vertical="center" wrapText="1"/>
    </xf>
    <xf numFmtId="2" fontId="80" fillId="0" borderId="32" xfId="0" applyNumberFormat="1" applyFont="1" applyFill="1" applyBorder="1" applyAlignment="1">
      <alignment horizontal="center" vertical="center" wrapText="1"/>
    </xf>
    <xf numFmtId="2" fontId="80" fillId="0" borderId="29" xfId="0" applyNumberFormat="1" applyFont="1" applyFill="1" applyBorder="1" applyAlignment="1">
      <alignment horizontal="center" vertical="center" wrapText="1"/>
    </xf>
    <xf numFmtId="0" fontId="78" fillId="0" borderId="28" xfId="0" applyFont="1" applyFill="1" applyBorder="1" applyAlignment="1">
      <alignment vertical="center" wrapText="1"/>
    </xf>
    <xf numFmtId="2" fontId="80" fillId="0" borderId="30" xfId="0" applyNumberFormat="1" applyFont="1" applyFill="1" applyBorder="1" applyAlignment="1">
      <alignment horizontal="center" vertical="center" wrapText="1"/>
    </xf>
    <xf numFmtId="2" fontId="80" fillId="0" borderId="94" xfId="0" applyNumberFormat="1" applyFont="1" applyFill="1" applyBorder="1" applyAlignment="1">
      <alignment horizontal="center" vertical="center" wrapText="1"/>
    </xf>
    <xf numFmtId="2" fontId="78" fillId="0" borderId="28" xfId="0" applyNumberFormat="1" applyFont="1" applyFill="1" applyBorder="1" applyAlignment="1">
      <alignment vertical="center" wrapText="1"/>
    </xf>
    <xf numFmtId="2" fontId="80" fillId="0" borderId="22" xfId="0" applyNumberFormat="1" applyFont="1" applyFill="1" applyBorder="1" applyAlignment="1">
      <alignment horizontal="center" vertical="center" wrapText="1"/>
    </xf>
    <xf numFmtId="0" fontId="78" fillId="44" borderId="52" xfId="0" applyFont="1" applyFill="1" applyBorder="1" applyAlignment="1">
      <alignment vertical="center"/>
    </xf>
    <xf numFmtId="0" fontId="78" fillId="44" borderId="36" xfId="0" applyFont="1" applyFill="1" applyBorder="1" applyAlignment="1">
      <alignment vertical="center" wrapText="1"/>
    </xf>
    <xf numFmtId="0" fontId="78" fillId="44" borderId="36" xfId="0" applyFont="1" applyFill="1" applyBorder="1" applyAlignment="1">
      <alignment vertical="center"/>
    </xf>
    <xf numFmtId="2" fontId="78" fillId="44" borderId="36" xfId="0" applyNumberFormat="1" applyFont="1" applyFill="1" applyBorder="1" applyAlignment="1">
      <alignment horizontal="center" vertical="center"/>
    </xf>
    <xf numFmtId="2" fontId="78" fillId="44" borderId="36" xfId="0" applyNumberFormat="1" applyFont="1" applyFill="1" applyBorder="1" applyAlignment="1">
      <alignment vertical="center"/>
    </xf>
    <xf numFmtId="0" fontId="78" fillId="44" borderId="40" xfId="0" applyFont="1" applyFill="1" applyBorder="1" applyAlignment="1">
      <alignment vertical="center"/>
    </xf>
    <xf numFmtId="0" fontId="78" fillId="33" borderId="37" xfId="0" applyFont="1" applyFill="1" applyBorder="1" applyAlignment="1">
      <alignment vertical="center" wrapText="1"/>
    </xf>
    <xf numFmtId="0" fontId="79" fillId="33" borderId="65" xfId="0" applyFont="1" applyFill="1" applyBorder="1" applyAlignment="1">
      <alignment vertical="center" wrapText="1"/>
    </xf>
    <xf numFmtId="2" fontId="79" fillId="33" borderId="65" xfId="0" applyNumberFormat="1" applyFont="1" applyFill="1" applyBorder="1" applyAlignment="1">
      <alignment vertical="center" wrapText="1"/>
    </xf>
    <xf numFmtId="0" fontId="79" fillId="33" borderId="35" xfId="0" applyFont="1" applyFill="1" applyBorder="1" applyAlignment="1">
      <alignment vertical="center" wrapText="1"/>
    </xf>
    <xf numFmtId="0" fontId="78" fillId="33" borderId="51" xfId="0" applyFont="1" applyFill="1" applyBorder="1" applyAlignment="1">
      <alignment vertical="center" wrapText="1"/>
    </xf>
    <xf numFmtId="0" fontId="79" fillId="33" borderId="0" xfId="0" applyFont="1" applyFill="1" applyBorder="1" applyAlignment="1">
      <alignment vertical="center" wrapText="1"/>
    </xf>
    <xf numFmtId="2" fontId="79" fillId="33" borderId="0" xfId="0" applyNumberFormat="1" applyFont="1" applyFill="1" applyBorder="1" applyAlignment="1">
      <alignment horizontal="center" vertical="center" wrapText="1"/>
    </xf>
    <xf numFmtId="2" fontId="79" fillId="33" borderId="0" xfId="0" applyNumberFormat="1" applyFont="1" applyFill="1" applyBorder="1" applyAlignment="1">
      <alignment vertical="center" wrapText="1"/>
    </xf>
    <xf numFmtId="0" fontId="79" fillId="33" borderId="57" xfId="0" applyFont="1" applyFill="1" applyBorder="1" applyAlignment="1">
      <alignment vertical="center" wrapText="1"/>
    </xf>
    <xf numFmtId="0" fontId="78" fillId="33" borderId="51" xfId="0" applyFont="1" applyFill="1" applyBorder="1" applyAlignment="1">
      <alignment vertical="center"/>
    </xf>
    <xf numFmtId="0" fontId="78" fillId="33" borderId="0" xfId="0" applyFont="1" applyFill="1" applyBorder="1" applyAlignment="1">
      <alignment vertical="center" wrapText="1"/>
    </xf>
    <xf numFmtId="0" fontId="78" fillId="33" borderId="0" xfId="0" applyFont="1" applyFill="1" applyBorder="1" applyAlignment="1">
      <alignment vertical="center"/>
    </xf>
    <xf numFmtId="2" fontId="78" fillId="33" borderId="0" xfId="0" applyNumberFormat="1" applyFont="1" applyFill="1" applyBorder="1" applyAlignment="1">
      <alignment horizontal="center" vertical="center"/>
    </xf>
    <xf numFmtId="2" fontId="78" fillId="33" borderId="0" xfId="0" applyNumberFormat="1" applyFont="1" applyFill="1" applyBorder="1" applyAlignment="1">
      <alignment vertical="center"/>
    </xf>
    <xf numFmtId="0" fontId="78" fillId="33" borderId="57" xfId="0" applyFont="1" applyFill="1" applyBorder="1" applyAlignment="1">
      <alignment vertical="center"/>
    </xf>
    <xf numFmtId="0" fontId="78" fillId="45" borderId="37" xfId="0" applyFont="1" applyFill="1" applyBorder="1" applyAlignment="1">
      <alignment vertical="center" wrapText="1"/>
    </xf>
    <xf numFmtId="0" fontId="79" fillId="45" borderId="65" xfId="0" applyFont="1" applyFill="1" applyBorder="1" applyAlignment="1">
      <alignment vertical="center" wrapText="1"/>
    </xf>
    <xf numFmtId="2" fontId="79" fillId="45" borderId="65" xfId="0" applyNumberFormat="1" applyFont="1" applyFill="1" applyBorder="1" applyAlignment="1">
      <alignment vertical="center" wrapText="1"/>
    </xf>
    <xf numFmtId="0" fontId="79" fillId="45" borderId="35" xfId="0" applyFont="1" applyFill="1" applyBorder="1" applyAlignment="1">
      <alignment vertical="center" wrapText="1"/>
    </xf>
    <xf numFmtId="0" fontId="78" fillId="45" borderId="51" xfId="0" applyFont="1" applyFill="1" applyBorder="1" applyAlignment="1">
      <alignment vertical="center" wrapText="1"/>
    </xf>
    <xf numFmtId="0" fontId="79" fillId="45" borderId="0" xfId="0" applyFont="1" applyFill="1" applyBorder="1" applyAlignment="1">
      <alignment vertical="center" wrapText="1"/>
    </xf>
    <xf numFmtId="2" fontId="79" fillId="45" borderId="0" xfId="0" applyNumberFormat="1" applyFont="1" applyFill="1" applyBorder="1" applyAlignment="1">
      <alignment horizontal="center" vertical="center" wrapText="1"/>
    </xf>
    <xf numFmtId="2" fontId="79" fillId="45" borderId="0" xfId="0" applyNumberFormat="1" applyFont="1" applyFill="1" applyBorder="1" applyAlignment="1">
      <alignment vertical="center" wrapText="1"/>
    </xf>
    <xf numFmtId="0" fontId="79" fillId="45" borderId="57" xfId="0" applyFont="1" applyFill="1" applyBorder="1" applyAlignment="1">
      <alignment vertical="center" wrapText="1"/>
    </xf>
    <xf numFmtId="0" fontId="78" fillId="45" borderId="51" xfId="0" applyFont="1" applyFill="1" applyBorder="1" applyAlignment="1">
      <alignment vertical="center"/>
    </xf>
    <xf numFmtId="0" fontId="78" fillId="45" borderId="0" xfId="0" applyFont="1" applyFill="1" applyBorder="1" applyAlignment="1">
      <alignment vertical="center" wrapText="1"/>
    </xf>
    <xf numFmtId="0" fontId="78" fillId="45" borderId="0" xfId="0" applyFont="1" applyFill="1" applyBorder="1" applyAlignment="1">
      <alignment vertical="center"/>
    </xf>
    <xf numFmtId="2" fontId="78" fillId="45" borderId="0" xfId="0" applyNumberFormat="1" applyFont="1" applyFill="1" applyBorder="1" applyAlignment="1">
      <alignment horizontal="center" vertical="center"/>
    </xf>
    <xf numFmtId="2" fontId="78" fillId="45" borderId="0" xfId="0" applyNumberFormat="1" applyFont="1" applyFill="1" applyBorder="1" applyAlignment="1">
      <alignment vertical="center"/>
    </xf>
    <xf numFmtId="0" fontId="78" fillId="45" borderId="57" xfId="0" applyFont="1" applyFill="1" applyBorder="1" applyAlignment="1">
      <alignment vertical="center"/>
    </xf>
    <xf numFmtId="0" fontId="78" fillId="24" borderId="37" xfId="0" applyFont="1" applyFill="1" applyBorder="1" applyAlignment="1">
      <alignment vertical="center" wrapText="1"/>
    </xf>
    <xf numFmtId="0" fontId="79" fillId="24" borderId="65" xfId="0" applyFont="1" applyFill="1" applyBorder="1" applyAlignment="1">
      <alignment vertical="center" wrapText="1"/>
    </xf>
    <xf numFmtId="2" fontId="79" fillId="24" borderId="65" xfId="0" applyNumberFormat="1" applyFont="1" applyFill="1" applyBorder="1" applyAlignment="1">
      <alignment vertical="center" wrapText="1"/>
    </xf>
    <xf numFmtId="0" fontId="79" fillId="24" borderId="35" xfId="0" applyFont="1" applyFill="1" applyBorder="1" applyAlignment="1">
      <alignment vertical="center" wrapText="1"/>
    </xf>
    <xf numFmtId="0" fontId="78" fillId="24" borderId="51" xfId="0" applyFont="1" applyFill="1" applyBorder="1" applyAlignment="1">
      <alignment vertical="center" wrapText="1"/>
    </xf>
    <xf numFmtId="0" fontId="79" fillId="24" borderId="0" xfId="0" applyFont="1" applyFill="1" applyBorder="1" applyAlignment="1">
      <alignment vertical="center" wrapText="1"/>
    </xf>
    <xf numFmtId="2" fontId="79" fillId="24" borderId="0" xfId="0" applyNumberFormat="1" applyFont="1" applyFill="1" applyBorder="1" applyAlignment="1">
      <alignment horizontal="center" vertical="center" wrapText="1"/>
    </xf>
    <xf numFmtId="2" fontId="79" fillId="24" borderId="0" xfId="0" applyNumberFormat="1" applyFont="1" applyFill="1" applyBorder="1" applyAlignment="1">
      <alignment vertical="center" wrapText="1"/>
    </xf>
    <xf numFmtId="0" fontId="79" fillId="24" borderId="57" xfId="0" applyFont="1" applyFill="1" applyBorder="1" applyAlignment="1">
      <alignment vertical="center" wrapText="1"/>
    </xf>
    <xf numFmtId="0" fontId="78" fillId="24" borderId="51" xfId="0" applyFont="1" applyFill="1" applyBorder="1" applyAlignment="1">
      <alignment vertical="center"/>
    </xf>
    <xf numFmtId="0" fontId="78" fillId="24" borderId="0" xfId="0" applyFont="1" applyFill="1" applyBorder="1" applyAlignment="1">
      <alignment vertical="center" wrapText="1"/>
    </xf>
    <xf numFmtId="0" fontId="78" fillId="24" borderId="0" xfId="0" applyFont="1" applyFill="1" applyBorder="1" applyAlignment="1">
      <alignment vertical="center"/>
    </xf>
    <xf numFmtId="2" fontId="78" fillId="24" borderId="0" xfId="0" applyNumberFormat="1" applyFont="1" applyFill="1" applyBorder="1" applyAlignment="1">
      <alignment horizontal="center" vertical="center"/>
    </xf>
    <xf numFmtId="2" fontId="78" fillId="24" borderId="0" xfId="0" applyNumberFormat="1" applyFont="1" applyFill="1" applyBorder="1" applyAlignment="1">
      <alignment vertical="center"/>
    </xf>
    <xf numFmtId="0" fontId="78" fillId="24" borderId="57" xfId="0" applyFont="1" applyFill="1" applyBorder="1" applyAlignment="1">
      <alignment vertical="center"/>
    </xf>
    <xf numFmtId="0" fontId="78" fillId="32" borderId="37" xfId="0" applyFont="1" applyFill="1" applyBorder="1" applyAlignment="1">
      <alignment vertical="center" wrapText="1"/>
    </xf>
    <xf numFmtId="0" fontId="79" fillId="32" borderId="65" xfId="0" applyFont="1" applyFill="1" applyBorder="1" applyAlignment="1">
      <alignment vertical="center" wrapText="1"/>
    </xf>
    <xf numFmtId="2" fontId="79" fillId="32" borderId="65" xfId="0" applyNumberFormat="1" applyFont="1" applyFill="1" applyBorder="1" applyAlignment="1">
      <alignment vertical="center" wrapText="1"/>
    </xf>
    <xf numFmtId="0" fontId="79" fillId="32" borderId="35" xfId="0" applyFont="1" applyFill="1" applyBorder="1" applyAlignment="1">
      <alignment vertical="center" wrapText="1"/>
    </xf>
    <xf numFmtId="0" fontId="78" fillId="32" borderId="51" xfId="0" applyFont="1" applyFill="1" applyBorder="1" applyAlignment="1">
      <alignment vertical="center" wrapText="1"/>
    </xf>
    <xf numFmtId="0" fontId="79" fillId="32" borderId="0" xfId="0" applyFont="1" applyFill="1" applyBorder="1" applyAlignment="1">
      <alignment vertical="center" wrapText="1"/>
    </xf>
    <xf numFmtId="2" fontId="79" fillId="32" borderId="0" xfId="0" applyNumberFormat="1" applyFont="1" applyFill="1" applyBorder="1" applyAlignment="1">
      <alignment horizontal="center" vertical="center" wrapText="1"/>
    </xf>
    <xf numFmtId="2" fontId="79" fillId="32" borderId="0" xfId="0" applyNumberFormat="1" applyFont="1" applyFill="1" applyBorder="1" applyAlignment="1">
      <alignment vertical="center" wrapText="1"/>
    </xf>
    <xf numFmtId="0" fontId="79" fillId="32" borderId="57" xfId="0" applyFont="1" applyFill="1" applyBorder="1" applyAlignment="1">
      <alignment vertical="center" wrapText="1"/>
    </xf>
    <xf numFmtId="0" fontId="78" fillId="32" borderId="51" xfId="0" applyFont="1" applyFill="1" applyBorder="1" applyAlignment="1">
      <alignment vertical="center"/>
    </xf>
    <xf numFmtId="0" fontId="78" fillId="32" borderId="52" xfId="0" applyFont="1" applyFill="1" applyBorder="1" applyAlignment="1">
      <alignment vertical="center"/>
    </xf>
    <xf numFmtId="0" fontId="78" fillId="32" borderId="36" xfId="0" applyFont="1" applyFill="1" applyBorder="1" applyAlignment="1">
      <alignment vertical="center" wrapText="1"/>
    </xf>
    <xf numFmtId="0" fontId="78" fillId="32" borderId="36" xfId="0" applyFont="1" applyFill="1" applyBorder="1" applyAlignment="1">
      <alignment vertical="center"/>
    </xf>
    <xf numFmtId="2" fontId="78" fillId="32" borderId="36" xfId="0" applyNumberFormat="1" applyFont="1" applyFill="1" applyBorder="1" applyAlignment="1">
      <alignment horizontal="center" vertical="center"/>
    </xf>
    <xf numFmtId="2" fontId="78" fillId="32" borderId="36" xfId="0" applyNumberFormat="1" applyFont="1" applyFill="1" applyBorder="1" applyAlignment="1">
      <alignment vertical="center"/>
    </xf>
    <xf numFmtId="0" fontId="78" fillId="32" borderId="40" xfId="0" applyFont="1" applyFill="1" applyBorder="1" applyAlignment="1">
      <alignment vertical="center"/>
    </xf>
    <xf numFmtId="2" fontId="78" fillId="0" borderId="0" xfId="0" applyNumberFormat="1" applyFont="1" applyAlignment="1">
      <alignment horizontal="center" vertical="center"/>
    </xf>
    <xf numFmtId="2" fontId="78" fillId="0" borderId="0" xfId="0" applyNumberFormat="1" applyFont="1" applyAlignment="1">
      <alignment vertical="center"/>
    </xf>
    <xf numFmtId="0" fontId="0" fillId="28" borderId="0" xfId="0" applyFill="1" applyBorder="1" applyAlignment="1"/>
    <xf numFmtId="0" fontId="50" fillId="28" borderId="0" xfId="0" applyFont="1" applyFill="1" applyBorder="1" applyAlignment="1"/>
    <xf numFmtId="0" fontId="0" fillId="0" borderId="41" xfId="0" applyFont="1" applyBorder="1" applyAlignment="1">
      <alignment horizontal="right"/>
    </xf>
    <xf numFmtId="0" fontId="0" fillId="0" borderId="41" xfId="0" applyFont="1" applyBorder="1" applyAlignment="1">
      <alignment horizontal="right" wrapText="1"/>
    </xf>
    <xf numFmtId="0" fontId="0" fillId="0" borderId="56" xfId="0" applyFont="1" applyBorder="1" applyAlignment="1">
      <alignment horizontal="right" wrapText="1"/>
    </xf>
    <xf numFmtId="0" fontId="0" fillId="0" borderId="88" xfId="0" applyFont="1" applyBorder="1" applyAlignment="1">
      <alignment horizontal="right"/>
    </xf>
    <xf numFmtId="0" fontId="0" fillId="0" borderId="56" xfId="0" applyFont="1" applyBorder="1" applyAlignment="1">
      <alignment horizontal="right"/>
    </xf>
    <xf numFmtId="0" fontId="0" fillId="0" borderId="52" xfId="0" applyFont="1" applyBorder="1" applyAlignment="1">
      <alignment horizontal="right"/>
    </xf>
    <xf numFmtId="0" fontId="0" fillId="0" borderId="43" xfId="0" applyBorder="1" applyAlignment="1">
      <alignment horizontal="right"/>
    </xf>
    <xf numFmtId="0" fontId="1" fillId="0" borderId="23" xfId="0" applyFont="1" applyFill="1" applyBorder="1" applyAlignment="1"/>
    <xf numFmtId="0" fontId="82" fillId="0" borderId="0" xfId="0" applyFont="1"/>
    <xf numFmtId="0" fontId="82" fillId="0" borderId="0" xfId="0" applyFont="1" applyAlignment="1">
      <alignment horizontal="center" vertical="center" wrapText="1"/>
    </xf>
    <xf numFmtId="0" fontId="82" fillId="0" borderId="0" xfId="0" applyFont="1" applyFill="1" applyBorder="1"/>
    <xf numFmtId="0" fontId="83" fillId="0" borderId="0" xfId="0" applyFont="1" applyFill="1" applyBorder="1" applyAlignment="1"/>
    <xf numFmtId="0" fontId="84" fillId="23" borderId="35" xfId="0" applyFont="1" applyFill="1" applyBorder="1" applyAlignment="1"/>
    <xf numFmtId="0" fontId="84" fillId="0" borderId="0" xfId="0" applyFont="1" applyFill="1" applyBorder="1" applyAlignment="1">
      <alignment horizontal="center"/>
    </xf>
    <xf numFmtId="0" fontId="84" fillId="0" borderId="0" xfId="0" applyFont="1" applyFill="1" applyBorder="1" applyAlignment="1"/>
    <xf numFmtId="0" fontId="85" fillId="19" borderId="17" xfId="0" applyFont="1" applyFill="1" applyBorder="1" applyAlignment="1">
      <alignment horizontal="center" vertical="center" wrapText="1"/>
    </xf>
    <xf numFmtId="0" fontId="85" fillId="19" borderId="44" xfId="0" applyFont="1" applyFill="1" applyBorder="1" applyAlignment="1">
      <alignment horizontal="center" vertical="center" wrapText="1"/>
    </xf>
    <xf numFmtId="0" fontId="85" fillId="0" borderId="0" xfId="0" applyFont="1" applyFill="1" applyBorder="1" applyAlignment="1">
      <alignment horizontal="center" vertical="center" wrapText="1"/>
    </xf>
    <xf numFmtId="0" fontId="82" fillId="24" borderId="73" xfId="0" applyFont="1" applyFill="1" applyBorder="1" applyAlignment="1">
      <alignment horizontal="center"/>
    </xf>
    <xf numFmtId="2" fontId="82" fillId="24" borderId="23" xfId="0" applyNumberFormat="1" applyFont="1" applyFill="1" applyBorder="1" applyAlignment="1">
      <alignment horizontal="center"/>
    </xf>
    <xf numFmtId="2" fontId="82" fillId="24" borderId="85" xfId="0" applyNumberFormat="1" applyFont="1" applyFill="1" applyBorder="1" applyAlignment="1">
      <alignment horizontal="center"/>
    </xf>
    <xf numFmtId="2" fontId="82" fillId="24" borderId="47" xfId="0" applyNumberFormat="1" applyFont="1" applyFill="1" applyBorder="1" applyAlignment="1">
      <alignment horizontal="center"/>
    </xf>
    <xf numFmtId="2" fontId="82" fillId="24" borderId="46" xfId="0" applyNumberFormat="1" applyFont="1" applyFill="1" applyBorder="1" applyAlignment="1">
      <alignment horizontal="center"/>
    </xf>
    <xf numFmtId="2" fontId="82" fillId="0" borderId="0" xfId="0" applyNumberFormat="1" applyFont="1" applyFill="1" applyBorder="1" applyAlignment="1">
      <alignment horizontal="center"/>
    </xf>
    <xf numFmtId="0" fontId="82" fillId="24" borderId="72" xfId="0" applyFont="1" applyFill="1" applyBorder="1" applyAlignment="1">
      <alignment horizontal="center"/>
    </xf>
    <xf numFmtId="10" fontId="82" fillId="24" borderId="15" xfId="0" applyNumberFormat="1" applyFont="1" applyFill="1" applyBorder="1" applyAlignment="1">
      <alignment horizontal="center"/>
    </xf>
    <xf numFmtId="10" fontId="82" fillId="24" borderId="87" xfId="0" applyNumberFormat="1" applyFont="1" applyFill="1" applyBorder="1" applyAlignment="1">
      <alignment horizontal="center"/>
    </xf>
    <xf numFmtId="10" fontId="82" fillId="24" borderId="42" xfId="0" applyNumberFormat="1" applyFont="1" applyFill="1" applyBorder="1" applyAlignment="1">
      <alignment horizontal="center"/>
    </xf>
    <xf numFmtId="10" fontId="82" fillId="24" borderId="43" xfId="0" applyNumberFormat="1" applyFont="1" applyFill="1" applyBorder="1" applyAlignment="1">
      <alignment horizontal="center"/>
    </xf>
    <xf numFmtId="10" fontId="82" fillId="0" borderId="0" xfId="0" applyNumberFormat="1" applyFont="1" applyFill="1" applyBorder="1" applyAlignment="1">
      <alignment horizontal="center"/>
    </xf>
    <xf numFmtId="165" fontId="82" fillId="0" borderId="0" xfId="0" applyNumberFormat="1" applyFont="1" applyFill="1" applyBorder="1" applyAlignment="1">
      <alignment horizontal="center"/>
    </xf>
    <xf numFmtId="0" fontId="82" fillId="27" borderId="33" xfId="0" applyFont="1" applyFill="1" applyBorder="1" applyAlignment="1">
      <alignment horizontal="center"/>
    </xf>
    <xf numFmtId="2" fontId="82" fillId="27" borderId="15" xfId="0" applyNumberFormat="1" applyFont="1" applyFill="1" applyBorder="1" applyAlignment="1">
      <alignment horizontal="center"/>
    </xf>
    <xf numFmtId="2" fontId="82" fillId="27" borderId="87" xfId="0" applyNumberFormat="1" applyFont="1" applyFill="1" applyBorder="1" applyAlignment="1">
      <alignment horizontal="center"/>
    </xf>
    <xf numFmtId="2" fontId="82" fillId="27" borderId="42" xfId="0" applyNumberFormat="1" applyFont="1" applyFill="1" applyBorder="1" applyAlignment="1">
      <alignment horizontal="center"/>
    </xf>
    <xf numFmtId="2" fontId="82" fillId="27" borderId="43" xfId="0" applyNumberFormat="1" applyFont="1" applyFill="1" applyBorder="1" applyAlignment="1">
      <alignment horizontal="center"/>
    </xf>
    <xf numFmtId="10" fontId="82" fillId="27" borderId="15" xfId="0" applyNumberFormat="1" applyFont="1" applyFill="1" applyBorder="1" applyAlignment="1">
      <alignment horizontal="center"/>
    </xf>
    <xf numFmtId="10" fontId="82" fillId="27" borderId="87" xfId="0" applyNumberFormat="1" applyFont="1" applyFill="1" applyBorder="1" applyAlignment="1">
      <alignment horizontal="center"/>
    </xf>
    <xf numFmtId="10" fontId="82" fillId="27" borderId="42" xfId="0" applyNumberFormat="1" applyFont="1" applyFill="1" applyBorder="1" applyAlignment="1">
      <alignment horizontal="center"/>
    </xf>
    <xf numFmtId="10" fontId="82" fillId="27" borderId="43" xfId="0" applyNumberFormat="1" applyFont="1" applyFill="1" applyBorder="1" applyAlignment="1">
      <alignment horizontal="center"/>
    </xf>
    <xf numFmtId="2" fontId="87" fillId="27" borderId="15" xfId="0" applyNumberFormat="1" applyFont="1" applyFill="1" applyBorder="1" applyAlignment="1">
      <alignment horizontal="center"/>
    </xf>
    <xf numFmtId="2" fontId="87" fillId="27" borderId="87" xfId="0" applyNumberFormat="1" applyFont="1" applyFill="1" applyBorder="1" applyAlignment="1">
      <alignment horizontal="center"/>
    </xf>
    <xf numFmtId="2" fontId="87" fillId="27" borderId="42" xfId="0" applyNumberFormat="1" applyFont="1" applyFill="1" applyBorder="1" applyAlignment="1">
      <alignment horizontal="center"/>
    </xf>
    <xf numFmtId="2" fontId="87" fillId="27" borderId="43" xfId="0" applyNumberFormat="1" applyFont="1" applyFill="1" applyBorder="1" applyAlignment="1">
      <alignment horizontal="center"/>
    </xf>
    <xf numFmtId="2" fontId="87" fillId="0" borderId="0" xfId="0" applyNumberFormat="1" applyFont="1" applyFill="1" applyBorder="1" applyAlignment="1">
      <alignment horizontal="center"/>
    </xf>
    <xf numFmtId="0" fontId="82" fillId="27" borderId="94" xfId="0" applyFont="1" applyFill="1" applyBorder="1" applyAlignment="1">
      <alignment horizontal="center"/>
    </xf>
    <xf numFmtId="10" fontId="87" fillId="27" borderId="28" xfId="0" applyNumberFormat="1" applyFont="1" applyFill="1" applyBorder="1" applyAlignment="1">
      <alignment horizontal="center"/>
    </xf>
    <xf numFmtId="10" fontId="87" fillId="27" borderId="89" xfId="0" applyNumberFormat="1" applyFont="1" applyFill="1" applyBorder="1" applyAlignment="1">
      <alignment horizontal="center"/>
    </xf>
    <xf numFmtId="10" fontId="87" fillId="27" borderId="93" xfId="0" applyNumberFormat="1" applyFont="1" applyFill="1" applyBorder="1" applyAlignment="1">
      <alignment horizontal="center"/>
    </xf>
    <xf numFmtId="10" fontId="87" fillId="27" borderId="61" xfId="0" applyNumberFormat="1" applyFont="1" applyFill="1" applyBorder="1" applyAlignment="1">
      <alignment horizontal="center"/>
    </xf>
    <xf numFmtId="10" fontId="87" fillId="0" borderId="0" xfId="0" applyNumberFormat="1" applyFont="1" applyFill="1" applyBorder="1" applyAlignment="1">
      <alignment horizontal="center"/>
    </xf>
    <xf numFmtId="0" fontId="84" fillId="0" borderId="72" xfId="0" applyFont="1" applyBorder="1" applyAlignment="1">
      <alignment horizontal="center" vertical="center"/>
    </xf>
    <xf numFmtId="2" fontId="84" fillId="0" borderId="15" xfId="0" applyNumberFormat="1" applyFont="1" applyBorder="1" applyAlignment="1">
      <alignment horizontal="center" vertical="center"/>
    </xf>
    <xf numFmtId="2" fontId="84" fillId="0" borderId="87" xfId="0" applyNumberFormat="1" applyFont="1" applyBorder="1" applyAlignment="1">
      <alignment horizontal="center" vertical="center"/>
    </xf>
    <xf numFmtId="2" fontId="84" fillId="0" borderId="42" xfId="0" applyNumberFormat="1" applyFont="1" applyBorder="1" applyAlignment="1">
      <alignment horizontal="center" vertical="center"/>
    </xf>
    <xf numFmtId="2" fontId="84" fillId="0" borderId="43" xfId="0" applyNumberFormat="1" applyFont="1" applyBorder="1" applyAlignment="1">
      <alignment horizontal="center" vertical="center"/>
    </xf>
    <xf numFmtId="2" fontId="84" fillId="0" borderId="0" xfId="0" applyNumberFormat="1" applyFont="1" applyFill="1" applyBorder="1" applyAlignment="1">
      <alignment horizontal="center" vertical="center"/>
    </xf>
    <xf numFmtId="0" fontId="82" fillId="0" borderId="0" xfId="0" applyFont="1" applyFill="1" applyBorder="1" applyAlignment="1">
      <alignment vertical="center"/>
    </xf>
    <xf numFmtId="0" fontId="82" fillId="0" borderId="0" xfId="0" applyFont="1" applyAlignment="1">
      <alignment vertical="center"/>
    </xf>
    <xf numFmtId="0" fontId="84" fillId="0" borderId="36" xfId="0" applyFont="1" applyBorder="1" applyAlignment="1">
      <alignment horizontal="center"/>
    </xf>
    <xf numFmtId="2" fontId="84" fillId="0" borderId="50" xfId="0" applyNumberFormat="1" applyFont="1" applyBorder="1" applyAlignment="1">
      <alignment horizontal="center"/>
    </xf>
    <xf numFmtId="2" fontId="84" fillId="0" borderId="40" xfId="0" applyNumberFormat="1" applyFont="1" applyBorder="1" applyAlignment="1">
      <alignment horizontal="center"/>
    </xf>
    <xf numFmtId="2" fontId="84" fillId="0" borderId="17" xfId="0" applyNumberFormat="1" applyFont="1" applyBorder="1" applyAlignment="1">
      <alignment horizontal="center"/>
    </xf>
    <xf numFmtId="2" fontId="84" fillId="0" borderId="44" xfId="0" applyNumberFormat="1" applyFont="1" applyBorder="1" applyAlignment="1">
      <alignment horizontal="center"/>
    </xf>
    <xf numFmtId="2" fontId="84" fillId="0" borderId="0" xfId="0" applyNumberFormat="1" applyFont="1" applyFill="1" applyBorder="1" applyAlignment="1">
      <alignment horizontal="center"/>
    </xf>
    <xf numFmtId="0" fontId="82" fillId="0" borderId="0" xfId="0" applyFont="1" applyFill="1"/>
    <xf numFmtId="0" fontId="82" fillId="32" borderId="32" xfId="0" applyFont="1" applyFill="1" applyBorder="1" applyAlignment="1">
      <alignment horizontal="center"/>
    </xf>
    <xf numFmtId="2" fontId="82" fillId="32" borderId="23" xfId="0" applyNumberFormat="1" applyFont="1" applyFill="1" applyBorder="1" applyAlignment="1">
      <alignment horizontal="center"/>
    </xf>
    <xf numFmtId="2" fontId="82" fillId="32" borderId="85" xfId="0" applyNumberFormat="1" applyFont="1" applyFill="1" applyBorder="1" applyAlignment="1">
      <alignment horizontal="center"/>
    </xf>
    <xf numFmtId="2" fontId="82" fillId="32" borderId="46" xfId="0" applyNumberFormat="1" applyFont="1" applyFill="1" applyBorder="1" applyAlignment="1">
      <alignment horizontal="center"/>
    </xf>
    <xf numFmtId="164" fontId="82" fillId="0" borderId="0" xfId="0" applyNumberFormat="1" applyFont="1" applyFill="1" applyBorder="1" applyAlignment="1">
      <alignment horizontal="center"/>
    </xf>
    <xf numFmtId="0" fontId="82" fillId="32" borderId="33" xfId="0" applyFont="1" applyFill="1" applyBorder="1" applyAlignment="1">
      <alignment horizontal="center"/>
    </xf>
    <xf numFmtId="2" fontId="82" fillId="32" borderId="15" xfId="0" applyNumberFormat="1" applyFont="1" applyFill="1" applyBorder="1" applyAlignment="1">
      <alignment horizontal="center"/>
    </xf>
    <xf numFmtId="2" fontId="82" fillId="32" borderId="87" xfId="0" applyNumberFormat="1" applyFont="1" applyFill="1" applyBorder="1" applyAlignment="1">
      <alignment horizontal="center"/>
    </xf>
    <xf numFmtId="2" fontId="82" fillId="32" borderId="42" xfId="0" applyNumberFormat="1" applyFont="1" applyFill="1" applyBorder="1" applyAlignment="1">
      <alignment horizontal="center"/>
    </xf>
    <xf numFmtId="2" fontId="82" fillId="32" borderId="43" xfId="0" applyNumberFormat="1" applyFont="1" applyFill="1" applyBorder="1" applyAlignment="1">
      <alignment horizontal="center"/>
    </xf>
    <xf numFmtId="0" fontId="82" fillId="32" borderId="34" xfId="0" applyFont="1" applyFill="1" applyBorder="1" applyAlignment="1">
      <alignment horizontal="center"/>
    </xf>
    <xf numFmtId="10" fontId="82" fillId="32" borderId="17" xfId="0" applyNumberFormat="1" applyFont="1" applyFill="1" applyBorder="1" applyAlignment="1">
      <alignment horizontal="center"/>
    </xf>
    <xf numFmtId="10" fontId="82" fillId="32" borderId="95" xfId="0" applyNumberFormat="1" applyFont="1" applyFill="1" applyBorder="1" applyAlignment="1">
      <alignment horizontal="center"/>
    </xf>
    <xf numFmtId="10" fontId="82" fillId="32" borderId="44" xfId="0" applyNumberFormat="1" applyFont="1" applyFill="1" applyBorder="1" applyAlignment="1">
      <alignment horizontal="center"/>
    </xf>
    <xf numFmtId="10" fontId="82" fillId="32" borderId="45" xfId="0" applyNumberFormat="1" applyFont="1" applyFill="1" applyBorder="1" applyAlignment="1">
      <alignment horizontal="center"/>
    </xf>
    <xf numFmtId="0" fontId="82" fillId="0" borderId="0" xfId="0" applyFont="1" applyBorder="1"/>
    <xf numFmtId="0" fontId="82" fillId="0" borderId="0" xfId="0" applyFont="1" applyBorder="1" applyAlignment="1">
      <alignment horizontal="center" vertical="center" wrapText="1"/>
    </xf>
    <xf numFmtId="0" fontId="82" fillId="0" borderId="0" xfId="0" applyFont="1" applyBorder="1" applyAlignment="1">
      <alignment horizontal="center"/>
    </xf>
    <xf numFmtId="2" fontId="82" fillId="0" borderId="0" xfId="0" applyNumberFormat="1" applyFont="1"/>
    <xf numFmtId="2" fontId="82" fillId="0" borderId="0" xfId="0" applyNumberFormat="1" applyFont="1" applyFill="1" applyBorder="1"/>
    <xf numFmtId="2" fontId="82" fillId="24" borderId="72" xfId="0" applyNumberFormat="1" applyFont="1" applyFill="1" applyBorder="1" applyAlignment="1">
      <alignment horizontal="center"/>
    </xf>
    <xf numFmtId="2" fontId="82" fillId="24" borderId="15" xfId="0" applyNumberFormat="1" applyFont="1" applyFill="1" applyBorder="1" applyAlignment="1">
      <alignment horizontal="center"/>
    </xf>
    <xf numFmtId="2" fontId="82" fillId="24" borderId="87" xfId="0" applyNumberFormat="1" applyFont="1" applyFill="1" applyBorder="1" applyAlignment="1">
      <alignment horizontal="center"/>
    </xf>
    <xf numFmtId="2" fontId="82" fillId="24" borderId="42" xfId="0" applyNumberFormat="1" applyFont="1" applyFill="1" applyBorder="1" applyAlignment="1">
      <alignment horizontal="center"/>
    </xf>
    <xf numFmtId="2" fontId="82" fillId="24" borderId="43" xfId="0" applyNumberFormat="1" applyFont="1" applyFill="1" applyBorder="1" applyAlignment="1">
      <alignment horizontal="center"/>
    </xf>
    <xf numFmtId="2" fontId="82" fillId="0" borderId="0" xfId="0" applyNumberFormat="1" applyFont="1" applyFill="1"/>
    <xf numFmtId="2" fontId="82" fillId="27" borderId="33" xfId="0" applyNumberFormat="1" applyFont="1" applyFill="1" applyBorder="1" applyAlignment="1">
      <alignment horizontal="center"/>
    </xf>
    <xf numFmtId="2" fontId="87" fillId="27" borderId="28" xfId="0" applyNumberFormat="1" applyFont="1" applyFill="1" applyBorder="1" applyAlignment="1">
      <alignment horizontal="center"/>
    </xf>
    <xf numFmtId="2" fontId="87" fillId="27" borderId="89" xfId="0" applyNumberFormat="1" applyFont="1" applyFill="1" applyBorder="1" applyAlignment="1">
      <alignment horizontal="center"/>
    </xf>
    <xf numFmtId="2" fontId="87" fillId="27" borderId="93" xfId="0" applyNumberFormat="1" applyFont="1" applyFill="1" applyBorder="1" applyAlignment="1">
      <alignment horizontal="center"/>
    </xf>
    <xf numFmtId="2" fontId="87" fillId="27" borderId="61" xfId="0" applyNumberFormat="1" applyFont="1" applyFill="1" applyBorder="1" applyAlignment="1">
      <alignment horizontal="center"/>
    </xf>
    <xf numFmtId="10" fontId="82" fillId="0" borderId="0" xfId="0" applyNumberFormat="1" applyFont="1" applyBorder="1"/>
    <xf numFmtId="10" fontId="82" fillId="32" borderId="34" xfId="0" applyNumberFormat="1" applyFont="1" applyFill="1" applyBorder="1" applyAlignment="1">
      <alignment horizontal="center"/>
    </xf>
    <xf numFmtId="10" fontId="82" fillId="0" borderId="0" xfId="0" applyNumberFormat="1" applyFont="1" applyFill="1" applyBorder="1"/>
    <xf numFmtId="10" fontId="82" fillId="0" borderId="0" xfId="0" applyNumberFormat="1" applyFont="1"/>
    <xf numFmtId="0" fontId="49" fillId="0" borderId="0" xfId="0" applyFont="1" applyBorder="1" applyAlignment="1">
      <alignment horizontal="right"/>
    </xf>
    <xf numFmtId="0" fontId="27" fillId="41" borderId="35" xfId="0" applyFont="1" applyFill="1" applyBorder="1"/>
    <xf numFmtId="1" fontId="27" fillId="0" borderId="0" xfId="0" applyNumberFormat="1" applyFont="1" applyFill="1" applyBorder="1" applyAlignment="1">
      <alignment horizontal="center"/>
    </xf>
    <xf numFmtId="0" fontId="51" fillId="0" borderId="0" xfId="0" applyFont="1" applyFill="1" applyBorder="1" applyAlignment="1"/>
    <xf numFmtId="2" fontId="0" fillId="0" borderId="0" xfId="0" applyNumberFormat="1" applyFont="1" applyFill="1" applyBorder="1"/>
    <xf numFmtId="2" fontId="53" fillId="0" borderId="0" xfId="0" applyNumberFormat="1" applyFont="1" applyFill="1" applyBorder="1"/>
    <xf numFmtId="2" fontId="38" fillId="0" borderId="46" xfId="0" applyNumberFormat="1" applyFont="1" applyBorder="1"/>
    <xf numFmtId="164" fontId="53" fillId="0" borderId="35" xfId="0" applyNumberFormat="1" applyFont="1" applyBorder="1"/>
    <xf numFmtId="164" fontId="53" fillId="0" borderId="37" xfId="0" applyNumberFormat="1" applyFont="1" applyBorder="1"/>
    <xf numFmtId="164" fontId="53" fillId="0" borderId="65" xfId="0" applyNumberFormat="1" applyFont="1" applyBorder="1"/>
    <xf numFmtId="164" fontId="53" fillId="0" borderId="57" xfId="0" applyNumberFormat="1" applyFont="1" applyBorder="1"/>
    <xf numFmtId="164" fontId="53" fillId="0" borderId="51" xfId="0" applyNumberFormat="1" applyFont="1" applyBorder="1"/>
    <xf numFmtId="164" fontId="53" fillId="0" borderId="0" xfId="0" applyNumberFormat="1" applyFont="1" applyBorder="1"/>
    <xf numFmtId="164" fontId="53" fillId="0" borderId="40" xfId="0" applyNumberFormat="1" applyFont="1" applyBorder="1"/>
    <xf numFmtId="164" fontId="53" fillId="0" borderId="52" xfId="0" applyNumberFormat="1" applyFont="1" applyBorder="1"/>
    <xf numFmtId="164" fontId="53" fillId="0" borderId="36" xfId="0" applyNumberFormat="1" applyFont="1" applyBorder="1"/>
    <xf numFmtId="0" fontId="88" fillId="0" borderId="0" xfId="0" applyFont="1"/>
    <xf numFmtId="0" fontId="88" fillId="0" borderId="0" xfId="0" applyFont="1" applyAlignment="1">
      <alignment horizontal="center" vertical="center" wrapText="1"/>
    </xf>
    <xf numFmtId="0" fontId="90" fillId="21" borderId="35" xfId="0" applyFont="1" applyFill="1" applyBorder="1" applyAlignment="1"/>
    <xf numFmtId="0" fontId="91" fillId="37" borderId="17" xfId="0" applyFont="1" applyFill="1" applyBorder="1" applyAlignment="1">
      <alignment horizontal="center" vertical="center" wrapText="1"/>
    </xf>
    <xf numFmtId="0" fontId="91" fillId="37" borderId="44" xfId="0" applyFont="1" applyFill="1" applyBorder="1" applyAlignment="1">
      <alignment horizontal="center" vertical="center" wrapText="1"/>
    </xf>
    <xf numFmtId="0" fontId="88" fillId="24" borderId="73" xfId="0" applyFont="1" applyFill="1" applyBorder="1" applyAlignment="1">
      <alignment horizontal="center"/>
    </xf>
    <xf numFmtId="2" fontId="88" fillId="24" borderId="23" xfId="0" applyNumberFormat="1" applyFont="1" applyFill="1" applyBorder="1" applyAlignment="1">
      <alignment horizontal="center"/>
    </xf>
    <xf numFmtId="2" fontId="88" fillId="24" borderId="85" xfId="0" applyNumberFormat="1" applyFont="1" applyFill="1" applyBorder="1" applyAlignment="1">
      <alignment horizontal="center"/>
    </xf>
    <xf numFmtId="2" fontId="88" fillId="24" borderId="47" xfId="0" applyNumberFormat="1" applyFont="1" applyFill="1" applyBorder="1" applyAlignment="1">
      <alignment horizontal="center"/>
    </xf>
    <xf numFmtId="2" fontId="88" fillId="24" borderId="46" xfId="0" applyNumberFormat="1" applyFont="1" applyFill="1" applyBorder="1" applyAlignment="1">
      <alignment horizontal="center"/>
    </xf>
    <xf numFmtId="2" fontId="88" fillId="0" borderId="0" xfId="0" applyNumberFormat="1" applyFont="1"/>
    <xf numFmtId="0" fontId="88" fillId="24" borderId="72" xfId="0" applyFont="1" applyFill="1" applyBorder="1" applyAlignment="1">
      <alignment horizontal="center"/>
    </xf>
    <xf numFmtId="10" fontId="88" fillId="24" borderId="15" xfId="0" applyNumberFormat="1" applyFont="1" applyFill="1" applyBorder="1" applyAlignment="1">
      <alignment horizontal="center"/>
    </xf>
    <xf numFmtId="10" fontId="88" fillId="24" borderId="87" xfId="0" applyNumberFormat="1" applyFont="1" applyFill="1" applyBorder="1" applyAlignment="1">
      <alignment horizontal="center"/>
    </xf>
    <xf numFmtId="10" fontId="88" fillId="24" borderId="42" xfId="0" applyNumberFormat="1" applyFont="1" applyFill="1" applyBorder="1" applyAlignment="1">
      <alignment horizontal="center"/>
    </xf>
    <xf numFmtId="10" fontId="88" fillId="24" borderId="43" xfId="0" applyNumberFormat="1" applyFont="1" applyFill="1" applyBorder="1" applyAlignment="1">
      <alignment horizontal="center"/>
    </xf>
    <xf numFmtId="0" fontId="88" fillId="27" borderId="33" xfId="0" applyFont="1" applyFill="1" applyBorder="1" applyAlignment="1">
      <alignment horizontal="center"/>
    </xf>
    <xf numFmtId="2" fontId="88" fillId="27" borderId="15" xfId="0" applyNumberFormat="1" applyFont="1" applyFill="1" applyBorder="1" applyAlignment="1">
      <alignment horizontal="center"/>
    </xf>
    <xf numFmtId="2" fontId="88" fillId="27" borderId="87" xfId="0" applyNumberFormat="1" applyFont="1" applyFill="1" applyBorder="1" applyAlignment="1">
      <alignment horizontal="center"/>
    </xf>
    <xf numFmtId="2" fontId="88" fillId="27" borderId="42" xfId="0" applyNumberFormat="1" applyFont="1" applyFill="1" applyBorder="1" applyAlignment="1">
      <alignment horizontal="center"/>
    </xf>
    <xf numFmtId="2" fontId="88" fillId="27" borderId="43" xfId="0" applyNumberFormat="1" applyFont="1" applyFill="1" applyBorder="1" applyAlignment="1">
      <alignment horizontal="center"/>
    </xf>
    <xf numFmtId="10" fontId="88" fillId="27" borderId="15" xfId="0" applyNumberFormat="1" applyFont="1" applyFill="1" applyBorder="1" applyAlignment="1">
      <alignment horizontal="center"/>
    </xf>
    <xf numFmtId="10" fontId="88" fillId="27" borderId="87" xfId="0" applyNumberFormat="1" applyFont="1" applyFill="1" applyBorder="1" applyAlignment="1">
      <alignment horizontal="center"/>
    </xf>
    <xf numFmtId="10" fontId="88" fillId="27" borderId="42" xfId="0" applyNumberFormat="1" applyFont="1" applyFill="1" applyBorder="1" applyAlignment="1">
      <alignment horizontal="center"/>
    </xf>
    <xf numFmtId="10" fontId="88" fillId="27" borderId="43" xfId="0" applyNumberFormat="1" applyFont="1" applyFill="1" applyBorder="1" applyAlignment="1">
      <alignment horizontal="center"/>
    </xf>
    <xf numFmtId="2" fontId="93" fillId="27" borderId="15" xfId="0" applyNumberFormat="1" applyFont="1" applyFill="1" applyBorder="1" applyAlignment="1">
      <alignment horizontal="center"/>
    </xf>
    <xf numFmtId="2" fontId="93" fillId="27" borderId="87" xfId="0" applyNumberFormat="1" applyFont="1" applyFill="1" applyBorder="1" applyAlignment="1">
      <alignment horizontal="center"/>
    </xf>
    <xf numFmtId="2" fontId="93" fillId="27" borderId="42" xfId="0" applyNumberFormat="1" applyFont="1" applyFill="1" applyBorder="1" applyAlignment="1">
      <alignment horizontal="center"/>
    </xf>
    <xf numFmtId="2" fontId="93" fillId="27" borderId="43" xfId="0" applyNumberFormat="1" applyFont="1" applyFill="1" applyBorder="1" applyAlignment="1">
      <alignment horizontal="center"/>
    </xf>
    <xf numFmtId="0" fontId="88" fillId="27" borderId="94" xfId="0" applyFont="1" applyFill="1" applyBorder="1" applyAlignment="1">
      <alignment horizontal="center"/>
    </xf>
    <xf numFmtId="10" fontId="93" fillId="27" borderId="28" xfId="0" applyNumberFormat="1" applyFont="1" applyFill="1" applyBorder="1" applyAlignment="1">
      <alignment horizontal="center"/>
    </xf>
    <xf numFmtId="10" fontId="93" fillId="27" borderId="89" xfId="0" applyNumberFormat="1" applyFont="1" applyFill="1" applyBorder="1" applyAlignment="1">
      <alignment horizontal="center"/>
    </xf>
    <xf numFmtId="10" fontId="93" fillId="27" borderId="93" xfId="0" applyNumberFormat="1" applyFont="1" applyFill="1" applyBorder="1" applyAlignment="1">
      <alignment horizontal="center"/>
    </xf>
    <xf numFmtId="10" fontId="93" fillId="27" borderId="61" xfId="0" applyNumberFormat="1" applyFont="1" applyFill="1" applyBorder="1" applyAlignment="1">
      <alignment horizontal="center"/>
    </xf>
    <xf numFmtId="0" fontId="90" fillId="0" borderId="72" xfId="0" applyFont="1" applyBorder="1" applyAlignment="1">
      <alignment horizontal="center" vertical="center"/>
    </xf>
    <xf numFmtId="2" fontId="90" fillId="0" borderId="15" xfId="0" applyNumberFormat="1" applyFont="1" applyBorder="1" applyAlignment="1">
      <alignment horizontal="center" vertical="center"/>
    </xf>
    <xf numFmtId="2" fontId="90" fillId="0" borderId="87" xfId="0" applyNumberFormat="1" applyFont="1" applyBorder="1" applyAlignment="1">
      <alignment horizontal="center" vertical="center"/>
    </xf>
    <xf numFmtId="2" fontId="90" fillId="0" borderId="42" xfId="0" applyNumberFormat="1" applyFont="1" applyBorder="1" applyAlignment="1">
      <alignment horizontal="center" vertical="center"/>
    </xf>
    <xf numFmtId="2" fontId="90" fillId="0" borderId="43" xfId="0" applyNumberFormat="1" applyFont="1" applyBorder="1" applyAlignment="1">
      <alignment horizontal="center" vertical="center"/>
    </xf>
    <xf numFmtId="0" fontId="88" fillId="0" borderId="0" xfId="0" applyFont="1" applyAlignment="1">
      <alignment vertical="center"/>
    </xf>
    <xf numFmtId="0" fontId="90" fillId="0" borderId="36" xfId="0" applyFont="1" applyBorder="1" applyAlignment="1">
      <alignment horizontal="center"/>
    </xf>
    <xf numFmtId="2" fontId="90" fillId="0" borderId="50" xfId="0" applyNumberFormat="1" applyFont="1" applyBorder="1" applyAlignment="1">
      <alignment horizontal="center"/>
    </xf>
    <xf numFmtId="2" fontId="90" fillId="0" borderId="40" xfId="0" applyNumberFormat="1" applyFont="1" applyBorder="1" applyAlignment="1">
      <alignment horizontal="center"/>
    </xf>
    <xf numFmtId="2" fontId="90" fillId="0" borderId="17" xfId="0" applyNumberFormat="1" applyFont="1" applyBorder="1" applyAlignment="1">
      <alignment horizontal="center"/>
    </xf>
    <xf numFmtId="2" fontId="90" fillId="0" borderId="44" xfId="0" applyNumberFormat="1" applyFont="1" applyBorder="1" applyAlignment="1">
      <alignment horizontal="center"/>
    </xf>
    <xf numFmtId="0" fontId="88" fillId="32" borderId="32" xfId="0" applyFont="1" applyFill="1" applyBorder="1" applyAlignment="1">
      <alignment horizontal="center"/>
    </xf>
    <xf numFmtId="2" fontId="88" fillId="32" borderId="23" xfId="0" applyNumberFormat="1" applyFont="1" applyFill="1" applyBorder="1" applyAlignment="1">
      <alignment horizontal="center"/>
    </xf>
    <xf numFmtId="2" fontId="88" fillId="32" borderId="85" xfId="0" applyNumberFormat="1" applyFont="1" applyFill="1" applyBorder="1" applyAlignment="1">
      <alignment horizontal="center"/>
    </xf>
    <xf numFmtId="2" fontId="88" fillId="32" borderId="46" xfId="0" applyNumberFormat="1" applyFont="1" applyFill="1" applyBorder="1" applyAlignment="1">
      <alignment horizontal="center"/>
    </xf>
    <xf numFmtId="0" fontId="88" fillId="32" borderId="33" xfId="0" applyFont="1" applyFill="1" applyBorder="1" applyAlignment="1">
      <alignment horizontal="center"/>
    </xf>
    <xf numFmtId="2" fontId="88" fillId="32" borderId="15" xfId="0" applyNumberFormat="1" applyFont="1" applyFill="1" applyBorder="1" applyAlignment="1">
      <alignment horizontal="center"/>
    </xf>
    <xf numFmtId="2" fontId="88" fillId="32" borderId="87" xfId="0" applyNumberFormat="1" applyFont="1" applyFill="1" applyBorder="1" applyAlignment="1">
      <alignment horizontal="center"/>
    </xf>
    <xf numFmtId="2" fontId="88" fillId="32" borderId="42" xfId="0" applyNumberFormat="1" applyFont="1" applyFill="1" applyBorder="1" applyAlignment="1">
      <alignment horizontal="center"/>
    </xf>
    <xf numFmtId="2" fontId="88" fillId="32" borderId="43" xfId="0" applyNumberFormat="1" applyFont="1" applyFill="1" applyBorder="1" applyAlignment="1">
      <alignment horizontal="center"/>
    </xf>
    <xf numFmtId="0" fontId="88" fillId="32" borderId="34" xfId="0" applyFont="1" applyFill="1" applyBorder="1" applyAlignment="1">
      <alignment horizontal="center"/>
    </xf>
    <xf numFmtId="10" fontId="88" fillId="32" borderId="17" xfId="0" applyNumberFormat="1" applyFont="1" applyFill="1" applyBorder="1" applyAlignment="1">
      <alignment horizontal="center"/>
    </xf>
    <xf numFmtId="10" fontId="88" fillId="32" borderId="95" xfId="0" applyNumberFormat="1" applyFont="1" applyFill="1" applyBorder="1" applyAlignment="1">
      <alignment horizontal="center"/>
    </xf>
    <xf numFmtId="10" fontId="88" fillId="32" borderId="44" xfId="0" applyNumberFormat="1" applyFont="1" applyFill="1" applyBorder="1" applyAlignment="1">
      <alignment horizontal="center"/>
    </xf>
    <xf numFmtId="10" fontId="88" fillId="32" borderId="45" xfId="0" applyNumberFormat="1" applyFont="1" applyFill="1" applyBorder="1" applyAlignment="1">
      <alignment horizontal="center"/>
    </xf>
    <xf numFmtId="0" fontId="88" fillId="0" borderId="0" xfId="0" applyFont="1" applyBorder="1"/>
    <xf numFmtId="0" fontId="88" fillId="0" borderId="0" xfId="0" applyFont="1" applyBorder="1" applyAlignment="1">
      <alignment horizontal="center" vertical="center" wrapText="1"/>
    </xf>
    <xf numFmtId="0" fontId="88" fillId="0" borderId="0" xfId="0" applyFont="1" applyBorder="1" applyAlignment="1">
      <alignment horizontal="center"/>
    </xf>
    <xf numFmtId="2" fontId="88" fillId="24" borderId="72" xfId="0" applyNumberFormat="1" applyFont="1" applyFill="1" applyBorder="1" applyAlignment="1">
      <alignment horizontal="center"/>
    </xf>
    <xf numFmtId="2" fontId="88" fillId="24" borderId="15" xfId="0" applyNumberFormat="1" applyFont="1" applyFill="1" applyBorder="1" applyAlignment="1">
      <alignment horizontal="center"/>
    </xf>
    <xf numFmtId="2" fontId="88" fillId="24" borderId="87" xfId="0" applyNumberFormat="1" applyFont="1" applyFill="1" applyBorder="1" applyAlignment="1">
      <alignment horizontal="center"/>
    </xf>
    <xf numFmtId="2" fontId="88" fillId="24" borderId="43" xfId="0" applyNumberFormat="1" applyFont="1" applyFill="1" applyBorder="1" applyAlignment="1">
      <alignment horizontal="center"/>
    </xf>
    <xf numFmtId="2" fontId="88" fillId="27" borderId="33" xfId="0" applyNumberFormat="1" applyFont="1" applyFill="1" applyBorder="1" applyAlignment="1">
      <alignment horizontal="center"/>
    </xf>
    <xf numFmtId="2" fontId="93" fillId="27" borderId="28" xfId="0" applyNumberFormat="1" applyFont="1" applyFill="1" applyBorder="1" applyAlignment="1">
      <alignment horizontal="center"/>
    </xf>
    <xf numFmtId="2" fontId="93" fillId="27" borderId="89" xfId="0" applyNumberFormat="1" applyFont="1" applyFill="1" applyBorder="1" applyAlignment="1">
      <alignment horizontal="center"/>
    </xf>
    <xf numFmtId="2" fontId="93" fillId="27" borderId="61" xfId="0" applyNumberFormat="1" applyFont="1" applyFill="1" applyBorder="1" applyAlignment="1">
      <alignment horizontal="center"/>
    </xf>
    <xf numFmtId="10" fontId="88" fillId="32" borderId="34" xfId="0" applyNumberFormat="1" applyFont="1" applyFill="1" applyBorder="1" applyAlignment="1">
      <alignment horizontal="center"/>
    </xf>
    <xf numFmtId="10" fontId="88" fillId="0" borderId="0" xfId="0" applyNumberFormat="1" applyFont="1" applyBorder="1"/>
    <xf numFmtId="10" fontId="88" fillId="0" borderId="0" xfId="0" applyNumberFormat="1" applyFont="1"/>
    <xf numFmtId="0" fontId="88" fillId="0" borderId="0" xfId="0" applyFont="1" applyFill="1"/>
    <xf numFmtId="0" fontId="91" fillId="0" borderId="0" xfId="0" applyFont="1" applyFill="1" applyBorder="1" applyAlignment="1">
      <alignment horizontal="center" vertical="center" wrapText="1"/>
    </xf>
    <xf numFmtId="2" fontId="88" fillId="0" borderId="0" xfId="0" applyNumberFormat="1" applyFont="1" applyFill="1"/>
    <xf numFmtId="0" fontId="91" fillId="62" borderId="45" xfId="0" applyFont="1" applyFill="1" applyBorder="1" applyAlignment="1">
      <alignment horizontal="center" vertical="center" wrapText="1"/>
    </xf>
    <xf numFmtId="0" fontId="0" fillId="0" borderId="51" xfId="0" applyFont="1" applyBorder="1" applyAlignment="1">
      <alignment horizontal="right" wrapText="1"/>
    </xf>
    <xf numFmtId="0" fontId="0" fillId="0" borderId="52" xfId="0" applyFont="1" applyBorder="1" applyAlignment="1">
      <alignment horizontal="right" wrapText="1"/>
    </xf>
    <xf numFmtId="0" fontId="0" fillId="0" borderId="88" xfId="0" applyBorder="1" applyAlignment="1">
      <alignment horizontal="right"/>
    </xf>
    <xf numFmtId="0" fontId="0" fillId="0" borderId="46" xfId="0" applyBorder="1" applyAlignment="1">
      <alignment horizontal="right"/>
    </xf>
    <xf numFmtId="0" fontId="0" fillId="0" borderId="49" xfId="0" applyBorder="1" applyAlignment="1">
      <alignment horizontal="right"/>
    </xf>
    <xf numFmtId="0" fontId="0" fillId="0" borderId="41" xfId="0" applyBorder="1" applyAlignment="1">
      <alignment horizontal="right"/>
    </xf>
    <xf numFmtId="0" fontId="49" fillId="0" borderId="53" xfId="0" applyFont="1" applyBorder="1" applyAlignment="1">
      <alignment horizontal="right"/>
    </xf>
    <xf numFmtId="0" fontId="38" fillId="0" borderId="0" xfId="0" applyFont="1" applyFill="1" applyBorder="1" applyAlignment="1">
      <alignment horizontal="right" vertical="center" wrapText="1"/>
    </xf>
    <xf numFmtId="0" fontId="50" fillId="36" borderId="70" xfId="0" applyFont="1" applyFill="1" applyBorder="1" applyAlignment="1">
      <alignment horizontal="right"/>
    </xf>
    <xf numFmtId="2" fontId="0" fillId="0" borderId="0" xfId="0" applyNumberFormat="1" applyBorder="1" applyAlignment="1">
      <alignment horizontal="right"/>
    </xf>
    <xf numFmtId="2" fontId="0" fillId="0" borderId="0" xfId="0" applyNumberFormat="1" applyAlignment="1">
      <alignment horizontal="right"/>
    </xf>
    <xf numFmtId="0" fontId="0" fillId="36" borderId="71" xfId="0" applyFill="1" applyBorder="1" applyAlignment="1">
      <alignment horizontal="right"/>
    </xf>
    <xf numFmtId="0" fontId="50" fillId="49" borderId="70" xfId="0" applyFont="1" applyFill="1" applyBorder="1" applyAlignment="1">
      <alignment horizontal="right"/>
    </xf>
    <xf numFmtId="0" fontId="0" fillId="36" borderId="70" xfId="0" applyFill="1" applyBorder="1" applyAlignment="1">
      <alignment horizontal="right"/>
    </xf>
    <xf numFmtId="0" fontId="50" fillId="30" borderId="70" xfId="0" applyFont="1" applyFill="1" applyBorder="1" applyAlignment="1">
      <alignment horizontal="right"/>
    </xf>
    <xf numFmtId="2" fontId="0" fillId="30" borderId="71" xfId="0" applyNumberFormat="1" applyFill="1" applyBorder="1" applyAlignment="1">
      <alignment horizontal="right"/>
    </xf>
    <xf numFmtId="0" fontId="38" fillId="0" borderId="46" xfId="0" applyFont="1" applyBorder="1" applyAlignment="1">
      <alignment horizontal="right" vertical="center" wrapText="1"/>
    </xf>
    <xf numFmtId="0" fontId="0" fillId="0" borderId="56" xfId="0" applyBorder="1" applyAlignment="1">
      <alignment horizontal="right"/>
    </xf>
    <xf numFmtId="0" fontId="0" fillId="30" borderId="71" xfId="0" applyFill="1" applyBorder="1" applyAlignment="1">
      <alignment horizontal="right"/>
    </xf>
    <xf numFmtId="0" fontId="0" fillId="30" borderId="70" xfId="0" applyFill="1" applyBorder="1" applyAlignment="1">
      <alignment horizontal="right"/>
    </xf>
    <xf numFmtId="0" fontId="38" fillId="0" borderId="88" xfId="0" applyFont="1" applyBorder="1" applyAlignment="1">
      <alignment horizontal="right" vertical="center" wrapText="1"/>
    </xf>
    <xf numFmtId="0" fontId="0" fillId="0" borderId="68" xfId="0" applyFont="1" applyBorder="1" applyAlignment="1">
      <alignment horizontal="right" wrapText="1"/>
    </xf>
    <xf numFmtId="0" fontId="0" fillId="0" borderId="53" xfId="0" applyFont="1" applyBorder="1" applyAlignment="1">
      <alignment wrapText="1"/>
    </xf>
    <xf numFmtId="0" fontId="0" fillId="0" borderId="0" xfId="0" applyFont="1" applyFill="1" applyBorder="1" applyAlignment="1">
      <alignment vertical="center" wrapText="1"/>
    </xf>
    <xf numFmtId="0" fontId="0" fillId="27" borderId="23" xfId="0" applyFont="1" applyFill="1" applyBorder="1" applyAlignment="1">
      <alignment vertical="center" wrapText="1"/>
    </xf>
    <xf numFmtId="0" fontId="0" fillId="27" borderId="17" xfId="0" applyFont="1" applyFill="1" applyBorder="1" applyAlignment="1">
      <alignment vertical="center" wrapText="1"/>
    </xf>
    <xf numFmtId="0" fontId="0" fillId="0" borderId="15" xfId="0" applyFont="1" applyBorder="1" applyAlignment="1">
      <alignment horizontal="right" wrapText="1"/>
    </xf>
    <xf numFmtId="0" fontId="0" fillId="0" borderId="0" xfId="0" applyFont="1" applyAlignment="1">
      <alignment horizontal="right" wrapText="1"/>
    </xf>
    <xf numFmtId="2" fontId="0" fillId="0" borderId="54" xfId="0" applyNumberFormat="1" applyFont="1" applyBorder="1" applyAlignment="1">
      <alignment horizontal="right" wrapText="1"/>
    </xf>
    <xf numFmtId="0" fontId="51" fillId="0" borderId="0" xfId="0" applyFont="1" applyFill="1" applyBorder="1" applyAlignment="1">
      <alignment horizontal="right" wrapText="1"/>
    </xf>
    <xf numFmtId="0" fontId="0" fillId="36" borderId="70" xfId="0" applyFont="1" applyFill="1" applyBorder="1" applyAlignment="1">
      <alignment horizontal="right" wrapText="1"/>
    </xf>
    <xf numFmtId="0" fontId="52" fillId="0" borderId="0" xfId="0" applyFont="1" applyFill="1" applyBorder="1" applyAlignment="1">
      <alignment horizontal="right" wrapText="1"/>
    </xf>
    <xf numFmtId="0" fontId="20" fillId="0" borderId="74" xfId="0" applyFont="1" applyBorder="1" applyAlignment="1">
      <alignment horizontal="right" vertical="center" wrapText="1"/>
    </xf>
    <xf numFmtId="0" fontId="0" fillId="0" borderId="74" xfId="0" applyFont="1" applyBorder="1" applyAlignment="1">
      <alignment horizontal="right" wrapText="1"/>
    </xf>
    <xf numFmtId="0" fontId="0" fillId="0" borderId="69" xfId="0" applyFont="1" applyBorder="1" applyAlignment="1">
      <alignment horizontal="right" wrapText="1"/>
    </xf>
    <xf numFmtId="0" fontId="0" fillId="0" borderId="53" xfId="0" applyFont="1" applyBorder="1" applyAlignment="1">
      <alignment horizontal="right" wrapText="1"/>
    </xf>
    <xf numFmtId="0" fontId="0" fillId="0" borderId="0" xfId="0" applyFont="1" applyBorder="1" applyAlignment="1">
      <alignment horizontal="right" wrapText="1"/>
    </xf>
    <xf numFmtId="0" fontId="20" fillId="0" borderId="54" xfId="0" applyFont="1" applyBorder="1" applyAlignment="1">
      <alignment horizontal="right" wrapText="1"/>
    </xf>
    <xf numFmtId="0" fontId="20" fillId="0" borderId="91" xfId="0" applyFont="1" applyFill="1" applyBorder="1" applyAlignment="1">
      <alignment horizontal="right" vertical="center" wrapText="1"/>
    </xf>
    <xf numFmtId="0" fontId="0" fillId="0" borderId="85" xfId="0" applyFont="1" applyFill="1" applyBorder="1" applyAlignment="1">
      <alignment horizontal="right" vertical="center" wrapText="1"/>
    </xf>
    <xf numFmtId="0" fontId="0" fillId="0" borderId="95" xfId="0" applyFont="1" applyFill="1" applyBorder="1" applyAlignment="1">
      <alignment horizontal="right" vertical="center" wrapText="1"/>
    </xf>
    <xf numFmtId="0" fontId="0" fillId="27" borderId="85" xfId="0" applyFont="1" applyFill="1" applyBorder="1" applyAlignment="1">
      <alignment horizontal="right" vertical="center" wrapText="1"/>
    </xf>
    <xf numFmtId="0" fontId="0" fillId="27" borderId="95" xfId="0" applyFont="1" applyFill="1" applyBorder="1" applyAlignment="1">
      <alignment horizontal="right" vertical="center" wrapText="1"/>
    </xf>
    <xf numFmtId="2" fontId="0" fillId="0" borderId="91" xfId="0" applyNumberFormat="1" applyFont="1" applyFill="1" applyBorder="1" applyAlignment="1">
      <alignment horizontal="right" vertical="center" wrapText="1"/>
    </xf>
    <xf numFmtId="2" fontId="0" fillId="0" borderId="89" xfId="0" applyNumberFormat="1" applyFont="1" applyFill="1" applyBorder="1" applyAlignment="1">
      <alignment horizontal="right" vertical="center" wrapText="1"/>
    </xf>
    <xf numFmtId="2" fontId="0" fillId="0" borderId="95" xfId="0" applyNumberFormat="1" applyFont="1" applyFill="1" applyBorder="1" applyAlignment="1">
      <alignment horizontal="right" vertical="center" wrapText="1"/>
    </xf>
    <xf numFmtId="2" fontId="0" fillId="27" borderId="63" xfId="0" applyNumberFormat="1" applyFont="1" applyFill="1" applyBorder="1" applyAlignment="1">
      <alignment horizontal="right" vertical="center" wrapText="1"/>
    </xf>
    <xf numFmtId="2" fontId="0" fillId="27" borderId="89" xfId="0" applyNumberFormat="1" applyFont="1" applyFill="1" applyBorder="1" applyAlignment="1">
      <alignment horizontal="right" vertical="center" wrapText="1"/>
    </xf>
    <xf numFmtId="2" fontId="0" fillId="27" borderId="91" xfId="0" applyNumberFormat="1" applyFont="1" applyFill="1" applyBorder="1" applyAlignment="1">
      <alignment horizontal="right" vertical="center" wrapText="1"/>
    </xf>
    <xf numFmtId="2" fontId="0" fillId="27" borderId="95" xfId="0" applyNumberFormat="1" applyFont="1" applyFill="1" applyBorder="1" applyAlignment="1">
      <alignment horizontal="right" vertical="center" wrapText="1"/>
    </xf>
    <xf numFmtId="0" fontId="0" fillId="0" borderId="0" xfId="0" applyFont="1" applyFill="1" applyBorder="1" applyAlignment="1">
      <alignment horizontal="right" vertical="center" wrapText="1"/>
    </xf>
    <xf numFmtId="0" fontId="0" fillId="36" borderId="71" xfId="0" applyFont="1" applyFill="1" applyBorder="1" applyAlignment="1">
      <alignment horizontal="right" wrapText="1"/>
    </xf>
    <xf numFmtId="0" fontId="0" fillId="52" borderId="70" xfId="0" applyFont="1" applyFill="1" applyBorder="1" applyAlignment="1">
      <alignment horizontal="right" wrapText="1"/>
    </xf>
    <xf numFmtId="0" fontId="20" fillId="0" borderId="53" xfId="0" applyFont="1" applyBorder="1" applyAlignment="1">
      <alignment horizontal="right" wrapText="1"/>
    </xf>
    <xf numFmtId="0" fontId="20" fillId="0" borderId="20" xfId="0" applyFont="1" applyFill="1" applyBorder="1" applyAlignment="1">
      <alignment horizontal="right" vertical="center" wrapText="1"/>
    </xf>
    <xf numFmtId="2" fontId="0" fillId="0" borderId="63" xfId="0" applyNumberFormat="1" applyFont="1" applyFill="1" applyBorder="1" applyAlignment="1">
      <alignment horizontal="right" vertical="center" wrapText="1"/>
    </xf>
    <xf numFmtId="0" fontId="0" fillId="52" borderId="71" xfId="0" applyFont="1" applyFill="1" applyBorder="1" applyAlignment="1">
      <alignment horizontal="right" wrapText="1"/>
    </xf>
    <xf numFmtId="0" fontId="0" fillId="53" borderId="70" xfId="0" applyFont="1" applyFill="1" applyBorder="1" applyAlignment="1">
      <alignment horizontal="right" wrapText="1"/>
    </xf>
    <xf numFmtId="0" fontId="0" fillId="0" borderId="0" xfId="0" applyFont="1" applyFill="1" applyAlignment="1">
      <alignment horizontal="right"/>
    </xf>
    <xf numFmtId="0" fontId="0" fillId="0" borderId="91" xfId="0" applyFont="1" applyFill="1" applyBorder="1" applyAlignment="1">
      <alignment horizontal="right" vertical="center" wrapText="1"/>
    </xf>
    <xf numFmtId="0" fontId="0" fillId="0" borderId="89" xfId="0" applyFont="1" applyFill="1" applyBorder="1" applyAlignment="1">
      <alignment horizontal="right" vertical="center" wrapText="1"/>
    </xf>
    <xf numFmtId="0" fontId="0" fillId="53" borderId="71" xfId="0" applyFont="1" applyFill="1" applyBorder="1" applyAlignment="1">
      <alignment horizontal="right" wrapText="1"/>
    </xf>
    <xf numFmtId="0" fontId="0" fillId="54" borderId="70" xfId="0" applyFont="1" applyFill="1" applyBorder="1" applyAlignment="1">
      <alignment horizontal="right" wrapText="1"/>
    </xf>
    <xf numFmtId="0" fontId="0" fillId="27" borderId="23" xfId="0" applyFont="1" applyFill="1" applyBorder="1" applyAlignment="1">
      <alignment horizontal="right" vertical="center" wrapText="1"/>
    </xf>
    <xf numFmtId="0" fontId="0" fillId="27" borderId="17" xfId="0" applyFont="1" applyFill="1" applyBorder="1" applyAlignment="1">
      <alignment horizontal="right" vertical="center" wrapText="1"/>
    </xf>
    <xf numFmtId="0" fontId="0" fillId="0" borderId="23" xfId="0" applyFont="1" applyFill="1" applyBorder="1" applyAlignment="1">
      <alignment horizontal="right" vertical="center" wrapText="1"/>
    </xf>
    <xf numFmtId="0" fontId="0" fillId="0" borderId="28" xfId="0" applyFont="1" applyFill="1" applyBorder="1" applyAlignment="1">
      <alignment horizontal="right" vertical="center" wrapText="1"/>
    </xf>
    <xf numFmtId="0" fontId="0" fillId="0" borderId="17" xfId="0" applyFont="1" applyFill="1" applyBorder="1" applyAlignment="1">
      <alignment horizontal="right" vertical="center" wrapText="1"/>
    </xf>
    <xf numFmtId="0" fontId="0" fillId="0" borderId="38" xfId="0" applyFont="1" applyFill="1" applyBorder="1" applyAlignment="1">
      <alignment horizontal="right" vertical="center" wrapText="1"/>
    </xf>
    <xf numFmtId="0" fontId="0" fillId="0" borderId="50" xfId="0" applyFont="1" applyFill="1" applyBorder="1" applyAlignment="1">
      <alignment horizontal="right" vertical="center" wrapText="1"/>
    </xf>
    <xf numFmtId="0" fontId="0" fillId="54" borderId="71" xfId="0" applyFont="1" applyFill="1" applyBorder="1" applyAlignment="1">
      <alignment horizontal="right" wrapText="1"/>
    </xf>
    <xf numFmtId="0" fontId="0" fillId="55" borderId="70" xfId="0" applyFont="1" applyFill="1" applyBorder="1" applyAlignment="1">
      <alignment horizontal="right" wrapText="1"/>
    </xf>
    <xf numFmtId="0" fontId="0" fillId="27" borderId="28" xfId="0" applyFont="1" applyFill="1" applyBorder="1" applyAlignment="1">
      <alignment horizontal="right" vertical="center" wrapText="1"/>
    </xf>
    <xf numFmtId="0" fontId="0" fillId="55" borderId="71" xfId="0" applyFont="1" applyFill="1" applyBorder="1" applyAlignment="1">
      <alignment horizontal="right" wrapText="1"/>
    </xf>
    <xf numFmtId="0" fontId="0" fillId="56" borderId="70" xfId="0" applyFont="1" applyFill="1" applyBorder="1" applyAlignment="1">
      <alignment horizontal="right" wrapText="1"/>
    </xf>
    <xf numFmtId="0" fontId="0" fillId="56" borderId="71" xfId="0" applyFont="1" applyFill="1" applyBorder="1" applyAlignment="1">
      <alignment horizontal="right" wrapText="1"/>
    </xf>
    <xf numFmtId="0" fontId="0" fillId="57" borderId="70" xfId="0" applyFont="1" applyFill="1" applyBorder="1" applyAlignment="1">
      <alignment horizontal="right" wrapText="1"/>
    </xf>
    <xf numFmtId="0" fontId="0" fillId="0" borderId="23" xfId="0" applyFont="1" applyBorder="1" applyAlignment="1">
      <alignment horizontal="right" wrapText="1"/>
    </xf>
    <xf numFmtId="0" fontId="0" fillId="0" borderId="17" xfId="0" applyFont="1" applyBorder="1" applyAlignment="1">
      <alignment horizontal="right" wrapText="1"/>
    </xf>
    <xf numFmtId="2" fontId="0" fillId="0" borderId="87" xfId="0" applyNumberFormat="1" applyFont="1" applyFill="1" applyBorder="1" applyAlignment="1">
      <alignment horizontal="right" vertical="center" wrapText="1"/>
    </xf>
    <xf numFmtId="2" fontId="0" fillId="27" borderId="85" xfId="0" applyNumberFormat="1" applyFont="1" applyFill="1" applyBorder="1" applyAlignment="1">
      <alignment horizontal="right" vertical="center" wrapText="1"/>
    </xf>
    <xf numFmtId="2" fontId="0" fillId="27" borderId="87" xfId="0" applyNumberFormat="1" applyFont="1" applyFill="1" applyBorder="1" applyAlignment="1">
      <alignment horizontal="right" vertical="center" wrapText="1"/>
    </xf>
    <xf numFmtId="2" fontId="0" fillId="0" borderId="85" xfId="0" applyNumberFormat="1" applyFont="1" applyFill="1" applyBorder="1" applyAlignment="1">
      <alignment horizontal="right" vertical="center" wrapText="1"/>
    </xf>
    <xf numFmtId="2" fontId="0" fillId="22" borderId="85" xfId="0" applyNumberFormat="1" applyFont="1" applyFill="1" applyBorder="1" applyAlignment="1">
      <alignment horizontal="right" vertical="center" wrapText="1"/>
    </xf>
    <xf numFmtId="2" fontId="0" fillId="22" borderId="87" xfId="0" applyNumberFormat="1" applyFont="1" applyFill="1" applyBorder="1" applyAlignment="1">
      <alignment horizontal="right" vertical="center" wrapText="1"/>
    </xf>
    <xf numFmtId="2" fontId="0" fillId="22" borderId="89" xfId="0" applyNumberFormat="1" applyFont="1" applyFill="1" applyBorder="1" applyAlignment="1">
      <alignment horizontal="right" vertical="center" wrapText="1"/>
    </xf>
    <xf numFmtId="2" fontId="0" fillId="27" borderId="27" xfId="0" applyNumberFormat="1" applyFont="1" applyFill="1" applyBorder="1" applyAlignment="1">
      <alignment horizontal="right" vertical="center" wrapText="1"/>
    </xf>
    <xf numFmtId="0" fontId="0" fillId="57" borderId="71" xfId="0" applyFont="1" applyFill="1" applyBorder="1" applyAlignment="1">
      <alignment horizontal="right" wrapText="1"/>
    </xf>
    <xf numFmtId="0" fontId="0" fillId="58" borderId="70" xfId="0" applyFont="1" applyFill="1" applyBorder="1" applyAlignment="1">
      <alignment horizontal="right" wrapText="1"/>
    </xf>
    <xf numFmtId="0" fontId="0" fillId="58" borderId="71" xfId="0" applyFont="1" applyFill="1" applyBorder="1" applyAlignment="1">
      <alignment horizontal="right" wrapText="1"/>
    </xf>
    <xf numFmtId="2" fontId="0" fillId="0" borderId="27" xfId="0" applyNumberFormat="1" applyFont="1" applyFill="1" applyBorder="1" applyAlignment="1">
      <alignment horizontal="right" vertical="center" wrapText="1"/>
    </xf>
    <xf numFmtId="2" fontId="0" fillId="27" borderId="90" xfId="0" applyNumberFormat="1" applyFont="1" applyFill="1" applyBorder="1" applyAlignment="1">
      <alignment horizontal="right" vertical="center" wrapText="1"/>
    </xf>
    <xf numFmtId="164" fontId="0" fillId="0" borderId="0" xfId="0" applyNumberFormat="1" applyAlignment="1">
      <alignment horizontal="center"/>
    </xf>
    <xf numFmtId="164" fontId="0" fillId="0" borderId="54" xfId="0" applyNumberFormat="1" applyBorder="1"/>
    <xf numFmtId="164" fontId="0" fillId="0" borderId="55" xfId="0" applyNumberFormat="1" applyBorder="1" applyAlignment="1"/>
    <xf numFmtId="164" fontId="0" fillId="0" borderId="0" xfId="0" applyNumberFormat="1" applyBorder="1" applyAlignment="1"/>
    <xf numFmtId="164" fontId="0" fillId="0" borderId="0" xfId="0" applyNumberFormat="1" applyBorder="1"/>
    <xf numFmtId="164" fontId="0" fillId="0" borderId="0" xfId="0" applyNumberFormat="1" applyBorder="1" applyAlignment="1">
      <alignment wrapText="1"/>
    </xf>
    <xf numFmtId="164" fontId="0" fillId="0" borderId="0" xfId="0" applyNumberFormat="1" applyFill="1" applyBorder="1"/>
    <xf numFmtId="164" fontId="0" fillId="36" borderId="70" xfId="0" applyNumberFormat="1" applyFill="1" applyBorder="1" applyAlignment="1"/>
    <xf numFmtId="164" fontId="1" fillId="0" borderId="0" xfId="0" applyNumberFormat="1" applyFont="1" applyFill="1" applyBorder="1" applyAlignment="1">
      <alignment horizontal="left"/>
    </xf>
    <xf numFmtId="164" fontId="0" fillId="0" borderId="0" xfId="0" applyNumberFormat="1" applyFill="1"/>
    <xf numFmtId="164" fontId="38" fillId="0" borderId="46" xfId="0" applyNumberFormat="1" applyFont="1" applyBorder="1"/>
    <xf numFmtId="164" fontId="38" fillId="0" borderId="74" xfId="0" applyNumberFormat="1" applyFont="1" applyBorder="1" applyAlignment="1">
      <alignment horizontal="center" vertical="center" wrapText="1"/>
    </xf>
    <xf numFmtId="164" fontId="38" fillId="0" borderId="73" xfId="0" applyNumberFormat="1" applyFont="1" applyBorder="1" applyAlignment="1">
      <alignment horizontal="center" vertical="center" wrapText="1"/>
    </xf>
    <xf numFmtId="164" fontId="38" fillId="0" borderId="47" xfId="0" applyNumberFormat="1" applyFont="1" applyBorder="1" applyAlignment="1">
      <alignment horizontal="center" vertical="center" wrapText="1"/>
    </xf>
    <xf numFmtId="164" fontId="0" fillId="0" borderId="41" xfId="0" applyNumberFormat="1" applyBorder="1"/>
    <xf numFmtId="164" fontId="0" fillId="0" borderId="51" xfId="0" applyNumberFormat="1" applyBorder="1"/>
    <xf numFmtId="164" fontId="0" fillId="0" borderId="66" xfId="0" applyNumberFormat="1" applyBorder="1"/>
    <xf numFmtId="164" fontId="0" fillId="0" borderId="62" xfId="0" applyNumberFormat="1" applyBorder="1"/>
    <xf numFmtId="164" fontId="0" fillId="0" borderId="56" xfId="0" applyNumberFormat="1" applyBorder="1"/>
    <xf numFmtId="164" fontId="0" fillId="0" borderId="52" xfId="0" applyNumberFormat="1" applyBorder="1"/>
    <xf numFmtId="164" fontId="0" fillId="0" borderId="101" xfId="0" applyNumberFormat="1" applyBorder="1"/>
    <xf numFmtId="164" fontId="0" fillId="0" borderId="92" xfId="0" applyNumberFormat="1" applyBorder="1"/>
    <xf numFmtId="164" fontId="0" fillId="0" borderId="46" xfId="0" applyNumberFormat="1" applyBorder="1"/>
    <xf numFmtId="164" fontId="0" fillId="0" borderId="23" xfId="0" applyNumberFormat="1" applyBorder="1"/>
    <xf numFmtId="164" fontId="0" fillId="0" borderId="10" xfId="0" applyNumberFormat="1" applyBorder="1"/>
    <xf numFmtId="164" fontId="0" fillId="0" borderId="86" xfId="0" applyNumberFormat="1" applyBorder="1"/>
    <xf numFmtId="164" fontId="0" fillId="0" borderId="43" xfId="0" applyNumberFormat="1" applyBorder="1"/>
    <xf numFmtId="164" fontId="0" fillId="0" borderId="15" xfId="0" applyNumberFormat="1" applyBorder="1"/>
    <xf numFmtId="164" fontId="0" fillId="0" borderId="16" xfId="0" applyNumberFormat="1" applyBorder="1"/>
    <xf numFmtId="164" fontId="0" fillId="0" borderId="14" xfId="0" applyNumberFormat="1" applyBorder="1"/>
    <xf numFmtId="164" fontId="0" fillId="0" borderId="45" xfId="0" applyNumberFormat="1" applyBorder="1"/>
    <xf numFmtId="164" fontId="0" fillId="0" borderId="17" xfId="0" applyNumberFormat="1" applyBorder="1"/>
    <xf numFmtId="164" fontId="0" fillId="0" borderId="18" xfId="0" applyNumberFormat="1" applyBorder="1"/>
    <xf numFmtId="164" fontId="0" fillId="0" borderId="24" xfId="0" applyNumberFormat="1" applyBorder="1"/>
    <xf numFmtId="164" fontId="0" fillId="0" borderId="48" xfId="0" applyNumberFormat="1" applyBorder="1"/>
    <xf numFmtId="164" fontId="0" fillId="0" borderId="53" xfId="0" applyNumberFormat="1" applyBorder="1"/>
    <xf numFmtId="164" fontId="0" fillId="0" borderId="55" xfId="0" applyNumberFormat="1" applyBorder="1"/>
    <xf numFmtId="164" fontId="38" fillId="0" borderId="54" xfId="0" applyNumberFormat="1" applyFont="1" applyBorder="1" applyAlignment="1">
      <alignment horizontal="center"/>
    </xf>
    <xf numFmtId="164" fontId="38" fillId="0" borderId="55" xfId="0" applyNumberFormat="1" applyFont="1" applyBorder="1" applyAlignment="1">
      <alignment horizontal="center"/>
    </xf>
    <xf numFmtId="164" fontId="38" fillId="0" borderId="21" xfId="0" applyNumberFormat="1" applyFont="1" applyFill="1" applyBorder="1" applyAlignment="1">
      <alignment vertical="center" wrapText="1"/>
    </xf>
    <xf numFmtId="164" fontId="38" fillId="0" borderId="22" xfId="0" applyNumberFormat="1" applyFont="1" applyFill="1" applyBorder="1" applyAlignment="1">
      <alignment vertical="center" wrapText="1"/>
    </xf>
    <xf numFmtId="164" fontId="45" fillId="0" borderId="85" xfId="0" applyNumberFormat="1" applyFont="1" applyFill="1" applyBorder="1" applyAlignment="1">
      <alignment horizontal="center" vertical="center" wrapText="1"/>
    </xf>
    <xf numFmtId="164" fontId="45" fillId="0" borderId="86" xfId="0" applyNumberFormat="1" applyFont="1" applyFill="1" applyBorder="1" applyAlignment="1">
      <alignment horizontal="center" vertical="center" wrapText="1"/>
    </xf>
    <xf numFmtId="164" fontId="45" fillId="0" borderId="90" xfId="0" applyNumberFormat="1" applyFont="1" applyFill="1" applyBorder="1" applyAlignment="1">
      <alignment horizontal="center" vertical="center" wrapText="1"/>
    </xf>
    <xf numFmtId="164" fontId="45" fillId="0" borderId="24" xfId="0" applyNumberFormat="1" applyFont="1" applyFill="1" applyBorder="1" applyAlignment="1">
      <alignment horizontal="center" vertical="center" wrapText="1"/>
    </xf>
    <xf numFmtId="164" fontId="45" fillId="27" borderId="85" xfId="0" applyNumberFormat="1" applyFont="1" applyFill="1" applyBorder="1" applyAlignment="1">
      <alignment horizontal="center" vertical="center" wrapText="1"/>
    </xf>
    <xf numFmtId="164" fontId="45" fillId="27" borderId="86" xfId="0" applyNumberFormat="1" applyFont="1" applyFill="1" applyBorder="1" applyAlignment="1">
      <alignment horizontal="center" vertical="center" wrapText="1"/>
    </xf>
    <xf numFmtId="164" fontId="45" fillId="27" borderId="95" xfId="0" applyNumberFormat="1" applyFont="1" applyFill="1" applyBorder="1" applyAlignment="1">
      <alignment horizontal="center" vertical="center" wrapText="1"/>
    </xf>
    <xf numFmtId="164" fontId="45" fillId="27" borderId="24" xfId="0" applyNumberFormat="1" applyFont="1" applyFill="1" applyBorder="1" applyAlignment="1">
      <alignment horizontal="center" vertical="center" wrapText="1"/>
    </xf>
    <xf numFmtId="164" fontId="45" fillId="0" borderId="21" xfId="0" applyNumberFormat="1" applyFont="1" applyFill="1" applyBorder="1" applyAlignment="1">
      <alignment horizontal="center" vertical="center" wrapText="1"/>
    </xf>
    <xf numFmtId="164" fontId="45" fillId="0" borderId="22" xfId="0" applyNumberFormat="1" applyFont="1" applyFill="1" applyBorder="1" applyAlignment="1">
      <alignment horizontal="center" vertical="center" wrapText="1"/>
    </xf>
    <xf numFmtId="164" fontId="45" fillId="0" borderId="29" xfId="0" applyNumberFormat="1" applyFont="1" applyFill="1" applyBorder="1" applyAlignment="1">
      <alignment horizontal="center" vertical="center" wrapText="1"/>
    </xf>
    <xf numFmtId="164" fontId="45" fillId="0" borderId="30" xfId="0" applyNumberFormat="1" applyFont="1" applyFill="1" applyBorder="1" applyAlignment="1">
      <alignment horizontal="center" vertical="center" wrapText="1"/>
    </xf>
    <xf numFmtId="164" fontId="45" fillId="0" borderId="18" xfId="0" applyNumberFormat="1" applyFont="1" applyFill="1" applyBorder="1" applyAlignment="1">
      <alignment horizontal="center" vertical="center" wrapText="1"/>
    </xf>
    <xf numFmtId="164" fontId="45" fillId="27" borderId="64" xfId="0" applyNumberFormat="1" applyFont="1" applyFill="1" applyBorder="1" applyAlignment="1">
      <alignment horizontal="center" vertical="center" wrapText="1"/>
    </xf>
    <xf numFmtId="164" fontId="45" fillId="27" borderId="62" xfId="0" applyNumberFormat="1" applyFont="1" applyFill="1" applyBorder="1" applyAlignment="1">
      <alignment horizontal="center" vertical="center" wrapText="1"/>
    </xf>
    <xf numFmtId="164" fontId="45" fillId="27" borderId="29" xfId="0" applyNumberFormat="1" applyFont="1" applyFill="1" applyBorder="1" applyAlignment="1">
      <alignment horizontal="center" vertical="center" wrapText="1"/>
    </xf>
    <xf numFmtId="164" fontId="45" fillId="27" borderId="30" xfId="0" applyNumberFormat="1" applyFont="1" applyFill="1" applyBorder="1" applyAlignment="1">
      <alignment horizontal="center" vertical="center" wrapText="1"/>
    </xf>
    <xf numFmtId="164" fontId="24" fillId="0" borderId="0" xfId="0" applyNumberFormat="1" applyFont="1" applyFill="1" applyBorder="1" applyAlignment="1">
      <alignment wrapText="1"/>
    </xf>
    <xf numFmtId="164" fontId="24" fillId="0" borderId="0" xfId="0" applyNumberFormat="1" applyFont="1" applyFill="1" applyAlignment="1">
      <alignment wrapText="1"/>
    </xf>
    <xf numFmtId="164" fontId="24" fillId="0" borderId="0" xfId="0" applyNumberFormat="1" applyFont="1" applyBorder="1" applyAlignment="1">
      <alignment wrapText="1"/>
    </xf>
    <xf numFmtId="164" fontId="45" fillId="27" borderId="21" xfId="0" applyNumberFormat="1" applyFont="1" applyFill="1" applyBorder="1" applyAlignment="1">
      <alignment horizontal="center" vertical="center" wrapText="1"/>
    </xf>
    <xf numFmtId="164" fontId="45" fillId="27" borderId="22" xfId="0" applyNumberFormat="1" applyFont="1" applyFill="1" applyBorder="1" applyAlignment="1">
      <alignment horizontal="center" vertical="center" wrapText="1"/>
    </xf>
    <xf numFmtId="164" fontId="45" fillId="27" borderId="18" xfId="0" applyNumberFormat="1" applyFont="1" applyFill="1" applyBorder="1" applyAlignment="1">
      <alignment horizontal="center" vertical="center" wrapText="1"/>
    </xf>
    <xf numFmtId="164" fontId="45" fillId="0" borderId="0" xfId="0" applyNumberFormat="1" applyFont="1" applyFill="1" applyBorder="1" applyAlignment="1">
      <alignment horizontal="center" vertical="center" wrapText="1"/>
    </xf>
    <xf numFmtId="164" fontId="0" fillId="36" borderId="71" xfId="0" applyNumberFormat="1" applyFill="1" applyBorder="1"/>
    <xf numFmtId="164" fontId="0" fillId="52" borderId="70" xfId="0" applyNumberFormat="1" applyFill="1" applyBorder="1" applyAlignment="1"/>
    <xf numFmtId="164" fontId="38" fillId="0" borderId="32" xfId="0" applyNumberFormat="1" applyFont="1" applyBorder="1" applyAlignment="1">
      <alignment horizontal="center" vertical="center" wrapText="1"/>
    </xf>
    <xf numFmtId="164" fontId="0" fillId="0" borderId="36" xfId="0" applyNumberFormat="1" applyBorder="1"/>
    <xf numFmtId="164" fontId="0" fillId="0" borderId="85" xfId="0" applyNumberFormat="1" applyBorder="1"/>
    <xf numFmtId="164" fontId="0" fillId="0" borderId="87" xfId="0" applyNumberFormat="1" applyBorder="1"/>
    <xf numFmtId="164" fontId="0" fillId="0" borderId="95" xfId="0" applyNumberFormat="1" applyBorder="1"/>
    <xf numFmtId="164" fontId="45" fillId="27" borderId="90" xfId="0" applyNumberFormat="1" applyFont="1" applyFill="1" applyBorder="1" applyAlignment="1">
      <alignment horizontal="center" vertical="center" wrapText="1"/>
    </xf>
    <xf numFmtId="164" fontId="45" fillId="0" borderId="64" xfId="0" applyNumberFormat="1" applyFont="1" applyFill="1" applyBorder="1" applyAlignment="1">
      <alignment horizontal="center" vertical="center" wrapText="1"/>
    </xf>
    <xf numFmtId="164" fontId="45" fillId="0" borderId="62" xfId="0" applyNumberFormat="1" applyFont="1" applyFill="1" applyBorder="1" applyAlignment="1">
      <alignment horizontal="center" vertical="center" wrapText="1"/>
    </xf>
    <xf numFmtId="164" fontId="0" fillId="52" borderId="71" xfId="0" applyNumberFormat="1" applyFill="1" applyBorder="1"/>
    <xf numFmtId="164" fontId="0" fillId="53" borderId="70" xfId="0" applyNumberFormat="1" applyFill="1" applyBorder="1" applyAlignment="1"/>
    <xf numFmtId="164" fontId="0" fillId="0" borderId="31" xfId="0" applyNumberFormat="1" applyBorder="1"/>
    <xf numFmtId="164" fontId="45" fillId="0" borderId="91" xfId="0" applyNumberFormat="1" applyFont="1" applyFill="1" applyBorder="1" applyAlignment="1">
      <alignment horizontal="center" vertical="center" wrapText="1"/>
    </xf>
    <xf numFmtId="164" fontId="45" fillId="0" borderId="89" xfId="0" applyNumberFormat="1" applyFont="1" applyFill="1" applyBorder="1" applyAlignment="1">
      <alignment horizontal="center" vertical="center" wrapText="1"/>
    </xf>
    <xf numFmtId="164" fontId="45" fillId="0" borderId="95" xfId="0" applyNumberFormat="1" applyFont="1" applyFill="1" applyBorder="1" applyAlignment="1">
      <alignment horizontal="center" vertical="center" wrapText="1"/>
    </xf>
    <xf numFmtId="164" fontId="0" fillId="53" borderId="71" xfId="0" applyNumberFormat="1" applyFill="1" applyBorder="1"/>
    <xf numFmtId="164" fontId="0" fillId="54" borderId="70" xfId="0" applyNumberFormat="1" applyFill="1" applyBorder="1" applyAlignment="1"/>
    <xf numFmtId="164" fontId="45" fillId="0" borderId="27" xfId="0" applyNumberFormat="1" applyFont="1" applyFill="1" applyBorder="1" applyAlignment="1">
      <alignment horizontal="center" vertical="center" wrapText="1"/>
    </xf>
    <xf numFmtId="164" fontId="45" fillId="0" borderId="26" xfId="0" applyNumberFormat="1" applyFont="1" applyFill="1" applyBorder="1" applyAlignment="1">
      <alignment horizontal="center" vertical="center" wrapText="1"/>
    </xf>
    <xf numFmtId="164" fontId="45" fillId="0" borderId="92" xfId="0" applyNumberFormat="1" applyFont="1" applyFill="1" applyBorder="1" applyAlignment="1">
      <alignment horizontal="center" vertical="center" wrapText="1"/>
    </xf>
    <xf numFmtId="164" fontId="0" fillId="54" borderId="71" xfId="0" applyNumberFormat="1" applyFill="1" applyBorder="1"/>
    <xf numFmtId="164" fontId="0" fillId="55" borderId="70" xfId="0" applyNumberFormat="1" applyFill="1" applyBorder="1" applyAlignment="1"/>
    <xf numFmtId="164" fontId="45" fillId="0" borderId="63" xfId="0" applyNumberFormat="1" applyFont="1" applyFill="1" applyBorder="1" applyAlignment="1">
      <alignment horizontal="center" vertical="center" wrapText="1"/>
    </xf>
    <xf numFmtId="164" fontId="45" fillId="27" borderId="89" xfId="0" applyNumberFormat="1" applyFont="1" applyFill="1" applyBorder="1" applyAlignment="1">
      <alignment horizontal="center" vertical="center" wrapText="1"/>
    </xf>
    <xf numFmtId="164" fontId="0" fillId="55" borderId="71" xfId="0" applyNumberFormat="1" applyFill="1" applyBorder="1"/>
    <xf numFmtId="164" fontId="0" fillId="56" borderId="70" xfId="0" applyNumberFormat="1" applyFill="1" applyBorder="1" applyAlignment="1"/>
    <xf numFmtId="164" fontId="0" fillId="56" borderId="71" xfId="0" applyNumberFormat="1" applyFill="1" applyBorder="1"/>
    <xf numFmtId="164" fontId="0" fillId="0" borderId="0" xfId="0" applyNumberFormat="1" applyFill="1" applyBorder="1" applyAlignment="1">
      <alignment horizontal="right"/>
    </xf>
    <xf numFmtId="164" fontId="0" fillId="57" borderId="70" xfId="0" applyNumberFormat="1" applyFill="1" applyBorder="1" applyAlignment="1"/>
    <xf numFmtId="164" fontId="45" fillId="0" borderId="16" xfId="0" applyNumberFormat="1" applyFont="1" applyFill="1" applyBorder="1" applyAlignment="1">
      <alignment horizontal="center" vertical="center" wrapText="1"/>
    </xf>
    <xf numFmtId="164" fontId="45" fillId="0" borderId="14" xfId="0" applyNumberFormat="1" applyFont="1" applyFill="1" applyBorder="1" applyAlignment="1">
      <alignment horizontal="center" vertical="center" wrapText="1"/>
    </xf>
    <xf numFmtId="164" fontId="45" fillId="27" borderId="10" xfId="0" applyNumberFormat="1" applyFont="1" applyFill="1" applyBorder="1" applyAlignment="1">
      <alignment horizontal="center" vertical="center" wrapText="1"/>
    </xf>
    <xf numFmtId="164" fontId="45" fillId="27" borderId="16" xfId="0" applyNumberFormat="1" applyFont="1" applyFill="1" applyBorder="1" applyAlignment="1">
      <alignment horizontal="center" vertical="center" wrapText="1"/>
    </xf>
    <xf numFmtId="164" fontId="45" fillId="27" borderId="14" xfId="0" applyNumberFormat="1" applyFont="1" applyFill="1" applyBorder="1" applyAlignment="1">
      <alignment horizontal="center" vertical="center" wrapText="1"/>
    </xf>
    <xf numFmtId="164" fontId="45" fillId="0" borderId="10" xfId="0" applyNumberFormat="1" applyFont="1" applyFill="1" applyBorder="1" applyAlignment="1">
      <alignment horizontal="center" vertical="center" wrapText="1"/>
    </xf>
    <xf numFmtId="164" fontId="45" fillId="22" borderId="10" xfId="0" applyNumberFormat="1" applyFont="1" applyFill="1" applyBorder="1" applyAlignment="1">
      <alignment horizontal="center" vertical="center" wrapText="1"/>
    </xf>
    <xf numFmtId="164" fontId="45" fillId="22" borderId="86" xfId="0" applyNumberFormat="1" applyFont="1" applyFill="1" applyBorder="1" applyAlignment="1">
      <alignment horizontal="center" vertical="center" wrapText="1"/>
    </xf>
    <xf numFmtId="164" fontId="45" fillId="22" borderId="16" xfId="0" applyNumberFormat="1" applyFont="1" applyFill="1" applyBorder="1" applyAlignment="1">
      <alignment horizontal="center" vertical="center" wrapText="1"/>
    </xf>
    <xf numFmtId="164" fontId="45" fillId="22" borderId="14" xfId="0" applyNumberFormat="1" applyFont="1" applyFill="1" applyBorder="1" applyAlignment="1">
      <alignment horizontal="center" vertical="center" wrapText="1"/>
    </xf>
    <xf numFmtId="164" fontId="45" fillId="22" borderId="29" xfId="0" applyNumberFormat="1" applyFont="1" applyFill="1" applyBorder="1" applyAlignment="1">
      <alignment horizontal="center" vertical="center" wrapText="1"/>
    </xf>
    <xf numFmtId="164" fontId="45" fillId="22" borderId="30" xfId="0" applyNumberFormat="1" applyFont="1" applyFill="1" applyBorder="1" applyAlignment="1">
      <alignment horizontal="center" vertical="center" wrapText="1"/>
    </xf>
    <xf numFmtId="164" fontId="45" fillId="27" borderId="19" xfId="0" applyNumberFormat="1" applyFont="1" applyFill="1" applyBorder="1" applyAlignment="1">
      <alignment horizontal="center" vertical="center" wrapText="1"/>
    </xf>
    <xf numFmtId="164" fontId="45" fillId="27" borderId="26" xfId="0" applyNumberFormat="1" applyFont="1" applyFill="1" applyBorder="1" applyAlignment="1">
      <alignment horizontal="center" vertical="center" wrapText="1"/>
    </xf>
    <xf numFmtId="164" fontId="0" fillId="57" borderId="71" xfId="0" applyNumberFormat="1" applyFill="1" applyBorder="1"/>
    <xf numFmtId="164" fontId="0" fillId="58" borderId="70" xfId="0" applyNumberFormat="1" applyFill="1" applyBorder="1" applyAlignment="1"/>
    <xf numFmtId="164" fontId="0" fillId="58" borderId="71" xfId="0" applyNumberFormat="1" applyFill="1" applyBorder="1"/>
    <xf numFmtId="164" fontId="45" fillId="0" borderId="19" xfId="0" applyNumberFormat="1" applyFont="1" applyFill="1" applyBorder="1" applyAlignment="1">
      <alignment horizontal="center" vertical="center" wrapText="1"/>
    </xf>
    <xf numFmtId="164" fontId="45" fillId="27" borderId="60" xfId="0" applyNumberFormat="1" applyFont="1" applyFill="1" applyBorder="1" applyAlignment="1">
      <alignment horizontal="center" vertical="center" wrapText="1"/>
    </xf>
    <xf numFmtId="164" fontId="45" fillId="27" borderId="92" xfId="0" applyNumberFormat="1" applyFont="1" applyFill="1" applyBorder="1" applyAlignment="1">
      <alignment horizontal="center" vertical="center" wrapText="1"/>
    </xf>
    <xf numFmtId="0" fontId="0" fillId="0" borderId="68" xfId="0" applyFont="1" applyBorder="1"/>
    <xf numFmtId="0" fontId="20" fillId="0" borderId="37" xfId="0" applyFont="1" applyFill="1" applyBorder="1" applyAlignment="1">
      <alignment horizontal="center" vertical="center" wrapText="1"/>
    </xf>
    <xf numFmtId="0" fontId="0" fillId="0" borderId="61" xfId="0" applyFont="1" applyBorder="1" applyAlignment="1">
      <alignment horizontal="right" wrapText="1"/>
    </xf>
    <xf numFmtId="0" fontId="0" fillId="0" borderId="43" xfId="0" applyFont="1" applyBorder="1" applyAlignment="1">
      <alignment horizontal="right" wrapText="1"/>
    </xf>
    <xf numFmtId="0" fontId="0" fillId="0" borderId="51" xfId="0" applyFont="1" applyBorder="1" applyAlignment="1">
      <alignment horizontal="right"/>
    </xf>
    <xf numFmtId="2" fontId="0" fillId="0" borderId="12" xfId="0" applyNumberFormat="1" applyBorder="1"/>
    <xf numFmtId="0" fontId="0" fillId="0" borderId="46" xfId="0" applyFont="1" applyFill="1" applyBorder="1" applyAlignment="1">
      <alignment horizontal="right"/>
    </xf>
    <xf numFmtId="0" fontId="0" fillId="0" borderId="0" xfId="0" applyFont="1" applyAlignment="1">
      <alignment horizontal="right"/>
    </xf>
    <xf numFmtId="0" fontId="51" fillId="0" borderId="53" xfId="0" applyFont="1" applyBorder="1" applyAlignment="1">
      <alignment horizontal="right"/>
    </xf>
    <xf numFmtId="0" fontId="0" fillId="0" borderId="0" xfId="0" applyFont="1" applyBorder="1" applyAlignment="1">
      <alignment horizontal="right"/>
    </xf>
    <xf numFmtId="0" fontId="51" fillId="49" borderId="70" xfId="0" applyFont="1" applyFill="1" applyBorder="1" applyAlignment="1">
      <alignment horizontal="right"/>
    </xf>
    <xf numFmtId="0" fontId="20" fillId="0" borderId="88" xfId="0" applyFont="1" applyBorder="1" applyAlignment="1">
      <alignment horizontal="right" vertical="center" wrapText="1"/>
    </xf>
    <xf numFmtId="0" fontId="0" fillId="0" borderId="37" xfId="0" applyFont="1" applyBorder="1" applyAlignment="1">
      <alignment horizontal="right"/>
    </xf>
    <xf numFmtId="0" fontId="0" fillId="36" borderId="71" xfId="0" applyFont="1" applyFill="1" applyBorder="1" applyAlignment="1">
      <alignment horizontal="right"/>
    </xf>
    <xf numFmtId="0" fontId="0" fillId="36" borderId="70" xfId="0" applyFont="1" applyFill="1" applyBorder="1" applyAlignment="1">
      <alignment horizontal="right"/>
    </xf>
    <xf numFmtId="0" fontId="20" fillId="0" borderId="37" xfId="0" applyFont="1" applyBorder="1" applyAlignment="1">
      <alignment horizontal="right" vertical="center" wrapText="1"/>
    </xf>
    <xf numFmtId="0" fontId="0" fillId="0" borderId="68" xfId="0" applyFont="1" applyBorder="1" applyAlignment="1">
      <alignment horizontal="right"/>
    </xf>
    <xf numFmtId="0" fontId="20" fillId="36" borderId="71" xfId="0" applyFont="1" applyFill="1" applyBorder="1" applyAlignment="1">
      <alignment horizontal="right" vertical="center" wrapText="1"/>
    </xf>
    <xf numFmtId="0" fontId="51" fillId="30" borderId="70" xfId="0" applyFont="1" applyFill="1" applyBorder="1" applyAlignment="1">
      <alignment horizontal="right"/>
    </xf>
    <xf numFmtId="0" fontId="0" fillId="0" borderId="0" xfId="0" applyFont="1" applyFill="1" applyBorder="1" applyAlignment="1">
      <alignment horizontal="right"/>
    </xf>
    <xf numFmtId="0" fontId="20" fillId="0" borderId="37" xfId="0" applyFont="1" applyFill="1" applyBorder="1" applyAlignment="1">
      <alignment horizontal="right" vertical="center" wrapText="1"/>
    </xf>
    <xf numFmtId="0" fontId="0" fillId="0" borderId="37" xfId="0" applyFont="1" applyFill="1" applyBorder="1" applyAlignment="1">
      <alignment horizontal="right"/>
    </xf>
    <xf numFmtId="0" fontId="0" fillId="0" borderId="51" xfId="0" applyFont="1" applyFill="1" applyBorder="1" applyAlignment="1">
      <alignment horizontal="right"/>
    </xf>
    <xf numFmtId="0" fontId="0" fillId="0" borderId="52" xfId="0" applyFont="1" applyFill="1" applyBorder="1" applyAlignment="1">
      <alignment horizontal="right"/>
    </xf>
    <xf numFmtId="0" fontId="0" fillId="30" borderId="71" xfId="0" applyFont="1" applyFill="1" applyBorder="1" applyAlignment="1">
      <alignment horizontal="right"/>
    </xf>
    <xf numFmtId="0" fontId="0" fillId="30" borderId="70" xfId="0" applyFont="1" applyFill="1" applyBorder="1" applyAlignment="1">
      <alignment horizontal="right"/>
    </xf>
    <xf numFmtId="0" fontId="20" fillId="30" borderId="71" xfId="0" applyFont="1" applyFill="1" applyBorder="1" applyAlignment="1">
      <alignment horizontal="right" vertical="center" wrapText="1"/>
    </xf>
    <xf numFmtId="2" fontId="38" fillId="0" borderId="47" xfId="0" applyNumberFormat="1" applyFont="1" applyBorder="1"/>
    <xf numFmtId="0" fontId="0" fillId="33" borderId="17" xfId="0" applyFont="1" applyFill="1" applyBorder="1" applyAlignment="1">
      <alignment vertical="center" wrapText="1"/>
    </xf>
    <xf numFmtId="0" fontId="0" fillId="27" borderId="15" xfId="0" applyFont="1" applyFill="1" applyBorder="1" applyAlignment="1">
      <alignment vertical="center" wrapText="1"/>
    </xf>
    <xf numFmtId="0" fontId="20" fillId="0" borderId="46" xfId="0" applyFont="1" applyBorder="1" applyAlignment="1">
      <alignment horizontal="right" vertical="center" wrapText="1"/>
    </xf>
    <xf numFmtId="0" fontId="0" fillId="0" borderId="46" xfId="0" applyFont="1" applyBorder="1" applyAlignment="1">
      <alignment horizontal="right" wrapText="1"/>
    </xf>
    <xf numFmtId="0" fontId="0" fillId="0" borderId="45" xfId="0" applyFont="1" applyBorder="1" applyAlignment="1">
      <alignment horizontal="right" wrapText="1"/>
    </xf>
    <xf numFmtId="0" fontId="0" fillId="0" borderId="48" xfId="0" applyFont="1" applyBorder="1" applyAlignment="1">
      <alignment horizontal="right" wrapText="1"/>
    </xf>
    <xf numFmtId="0" fontId="0" fillId="33" borderId="17" xfId="0" applyFont="1" applyFill="1" applyBorder="1" applyAlignment="1">
      <alignment horizontal="right" vertical="center" wrapText="1"/>
    </xf>
    <xf numFmtId="2" fontId="0" fillId="18" borderId="89" xfId="0" applyNumberFormat="1" applyFont="1" applyFill="1" applyBorder="1" applyAlignment="1">
      <alignment horizontal="right" vertical="center" wrapText="1"/>
    </xf>
    <xf numFmtId="0" fontId="0" fillId="27" borderId="11" xfId="0" applyFont="1" applyFill="1" applyBorder="1" applyAlignment="1">
      <alignment horizontal="right" vertical="center" wrapText="1"/>
    </xf>
    <xf numFmtId="0" fontId="0" fillId="27" borderId="38" xfId="0" applyFont="1" applyFill="1" applyBorder="1" applyAlignment="1">
      <alignment horizontal="right" vertical="center" wrapText="1"/>
    </xf>
    <xf numFmtId="0" fontId="0" fillId="27" borderId="50" xfId="0" applyFont="1" applyFill="1" applyBorder="1" applyAlignment="1">
      <alignment horizontal="right" vertical="center" wrapText="1"/>
    </xf>
    <xf numFmtId="2" fontId="0" fillId="0" borderId="16" xfId="0" applyNumberFormat="1" applyFont="1" applyFill="1" applyBorder="1" applyAlignment="1">
      <alignment horizontal="right" vertical="center" wrapText="1"/>
    </xf>
    <xf numFmtId="0" fontId="0" fillId="27" borderId="20" xfId="0" applyFont="1" applyFill="1" applyBorder="1" applyAlignment="1">
      <alignment horizontal="right" vertical="center" wrapText="1"/>
    </xf>
    <xf numFmtId="0" fontId="0" fillId="27" borderId="15" xfId="0" applyFont="1" applyFill="1" applyBorder="1" applyAlignment="1">
      <alignment horizontal="right" vertical="center" wrapText="1"/>
    </xf>
    <xf numFmtId="2" fontId="38" fillId="0" borderId="73" xfId="0" applyNumberFormat="1" applyFont="1" applyBorder="1"/>
    <xf numFmtId="2" fontId="0" fillId="0" borderId="73" xfId="0" applyNumberFormat="1" applyBorder="1"/>
    <xf numFmtId="2" fontId="38" fillId="0" borderId="65" xfId="0" applyNumberFormat="1" applyFont="1" applyFill="1" applyBorder="1" applyAlignment="1">
      <alignment horizontal="center"/>
    </xf>
    <xf numFmtId="1" fontId="0" fillId="0" borderId="72" xfId="0" applyNumberFormat="1" applyFill="1" applyBorder="1" applyAlignment="1">
      <alignment horizontal="center"/>
    </xf>
    <xf numFmtId="2" fontId="0" fillId="0" borderId="36" xfId="0" applyNumberFormat="1" applyFill="1" applyBorder="1"/>
    <xf numFmtId="0" fontId="38" fillId="0" borderId="46" xfId="0" applyFont="1" applyBorder="1" applyAlignment="1">
      <alignment horizontal="center" vertical="center" wrapText="1"/>
    </xf>
    <xf numFmtId="0" fontId="24" fillId="0" borderId="43" xfId="0" applyFont="1" applyBorder="1" applyAlignment="1">
      <alignment horizontal="right"/>
    </xf>
    <xf numFmtId="0" fontId="24" fillId="0" borderId="41" xfId="0" applyFont="1" applyFill="1" applyBorder="1" applyAlignment="1">
      <alignment horizontal="right"/>
    </xf>
    <xf numFmtId="0" fontId="24" fillId="0" borderId="43" xfId="0" applyFont="1" applyFill="1" applyBorder="1" applyAlignment="1">
      <alignment horizontal="right"/>
    </xf>
    <xf numFmtId="2" fontId="38" fillId="0" borderId="65" xfId="0" applyNumberFormat="1" applyFont="1" applyBorder="1"/>
    <xf numFmtId="2" fontId="0" fillId="0" borderId="25" xfId="0" applyNumberFormat="1" applyBorder="1"/>
    <xf numFmtId="2" fontId="0" fillId="0" borderId="11" xfId="0" applyNumberFormat="1" applyBorder="1"/>
    <xf numFmtId="0" fontId="51" fillId="0" borderId="0" xfId="0" applyFont="1" applyFill="1" applyBorder="1"/>
    <xf numFmtId="0" fontId="0" fillId="44" borderId="70" xfId="0" applyFont="1" applyFill="1" applyBorder="1" applyAlignment="1"/>
    <xf numFmtId="0" fontId="0" fillId="0" borderId="68" xfId="0" applyFont="1" applyFill="1" applyBorder="1" applyAlignment="1">
      <alignment horizontal="right"/>
    </xf>
    <xf numFmtId="0" fontId="0" fillId="0" borderId="74" xfId="0" applyFont="1" applyBorder="1"/>
    <xf numFmtId="0" fontId="0" fillId="0" borderId="69" xfId="0" applyFont="1" applyBorder="1"/>
    <xf numFmtId="0" fontId="20" fillId="0" borderId="20" xfId="0" applyFont="1" applyFill="1" applyBorder="1" applyAlignment="1">
      <alignment vertical="center"/>
    </xf>
    <xf numFmtId="2" fontId="0" fillId="0" borderId="15" xfId="0" applyNumberFormat="1" applyFont="1" applyFill="1" applyBorder="1" applyAlignment="1">
      <alignment wrapText="1"/>
    </xf>
    <xf numFmtId="2" fontId="0" fillId="0" borderId="17" xfId="0" applyNumberFormat="1" applyFont="1" applyFill="1" applyBorder="1" applyAlignment="1">
      <alignment wrapText="1"/>
    </xf>
    <xf numFmtId="0" fontId="0" fillId="33" borderId="70" xfId="0" applyFont="1" applyFill="1" applyBorder="1" applyAlignment="1"/>
    <xf numFmtId="0" fontId="0" fillId="33" borderId="23" xfId="0" applyFont="1" applyFill="1" applyBorder="1" applyAlignment="1">
      <alignment vertical="center" wrapText="1"/>
    </xf>
    <xf numFmtId="2" fontId="0" fillId="33" borderId="15" xfId="0" applyNumberFormat="1" applyFont="1" applyFill="1" applyBorder="1" applyAlignment="1">
      <alignment wrapText="1"/>
    </xf>
    <xf numFmtId="2" fontId="0" fillId="33" borderId="17" xfId="0" applyNumberFormat="1" applyFont="1" applyFill="1" applyBorder="1" applyAlignment="1">
      <alignment wrapText="1"/>
    </xf>
    <xf numFmtId="0" fontId="0" fillId="33" borderId="15" xfId="0" applyFont="1" applyFill="1" applyBorder="1" applyAlignment="1">
      <alignment vertical="center" wrapText="1"/>
    </xf>
    <xf numFmtId="0" fontId="0" fillId="45" borderId="70" xfId="0" applyFont="1" applyFill="1" applyBorder="1" applyAlignment="1"/>
    <xf numFmtId="0" fontId="0" fillId="24" borderId="70" xfId="0" applyFont="1" applyFill="1" applyBorder="1" applyAlignment="1"/>
    <xf numFmtId="0" fontId="0" fillId="32" borderId="70" xfId="0" applyFont="1" applyFill="1" applyBorder="1" applyAlignment="1"/>
    <xf numFmtId="0" fontId="90" fillId="0" borderId="0" xfId="0" applyFont="1" applyFill="1" applyBorder="1" applyAlignment="1"/>
    <xf numFmtId="2" fontId="88" fillId="0" borderId="0" xfId="0" applyNumberFormat="1" applyFont="1" applyFill="1" applyBorder="1" applyAlignment="1">
      <alignment horizontal="center"/>
    </xf>
    <xf numFmtId="10" fontId="88" fillId="0" borderId="0" xfId="0" applyNumberFormat="1" applyFont="1" applyFill="1" applyBorder="1" applyAlignment="1">
      <alignment horizontal="center"/>
    </xf>
    <xf numFmtId="2" fontId="93" fillId="0" borderId="0" xfId="0" applyNumberFormat="1" applyFont="1" applyFill="1" applyBorder="1" applyAlignment="1">
      <alignment horizontal="center"/>
    </xf>
    <xf numFmtId="10" fontId="93" fillId="0" borderId="0" xfId="0" applyNumberFormat="1" applyFont="1" applyFill="1" applyBorder="1" applyAlignment="1">
      <alignment horizontal="center"/>
    </xf>
    <xf numFmtId="2" fontId="90" fillId="0" borderId="0" xfId="0" applyNumberFormat="1" applyFont="1" applyFill="1" applyBorder="1" applyAlignment="1">
      <alignment horizontal="center" vertical="center"/>
    </xf>
    <xf numFmtId="2" fontId="90" fillId="0" borderId="0" xfId="0" applyNumberFormat="1" applyFont="1" applyFill="1" applyBorder="1" applyAlignment="1">
      <alignment horizontal="center"/>
    </xf>
    <xf numFmtId="0" fontId="89" fillId="0" borderId="0" xfId="0" applyFont="1" applyFill="1" applyBorder="1" applyAlignment="1">
      <alignment horizontal="center"/>
    </xf>
    <xf numFmtId="2" fontId="88" fillId="24" borderId="73" xfId="0" applyNumberFormat="1" applyFont="1" applyFill="1" applyBorder="1" applyAlignment="1">
      <alignment horizontal="center"/>
    </xf>
    <xf numFmtId="2" fontId="88" fillId="27" borderId="72" xfId="0" applyNumberFormat="1" applyFont="1" applyFill="1" applyBorder="1" applyAlignment="1">
      <alignment horizontal="center"/>
    </xf>
    <xf numFmtId="2" fontId="93" fillId="27" borderId="70" xfId="0" applyNumberFormat="1" applyFont="1" applyFill="1" applyBorder="1" applyAlignment="1">
      <alignment horizontal="center"/>
    </xf>
    <xf numFmtId="2" fontId="90" fillId="0" borderId="72" xfId="0" applyNumberFormat="1" applyFont="1" applyBorder="1" applyAlignment="1">
      <alignment horizontal="center" vertical="center"/>
    </xf>
    <xf numFmtId="2" fontId="90" fillId="0" borderId="75" xfId="0" applyNumberFormat="1" applyFont="1" applyBorder="1" applyAlignment="1">
      <alignment horizontal="center"/>
    </xf>
    <xf numFmtId="2" fontId="88" fillId="32" borderId="73" xfId="0" applyNumberFormat="1" applyFont="1" applyFill="1" applyBorder="1" applyAlignment="1">
      <alignment horizontal="center"/>
    </xf>
    <xf numFmtId="2" fontId="88" fillId="32" borderId="72" xfId="0" applyNumberFormat="1" applyFont="1" applyFill="1" applyBorder="1" applyAlignment="1">
      <alignment horizontal="center"/>
    </xf>
    <xf numFmtId="10" fontId="88" fillId="32" borderId="75" xfId="0" applyNumberFormat="1" applyFont="1" applyFill="1" applyBorder="1" applyAlignment="1">
      <alignment horizontal="center"/>
    </xf>
    <xf numFmtId="2" fontId="90" fillId="0" borderId="56" xfId="0" applyNumberFormat="1" applyFont="1" applyBorder="1" applyAlignment="1">
      <alignment horizontal="center"/>
    </xf>
    <xf numFmtId="0" fontId="88" fillId="0" borderId="0" xfId="0" applyFont="1" applyFill="1" applyAlignment="1">
      <alignment wrapText="1"/>
    </xf>
    <xf numFmtId="0" fontId="46" fillId="18" borderId="0" xfId="0" applyFont="1" applyFill="1" applyAlignment="1">
      <alignment horizontal="center" vertical="center"/>
    </xf>
    <xf numFmtId="0" fontId="46" fillId="0" borderId="0" xfId="0" applyFont="1" applyAlignment="1">
      <alignment horizontal="center" vertical="center"/>
    </xf>
    <xf numFmtId="0" fontId="24" fillId="28" borderId="91" xfId="0" applyFont="1" applyFill="1" applyBorder="1" applyAlignment="1">
      <alignment horizontal="center" wrapText="1"/>
    </xf>
    <xf numFmtId="0" fontId="38" fillId="28" borderId="63" xfId="0" applyFont="1" applyFill="1" applyBorder="1" applyAlignment="1">
      <alignment horizontal="center" wrapText="1"/>
    </xf>
    <xf numFmtId="0" fontId="24" fillId="28" borderId="63" xfId="0" applyFont="1" applyFill="1" applyBorder="1" applyAlignment="1">
      <alignment horizontal="center" wrapText="1"/>
    </xf>
    <xf numFmtId="0" fontId="24" fillId="28" borderId="90" xfId="0" applyFont="1" applyFill="1" applyBorder="1" applyAlignment="1">
      <alignment horizontal="center" wrapText="1"/>
    </xf>
    <xf numFmtId="0" fontId="38" fillId="30" borderId="65" xfId="0" applyFont="1" applyFill="1" applyBorder="1" applyAlignment="1">
      <alignment wrapText="1"/>
    </xf>
    <xf numFmtId="2" fontId="38" fillId="30" borderId="65" xfId="0" applyNumberFormat="1" applyFont="1" applyFill="1" applyBorder="1" applyAlignment="1">
      <alignment wrapText="1"/>
    </xf>
    <xf numFmtId="0" fontId="24" fillId="30" borderId="35" xfId="0" applyFont="1" applyFill="1" applyBorder="1"/>
    <xf numFmtId="0" fontId="24" fillId="30" borderId="57" xfId="0" applyFont="1" applyFill="1" applyBorder="1"/>
    <xf numFmtId="0" fontId="24" fillId="30" borderId="40" xfId="0" applyFont="1" applyFill="1" applyBorder="1"/>
    <xf numFmtId="0" fontId="38" fillId="25" borderId="65" xfId="0" applyFont="1" applyFill="1" applyBorder="1" applyAlignment="1">
      <alignment wrapText="1"/>
    </xf>
    <xf numFmtId="2" fontId="38" fillId="25" borderId="65" xfId="0" applyNumberFormat="1" applyFont="1" applyFill="1" applyBorder="1" applyAlignment="1">
      <alignment wrapText="1"/>
    </xf>
    <xf numFmtId="0" fontId="24" fillId="25" borderId="65" xfId="0" applyFont="1" applyFill="1" applyBorder="1" applyAlignment="1">
      <alignment wrapText="1"/>
    </xf>
    <xf numFmtId="0" fontId="24" fillId="25" borderId="65" xfId="0" applyFont="1" applyFill="1" applyBorder="1" applyAlignment="1">
      <alignment horizontal="center" wrapText="1"/>
    </xf>
    <xf numFmtId="0" fontId="24" fillId="25" borderId="36" xfId="0" applyFont="1" applyFill="1" applyBorder="1" applyAlignment="1">
      <alignment wrapText="1"/>
    </xf>
    <xf numFmtId="2" fontId="24" fillId="25" borderId="36" xfId="0" applyNumberFormat="1" applyFont="1" applyFill="1" applyBorder="1" applyAlignment="1">
      <alignment wrapText="1"/>
    </xf>
    <xf numFmtId="10" fontId="24" fillId="25" borderId="36" xfId="0" applyNumberFormat="1" applyFont="1" applyFill="1" applyBorder="1" applyAlignment="1">
      <alignment horizontal="left" wrapText="1"/>
    </xf>
    <xf numFmtId="0" fontId="24" fillId="25" borderId="36" xfId="0" applyFont="1" applyFill="1" applyBorder="1" applyAlignment="1">
      <alignment horizontal="center" wrapText="1"/>
    </xf>
    <xf numFmtId="0" fontId="60" fillId="31" borderId="35" xfId="0" applyFont="1" applyFill="1" applyBorder="1"/>
    <xf numFmtId="0" fontId="60" fillId="31" borderId="57" xfId="0" applyFont="1" applyFill="1" applyBorder="1"/>
    <xf numFmtId="0" fontId="60" fillId="31" borderId="40" xfId="0" applyFont="1" applyFill="1" applyBorder="1"/>
    <xf numFmtId="0" fontId="24" fillId="19" borderId="35" xfId="0" applyFont="1" applyFill="1" applyBorder="1"/>
    <xf numFmtId="0" fontId="24" fillId="19" borderId="57" xfId="0" applyFont="1" applyFill="1" applyBorder="1"/>
    <xf numFmtId="0" fontId="24" fillId="19" borderId="40" xfId="0" applyFont="1" applyFill="1" applyBorder="1"/>
    <xf numFmtId="0" fontId="38" fillId="28" borderId="65" xfId="0" applyFont="1" applyFill="1" applyBorder="1" applyAlignment="1">
      <alignment wrapText="1"/>
    </xf>
    <xf numFmtId="2" fontId="38" fillId="28" borderId="65" xfId="0" applyNumberFormat="1" applyFont="1" applyFill="1" applyBorder="1" applyAlignment="1">
      <alignment wrapText="1"/>
    </xf>
    <xf numFmtId="0" fontId="24" fillId="28" borderId="65" xfId="0" applyFont="1" applyFill="1" applyBorder="1" applyAlignment="1">
      <alignment wrapText="1"/>
    </xf>
    <xf numFmtId="0" fontId="24" fillId="28" borderId="65" xfId="0" applyFont="1" applyFill="1" applyBorder="1" applyAlignment="1">
      <alignment horizontal="center" wrapText="1"/>
    </xf>
    <xf numFmtId="0" fontId="24" fillId="28" borderId="65" xfId="0" applyFont="1" applyFill="1" applyBorder="1"/>
    <xf numFmtId="0" fontId="24" fillId="28" borderId="35" xfId="0" applyFont="1" applyFill="1" applyBorder="1"/>
    <xf numFmtId="0" fontId="24" fillId="28" borderId="57" xfId="0" applyFont="1" applyFill="1" applyBorder="1"/>
    <xf numFmtId="0" fontId="24" fillId="28" borderId="40" xfId="0" applyFont="1" applyFill="1" applyBorder="1"/>
    <xf numFmtId="2" fontId="0" fillId="0" borderId="23" xfId="0" applyNumberFormat="1" applyFill="1" applyBorder="1"/>
    <xf numFmtId="2" fontId="0" fillId="0" borderId="15" xfId="0" applyNumberFormat="1" applyFill="1" applyBorder="1"/>
    <xf numFmtId="2" fontId="0" fillId="0" borderId="17" xfId="0" applyNumberFormat="1" applyFill="1" applyBorder="1"/>
    <xf numFmtId="2" fontId="0" fillId="0" borderId="54" xfId="0" applyNumberFormat="1" applyFill="1" applyBorder="1"/>
    <xf numFmtId="2" fontId="21" fillId="33" borderId="21" xfId="0" applyNumberFormat="1" applyFont="1" applyFill="1" applyBorder="1" applyAlignment="1">
      <alignment horizontal="center" vertical="center" wrapText="1"/>
    </xf>
    <xf numFmtId="167" fontId="0" fillId="25" borderId="57" xfId="0" applyNumberFormat="1" applyFill="1" applyBorder="1" applyAlignment="1">
      <alignment horizontal="left"/>
    </xf>
    <xf numFmtId="10" fontId="0" fillId="25" borderId="36" xfId="0" applyNumberFormat="1" applyFont="1" applyFill="1" applyBorder="1" applyAlignment="1">
      <alignment horizontal="left" wrapText="1"/>
    </xf>
    <xf numFmtId="0" fontId="0" fillId="25" borderId="36" xfId="0" applyFill="1" applyBorder="1"/>
    <xf numFmtId="0" fontId="41" fillId="18" borderId="0" xfId="0" applyFont="1" applyFill="1" applyAlignment="1">
      <alignment horizontal="center" vertical="center"/>
    </xf>
    <xf numFmtId="10" fontId="41" fillId="18" borderId="0" xfId="0" applyNumberFormat="1" applyFont="1" applyFill="1" applyAlignment="1">
      <alignment horizontal="center" vertical="center"/>
    </xf>
    <xf numFmtId="0" fontId="41" fillId="0" borderId="0" xfId="0" applyFont="1" applyAlignment="1">
      <alignment horizontal="center" vertical="center"/>
    </xf>
    <xf numFmtId="10" fontId="41" fillId="0" borderId="0" xfId="0" applyNumberFormat="1" applyFont="1" applyAlignment="1">
      <alignment horizontal="center" vertical="center"/>
    </xf>
    <xf numFmtId="1" fontId="41" fillId="0" borderId="0" xfId="0" applyNumberFormat="1" applyFont="1" applyAlignment="1">
      <alignment horizontal="center" vertical="center"/>
    </xf>
    <xf numFmtId="0" fontId="20" fillId="18" borderId="33" xfId="0" applyFont="1" applyFill="1" applyBorder="1" applyAlignment="1">
      <alignment horizontal="center"/>
    </xf>
    <xf numFmtId="0" fontId="20" fillId="18" borderId="72" xfId="0" applyFont="1" applyFill="1" applyBorder="1" applyAlignment="1">
      <alignment horizontal="center"/>
    </xf>
    <xf numFmtId="0" fontId="20" fillId="18" borderId="87" xfId="0" applyFont="1" applyFill="1" applyBorder="1" applyAlignment="1">
      <alignment horizontal="center"/>
    </xf>
    <xf numFmtId="0" fontId="67" fillId="18" borderId="51" xfId="0" applyFont="1" applyFill="1" applyBorder="1" applyAlignment="1">
      <alignment horizontal="center"/>
    </xf>
    <xf numFmtId="0" fontId="67" fillId="18" borderId="0" xfId="0" applyFont="1" applyFill="1" applyBorder="1" applyAlignment="1">
      <alignment horizontal="center"/>
    </xf>
    <xf numFmtId="0" fontId="67" fillId="18" borderId="57" xfId="0" applyFont="1" applyFill="1" applyBorder="1" applyAlignment="1">
      <alignment horizontal="center"/>
    </xf>
    <xf numFmtId="0" fontId="22" fillId="18" borderId="51" xfId="0" applyFont="1" applyFill="1" applyBorder="1" applyAlignment="1">
      <alignment horizontal="center"/>
    </xf>
    <xf numFmtId="0" fontId="22" fillId="18" borderId="0" xfId="0" applyFont="1" applyFill="1" applyBorder="1" applyAlignment="1">
      <alignment horizontal="center"/>
    </xf>
    <xf numFmtId="0" fontId="22" fillId="18" borderId="57" xfId="0" applyFont="1" applyFill="1" applyBorder="1" applyAlignment="1">
      <alignment horizontal="center"/>
    </xf>
    <xf numFmtId="0" fontId="1" fillId="0" borderId="0" xfId="40" applyAlignment="1">
      <alignment horizontal="left" vertical="top" wrapText="1"/>
    </xf>
    <xf numFmtId="0" fontId="22" fillId="0" borderId="53" xfId="0" applyFont="1" applyBorder="1" applyAlignment="1">
      <alignment horizontal="center"/>
    </xf>
    <xf numFmtId="0" fontId="22" fillId="0" borderId="54" xfId="0" applyFont="1" applyBorder="1" applyAlignment="1">
      <alignment horizontal="center"/>
    </xf>
    <xf numFmtId="0" fontId="22" fillId="0" borderId="55" xfId="0" applyFont="1" applyBorder="1" applyAlignment="1">
      <alignment horizontal="center"/>
    </xf>
    <xf numFmtId="0" fontId="0" fillId="0" borderId="8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3"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6" xfId="0" applyFont="1" applyFill="1" applyBorder="1" applyAlignment="1">
      <alignment horizontal="center" vertical="center" wrapText="1"/>
    </xf>
    <xf numFmtId="0" fontId="0" fillId="0" borderId="43" xfId="0" applyFont="1" applyFill="1" applyBorder="1" applyAlignment="1">
      <alignment horizontal="center" vertical="center" wrapText="1"/>
    </xf>
    <xf numFmtId="0" fontId="0" fillId="0" borderId="45" xfId="0" applyFont="1" applyFill="1" applyBorder="1" applyAlignment="1">
      <alignment horizontal="center" vertical="center" wrapText="1"/>
    </xf>
    <xf numFmtId="0" fontId="0" fillId="0" borderId="61" xfId="0" applyFont="1" applyBorder="1" applyAlignment="1">
      <alignment horizontal="center" vertical="center" wrapText="1"/>
    </xf>
    <xf numFmtId="0" fontId="0" fillId="0" borderId="88" xfId="0" applyBorder="1" applyAlignment="1">
      <alignment horizontal="center" vertical="center"/>
    </xf>
    <xf numFmtId="0" fontId="0" fillId="0" borderId="41" xfId="0" applyBorder="1" applyAlignment="1">
      <alignment horizontal="center" vertical="center"/>
    </xf>
    <xf numFmtId="0" fontId="0" fillId="0" borderId="56" xfId="0" applyBorder="1" applyAlignment="1">
      <alignment horizontal="center" vertical="center"/>
    </xf>
    <xf numFmtId="0" fontId="0" fillId="0" borderId="88"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56" xfId="0" applyFont="1" applyFill="1" applyBorder="1" applyAlignment="1">
      <alignment horizontal="center" vertical="center" wrapText="1"/>
    </xf>
    <xf numFmtId="0" fontId="0" fillId="0" borderId="88" xfId="0" applyBorder="1" applyAlignment="1">
      <alignment horizontal="center" vertical="center" wrapText="1"/>
    </xf>
    <xf numFmtId="0" fontId="0" fillId="0" borderId="41" xfId="0" applyBorder="1" applyAlignment="1">
      <alignment horizontal="center" vertical="center" wrapText="1"/>
    </xf>
    <xf numFmtId="0" fontId="0" fillId="0" borderId="56" xfId="0" applyBorder="1" applyAlignment="1">
      <alignment horizontal="center" vertical="center" wrapText="1"/>
    </xf>
    <xf numFmtId="0" fontId="0" fillId="0" borderId="41" xfId="0" applyFill="1" applyBorder="1" applyAlignment="1">
      <alignment horizontal="center" vertical="center"/>
    </xf>
    <xf numFmtId="0" fontId="0" fillId="0" borderId="56" xfId="0" applyFill="1" applyBorder="1" applyAlignment="1">
      <alignment horizontal="center" vertical="center"/>
    </xf>
    <xf numFmtId="0" fontId="0" fillId="0" borderId="61" xfId="0" applyFont="1" applyFill="1" applyBorder="1" applyAlignment="1">
      <alignment horizontal="center" vertical="center" wrapText="1"/>
    </xf>
    <xf numFmtId="0" fontId="0" fillId="18" borderId="41" xfId="0" applyFill="1" applyBorder="1" applyAlignment="1">
      <alignment horizontal="center" vertical="center"/>
    </xf>
    <xf numFmtId="0" fontId="0" fillId="18" borderId="58" xfId="0" applyFill="1" applyBorder="1" applyAlignment="1">
      <alignment horizontal="center" vertical="center"/>
    </xf>
    <xf numFmtId="0" fontId="28" fillId="18" borderId="72" xfId="0" applyFont="1" applyFill="1" applyBorder="1" applyAlignment="1">
      <alignment horizontal="center" vertical="center"/>
    </xf>
    <xf numFmtId="0" fontId="20" fillId="18" borderId="70" xfId="0" applyFont="1" applyFill="1" applyBorder="1" applyAlignment="1">
      <alignment horizontal="center" vertical="center"/>
    </xf>
    <xf numFmtId="0" fontId="20" fillId="18" borderId="93" xfId="0" applyFont="1" applyFill="1" applyBorder="1" applyAlignment="1">
      <alignment horizontal="center" vertical="center"/>
    </xf>
    <xf numFmtId="2" fontId="28" fillId="18" borderId="70" xfId="0" applyNumberFormat="1" applyFont="1" applyFill="1" applyBorder="1" applyAlignment="1" applyProtection="1">
      <alignment horizontal="center" vertical="center"/>
    </xf>
    <xf numFmtId="2" fontId="28" fillId="18" borderId="93" xfId="0" applyNumberFormat="1" applyFont="1" applyFill="1" applyBorder="1" applyAlignment="1" applyProtection="1">
      <alignment horizontal="center" vertical="center"/>
    </xf>
    <xf numFmtId="0" fontId="20" fillId="18" borderId="76" xfId="0" applyFont="1" applyFill="1" applyBorder="1" applyAlignment="1">
      <alignment horizontal="center" vertical="center"/>
    </xf>
    <xf numFmtId="2" fontId="20" fillId="18" borderId="0" xfId="0" applyNumberFormat="1" applyFont="1" applyFill="1" applyBorder="1" applyAlignment="1">
      <alignment horizontal="center" vertical="center"/>
    </xf>
    <xf numFmtId="2" fontId="20" fillId="18" borderId="57" xfId="0" applyNumberFormat="1" applyFont="1" applyFill="1" applyBorder="1" applyAlignment="1">
      <alignment horizontal="center" vertical="center"/>
    </xf>
    <xf numFmtId="2" fontId="20" fillId="18" borderId="71" xfId="0" applyNumberFormat="1" applyFont="1" applyFill="1" applyBorder="1" applyAlignment="1">
      <alignment horizontal="center" vertical="center"/>
    </xf>
    <xf numFmtId="2" fontId="20" fillId="18" borderId="59" xfId="0" applyNumberFormat="1" applyFont="1" applyFill="1" applyBorder="1" applyAlignment="1">
      <alignment horizontal="center" vertical="center"/>
    </xf>
    <xf numFmtId="2" fontId="20" fillId="18" borderId="67" xfId="0" applyNumberFormat="1" applyFont="1" applyFill="1" applyBorder="1" applyAlignment="1">
      <alignment horizontal="center" vertical="center"/>
    </xf>
    <xf numFmtId="2" fontId="20" fillId="18" borderId="51" xfId="0" applyNumberFormat="1" applyFont="1" applyFill="1" applyBorder="1" applyAlignment="1">
      <alignment horizontal="center" vertical="center"/>
    </xf>
    <xf numFmtId="0" fontId="0" fillId="18" borderId="61" xfId="0" applyFill="1" applyBorder="1" applyAlignment="1">
      <alignment horizontal="right" vertical="center"/>
    </xf>
    <xf numFmtId="0" fontId="0" fillId="18" borderId="58" xfId="0" applyFill="1" applyBorder="1" applyAlignment="1">
      <alignment horizontal="right" vertical="center"/>
    </xf>
    <xf numFmtId="0" fontId="0" fillId="18" borderId="61" xfId="0" applyFont="1" applyFill="1" applyBorder="1" applyAlignment="1">
      <alignment horizontal="right" vertical="center"/>
    </xf>
    <xf numFmtId="0" fontId="0" fillId="18" borderId="58" xfId="0" applyFont="1" applyFill="1" applyBorder="1" applyAlignment="1">
      <alignment horizontal="right" vertical="center"/>
    </xf>
    <xf numFmtId="0" fontId="22" fillId="18" borderId="0" xfId="0" applyFont="1" applyFill="1" applyBorder="1" applyAlignment="1">
      <alignment horizontal="center" vertical="center" wrapText="1"/>
    </xf>
    <xf numFmtId="2" fontId="20" fillId="18" borderId="70" xfId="0" applyNumberFormat="1" applyFont="1" applyFill="1" applyBorder="1" applyAlignment="1" applyProtection="1">
      <alignment horizontal="center" vertical="center"/>
    </xf>
    <xf numFmtId="2" fontId="20" fillId="18" borderId="93" xfId="0" applyNumberFormat="1" applyFont="1" applyFill="1" applyBorder="1" applyAlignment="1" applyProtection="1">
      <alignment horizontal="center" vertical="center"/>
    </xf>
    <xf numFmtId="2" fontId="20" fillId="18" borderId="71" xfId="0" applyNumberFormat="1" applyFont="1" applyFill="1" applyBorder="1" applyAlignment="1" applyProtection="1">
      <alignment horizontal="center" vertical="center"/>
    </xf>
    <xf numFmtId="2" fontId="20" fillId="18" borderId="59" xfId="0" applyNumberFormat="1" applyFont="1" applyFill="1" applyBorder="1" applyAlignment="1" applyProtection="1">
      <alignment horizontal="center" vertical="center"/>
    </xf>
    <xf numFmtId="1" fontId="20" fillId="18" borderId="70" xfId="0" applyNumberFormat="1" applyFont="1" applyFill="1" applyBorder="1" applyAlignment="1" applyProtection="1">
      <alignment horizontal="center" vertical="center"/>
    </xf>
    <xf numFmtId="1" fontId="20" fillId="18" borderId="93" xfId="0" applyNumberFormat="1" applyFont="1" applyFill="1" applyBorder="1" applyAlignment="1" applyProtection="1">
      <alignment horizontal="center" vertical="center"/>
    </xf>
    <xf numFmtId="2" fontId="20" fillId="18" borderId="0" xfId="0" applyNumberFormat="1" applyFont="1" applyFill="1" applyBorder="1" applyAlignment="1" applyProtection="1">
      <alignment horizontal="center" vertical="center"/>
    </xf>
    <xf numFmtId="2" fontId="20" fillId="18" borderId="57" xfId="0" applyNumberFormat="1" applyFont="1" applyFill="1" applyBorder="1" applyAlignment="1" applyProtection="1">
      <alignment horizontal="center" vertical="center"/>
    </xf>
    <xf numFmtId="1" fontId="20" fillId="18" borderId="0" xfId="0" applyNumberFormat="1" applyFont="1" applyFill="1" applyBorder="1" applyAlignment="1" applyProtection="1">
      <alignment horizontal="center" vertical="center"/>
    </xf>
    <xf numFmtId="1" fontId="20" fillId="18" borderId="57" xfId="0" applyNumberFormat="1" applyFont="1" applyFill="1" applyBorder="1" applyAlignment="1" applyProtection="1">
      <alignment horizontal="center" vertical="center"/>
    </xf>
    <xf numFmtId="2" fontId="20" fillId="18" borderId="76" xfId="0" applyNumberFormat="1" applyFont="1" applyFill="1" applyBorder="1" applyAlignment="1" applyProtection="1">
      <alignment horizontal="center" vertical="center"/>
    </xf>
    <xf numFmtId="2" fontId="20" fillId="18" borderId="51" xfId="0" applyNumberFormat="1" applyFont="1" applyFill="1" applyBorder="1" applyAlignment="1" applyProtection="1">
      <alignment horizontal="center" vertical="center"/>
    </xf>
    <xf numFmtId="2" fontId="20" fillId="18" borderId="67" xfId="0" applyNumberFormat="1" applyFont="1" applyFill="1" applyBorder="1" applyAlignment="1" applyProtection="1">
      <alignment horizontal="center" vertical="center"/>
    </xf>
    <xf numFmtId="1" fontId="20" fillId="18" borderId="76" xfId="0" applyNumberFormat="1" applyFont="1" applyFill="1" applyBorder="1" applyAlignment="1" applyProtection="1">
      <alignment horizontal="center" vertical="center"/>
    </xf>
    <xf numFmtId="1" fontId="20" fillId="18" borderId="51" xfId="0" applyNumberFormat="1" applyFont="1" applyFill="1" applyBorder="1" applyAlignment="1" applyProtection="1">
      <alignment horizontal="center" vertical="center"/>
    </xf>
    <xf numFmtId="0" fontId="20" fillId="35" borderId="53" xfId="0" applyFont="1" applyFill="1" applyBorder="1" applyAlignment="1">
      <alignment horizontal="center"/>
    </xf>
    <xf numFmtId="0" fontId="20" fillId="35" borderId="54" xfId="0" applyFont="1" applyFill="1" applyBorder="1" applyAlignment="1">
      <alignment horizontal="center"/>
    </xf>
    <xf numFmtId="0" fontId="20" fillId="35" borderId="55" xfId="0" applyFont="1" applyFill="1" applyBorder="1" applyAlignment="1">
      <alignment horizontal="center"/>
    </xf>
    <xf numFmtId="0" fontId="20" fillId="30" borderId="53" xfId="0" applyFont="1" applyFill="1" applyBorder="1" applyAlignment="1">
      <alignment horizontal="center"/>
    </xf>
    <xf numFmtId="0" fontId="20" fillId="30" borderId="54" xfId="0" applyFont="1" applyFill="1" applyBorder="1" applyAlignment="1">
      <alignment horizontal="center"/>
    </xf>
    <xf numFmtId="0" fontId="20" fillId="30" borderId="55" xfId="0" applyFont="1" applyFill="1" applyBorder="1" applyAlignment="1">
      <alignment horizontal="center"/>
    </xf>
    <xf numFmtId="0" fontId="20" fillId="35" borderId="74" xfId="0" applyFont="1" applyFill="1" applyBorder="1" applyAlignment="1">
      <alignment horizontal="center"/>
    </xf>
    <xf numFmtId="0" fontId="20" fillId="35" borderId="47" xfId="0" applyFont="1" applyFill="1" applyBorder="1" applyAlignment="1">
      <alignment horizontal="center"/>
    </xf>
    <xf numFmtId="0" fontId="20" fillId="30" borderId="51" xfId="0" applyFont="1" applyFill="1" applyBorder="1" applyAlignment="1">
      <alignment horizontal="center"/>
    </xf>
    <xf numFmtId="0" fontId="20" fillId="30" borderId="0" xfId="0" applyFont="1" applyFill="1" applyBorder="1" applyAlignment="1">
      <alignment horizontal="center"/>
    </xf>
    <xf numFmtId="0" fontId="20" fillId="30" borderId="37" xfId="0" applyFont="1" applyFill="1" applyBorder="1" applyAlignment="1">
      <alignment horizontal="center"/>
    </xf>
    <xf numFmtId="0" fontId="20" fillId="30" borderId="35" xfId="0" applyFont="1" applyFill="1" applyBorder="1" applyAlignment="1">
      <alignment horizontal="center"/>
    </xf>
    <xf numFmtId="0" fontId="90" fillId="29" borderId="88" xfId="0" applyFont="1" applyFill="1" applyBorder="1" applyAlignment="1">
      <alignment horizontal="center" vertical="center" wrapText="1"/>
    </xf>
    <xf numFmtId="0" fontId="90" fillId="29" borderId="58" xfId="0" applyFont="1" applyFill="1" applyBorder="1" applyAlignment="1">
      <alignment horizontal="center" vertical="center" wrapText="1"/>
    </xf>
    <xf numFmtId="0" fontId="19" fillId="19" borderId="88" xfId="0" applyFont="1" applyFill="1" applyBorder="1" applyAlignment="1">
      <alignment horizontal="center" vertical="center" wrapText="1"/>
    </xf>
    <xf numFmtId="0" fontId="19" fillId="19" borderId="41" xfId="0" applyFont="1" applyFill="1" applyBorder="1" applyAlignment="1">
      <alignment horizontal="center" vertical="center" wrapText="1"/>
    </xf>
    <xf numFmtId="0" fontId="19" fillId="19" borderId="56" xfId="0" applyFont="1" applyFill="1" applyBorder="1" applyAlignment="1">
      <alignment horizontal="center" vertical="center" wrapText="1"/>
    </xf>
    <xf numFmtId="0" fontId="0" fillId="24" borderId="85" xfId="0" applyFill="1" applyBorder="1" applyAlignment="1">
      <alignment horizontal="center" vertical="center" wrapText="1"/>
    </xf>
    <xf numFmtId="0" fontId="0" fillId="24" borderId="87" xfId="0" applyFill="1" applyBorder="1" applyAlignment="1">
      <alignment horizontal="center" vertical="center" wrapText="1"/>
    </xf>
    <xf numFmtId="0" fontId="0" fillId="27" borderId="89" xfId="0" applyFill="1" applyBorder="1" applyAlignment="1">
      <alignment horizontal="center" vertical="center" wrapText="1"/>
    </xf>
    <xf numFmtId="0" fontId="0" fillId="27" borderId="63" xfId="0" applyFill="1" applyBorder="1" applyAlignment="1">
      <alignment horizontal="center" vertical="center" wrapText="1"/>
    </xf>
    <xf numFmtId="0" fontId="20" fillId="0" borderId="89" xfId="0" applyFont="1" applyBorder="1" applyAlignment="1">
      <alignment horizontal="center" vertical="center" wrapText="1"/>
    </xf>
    <xf numFmtId="0" fontId="20" fillId="0" borderId="90" xfId="0" applyFont="1" applyBorder="1" applyAlignment="1">
      <alignment horizontal="center" vertical="center" wrapText="1"/>
    </xf>
    <xf numFmtId="0" fontId="0" fillId="32" borderId="91" xfId="0" applyFill="1" applyBorder="1" applyAlignment="1">
      <alignment horizontal="center" vertical="center" wrapText="1"/>
    </xf>
    <xf numFmtId="0" fontId="0" fillId="32" borderId="63" xfId="0" applyFill="1" applyBorder="1" applyAlignment="1">
      <alignment horizontal="center" vertical="center" wrapText="1"/>
    </xf>
    <xf numFmtId="0" fontId="0" fillId="32" borderId="90" xfId="0" applyFill="1" applyBorder="1" applyAlignment="1">
      <alignment horizontal="center" vertical="center" wrapText="1"/>
    </xf>
    <xf numFmtId="0" fontId="0" fillId="24" borderId="20" xfId="0" applyFill="1" applyBorder="1" applyAlignment="1">
      <alignment horizontal="center" vertical="center" wrapText="1"/>
    </xf>
    <xf numFmtId="0" fontId="0" fillId="24" borderId="38"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49" xfId="0" applyFill="1" applyBorder="1" applyAlignment="1">
      <alignment horizontal="center" vertical="center" wrapText="1"/>
    </xf>
    <xf numFmtId="0" fontId="0" fillId="27" borderId="38" xfId="0" applyFill="1" applyBorder="1" applyAlignment="1">
      <alignment horizontal="center" vertical="center" wrapText="1"/>
    </xf>
    <xf numFmtId="0" fontId="20" fillId="0" borderId="28" xfId="0" applyFont="1" applyBorder="1" applyAlignment="1">
      <alignment horizontal="center" vertical="center" wrapText="1"/>
    </xf>
    <xf numFmtId="0" fontId="20" fillId="0" borderId="50" xfId="0" applyFont="1" applyBorder="1" applyAlignment="1">
      <alignment horizontal="center" vertical="center" wrapText="1"/>
    </xf>
    <xf numFmtId="0" fontId="0" fillId="32" borderId="20" xfId="0" applyFill="1" applyBorder="1" applyAlignment="1">
      <alignment horizontal="center" vertical="center" wrapText="1"/>
    </xf>
    <xf numFmtId="0" fontId="0" fillId="32" borderId="49" xfId="0" applyFill="1" applyBorder="1" applyAlignment="1">
      <alignment horizontal="center" vertical="center" wrapText="1"/>
    </xf>
    <xf numFmtId="0" fontId="0" fillId="32" borderId="50" xfId="0" applyFill="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55" xfId="0" applyFont="1" applyBorder="1" applyAlignment="1">
      <alignment horizontal="center"/>
    </xf>
    <xf numFmtId="0" fontId="24" fillId="48" borderId="20" xfId="0" applyFont="1" applyFill="1" applyBorder="1" applyAlignment="1">
      <alignment horizontal="center" vertical="center" wrapText="1"/>
    </xf>
    <xf numFmtId="0" fontId="24" fillId="48" borderId="49" xfId="0" applyFont="1" applyFill="1" applyBorder="1" applyAlignment="1">
      <alignment horizontal="center" vertical="center" wrapText="1"/>
    </xf>
    <xf numFmtId="0" fontId="24" fillId="48" borderId="50"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20"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52" xfId="0" applyFont="1" applyFill="1" applyBorder="1" applyAlignment="1">
      <alignment horizontal="center" vertical="center" wrapText="1"/>
    </xf>
    <xf numFmtId="0" fontId="38" fillId="0" borderId="53" xfId="0" applyFont="1" applyBorder="1" applyAlignment="1">
      <alignment horizontal="center" wrapText="1"/>
    </xf>
    <xf numFmtId="0" fontId="38" fillId="0" borderId="5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24" fillId="48" borderId="37" xfId="0" applyFont="1" applyFill="1" applyBorder="1" applyAlignment="1">
      <alignment horizontal="center" vertical="center" wrapText="1"/>
    </xf>
    <xf numFmtId="0" fontId="24" fillId="48" borderId="51" xfId="0" applyFont="1" applyFill="1" applyBorder="1" applyAlignment="1">
      <alignment horizontal="center" vertical="center" wrapText="1"/>
    </xf>
    <xf numFmtId="0" fontId="24" fillId="48" borderId="52" xfId="0" applyFont="1" applyFill="1" applyBorder="1" applyAlignment="1">
      <alignment horizontal="center" vertical="center" wrapText="1"/>
    </xf>
    <xf numFmtId="0" fontId="24" fillId="30" borderId="37" xfId="0" applyFont="1" applyFill="1" applyBorder="1" applyAlignment="1">
      <alignment horizontal="center" vertical="center" wrapText="1"/>
    </xf>
    <xf numFmtId="0" fontId="24" fillId="30" borderId="51" xfId="0" applyFont="1" applyFill="1" applyBorder="1" applyAlignment="1">
      <alignment horizontal="center" vertical="center" wrapText="1"/>
    </xf>
    <xf numFmtId="0" fontId="24" fillId="30" borderId="52" xfId="0" applyFont="1" applyFill="1" applyBorder="1" applyAlignment="1">
      <alignment horizontal="center" vertical="center" wrapText="1"/>
    </xf>
    <xf numFmtId="0" fontId="24" fillId="28" borderId="37" xfId="0" applyFont="1" applyFill="1" applyBorder="1" applyAlignment="1">
      <alignment horizontal="center" vertical="center" wrapText="1"/>
    </xf>
    <xf numFmtId="0" fontId="24" fillId="28" borderId="51" xfId="0" applyFont="1" applyFill="1" applyBorder="1" applyAlignment="1">
      <alignment horizontal="center" vertical="center" wrapText="1"/>
    </xf>
    <xf numFmtId="0" fontId="24" fillId="28" borderId="52" xfId="0" applyFont="1" applyFill="1" applyBorder="1" applyAlignment="1">
      <alignment horizontal="center" vertical="center" wrapText="1"/>
    </xf>
    <xf numFmtId="0" fontId="24" fillId="25" borderId="37" xfId="0" applyFont="1" applyFill="1" applyBorder="1" applyAlignment="1">
      <alignment horizontal="center" vertical="center" wrapText="1"/>
    </xf>
    <xf numFmtId="0" fontId="24" fillId="25" borderId="51" xfId="0" applyFont="1" applyFill="1" applyBorder="1" applyAlignment="1">
      <alignment horizontal="center" vertical="center" wrapText="1"/>
    </xf>
    <xf numFmtId="0" fontId="24" fillId="25" borderId="52" xfId="0" applyFont="1" applyFill="1" applyBorder="1" applyAlignment="1">
      <alignment horizontal="center" vertical="center" wrapText="1"/>
    </xf>
    <xf numFmtId="0" fontId="60" fillId="31" borderId="37" xfId="0" applyFont="1" applyFill="1" applyBorder="1" applyAlignment="1">
      <alignment horizontal="center" vertical="center" wrapText="1"/>
    </xf>
    <xf numFmtId="0" fontId="60" fillId="31" borderId="51" xfId="0" applyFont="1" applyFill="1" applyBorder="1" applyAlignment="1">
      <alignment horizontal="center" vertical="center" wrapText="1"/>
    </xf>
    <xf numFmtId="0" fontId="60" fillId="31" borderId="52" xfId="0" applyFont="1" applyFill="1" applyBorder="1" applyAlignment="1">
      <alignment horizontal="center" vertical="center" wrapText="1"/>
    </xf>
    <xf numFmtId="0" fontId="24" fillId="19" borderId="37" xfId="0" applyFont="1" applyFill="1" applyBorder="1" applyAlignment="1">
      <alignment horizontal="center" vertical="center" wrapText="1"/>
    </xf>
    <xf numFmtId="0" fontId="24" fillId="19" borderId="51" xfId="0" applyFont="1" applyFill="1" applyBorder="1" applyAlignment="1">
      <alignment horizontal="center" vertical="center" wrapText="1"/>
    </xf>
    <xf numFmtId="0" fontId="24" fillId="19" borderId="52" xfId="0" applyFont="1" applyFill="1" applyBorder="1" applyAlignment="1">
      <alignment horizontal="center" vertical="center" wrapText="1"/>
    </xf>
    <xf numFmtId="0" fontId="24" fillId="27" borderId="20" xfId="0" applyFont="1" applyFill="1" applyBorder="1" applyAlignment="1">
      <alignment horizontal="center" vertical="center" wrapText="1"/>
    </xf>
    <xf numFmtId="0" fontId="24" fillId="27" borderId="49" xfId="0" applyFont="1" applyFill="1" applyBorder="1" applyAlignment="1">
      <alignment horizontal="center" vertical="center" wrapText="1"/>
    </xf>
    <xf numFmtId="0" fontId="24" fillId="27" borderId="50" xfId="0" applyFont="1" applyFill="1" applyBorder="1" applyAlignment="1">
      <alignment horizontal="center" vertical="center" wrapText="1"/>
    </xf>
    <xf numFmtId="0" fontId="0" fillId="25" borderId="37" xfId="0" applyFill="1" applyBorder="1" applyAlignment="1">
      <alignment horizontal="center" vertical="center" wrapText="1"/>
    </xf>
    <xf numFmtId="0" fontId="0" fillId="25" borderId="51" xfId="0" applyFill="1" applyBorder="1" applyAlignment="1">
      <alignment horizontal="center" vertical="center" wrapText="1"/>
    </xf>
    <xf numFmtId="0" fontId="0" fillId="25" borderId="52" xfId="0" applyFill="1" applyBorder="1" applyAlignment="1">
      <alignment horizontal="center" vertical="center" wrapText="1"/>
    </xf>
    <xf numFmtId="0" fontId="24" fillId="33" borderId="20" xfId="0" applyFont="1" applyFill="1" applyBorder="1" applyAlignment="1">
      <alignment horizontal="center" vertical="center" wrapText="1"/>
    </xf>
    <xf numFmtId="0" fontId="24" fillId="33" borderId="49" xfId="0" applyFont="1" applyFill="1" applyBorder="1" applyAlignment="1">
      <alignment horizontal="center" vertical="center" wrapText="1"/>
    </xf>
    <xf numFmtId="0" fontId="24" fillId="33" borderId="50" xfId="0" applyFont="1" applyFill="1" applyBorder="1" applyAlignment="1">
      <alignment horizontal="center" vertical="center" wrapText="1"/>
    </xf>
    <xf numFmtId="0" fontId="0" fillId="0" borderId="20" xfId="0"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23" fillId="0" borderId="53" xfId="0" applyFont="1" applyBorder="1" applyAlignment="1">
      <alignment horizontal="center"/>
    </xf>
    <xf numFmtId="0" fontId="23" fillId="0" borderId="54" xfId="0" applyFont="1" applyBorder="1" applyAlignment="1">
      <alignment horizontal="center"/>
    </xf>
    <xf numFmtId="0" fontId="23" fillId="0" borderId="55" xfId="0" applyFont="1" applyBorder="1" applyAlignment="1">
      <alignment horizontal="center"/>
    </xf>
    <xf numFmtId="0" fontId="0" fillId="0" borderId="23" xfId="0" applyBorder="1" applyAlignment="1">
      <alignment horizontal="center" vertical="center"/>
    </xf>
    <xf numFmtId="0" fontId="0" fillId="0" borderId="38"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37" xfId="0" applyBorder="1" applyAlignment="1">
      <alignment horizontal="center" vertical="center" wrapText="1"/>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38" fillId="0" borderId="37" xfId="0" applyFont="1" applyBorder="1" applyAlignment="1">
      <alignment horizontal="center" wrapText="1"/>
    </xf>
    <xf numFmtId="0" fontId="38" fillId="0" borderId="35" xfId="0" applyFont="1" applyBorder="1" applyAlignment="1">
      <alignment horizontal="center" wrapText="1"/>
    </xf>
    <xf numFmtId="0" fontId="20" fillId="0" borderId="53" xfId="0" applyFont="1" applyBorder="1" applyAlignment="1">
      <alignment horizontal="center"/>
    </xf>
    <xf numFmtId="0" fontId="20" fillId="0" borderId="54" xfId="0" applyFont="1" applyBorder="1" applyAlignment="1">
      <alignment horizontal="center"/>
    </xf>
    <xf numFmtId="0" fontId="20" fillId="0" borderId="55" xfId="0" applyFont="1" applyBorder="1" applyAlignment="1">
      <alignment horizontal="center"/>
    </xf>
    <xf numFmtId="0" fontId="38" fillId="0" borderId="65" xfId="0" applyFont="1" applyBorder="1" applyAlignment="1">
      <alignment horizontal="center" wrapText="1"/>
    </xf>
    <xf numFmtId="0" fontId="38" fillId="0" borderId="74" xfId="0" applyFont="1" applyBorder="1" applyAlignment="1">
      <alignment horizontal="center" vertical="center" wrapText="1"/>
    </xf>
    <xf numFmtId="0" fontId="38" fillId="0" borderId="73" xfId="0" applyFont="1" applyBorder="1" applyAlignment="1">
      <alignment horizontal="center" vertical="center" wrapText="1"/>
    </xf>
    <xf numFmtId="0" fontId="38" fillId="0" borderId="47" xfId="0" applyFont="1" applyBorder="1" applyAlignment="1">
      <alignment horizontal="center" vertical="center" wrapText="1"/>
    </xf>
    <xf numFmtId="0" fontId="38" fillId="36" borderId="71" xfId="0" applyFont="1" applyFill="1" applyBorder="1" applyAlignment="1">
      <alignment horizontal="center" vertical="center" wrapText="1"/>
    </xf>
    <xf numFmtId="0" fontId="38" fillId="30" borderId="71" xfId="0" applyFont="1" applyFill="1" applyBorder="1" applyAlignment="1">
      <alignment horizontal="center" vertical="center" wrapText="1"/>
    </xf>
    <xf numFmtId="0" fontId="27" fillId="41" borderId="53" xfId="0" applyFont="1" applyFill="1" applyBorder="1" applyAlignment="1">
      <alignment horizontal="center"/>
    </xf>
    <xf numFmtId="0" fontId="27" fillId="41" borderId="54" xfId="0" applyFont="1" applyFill="1" applyBorder="1" applyAlignment="1">
      <alignment horizontal="center"/>
    </xf>
    <xf numFmtId="0" fontId="27" fillId="41" borderId="55" xfId="0" applyFont="1" applyFill="1" applyBorder="1" applyAlignment="1">
      <alignment horizontal="center"/>
    </xf>
    <xf numFmtId="0" fontId="0" fillId="0" borderId="20"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46" fillId="27" borderId="49"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37" xfId="0" applyFont="1" applyFill="1" applyBorder="1" applyAlignment="1">
      <alignment horizontal="center" vertical="center" wrapText="1"/>
    </xf>
    <xf numFmtId="0" fontId="0" fillId="27" borderId="51" xfId="0" applyFont="1" applyFill="1" applyBorder="1" applyAlignment="1">
      <alignment horizontal="center" vertical="center" wrapText="1"/>
    </xf>
    <xf numFmtId="0" fontId="0" fillId="27" borderId="52" xfId="0" applyFont="1" applyFill="1" applyBorder="1" applyAlignment="1">
      <alignment horizontal="center"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0" fillId="22" borderId="50" xfId="0" applyFont="1" applyFill="1" applyBorder="1" applyAlignment="1">
      <alignment horizontal="center" vertical="center" wrapText="1"/>
    </xf>
    <xf numFmtId="0" fontId="74" fillId="0" borderId="20" xfId="0" applyFont="1" applyFill="1" applyBorder="1" applyAlignment="1">
      <alignment horizontal="center" vertical="center" wrapText="1"/>
    </xf>
    <xf numFmtId="0" fontId="74" fillId="0" borderId="49" xfId="0" applyFont="1" applyFill="1" applyBorder="1" applyAlignment="1">
      <alignment horizontal="center" vertical="center" wrapText="1"/>
    </xf>
    <xf numFmtId="0" fontId="74" fillId="0" borderId="50" xfId="0" applyFont="1" applyFill="1" applyBorder="1" applyAlignment="1">
      <alignment horizontal="center" vertical="center" wrapText="1"/>
    </xf>
    <xf numFmtId="0" fontId="74" fillId="27" borderId="20" xfId="0" applyFont="1" applyFill="1" applyBorder="1" applyAlignment="1">
      <alignment horizontal="center" vertical="center" wrapText="1"/>
    </xf>
    <xf numFmtId="0" fontId="74" fillId="27" borderId="49" xfId="0" applyFont="1" applyFill="1" applyBorder="1" applyAlignment="1">
      <alignment horizontal="center" vertical="center" wrapText="1"/>
    </xf>
    <xf numFmtId="0" fontId="74" fillId="27" borderId="50" xfId="0" applyFont="1" applyFill="1" applyBorder="1" applyAlignment="1">
      <alignment horizontal="center" vertical="center" wrapText="1"/>
    </xf>
    <xf numFmtId="0" fontId="75" fillId="0" borderId="53" xfId="0" applyFont="1" applyBorder="1" applyAlignment="1">
      <alignment horizontal="center" vertical="center" wrapText="1"/>
    </xf>
    <xf numFmtId="0" fontId="75" fillId="0" borderId="55" xfId="0" applyFont="1" applyBorder="1" applyAlignment="1">
      <alignment horizontal="center" vertical="center" wrapText="1"/>
    </xf>
    <xf numFmtId="0" fontId="75" fillId="0" borderId="54" xfId="0" applyFont="1" applyBorder="1" applyAlignment="1">
      <alignment horizontal="center" vertical="center" wrapText="1"/>
    </xf>
    <xf numFmtId="0" fontId="74" fillId="0" borderId="20" xfId="0" applyFont="1" applyFill="1" applyBorder="1" applyAlignment="1">
      <alignment horizontal="left" vertical="center" wrapText="1"/>
    </xf>
    <xf numFmtId="0" fontId="74" fillId="0" borderId="49" xfId="0" applyFont="1" applyFill="1" applyBorder="1" applyAlignment="1">
      <alignment horizontal="left" vertical="center" wrapText="1"/>
    </xf>
    <xf numFmtId="0" fontId="74" fillId="0" borderId="50" xfId="0" applyFont="1" applyFill="1" applyBorder="1" applyAlignment="1">
      <alignment horizontal="left" vertical="center" wrapText="1"/>
    </xf>
    <xf numFmtId="1" fontId="27" fillId="41" borderId="53" xfId="0" applyNumberFormat="1" applyFont="1" applyFill="1" applyBorder="1" applyAlignment="1">
      <alignment horizontal="center"/>
    </xf>
    <xf numFmtId="1" fontId="27" fillId="41" borderId="54" xfId="0" applyNumberFormat="1" applyFont="1" applyFill="1" applyBorder="1" applyAlignment="1">
      <alignment horizontal="center"/>
    </xf>
    <xf numFmtId="1" fontId="27" fillId="41" borderId="55" xfId="0" applyNumberFormat="1" applyFont="1" applyFill="1" applyBorder="1" applyAlignment="1">
      <alignment horizontal="center"/>
    </xf>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20" fillId="0" borderId="53" xfId="0" applyFont="1" applyFill="1" applyBorder="1" applyAlignment="1">
      <alignment horizontal="center"/>
    </xf>
    <xf numFmtId="0" fontId="20" fillId="0" borderId="54" xfId="0" applyFont="1" applyFill="1" applyBorder="1" applyAlignment="1">
      <alignment horizontal="center"/>
    </xf>
    <xf numFmtId="0" fontId="20" fillId="0" borderId="55" xfId="0" applyFont="1" applyFill="1" applyBorder="1" applyAlignment="1">
      <alignment horizontal="center"/>
    </xf>
    <xf numFmtId="0" fontId="0" fillId="0" borderId="20" xfId="0" applyFill="1" applyBorder="1" applyAlignment="1">
      <alignment horizontal="center" vertical="center" wrapText="1"/>
    </xf>
    <xf numFmtId="0" fontId="0" fillId="0" borderId="50" xfId="0" applyFill="1" applyBorder="1" applyAlignment="1">
      <alignment horizontal="center" vertical="center" wrapText="1"/>
    </xf>
    <xf numFmtId="0" fontId="0" fillId="27" borderId="20" xfId="0" applyFill="1" applyBorder="1" applyAlignment="1">
      <alignment horizontal="center" vertical="center" wrapText="1"/>
    </xf>
    <xf numFmtId="0" fontId="0" fillId="27" borderId="50" xfId="0" applyFill="1" applyBorder="1" applyAlignment="1">
      <alignment horizontal="center" vertical="center" wrapText="1"/>
    </xf>
    <xf numFmtId="0" fontId="0" fillId="0" borderId="49" xfId="0" applyFill="1" applyBorder="1" applyAlignment="1">
      <alignment horizontal="center" vertical="center" wrapText="1"/>
    </xf>
    <xf numFmtId="0" fontId="24" fillId="18" borderId="49" xfId="0" applyFont="1" applyFill="1" applyBorder="1" applyAlignment="1">
      <alignment horizontal="center" vertical="center" wrapText="1"/>
    </xf>
    <xf numFmtId="0" fontId="24" fillId="18" borderId="50" xfId="0" applyFont="1" applyFill="1" applyBorder="1" applyAlignment="1">
      <alignment horizontal="center" vertical="center" wrapText="1"/>
    </xf>
    <xf numFmtId="0" fontId="24" fillId="22" borderId="20" xfId="0" applyFont="1" applyFill="1" applyBorder="1" applyAlignment="1">
      <alignment horizontal="center" vertical="center" wrapText="1"/>
    </xf>
    <xf numFmtId="0" fontId="24" fillId="22" borderId="49" xfId="0" applyFont="1" applyFill="1" applyBorder="1" applyAlignment="1">
      <alignment horizontal="center" vertical="center" wrapText="1"/>
    </xf>
    <xf numFmtId="0" fontId="24" fillId="22" borderId="50" xfId="0" applyFont="1" applyFill="1" applyBorder="1" applyAlignment="1">
      <alignment horizontal="center" vertical="center" wrapText="1"/>
    </xf>
    <xf numFmtId="0" fontId="83" fillId="33" borderId="53" xfId="0" applyFont="1" applyFill="1" applyBorder="1" applyAlignment="1">
      <alignment horizontal="center"/>
    </xf>
    <xf numFmtId="0" fontId="83" fillId="33" borderId="54" xfId="0" applyFont="1" applyFill="1" applyBorder="1" applyAlignment="1">
      <alignment horizontal="center"/>
    </xf>
    <xf numFmtId="0" fontId="83" fillId="33" borderId="55" xfId="0" applyFont="1" applyFill="1" applyBorder="1" applyAlignment="1">
      <alignment horizontal="center"/>
    </xf>
    <xf numFmtId="0" fontId="84" fillId="23" borderId="74" xfId="0" applyFont="1" applyFill="1" applyBorder="1" applyAlignment="1">
      <alignment horizontal="center"/>
    </xf>
    <xf numFmtId="0" fontId="84" fillId="23" borderId="73" xfId="0" applyFont="1" applyFill="1" applyBorder="1" applyAlignment="1">
      <alignment horizontal="center"/>
    </xf>
    <xf numFmtId="0" fontId="84" fillId="23" borderId="47" xfId="0" applyFont="1" applyFill="1" applyBorder="1" applyAlignment="1">
      <alignment horizontal="center"/>
    </xf>
    <xf numFmtId="0" fontId="86" fillId="19" borderId="88" xfId="0" applyFont="1" applyFill="1" applyBorder="1" applyAlignment="1">
      <alignment horizontal="center" vertical="center" wrapText="1"/>
    </xf>
    <xf numFmtId="0" fontId="86" fillId="19" borderId="41" xfId="0" applyFont="1" applyFill="1" applyBorder="1" applyAlignment="1">
      <alignment horizontal="center" vertical="center" wrapText="1"/>
    </xf>
    <xf numFmtId="0" fontId="86" fillId="19" borderId="56" xfId="0" applyFont="1" applyFill="1" applyBorder="1" applyAlignment="1">
      <alignment horizontal="center" vertical="center" wrapText="1"/>
    </xf>
    <xf numFmtId="0" fontId="82" fillId="24" borderId="85" xfId="0" applyFont="1" applyFill="1" applyBorder="1" applyAlignment="1">
      <alignment horizontal="center" vertical="center" wrapText="1"/>
    </xf>
    <xf numFmtId="0" fontId="82" fillId="24" borderId="87" xfId="0" applyFont="1" applyFill="1" applyBorder="1" applyAlignment="1">
      <alignment horizontal="center" vertical="center" wrapText="1"/>
    </xf>
    <xf numFmtId="0" fontId="82" fillId="27" borderId="89" xfId="0" applyFont="1" applyFill="1" applyBorder="1" applyAlignment="1">
      <alignment horizontal="center" vertical="center" wrapText="1"/>
    </xf>
    <xf numFmtId="0" fontId="82" fillId="27" borderId="63" xfId="0" applyFont="1" applyFill="1" applyBorder="1" applyAlignment="1">
      <alignment horizontal="center" vertical="center" wrapText="1"/>
    </xf>
    <xf numFmtId="0" fontId="84" fillId="0" borderId="89" xfId="0" applyFont="1" applyBorder="1" applyAlignment="1">
      <alignment horizontal="center" vertical="center" wrapText="1"/>
    </xf>
    <xf numFmtId="0" fontId="84" fillId="0" borderId="90" xfId="0" applyFont="1" applyBorder="1" applyAlignment="1">
      <alignment horizontal="center" vertical="center" wrapText="1"/>
    </xf>
    <xf numFmtId="0" fontId="82" fillId="32" borderId="91" xfId="0" applyFont="1" applyFill="1" applyBorder="1" applyAlignment="1">
      <alignment horizontal="center" vertical="center" wrapText="1"/>
    </xf>
    <xf numFmtId="0" fontId="82" fillId="32" borderId="63" xfId="0" applyFont="1" applyFill="1" applyBorder="1" applyAlignment="1">
      <alignment horizontal="center" vertical="center" wrapText="1"/>
    </xf>
    <xf numFmtId="0" fontId="82" fillId="32" borderId="90" xfId="0" applyFont="1" applyFill="1" applyBorder="1" applyAlignment="1">
      <alignment horizontal="center" vertical="center" wrapText="1"/>
    </xf>
    <xf numFmtId="0" fontId="72" fillId="0" borderId="53" xfId="0" applyFont="1" applyBorder="1" applyAlignment="1">
      <alignment horizontal="center"/>
    </xf>
    <xf numFmtId="0" fontId="72" fillId="0" borderId="54" xfId="0" applyFont="1" applyBorder="1" applyAlignment="1">
      <alignment horizontal="center"/>
    </xf>
    <xf numFmtId="0" fontId="72" fillId="0" borderId="55" xfId="0" applyFont="1" applyBorder="1" applyAlignment="1">
      <alignment horizontal="center"/>
    </xf>
    <xf numFmtId="0" fontId="71" fillId="18" borderId="38" xfId="0" applyFont="1" applyFill="1" applyBorder="1" applyAlignment="1">
      <alignment horizontal="center" vertical="center" wrapText="1"/>
    </xf>
    <xf numFmtId="0" fontId="71" fillId="18" borderId="15" xfId="0" applyFont="1" applyFill="1" applyBorder="1" applyAlignment="1">
      <alignment horizontal="center" vertical="center" wrapText="1"/>
    </xf>
    <xf numFmtId="0" fontId="71" fillId="18" borderId="28" xfId="0" applyFont="1" applyFill="1" applyBorder="1" applyAlignment="1">
      <alignment horizontal="center" vertical="center" wrapText="1"/>
    </xf>
    <xf numFmtId="0" fontId="71" fillId="33" borderId="23" xfId="0" applyFont="1" applyFill="1" applyBorder="1" applyAlignment="1">
      <alignment horizontal="left" vertical="center" wrapText="1"/>
    </xf>
    <xf numFmtId="0" fontId="71" fillId="33" borderId="15" xfId="0" applyFont="1" applyFill="1" applyBorder="1" applyAlignment="1">
      <alignment horizontal="left" vertical="center" wrapText="1"/>
    </xf>
    <xf numFmtId="0" fontId="71" fillId="33" borderId="17" xfId="0" applyFont="1" applyFill="1" applyBorder="1" applyAlignment="1">
      <alignment horizontal="left" vertical="center" wrapText="1"/>
    </xf>
    <xf numFmtId="0" fontId="71" fillId="33" borderId="23" xfId="0" applyFont="1" applyFill="1" applyBorder="1" applyAlignment="1">
      <alignment horizontal="center" vertical="center" wrapText="1"/>
    </xf>
    <xf numFmtId="0" fontId="71" fillId="33" borderId="15" xfId="0" applyFont="1" applyFill="1" applyBorder="1" applyAlignment="1">
      <alignment horizontal="center" vertical="center" wrapText="1"/>
    </xf>
    <xf numFmtId="0" fontId="71" fillId="33" borderId="17" xfId="0" applyFont="1" applyFill="1" applyBorder="1" applyAlignment="1">
      <alignment horizontal="center" vertical="center" wrapText="1"/>
    </xf>
    <xf numFmtId="0" fontId="71" fillId="18" borderId="49" xfId="0" applyFont="1" applyFill="1" applyBorder="1" applyAlignment="1">
      <alignment horizontal="center" vertical="center" wrapText="1"/>
    </xf>
    <xf numFmtId="0" fontId="71" fillId="18" borderId="20" xfId="0" applyFont="1" applyFill="1" applyBorder="1" applyAlignment="1">
      <alignment horizontal="center" vertical="center" wrapText="1"/>
    </xf>
    <xf numFmtId="0" fontId="71" fillId="18" borderId="50" xfId="0" applyFont="1" applyFill="1" applyBorder="1" applyAlignment="1">
      <alignment horizontal="center" vertical="center" wrapText="1"/>
    </xf>
    <xf numFmtId="0" fontId="71" fillId="33" borderId="38" xfId="0" applyFont="1" applyFill="1" applyBorder="1" applyAlignment="1">
      <alignment horizontal="center" vertical="center" wrapText="1"/>
    </xf>
    <xf numFmtId="0" fontId="71" fillId="33" borderId="28" xfId="0" applyFont="1" applyFill="1" applyBorder="1" applyAlignment="1">
      <alignment horizontal="center" vertical="center" wrapText="1"/>
    </xf>
    <xf numFmtId="0" fontId="71" fillId="0" borderId="23" xfId="0" applyFont="1" applyFill="1" applyBorder="1" applyAlignment="1">
      <alignment horizontal="center" vertical="center" wrapText="1"/>
    </xf>
    <xf numFmtId="0" fontId="71" fillId="0" borderId="15" xfId="0" applyFont="1" applyFill="1" applyBorder="1" applyAlignment="1">
      <alignment horizontal="center" vertical="center" wrapText="1"/>
    </xf>
    <xf numFmtId="0" fontId="71" fillId="0" borderId="17" xfId="0" applyFont="1" applyFill="1" applyBorder="1" applyAlignment="1">
      <alignment horizontal="center" vertical="center" wrapText="1"/>
    </xf>
    <xf numFmtId="0" fontId="71" fillId="33" borderId="49" xfId="0" applyFont="1" applyFill="1" applyBorder="1" applyAlignment="1">
      <alignment horizontal="center" vertical="center" wrapText="1"/>
    </xf>
    <xf numFmtId="0" fontId="72" fillId="0" borderId="53" xfId="0" applyFont="1" applyBorder="1" applyAlignment="1">
      <alignment horizontal="center" vertical="center" wrapText="1"/>
    </xf>
    <xf numFmtId="0" fontId="72" fillId="0" borderId="55" xfId="0" applyFont="1" applyBorder="1" applyAlignment="1">
      <alignment horizontal="center" vertical="center" wrapText="1"/>
    </xf>
    <xf numFmtId="0" fontId="71" fillId="33" borderId="20" xfId="0" applyFont="1" applyFill="1" applyBorder="1" applyAlignment="1">
      <alignment horizontal="center" vertical="center" wrapText="1"/>
    </xf>
    <xf numFmtId="0" fontId="71" fillId="33" borderId="50" xfId="0" applyFont="1" applyFill="1" applyBorder="1" applyAlignment="1">
      <alignment horizontal="center" vertical="center" wrapText="1"/>
    </xf>
    <xf numFmtId="0" fontId="71" fillId="28" borderId="37" xfId="0" applyFont="1" applyFill="1" applyBorder="1" applyAlignment="1">
      <alignment horizontal="center" vertical="center" wrapText="1"/>
    </xf>
    <xf numFmtId="0" fontId="71" fillId="28" borderId="51" xfId="0" applyFont="1" applyFill="1" applyBorder="1" applyAlignment="1">
      <alignment horizontal="center" vertical="center" wrapText="1"/>
    </xf>
    <xf numFmtId="0" fontId="71" fillId="28" borderId="52" xfId="0" applyFont="1" applyFill="1" applyBorder="1" applyAlignment="1">
      <alignment horizontal="center" vertical="center" wrapText="1"/>
    </xf>
    <xf numFmtId="0" fontId="72" fillId="0" borderId="53" xfId="0" applyFont="1" applyBorder="1" applyAlignment="1">
      <alignment horizontal="center" wrapText="1"/>
    </xf>
    <xf numFmtId="0" fontId="72" fillId="0" borderId="55" xfId="0" applyFont="1" applyBorder="1" applyAlignment="1">
      <alignment horizontal="center" wrapText="1"/>
    </xf>
    <xf numFmtId="0" fontId="72" fillId="0" borderId="54" xfId="0" applyFont="1" applyBorder="1" applyAlignment="1">
      <alignment horizontal="center" vertical="center" wrapText="1"/>
    </xf>
    <xf numFmtId="0" fontId="71" fillId="0" borderId="37" xfId="0" applyFont="1" applyFill="1" applyBorder="1" applyAlignment="1">
      <alignment horizontal="center" vertical="center" wrapText="1"/>
    </xf>
    <xf numFmtId="0" fontId="71" fillId="0" borderId="51" xfId="0" applyFont="1" applyFill="1" applyBorder="1" applyAlignment="1">
      <alignment horizontal="center" vertical="center" wrapText="1"/>
    </xf>
    <xf numFmtId="0" fontId="71" fillId="0" borderId="52" xfId="0" applyFont="1" applyFill="1" applyBorder="1" applyAlignment="1">
      <alignment horizontal="center" vertical="center" wrapText="1"/>
    </xf>
    <xf numFmtId="0" fontId="71" fillId="25" borderId="37" xfId="0" applyFont="1" applyFill="1" applyBorder="1" applyAlignment="1">
      <alignment horizontal="center" vertical="center" wrapText="1"/>
    </xf>
    <xf numFmtId="0" fontId="71" fillId="25" borderId="51" xfId="0" applyFont="1" applyFill="1" applyBorder="1" applyAlignment="1">
      <alignment horizontal="center" vertical="center" wrapText="1"/>
    </xf>
    <xf numFmtId="0" fontId="71" fillId="25" borderId="52" xfId="0" applyFont="1" applyFill="1" applyBorder="1" applyAlignment="1">
      <alignment horizontal="center" vertical="center" wrapText="1"/>
    </xf>
    <xf numFmtId="0" fontId="71" fillId="26" borderId="37" xfId="0" applyFont="1" applyFill="1" applyBorder="1" applyAlignment="1">
      <alignment horizontal="center" vertical="center" wrapText="1"/>
    </xf>
    <xf numFmtId="0" fontId="71" fillId="26" borderId="51" xfId="0" applyFont="1" applyFill="1" applyBorder="1" applyAlignment="1">
      <alignment horizontal="center" vertical="center" wrapText="1"/>
    </xf>
    <xf numFmtId="0" fontId="71" fillId="26" borderId="52" xfId="0" applyFont="1" applyFill="1" applyBorder="1" applyAlignment="1">
      <alignment horizontal="center" vertical="center" wrapText="1"/>
    </xf>
    <xf numFmtId="0" fontId="71" fillId="0" borderId="20" xfId="0" applyFont="1" applyFill="1" applyBorder="1" applyAlignment="1">
      <alignment horizontal="center" vertical="center" wrapText="1"/>
    </xf>
    <xf numFmtId="0" fontId="71" fillId="0" borderId="49" xfId="0" applyFont="1" applyFill="1" applyBorder="1" applyAlignment="1">
      <alignment horizontal="center" vertical="center" wrapText="1"/>
    </xf>
    <xf numFmtId="0" fontId="71" fillId="0" borderId="50" xfId="0" applyFont="1" applyFill="1" applyBorder="1" applyAlignment="1">
      <alignment horizontal="center" vertical="center" wrapText="1"/>
    </xf>
    <xf numFmtId="0" fontId="71" fillId="0" borderId="20" xfId="0" applyFont="1" applyBorder="1" applyAlignment="1">
      <alignment horizontal="center" vertical="center" wrapText="1"/>
    </xf>
    <xf numFmtId="0" fontId="71" fillId="0" borderId="49" xfId="0" applyFont="1" applyBorder="1" applyAlignment="1">
      <alignment horizontal="center" vertical="center" wrapText="1"/>
    </xf>
    <xf numFmtId="0" fontId="71" fillId="0" borderId="50" xfId="0" applyFont="1" applyBorder="1" applyAlignment="1">
      <alignment horizontal="center" vertical="center" wrapText="1"/>
    </xf>
    <xf numFmtId="0" fontId="24" fillId="18" borderId="23" xfId="0" applyFont="1" applyFill="1" applyBorder="1" applyAlignment="1">
      <alignment horizontal="left" vertical="center" wrapText="1"/>
    </xf>
    <xf numFmtId="0" fontId="24" fillId="18" borderId="15" xfId="0" applyFont="1" applyFill="1" applyBorder="1" applyAlignment="1">
      <alignment horizontal="left" vertical="center" wrapText="1"/>
    </xf>
    <xf numFmtId="0" fontId="24" fillId="18" borderId="28" xfId="0" applyFont="1" applyFill="1" applyBorder="1" applyAlignment="1">
      <alignment horizontal="left" vertical="center" wrapText="1"/>
    </xf>
    <xf numFmtId="0" fontId="24" fillId="18" borderId="17" xfId="0" applyFont="1" applyFill="1" applyBorder="1" applyAlignment="1">
      <alignment horizontal="left" vertical="center" wrapText="1"/>
    </xf>
    <xf numFmtId="0" fontId="24" fillId="27" borderId="23" xfId="0" applyFont="1" applyFill="1" applyBorder="1" applyAlignment="1">
      <alignment horizontal="left" vertical="center" wrapText="1"/>
    </xf>
    <xf numFmtId="0" fontId="24" fillId="27" borderId="15" xfId="0" applyFont="1" applyFill="1" applyBorder="1" applyAlignment="1">
      <alignment horizontal="left" vertical="center" wrapText="1"/>
    </xf>
    <xf numFmtId="0" fontId="24" fillId="27" borderId="17" xfId="0" applyFont="1" applyFill="1" applyBorder="1" applyAlignment="1">
      <alignment horizontal="left" vertical="center" wrapText="1"/>
    </xf>
    <xf numFmtId="0" fontId="24" fillId="27" borderId="28" xfId="0" applyFont="1" applyFill="1" applyBorder="1" applyAlignment="1">
      <alignment horizontal="left" vertical="center" wrapText="1"/>
    </xf>
    <xf numFmtId="0" fontId="24" fillId="18" borderId="38" xfId="0" applyFont="1" applyFill="1" applyBorder="1" applyAlignment="1">
      <alignment horizontal="left" vertical="center" wrapText="1"/>
    </xf>
    <xf numFmtId="0" fontId="24" fillId="27" borderId="38" xfId="0" applyFont="1" applyFill="1" applyBorder="1" applyAlignment="1">
      <alignment horizontal="left" vertical="center" wrapText="1"/>
    </xf>
    <xf numFmtId="0" fontId="24" fillId="0" borderId="23" xfId="0" applyFont="1" applyFill="1" applyBorder="1" applyAlignment="1">
      <alignment horizontal="left" vertical="center" wrapText="1"/>
    </xf>
    <xf numFmtId="0" fontId="24" fillId="0" borderId="38" xfId="0" applyFont="1" applyFill="1" applyBorder="1" applyAlignment="1">
      <alignment horizontal="left" vertical="center" wrapText="1"/>
    </xf>
    <xf numFmtId="0" fontId="24" fillId="0" borderId="15" xfId="0" applyFont="1" applyFill="1" applyBorder="1" applyAlignment="1">
      <alignment horizontal="left" vertical="center" wrapText="1"/>
    </xf>
    <xf numFmtId="0" fontId="24" fillId="0" borderId="17" xfId="0" applyFont="1" applyFill="1" applyBorder="1" applyAlignment="1">
      <alignment horizontal="left" vertical="center" wrapText="1"/>
    </xf>
    <xf numFmtId="0" fontId="24" fillId="18" borderId="20" xfId="0" applyFont="1" applyFill="1" applyBorder="1" applyAlignment="1">
      <alignment horizontal="center" vertical="center" wrapText="1"/>
    </xf>
    <xf numFmtId="0" fontId="24" fillId="0" borderId="20" xfId="0" applyFont="1" applyBorder="1" applyAlignment="1">
      <alignment horizontal="center" vertical="center" wrapText="1"/>
    </xf>
    <xf numFmtId="0" fontId="24" fillId="0" borderId="49" xfId="0" applyFont="1" applyBorder="1" applyAlignment="1">
      <alignment horizontal="center" vertical="center" wrapText="1"/>
    </xf>
    <xf numFmtId="0" fontId="24" fillId="0" borderId="50" xfId="0" applyFont="1" applyBorder="1" applyAlignment="1">
      <alignment horizontal="center" vertical="center" wrapText="1"/>
    </xf>
    <xf numFmtId="0" fontId="24" fillId="0" borderId="37" xfId="0" applyFont="1" applyBorder="1" applyAlignment="1">
      <alignment horizontal="center" vertical="center" wrapText="1"/>
    </xf>
    <xf numFmtId="0" fontId="24" fillId="0" borderId="51" xfId="0" applyFont="1" applyBorder="1" applyAlignment="1">
      <alignment horizontal="center" vertical="center" wrapText="1"/>
    </xf>
    <xf numFmtId="0" fontId="24" fillId="0" borderId="52" xfId="0" applyFont="1" applyBorder="1" applyAlignment="1">
      <alignment horizontal="center" vertical="center" wrapText="1"/>
    </xf>
    <xf numFmtId="0" fontId="24" fillId="0" borderId="53" xfId="0" applyFont="1" applyBorder="1" applyAlignment="1">
      <alignment horizontal="center"/>
    </xf>
    <xf numFmtId="0" fontId="24" fillId="0" borderId="54" xfId="0" applyFont="1" applyBorder="1" applyAlignment="1">
      <alignment horizontal="center"/>
    </xf>
    <xf numFmtId="0" fontId="24" fillId="0" borderId="55" xfId="0" applyFont="1" applyBorder="1" applyAlignment="1">
      <alignment horizontal="center"/>
    </xf>
    <xf numFmtId="0" fontId="24" fillId="18" borderId="23" xfId="0" applyFont="1" applyFill="1" applyBorder="1" applyAlignment="1">
      <alignment horizontal="center" vertical="center" wrapText="1"/>
    </xf>
    <xf numFmtId="0" fontId="24" fillId="18" borderId="15" xfId="0" applyFont="1" applyFill="1" applyBorder="1" applyAlignment="1">
      <alignment horizontal="center" vertical="center" wrapText="1"/>
    </xf>
    <xf numFmtId="0" fontId="24" fillId="18" borderId="17" xfId="0" applyFont="1" applyFill="1" applyBorder="1" applyAlignment="1">
      <alignment horizontal="center" vertical="center" wrapText="1"/>
    </xf>
    <xf numFmtId="0" fontId="27" fillId="41" borderId="52" xfId="0" applyFont="1" applyFill="1" applyBorder="1" applyAlignment="1">
      <alignment horizontal="center"/>
    </xf>
    <xf numFmtId="0" fontId="27" fillId="41" borderId="36" xfId="0" applyFont="1" applyFill="1" applyBorder="1" applyAlignment="1">
      <alignment horizontal="center"/>
    </xf>
    <xf numFmtId="0" fontId="38" fillId="0" borderId="74" xfId="0" applyFont="1" applyFill="1" applyBorder="1" applyAlignment="1">
      <alignment horizontal="center" vertical="center" wrapText="1"/>
    </xf>
    <xf numFmtId="0" fontId="38" fillId="0" borderId="73" xfId="0" applyFont="1" applyFill="1" applyBorder="1" applyAlignment="1">
      <alignment horizontal="center" vertical="center" wrapText="1"/>
    </xf>
    <xf numFmtId="0" fontId="38" fillId="0" borderId="47" xfId="0" applyFont="1" applyFill="1" applyBorder="1" applyAlignment="1">
      <alignment horizontal="center" vertical="center" wrapText="1"/>
    </xf>
    <xf numFmtId="0" fontId="24" fillId="33" borderId="23" xfId="0" applyFont="1" applyFill="1" applyBorder="1" applyAlignment="1">
      <alignment horizontal="center" vertical="center" wrapText="1"/>
    </xf>
    <xf numFmtId="0" fontId="24" fillId="33" borderId="15" xfId="0" applyFont="1" applyFill="1" applyBorder="1" applyAlignment="1">
      <alignment horizontal="center" vertical="center" wrapText="1"/>
    </xf>
    <xf numFmtId="0" fontId="24" fillId="33" borderId="17" xfId="0" applyFont="1" applyFill="1" applyBorder="1" applyAlignment="1">
      <alignment horizontal="center" vertical="center" wrapText="1"/>
    </xf>
    <xf numFmtId="0" fontId="24" fillId="0" borderId="23" xfId="0" applyFont="1" applyFill="1" applyBorder="1" applyAlignment="1">
      <alignment horizontal="center" vertical="center" wrapText="1"/>
    </xf>
    <xf numFmtId="0" fontId="24" fillId="0" borderId="15" xfId="0" applyFont="1" applyFill="1" applyBorder="1" applyAlignment="1">
      <alignment horizontal="center" vertical="center" wrapText="1"/>
    </xf>
    <xf numFmtId="0" fontId="24" fillId="0" borderId="17" xfId="0" applyFont="1" applyFill="1" applyBorder="1" applyAlignment="1">
      <alignment horizontal="center" vertical="center" wrapText="1"/>
    </xf>
    <xf numFmtId="0" fontId="24" fillId="0" borderId="38" xfId="0" applyFont="1" applyFill="1" applyBorder="1" applyAlignment="1">
      <alignment horizontal="center" vertical="center" wrapText="1"/>
    </xf>
    <xf numFmtId="0" fontId="24" fillId="33" borderId="28" xfId="0" applyFont="1" applyFill="1" applyBorder="1" applyAlignment="1">
      <alignment horizontal="center" vertical="center" wrapText="1"/>
    </xf>
    <xf numFmtId="0" fontId="24" fillId="0" borderId="28" xfId="0" applyFont="1" applyFill="1" applyBorder="1" applyAlignment="1">
      <alignment horizontal="left" vertical="center" wrapText="1"/>
    </xf>
    <xf numFmtId="0" fontId="24" fillId="0" borderId="20" xfId="0" applyFont="1" applyFill="1" applyBorder="1" applyAlignment="1">
      <alignment vertical="center" wrapText="1"/>
    </xf>
    <xf numFmtId="0" fontId="24" fillId="0" borderId="49" xfId="0" applyFont="1" applyFill="1" applyBorder="1" applyAlignment="1">
      <alignment vertical="center" wrapText="1"/>
    </xf>
    <xf numFmtId="0" fontId="24" fillId="0" borderId="50" xfId="0" applyFont="1" applyFill="1" applyBorder="1" applyAlignment="1">
      <alignment vertical="center" wrapText="1"/>
    </xf>
    <xf numFmtId="0" fontId="89" fillId="21" borderId="53" xfId="0" applyFont="1" applyFill="1" applyBorder="1" applyAlignment="1">
      <alignment horizontal="center"/>
    </xf>
    <xf numFmtId="0" fontId="89" fillId="21" borderId="54" xfId="0" applyFont="1" applyFill="1" applyBorder="1" applyAlignment="1">
      <alignment horizontal="center"/>
    </xf>
    <xf numFmtId="0" fontId="89" fillId="21" borderId="55" xfId="0" applyFont="1" applyFill="1" applyBorder="1" applyAlignment="1">
      <alignment horizontal="center"/>
    </xf>
    <xf numFmtId="0" fontId="90" fillId="21" borderId="74" xfId="0" applyFont="1" applyFill="1" applyBorder="1" applyAlignment="1">
      <alignment horizontal="center"/>
    </xf>
    <xf numFmtId="0" fontId="90" fillId="21" borderId="73" xfId="0" applyFont="1" applyFill="1" applyBorder="1" applyAlignment="1">
      <alignment horizontal="center"/>
    </xf>
    <xf numFmtId="0" fontId="90" fillId="21" borderId="47" xfId="0" applyFont="1" applyFill="1" applyBorder="1" applyAlignment="1">
      <alignment horizontal="center"/>
    </xf>
    <xf numFmtId="0" fontId="92" fillId="19" borderId="88" xfId="0" applyFont="1" applyFill="1" applyBorder="1" applyAlignment="1">
      <alignment horizontal="center" vertical="center" wrapText="1"/>
    </xf>
    <xf numFmtId="0" fontId="92" fillId="19" borderId="41" xfId="0" applyFont="1" applyFill="1" applyBorder="1" applyAlignment="1">
      <alignment horizontal="center" vertical="center" wrapText="1"/>
    </xf>
    <xf numFmtId="0" fontId="92" fillId="19" borderId="56" xfId="0" applyFont="1" applyFill="1" applyBorder="1" applyAlignment="1">
      <alignment horizontal="center" vertical="center" wrapText="1"/>
    </xf>
    <xf numFmtId="0" fontId="88" fillId="24" borderId="85" xfId="0" applyFont="1" applyFill="1" applyBorder="1" applyAlignment="1">
      <alignment horizontal="center" vertical="center" wrapText="1"/>
    </xf>
    <xf numFmtId="0" fontId="88" fillId="24" borderId="87" xfId="0" applyFont="1" applyFill="1" applyBorder="1" applyAlignment="1">
      <alignment horizontal="center" vertical="center" wrapText="1"/>
    </xf>
    <xf numFmtId="0" fontId="88" fillId="27" borderId="89" xfId="0" applyFont="1" applyFill="1" applyBorder="1" applyAlignment="1">
      <alignment horizontal="center" vertical="center" wrapText="1"/>
    </xf>
    <xf numFmtId="0" fontId="88" fillId="27" borderId="63" xfId="0" applyFont="1" applyFill="1" applyBorder="1" applyAlignment="1">
      <alignment horizontal="center" vertical="center" wrapText="1"/>
    </xf>
    <xf numFmtId="0" fontId="90" fillId="0" borderId="89" xfId="0" applyFont="1" applyBorder="1" applyAlignment="1">
      <alignment horizontal="center" vertical="center" wrapText="1"/>
    </xf>
    <xf numFmtId="0" fontId="90" fillId="0" borderId="90" xfId="0" applyFont="1" applyBorder="1" applyAlignment="1">
      <alignment horizontal="center" vertical="center" wrapText="1"/>
    </xf>
    <xf numFmtId="0" fontId="88" fillId="32" borderId="91" xfId="0" applyFont="1" applyFill="1" applyBorder="1" applyAlignment="1">
      <alignment horizontal="center" vertical="center" wrapText="1"/>
    </xf>
    <xf numFmtId="0" fontId="88" fillId="32" borderId="63" xfId="0" applyFont="1" applyFill="1" applyBorder="1" applyAlignment="1">
      <alignment horizontal="center" vertical="center" wrapText="1"/>
    </xf>
    <xf numFmtId="0" fontId="88" fillId="32" borderId="90" xfId="0" applyFont="1" applyFill="1" applyBorder="1" applyAlignment="1">
      <alignment horizontal="center" vertical="center" wrapText="1"/>
    </xf>
    <xf numFmtId="0" fontId="88" fillId="24" borderId="20" xfId="0" applyFont="1" applyFill="1" applyBorder="1" applyAlignment="1">
      <alignment horizontal="center" vertical="center" wrapText="1"/>
    </xf>
    <xf numFmtId="0" fontId="88" fillId="24" borderId="38" xfId="0" applyFont="1" applyFill="1" applyBorder="1" applyAlignment="1">
      <alignment horizontal="center" vertical="center" wrapText="1"/>
    </xf>
    <xf numFmtId="0" fontId="88" fillId="27" borderId="28" xfId="0" applyFont="1" applyFill="1" applyBorder="1" applyAlignment="1">
      <alignment horizontal="center" vertical="center" wrapText="1"/>
    </xf>
    <xf numFmtId="0" fontId="88" fillId="27" borderId="49" xfId="0" applyFont="1" applyFill="1" applyBorder="1" applyAlignment="1">
      <alignment horizontal="center" vertical="center" wrapText="1"/>
    </xf>
    <xf numFmtId="0" fontId="88" fillId="27" borderId="38" xfId="0" applyFont="1" applyFill="1" applyBorder="1" applyAlignment="1">
      <alignment horizontal="center" vertical="center" wrapText="1"/>
    </xf>
    <xf numFmtId="0" fontId="90" fillId="0" borderId="28" xfId="0" applyFont="1" applyBorder="1" applyAlignment="1">
      <alignment horizontal="center" vertical="center" wrapText="1"/>
    </xf>
    <xf numFmtId="0" fontId="90" fillId="0" borderId="50" xfId="0" applyFont="1" applyBorder="1" applyAlignment="1">
      <alignment horizontal="center" vertical="center" wrapText="1"/>
    </xf>
    <xf numFmtId="0" fontId="88" fillId="32" borderId="20" xfId="0" applyFont="1" applyFill="1" applyBorder="1" applyAlignment="1">
      <alignment horizontal="center" vertical="center" wrapText="1"/>
    </xf>
    <xf numFmtId="0" fontId="88" fillId="32" borderId="49" xfId="0" applyFont="1" applyFill="1" applyBorder="1" applyAlignment="1">
      <alignment horizontal="center" vertical="center" wrapText="1"/>
    </xf>
    <xf numFmtId="0" fontId="88" fillId="32" borderId="50" xfId="0" applyFont="1" applyFill="1" applyBorder="1" applyAlignment="1">
      <alignment horizontal="center" vertical="center" wrapText="1"/>
    </xf>
    <xf numFmtId="0" fontId="20" fillId="0" borderId="53" xfId="0" applyFont="1" applyBorder="1" applyAlignment="1">
      <alignment horizontal="center" wrapText="1"/>
    </xf>
    <xf numFmtId="0" fontId="20" fillId="0" borderId="55" xfId="0" applyFont="1" applyBorder="1" applyAlignment="1">
      <alignment horizontal="center" wrapText="1"/>
    </xf>
    <xf numFmtId="0" fontId="20" fillId="0" borderId="53" xfId="0" applyFont="1" applyBorder="1" applyAlignment="1">
      <alignment horizontal="center" vertical="center" wrapText="1"/>
    </xf>
    <xf numFmtId="0" fontId="20" fillId="0" borderId="54" xfId="0" applyFont="1" applyBorder="1" applyAlignment="1">
      <alignment horizontal="center" vertical="center" wrapText="1"/>
    </xf>
    <xf numFmtId="0" fontId="20" fillId="0" borderId="55" xfId="0" applyFont="1" applyBorder="1" applyAlignment="1">
      <alignment horizontal="center" vertical="center" wrapText="1"/>
    </xf>
    <xf numFmtId="0" fontId="0" fillId="33" borderId="20" xfId="0" applyFill="1" applyBorder="1" applyAlignment="1">
      <alignment horizontal="center" vertical="center" wrapText="1"/>
    </xf>
    <xf numFmtId="0" fontId="0" fillId="33" borderId="50" xfId="0" applyFill="1" applyBorder="1" applyAlignment="1">
      <alignment horizontal="center" vertical="center" wrapText="1"/>
    </xf>
    <xf numFmtId="0" fontId="0" fillId="33" borderId="49" xfId="0" applyFill="1" applyBorder="1" applyAlignment="1">
      <alignment horizontal="center" vertical="center" wrapText="1"/>
    </xf>
    <xf numFmtId="0" fontId="0" fillId="28" borderId="37" xfId="0" applyFill="1" applyBorder="1" applyAlignment="1">
      <alignment horizontal="center" vertical="center" wrapText="1"/>
    </xf>
    <xf numFmtId="0" fontId="0" fillId="28" borderId="51" xfId="0" applyFill="1" applyBorder="1" applyAlignment="1">
      <alignment horizontal="center" vertical="center" wrapText="1"/>
    </xf>
    <xf numFmtId="0" fontId="0" fillId="26" borderId="37" xfId="0" applyFill="1" applyBorder="1" applyAlignment="1">
      <alignment horizontal="center" vertical="center" wrapText="1"/>
    </xf>
    <xf numFmtId="0" fontId="0" fillId="26" borderId="51" xfId="0" applyFill="1" applyBorder="1" applyAlignment="1">
      <alignment horizontal="center" vertical="center" wrapText="1"/>
    </xf>
    <xf numFmtId="0" fontId="0" fillId="26" borderId="52" xfId="0" applyFill="1" applyBorder="1" applyAlignment="1">
      <alignment horizontal="center" vertical="center" wrapText="1"/>
    </xf>
    <xf numFmtId="0" fontId="24" fillId="0" borderId="28" xfId="0" applyFont="1" applyFill="1" applyBorder="1" applyAlignment="1">
      <alignment horizontal="center" vertical="center" wrapText="1"/>
    </xf>
    <xf numFmtId="0" fontId="24" fillId="33" borderId="38" xfId="0" applyFont="1" applyFill="1" applyBorder="1" applyAlignment="1">
      <alignment horizontal="center" vertical="center" wrapText="1"/>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20" xfId="0" applyBorder="1" applyAlignment="1">
      <alignment horizontal="left" vertical="center" wrapText="1"/>
    </xf>
    <xf numFmtId="0" fontId="0" fillId="0" borderId="49" xfId="0" applyBorder="1" applyAlignment="1">
      <alignment horizontal="left" vertical="center" wrapText="1"/>
    </xf>
    <xf numFmtId="0" fontId="0" fillId="0" borderId="50" xfId="0" applyBorder="1" applyAlignment="1">
      <alignment horizontal="left" vertical="center" wrapText="1"/>
    </xf>
    <xf numFmtId="0" fontId="0" fillId="0" borderId="20" xfId="0" applyFill="1" applyBorder="1" applyAlignment="1">
      <alignment horizontal="center" wrapText="1"/>
    </xf>
    <xf numFmtId="0" fontId="0" fillId="0" borderId="50" xfId="0" applyFill="1" applyBorder="1" applyAlignment="1">
      <alignment horizontal="center" wrapText="1"/>
    </xf>
    <xf numFmtId="0" fontId="78" fillId="0" borderId="23" xfId="0" applyFont="1" applyFill="1" applyBorder="1" applyAlignment="1">
      <alignment vertical="center" wrapText="1"/>
    </xf>
    <xf numFmtId="0" fontId="78" fillId="0" borderId="15" xfId="0" applyFont="1" applyFill="1" applyBorder="1" applyAlignment="1">
      <alignment vertical="center" wrapText="1"/>
    </xf>
    <xf numFmtId="0" fontId="78" fillId="0" borderId="28" xfId="0" applyFont="1" applyFill="1" applyBorder="1" applyAlignment="1">
      <alignment vertical="center" wrapText="1"/>
    </xf>
    <xf numFmtId="0" fontId="78" fillId="0" borderId="17" xfId="0" applyFont="1" applyFill="1" applyBorder="1" applyAlignment="1">
      <alignment vertical="center" wrapText="1"/>
    </xf>
    <xf numFmtId="0" fontId="79" fillId="0" borderId="53" xfId="0" applyFont="1" applyBorder="1" applyAlignment="1">
      <alignment horizontal="center" vertical="center" wrapText="1"/>
    </xf>
    <xf numFmtId="0" fontId="79" fillId="0" borderId="55" xfId="0" applyFont="1" applyBorder="1" applyAlignment="1">
      <alignment horizontal="center" vertical="center" wrapText="1"/>
    </xf>
    <xf numFmtId="0" fontId="79" fillId="0" borderId="54" xfId="0" applyFont="1" applyBorder="1" applyAlignment="1">
      <alignment horizontal="center" vertical="center" wrapText="1"/>
    </xf>
    <xf numFmtId="0" fontId="78" fillId="0" borderId="20" xfId="0" applyFont="1" applyFill="1" applyBorder="1" applyAlignment="1">
      <alignment vertical="center" wrapText="1"/>
    </xf>
    <xf numFmtId="0" fontId="78" fillId="0" borderId="49" xfId="0" applyFont="1" applyFill="1" applyBorder="1" applyAlignment="1">
      <alignment vertical="center" wrapText="1"/>
    </xf>
    <xf numFmtId="0" fontId="78" fillId="0" borderId="50" xfId="0" applyFont="1" applyFill="1" applyBorder="1" applyAlignment="1">
      <alignment vertical="center" wrapText="1"/>
    </xf>
    <xf numFmtId="0" fontId="34" fillId="0" borderId="0" xfId="0" applyFont="1" applyAlignment="1">
      <alignment horizontal="center" vertical="center"/>
    </xf>
    <xf numFmtId="0" fontId="34" fillId="0" borderId="36" xfId="0" applyFont="1" applyBorder="1" applyAlignment="1">
      <alignment horizontal="center" vertical="center"/>
    </xf>
    <xf numFmtId="0" fontId="24" fillId="0" borderId="49" xfId="0" applyFont="1" applyBorder="1" applyAlignment="1">
      <alignment horizontal="center" vertical="center"/>
    </xf>
    <xf numFmtId="0" fontId="24" fillId="0" borderId="50" xfId="0" applyFont="1" applyBorder="1" applyAlignment="1">
      <alignment horizontal="center" vertical="center"/>
    </xf>
    <xf numFmtId="0" fontId="34" fillId="0" borderId="0" xfId="0" applyFont="1" applyBorder="1" applyAlignment="1">
      <alignment horizontal="center" vertical="center"/>
    </xf>
    <xf numFmtId="0" fontId="24" fillId="0" borderId="76" xfId="0" applyFont="1" applyBorder="1" applyAlignment="1">
      <alignment horizontal="center" vertical="center" wrapText="1"/>
    </xf>
    <xf numFmtId="0" fontId="24" fillId="0" borderId="79" xfId="0" applyFont="1" applyBorder="1" applyAlignment="1">
      <alignment horizontal="center" vertical="center" wrapText="1"/>
    </xf>
    <xf numFmtId="0" fontId="24" fillId="0" borderId="81" xfId="0" applyFont="1" applyBorder="1" applyAlignment="1">
      <alignment horizontal="center" vertical="center" wrapText="1"/>
    </xf>
  </cellXfs>
  <cellStyles count="52">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xfId="50" builtinId="22"/>
    <cellStyle name="Calculation 2" xfId="26"/>
    <cellStyle name="Calculation 3" xfId="27"/>
    <cellStyle name="Check Cell 2" xfId="28"/>
    <cellStyle name="Explanatory Text 2" xfId="29"/>
    <cellStyle name="Good 2" xfId="30"/>
    <cellStyle name="Heading 1 2" xfId="31"/>
    <cellStyle name="Heading 2 2" xfId="32"/>
    <cellStyle name="Heading 3 2" xfId="33"/>
    <cellStyle name="Heading 3 3" xfId="34"/>
    <cellStyle name="Heading 4 2" xfId="35"/>
    <cellStyle name="Hyperlink 2" xfId="51"/>
    <cellStyle name="Input" xfId="49" builtinId="20"/>
    <cellStyle name="Input 2" xfId="36"/>
    <cellStyle name="Input 3" xfId="37"/>
    <cellStyle name="Linked Cell 2" xfId="38"/>
    <cellStyle name="Neutral 2" xfId="39"/>
    <cellStyle name="Normal" xfId="0" builtinId="0"/>
    <cellStyle name="Normal 2" xfId="40"/>
    <cellStyle name="Note 2" xfId="41"/>
    <cellStyle name="Note 3" xfId="42"/>
    <cellStyle name="Output 2" xfId="43"/>
    <cellStyle name="Output 3" xfId="44"/>
    <cellStyle name="Title 2" xfId="45"/>
    <cellStyle name="Total 2" xfId="46"/>
    <cellStyle name="Total 3" xfId="47"/>
    <cellStyle name="Warning Text 2" xfId="48"/>
  </cellStyles>
  <dxfs count="5034">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b/>
        <i val="0"/>
        <color auto="1"/>
      </font>
      <fill>
        <patternFill>
          <bgColor rgb="FF00B0F0"/>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9C0006"/>
      </font>
      <fill>
        <patternFill>
          <bgColor rgb="FFFFC7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theme="1"/>
      </font>
      <fill>
        <patternFill>
          <bgColor rgb="FF92D05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auto="1"/>
      </font>
      <fill>
        <patternFill>
          <fgColor auto="1"/>
          <bgColor rgb="FF00B0F0"/>
        </patternFill>
      </fill>
    </dxf>
    <dxf>
      <font>
        <color theme="6" tint="-0.499984740745262"/>
      </font>
      <fill>
        <patternFill>
          <bgColor theme="6" tint="0.39994506668294322"/>
        </patternFill>
      </fill>
    </dxf>
    <dxf>
      <font>
        <color rgb="FFFF0000"/>
      </font>
      <fill>
        <patternFill>
          <bgColor theme="5" tint="0.59996337778862885"/>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b/>
        <i val="0"/>
        <color auto="1"/>
      </font>
      <fill>
        <patternFill>
          <bgColor rgb="FF00B0F0"/>
        </patternFill>
      </fill>
    </dxf>
    <dxf>
      <font>
        <color theme="6" tint="-0.499984740745262"/>
      </font>
      <fill>
        <patternFill>
          <bgColor theme="6" tint="0.39994506668294322"/>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color theme="0" tint="-0.499984740745262"/>
      </font>
      <fill>
        <patternFill>
          <bgColor theme="0" tint="-0.24994659260841701"/>
        </patternFill>
      </fill>
    </dxf>
    <dxf>
      <fill>
        <patternFill>
          <bgColor theme="6" tint="0.39994506668294322"/>
        </patternFill>
      </fill>
    </dxf>
    <dxf>
      <fill>
        <patternFill>
          <bgColor rgb="FFFFFF99"/>
        </patternFill>
      </fill>
    </dxf>
    <dxf>
      <fill>
        <patternFill>
          <bgColor theme="5" tint="0.59996337778862885"/>
        </patternFill>
      </fill>
    </dxf>
    <dxf>
      <fill>
        <patternFill>
          <bgColor theme="7" tint="0.59996337778862885"/>
        </patternFill>
      </fill>
    </dxf>
    <dxf>
      <font>
        <color rgb="FF110171"/>
      </font>
    </dxf>
    <dxf>
      <font>
        <color rgb="FF110171"/>
      </font>
    </dxf>
    <dxf>
      <font>
        <color rgb="FF110171"/>
      </font>
    </dxf>
    <dxf>
      <font>
        <strike/>
        <color theme="0" tint="-0.34998626667073579"/>
      </font>
    </dxf>
  </dxfs>
  <tableStyles count="0" defaultTableStyle="TableStyleMedium2" defaultPivotStyle="PivotStyleLight16"/>
  <colors>
    <mruColors>
      <color rgb="FF110171"/>
      <color rgb="FF99CCFF"/>
      <color rgb="FFDAA600"/>
      <color rgb="FFFFFF99"/>
      <color rgb="FFFFD03B"/>
      <color rgb="FFFFFF66"/>
      <color rgb="FFCCECFF"/>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worksheet" Target="worksheets/sheet3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Hot Cell Long Maintenance Interval</c:v>
          </c:tx>
          <c:spPr>
            <a:ln w="28575" cap="rnd">
              <a:solidFill>
                <a:schemeClr val="accent1"/>
              </a:solidFill>
              <a:round/>
            </a:ln>
            <a:effectLst/>
          </c:spPr>
          <c:marker>
            <c:symbol val="none"/>
          </c:marker>
          <c:dLbls>
            <c:dLbl>
              <c:idx val="0"/>
              <c:layout>
                <c:manualLayout>
                  <c:x val="-6.289630578806954E-2"/>
                  <c:y val="2.1945141017560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Hot Cell Summary'!$I$26,'Upper Hot Cell Summary'!$I$38,'Upper Hot Cell Summary'!$I$50,'Upper Hot Cell Summary'!$I$62,'Upper Hot Cell Summary'!$I$74)</c:f>
              <c:numCache>
                <c:formatCode>0.00</c:formatCode>
                <c:ptCount val="5"/>
                <c:pt idx="0">
                  <c:v>975.48292028562628</c:v>
                </c:pt>
                <c:pt idx="1">
                  <c:v>487.74146014281314</c:v>
                </c:pt>
                <c:pt idx="2">
                  <c:v>365.79240985433211</c:v>
                </c:pt>
                <c:pt idx="3">
                  <c:v>243.87073007140657</c:v>
                </c:pt>
                <c:pt idx="4">
                  <c:v>182.89620492716605</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FE5D-448C-ADEE-A2A02D43904E}"/>
            </c:ext>
          </c:extLst>
        </c:ser>
        <c:ser>
          <c:idx val="1"/>
          <c:order val="1"/>
          <c:tx>
            <c:v>Cask Long Maintenance Interval</c:v>
          </c:tx>
          <c:spPr>
            <a:ln w="28575" cap="rnd">
              <a:solidFill>
                <a:schemeClr val="accent2"/>
              </a:solidFill>
              <a:round/>
            </a:ln>
            <a:effectLst/>
          </c:spPr>
          <c:marker>
            <c:symbol val="none"/>
          </c:marker>
          <c:dLbls>
            <c:dLbl>
              <c:idx val="1"/>
              <c:layout>
                <c:manualLayout>
                  <c:x val="-9.6117651577197656E-3"/>
                  <c:y val="-3.03111547783361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Cask Summary'!$I$26,'Upper Cask Summary'!$I$38,'Upper Cask Summary'!$I$50,'Upper Cask Summary'!$I$62,'Upper Cask Summary'!$I$74)</c:f>
              <c:numCache>
                <c:formatCode>0.00</c:formatCode>
                <c:ptCount val="5"/>
                <c:pt idx="0">
                  <c:v>1014.7143007068516</c:v>
                </c:pt>
                <c:pt idx="1">
                  <c:v>507.35715035342582</c:v>
                </c:pt>
                <c:pt idx="2">
                  <c:v>380.51786276506937</c:v>
                </c:pt>
                <c:pt idx="3">
                  <c:v>253.67857517671291</c:v>
                </c:pt>
                <c:pt idx="4">
                  <c:v>190.25893138253468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FE5D-448C-ADEE-A2A02D43904E}"/>
            </c:ext>
          </c:extLst>
        </c:ser>
        <c:ser>
          <c:idx val="2"/>
          <c:order val="2"/>
          <c:tx>
            <c:v>Cask Short Maintenance Interval</c:v>
          </c:tx>
          <c:spPr>
            <a:ln w="28575" cap="rnd">
              <a:solidFill>
                <a:schemeClr val="accent3"/>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Cask Summary'!$S$26,'Lower Cask Summary'!$S$38,'Lower Cask Summary'!$S$50,'Lower Cask Summary'!$S$62,'Lower Cask Summary'!$S$74)</c:f>
              <c:numCache>
                <c:formatCode>0.00</c:formatCode>
                <c:ptCount val="5"/>
                <c:pt idx="0">
                  <c:v>457.11504555909755</c:v>
                </c:pt>
                <c:pt idx="1">
                  <c:v>242.9959978444079</c:v>
                </c:pt>
                <c:pt idx="2">
                  <c:v>182.24699838330594</c:v>
                </c:pt>
                <c:pt idx="3">
                  <c:v>121.49799892220395</c:v>
                </c:pt>
                <c:pt idx="4">
                  <c:v>91.123499191652968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FE5D-448C-ADEE-A2A02D43904E}"/>
            </c:ext>
          </c:extLst>
        </c:ser>
        <c:ser>
          <c:idx val="3"/>
          <c:order val="3"/>
          <c:tx>
            <c:v>Hot Cell Short Maintenance Interval</c:v>
          </c:tx>
          <c:spPr>
            <a:ln w="28575" cap="rnd">
              <a:solidFill>
                <a:schemeClr val="accent4"/>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Hot Cell Summary'!$S$26,'Lower Hot Cell Summary'!$S$38,'Lower Hot Cell Summary'!$S$50,'Lower Hot Cell Summary'!$S$62,'Lower Hot Cell Summary'!$S$74)</c:f>
              <c:numCache>
                <c:formatCode>0.00</c:formatCode>
                <c:ptCount val="5"/>
                <c:pt idx="0">
                  <c:v>352.00622641706974</c:v>
                </c:pt>
                <c:pt idx="1">
                  <c:v>198.19201706498467</c:v>
                </c:pt>
                <c:pt idx="2">
                  <c:v>148.64401279873852</c:v>
                </c:pt>
                <c:pt idx="3">
                  <c:v>99.096008532492334</c:v>
                </c:pt>
                <c:pt idx="4">
                  <c:v>74.322006399369258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FE5D-448C-ADEE-A2A02D43904E}"/>
            </c:ext>
          </c:extLst>
        </c:ser>
        <c:dLbls>
          <c:showLegendKey val="0"/>
          <c:showVal val="0"/>
          <c:showCatName val="0"/>
          <c:showSerName val="0"/>
          <c:showPercent val="0"/>
          <c:showBubbleSize val="0"/>
        </c:dLbls>
        <c:smooth val="0"/>
        <c:axId val="851042168"/>
        <c:axId val="851042496"/>
      </c:lineChart>
      <c:catAx>
        <c:axId val="85104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496"/>
        <c:crosses val="autoZero"/>
        <c:auto val="1"/>
        <c:lblAlgn val="ctr"/>
        <c:lblOffset val="100"/>
        <c:noMultiLvlLbl val="0"/>
      </c:catAx>
      <c:valAx>
        <c:axId val="851042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port maintenace activities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Estimated duration</a:t>
            </a:r>
            <a:r>
              <a:rPr lang="en-GB" baseline="0"/>
              <a:t> of a long </a:t>
            </a:r>
            <a:r>
              <a:rPr lang="en-GB"/>
              <a:t>maintenance interval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'Plant Availibility Calculator'!$P$2:$T$2</c:f>
              <c:strCache>
                <c:ptCount val="5"/>
                <c:pt idx="0">
                  <c:v>Upper Port Hot Cell and a Lower Port Hot Cell Maintenance Strategy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Calculator'!$P$41:$T$41</c:f>
              <c:numCache>
                <c:formatCode>0</c:formatCode>
                <c:ptCount val="5"/>
                <c:pt idx="0">
                  <c:v>975.48292028562628</c:v>
                </c:pt>
                <c:pt idx="1">
                  <c:v>639.67876885433998</c:v>
                </c:pt>
                <c:pt idx="2">
                  <c:v>479.75907664075493</c:v>
                </c:pt>
                <c:pt idx="3">
                  <c:v>319.83938442716999</c:v>
                </c:pt>
                <c:pt idx="4">
                  <c:v>239.87953832037746</c:v>
                </c:pt>
              </c:numCache>
            </c:numRef>
          </c:val>
          <c:extLst>
            <c:ext xmlns:c16="http://schemas.microsoft.com/office/drawing/2014/chart" uri="{C3380CC4-5D6E-409C-BE32-E72D297353CC}">
              <c16:uniqueId val="{00000000-582A-43BD-982C-F09694937F25}"/>
            </c:ext>
          </c:extLst>
        </c:ser>
        <c:ser>
          <c:idx val="1"/>
          <c:order val="1"/>
          <c:tx>
            <c:strRef>
              <c:f>'Plant Availibility Calculator'!$U$2:$Y$2</c:f>
              <c:strCache>
                <c:ptCount val="5"/>
                <c:pt idx="0">
                  <c:v>Upper Port Cask System and a Lower Port Cask System Maintenance Strategy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Calculator'!$U$41:$Y$41</c:f>
              <c:numCache>
                <c:formatCode>0</c:formatCode>
                <c:ptCount val="5"/>
                <c:pt idx="0">
                  <c:v>1014.7143007068516</c:v>
                </c:pt>
                <c:pt idx="1">
                  <c:v>639.67876885433998</c:v>
                </c:pt>
                <c:pt idx="2">
                  <c:v>479.75907664075493</c:v>
                </c:pt>
                <c:pt idx="3">
                  <c:v>319.83938442716999</c:v>
                </c:pt>
                <c:pt idx="4">
                  <c:v>239.87953832037746</c:v>
                </c:pt>
              </c:numCache>
            </c:numRef>
          </c:val>
          <c:extLst>
            <c:ext xmlns:c16="http://schemas.microsoft.com/office/drawing/2014/chart" uri="{C3380CC4-5D6E-409C-BE32-E72D297353CC}">
              <c16:uniqueId val="{00000001-582A-43BD-982C-F09694937F25}"/>
            </c:ext>
          </c:extLst>
        </c:ser>
        <c:dLbls>
          <c:showLegendKey val="0"/>
          <c:showVal val="0"/>
          <c:showCatName val="0"/>
          <c:showSerName val="0"/>
          <c:showPercent val="0"/>
          <c:showBubbleSize val="0"/>
        </c:dLbls>
        <c:gapWidth val="219"/>
        <c:overlap val="-27"/>
        <c:axId val="802809080"/>
        <c:axId val="802807768"/>
      </c:barChart>
      <c:catAx>
        <c:axId val="80280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7768"/>
        <c:crosses val="autoZero"/>
        <c:auto val="1"/>
        <c:lblAlgn val="ctr"/>
        <c:lblOffset val="100"/>
        <c:noMultiLvlLbl val="0"/>
      </c:catAx>
      <c:valAx>
        <c:axId val="802807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a long</a:t>
                </a:r>
                <a:r>
                  <a:rPr lang="en-GB" baseline="0"/>
                  <a:t> maintenance duration (days)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Estimated duration</a:t>
            </a:r>
            <a:r>
              <a:rPr lang="en-GB" baseline="0"/>
              <a:t> of a short </a:t>
            </a:r>
            <a:r>
              <a:rPr lang="en-GB"/>
              <a:t>maintenance interval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'Plant Availibility Calculator'!$P$23:$T$23</c:f>
              <c:strCache>
                <c:ptCount val="5"/>
                <c:pt idx="0">
                  <c:v>Lower Port Hot Cell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Calculator'!$P$42:$T$42</c:f>
              <c:numCache>
                <c:formatCode>0</c:formatCode>
                <c:ptCount val="5"/>
                <c:pt idx="0">
                  <c:v>352.00622641706974</c:v>
                </c:pt>
                <c:pt idx="1">
                  <c:v>198.19201706498467</c:v>
                </c:pt>
                <c:pt idx="2">
                  <c:v>148.64401279873852</c:v>
                </c:pt>
                <c:pt idx="3">
                  <c:v>99.096008532492334</c:v>
                </c:pt>
                <c:pt idx="4">
                  <c:v>74.322006399369258</c:v>
                </c:pt>
              </c:numCache>
            </c:numRef>
          </c:val>
          <c:extLst>
            <c:ext xmlns:c16="http://schemas.microsoft.com/office/drawing/2014/chart" uri="{C3380CC4-5D6E-409C-BE32-E72D297353CC}">
              <c16:uniqueId val="{00000000-27F4-461C-86F6-80D6DACAFDAC}"/>
            </c:ext>
          </c:extLst>
        </c:ser>
        <c:ser>
          <c:idx val="1"/>
          <c:order val="1"/>
          <c:tx>
            <c:strRef>
              <c:f>'Plant Availibility Calculator'!$U$23:$Y$23</c:f>
              <c:strCache>
                <c:ptCount val="5"/>
                <c:pt idx="0">
                  <c:v>Lower Port Cask System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Calculator'!$U$42:$Y$42</c:f>
              <c:numCache>
                <c:formatCode>0</c:formatCode>
                <c:ptCount val="5"/>
                <c:pt idx="0">
                  <c:v>457.11504555909755</c:v>
                </c:pt>
                <c:pt idx="1">
                  <c:v>242.9959978444079</c:v>
                </c:pt>
                <c:pt idx="2">
                  <c:v>182.24699838330594</c:v>
                </c:pt>
                <c:pt idx="3">
                  <c:v>121.49799892220395</c:v>
                </c:pt>
                <c:pt idx="4">
                  <c:v>91.123499191652968</c:v>
                </c:pt>
              </c:numCache>
            </c:numRef>
          </c:val>
          <c:extLst>
            <c:ext xmlns:c16="http://schemas.microsoft.com/office/drawing/2014/chart" uri="{C3380CC4-5D6E-409C-BE32-E72D297353CC}">
              <c16:uniqueId val="{00000001-27F4-461C-86F6-80D6DACAFDAC}"/>
            </c:ext>
          </c:extLst>
        </c:ser>
        <c:dLbls>
          <c:showLegendKey val="0"/>
          <c:showVal val="0"/>
          <c:showCatName val="0"/>
          <c:showSerName val="0"/>
          <c:showPercent val="0"/>
          <c:showBubbleSize val="0"/>
        </c:dLbls>
        <c:gapWidth val="219"/>
        <c:overlap val="-27"/>
        <c:axId val="802809080"/>
        <c:axId val="802807768"/>
      </c:barChart>
      <c:catAx>
        <c:axId val="80280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7768"/>
        <c:crosses val="autoZero"/>
        <c:auto val="1"/>
        <c:lblAlgn val="ctr"/>
        <c:lblOffset val="100"/>
        <c:noMultiLvlLbl val="0"/>
      </c:catAx>
      <c:valAx>
        <c:axId val="802807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a short</a:t>
                </a:r>
                <a:r>
                  <a:rPr lang="en-GB" baseline="0"/>
                  <a:t> maintenance duration (days)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Duration of</a:t>
            </a:r>
            <a:r>
              <a:rPr lang="en-GB" baseline="0"/>
              <a:t> divertor port maintenance operations during a long maintenance interval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8"/>
          <c:order val="0"/>
          <c:tx>
            <c:v>Hardware Removal</c:v>
          </c:tx>
          <c:spPr>
            <a:solidFill>
              <a:schemeClr val="accent2"/>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Summary'!$E$26,'Lower Cask Summary'!$E$38,'Lower Cask Summary'!$E$50,'Lower Cask Summary'!$E$62,'Lower Cask Summary'!$E$74)</c:f>
              <c:numCache>
                <c:formatCode>0.00</c:formatCode>
                <c:ptCount val="5"/>
                <c:pt idx="0">
                  <c:v>226.1100757107414</c:v>
                </c:pt>
                <c:pt idx="1">
                  <c:v>113.0550378553707</c:v>
                </c:pt>
                <c:pt idx="2">
                  <c:v>84.79127839152801</c:v>
                </c:pt>
                <c:pt idx="3">
                  <c:v>56.52751892768535</c:v>
                </c:pt>
                <c:pt idx="4">
                  <c:v>42.395639195764005</c:v>
                </c:pt>
              </c:numCache>
            </c:numRef>
          </c:val>
          <c:extLst>
            <c:ext xmlns:c16="http://schemas.microsoft.com/office/drawing/2014/chart" uri="{C3380CC4-5D6E-409C-BE32-E72D297353CC}">
              <c16:uniqueId val="{00000000-129C-4A0E-8DD5-3EB4C7DABDFE}"/>
            </c:ext>
          </c:extLst>
        </c:ser>
        <c:ser>
          <c:idx val="0"/>
          <c:order val="1"/>
          <c:tx>
            <c:v>Hardware Installation</c:v>
          </c:tx>
          <c:spPr>
            <a:solidFill>
              <a:schemeClr val="accent3"/>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Summary'!$F$26,'Lower Cask Summary'!$F$38,'Lower Cask Summary'!$F$50,'Lower Cask Summary'!$F$62,'Lower Cask Summary'!$F$74)</c:f>
              <c:numCache>
                <c:formatCode>0.00</c:formatCode>
                <c:ptCount val="5"/>
                <c:pt idx="0">
                  <c:v>520.66306710380388</c:v>
                </c:pt>
                <c:pt idx="1">
                  <c:v>258.77381132967963</c:v>
                </c:pt>
                <c:pt idx="2">
                  <c:v>194.08035849725977</c:v>
                </c:pt>
                <c:pt idx="3">
                  <c:v>129.38690566483982</c:v>
                </c:pt>
                <c:pt idx="4">
                  <c:v>97.040179248629883</c:v>
                </c:pt>
              </c:numCache>
            </c:numRef>
          </c:val>
          <c:extLst>
            <c:ext xmlns:c16="http://schemas.microsoft.com/office/drawing/2014/chart" uri="{C3380CC4-5D6E-409C-BE32-E72D297353CC}">
              <c16:uniqueId val="{00000001-129C-4A0E-8DD5-3EB4C7DABDFE}"/>
            </c:ext>
          </c:extLst>
        </c:ser>
        <c:ser>
          <c:idx val="1"/>
          <c:order val="2"/>
          <c:tx>
            <c:v>RM Equipment Failures</c:v>
          </c:tx>
          <c:spPr>
            <a:solidFill>
              <a:schemeClr val="accent4"/>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Summary'!$G$26,'Lower Cask Summary'!$G$38,'Lower Cask Summary'!$G$50,'Lower Cask Summary'!$G$62,'Lower Cask Summary'!$G$74)</c:f>
              <c:numCache>
                <c:formatCode>0.00</c:formatCode>
                <c:ptCount val="5"/>
                <c:pt idx="0">
                  <c:v>32.928874535908804</c:v>
                </c:pt>
                <c:pt idx="1">
                  <c:v>16.464437267954402</c:v>
                </c:pt>
                <c:pt idx="2">
                  <c:v>12.348327950965801</c:v>
                </c:pt>
                <c:pt idx="3">
                  <c:v>8.232218633977201</c:v>
                </c:pt>
                <c:pt idx="4">
                  <c:v>6.1741639754829007</c:v>
                </c:pt>
              </c:numCache>
            </c:numRef>
          </c:val>
          <c:extLst>
            <c:ext xmlns:c16="http://schemas.microsoft.com/office/drawing/2014/chart" uri="{C3380CC4-5D6E-409C-BE32-E72D297353CC}">
              <c16:uniqueId val="{00000002-129C-4A0E-8DD5-3EB4C7DABDFE}"/>
            </c:ext>
          </c:extLst>
        </c:ser>
        <c:ser>
          <c:idx val="2"/>
          <c:order val="3"/>
          <c:tx>
            <c:v>Recovery from Failed Welds</c:v>
          </c:tx>
          <c:spPr>
            <a:solidFill>
              <a:schemeClr val="accent5"/>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Summary'!$H$26,'Lower Cask Summary'!$H$38,'Lower Cask Summary'!$H$50,'Lower Cask Summary'!$H$62,'Lower Cask Summary'!$H$74)</c:f>
              <c:numCache>
                <c:formatCode>0.00</c:formatCode>
                <c:ptCount val="5"/>
                <c:pt idx="0">
                  <c:v>520.59265509694171</c:v>
                </c:pt>
                <c:pt idx="1">
                  <c:v>260.29632754847086</c:v>
                </c:pt>
                <c:pt idx="2">
                  <c:v>195.22224566135313</c:v>
                </c:pt>
                <c:pt idx="3">
                  <c:v>161.54365906313149</c:v>
                </c:pt>
                <c:pt idx="4">
                  <c:v>97.611122830676564</c:v>
                </c:pt>
              </c:numCache>
            </c:numRef>
          </c:val>
          <c:extLst>
            <c:ext xmlns:c16="http://schemas.microsoft.com/office/drawing/2014/chart" uri="{C3380CC4-5D6E-409C-BE32-E72D297353CC}">
              <c16:uniqueId val="{00000003-129C-4A0E-8DD5-3EB4C7DABDFE}"/>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Duration of</a:t>
            </a:r>
            <a:r>
              <a:rPr lang="en-GB" baseline="0"/>
              <a:t> divertor port maintenance operations during a short maintenance interval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61460473251028802"/>
        </c:manualLayout>
      </c:layout>
      <c:barChart>
        <c:barDir val="col"/>
        <c:grouping val="stacked"/>
        <c:varyColors val="0"/>
        <c:ser>
          <c:idx val="8"/>
          <c:order val="0"/>
          <c:tx>
            <c:strRef>
              <c:f>'Lower Cask Summary'!$O$4</c:f>
              <c:strCache>
                <c:ptCount val="1"/>
                <c:pt idx="0">
                  <c:v>Divertor Removal</c:v>
                </c:pt>
              </c:strCache>
            </c:strRef>
          </c:tx>
          <c:spPr>
            <a:solidFill>
              <a:schemeClr val="accent2"/>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Summary'!$O$26,'Lower Cask Summary'!$O$38,'Lower Cask Summary'!$O$50,'Lower Cask Summary'!$O$62,'Lower Cask Summary'!$O$74)</c:f>
              <c:numCache>
                <c:formatCode>0.00</c:formatCode>
                <c:ptCount val="5"/>
                <c:pt idx="0">
                  <c:v>182.51247973120022</c:v>
                </c:pt>
                <c:pt idx="1">
                  <c:v>91.256239865600108</c:v>
                </c:pt>
                <c:pt idx="2">
                  <c:v>68.442179899200084</c:v>
                </c:pt>
                <c:pt idx="3">
                  <c:v>45.628119932800054</c:v>
                </c:pt>
                <c:pt idx="4">
                  <c:v>34.221089949600042</c:v>
                </c:pt>
              </c:numCache>
            </c:numRef>
          </c:val>
          <c:extLst>
            <c:ext xmlns:c16="http://schemas.microsoft.com/office/drawing/2014/chart" uri="{C3380CC4-5D6E-409C-BE32-E72D297353CC}">
              <c16:uniqueId val="{00000000-C980-4BEA-A5BA-27977A6BFEDF}"/>
            </c:ext>
          </c:extLst>
        </c:ser>
        <c:ser>
          <c:idx val="0"/>
          <c:order val="1"/>
          <c:tx>
            <c:strRef>
              <c:f>'Lower Cask Summary'!$P$4</c:f>
              <c:strCache>
                <c:ptCount val="1"/>
                <c:pt idx="0">
                  <c:v>Divertor Installation</c:v>
                </c:pt>
              </c:strCache>
            </c:strRef>
          </c:tx>
          <c:spPr>
            <a:solidFill>
              <a:schemeClr val="accent3"/>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Summary'!$P$26,'Lower Cask Summary'!$P$38,'Lower Cask Summary'!$P$50,'Lower Cask Summary'!$P$62,'Lower Cask Summary'!$P$74)</c:f>
              <c:numCache>
                <c:formatCode>0.00</c:formatCode>
                <c:ptCount val="5"/>
                <c:pt idx="0">
                  <c:v>182.51247973120022</c:v>
                </c:pt>
                <c:pt idx="1">
                  <c:v>105.69471493045923</c:v>
                </c:pt>
                <c:pt idx="2">
                  <c:v>79.271036197844396</c:v>
                </c:pt>
                <c:pt idx="3">
                  <c:v>52.847357465229614</c:v>
                </c:pt>
                <c:pt idx="4">
                  <c:v>39.635518098922198</c:v>
                </c:pt>
              </c:numCache>
            </c:numRef>
          </c:val>
          <c:extLst>
            <c:ext xmlns:c16="http://schemas.microsoft.com/office/drawing/2014/chart" uri="{C3380CC4-5D6E-409C-BE32-E72D297353CC}">
              <c16:uniqueId val="{00000001-C980-4BEA-A5BA-27977A6BFEDF}"/>
            </c:ext>
          </c:extLst>
        </c:ser>
        <c:ser>
          <c:idx val="2"/>
          <c:order val="2"/>
          <c:tx>
            <c:v>Weldingfailures</c:v>
          </c:tx>
          <c:spPr>
            <a:solidFill>
              <a:schemeClr val="accent5"/>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Summary'!$R$26,'Lower Cask Summary'!$R$38,'Lower Cask Summary'!$R$50,'Lower Cask Summary'!$R$62,'Lower Cask Summary'!$R$74)</c:f>
              <c:numCache>
                <c:formatCode>0.00</c:formatCode>
                <c:ptCount val="5"/>
                <c:pt idx="0">
                  <c:v>68.180985331540285</c:v>
                </c:pt>
                <c:pt idx="1">
                  <c:v>34.090492665770142</c:v>
                </c:pt>
                <c:pt idx="2">
                  <c:v>25.567869499327614</c:v>
                </c:pt>
                <c:pt idx="3">
                  <c:v>17.045246332885071</c:v>
                </c:pt>
                <c:pt idx="4">
                  <c:v>12.783934749663807</c:v>
                </c:pt>
              </c:numCache>
            </c:numRef>
          </c:val>
          <c:extLst>
            <c:ext xmlns:c16="http://schemas.microsoft.com/office/drawing/2014/chart" uri="{C3380CC4-5D6E-409C-BE32-E72D297353CC}">
              <c16:uniqueId val="{00000003-C980-4BEA-A5BA-27977A6BFEDF}"/>
            </c:ext>
          </c:extLst>
        </c:ser>
        <c:ser>
          <c:idx val="1"/>
          <c:order val="3"/>
          <c:tx>
            <c:v>RM Equipment Failures</c:v>
          </c:tx>
          <c:spPr>
            <a:solidFill>
              <a:schemeClr val="accent4"/>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Summary'!$Q$26,'Lower Cask Summary'!$Q$38,'Lower Cask Summary'!$Q$50,'Lower Cask Summary'!$Q$62,'Lower Cask Summary'!$Q$74)</c:f>
              <c:numCache>
                <c:formatCode>0.00</c:formatCode>
                <c:ptCount val="5"/>
                <c:pt idx="0">
                  <c:v>23.90910076515684</c:v>
                </c:pt>
                <c:pt idx="1">
                  <c:v>11.95455038257842</c:v>
                </c:pt>
                <c:pt idx="2">
                  <c:v>8.9659127869338171</c:v>
                </c:pt>
                <c:pt idx="3">
                  <c:v>5.9772751912892099</c:v>
                </c:pt>
                <c:pt idx="4">
                  <c:v>4.4829563934669086</c:v>
                </c:pt>
              </c:numCache>
            </c:numRef>
          </c:val>
          <c:extLst>
            <c:ext xmlns:c16="http://schemas.microsoft.com/office/drawing/2014/chart" uri="{C3380CC4-5D6E-409C-BE32-E72D297353CC}">
              <c16:uniqueId val="{00000002-C980-4BEA-A5BA-27977A6BFEDF}"/>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hot cell based maintenance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0"/>
          <c:order val="0"/>
          <c:tx>
            <c:strRef>
              <c:f>'Lower Hot Cell Summary'!$E$4</c:f>
              <c:strCache>
                <c:ptCount val="1"/>
                <c:pt idx="0">
                  <c:v>Hardware Removal</c:v>
                </c:pt>
              </c:strCache>
            </c:strRef>
          </c:tx>
          <c:spPr>
            <a:solidFill>
              <a:schemeClr val="accent1"/>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Summary'!$E$26,'Lower Hot Cell Summary'!$E$38,'Lower Hot Cell Summary'!$E$50,'Lower Hot Cell Summary'!$E$62,'Lower Hot Cell Summary'!$E$74)</c:f>
              <c:numCache>
                <c:formatCode>0.00</c:formatCode>
                <c:ptCount val="5"/>
                <c:pt idx="0">
                  <c:v>180.72415345466229</c:v>
                </c:pt>
                <c:pt idx="1">
                  <c:v>90.362076727331143</c:v>
                </c:pt>
                <c:pt idx="2">
                  <c:v>67.771557545498368</c:v>
                </c:pt>
                <c:pt idx="3">
                  <c:v>45.181038363665571</c:v>
                </c:pt>
                <c:pt idx="4">
                  <c:v>33.885778772749184</c:v>
                </c:pt>
              </c:numCache>
            </c:numRef>
          </c:val>
          <c:extLst>
            <c:ext xmlns:c16="http://schemas.microsoft.com/office/drawing/2014/chart" uri="{C3380CC4-5D6E-409C-BE32-E72D297353CC}">
              <c16:uniqueId val="{00000000-20EA-45BF-8D11-1A3E6519A17C}"/>
            </c:ext>
          </c:extLst>
        </c:ser>
        <c:ser>
          <c:idx val="1"/>
          <c:order val="1"/>
          <c:tx>
            <c:strRef>
              <c:f>'Lower Hot Cell Summary'!$F$4</c:f>
              <c:strCache>
                <c:ptCount val="1"/>
                <c:pt idx="0">
                  <c:v>Hardware Installation</c:v>
                </c:pt>
              </c:strCache>
            </c:strRef>
          </c:tx>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Summary'!$F$26,'Lower Hot Cell Summary'!$F$38,'Lower Hot Cell Summary'!$F$50,'Lower Hot Cell Summary'!$F$62,'Lower Hot Cell Summary'!$F$74)</c:f>
              <c:numCache>
                <c:formatCode>0.00</c:formatCode>
                <c:ptCount val="5"/>
                <c:pt idx="0">
                  <c:v>598.73722472886038</c:v>
                </c:pt>
                <c:pt idx="1">
                  <c:v>298.94935127024752</c:v>
                </c:pt>
                <c:pt idx="2">
                  <c:v>224.2120134526856</c:v>
                </c:pt>
                <c:pt idx="3">
                  <c:v>149.47467563512376</c:v>
                </c:pt>
                <c:pt idx="4">
                  <c:v>112.1060067263428</c:v>
                </c:pt>
              </c:numCache>
            </c:numRef>
          </c:val>
          <c:extLst>
            <c:ext xmlns:c16="http://schemas.microsoft.com/office/drawing/2014/chart" uri="{C3380CC4-5D6E-409C-BE32-E72D297353CC}">
              <c16:uniqueId val="{00000001-20EA-45BF-8D11-1A3E6519A17C}"/>
            </c:ext>
          </c:extLst>
        </c:ser>
        <c:ser>
          <c:idx val="2"/>
          <c:order val="2"/>
          <c:tx>
            <c:v>RM Equipment Failures</c:v>
          </c:tx>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Summary'!$G$26,'Lower Hot Cell Summary'!$G$38,'Lower Hot Cell Summary'!$G$50,'Lower Hot Cell Summary'!$G$62,'Lower Hot Cell Summary'!$G$74)</c:f>
              <c:numCache>
                <c:formatCode>0.00</c:formatCode>
                <c:ptCount val="5"/>
                <c:pt idx="0">
                  <c:v>21.601406248067619</c:v>
                </c:pt>
                <c:pt idx="1">
                  <c:v>10.800703124033809</c:v>
                </c:pt>
                <c:pt idx="2">
                  <c:v>8.100527343025357</c:v>
                </c:pt>
                <c:pt idx="3">
                  <c:v>5.4003515620169047</c:v>
                </c:pt>
                <c:pt idx="4">
                  <c:v>4.0502636715126785</c:v>
                </c:pt>
              </c:numCache>
            </c:numRef>
          </c:val>
          <c:extLst>
            <c:ext xmlns:c16="http://schemas.microsoft.com/office/drawing/2014/chart" uri="{C3380CC4-5D6E-409C-BE32-E72D297353CC}">
              <c16:uniqueId val="{00000002-20EA-45BF-8D11-1A3E6519A17C}"/>
            </c:ext>
          </c:extLst>
        </c:ser>
        <c:ser>
          <c:idx val="3"/>
          <c:order val="3"/>
          <c:tx>
            <c:v>Weld Failures</c:v>
          </c:tx>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Summary'!$H$26,'Lower Hot Cell Summary'!$H$38,'Lower Hot Cell Summary'!$H$50,'Lower Hot Cell Summary'!$H$62,'Lower Hot Cell Summary'!$H$74)</c:f>
              <c:numCache>
                <c:formatCode>0.00</c:formatCode>
                <c:ptCount val="5"/>
                <c:pt idx="0">
                  <c:v>29.945829716590946</c:v>
                </c:pt>
                <c:pt idx="1">
                  <c:v>239.56663773272757</c:v>
                </c:pt>
                <c:pt idx="2">
                  <c:v>179.67497829954564</c:v>
                </c:pt>
                <c:pt idx="3">
                  <c:v>119.78331886636379</c:v>
                </c:pt>
                <c:pt idx="4">
                  <c:v>89.837489149772821</c:v>
                </c:pt>
              </c:numCache>
            </c:numRef>
          </c:val>
          <c:extLst>
            <c:ext xmlns:c16="http://schemas.microsoft.com/office/drawing/2014/chart" uri="{C3380CC4-5D6E-409C-BE32-E72D297353CC}">
              <c16:uniqueId val="{00000003-20EA-45BF-8D11-1A3E6519A17C}"/>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cask based</a:t>
            </a:r>
            <a:r>
              <a:rPr lang="en-GB" baseline="0"/>
              <a:t> </a:t>
            </a:r>
            <a:r>
              <a:rPr lang="en-GB"/>
              <a:t>maintenance campaign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014284905272983E-2"/>
          <c:y val="0.19322527233355558"/>
          <c:w val="0.88560322498694166"/>
          <c:h val="0.55188870277209934"/>
        </c:manualLayout>
      </c:layout>
      <c:barChart>
        <c:barDir val="col"/>
        <c:grouping val="stacked"/>
        <c:varyColors val="0"/>
        <c:ser>
          <c:idx val="8"/>
          <c:order val="0"/>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Summary'!$E$24,'Upper Cask Summary'!$E$36,'Upper Cask Summary'!$E$48,'Upper Cask Summary'!$E$60,'Upper Cask Summary'!$E$72)</c:f>
              <c:numCache>
                <c:formatCode>0.00</c:formatCode>
                <c:ptCount val="5"/>
                <c:pt idx="0">
                  <c:v>141.69365047406637</c:v>
                </c:pt>
                <c:pt idx="1">
                  <c:v>70.846825237033187</c:v>
                </c:pt>
                <c:pt idx="2">
                  <c:v>53.135118927774876</c:v>
                </c:pt>
                <c:pt idx="3">
                  <c:v>35.423412618516593</c:v>
                </c:pt>
                <c:pt idx="4">
                  <c:v>26.567559463887438</c:v>
                </c:pt>
              </c:numCache>
            </c:numRef>
          </c:val>
          <c:extLst>
            <c:ext xmlns:c16="http://schemas.microsoft.com/office/drawing/2014/chart" uri="{C3380CC4-5D6E-409C-BE32-E72D297353CC}">
              <c16:uniqueId val="{00000000-519D-4FB5-8765-CBABEFEF7743}"/>
            </c:ext>
          </c:extLst>
        </c:ser>
        <c:ser>
          <c:idx val="0"/>
          <c:order val="1"/>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Summary'!$F$24,'Upper Cask Summary'!$F$36,'Upper Cask Summary'!$F$48,'Upper Cask Summary'!$F$60,'Upper Cask Summary'!$F$72)</c:f>
              <c:numCache>
                <c:formatCode>0.00</c:formatCode>
                <c:ptCount val="5"/>
                <c:pt idx="0">
                  <c:v>242.17577517291195</c:v>
                </c:pt>
                <c:pt idx="1">
                  <c:v>121.08788758645598</c:v>
                </c:pt>
                <c:pt idx="2">
                  <c:v>90.815915689841987</c:v>
                </c:pt>
                <c:pt idx="3">
                  <c:v>60.543943793227989</c:v>
                </c:pt>
                <c:pt idx="4">
                  <c:v>45.407957844920993</c:v>
                </c:pt>
              </c:numCache>
            </c:numRef>
          </c:val>
          <c:extLst>
            <c:ext xmlns:c16="http://schemas.microsoft.com/office/drawing/2014/chart" uri="{C3380CC4-5D6E-409C-BE32-E72D297353CC}">
              <c16:uniqueId val="{00000001-519D-4FB5-8765-CBABEFEF7743}"/>
            </c:ext>
          </c:extLst>
        </c:ser>
        <c:ser>
          <c:idx val="1"/>
          <c:order val="2"/>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Summary'!$G$24,'Upper Cask Summary'!$G$36,'Upper Cask Summary'!$G$48,'Upper Cask Summary'!$G$60,'Upper Cask Summary'!$G$72)</c:f>
              <c:numCache>
                <c:formatCode>0.00</c:formatCode>
                <c:ptCount val="5"/>
                <c:pt idx="0">
                  <c:v>66.407393859269675</c:v>
                </c:pt>
                <c:pt idx="1">
                  <c:v>33.203696929634837</c:v>
                </c:pt>
                <c:pt idx="2">
                  <c:v>24.90277269722613</c:v>
                </c:pt>
                <c:pt idx="3">
                  <c:v>16.601848464817419</c:v>
                </c:pt>
                <c:pt idx="4">
                  <c:v>12.451386348613065</c:v>
                </c:pt>
              </c:numCache>
            </c:numRef>
          </c:val>
          <c:extLst>
            <c:ext xmlns:c16="http://schemas.microsoft.com/office/drawing/2014/chart" uri="{C3380CC4-5D6E-409C-BE32-E72D297353CC}">
              <c16:uniqueId val="{00000002-519D-4FB5-8765-CBABEFEF7743}"/>
            </c:ext>
          </c:extLst>
        </c:ser>
        <c:ser>
          <c:idx val="2"/>
          <c:order val="3"/>
          <c:spPr>
            <a:solidFill>
              <a:schemeClr val="accent5"/>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Summary'!$H$24,'Upper Cask Summary'!$H$36,'Upper Cask Summary'!$H$48,'Upper Cask Summary'!$H$60,'Upper Cask Summary'!$H$72)</c:f>
              <c:numCache>
                <c:formatCode>0.00</c:formatCode>
                <c:ptCount val="5"/>
                <c:pt idx="0">
                  <c:v>164.70154455851045</c:v>
                </c:pt>
                <c:pt idx="1">
                  <c:v>82.350772279255224</c:v>
                </c:pt>
                <c:pt idx="2">
                  <c:v>61.763079209441436</c:v>
                </c:pt>
                <c:pt idx="3">
                  <c:v>41.175386139627612</c:v>
                </c:pt>
                <c:pt idx="4">
                  <c:v>30.881539604720718</c:v>
                </c:pt>
              </c:numCache>
            </c:numRef>
          </c:val>
          <c:extLst>
            <c:ext xmlns:c16="http://schemas.microsoft.com/office/drawing/2014/chart" uri="{C3380CC4-5D6E-409C-BE32-E72D297353CC}">
              <c16:uniqueId val="{00000003-519D-4FB5-8765-CBABEFEF7743}"/>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Duration (Days)</a:t>
                </a:r>
                <a:endParaRPr lang="en-GB"/>
              </a:p>
            </c:rich>
          </c:tx>
          <c:layout>
            <c:manualLayout>
              <c:xMode val="edge"/>
              <c:yMode val="edge"/>
              <c:x val="2.7666880007997849E-4"/>
              <c:y val="0.339063744593305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Delay to the Critical Path due to weld failures</c:v>
          </c:tx>
          <c:spPr>
            <a:ln w="28575" cap="rnd">
              <a:solidFill>
                <a:schemeClr val="accent1"/>
              </a:solidFill>
              <a:round/>
            </a:ln>
            <a:effectLst/>
          </c:spPr>
          <c:marker>
            <c:symbol val="none"/>
          </c:marker>
          <c:cat>
            <c:numRef>
              <c:f>'Upper Cask Welding failures'!$F$21:$J$21</c:f>
              <c:numCache>
                <c:formatCode>0</c:formatCode>
                <c:ptCount val="5"/>
                <c:pt idx="0">
                  <c:v>1</c:v>
                </c:pt>
                <c:pt idx="1">
                  <c:v>2</c:v>
                </c:pt>
                <c:pt idx="2">
                  <c:v>3</c:v>
                </c:pt>
                <c:pt idx="3">
                  <c:v>4</c:v>
                </c:pt>
                <c:pt idx="4">
                  <c:v>6</c:v>
                </c:pt>
              </c:numCache>
            </c:numRef>
          </c:cat>
          <c:val>
            <c:numRef>
              <c:f>'Upper Cask Welding failures'!$F$26:$J$26</c:f>
              <c:numCache>
                <c:formatCode>0.00</c:formatCode>
                <c:ptCount val="5"/>
                <c:pt idx="0">
                  <c:v>3952.8370694042483</c:v>
                </c:pt>
                <c:pt idx="1">
                  <c:v>1976.4185347021241</c:v>
                </c:pt>
                <c:pt idx="2">
                  <c:v>1482.3139010265932</c:v>
                </c:pt>
                <c:pt idx="3">
                  <c:v>988.20926735106207</c:v>
                </c:pt>
                <c:pt idx="4">
                  <c:v>741.15695051329658</c:v>
                </c:pt>
              </c:numCache>
            </c:numRef>
          </c:val>
          <c:smooth val="0"/>
          <c:extLst>
            <c:ext xmlns:c16="http://schemas.microsoft.com/office/drawing/2014/chart" uri="{C3380CC4-5D6E-409C-BE32-E72D297353CC}">
              <c16:uniqueId val="{00000000-1722-4D28-9310-147B95F11315}"/>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'Upper Cask Recovery Scenarios'!$D$10:$I$10</c:f>
              <c:strCache>
                <c:ptCount val="6"/>
                <c:pt idx="0">
                  <c:v>1</c:v>
                </c:pt>
                <c:pt idx="1">
                  <c:v>1</c:v>
                </c:pt>
                <c:pt idx="2">
                  <c:v>2</c:v>
                </c:pt>
                <c:pt idx="3">
                  <c:v>3</c:v>
                </c:pt>
                <c:pt idx="4">
                  <c:v>4</c:v>
                </c:pt>
                <c:pt idx="5">
                  <c:v>6</c:v>
                </c:pt>
              </c:strCache>
            </c:strRef>
          </c:tx>
          <c:spPr>
            <a:ln w="28575" cap="rnd">
              <a:solidFill>
                <a:schemeClr val="accent1"/>
              </a:solidFill>
              <a:round/>
            </a:ln>
            <a:effectLst/>
          </c:spPr>
          <c:marker>
            <c:symbol val="none"/>
          </c:marker>
          <c:val>
            <c:numRef>
              <c:f>'Upper Cask Recovery Scenarios'!$D$14:$I$14</c:f>
              <c:numCache>
                <c:formatCode>0.00</c:formatCode>
                <c:ptCount val="5"/>
                <c:pt idx="0">
                  <c:v>99.611090788904534</c:v>
                </c:pt>
                <c:pt idx="1">
                  <c:v>1593.7774526224725</c:v>
                </c:pt>
                <c:pt idx="2">
                  <c:v>796.88872631123627</c:v>
                </c:pt>
                <c:pt idx="3">
                  <c:v>597.66654473342714</c:v>
                </c:pt>
                <c:pt idx="4">
                  <c:v>298.83327236671357</c:v>
                </c:pt>
              </c:numCache>
            </c:numRef>
          </c:val>
          <c:smooth val="0"/>
          <c:extLst>
            <c:ext xmlns:c16="http://schemas.microsoft.com/office/drawing/2014/chart" uri="{C3380CC4-5D6E-409C-BE32-E72D297353CC}">
              <c16:uniqueId val="{00000000-AAAE-4D2F-8C2F-D77A3CC9EFFD}"/>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hot cell based maintenance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8"/>
          <c:order val="0"/>
          <c:tx>
            <c:v>Hardware Removal</c:v>
          </c:tx>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Summary'!$E$26,'Upper Hot Cell Summary'!$E$38,'Upper Hot Cell Summary'!$E$50,'Upper Hot Cell Summary'!$E$62,'Upper Hot Cell Summary'!$E$74)</c:f>
              <c:numCache>
                <c:formatCode>0.00</c:formatCode>
                <c:ptCount val="5"/>
                <c:pt idx="0">
                  <c:v>227.07168994887593</c:v>
                </c:pt>
                <c:pt idx="1">
                  <c:v>113.53584497443796</c:v>
                </c:pt>
                <c:pt idx="2">
                  <c:v>85.151883730828459</c:v>
                </c:pt>
                <c:pt idx="3">
                  <c:v>56.767922487218982</c:v>
                </c:pt>
                <c:pt idx="4">
                  <c:v>42.575941865414229</c:v>
                </c:pt>
              </c:numCache>
            </c:numRef>
          </c:val>
          <c:extLst>
            <c:ext xmlns:c16="http://schemas.microsoft.com/office/drawing/2014/chart" uri="{C3380CC4-5D6E-409C-BE32-E72D297353CC}">
              <c16:uniqueId val="{00000000-BDFF-40B3-8076-95D494ED57A8}"/>
            </c:ext>
          </c:extLst>
        </c:ser>
        <c:ser>
          <c:idx val="0"/>
          <c:order val="1"/>
          <c:tx>
            <c:v>Hardware Installation</c:v>
          </c:tx>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Summary'!$F$26,'Upper Hot Cell Summary'!$F$38,'Upper Hot Cell Summary'!$F$50,'Upper Hot Cell Summary'!$F$62,'Upper Hot Cell Summary'!$F$74)</c:f>
              <c:numCache>
                <c:formatCode>0.00</c:formatCode>
                <c:ptCount val="5"/>
                <c:pt idx="0">
                  <c:v>339.98836236863809</c:v>
                </c:pt>
                <c:pt idx="1">
                  <c:v>169.99418118431905</c:v>
                </c:pt>
                <c:pt idx="2">
                  <c:v>127.49563588823928</c:v>
                </c:pt>
                <c:pt idx="3">
                  <c:v>84.997090592159523</c:v>
                </c:pt>
                <c:pt idx="4">
                  <c:v>63.747817944119639</c:v>
                </c:pt>
              </c:numCache>
            </c:numRef>
          </c:val>
          <c:extLst>
            <c:ext xmlns:c16="http://schemas.microsoft.com/office/drawing/2014/chart" uri="{C3380CC4-5D6E-409C-BE32-E72D297353CC}">
              <c16:uniqueId val="{00000001-BDFF-40B3-8076-95D494ED57A8}"/>
            </c:ext>
          </c:extLst>
        </c:ser>
        <c:ser>
          <c:idx val="1"/>
          <c:order val="2"/>
          <c:tx>
            <c:v>RM Equipment Failures</c:v>
          </c:tx>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Summary'!$G$26,'Upper Hot Cell Summary'!$G$38,'Upper Hot Cell Summary'!$G$50,'Upper Hot Cell Summary'!$G$62,'Upper Hot Cell Summary'!$G$74)</c:f>
              <c:numCache>
                <c:formatCode>0.00</c:formatCode>
                <c:ptCount val="5"/>
                <c:pt idx="0">
                  <c:v>81.422922777777799</c:v>
                </c:pt>
                <c:pt idx="1">
                  <c:v>40.7114613888889</c:v>
                </c:pt>
                <c:pt idx="2">
                  <c:v>30.519910788888893</c:v>
                </c:pt>
                <c:pt idx="3">
                  <c:v>20.35573069444445</c:v>
                </c:pt>
                <c:pt idx="4">
                  <c:v>15.259955394444447</c:v>
                </c:pt>
              </c:numCache>
            </c:numRef>
          </c:val>
          <c:extLst>
            <c:ext xmlns:c16="http://schemas.microsoft.com/office/drawing/2014/chart" uri="{C3380CC4-5D6E-409C-BE32-E72D297353CC}">
              <c16:uniqueId val="{00000002-BDFF-40B3-8076-95D494ED57A8}"/>
            </c:ext>
          </c:extLst>
        </c:ser>
        <c:ser>
          <c:idx val="2"/>
          <c:order val="3"/>
          <c:tx>
            <c:v>Recovery from Failed Welds</c:v>
          </c:tx>
          <c:spPr>
            <a:solidFill>
              <a:schemeClr val="accent5"/>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Summary'!$H$26,'Upper Hot Cell Summary'!$H$38,'Upper Hot Cell Summary'!$H$50,'Upper Hot Cell Summary'!$H$62,'Upper Hot Cell Summary'!$H$74)</c:f>
              <c:numCache>
                <c:formatCode>0.00</c:formatCode>
                <c:ptCount val="5"/>
                <c:pt idx="0">
                  <c:v>326.99994519033453</c:v>
                </c:pt>
                <c:pt idx="1">
                  <c:v>163.49997259516726</c:v>
                </c:pt>
                <c:pt idx="2">
                  <c:v>122.62497944637545</c:v>
                </c:pt>
                <c:pt idx="3">
                  <c:v>81.749986297583632</c:v>
                </c:pt>
                <c:pt idx="4">
                  <c:v>61.312489723187724</c:v>
                </c:pt>
              </c:numCache>
            </c:numRef>
          </c:val>
          <c:extLst>
            <c:ext xmlns:c16="http://schemas.microsoft.com/office/drawing/2014/chart" uri="{C3380CC4-5D6E-409C-BE32-E72D297353CC}">
              <c16:uniqueId val="{00000003-BDFF-40B3-8076-95D494ED57A8}"/>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28575" cap="rnd">
              <a:solidFill>
                <a:schemeClr val="accent1"/>
              </a:solidFill>
              <a:round/>
            </a:ln>
            <a:effectLst/>
          </c:spPr>
          <c:marker>
            <c:symbol val="none"/>
          </c:marker>
          <c:val>
            <c:numRef>
              <c:f>'Upper HotCell HardwareRecovery'!$E$14:$I$14</c:f>
              <c:numCache>
                <c:formatCode>0.00</c:formatCode>
                <c:ptCount val="4"/>
                <c:pt idx="0">
                  <c:v>844.87157037037036</c:v>
                </c:pt>
                <c:pt idx="1">
                  <c:v>422.43578518518518</c:v>
                </c:pt>
                <c:pt idx="2">
                  <c:v>316.62778066666669</c:v>
                </c:pt>
                <c:pt idx="3">
                  <c:v>158.31389033333335</c:v>
                </c:pt>
              </c:numCache>
            </c:numRef>
          </c:val>
          <c:smooth val="0"/>
          <c:extLst>
            <c:ext xmlns:c16="http://schemas.microsoft.com/office/drawing/2014/chart" uri="{C3380CC4-5D6E-409C-BE32-E72D297353CC}">
              <c16:uniqueId val="{00000000-9E0F-40D6-AD97-7B3C8C8C906C}"/>
            </c:ext>
          </c:extLst>
        </c:ser>
        <c:dLbls>
          <c:showLegendKey val="0"/>
          <c:showVal val="0"/>
          <c:showCatName val="0"/>
          <c:showSerName val="0"/>
          <c:showPercent val="0"/>
          <c:showBubbleSize val="0"/>
        </c:dLbls>
        <c:smooth val="0"/>
        <c:axId val="937818472"/>
        <c:axId val="937814208"/>
      </c:lineChart>
      <c:catAx>
        <c:axId val="937818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4208"/>
        <c:crosses val="autoZero"/>
        <c:auto val="1"/>
        <c:lblAlgn val="ctr"/>
        <c:lblOffset val="100"/>
        <c:noMultiLvlLbl val="0"/>
      </c:catAx>
      <c:valAx>
        <c:axId val="93781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8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codeName="Chart4">
    <tabColor theme="9" tint="-0.249977111117893"/>
  </sheetPr>
  <sheetViews>
    <sheetView zoomScale="121" workbookViewId="0" zoomToFit="1"/>
  </sheetViews>
  <customSheetViews>
    <customSheetView guid="{9C0AA20B-B2A2-4A2C-B279-4A5988F4E71A}" scale="118" zoomToFit="1">
      <pageMargins left="0.7" right="0.7" top="0.75" bottom="0.75" header="0.3" footer="0.3"/>
    </customSheetView>
  </custom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3.tmp"/></Relationships>
</file>

<file path=xl/drawings/drawing1.xml><?xml version="1.0" encoding="utf-8"?>
<xdr:wsDr xmlns:xdr="http://schemas.openxmlformats.org/drawingml/2006/spreadsheetDrawing" xmlns:a="http://schemas.openxmlformats.org/drawingml/2006/main">
  <xdr:twoCellAnchor editAs="oneCell">
    <xdr:from>
      <xdr:col>1</xdr:col>
      <xdr:colOff>47624</xdr:colOff>
      <xdr:row>1</xdr:row>
      <xdr:rowOff>76200</xdr:rowOff>
    </xdr:from>
    <xdr:to>
      <xdr:col>2</xdr:col>
      <xdr:colOff>495299</xdr:colOff>
      <xdr:row>5</xdr:row>
      <xdr:rowOff>367951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24" y="276225"/>
          <a:ext cx="1057275" cy="1053751"/>
        </a:xfrm>
        <a:prstGeom prst="rect">
          <a:avLst/>
        </a:prstGeom>
      </xdr:spPr>
    </xdr:pic>
    <xdr:clientData/>
  </xdr:twoCellAnchor>
  <xdr:twoCellAnchor editAs="oneCell">
    <xdr:from>
      <xdr:col>7</xdr:col>
      <xdr:colOff>361950</xdr:colOff>
      <xdr:row>1</xdr:row>
      <xdr:rowOff>66675</xdr:rowOff>
    </xdr:from>
    <xdr:to>
      <xdr:col>10</xdr:col>
      <xdr:colOff>552450</xdr:colOff>
      <xdr:row>4</xdr:row>
      <xdr:rowOff>14814</xdr:rowOff>
    </xdr:to>
    <xdr:pic>
      <xdr:nvPicPr>
        <xdr:cNvPr id="8" name="Picture 7" descr="Image result for eurofusion logo 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9150" y="266700"/>
          <a:ext cx="2019300" cy="519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304587" cy="6077107"/>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14</xdr:col>
      <xdr:colOff>1934136</xdr:colOff>
      <xdr:row>38</xdr:row>
      <xdr:rowOff>84043</xdr:rowOff>
    </xdr:from>
    <xdr:to>
      <xdr:col>19</xdr:col>
      <xdr:colOff>637055</xdr:colOff>
      <xdr:row>60</xdr:row>
      <xdr:rowOff>17368</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667310</xdr:colOff>
      <xdr:row>38</xdr:row>
      <xdr:rowOff>59391</xdr:rowOff>
    </xdr:from>
    <xdr:to>
      <xdr:col>26</xdr:col>
      <xdr:colOff>175372</xdr:colOff>
      <xdr:row>59</xdr:row>
      <xdr:rowOff>183216</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209229</xdr:colOff>
      <xdr:row>0</xdr:row>
      <xdr:rowOff>197065</xdr:rowOff>
    </xdr:from>
    <xdr:to>
      <xdr:col>27</xdr:col>
      <xdr:colOff>457594</xdr:colOff>
      <xdr:row>24</xdr:row>
      <xdr:rowOff>160094</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11207</xdr:colOff>
      <xdr:row>25</xdr:row>
      <xdr:rowOff>78441</xdr:rowOff>
    </xdr:from>
    <xdr:to>
      <xdr:col>27</xdr:col>
      <xdr:colOff>483689</xdr:colOff>
      <xdr:row>50</xdr:row>
      <xdr:rowOff>131118</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20</xdr:col>
      <xdr:colOff>188259</xdr:colOff>
      <xdr:row>1</xdr:row>
      <xdr:rowOff>65554</xdr:rowOff>
    </xdr:from>
    <xdr:to>
      <xdr:col>28</xdr:col>
      <xdr:colOff>379474</xdr:colOff>
      <xdr:row>25</xdr:row>
      <xdr:rowOff>39789</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717589</xdr:colOff>
      <xdr:row>2</xdr:row>
      <xdr:rowOff>111947</xdr:rowOff>
    </xdr:from>
    <xdr:to>
      <xdr:col>23</xdr:col>
      <xdr:colOff>109264</xdr:colOff>
      <xdr:row>26</xdr:row>
      <xdr:rowOff>171347</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830037</xdr:colOff>
      <xdr:row>4</xdr:row>
      <xdr:rowOff>55913</xdr:rowOff>
    </xdr:from>
    <xdr:to>
      <xdr:col>18</xdr:col>
      <xdr:colOff>3429000</xdr:colOff>
      <xdr:row>18</xdr:row>
      <xdr:rowOff>91786</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921576</xdr:colOff>
      <xdr:row>4</xdr:row>
      <xdr:rowOff>10762</xdr:rowOff>
    </xdr:from>
    <xdr:to>
      <xdr:col>15</xdr:col>
      <xdr:colOff>623455</xdr:colOff>
      <xdr:row>13</xdr:row>
      <xdr:rowOff>113806</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17</xdr:col>
      <xdr:colOff>250932</xdr:colOff>
      <xdr:row>1</xdr:row>
      <xdr:rowOff>58474</xdr:rowOff>
    </xdr:from>
    <xdr:to>
      <xdr:col>26</xdr:col>
      <xdr:colOff>378630</xdr:colOff>
      <xdr:row>25</xdr:row>
      <xdr:rowOff>84969</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593911</xdr:colOff>
      <xdr:row>4</xdr:row>
      <xdr:rowOff>52974</xdr:rowOff>
    </xdr:from>
    <xdr:to>
      <xdr:col>21</xdr:col>
      <xdr:colOff>404428</xdr:colOff>
      <xdr:row>13</xdr:row>
      <xdr:rowOff>130166</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251893</xdr:colOff>
      <xdr:row>8</xdr:row>
      <xdr:rowOff>40821</xdr:rowOff>
    </xdr:from>
    <xdr:to>
      <xdr:col>18</xdr:col>
      <xdr:colOff>97732</xdr:colOff>
      <xdr:row>35</xdr:row>
      <xdr:rowOff>110943</xdr:rowOff>
    </xdr:to>
    <xdr:pic>
      <xdr:nvPicPr>
        <xdr:cNvPr id="2" name="Picture 1">
          <a:extLst>
            <a:ext uri="{FF2B5EF4-FFF2-40B4-BE49-F238E27FC236}">
              <a16:creationId xmlns:a16="http://schemas.microsoft.com/office/drawing/2014/main" id="{00000000-0008-0000-2A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52357" y="1592035"/>
          <a:ext cx="4132089" cy="528165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v%20Hot%20Cell%20RecoverS%20Logistic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Hot Cell RecoverS Logistic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K31"/>
  <sheetViews>
    <sheetView workbookViewId="0">
      <selection activeCell="B8" sqref="B8:K8"/>
    </sheetView>
  </sheetViews>
  <sheetFormatPr defaultColWidth="9.15234375" defaultRowHeight="14.6" x14ac:dyDescent="0.4"/>
  <cols>
    <col min="1" max="16384" width="9.15234375" style="2453"/>
  </cols>
  <sheetData>
    <row r="1" spans="2:11" ht="15" thickBot="1" x14ac:dyDescent="0.45"/>
    <row r="2" spans="2:11" x14ac:dyDescent="0.4">
      <c r="B2" s="2446"/>
      <c r="C2" s="2447"/>
      <c r="D2" s="2447"/>
      <c r="E2" s="2447"/>
      <c r="F2" s="2447"/>
      <c r="G2" s="2447"/>
      <c r="H2" s="2447"/>
      <c r="I2" s="2447"/>
      <c r="J2" s="2447"/>
      <c r="K2" s="2448"/>
    </row>
    <row r="3" spans="2:11" x14ac:dyDescent="0.4">
      <c r="B3" s="2449"/>
      <c r="C3" s="2450"/>
      <c r="D3" s="2450"/>
      <c r="E3" s="2450"/>
      <c r="F3" s="2450"/>
      <c r="G3" s="2450"/>
      <c r="H3" s="2450"/>
      <c r="I3" s="2450"/>
      <c r="J3" s="2450"/>
      <c r="K3" s="2451"/>
    </row>
    <row r="4" spans="2:11" x14ac:dyDescent="0.4">
      <c r="B4" s="2449"/>
      <c r="C4" s="2450"/>
      <c r="D4" s="2450"/>
      <c r="E4" s="2450"/>
      <c r="F4" s="2450"/>
      <c r="G4" s="2450"/>
      <c r="H4" s="2450"/>
      <c r="I4" s="2450"/>
      <c r="J4" s="2450"/>
      <c r="K4" s="2451"/>
    </row>
    <row r="5" spans="2:11" x14ac:dyDescent="0.4">
      <c r="B5" s="2449"/>
      <c r="C5" s="2450"/>
      <c r="D5" s="2450"/>
      <c r="E5" s="2450"/>
      <c r="F5" s="2450"/>
      <c r="G5" s="2450"/>
      <c r="H5" s="2450"/>
      <c r="I5" s="2450"/>
      <c r="J5" s="2450"/>
      <c r="K5" s="2451"/>
    </row>
    <row r="6" spans="2:11" ht="31.5" customHeight="1" x14ac:dyDescent="0.4">
      <c r="B6" s="2449"/>
      <c r="C6" s="2450"/>
      <c r="D6" s="2450"/>
      <c r="E6" s="2450"/>
      <c r="F6" s="2450"/>
      <c r="G6" s="2450"/>
      <c r="H6" s="2450"/>
      <c r="I6" s="2450"/>
      <c r="J6" s="2450"/>
      <c r="K6" s="2451"/>
    </row>
    <row r="7" spans="2:11" ht="78" customHeight="1" x14ac:dyDescent="2.2999999999999998">
      <c r="B7" s="3677" t="s">
        <v>2643</v>
      </c>
      <c r="C7" s="3678"/>
      <c r="D7" s="3678"/>
      <c r="E7" s="3678"/>
      <c r="F7" s="3678"/>
      <c r="G7" s="3678"/>
      <c r="H7" s="3678"/>
      <c r="I7" s="3678"/>
      <c r="J7" s="3678"/>
      <c r="K7" s="3679"/>
    </row>
    <row r="8" spans="2:11" ht="18.45" x14ac:dyDescent="0.5">
      <c r="B8" s="3680" t="s">
        <v>2644</v>
      </c>
      <c r="C8" s="3681"/>
      <c r="D8" s="3681"/>
      <c r="E8" s="3681"/>
      <c r="F8" s="3681"/>
      <c r="G8" s="3681"/>
      <c r="H8" s="3681"/>
      <c r="I8" s="3681"/>
      <c r="J8" s="3681"/>
      <c r="K8" s="3682"/>
    </row>
    <row r="9" spans="2:11" x14ac:dyDescent="0.4">
      <c r="B9" s="2449"/>
      <c r="C9" s="2450"/>
      <c r="F9" s="2454" t="s">
        <v>2706</v>
      </c>
      <c r="G9" s="689" t="s">
        <v>2707</v>
      </c>
      <c r="H9" s="2450"/>
      <c r="I9" s="2450"/>
      <c r="J9" s="2450"/>
      <c r="K9" s="2451"/>
    </row>
    <row r="10" spans="2:11" x14ac:dyDescent="0.4">
      <c r="B10" s="2449"/>
      <c r="C10" s="2450"/>
      <c r="D10" s="2450"/>
      <c r="E10" s="2450"/>
      <c r="F10" s="2450"/>
      <c r="G10" s="2450"/>
      <c r="H10" s="2450"/>
      <c r="I10" s="2450"/>
      <c r="J10" s="2450"/>
      <c r="K10" s="2451"/>
    </row>
    <row r="11" spans="2:11" x14ac:dyDescent="0.4">
      <c r="B11" s="2449"/>
      <c r="C11" s="2450"/>
      <c r="D11" s="2450"/>
      <c r="E11" s="2450"/>
      <c r="F11" s="2452" t="s">
        <v>2577</v>
      </c>
      <c r="G11" s="2450" t="s">
        <v>2596</v>
      </c>
      <c r="H11" s="2450"/>
      <c r="I11" s="2450"/>
      <c r="J11" s="2450"/>
      <c r="K11" s="2451"/>
    </row>
    <row r="12" spans="2:11" x14ac:dyDescent="0.4">
      <c r="B12" s="2449"/>
      <c r="C12" s="2450"/>
      <c r="E12" s="2450"/>
      <c r="F12" s="2454" t="s">
        <v>2574</v>
      </c>
      <c r="G12" s="2450" t="s">
        <v>2575</v>
      </c>
      <c r="I12" s="2450"/>
      <c r="J12" s="2450"/>
      <c r="K12" s="2451"/>
    </row>
    <row r="13" spans="2:11" x14ac:dyDescent="0.4">
      <c r="B13" s="2449"/>
      <c r="C13" s="2450"/>
      <c r="F13" s="2454" t="s">
        <v>2576</v>
      </c>
      <c r="G13" s="2450" t="s">
        <v>2597</v>
      </c>
      <c r="J13" s="2450"/>
      <c r="K13" s="2451"/>
    </row>
    <row r="14" spans="2:11" x14ac:dyDescent="0.4">
      <c r="B14" s="2449"/>
      <c r="C14" s="2450"/>
      <c r="F14" s="2454" t="s">
        <v>2578</v>
      </c>
      <c r="G14" s="2455" t="s">
        <v>2579</v>
      </c>
      <c r="H14" s="2450"/>
      <c r="I14" s="2450"/>
      <c r="J14" s="2450"/>
      <c r="K14" s="2451"/>
    </row>
    <row r="15" spans="2:11" ht="30.75" customHeight="1" x14ac:dyDescent="0.4">
      <c r="B15" s="2449"/>
      <c r="C15" s="2450"/>
      <c r="F15" s="2454" t="s">
        <v>2580</v>
      </c>
      <c r="G15" s="2450" t="s">
        <v>2581</v>
      </c>
      <c r="H15" s="2450"/>
      <c r="I15" s="2450"/>
      <c r="J15" s="2450"/>
      <c r="K15" s="2451"/>
    </row>
    <row r="16" spans="2:11" x14ac:dyDescent="0.4">
      <c r="B16" s="2449"/>
      <c r="C16" s="2450"/>
      <c r="F16" s="2454" t="s">
        <v>2582</v>
      </c>
      <c r="G16" s="2450" t="s">
        <v>2583</v>
      </c>
      <c r="H16" s="2450"/>
      <c r="I16" s="2450"/>
      <c r="J16" s="2450"/>
      <c r="K16" s="2451"/>
    </row>
    <row r="17" spans="2:11" x14ac:dyDescent="0.4">
      <c r="B17" s="2449"/>
      <c r="C17" s="2450"/>
      <c r="F17" s="2454" t="s">
        <v>2584</v>
      </c>
      <c r="G17" s="2450" t="s">
        <v>2579</v>
      </c>
      <c r="H17" s="2450"/>
      <c r="I17" s="2450"/>
      <c r="J17" s="2450"/>
      <c r="K17" s="2451"/>
    </row>
    <row r="18" spans="2:11" ht="15.75" customHeight="1" x14ac:dyDescent="0.4">
      <c r="B18" s="2449"/>
      <c r="C18" s="2450"/>
      <c r="F18" s="2454" t="s">
        <v>2585</v>
      </c>
      <c r="G18" s="2450" t="s">
        <v>2598</v>
      </c>
      <c r="H18" s="2450"/>
      <c r="I18" s="2450"/>
      <c r="J18" s="2450"/>
      <c r="K18" s="2451"/>
    </row>
    <row r="19" spans="2:11" x14ac:dyDescent="0.4">
      <c r="B19" s="2449"/>
      <c r="C19" s="2450"/>
      <c r="F19" s="2455"/>
      <c r="G19" s="2450"/>
      <c r="H19" s="2450"/>
      <c r="I19" s="2450"/>
      <c r="J19" s="2450"/>
      <c r="K19" s="2451"/>
    </row>
    <row r="20" spans="2:11" ht="16.5" customHeight="1" x14ac:dyDescent="0.4">
      <c r="B20" s="2449"/>
      <c r="C20" s="2450"/>
      <c r="E20" s="3674" t="s">
        <v>2586</v>
      </c>
      <c r="F20" s="3675"/>
      <c r="G20" s="3675"/>
      <c r="H20" s="3676"/>
      <c r="I20" s="2450"/>
      <c r="J20" s="2450"/>
      <c r="K20" s="2451"/>
    </row>
    <row r="21" spans="2:11" x14ac:dyDescent="0.4">
      <c r="B21" s="2449"/>
      <c r="C21" s="2450"/>
      <c r="E21" s="2456"/>
      <c r="F21" s="2457" t="s">
        <v>2587</v>
      </c>
      <c r="G21" s="2458" t="s">
        <v>2588</v>
      </c>
      <c r="H21" s="2459"/>
      <c r="I21" s="2450"/>
      <c r="J21" s="2450"/>
      <c r="K21" s="2451"/>
    </row>
    <row r="22" spans="2:11" x14ac:dyDescent="0.4">
      <c r="B22" s="2449"/>
      <c r="C22" s="2450"/>
      <c r="E22" s="2460"/>
      <c r="F22" s="2461" t="s">
        <v>2589</v>
      </c>
      <c r="G22" s="2450" t="s">
        <v>2590</v>
      </c>
      <c r="H22" s="2462"/>
      <c r="I22" s="2450"/>
      <c r="J22" s="2450"/>
      <c r="K22" s="2451"/>
    </row>
    <row r="23" spans="2:11" x14ac:dyDescent="0.4">
      <c r="B23" s="2449"/>
      <c r="C23" s="2450"/>
      <c r="E23" s="2460"/>
      <c r="F23" s="2461" t="s">
        <v>2591</v>
      </c>
      <c r="G23" s="2450"/>
      <c r="H23" s="2462"/>
      <c r="I23" s="2450"/>
      <c r="J23" s="2450"/>
      <c r="K23" s="2451"/>
    </row>
    <row r="24" spans="2:11" x14ac:dyDescent="0.4">
      <c r="B24" s="2449"/>
      <c r="C24" s="2450"/>
      <c r="E24" s="2460"/>
      <c r="F24" s="2463" t="s">
        <v>2592</v>
      </c>
      <c r="G24" s="2450" t="s">
        <v>2579</v>
      </c>
      <c r="H24" s="2462"/>
      <c r="I24" s="2450"/>
      <c r="J24" s="2450"/>
      <c r="K24" s="2451"/>
    </row>
    <row r="25" spans="2:11" x14ac:dyDescent="0.4">
      <c r="B25" s="2449"/>
      <c r="C25" s="2450"/>
      <c r="E25" s="2460"/>
      <c r="F25" s="2461" t="s">
        <v>2593</v>
      </c>
      <c r="G25" s="2450" t="s">
        <v>2642</v>
      </c>
      <c r="H25" s="2462"/>
      <c r="I25" s="2450"/>
      <c r="J25" s="2450"/>
      <c r="K25" s="2451"/>
    </row>
    <row r="26" spans="2:11" x14ac:dyDescent="0.4">
      <c r="B26" s="2449"/>
      <c r="C26" s="2450"/>
      <c r="E26" s="2464"/>
      <c r="F26" s="2465" t="s">
        <v>2594</v>
      </c>
      <c r="G26" s="2466" t="s">
        <v>2595</v>
      </c>
      <c r="H26" s="2467"/>
      <c r="I26" s="2450"/>
      <c r="J26" s="2450"/>
      <c r="K26" s="2451"/>
    </row>
    <row r="27" spans="2:11" x14ac:dyDescent="0.4">
      <c r="B27" s="2449"/>
      <c r="C27" s="2450"/>
      <c r="D27" s="2455"/>
      <c r="E27" s="2450"/>
      <c r="F27" s="2450"/>
      <c r="G27" s="2450"/>
      <c r="H27" s="2450"/>
      <c r="I27" s="2450"/>
      <c r="J27" s="2450"/>
      <c r="K27" s="2451"/>
    </row>
    <row r="28" spans="2:11" x14ac:dyDescent="0.4">
      <c r="B28" s="2449"/>
      <c r="C28" s="2450"/>
      <c r="D28" s="2450"/>
      <c r="E28" s="2450"/>
      <c r="F28" s="2450"/>
      <c r="G28" s="2450"/>
      <c r="H28" s="2450"/>
      <c r="I28" s="2450"/>
      <c r="J28" s="2450"/>
      <c r="K28" s="2451"/>
    </row>
    <row r="29" spans="2:11" x14ac:dyDescent="0.4">
      <c r="B29" s="2449"/>
      <c r="C29" s="2450"/>
      <c r="D29" s="2450"/>
      <c r="E29" s="2450"/>
      <c r="F29" s="2450"/>
      <c r="G29" s="2450"/>
      <c r="H29" s="2450"/>
      <c r="I29" s="2450"/>
      <c r="J29" s="2450"/>
      <c r="K29" s="2451"/>
    </row>
    <row r="30" spans="2:11" x14ac:dyDescent="0.4">
      <c r="B30" s="2449"/>
      <c r="C30" s="2450"/>
      <c r="D30" s="2450"/>
      <c r="E30" s="2450"/>
      <c r="F30" s="2450"/>
      <c r="G30" s="2450"/>
      <c r="H30" s="2450"/>
      <c r="I30" s="2450"/>
      <c r="J30" s="2450"/>
      <c r="K30" s="2451"/>
    </row>
    <row r="31" spans="2:11" ht="15" thickBot="1" x14ac:dyDescent="0.45">
      <c r="B31" s="2468"/>
      <c r="C31" s="2469"/>
      <c r="D31" s="2469"/>
      <c r="E31" s="2469"/>
      <c r="F31" s="2469"/>
      <c r="G31" s="2469"/>
      <c r="H31" s="2469"/>
      <c r="I31" s="2469"/>
      <c r="J31" s="2469"/>
      <c r="K31" s="2470"/>
    </row>
  </sheetData>
  <customSheetViews>
    <customSheetView guid="{9C0AA20B-B2A2-4A2C-B279-4A5988F4E71A}">
      <selection activeCell="O18" sqref="O18"/>
      <pageMargins left="0.7" right="0.7" top="0.75" bottom="0.75" header="0.3" footer="0.3"/>
    </customSheetView>
  </customSheetViews>
  <mergeCells count="3">
    <mergeCell ref="E20:H20"/>
    <mergeCell ref="B7:K7"/>
    <mergeCell ref="B8:K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39997558519241921"/>
  </sheetPr>
  <dimension ref="A1:G349"/>
  <sheetViews>
    <sheetView workbookViewId="0">
      <selection activeCell="F32" sqref="F32"/>
    </sheetView>
  </sheetViews>
  <sheetFormatPr defaultRowHeight="12.45" outlineLevelRow="1" x14ac:dyDescent="0.3"/>
  <cols>
    <col min="1" max="1" width="41.69140625" style="17" customWidth="1"/>
    <col min="2" max="2" width="59.3046875" style="10" customWidth="1"/>
    <col min="3" max="3" width="41.69140625" style="10" customWidth="1"/>
    <col min="4" max="4" width="10" style="10" customWidth="1"/>
    <col min="5" max="5" width="18.3046875" style="155" bestFit="1" customWidth="1"/>
    <col min="6" max="6" width="76" style="155" customWidth="1"/>
    <col min="7" max="255" width="9.15234375" style="10"/>
    <col min="256" max="256" width="21.15234375" style="10" customWidth="1"/>
    <col min="257" max="257" width="59.3046875" style="10" customWidth="1"/>
    <col min="258" max="258" width="34.69140625" style="10" customWidth="1"/>
    <col min="259" max="259" width="10" style="10" customWidth="1"/>
    <col min="260" max="260" width="9.15234375" style="10"/>
    <col min="261" max="261" width="72.84375" style="10" customWidth="1"/>
    <col min="262" max="511" width="9.15234375" style="10"/>
    <col min="512" max="512" width="21.15234375" style="10" customWidth="1"/>
    <col min="513" max="513" width="59.3046875" style="10" customWidth="1"/>
    <col min="514" max="514" width="34.69140625" style="10" customWidth="1"/>
    <col min="515" max="515" width="10" style="10" customWidth="1"/>
    <col min="516" max="516" width="9.15234375" style="10"/>
    <col min="517" max="517" width="72.84375" style="10" customWidth="1"/>
    <col min="518" max="767" width="9.15234375" style="10"/>
    <col min="768" max="768" width="21.15234375" style="10" customWidth="1"/>
    <col min="769" max="769" width="59.3046875" style="10" customWidth="1"/>
    <col min="770" max="770" width="34.69140625" style="10" customWidth="1"/>
    <col min="771" max="771" width="10" style="10" customWidth="1"/>
    <col min="772" max="772" width="9.15234375" style="10"/>
    <col min="773" max="773" width="72.84375" style="10" customWidth="1"/>
    <col min="774" max="1023" width="9.15234375" style="10"/>
    <col min="1024" max="1024" width="21.15234375" style="10" customWidth="1"/>
    <col min="1025" max="1025" width="59.3046875" style="10" customWidth="1"/>
    <col min="1026" max="1026" width="34.69140625" style="10" customWidth="1"/>
    <col min="1027" max="1027" width="10" style="10" customWidth="1"/>
    <col min="1028" max="1028" width="9.15234375" style="10"/>
    <col min="1029" max="1029" width="72.84375" style="10" customWidth="1"/>
    <col min="1030" max="1279" width="9.15234375" style="10"/>
    <col min="1280" max="1280" width="21.15234375" style="10" customWidth="1"/>
    <col min="1281" max="1281" width="59.3046875" style="10" customWidth="1"/>
    <col min="1282" max="1282" width="34.69140625" style="10" customWidth="1"/>
    <col min="1283" max="1283" width="10" style="10" customWidth="1"/>
    <col min="1284" max="1284" width="9.15234375" style="10"/>
    <col min="1285" max="1285" width="72.84375" style="10" customWidth="1"/>
    <col min="1286" max="1535" width="9.15234375" style="10"/>
    <col min="1536" max="1536" width="21.15234375" style="10" customWidth="1"/>
    <col min="1537" max="1537" width="59.3046875" style="10" customWidth="1"/>
    <col min="1538" max="1538" width="34.69140625" style="10" customWidth="1"/>
    <col min="1539" max="1539" width="10" style="10" customWidth="1"/>
    <col min="1540" max="1540" width="9.15234375" style="10"/>
    <col min="1541" max="1541" width="72.84375" style="10" customWidth="1"/>
    <col min="1542" max="1791" width="9.15234375" style="10"/>
    <col min="1792" max="1792" width="21.15234375" style="10" customWidth="1"/>
    <col min="1793" max="1793" width="59.3046875" style="10" customWidth="1"/>
    <col min="1794" max="1794" width="34.69140625" style="10" customWidth="1"/>
    <col min="1795" max="1795" width="10" style="10" customWidth="1"/>
    <col min="1796" max="1796" width="9.15234375" style="10"/>
    <col min="1797" max="1797" width="72.84375" style="10" customWidth="1"/>
    <col min="1798" max="2047" width="9.15234375" style="10"/>
    <col min="2048" max="2048" width="21.15234375" style="10" customWidth="1"/>
    <col min="2049" max="2049" width="59.3046875" style="10" customWidth="1"/>
    <col min="2050" max="2050" width="34.69140625" style="10" customWidth="1"/>
    <col min="2051" max="2051" width="10" style="10" customWidth="1"/>
    <col min="2052" max="2052" width="9.15234375" style="10"/>
    <col min="2053" max="2053" width="72.84375" style="10" customWidth="1"/>
    <col min="2054" max="2303" width="9.15234375" style="10"/>
    <col min="2304" max="2304" width="21.15234375" style="10" customWidth="1"/>
    <col min="2305" max="2305" width="59.3046875" style="10" customWidth="1"/>
    <col min="2306" max="2306" width="34.69140625" style="10" customWidth="1"/>
    <col min="2307" max="2307" width="10" style="10" customWidth="1"/>
    <col min="2308" max="2308" width="9.15234375" style="10"/>
    <col min="2309" max="2309" width="72.84375" style="10" customWidth="1"/>
    <col min="2310" max="2559" width="9.15234375" style="10"/>
    <col min="2560" max="2560" width="21.15234375" style="10" customWidth="1"/>
    <col min="2561" max="2561" width="59.3046875" style="10" customWidth="1"/>
    <col min="2562" max="2562" width="34.69140625" style="10" customWidth="1"/>
    <col min="2563" max="2563" width="10" style="10" customWidth="1"/>
    <col min="2564" max="2564" width="9.15234375" style="10"/>
    <col min="2565" max="2565" width="72.84375" style="10" customWidth="1"/>
    <col min="2566" max="2815" width="9.15234375" style="10"/>
    <col min="2816" max="2816" width="21.15234375" style="10" customWidth="1"/>
    <col min="2817" max="2817" width="59.3046875" style="10" customWidth="1"/>
    <col min="2818" max="2818" width="34.69140625" style="10" customWidth="1"/>
    <col min="2819" max="2819" width="10" style="10" customWidth="1"/>
    <col min="2820" max="2820" width="9.15234375" style="10"/>
    <col min="2821" max="2821" width="72.84375" style="10" customWidth="1"/>
    <col min="2822" max="3071" width="9.15234375" style="10"/>
    <col min="3072" max="3072" width="21.15234375" style="10" customWidth="1"/>
    <col min="3073" max="3073" width="59.3046875" style="10" customWidth="1"/>
    <col min="3074" max="3074" width="34.69140625" style="10" customWidth="1"/>
    <col min="3075" max="3075" width="10" style="10" customWidth="1"/>
    <col min="3076" max="3076" width="9.15234375" style="10"/>
    <col min="3077" max="3077" width="72.84375" style="10" customWidth="1"/>
    <col min="3078" max="3327" width="9.15234375" style="10"/>
    <col min="3328" max="3328" width="21.15234375" style="10" customWidth="1"/>
    <col min="3329" max="3329" width="59.3046875" style="10" customWidth="1"/>
    <col min="3330" max="3330" width="34.69140625" style="10" customWidth="1"/>
    <col min="3331" max="3331" width="10" style="10" customWidth="1"/>
    <col min="3332" max="3332" width="9.15234375" style="10"/>
    <col min="3333" max="3333" width="72.84375" style="10" customWidth="1"/>
    <col min="3334" max="3583" width="9.15234375" style="10"/>
    <col min="3584" max="3584" width="21.15234375" style="10" customWidth="1"/>
    <col min="3585" max="3585" width="59.3046875" style="10" customWidth="1"/>
    <col min="3586" max="3586" width="34.69140625" style="10" customWidth="1"/>
    <col min="3587" max="3587" width="10" style="10" customWidth="1"/>
    <col min="3588" max="3588" width="9.15234375" style="10"/>
    <col min="3589" max="3589" width="72.84375" style="10" customWidth="1"/>
    <col min="3590" max="3839" width="9.15234375" style="10"/>
    <col min="3840" max="3840" width="21.15234375" style="10" customWidth="1"/>
    <col min="3841" max="3841" width="59.3046875" style="10" customWidth="1"/>
    <col min="3842" max="3842" width="34.69140625" style="10" customWidth="1"/>
    <col min="3843" max="3843" width="10" style="10" customWidth="1"/>
    <col min="3844" max="3844" width="9.15234375" style="10"/>
    <col min="3845" max="3845" width="72.84375" style="10" customWidth="1"/>
    <col min="3846" max="4095" width="9.15234375" style="10"/>
    <col min="4096" max="4096" width="21.15234375" style="10" customWidth="1"/>
    <col min="4097" max="4097" width="59.3046875" style="10" customWidth="1"/>
    <col min="4098" max="4098" width="34.69140625" style="10" customWidth="1"/>
    <col min="4099" max="4099" width="10" style="10" customWidth="1"/>
    <col min="4100" max="4100" width="9.15234375" style="10"/>
    <col min="4101" max="4101" width="72.84375" style="10" customWidth="1"/>
    <col min="4102" max="4351" width="9.15234375" style="10"/>
    <col min="4352" max="4352" width="21.15234375" style="10" customWidth="1"/>
    <col min="4353" max="4353" width="59.3046875" style="10" customWidth="1"/>
    <col min="4354" max="4354" width="34.69140625" style="10" customWidth="1"/>
    <col min="4355" max="4355" width="10" style="10" customWidth="1"/>
    <col min="4356" max="4356" width="9.15234375" style="10"/>
    <col min="4357" max="4357" width="72.84375" style="10" customWidth="1"/>
    <col min="4358" max="4607" width="9.15234375" style="10"/>
    <col min="4608" max="4608" width="21.15234375" style="10" customWidth="1"/>
    <col min="4609" max="4609" width="59.3046875" style="10" customWidth="1"/>
    <col min="4610" max="4610" width="34.69140625" style="10" customWidth="1"/>
    <col min="4611" max="4611" width="10" style="10" customWidth="1"/>
    <col min="4612" max="4612" width="9.15234375" style="10"/>
    <col min="4613" max="4613" width="72.84375" style="10" customWidth="1"/>
    <col min="4614" max="4863" width="9.15234375" style="10"/>
    <col min="4864" max="4864" width="21.15234375" style="10" customWidth="1"/>
    <col min="4865" max="4865" width="59.3046875" style="10" customWidth="1"/>
    <col min="4866" max="4866" width="34.69140625" style="10" customWidth="1"/>
    <col min="4867" max="4867" width="10" style="10" customWidth="1"/>
    <col min="4868" max="4868" width="9.15234375" style="10"/>
    <col min="4869" max="4869" width="72.84375" style="10" customWidth="1"/>
    <col min="4870" max="5119" width="9.15234375" style="10"/>
    <col min="5120" max="5120" width="21.15234375" style="10" customWidth="1"/>
    <col min="5121" max="5121" width="59.3046875" style="10" customWidth="1"/>
    <col min="5122" max="5122" width="34.69140625" style="10" customWidth="1"/>
    <col min="5123" max="5123" width="10" style="10" customWidth="1"/>
    <col min="5124" max="5124" width="9.15234375" style="10"/>
    <col min="5125" max="5125" width="72.84375" style="10" customWidth="1"/>
    <col min="5126" max="5375" width="9.15234375" style="10"/>
    <col min="5376" max="5376" width="21.15234375" style="10" customWidth="1"/>
    <col min="5377" max="5377" width="59.3046875" style="10" customWidth="1"/>
    <col min="5378" max="5378" width="34.69140625" style="10" customWidth="1"/>
    <col min="5379" max="5379" width="10" style="10" customWidth="1"/>
    <col min="5380" max="5380" width="9.15234375" style="10"/>
    <col min="5381" max="5381" width="72.84375" style="10" customWidth="1"/>
    <col min="5382" max="5631" width="9.15234375" style="10"/>
    <col min="5632" max="5632" width="21.15234375" style="10" customWidth="1"/>
    <col min="5633" max="5633" width="59.3046875" style="10" customWidth="1"/>
    <col min="5634" max="5634" width="34.69140625" style="10" customWidth="1"/>
    <col min="5635" max="5635" width="10" style="10" customWidth="1"/>
    <col min="5636" max="5636" width="9.15234375" style="10"/>
    <col min="5637" max="5637" width="72.84375" style="10" customWidth="1"/>
    <col min="5638" max="5887" width="9.15234375" style="10"/>
    <col min="5888" max="5888" width="21.15234375" style="10" customWidth="1"/>
    <col min="5889" max="5889" width="59.3046875" style="10" customWidth="1"/>
    <col min="5890" max="5890" width="34.69140625" style="10" customWidth="1"/>
    <col min="5891" max="5891" width="10" style="10" customWidth="1"/>
    <col min="5892" max="5892" width="9.15234375" style="10"/>
    <col min="5893" max="5893" width="72.84375" style="10" customWidth="1"/>
    <col min="5894" max="6143" width="9.15234375" style="10"/>
    <col min="6144" max="6144" width="21.15234375" style="10" customWidth="1"/>
    <col min="6145" max="6145" width="59.3046875" style="10" customWidth="1"/>
    <col min="6146" max="6146" width="34.69140625" style="10" customWidth="1"/>
    <col min="6147" max="6147" width="10" style="10" customWidth="1"/>
    <col min="6148" max="6148" width="9.15234375" style="10"/>
    <col min="6149" max="6149" width="72.84375" style="10" customWidth="1"/>
    <col min="6150" max="6399" width="9.15234375" style="10"/>
    <col min="6400" max="6400" width="21.15234375" style="10" customWidth="1"/>
    <col min="6401" max="6401" width="59.3046875" style="10" customWidth="1"/>
    <col min="6402" max="6402" width="34.69140625" style="10" customWidth="1"/>
    <col min="6403" max="6403" width="10" style="10" customWidth="1"/>
    <col min="6404" max="6404" width="9.15234375" style="10"/>
    <col min="6405" max="6405" width="72.84375" style="10" customWidth="1"/>
    <col min="6406" max="6655" width="9.15234375" style="10"/>
    <col min="6656" max="6656" width="21.15234375" style="10" customWidth="1"/>
    <col min="6657" max="6657" width="59.3046875" style="10" customWidth="1"/>
    <col min="6658" max="6658" width="34.69140625" style="10" customWidth="1"/>
    <col min="6659" max="6659" width="10" style="10" customWidth="1"/>
    <col min="6660" max="6660" width="9.15234375" style="10"/>
    <col min="6661" max="6661" width="72.84375" style="10" customWidth="1"/>
    <col min="6662" max="6911" width="9.15234375" style="10"/>
    <col min="6912" max="6912" width="21.15234375" style="10" customWidth="1"/>
    <col min="6913" max="6913" width="59.3046875" style="10" customWidth="1"/>
    <col min="6914" max="6914" width="34.69140625" style="10" customWidth="1"/>
    <col min="6915" max="6915" width="10" style="10" customWidth="1"/>
    <col min="6916" max="6916" width="9.15234375" style="10"/>
    <col min="6917" max="6917" width="72.84375" style="10" customWidth="1"/>
    <col min="6918" max="7167" width="9.15234375" style="10"/>
    <col min="7168" max="7168" width="21.15234375" style="10" customWidth="1"/>
    <col min="7169" max="7169" width="59.3046875" style="10" customWidth="1"/>
    <col min="7170" max="7170" width="34.69140625" style="10" customWidth="1"/>
    <col min="7171" max="7171" width="10" style="10" customWidth="1"/>
    <col min="7172" max="7172" width="9.15234375" style="10"/>
    <col min="7173" max="7173" width="72.84375" style="10" customWidth="1"/>
    <col min="7174" max="7423" width="9.15234375" style="10"/>
    <col min="7424" max="7424" width="21.15234375" style="10" customWidth="1"/>
    <col min="7425" max="7425" width="59.3046875" style="10" customWidth="1"/>
    <col min="7426" max="7426" width="34.69140625" style="10" customWidth="1"/>
    <col min="7427" max="7427" width="10" style="10" customWidth="1"/>
    <col min="7428" max="7428" width="9.15234375" style="10"/>
    <col min="7429" max="7429" width="72.84375" style="10" customWidth="1"/>
    <col min="7430" max="7679" width="9.15234375" style="10"/>
    <col min="7680" max="7680" width="21.15234375" style="10" customWidth="1"/>
    <col min="7681" max="7681" width="59.3046875" style="10" customWidth="1"/>
    <col min="7682" max="7682" width="34.69140625" style="10" customWidth="1"/>
    <col min="7683" max="7683" width="10" style="10" customWidth="1"/>
    <col min="7684" max="7684" width="9.15234375" style="10"/>
    <col min="7685" max="7685" width="72.84375" style="10" customWidth="1"/>
    <col min="7686" max="7935" width="9.15234375" style="10"/>
    <col min="7936" max="7936" width="21.15234375" style="10" customWidth="1"/>
    <col min="7937" max="7937" width="59.3046875" style="10" customWidth="1"/>
    <col min="7938" max="7938" width="34.69140625" style="10" customWidth="1"/>
    <col min="7939" max="7939" width="10" style="10" customWidth="1"/>
    <col min="7940" max="7940" width="9.15234375" style="10"/>
    <col min="7941" max="7941" width="72.84375" style="10" customWidth="1"/>
    <col min="7942" max="8191" width="9.15234375" style="10"/>
    <col min="8192" max="8192" width="21.15234375" style="10" customWidth="1"/>
    <col min="8193" max="8193" width="59.3046875" style="10" customWidth="1"/>
    <col min="8194" max="8194" width="34.69140625" style="10" customWidth="1"/>
    <col min="8195" max="8195" width="10" style="10" customWidth="1"/>
    <col min="8196" max="8196" width="9.15234375" style="10"/>
    <col min="8197" max="8197" width="72.84375" style="10" customWidth="1"/>
    <col min="8198" max="8447" width="9.15234375" style="10"/>
    <col min="8448" max="8448" width="21.15234375" style="10" customWidth="1"/>
    <col min="8449" max="8449" width="59.3046875" style="10" customWidth="1"/>
    <col min="8450" max="8450" width="34.69140625" style="10" customWidth="1"/>
    <col min="8451" max="8451" width="10" style="10" customWidth="1"/>
    <col min="8452" max="8452" width="9.15234375" style="10"/>
    <col min="8453" max="8453" width="72.84375" style="10" customWidth="1"/>
    <col min="8454" max="8703" width="9.15234375" style="10"/>
    <col min="8704" max="8704" width="21.15234375" style="10" customWidth="1"/>
    <col min="8705" max="8705" width="59.3046875" style="10" customWidth="1"/>
    <col min="8706" max="8706" width="34.69140625" style="10" customWidth="1"/>
    <col min="8707" max="8707" width="10" style="10" customWidth="1"/>
    <col min="8708" max="8708" width="9.15234375" style="10"/>
    <col min="8709" max="8709" width="72.84375" style="10" customWidth="1"/>
    <col min="8710" max="8959" width="9.15234375" style="10"/>
    <col min="8960" max="8960" width="21.15234375" style="10" customWidth="1"/>
    <col min="8961" max="8961" width="59.3046875" style="10" customWidth="1"/>
    <col min="8962" max="8962" width="34.69140625" style="10" customWidth="1"/>
    <col min="8963" max="8963" width="10" style="10" customWidth="1"/>
    <col min="8964" max="8964" width="9.15234375" style="10"/>
    <col min="8965" max="8965" width="72.84375" style="10" customWidth="1"/>
    <col min="8966" max="9215" width="9.15234375" style="10"/>
    <col min="9216" max="9216" width="21.15234375" style="10" customWidth="1"/>
    <col min="9217" max="9217" width="59.3046875" style="10" customWidth="1"/>
    <col min="9218" max="9218" width="34.69140625" style="10" customWidth="1"/>
    <col min="9219" max="9219" width="10" style="10" customWidth="1"/>
    <col min="9220" max="9220" width="9.15234375" style="10"/>
    <col min="9221" max="9221" width="72.84375" style="10" customWidth="1"/>
    <col min="9222" max="9471" width="9.15234375" style="10"/>
    <col min="9472" max="9472" width="21.15234375" style="10" customWidth="1"/>
    <col min="9473" max="9473" width="59.3046875" style="10" customWidth="1"/>
    <col min="9474" max="9474" width="34.69140625" style="10" customWidth="1"/>
    <col min="9475" max="9475" width="10" style="10" customWidth="1"/>
    <col min="9476" max="9476" width="9.15234375" style="10"/>
    <col min="9477" max="9477" width="72.84375" style="10" customWidth="1"/>
    <col min="9478" max="9727" width="9.15234375" style="10"/>
    <col min="9728" max="9728" width="21.15234375" style="10" customWidth="1"/>
    <col min="9729" max="9729" width="59.3046875" style="10" customWidth="1"/>
    <col min="9730" max="9730" width="34.69140625" style="10" customWidth="1"/>
    <col min="9731" max="9731" width="10" style="10" customWidth="1"/>
    <col min="9732" max="9732" width="9.15234375" style="10"/>
    <col min="9733" max="9733" width="72.84375" style="10" customWidth="1"/>
    <col min="9734" max="9983" width="9.15234375" style="10"/>
    <col min="9984" max="9984" width="21.15234375" style="10" customWidth="1"/>
    <col min="9985" max="9985" width="59.3046875" style="10" customWidth="1"/>
    <col min="9986" max="9986" width="34.69140625" style="10" customWidth="1"/>
    <col min="9987" max="9987" width="10" style="10" customWidth="1"/>
    <col min="9988" max="9988" width="9.15234375" style="10"/>
    <col min="9989" max="9989" width="72.84375" style="10" customWidth="1"/>
    <col min="9990" max="10239" width="9.15234375" style="10"/>
    <col min="10240" max="10240" width="21.15234375" style="10" customWidth="1"/>
    <col min="10241" max="10241" width="59.3046875" style="10" customWidth="1"/>
    <col min="10242" max="10242" width="34.69140625" style="10" customWidth="1"/>
    <col min="10243" max="10243" width="10" style="10" customWidth="1"/>
    <col min="10244" max="10244" width="9.15234375" style="10"/>
    <col min="10245" max="10245" width="72.84375" style="10" customWidth="1"/>
    <col min="10246" max="10495" width="9.15234375" style="10"/>
    <col min="10496" max="10496" width="21.15234375" style="10" customWidth="1"/>
    <col min="10497" max="10497" width="59.3046875" style="10" customWidth="1"/>
    <col min="10498" max="10498" width="34.69140625" style="10" customWidth="1"/>
    <col min="10499" max="10499" width="10" style="10" customWidth="1"/>
    <col min="10500" max="10500" width="9.15234375" style="10"/>
    <col min="10501" max="10501" width="72.84375" style="10" customWidth="1"/>
    <col min="10502" max="10751" width="9.15234375" style="10"/>
    <col min="10752" max="10752" width="21.15234375" style="10" customWidth="1"/>
    <col min="10753" max="10753" width="59.3046875" style="10" customWidth="1"/>
    <col min="10754" max="10754" width="34.69140625" style="10" customWidth="1"/>
    <col min="10755" max="10755" width="10" style="10" customWidth="1"/>
    <col min="10756" max="10756" width="9.15234375" style="10"/>
    <col min="10757" max="10757" width="72.84375" style="10" customWidth="1"/>
    <col min="10758" max="11007" width="9.15234375" style="10"/>
    <col min="11008" max="11008" width="21.15234375" style="10" customWidth="1"/>
    <col min="11009" max="11009" width="59.3046875" style="10" customWidth="1"/>
    <col min="11010" max="11010" width="34.69140625" style="10" customWidth="1"/>
    <col min="11011" max="11011" width="10" style="10" customWidth="1"/>
    <col min="11012" max="11012" width="9.15234375" style="10"/>
    <col min="11013" max="11013" width="72.84375" style="10" customWidth="1"/>
    <col min="11014" max="11263" width="9.15234375" style="10"/>
    <col min="11264" max="11264" width="21.15234375" style="10" customWidth="1"/>
    <col min="11265" max="11265" width="59.3046875" style="10" customWidth="1"/>
    <col min="11266" max="11266" width="34.69140625" style="10" customWidth="1"/>
    <col min="11267" max="11267" width="10" style="10" customWidth="1"/>
    <col min="11268" max="11268" width="9.15234375" style="10"/>
    <col min="11269" max="11269" width="72.84375" style="10" customWidth="1"/>
    <col min="11270" max="11519" width="9.15234375" style="10"/>
    <col min="11520" max="11520" width="21.15234375" style="10" customWidth="1"/>
    <col min="11521" max="11521" width="59.3046875" style="10" customWidth="1"/>
    <col min="11522" max="11522" width="34.69140625" style="10" customWidth="1"/>
    <col min="11523" max="11523" width="10" style="10" customWidth="1"/>
    <col min="11524" max="11524" width="9.15234375" style="10"/>
    <col min="11525" max="11525" width="72.84375" style="10" customWidth="1"/>
    <col min="11526" max="11775" width="9.15234375" style="10"/>
    <col min="11776" max="11776" width="21.15234375" style="10" customWidth="1"/>
    <col min="11777" max="11777" width="59.3046875" style="10" customWidth="1"/>
    <col min="11778" max="11778" width="34.69140625" style="10" customWidth="1"/>
    <col min="11779" max="11779" width="10" style="10" customWidth="1"/>
    <col min="11780" max="11780" width="9.15234375" style="10"/>
    <col min="11781" max="11781" width="72.84375" style="10" customWidth="1"/>
    <col min="11782" max="12031" width="9.15234375" style="10"/>
    <col min="12032" max="12032" width="21.15234375" style="10" customWidth="1"/>
    <col min="12033" max="12033" width="59.3046875" style="10" customWidth="1"/>
    <col min="12034" max="12034" width="34.69140625" style="10" customWidth="1"/>
    <col min="12035" max="12035" width="10" style="10" customWidth="1"/>
    <col min="12036" max="12036" width="9.15234375" style="10"/>
    <col min="12037" max="12037" width="72.84375" style="10" customWidth="1"/>
    <col min="12038" max="12287" width="9.15234375" style="10"/>
    <col min="12288" max="12288" width="21.15234375" style="10" customWidth="1"/>
    <col min="12289" max="12289" width="59.3046875" style="10" customWidth="1"/>
    <col min="12290" max="12290" width="34.69140625" style="10" customWidth="1"/>
    <col min="12291" max="12291" width="10" style="10" customWidth="1"/>
    <col min="12292" max="12292" width="9.15234375" style="10"/>
    <col min="12293" max="12293" width="72.84375" style="10" customWidth="1"/>
    <col min="12294" max="12543" width="9.15234375" style="10"/>
    <col min="12544" max="12544" width="21.15234375" style="10" customWidth="1"/>
    <col min="12545" max="12545" width="59.3046875" style="10" customWidth="1"/>
    <col min="12546" max="12546" width="34.69140625" style="10" customWidth="1"/>
    <col min="12547" max="12547" width="10" style="10" customWidth="1"/>
    <col min="12548" max="12548" width="9.15234375" style="10"/>
    <col min="12549" max="12549" width="72.84375" style="10" customWidth="1"/>
    <col min="12550" max="12799" width="9.15234375" style="10"/>
    <col min="12800" max="12800" width="21.15234375" style="10" customWidth="1"/>
    <col min="12801" max="12801" width="59.3046875" style="10" customWidth="1"/>
    <col min="12802" max="12802" width="34.69140625" style="10" customWidth="1"/>
    <col min="12803" max="12803" width="10" style="10" customWidth="1"/>
    <col min="12804" max="12804" width="9.15234375" style="10"/>
    <col min="12805" max="12805" width="72.84375" style="10" customWidth="1"/>
    <col min="12806" max="13055" width="9.15234375" style="10"/>
    <col min="13056" max="13056" width="21.15234375" style="10" customWidth="1"/>
    <col min="13057" max="13057" width="59.3046875" style="10" customWidth="1"/>
    <col min="13058" max="13058" width="34.69140625" style="10" customWidth="1"/>
    <col min="13059" max="13059" width="10" style="10" customWidth="1"/>
    <col min="13060" max="13060" width="9.15234375" style="10"/>
    <col min="13061" max="13061" width="72.84375" style="10" customWidth="1"/>
    <col min="13062" max="13311" width="9.15234375" style="10"/>
    <col min="13312" max="13312" width="21.15234375" style="10" customWidth="1"/>
    <col min="13313" max="13313" width="59.3046875" style="10" customWidth="1"/>
    <col min="13314" max="13314" width="34.69140625" style="10" customWidth="1"/>
    <col min="13315" max="13315" width="10" style="10" customWidth="1"/>
    <col min="13316" max="13316" width="9.15234375" style="10"/>
    <col min="13317" max="13317" width="72.84375" style="10" customWidth="1"/>
    <col min="13318" max="13567" width="9.15234375" style="10"/>
    <col min="13568" max="13568" width="21.15234375" style="10" customWidth="1"/>
    <col min="13569" max="13569" width="59.3046875" style="10" customWidth="1"/>
    <col min="13570" max="13570" width="34.69140625" style="10" customWidth="1"/>
    <col min="13571" max="13571" width="10" style="10" customWidth="1"/>
    <col min="13572" max="13572" width="9.15234375" style="10"/>
    <col min="13573" max="13573" width="72.84375" style="10" customWidth="1"/>
    <col min="13574" max="13823" width="9.15234375" style="10"/>
    <col min="13824" max="13824" width="21.15234375" style="10" customWidth="1"/>
    <col min="13825" max="13825" width="59.3046875" style="10" customWidth="1"/>
    <col min="13826" max="13826" width="34.69140625" style="10" customWidth="1"/>
    <col min="13827" max="13827" width="10" style="10" customWidth="1"/>
    <col min="13828" max="13828" width="9.15234375" style="10"/>
    <col min="13829" max="13829" width="72.84375" style="10" customWidth="1"/>
    <col min="13830" max="14079" width="9.15234375" style="10"/>
    <col min="14080" max="14080" width="21.15234375" style="10" customWidth="1"/>
    <col min="14081" max="14081" width="59.3046875" style="10" customWidth="1"/>
    <col min="14082" max="14082" width="34.69140625" style="10" customWidth="1"/>
    <col min="14083" max="14083" width="10" style="10" customWidth="1"/>
    <col min="14084" max="14084" width="9.15234375" style="10"/>
    <col min="14085" max="14085" width="72.84375" style="10" customWidth="1"/>
    <col min="14086" max="14335" width="9.15234375" style="10"/>
    <col min="14336" max="14336" width="21.15234375" style="10" customWidth="1"/>
    <col min="14337" max="14337" width="59.3046875" style="10" customWidth="1"/>
    <col min="14338" max="14338" width="34.69140625" style="10" customWidth="1"/>
    <col min="14339" max="14339" width="10" style="10" customWidth="1"/>
    <col min="14340" max="14340" width="9.15234375" style="10"/>
    <col min="14341" max="14341" width="72.84375" style="10" customWidth="1"/>
    <col min="14342" max="14591" width="9.15234375" style="10"/>
    <col min="14592" max="14592" width="21.15234375" style="10" customWidth="1"/>
    <col min="14593" max="14593" width="59.3046875" style="10" customWidth="1"/>
    <col min="14594" max="14594" width="34.69140625" style="10" customWidth="1"/>
    <col min="14595" max="14595" width="10" style="10" customWidth="1"/>
    <col min="14596" max="14596" width="9.15234375" style="10"/>
    <col min="14597" max="14597" width="72.84375" style="10" customWidth="1"/>
    <col min="14598" max="14847" width="9.15234375" style="10"/>
    <col min="14848" max="14848" width="21.15234375" style="10" customWidth="1"/>
    <col min="14849" max="14849" width="59.3046875" style="10" customWidth="1"/>
    <col min="14850" max="14850" width="34.69140625" style="10" customWidth="1"/>
    <col min="14851" max="14851" width="10" style="10" customWidth="1"/>
    <col min="14852" max="14852" width="9.15234375" style="10"/>
    <col min="14853" max="14853" width="72.84375" style="10" customWidth="1"/>
    <col min="14854" max="15103" width="9.15234375" style="10"/>
    <col min="15104" max="15104" width="21.15234375" style="10" customWidth="1"/>
    <col min="15105" max="15105" width="59.3046875" style="10" customWidth="1"/>
    <col min="15106" max="15106" width="34.69140625" style="10" customWidth="1"/>
    <col min="15107" max="15107" width="10" style="10" customWidth="1"/>
    <col min="15108" max="15108" width="9.15234375" style="10"/>
    <col min="15109" max="15109" width="72.84375" style="10" customWidth="1"/>
    <col min="15110" max="15359" width="9.15234375" style="10"/>
    <col min="15360" max="15360" width="21.15234375" style="10" customWidth="1"/>
    <col min="15361" max="15361" width="59.3046875" style="10" customWidth="1"/>
    <col min="15362" max="15362" width="34.69140625" style="10" customWidth="1"/>
    <col min="15363" max="15363" width="10" style="10" customWidth="1"/>
    <col min="15364" max="15364" width="9.15234375" style="10"/>
    <col min="15365" max="15365" width="72.84375" style="10" customWidth="1"/>
    <col min="15366" max="15615" width="9.15234375" style="10"/>
    <col min="15616" max="15616" width="21.15234375" style="10" customWidth="1"/>
    <col min="15617" max="15617" width="59.3046875" style="10" customWidth="1"/>
    <col min="15618" max="15618" width="34.69140625" style="10" customWidth="1"/>
    <col min="15619" max="15619" width="10" style="10" customWidth="1"/>
    <col min="15620" max="15620" width="9.15234375" style="10"/>
    <col min="15621" max="15621" width="72.84375" style="10" customWidth="1"/>
    <col min="15622" max="15871" width="9.15234375" style="10"/>
    <col min="15872" max="15872" width="21.15234375" style="10" customWidth="1"/>
    <col min="15873" max="15873" width="59.3046875" style="10" customWidth="1"/>
    <col min="15874" max="15874" width="34.69140625" style="10" customWidth="1"/>
    <col min="15875" max="15875" width="10" style="10" customWidth="1"/>
    <col min="15876" max="15876" width="9.15234375" style="10"/>
    <col min="15877" max="15877" width="72.84375" style="10" customWidth="1"/>
    <col min="15878" max="16127" width="9.15234375" style="10"/>
    <col min="16128" max="16128" width="21.15234375" style="10" customWidth="1"/>
    <col min="16129" max="16129" width="59.3046875" style="10" customWidth="1"/>
    <col min="16130" max="16130" width="34.69140625" style="10" customWidth="1"/>
    <col min="16131" max="16131" width="10" style="10" customWidth="1"/>
    <col min="16132" max="16132" width="9.15234375" style="10"/>
    <col min="16133" max="16133" width="72.84375" style="10" customWidth="1"/>
    <col min="16134" max="16384" width="9.15234375" style="10"/>
  </cols>
  <sheetData>
    <row r="1" spans="1:7" x14ac:dyDescent="0.3">
      <c r="A1" s="17" t="s">
        <v>48</v>
      </c>
      <c r="B1" s="9" t="s">
        <v>49</v>
      </c>
      <c r="C1" s="9" t="s">
        <v>50</v>
      </c>
      <c r="D1" s="9" t="s">
        <v>51</v>
      </c>
      <c r="E1" s="154" t="s">
        <v>52</v>
      </c>
      <c r="F1" s="154" t="s">
        <v>53</v>
      </c>
      <c r="G1" s="11"/>
    </row>
    <row r="2" spans="1:7" x14ac:dyDescent="0.3">
      <c r="B2" s="9"/>
      <c r="C2" s="9"/>
      <c r="D2" s="9"/>
      <c r="E2" s="154"/>
      <c r="F2" s="154"/>
      <c r="G2" s="11"/>
    </row>
    <row r="3" spans="1:7" x14ac:dyDescent="0.3">
      <c r="A3" s="2432" t="s">
        <v>561</v>
      </c>
      <c r="B3" s="2428" t="s">
        <v>2528</v>
      </c>
      <c r="C3" s="2429"/>
      <c r="D3" s="2429"/>
      <c r="E3" s="2429" t="s">
        <v>2527</v>
      </c>
      <c r="F3" s="2443"/>
      <c r="G3" s="11"/>
    </row>
    <row r="4" spans="1:7" x14ac:dyDescent="0.3">
      <c r="A4" s="2432"/>
      <c r="B4" s="10" t="s">
        <v>179</v>
      </c>
      <c r="C4" s="10" t="s">
        <v>181</v>
      </c>
      <c r="D4" s="31">
        <v>6</v>
      </c>
      <c r="E4" s="155" t="s">
        <v>2551</v>
      </c>
      <c r="F4" s="155" t="str">
        <f>"A fpy is defined as the eqilvilant of one calendar year of continuous pulsing, or "&amp;8760/pulse_time&amp;" pulses"</f>
        <v>A fpy is defined as the eqilvilant of one calendar year of continuous pulsing, or 4380 pulses</v>
      </c>
    </row>
    <row r="5" spans="1:7" x14ac:dyDescent="0.3">
      <c r="A5" s="2432"/>
      <c r="B5" s="10" t="s">
        <v>205</v>
      </c>
      <c r="C5" s="10" t="s">
        <v>206</v>
      </c>
      <c r="D5" s="10">
        <v>20</v>
      </c>
      <c r="E5" s="155" t="s">
        <v>207</v>
      </c>
    </row>
    <row r="6" spans="1:7" x14ac:dyDescent="0.3">
      <c r="A6" s="2432" t="s">
        <v>54</v>
      </c>
      <c r="B6" s="11"/>
      <c r="C6" s="11"/>
      <c r="D6" s="11"/>
      <c r="G6" s="11"/>
    </row>
    <row r="7" spans="1:7" x14ac:dyDescent="0.3">
      <c r="A7" s="2433"/>
      <c r="B7" s="155" t="s">
        <v>505</v>
      </c>
      <c r="C7" s="155" t="s">
        <v>506</v>
      </c>
      <c r="D7" s="15">
        <v>10</v>
      </c>
      <c r="E7" s="155" t="s">
        <v>65</v>
      </c>
      <c r="F7" s="155" t="s">
        <v>2495</v>
      </c>
      <c r="G7" s="11"/>
    </row>
    <row r="8" spans="1:7" x14ac:dyDescent="0.3">
      <c r="A8" s="2432"/>
      <c r="B8" s="155" t="s">
        <v>507</v>
      </c>
      <c r="C8" s="155" t="s">
        <v>508</v>
      </c>
      <c r="D8" s="15">
        <v>4.5999999999999996</v>
      </c>
      <c r="E8" s="155" t="s">
        <v>65</v>
      </c>
      <c r="F8" s="155" t="s">
        <v>2495</v>
      </c>
    </row>
    <row r="9" spans="1:7" x14ac:dyDescent="0.3">
      <c r="A9" s="2432"/>
      <c r="B9" s="155" t="s">
        <v>509</v>
      </c>
      <c r="C9" s="155" t="s">
        <v>510</v>
      </c>
      <c r="D9" s="15">
        <f>(PI()*DEMO_Minor_Radius^2)*(2*PI()*DEMO_Major_Radius)</f>
        <v>4176.8165825410151</v>
      </c>
      <c r="E9" s="155" t="s">
        <v>511</v>
      </c>
      <c r="F9" s="155" t="s">
        <v>2495</v>
      </c>
    </row>
    <row r="10" spans="1:7" x14ac:dyDescent="0.3">
      <c r="A10" s="2432"/>
      <c r="B10" s="155"/>
      <c r="C10" s="155"/>
      <c r="D10" s="15"/>
    </row>
    <row r="11" spans="1:7" x14ac:dyDescent="0.3">
      <c r="A11" s="2432"/>
      <c r="B11" s="10" t="s">
        <v>55</v>
      </c>
      <c r="C11" s="12" t="s">
        <v>56</v>
      </c>
      <c r="D11" s="13">
        <v>16</v>
      </c>
      <c r="E11" s="155" t="s">
        <v>723</v>
      </c>
    </row>
    <row r="12" spans="1:7" x14ac:dyDescent="0.3">
      <c r="A12" s="2432"/>
      <c r="C12" s="12"/>
      <c r="D12" s="13"/>
    </row>
    <row r="13" spans="1:7" x14ac:dyDescent="0.3">
      <c r="A13" s="2432" t="s">
        <v>2420</v>
      </c>
      <c r="B13" s="10" t="s">
        <v>2627</v>
      </c>
      <c r="C13" s="12" t="s">
        <v>2638</v>
      </c>
      <c r="D13" s="13">
        <v>6</v>
      </c>
      <c r="E13" s="155" t="s">
        <v>65</v>
      </c>
      <c r="F13" s="155" t="s">
        <v>2552</v>
      </c>
    </row>
    <row r="14" spans="1:7" x14ac:dyDescent="0.3">
      <c r="A14" s="2432"/>
      <c r="B14" s="10" t="s">
        <v>2632</v>
      </c>
      <c r="C14" s="12" t="s">
        <v>2639</v>
      </c>
      <c r="D14" s="13">
        <v>12</v>
      </c>
      <c r="E14" s="155" t="s">
        <v>65</v>
      </c>
      <c r="F14" s="155" t="s">
        <v>2552</v>
      </c>
    </row>
    <row r="15" spans="1:7" x14ac:dyDescent="0.3">
      <c r="A15" s="2432" t="s">
        <v>512</v>
      </c>
    </row>
    <row r="16" spans="1:7" x14ac:dyDescent="0.3">
      <c r="A16" s="2432"/>
      <c r="B16" s="10" t="s">
        <v>57</v>
      </c>
      <c r="C16" s="12" t="s">
        <v>58</v>
      </c>
      <c r="D16" s="13">
        <v>3</v>
      </c>
      <c r="E16" s="155" t="s">
        <v>2599</v>
      </c>
      <c r="F16" s="3683" t="s">
        <v>2603</v>
      </c>
    </row>
    <row r="17" spans="1:6" x14ac:dyDescent="0.3">
      <c r="A17" s="2432"/>
      <c r="B17" s="10" t="s">
        <v>59</v>
      </c>
      <c r="C17" s="12" t="s">
        <v>60</v>
      </c>
      <c r="D17" s="13">
        <v>2</v>
      </c>
      <c r="E17" s="155" t="s">
        <v>2600</v>
      </c>
      <c r="F17" s="3683"/>
    </row>
    <row r="18" spans="1:6" x14ac:dyDescent="0.3">
      <c r="A18" s="2432"/>
      <c r="B18" s="174" t="s">
        <v>61</v>
      </c>
      <c r="C18" s="176" t="s">
        <v>62</v>
      </c>
      <c r="D18" s="17">
        <f>$D$16+$D$17</f>
        <v>5</v>
      </c>
      <c r="E18" s="155" t="s">
        <v>2601</v>
      </c>
      <c r="F18" s="3683"/>
    </row>
    <row r="19" spans="1:6" x14ac:dyDescent="0.3">
      <c r="A19" s="2432"/>
      <c r="B19" s="10" t="s">
        <v>63</v>
      </c>
      <c r="C19" s="12" t="s">
        <v>64</v>
      </c>
      <c r="D19" s="13">
        <v>3</v>
      </c>
      <c r="E19" s="155" t="s">
        <v>2602</v>
      </c>
      <c r="F19" s="3683"/>
    </row>
    <row r="20" spans="1:6" x14ac:dyDescent="0.3">
      <c r="A20" s="2432"/>
      <c r="C20" s="12"/>
      <c r="D20" s="13"/>
    </row>
    <row r="21" spans="1:6" x14ac:dyDescent="0.3">
      <c r="A21" s="164" t="s">
        <v>498</v>
      </c>
      <c r="C21" s="12"/>
      <c r="D21" s="13"/>
    </row>
    <row r="22" spans="1:6" outlineLevel="1" x14ac:dyDescent="0.3">
      <c r="A22" s="164" t="s">
        <v>364</v>
      </c>
    </row>
    <row r="23" spans="1:6" outlineLevel="1" x14ac:dyDescent="0.3">
      <c r="A23" s="194" t="s">
        <v>365</v>
      </c>
    </row>
    <row r="24" spans="1:6" outlineLevel="1" x14ac:dyDescent="0.3">
      <c r="A24" s="164"/>
      <c r="B24" s="10" t="s">
        <v>366</v>
      </c>
      <c r="C24" s="12" t="s">
        <v>367</v>
      </c>
      <c r="D24" s="13">
        <v>193.68</v>
      </c>
      <c r="E24" s="155" t="s">
        <v>2553</v>
      </c>
      <c r="F24" s="155" t="s">
        <v>2568</v>
      </c>
    </row>
    <row r="25" spans="1:6" outlineLevel="1" x14ac:dyDescent="0.3">
      <c r="A25" s="164"/>
      <c r="B25" s="10" t="s">
        <v>369</v>
      </c>
      <c r="C25" s="12" t="s">
        <v>370</v>
      </c>
      <c r="D25" s="15">
        <f>PI()*Blanket_coolant_diameter</f>
        <v>608.46366514727117</v>
      </c>
      <c r="E25" s="155" t="s">
        <v>368</v>
      </c>
      <c r="F25" s="155" t="s">
        <v>2569</v>
      </c>
    </row>
    <row r="26" spans="1:6" outlineLevel="1" x14ac:dyDescent="0.3">
      <c r="A26" s="164"/>
      <c r="B26" s="10" t="s">
        <v>725</v>
      </c>
      <c r="C26" s="12" t="s">
        <v>726</v>
      </c>
      <c r="D26" s="15">
        <v>12.7</v>
      </c>
      <c r="E26" s="155" t="s">
        <v>368</v>
      </c>
      <c r="F26" s="155" t="s">
        <v>2570</v>
      </c>
    </row>
    <row r="27" spans="1:6" outlineLevel="1" x14ac:dyDescent="0.3">
      <c r="A27" s="164"/>
      <c r="C27" s="12"/>
      <c r="D27" s="13"/>
    </row>
    <row r="28" spans="1:6" outlineLevel="1" x14ac:dyDescent="0.3">
      <c r="A28" s="164"/>
      <c r="B28" s="10" t="s">
        <v>371</v>
      </c>
      <c r="C28" s="12" t="s">
        <v>372</v>
      </c>
      <c r="D28" s="13">
        <v>77.930000000000007</v>
      </c>
      <c r="E28" s="155" t="s">
        <v>2553</v>
      </c>
    </row>
    <row r="29" spans="1:6" outlineLevel="1" x14ac:dyDescent="0.3">
      <c r="A29" s="164"/>
      <c r="B29" s="10" t="s">
        <v>373</v>
      </c>
      <c r="C29" s="12" t="s">
        <v>374</v>
      </c>
      <c r="D29" s="15">
        <f>PI()*Blanket_LiPb_diameter</f>
        <v>244.8243154942526</v>
      </c>
      <c r="E29" s="155" t="s">
        <v>368</v>
      </c>
    </row>
    <row r="30" spans="1:6" outlineLevel="1" x14ac:dyDescent="0.3">
      <c r="A30" s="164"/>
      <c r="B30" s="10" t="s">
        <v>728</v>
      </c>
      <c r="C30" s="12" t="s">
        <v>727</v>
      </c>
      <c r="D30" s="15">
        <v>5.49</v>
      </c>
      <c r="E30" s="155" t="s">
        <v>368</v>
      </c>
    </row>
    <row r="31" spans="1:6" outlineLevel="1" x14ac:dyDescent="0.3">
      <c r="A31" s="164"/>
      <c r="C31" s="12"/>
      <c r="D31" s="13"/>
    </row>
    <row r="32" spans="1:6" outlineLevel="1" x14ac:dyDescent="0.3">
      <c r="A32" s="164"/>
      <c r="B32" s="10" t="s">
        <v>375</v>
      </c>
      <c r="C32" s="12" t="s">
        <v>376</v>
      </c>
      <c r="D32" s="13">
        <v>77.930000000000007</v>
      </c>
      <c r="E32" s="155" t="s">
        <v>2553</v>
      </c>
    </row>
    <row r="33" spans="1:5" outlineLevel="1" x14ac:dyDescent="0.3">
      <c r="A33" s="164"/>
      <c r="B33" s="10" t="s">
        <v>377</v>
      </c>
      <c r="C33" s="12" t="s">
        <v>378</v>
      </c>
      <c r="D33" s="15">
        <f>PI()*Blanket_Drain_diameter</f>
        <v>244.8243154942526</v>
      </c>
      <c r="E33" s="155" t="s">
        <v>368</v>
      </c>
    </row>
    <row r="34" spans="1:5" outlineLevel="1" x14ac:dyDescent="0.3">
      <c r="A34" s="164"/>
      <c r="B34" s="10" t="s">
        <v>729</v>
      </c>
      <c r="C34" s="12" t="s">
        <v>730</v>
      </c>
      <c r="D34" s="15">
        <v>5.49</v>
      </c>
      <c r="E34" s="155" t="s">
        <v>368</v>
      </c>
    </row>
    <row r="35" spans="1:5" outlineLevel="1" x14ac:dyDescent="0.3">
      <c r="A35" s="164"/>
      <c r="C35" s="12"/>
      <c r="D35" s="13"/>
    </row>
    <row r="36" spans="1:5" outlineLevel="1" x14ac:dyDescent="0.3">
      <c r="A36" s="194" t="s">
        <v>379</v>
      </c>
      <c r="C36" s="12"/>
      <c r="D36" s="13"/>
    </row>
    <row r="37" spans="1:5" outlineLevel="1" x14ac:dyDescent="0.3">
      <c r="A37" s="164"/>
      <c r="B37" s="10" t="s">
        <v>380</v>
      </c>
      <c r="C37" s="12" t="s">
        <v>381</v>
      </c>
      <c r="D37" s="13">
        <v>193.68</v>
      </c>
      <c r="E37" s="155" t="s">
        <v>2553</v>
      </c>
    </row>
    <row r="38" spans="1:5" outlineLevel="1" x14ac:dyDescent="0.3">
      <c r="A38" s="164"/>
      <c r="B38" s="10" t="s">
        <v>733</v>
      </c>
      <c r="C38" s="12" t="s">
        <v>382</v>
      </c>
      <c r="D38" s="15">
        <f>PI()*Divertor_Coolant_diameter</f>
        <v>608.46366514727117</v>
      </c>
      <c r="E38" s="155" t="s">
        <v>368</v>
      </c>
    </row>
    <row r="39" spans="1:5" outlineLevel="1" x14ac:dyDescent="0.3">
      <c r="A39" s="164"/>
      <c r="B39" s="10" t="s">
        <v>731</v>
      </c>
      <c r="C39" s="12" t="s">
        <v>732</v>
      </c>
      <c r="D39" s="15">
        <v>12.7</v>
      </c>
      <c r="E39" s="155" t="s">
        <v>368</v>
      </c>
    </row>
    <row r="40" spans="1:5" outlineLevel="1" x14ac:dyDescent="0.3">
      <c r="A40" s="164"/>
      <c r="C40" s="12"/>
      <c r="D40" s="15"/>
    </row>
    <row r="41" spans="1:5" outlineLevel="1" x14ac:dyDescent="0.3">
      <c r="A41" s="164"/>
      <c r="B41" s="10" t="s">
        <v>383</v>
      </c>
      <c r="C41" s="12" t="s">
        <v>384</v>
      </c>
      <c r="D41" s="13">
        <v>77.930000000000007</v>
      </c>
      <c r="E41" s="155" t="s">
        <v>2553</v>
      </c>
    </row>
    <row r="42" spans="1:5" outlineLevel="1" x14ac:dyDescent="0.3">
      <c r="A42" s="164"/>
      <c r="B42" s="10" t="s">
        <v>385</v>
      </c>
      <c r="C42" s="12" t="s">
        <v>386</v>
      </c>
      <c r="D42" s="15">
        <f>PI()*Divertor_LiPb_diameter</f>
        <v>244.8243154942526</v>
      </c>
      <c r="E42" s="155" t="s">
        <v>368</v>
      </c>
    </row>
    <row r="43" spans="1:5" outlineLevel="1" x14ac:dyDescent="0.3">
      <c r="A43" s="164"/>
      <c r="B43" s="10" t="s">
        <v>734</v>
      </c>
      <c r="C43" s="12" t="s">
        <v>735</v>
      </c>
      <c r="D43" s="15">
        <v>5.49</v>
      </c>
      <c r="E43" s="155" t="s">
        <v>368</v>
      </c>
    </row>
    <row r="44" spans="1:5" outlineLevel="1" x14ac:dyDescent="0.3">
      <c r="A44" s="164"/>
      <c r="C44" s="12"/>
      <c r="D44" s="15"/>
    </row>
    <row r="45" spans="1:5" outlineLevel="1" x14ac:dyDescent="0.3">
      <c r="A45" s="164"/>
      <c r="B45" s="10" t="s">
        <v>387</v>
      </c>
      <c r="C45" s="12" t="s">
        <v>388</v>
      </c>
      <c r="D45" s="13">
        <v>20</v>
      </c>
      <c r="E45" s="155" t="s">
        <v>2553</v>
      </c>
    </row>
    <row r="46" spans="1:5" outlineLevel="1" x14ac:dyDescent="0.3">
      <c r="A46" s="164"/>
      <c r="B46" s="10" t="s">
        <v>377</v>
      </c>
      <c r="C46" s="12" t="s">
        <v>389</v>
      </c>
      <c r="D46" s="15">
        <f>PI()*Divertor_Drain_diameter</f>
        <v>62.831853071795862</v>
      </c>
      <c r="E46" s="155" t="s">
        <v>368</v>
      </c>
    </row>
    <row r="47" spans="1:5" outlineLevel="1" x14ac:dyDescent="0.3">
      <c r="A47" s="164"/>
      <c r="B47" s="10" t="s">
        <v>736</v>
      </c>
      <c r="C47" s="12" t="s">
        <v>737</v>
      </c>
      <c r="D47" s="15">
        <v>5</v>
      </c>
      <c r="E47" s="155" t="s">
        <v>368</v>
      </c>
    </row>
    <row r="48" spans="1:5" outlineLevel="1" x14ac:dyDescent="0.3">
      <c r="A48" s="164" t="s">
        <v>390</v>
      </c>
      <c r="C48" s="12"/>
      <c r="D48" s="15"/>
    </row>
    <row r="49" spans="1:5" outlineLevel="1" x14ac:dyDescent="0.3">
      <c r="A49" s="194" t="s">
        <v>574</v>
      </c>
      <c r="C49" s="12"/>
      <c r="D49" s="15"/>
    </row>
    <row r="50" spans="1:5" outlineLevel="1" x14ac:dyDescent="0.3">
      <c r="A50" s="164"/>
      <c r="B50" s="10" t="s">
        <v>2628</v>
      </c>
      <c r="C50" s="12" t="s">
        <v>391</v>
      </c>
      <c r="D50" s="13">
        <v>4</v>
      </c>
      <c r="E50" s="155" t="s">
        <v>504</v>
      </c>
    </row>
    <row r="51" spans="1:5" outlineLevel="1" x14ac:dyDescent="0.3">
      <c r="A51" s="164"/>
      <c r="B51" s="10" t="s">
        <v>2629</v>
      </c>
      <c r="C51" s="12" t="s">
        <v>392</v>
      </c>
      <c r="D51" s="13">
        <v>2</v>
      </c>
      <c r="E51" s="155" t="s">
        <v>504</v>
      </c>
    </row>
    <row r="52" spans="1:5" outlineLevel="1" x14ac:dyDescent="0.3">
      <c r="A52" s="164"/>
      <c r="B52" s="10" t="s">
        <v>2630</v>
      </c>
      <c r="C52" s="12" t="s">
        <v>393</v>
      </c>
      <c r="D52" s="13">
        <v>0</v>
      </c>
      <c r="E52" s="155" t="s">
        <v>504</v>
      </c>
    </row>
    <row r="53" spans="1:5" outlineLevel="1" x14ac:dyDescent="0.3">
      <c r="A53" s="164"/>
      <c r="B53" s="174" t="s">
        <v>2631</v>
      </c>
      <c r="C53" s="176" t="s">
        <v>394</v>
      </c>
      <c r="D53" s="17">
        <f>SUM(D50:D52)</f>
        <v>6</v>
      </c>
      <c r="E53" s="154" t="s">
        <v>504</v>
      </c>
    </row>
    <row r="54" spans="1:5" outlineLevel="1" x14ac:dyDescent="0.3">
      <c r="A54" s="164"/>
      <c r="C54" s="12"/>
      <c r="D54" s="13"/>
    </row>
    <row r="55" spans="1:5" outlineLevel="1" x14ac:dyDescent="0.3">
      <c r="A55" s="194" t="s">
        <v>573</v>
      </c>
      <c r="B55" s="10" t="s">
        <v>2633</v>
      </c>
      <c r="C55" s="12" t="s">
        <v>395</v>
      </c>
      <c r="D55" s="13">
        <v>2</v>
      </c>
      <c r="E55" s="155" t="s">
        <v>504</v>
      </c>
    </row>
    <row r="56" spans="1:5" outlineLevel="1" x14ac:dyDescent="0.3">
      <c r="A56" s="164"/>
      <c r="B56" s="10" t="s">
        <v>2634</v>
      </c>
      <c r="C56" s="12" t="s">
        <v>396</v>
      </c>
      <c r="D56" s="13">
        <v>0</v>
      </c>
      <c r="E56" s="155" t="s">
        <v>504</v>
      </c>
    </row>
    <row r="57" spans="1:5" outlineLevel="1" x14ac:dyDescent="0.3">
      <c r="A57" s="164"/>
      <c r="B57" s="10" t="s">
        <v>2635</v>
      </c>
      <c r="C57" s="12" t="s">
        <v>397</v>
      </c>
      <c r="D57" s="13">
        <v>1</v>
      </c>
      <c r="E57" s="155" t="s">
        <v>504</v>
      </c>
    </row>
    <row r="58" spans="1:5" outlineLevel="1" x14ac:dyDescent="0.3">
      <c r="A58" s="164"/>
      <c r="B58" s="174" t="s">
        <v>2636</v>
      </c>
      <c r="C58" s="176" t="s">
        <v>563</v>
      </c>
      <c r="D58" s="17">
        <f>SUM(D55:D57)</f>
        <v>3</v>
      </c>
      <c r="E58" s="154" t="s">
        <v>504</v>
      </c>
    </row>
    <row r="59" spans="1:5" outlineLevel="1" x14ac:dyDescent="0.3">
      <c r="A59" s="164"/>
      <c r="C59" s="12"/>
      <c r="D59" s="13"/>
    </row>
    <row r="60" spans="1:5" outlineLevel="1" x14ac:dyDescent="0.3">
      <c r="A60" s="194" t="s">
        <v>398</v>
      </c>
      <c r="B60" s="10" t="s">
        <v>399</v>
      </c>
      <c r="C60" s="12" t="s">
        <v>400</v>
      </c>
      <c r="D60" s="13">
        <v>4</v>
      </c>
      <c r="E60" s="155" t="s">
        <v>504</v>
      </c>
    </row>
    <row r="61" spans="1:5" outlineLevel="1" x14ac:dyDescent="0.3">
      <c r="A61" s="164"/>
      <c r="B61" s="10" t="s">
        <v>401</v>
      </c>
      <c r="C61" s="12" t="s">
        <v>402</v>
      </c>
      <c r="D61" s="13">
        <v>0</v>
      </c>
      <c r="E61" s="155" t="s">
        <v>504</v>
      </c>
    </row>
    <row r="62" spans="1:5" outlineLevel="1" x14ac:dyDescent="0.3">
      <c r="A62" s="164"/>
      <c r="B62" s="10" t="s">
        <v>2637</v>
      </c>
      <c r="C62" s="12" t="s">
        <v>403</v>
      </c>
      <c r="D62" s="13">
        <v>0</v>
      </c>
      <c r="E62" s="155" t="s">
        <v>504</v>
      </c>
    </row>
    <row r="63" spans="1:5" outlineLevel="1" x14ac:dyDescent="0.3">
      <c r="A63" s="164"/>
      <c r="B63" s="174" t="s">
        <v>2554</v>
      </c>
      <c r="C63" s="176" t="s">
        <v>404</v>
      </c>
      <c r="D63" s="17">
        <f>SUM(D60:D62)</f>
        <v>4</v>
      </c>
      <c r="E63" s="154" t="s">
        <v>504</v>
      </c>
    </row>
    <row r="64" spans="1:5" outlineLevel="1" x14ac:dyDescent="0.3">
      <c r="A64" s="164" t="s">
        <v>2572</v>
      </c>
      <c r="C64" s="12"/>
      <c r="D64" s="14"/>
    </row>
    <row r="65" spans="1:6" outlineLevel="1" x14ac:dyDescent="0.3">
      <c r="A65" s="194"/>
      <c r="B65" s="10" t="s">
        <v>2404</v>
      </c>
      <c r="C65" s="12"/>
      <c r="D65" s="15">
        <v>1</v>
      </c>
      <c r="E65" s="155" t="s">
        <v>741</v>
      </c>
      <c r="F65" s="155" t="s">
        <v>2558</v>
      </c>
    </row>
    <row r="66" spans="1:6" outlineLevel="1" x14ac:dyDescent="0.3">
      <c r="A66" s="194"/>
      <c r="B66" s="10" t="s">
        <v>2405</v>
      </c>
      <c r="C66" s="12" t="s">
        <v>405</v>
      </c>
      <c r="D66" s="199">
        <f>(D65*1000)/60</f>
        <v>16.666666666666668</v>
      </c>
      <c r="E66" s="155" t="s">
        <v>406</v>
      </c>
      <c r="F66" s="155" t="s">
        <v>2556</v>
      </c>
    </row>
    <row r="67" spans="1:6" outlineLevel="1" x14ac:dyDescent="0.3">
      <c r="A67" s="194"/>
      <c r="B67" s="10" t="s">
        <v>738</v>
      </c>
      <c r="C67" s="12" t="s">
        <v>724</v>
      </c>
      <c r="D67" s="14">
        <v>12.7</v>
      </c>
      <c r="E67" s="155" t="s">
        <v>2399</v>
      </c>
      <c r="F67" s="155" t="s">
        <v>2559</v>
      </c>
    </row>
    <row r="68" spans="1:6" outlineLevel="1" x14ac:dyDescent="0.3">
      <c r="A68" s="194" t="s">
        <v>755</v>
      </c>
      <c r="C68" s="12"/>
      <c r="D68" s="14"/>
    </row>
    <row r="69" spans="1:6" outlineLevel="1" x14ac:dyDescent="0.3">
      <c r="A69" s="194"/>
      <c r="B69" s="10" t="s">
        <v>742</v>
      </c>
      <c r="C69" s="12" t="s">
        <v>745</v>
      </c>
      <c r="D69" s="284">
        <f>ROUNDUP(Blanket_coolant_thickness/cutting_depth,0)</f>
        <v>1</v>
      </c>
      <c r="E69" s="155" t="s">
        <v>743</v>
      </c>
      <c r="F69" s="155" t="s">
        <v>2555</v>
      </c>
    </row>
    <row r="70" spans="1:6" outlineLevel="1" x14ac:dyDescent="0.3">
      <c r="A70" s="194"/>
      <c r="B70" s="10" t="s">
        <v>407</v>
      </c>
      <c r="C70" s="12" t="s">
        <v>408</v>
      </c>
      <c r="D70" s="15">
        <f>((Blanket_coolant_circumference/cutting_speed)*Blanket_Cooling_Cutting_Passes)/3600</f>
        <v>1.0141061085787852E-2</v>
      </c>
      <c r="E70" s="155" t="s">
        <v>156</v>
      </c>
      <c r="F70" s="2444" t="str">
        <f>"Or ~"&amp;ROUND((D70*3600),1)&amp;" Seconds per pipe"</f>
        <v>Or ~36.5 Seconds per pipe</v>
      </c>
    </row>
    <row r="71" spans="1:6" outlineLevel="1" x14ac:dyDescent="0.3">
      <c r="A71" s="194"/>
      <c r="C71" s="12"/>
      <c r="D71" s="15"/>
      <c r="F71" s="2444"/>
    </row>
    <row r="72" spans="1:6" outlineLevel="1" x14ac:dyDescent="0.3">
      <c r="A72" s="194"/>
      <c r="B72" s="10" t="s">
        <v>744</v>
      </c>
      <c r="C72" s="12" t="s">
        <v>746</v>
      </c>
      <c r="D72" s="284">
        <f>ROUNDUP(Blanket_LiPb_thickness/cutting_depth,0)</f>
        <v>1</v>
      </c>
      <c r="E72" s="155" t="s">
        <v>743</v>
      </c>
    </row>
    <row r="73" spans="1:6" outlineLevel="1" x14ac:dyDescent="0.3">
      <c r="A73" s="194"/>
      <c r="B73" s="10" t="s">
        <v>409</v>
      </c>
      <c r="C73" s="12" t="s">
        <v>410</v>
      </c>
      <c r="D73" s="15">
        <f>((Blanket_LiPb_circumference/cutting_speed)*Blanket_LiPb_Cutting_Passes)/3600</f>
        <v>4.080405258237543E-3</v>
      </c>
      <c r="E73" s="155" t="s">
        <v>156</v>
      </c>
      <c r="F73" s="2444" t="str">
        <f>"Or ~"&amp;ROUND((D73*3600),1)&amp;" Seconds per pipe"</f>
        <v>Or ~14.7 Seconds per pipe</v>
      </c>
    </row>
    <row r="74" spans="1:6" outlineLevel="1" x14ac:dyDescent="0.3">
      <c r="A74" s="194"/>
      <c r="C74" s="12"/>
      <c r="D74" s="15"/>
      <c r="F74" s="2444"/>
    </row>
    <row r="75" spans="1:6" outlineLevel="1" x14ac:dyDescent="0.3">
      <c r="A75" s="194"/>
      <c r="B75" s="10" t="s">
        <v>747</v>
      </c>
      <c r="C75" s="12" t="s">
        <v>748</v>
      </c>
      <c r="D75" s="284">
        <f>ROUNDUP(Blanket_drain_Thickness/cutting_depth,0)</f>
        <v>1</v>
      </c>
      <c r="E75" s="155" t="s">
        <v>743</v>
      </c>
    </row>
    <row r="76" spans="1:6" outlineLevel="1" x14ac:dyDescent="0.3">
      <c r="A76" s="194"/>
      <c r="B76" s="10" t="s">
        <v>411</v>
      </c>
      <c r="C76" s="12" t="s">
        <v>412</v>
      </c>
      <c r="D76" s="15">
        <f>((Blanket_drain_circumference/cutting_speed)*Blanket_Drain_Cutting_Passes)/3600</f>
        <v>4.080405258237543E-3</v>
      </c>
      <c r="E76" s="155" t="s">
        <v>156</v>
      </c>
      <c r="F76" s="2444" t="str">
        <f>"Or ~"&amp;ROUND((D76*3600),1)&amp;" Seconds per pipe"</f>
        <v>Or ~14.7 Seconds per pipe</v>
      </c>
    </row>
    <row r="77" spans="1:6" outlineLevel="1" x14ac:dyDescent="0.3">
      <c r="A77" s="194" t="s">
        <v>756</v>
      </c>
      <c r="C77" s="12"/>
      <c r="D77" s="157"/>
      <c r="F77" s="2444"/>
    </row>
    <row r="78" spans="1:6" outlineLevel="1" x14ac:dyDescent="0.3">
      <c r="A78" s="194"/>
      <c r="B78" s="10" t="s">
        <v>749</v>
      </c>
      <c r="C78" s="12" t="s">
        <v>752</v>
      </c>
      <c r="D78" s="284">
        <f>ROUNDUP(divertor_coolant_thickness/cutting_depth,0)</f>
        <v>1</v>
      </c>
      <c r="E78" s="155" t="s">
        <v>743</v>
      </c>
    </row>
    <row r="79" spans="1:6" outlineLevel="1" x14ac:dyDescent="0.3">
      <c r="A79" s="194"/>
      <c r="B79" s="10" t="s">
        <v>413</v>
      </c>
      <c r="C79" s="12" t="s">
        <v>414</v>
      </c>
      <c r="D79" s="157">
        <f>((divertor_coolant_circumference/cutting_speed)*Divertor_Cooling_Cutting_Passes)/3600</f>
        <v>1.0141061085787852E-2</v>
      </c>
      <c r="E79" s="155" t="s">
        <v>156</v>
      </c>
      <c r="F79" s="2444" t="str">
        <f>"Or ~"&amp;ROUND((D79*3600),1)&amp;" Seconds per pipe"</f>
        <v>Or ~36.5 Seconds per pipe</v>
      </c>
    </row>
    <row r="80" spans="1:6" outlineLevel="1" x14ac:dyDescent="0.3">
      <c r="A80" s="194"/>
      <c r="C80" s="12"/>
      <c r="D80" s="157"/>
      <c r="F80" s="2444"/>
    </row>
    <row r="81" spans="1:6" outlineLevel="1" x14ac:dyDescent="0.3">
      <c r="A81" s="194"/>
      <c r="B81" s="10" t="s">
        <v>750</v>
      </c>
      <c r="C81" s="12" t="s">
        <v>753</v>
      </c>
      <c r="D81" s="284">
        <f>ROUNDUP(Divertor_LiPb_thickness/cutting_depth,0)</f>
        <v>1</v>
      </c>
      <c r="E81" s="155" t="s">
        <v>743</v>
      </c>
    </row>
    <row r="82" spans="1:6" outlineLevel="1" x14ac:dyDescent="0.3">
      <c r="A82" s="194"/>
      <c r="B82" s="10" t="s">
        <v>415</v>
      </c>
      <c r="C82" s="12" t="s">
        <v>416</v>
      </c>
      <c r="D82" s="157">
        <f>((Divertor_LiPb_circumference/cutting_speed)*Divertor_LiPb_Cutting_Passes)/3600</f>
        <v>4.080405258237543E-3</v>
      </c>
      <c r="E82" s="155" t="s">
        <v>156</v>
      </c>
      <c r="F82" s="2444" t="str">
        <f>"Or ~"&amp;ROUND((D82*3600),1)&amp;" Seconds per pipe"</f>
        <v>Or ~14.7 Seconds per pipe</v>
      </c>
    </row>
    <row r="83" spans="1:6" outlineLevel="1" x14ac:dyDescent="0.3">
      <c r="A83" s="194"/>
      <c r="C83" s="12"/>
      <c r="D83" s="157"/>
      <c r="F83" s="2444"/>
    </row>
    <row r="84" spans="1:6" outlineLevel="1" x14ac:dyDescent="0.3">
      <c r="A84" s="194"/>
      <c r="B84" s="10" t="s">
        <v>751</v>
      </c>
      <c r="C84" s="12" t="s">
        <v>754</v>
      </c>
      <c r="D84" s="284">
        <f>ROUNDUP(divertor_drain_thickness/cutting_depth,0)</f>
        <v>1</v>
      </c>
      <c r="E84" s="155" t="s">
        <v>743</v>
      </c>
    </row>
    <row r="85" spans="1:6" outlineLevel="1" x14ac:dyDescent="0.3">
      <c r="A85" s="194"/>
      <c r="B85" s="10" t="s">
        <v>417</v>
      </c>
      <c r="C85" s="12" t="s">
        <v>418</v>
      </c>
      <c r="D85" s="157">
        <f>((divertor_drain_circumference/cutting_speed)*Divertor_Drain_Cutting_Passes)/3600</f>
        <v>1.0471975511965976E-3</v>
      </c>
      <c r="E85" s="155" t="s">
        <v>156</v>
      </c>
      <c r="F85" s="2444" t="str">
        <f>"Or ~"&amp;ROUND((D85*3600),1)&amp;" Seconds per pipe"</f>
        <v>Or ~3.8 Seconds per pipe</v>
      </c>
    </row>
    <row r="86" spans="1:6" outlineLevel="1" x14ac:dyDescent="0.3">
      <c r="A86" s="194"/>
      <c r="C86" s="12"/>
      <c r="D86" s="15"/>
    </row>
    <row r="87" spans="1:6" outlineLevel="1" x14ac:dyDescent="0.3">
      <c r="A87" s="164" t="s">
        <v>2571</v>
      </c>
      <c r="B87" s="10" t="s">
        <v>2496</v>
      </c>
      <c r="C87" s="12"/>
      <c r="D87" s="15">
        <v>4.5</v>
      </c>
      <c r="E87" s="155" t="s">
        <v>741</v>
      </c>
      <c r="F87" s="155" t="s">
        <v>2557</v>
      </c>
    </row>
    <row r="88" spans="1:6" outlineLevel="1" x14ac:dyDescent="0.3">
      <c r="A88" s="194"/>
      <c r="B88" s="10" t="s">
        <v>2403</v>
      </c>
      <c r="C88" s="12" t="s">
        <v>419</v>
      </c>
      <c r="D88" s="15">
        <f>(D87*1000)/60</f>
        <v>75</v>
      </c>
      <c r="E88" s="155" t="s">
        <v>406</v>
      </c>
      <c r="F88" s="155" t="s">
        <v>2556</v>
      </c>
    </row>
    <row r="89" spans="1:6" outlineLevel="1" x14ac:dyDescent="0.3">
      <c r="A89" s="194"/>
      <c r="B89" s="10" t="s">
        <v>739</v>
      </c>
      <c r="C89" s="12" t="s">
        <v>740</v>
      </c>
      <c r="D89" s="2406">
        <v>12.7</v>
      </c>
      <c r="E89" s="155" t="s">
        <v>368</v>
      </c>
      <c r="F89" s="155" t="s">
        <v>2560</v>
      </c>
    </row>
    <row r="90" spans="1:6" outlineLevel="1" x14ac:dyDescent="0.3">
      <c r="A90" s="194" t="s">
        <v>420</v>
      </c>
      <c r="C90" s="12"/>
      <c r="D90" s="15"/>
    </row>
    <row r="91" spans="1:6" outlineLevel="1" x14ac:dyDescent="0.3">
      <c r="A91" s="194"/>
      <c r="B91" s="10" t="s">
        <v>757</v>
      </c>
      <c r="C91" s="12" t="s">
        <v>758</v>
      </c>
      <c r="D91" s="284">
        <f>ROUNDUP(Blanket_coolant_thickness/weld_depth,0)</f>
        <v>1</v>
      </c>
      <c r="E91" s="155" t="s">
        <v>743</v>
      </c>
    </row>
    <row r="92" spans="1:6" outlineLevel="1" x14ac:dyDescent="0.3">
      <c r="A92" s="194"/>
      <c r="B92" s="10" t="s">
        <v>421</v>
      </c>
      <c r="C92" s="12" t="s">
        <v>422</v>
      </c>
      <c r="D92" s="157">
        <f>((Blanket_coolant_circumference/welding_speed)*Blanket_Cooling_Weld_Passes)/3600</f>
        <v>2.2535691301750782E-3</v>
      </c>
      <c r="E92" s="155" t="s">
        <v>156</v>
      </c>
      <c r="F92" s="2444" t="str">
        <f>"Or ~"&amp;ROUND((D92*3600),1)&amp;" Seconds per pipe"</f>
        <v>Or ~8.1 Seconds per pipe</v>
      </c>
    </row>
    <row r="93" spans="1:6" outlineLevel="1" x14ac:dyDescent="0.3">
      <c r="A93" s="194"/>
      <c r="C93" s="12"/>
      <c r="D93" s="157"/>
      <c r="F93" s="2444"/>
    </row>
    <row r="94" spans="1:6" outlineLevel="1" x14ac:dyDescent="0.3">
      <c r="A94" s="194"/>
      <c r="B94" s="10" t="s">
        <v>759</v>
      </c>
      <c r="C94" s="12" t="s">
        <v>760</v>
      </c>
      <c r="D94" s="284">
        <f>ROUNDUP(Blanket_LiPb_thickness/weld_depth,0)</f>
        <v>1</v>
      </c>
      <c r="E94" s="155" t="s">
        <v>743</v>
      </c>
    </row>
    <row r="95" spans="1:6" outlineLevel="1" x14ac:dyDescent="0.3">
      <c r="A95" s="194"/>
      <c r="B95" s="10" t="s">
        <v>423</v>
      </c>
      <c r="C95" s="12" t="s">
        <v>424</v>
      </c>
      <c r="D95" s="157">
        <f>((Blanket_LiPb_circumference/welding_speed)*Blanket_LiPb_Weld_Passes)/3600</f>
        <v>9.0675672405278744E-4</v>
      </c>
      <c r="E95" s="155" t="s">
        <v>156</v>
      </c>
      <c r="F95" s="2444" t="str">
        <f>"Or ~"&amp;ROUND((D95*3600),1)&amp;" Seconds per pipe"</f>
        <v>Or ~3.3 Seconds per pipe</v>
      </c>
    </row>
    <row r="96" spans="1:6" outlineLevel="1" x14ac:dyDescent="0.3">
      <c r="A96" s="194"/>
      <c r="C96" s="12"/>
      <c r="D96" s="157"/>
      <c r="F96" s="2444"/>
    </row>
    <row r="97" spans="1:6" outlineLevel="1" x14ac:dyDescent="0.3">
      <c r="A97" s="194"/>
      <c r="B97" s="10" t="s">
        <v>761</v>
      </c>
      <c r="C97" s="12" t="s">
        <v>762</v>
      </c>
      <c r="D97" s="284">
        <f>ROUNDUP(Blanket_drain_Thickness/weld_depth,0)</f>
        <v>1</v>
      </c>
      <c r="E97" s="155" t="s">
        <v>743</v>
      </c>
    </row>
    <row r="98" spans="1:6" outlineLevel="1" x14ac:dyDescent="0.3">
      <c r="A98" s="194"/>
      <c r="B98" s="10" t="s">
        <v>425</v>
      </c>
      <c r="C98" s="12" t="s">
        <v>426</v>
      </c>
      <c r="D98" s="157">
        <f>((Blanket_drain_circumference/welding_speed)*Blanket_Drain_Weld_Passes)/3600</f>
        <v>9.0675672405278744E-4</v>
      </c>
      <c r="E98" s="155" t="s">
        <v>156</v>
      </c>
      <c r="F98" s="2444" t="str">
        <f>"Or ~"&amp;ROUND((D98*3600),1)&amp;" Seconds per pipe"</f>
        <v>Or ~3.3 Seconds per pipe</v>
      </c>
    </row>
    <row r="99" spans="1:6" outlineLevel="1" x14ac:dyDescent="0.3">
      <c r="A99" s="194"/>
      <c r="C99" s="12"/>
      <c r="D99" s="157"/>
      <c r="F99" s="2444"/>
    </row>
    <row r="100" spans="1:6" outlineLevel="1" x14ac:dyDescent="0.3">
      <c r="A100" s="194"/>
      <c r="B100" s="10" t="s">
        <v>763</v>
      </c>
      <c r="C100" s="12" t="s">
        <v>764</v>
      </c>
      <c r="D100" s="284">
        <f>ROUNDUP(divertor_coolant_thickness/weld_depth,0)</f>
        <v>1</v>
      </c>
      <c r="E100" s="155" t="s">
        <v>743</v>
      </c>
    </row>
    <row r="101" spans="1:6" outlineLevel="1" x14ac:dyDescent="0.3">
      <c r="A101" s="194"/>
      <c r="B101" s="10" t="s">
        <v>427</v>
      </c>
      <c r="C101" s="12" t="s">
        <v>428</v>
      </c>
      <c r="D101" s="157">
        <f>((divertor_coolant_circumference/welding_speed)*D100)/3600</f>
        <v>2.2535691301750782E-3</v>
      </c>
      <c r="E101" s="155" t="s">
        <v>156</v>
      </c>
      <c r="F101" s="2444" t="str">
        <f>"Or ~"&amp;ROUND((D101*3600),1)&amp;" Seconds per pipe"</f>
        <v>Or ~8.1 Seconds per pipe</v>
      </c>
    </row>
    <row r="102" spans="1:6" outlineLevel="1" x14ac:dyDescent="0.3">
      <c r="A102" s="194"/>
      <c r="C102" s="12"/>
      <c r="D102" s="157"/>
      <c r="F102" s="2444"/>
    </row>
    <row r="103" spans="1:6" outlineLevel="1" x14ac:dyDescent="0.3">
      <c r="A103" s="194"/>
      <c r="B103" s="10" t="s">
        <v>765</v>
      </c>
      <c r="C103" s="12" t="s">
        <v>766</v>
      </c>
      <c r="D103" s="284">
        <f>ROUNDUP(Divertor_LiPb_thickness/weld_depth,0)</f>
        <v>1</v>
      </c>
      <c r="E103" s="155" t="s">
        <v>743</v>
      </c>
    </row>
    <row r="104" spans="1:6" outlineLevel="1" x14ac:dyDescent="0.3">
      <c r="A104" s="194"/>
      <c r="B104" s="10" t="s">
        <v>429</v>
      </c>
      <c r="C104" s="12" t="s">
        <v>430</v>
      </c>
      <c r="D104" s="157">
        <f>((Divertor_LiPb_circumference/welding_speed)*Divertor_LiPb_Weld_Passes)/3600</f>
        <v>9.0675672405278744E-4</v>
      </c>
      <c r="E104" s="155" t="s">
        <v>156</v>
      </c>
      <c r="F104" s="2444" t="str">
        <f>"Or ~"&amp;ROUND((D104*3600),1)&amp;" Seconds per pipe"</f>
        <v>Or ~3.3 Seconds per pipe</v>
      </c>
    </row>
    <row r="105" spans="1:6" outlineLevel="1" x14ac:dyDescent="0.3">
      <c r="A105" s="194"/>
      <c r="C105" s="12"/>
      <c r="D105" s="157"/>
      <c r="F105" s="2444"/>
    </row>
    <row r="106" spans="1:6" outlineLevel="1" x14ac:dyDescent="0.3">
      <c r="A106" s="194"/>
      <c r="B106" s="10" t="s">
        <v>767</v>
      </c>
      <c r="C106" s="12" t="s">
        <v>768</v>
      </c>
      <c r="D106" s="284">
        <f>ROUNDUP(divertor_drain_thickness/weld_depth,0)</f>
        <v>1</v>
      </c>
      <c r="E106" s="155" t="s">
        <v>743</v>
      </c>
    </row>
    <row r="107" spans="1:6" outlineLevel="1" x14ac:dyDescent="0.3">
      <c r="A107" s="194"/>
      <c r="B107" s="10" t="s">
        <v>431</v>
      </c>
      <c r="C107" s="12" t="s">
        <v>432</v>
      </c>
      <c r="D107" s="157">
        <f>((divertor_drain_circumference/welding_speed)*Divertor_Drain_Weld_Passes)/3600</f>
        <v>2.3271056693257726E-4</v>
      </c>
      <c r="E107" s="155" t="s">
        <v>156</v>
      </c>
      <c r="F107" s="2444" t="str">
        <f>"Or ~"&amp;ROUND((D107*3600),1)&amp;" Seconds per pipe"</f>
        <v>Or ~0.8 Seconds per pipe</v>
      </c>
    </row>
    <row r="108" spans="1:6" outlineLevel="1" x14ac:dyDescent="0.3">
      <c r="A108" s="194"/>
      <c r="C108" s="12"/>
      <c r="D108" s="157"/>
      <c r="F108" s="2444"/>
    </row>
    <row r="109" spans="1:6" outlineLevel="1" x14ac:dyDescent="0.3">
      <c r="A109" s="194" t="s">
        <v>2542</v>
      </c>
      <c r="B109" s="10" t="s">
        <v>2477</v>
      </c>
      <c r="C109" s="12" t="s">
        <v>2478</v>
      </c>
      <c r="D109" s="14">
        <v>2.7777777777777779E-3</v>
      </c>
      <c r="E109" s="155" t="s">
        <v>75</v>
      </c>
      <c r="F109" s="155" t="s">
        <v>2535</v>
      </c>
    </row>
    <row r="110" spans="1:6" outlineLevel="1" x14ac:dyDescent="0.3">
      <c r="A110" s="194"/>
      <c r="B110" s="10" t="s">
        <v>99</v>
      </c>
      <c r="C110" s="12" t="s">
        <v>100</v>
      </c>
      <c r="D110" s="16">
        <v>1.5</v>
      </c>
      <c r="E110" s="155" t="s">
        <v>75</v>
      </c>
      <c r="F110" s="155" t="s">
        <v>2561</v>
      </c>
    </row>
    <row r="111" spans="1:6" outlineLevel="1" x14ac:dyDescent="0.3">
      <c r="A111" s="194"/>
      <c r="B111" s="10" t="s">
        <v>101</v>
      </c>
      <c r="C111" s="12" t="s">
        <v>456</v>
      </c>
      <c r="D111" s="16">
        <v>0</v>
      </c>
      <c r="E111" s="155" t="s">
        <v>75</v>
      </c>
      <c r="F111" s="155" t="s">
        <v>2538</v>
      </c>
    </row>
    <row r="112" spans="1:6" outlineLevel="1" x14ac:dyDescent="0.3">
      <c r="A112" s="164"/>
      <c r="B112" s="10" t="s">
        <v>2467</v>
      </c>
      <c r="C112" s="10" t="s">
        <v>2468</v>
      </c>
      <c r="D112" s="13">
        <v>0.5</v>
      </c>
      <c r="E112" s="155" t="s">
        <v>75</v>
      </c>
    </row>
    <row r="113" spans="1:6" outlineLevel="1" x14ac:dyDescent="0.3">
      <c r="A113" s="194"/>
      <c r="C113" s="12"/>
      <c r="D113" s="16"/>
    </row>
    <row r="114" spans="1:6" outlineLevel="1" x14ac:dyDescent="0.3">
      <c r="A114" s="194" t="s">
        <v>2541</v>
      </c>
      <c r="B114" s="10" t="s">
        <v>2476</v>
      </c>
      <c r="C114" s="12" t="s">
        <v>2479</v>
      </c>
      <c r="D114" s="14">
        <v>8.3333333333333329E-2</v>
      </c>
      <c r="E114" s="155" t="s">
        <v>75</v>
      </c>
      <c r="F114" s="2444" t="s">
        <v>2537</v>
      </c>
    </row>
    <row r="115" spans="1:6" outlineLevel="1" x14ac:dyDescent="0.3">
      <c r="A115" s="194"/>
      <c r="B115" s="10" t="s">
        <v>2474</v>
      </c>
      <c r="C115" s="10" t="s">
        <v>2480</v>
      </c>
      <c r="D115" s="14">
        <v>8.3333333333333301E-2</v>
      </c>
      <c r="E115" s="10" t="s">
        <v>75</v>
      </c>
      <c r="F115" s="2444" t="s">
        <v>2537</v>
      </c>
    </row>
    <row r="116" spans="1:6" outlineLevel="1" x14ac:dyDescent="0.3">
      <c r="A116" s="164"/>
      <c r="B116" s="10" t="s">
        <v>155</v>
      </c>
      <c r="C116" s="12" t="s">
        <v>454</v>
      </c>
      <c r="D116" s="16">
        <v>1</v>
      </c>
      <c r="E116" s="155" t="s">
        <v>75</v>
      </c>
      <c r="F116" s="155" t="s">
        <v>2540</v>
      </c>
    </row>
    <row r="117" spans="1:6" outlineLevel="1" x14ac:dyDescent="0.3">
      <c r="A117" s="194"/>
      <c r="B117" s="174" t="s">
        <v>154</v>
      </c>
      <c r="C117" s="176" t="s">
        <v>455</v>
      </c>
      <c r="D117" s="2442">
        <f>SUM(D114:D116)</f>
        <v>1.1666666666666665</v>
      </c>
      <c r="E117" s="154" t="s">
        <v>75</v>
      </c>
      <c r="F117" s="155" t="s">
        <v>2539</v>
      </c>
    </row>
    <row r="118" spans="1:6" outlineLevel="1" x14ac:dyDescent="0.3">
      <c r="A118" s="194"/>
      <c r="C118" s="12"/>
      <c r="D118" s="157"/>
      <c r="F118" s="2444"/>
    </row>
    <row r="119" spans="1:6" outlineLevel="1" x14ac:dyDescent="0.3">
      <c r="A119" s="164" t="s">
        <v>2573</v>
      </c>
      <c r="B119" s="10" t="s">
        <v>2455</v>
      </c>
      <c r="C119" s="10" t="s">
        <v>2481</v>
      </c>
      <c r="D119" s="32">
        <v>1.38888888888889E-3</v>
      </c>
      <c r="E119" s="155" t="s">
        <v>75</v>
      </c>
      <c r="F119" s="2444" t="s">
        <v>2536</v>
      </c>
    </row>
    <row r="120" spans="1:6" outlineLevel="1" x14ac:dyDescent="0.3">
      <c r="A120" s="194"/>
      <c r="B120" s="10" t="s">
        <v>2456</v>
      </c>
      <c r="C120" s="10" t="s">
        <v>2482</v>
      </c>
      <c r="D120" s="32">
        <v>1.3888888888888889E-3</v>
      </c>
      <c r="E120" s="155" t="s">
        <v>75</v>
      </c>
      <c r="F120" s="2444" t="s">
        <v>2536</v>
      </c>
    </row>
    <row r="121" spans="1:6" outlineLevel="1" x14ac:dyDescent="0.3">
      <c r="A121" s="194"/>
      <c r="B121" s="10" t="s">
        <v>2483</v>
      </c>
      <c r="C121" s="10" t="s">
        <v>2484</v>
      </c>
      <c r="D121" s="32">
        <v>1.3888888888888889E-3</v>
      </c>
      <c r="E121" s="155" t="s">
        <v>75</v>
      </c>
      <c r="F121" s="2444" t="s">
        <v>2536</v>
      </c>
    </row>
    <row r="122" spans="1:6" x14ac:dyDescent="0.3">
      <c r="A122" s="2430" t="s">
        <v>66</v>
      </c>
      <c r="C122" s="12"/>
      <c r="D122" s="13"/>
    </row>
    <row r="123" spans="1:6" x14ac:dyDescent="0.3">
      <c r="A123" s="2430"/>
      <c r="B123" s="10" t="s">
        <v>67</v>
      </c>
      <c r="C123" s="12" t="s">
        <v>68</v>
      </c>
      <c r="D123" s="15">
        <f>16/24</f>
        <v>0.66666666666666663</v>
      </c>
    </row>
    <row r="124" spans="1:6" x14ac:dyDescent="0.3">
      <c r="A124" s="2430"/>
      <c r="B124" s="10" t="s">
        <v>69</v>
      </c>
      <c r="C124" s="12" t="s">
        <v>70</v>
      </c>
      <c r="D124" s="15">
        <v>0.9</v>
      </c>
      <c r="F124" s="155" t="s">
        <v>2495</v>
      </c>
    </row>
    <row r="125" spans="1:6" x14ac:dyDescent="0.3">
      <c r="A125" s="2430"/>
      <c r="B125" s="10" t="s">
        <v>71</v>
      </c>
      <c r="C125" s="12" t="s">
        <v>72</v>
      </c>
      <c r="D125" s="15">
        <v>0.7</v>
      </c>
      <c r="F125" s="155" t="s">
        <v>2495</v>
      </c>
    </row>
    <row r="126" spans="1:6" x14ac:dyDescent="0.3">
      <c r="A126" s="2430"/>
      <c r="B126" s="10" t="s">
        <v>73</v>
      </c>
      <c r="C126" s="12" t="s">
        <v>74</v>
      </c>
      <c r="D126" s="13">
        <v>0.1</v>
      </c>
      <c r="E126" s="155" t="s">
        <v>75</v>
      </c>
      <c r="F126" s="155" t="s">
        <v>2495</v>
      </c>
    </row>
    <row r="127" spans="1:6" x14ac:dyDescent="0.3">
      <c r="A127" s="2430"/>
      <c r="B127" s="10" t="s">
        <v>76</v>
      </c>
      <c r="C127" s="12" t="s">
        <v>77</v>
      </c>
      <c r="D127" s="13">
        <v>0.1</v>
      </c>
      <c r="E127" s="155" t="s">
        <v>75</v>
      </c>
      <c r="F127" s="155" t="s">
        <v>2495</v>
      </c>
    </row>
    <row r="128" spans="1:6" x14ac:dyDescent="0.3">
      <c r="A128" s="2430"/>
      <c r="C128" s="12"/>
    </row>
    <row r="129" spans="1:6" x14ac:dyDescent="0.3">
      <c r="A129" s="2431" t="s">
        <v>500</v>
      </c>
      <c r="C129" s="12"/>
    </row>
    <row r="130" spans="1:6" ht="13.5" customHeight="1" outlineLevel="1" x14ac:dyDescent="0.3">
      <c r="A130" s="2431" t="s">
        <v>555</v>
      </c>
      <c r="F130" s="155" t="s">
        <v>2401</v>
      </c>
    </row>
    <row r="131" spans="1:6" ht="13.5" customHeight="1" outlineLevel="1" x14ac:dyDescent="0.3">
      <c r="A131" s="2431"/>
      <c r="B131" s="10" t="s">
        <v>158</v>
      </c>
      <c r="C131" s="10" t="s">
        <v>159</v>
      </c>
      <c r="D131" s="31">
        <v>2</v>
      </c>
      <c r="E131" s="155" t="s">
        <v>176</v>
      </c>
    </row>
    <row r="132" spans="1:6" ht="13.5" customHeight="1" outlineLevel="1" x14ac:dyDescent="0.3">
      <c r="A132" s="2431"/>
      <c r="B132" s="10" t="s">
        <v>192</v>
      </c>
      <c r="C132" s="10" t="s">
        <v>193</v>
      </c>
      <c r="D132" s="31">
        <f>ROUNDDOWN((starter_blanket_lifetime/campaign_fpy),0)</f>
        <v>8</v>
      </c>
      <c r="E132" s="155" t="s">
        <v>194</v>
      </c>
    </row>
    <row r="133" spans="1:6" ht="13.5" customHeight="1" outlineLevel="1" x14ac:dyDescent="0.3">
      <c r="A133" s="2431"/>
    </row>
    <row r="134" spans="1:6" ht="13.5" customHeight="1" outlineLevel="1" x14ac:dyDescent="0.3">
      <c r="A134" s="2431"/>
      <c r="B134" s="10" t="s">
        <v>160</v>
      </c>
      <c r="C134" s="10" t="s">
        <v>161</v>
      </c>
      <c r="D134" s="31">
        <v>5</v>
      </c>
      <c r="E134" s="155" t="s">
        <v>176</v>
      </c>
    </row>
    <row r="135" spans="1:6" ht="13.5" customHeight="1" outlineLevel="1" x14ac:dyDescent="0.3">
      <c r="A135" s="2431"/>
      <c r="B135" s="10" t="s">
        <v>195</v>
      </c>
      <c r="C135" s="10" t="s">
        <v>196</v>
      </c>
      <c r="D135" s="31">
        <f>ROUNDDOWN((second_blanket_lifetime/campaign_fpy),0)</f>
        <v>20</v>
      </c>
      <c r="E135" s="155" t="s">
        <v>194</v>
      </c>
    </row>
    <row r="136" spans="1:6" ht="13.5" customHeight="1" outlineLevel="1" x14ac:dyDescent="0.3">
      <c r="A136" s="2431" t="s">
        <v>162</v>
      </c>
    </row>
    <row r="137" spans="1:6" ht="13.5" customHeight="1" outlineLevel="1" x14ac:dyDescent="0.3">
      <c r="A137" s="2431"/>
      <c r="B137" s="10" t="s">
        <v>162</v>
      </c>
      <c r="C137" s="10" t="s">
        <v>163</v>
      </c>
      <c r="D137" s="31">
        <v>2</v>
      </c>
      <c r="E137" s="155" t="s">
        <v>176</v>
      </c>
    </row>
    <row r="138" spans="1:6" outlineLevel="1" x14ac:dyDescent="0.3">
      <c r="A138" s="2431"/>
      <c r="B138" s="10" t="s">
        <v>197</v>
      </c>
      <c r="C138" s="10" t="s">
        <v>198</v>
      </c>
      <c r="D138" s="31">
        <f>ROUNDDOWN((divertor_cassette_lifetime/campaign_fpy),0)</f>
        <v>8</v>
      </c>
      <c r="E138" s="155" t="s">
        <v>194</v>
      </c>
    </row>
    <row r="139" spans="1:6" outlineLevel="1" x14ac:dyDescent="0.3">
      <c r="A139" s="2431" t="s">
        <v>475</v>
      </c>
      <c r="E139" s="10"/>
    </row>
    <row r="140" spans="1:6" outlineLevel="1" x14ac:dyDescent="0.3">
      <c r="A140" s="2431"/>
      <c r="B140" s="10" t="s">
        <v>474</v>
      </c>
      <c r="C140" s="12" t="s">
        <v>473</v>
      </c>
      <c r="D140" s="13">
        <v>5</v>
      </c>
      <c r="E140" s="155" t="s">
        <v>472</v>
      </c>
    </row>
    <row r="141" spans="1:6" outlineLevel="1" x14ac:dyDescent="0.3">
      <c r="A141" s="2431"/>
      <c r="B141" s="10" t="s">
        <v>471</v>
      </c>
      <c r="C141" s="12" t="s">
        <v>470</v>
      </c>
      <c r="D141" s="13">
        <v>0.83</v>
      </c>
      <c r="E141" s="155" t="s">
        <v>75</v>
      </c>
    </row>
    <row r="142" spans="1:6" outlineLevel="1" x14ac:dyDescent="0.3">
      <c r="A142" s="2431"/>
      <c r="B142" s="10" t="s">
        <v>469</v>
      </c>
      <c r="C142" s="12" t="s">
        <v>468</v>
      </c>
      <c r="D142" s="10">
        <v>0.6</v>
      </c>
      <c r="E142" s="155" t="s">
        <v>75</v>
      </c>
    </row>
    <row r="143" spans="1:6" outlineLevel="1" x14ac:dyDescent="0.3">
      <c r="A143" s="2431"/>
      <c r="E143" s="10"/>
    </row>
    <row r="144" spans="1:6" outlineLevel="1" x14ac:dyDescent="0.3">
      <c r="A144" s="2431"/>
      <c r="B144" s="12" t="s">
        <v>467</v>
      </c>
      <c r="C144" s="12" t="s">
        <v>466</v>
      </c>
      <c r="D144" s="13">
        <v>4</v>
      </c>
      <c r="E144" s="155" t="s">
        <v>465</v>
      </c>
    </row>
    <row r="145" spans="1:6" outlineLevel="1" x14ac:dyDescent="0.3">
      <c r="A145" s="2431"/>
      <c r="B145" s="12" t="s">
        <v>464</v>
      </c>
      <c r="C145" s="12" t="s">
        <v>463</v>
      </c>
      <c r="D145" s="13">
        <v>0.6</v>
      </c>
      <c r="E145" s="155" t="s">
        <v>75</v>
      </c>
    </row>
    <row r="146" spans="1:6" outlineLevel="1" x14ac:dyDescent="0.3">
      <c r="A146" s="2431"/>
      <c r="B146" s="12" t="s">
        <v>462</v>
      </c>
      <c r="C146" s="12" t="s">
        <v>461</v>
      </c>
      <c r="D146" s="2473">
        <v>0.6</v>
      </c>
      <c r="E146" s="155" t="s">
        <v>75</v>
      </c>
    </row>
    <row r="147" spans="1:6" outlineLevel="1" x14ac:dyDescent="0.3">
      <c r="A147" s="2431"/>
      <c r="D147" s="31"/>
      <c r="E147" s="10"/>
    </row>
    <row r="148" spans="1:6" outlineLevel="1" x14ac:dyDescent="0.3">
      <c r="A148" s="2431"/>
      <c r="B148" s="10" t="s">
        <v>460</v>
      </c>
      <c r="C148" s="10" t="s">
        <v>459</v>
      </c>
      <c r="D148" s="10">
        <v>0.5</v>
      </c>
      <c r="E148" s="155" t="s">
        <v>75</v>
      </c>
    </row>
    <row r="149" spans="1:6" outlineLevel="1" x14ac:dyDescent="0.3">
      <c r="A149" s="2431"/>
      <c r="B149" s="10" t="s">
        <v>458</v>
      </c>
      <c r="C149" s="10" t="s">
        <v>457</v>
      </c>
      <c r="D149" s="10">
        <v>0.5</v>
      </c>
      <c r="E149" s="155" t="s">
        <v>75</v>
      </c>
    </row>
    <row r="150" spans="1:6" outlineLevel="1" x14ac:dyDescent="0.3">
      <c r="A150" s="2431" t="s">
        <v>501</v>
      </c>
    </row>
    <row r="151" spans="1:6" outlineLevel="1" x14ac:dyDescent="0.3">
      <c r="A151" s="2434" t="s">
        <v>629</v>
      </c>
      <c r="B151" s="10" t="s">
        <v>502</v>
      </c>
      <c r="C151" s="10" t="s">
        <v>503</v>
      </c>
      <c r="D151" s="10">
        <v>4</v>
      </c>
      <c r="E151" s="155" t="s">
        <v>504</v>
      </c>
    </row>
    <row r="152" spans="1:6" outlineLevel="1" x14ac:dyDescent="0.3">
      <c r="A152" s="2431"/>
      <c r="B152" s="10" t="s">
        <v>626</v>
      </c>
      <c r="C152" s="10" t="s">
        <v>624</v>
      </c>
      <c r="D152" s="10">
        <v>0.2</v>
      </c>
      <c r="E152" s="155" t="s">
        <v>628</v>
      </c>
    </row>
    <row r="153" spans="1:6" outlineLevel="1" x14ac:dyDescent="0.3">
      <c r="A153" s="2431"/>
      <c r="B153" s="10" t="s">
        <v>627</v>
      </c>
      <c r="C153" s="10" t="s">
        <v>625</v>
      </c>
      <c r="D153" s="10">
        <v>0.4</v>
      </c>
      <c r="E153" s="155" t="s">
        <v>628</v>
      </c>
    </row>
    <row r="154" spans="1:6" outlineLevel="1" x14ac:dyDescent="0.3">
      <c r="A154" s="2434"/>
      <c r="E154" s="10"/>
    </row>
    <row r="155" spans="1:6" outlineLevel="1" x14ac:dyDescent="0.3">
      <c r="A155" s="2434" t="s">
        <v>652</v>
      </c>
      <c r="B155" s="10" t="s">
        <v>637</v>
      </c>
      <c r="C155" s="10" t="s">
        <v>615</v>
      </c>
      <c r="D155" s="10">
        <v>1</v>
      </c>
      <c r="E155" s="10" t="s">
        <v>616</v>
      </c>
      <c r="F155" s="155" t="s">
        <v>2545</v>
      </c>
    </row>
    <row r="156" spans="1:6" outlineLevel="1" x14ac:dyDescent="0.3">
      <c r="A156" s="2434"/>
      <c r="B156" s="10" t="s">
        <v>606</v>
      </c>
      <c r="C156" s="10" t="s">
        <v>608</v>
      </c>
      <c r="D156" s="2487">
        <v>20</v>
      </c>
      <c r="E156" s="155" t="s">
        <v>472</v>
      </c>
      <c r="F156" s="155" t="s">
        <v>2548</v>
      </c>
    </row>
    <row r="157" spans="1:6" outlineLevel="1" x14ac:dyDescent="0.3">
      <c r="A157" s="2431"/>
      <c r="E157" s="10"/>
    </row>
    <row r="158" spans="1:6" outlineLevel="1" x14ac:dyDescent="0.3">
      <c r="A158" s="2434" t="s">
        <v>653</v>
      </c>
      <c r="B158" s="10" t="s">
        <v>650</v>
      </c>
      <c r="C158" s="10" t="s">
        <v>651</v>
      </c>
      <c r="D158" s="10">
        <v>1</v>
      </c>
      <c r="E158" s="155" t="s">
        <v>614</v>
      </c>
      <c r="F158" s="155" t="s">
        <v>2544</v>
      </c>
    </row>
    <row r="159" spans="1:6" outlineLevel="1" x14ac:dyDescent="0.3">
      <c r="A159" s="2431"/>
      <c r="B159" s="10" t="s">
        <v>610</v>
      </c>
      <c r="C159" s="10" t="s">
        <v>607</v>
      </c>
      <c r="D159" s="10">
        <v>8.3000000000000004E-2</v>
      </c>
      <c r="E159" s="155" t="s">
        <v>156</v>
      </c>
      <c r="F159" s="2443"/>
    </row>
    <row r="160" spans="1:6" outlineLevel="1" x14ac:dyDescent="0.3">
      <c r="A160" s="2431"/>
      <c r="B160" s="10" t="s">
        <v>620</v>
      </c>
      <c r="C160" s="10" t="s">
        <v>619</v>
      </c>
      <c r="D160" s="10">
        <v>0.1</v>
      </c>
      <c r="E160" s="155" t="s">
        <v>75</v>
      </c>
      <c r="F160" s="155" t="s">
        <v>2549</v>
      </c>
    </row>
    <row r="161" spans="1:6" outlineLevel="1" x14ac:dyDescent="0.3">
      <c r="A161" s="2431"/>
      <c r="E161" s="10"/>
    </row>
    <row r="162" spans="1:6" outlineLevel="1" x14ac:dyDescent="0.3">
      <c r="A162" s="2434" t="s">
        <v>654</v>
      </c>
      <c r="B162" s="10" t="s">
        <v>612</v>
      </c>
      <c r="C162" s="10" t="s">
        <v>613</v>
      </c>
      <c r="D162" s="10">
        <v>1</v>
      </c>
      <c r="E162" s="155" t="s">
        <v>614</v>
      </c>
      <c r="F162" s="155" t="s">
        <v>2543</v>
      </c>
    </row>
    <row r="163" spans="1:6" outlineLevel="1" x14ac:dyDescent="0.3">
      <c r="A163" s="2431"/>
      <c r="B163" s="10" t="s">
        <v>621</v>
      </c>
      <c r="C163" s="10" t="s">
        <v>622</v>
      </c>
      <c r="D163" s="10">
        <v>0.3</v>
      </c>
      <c r="E163" s="155" t="s">
        <v>75</v>
      </c>
      <c r="F163" s="155" t="s">
        <v>2550</v>
      </c>
    </row>
    <row r="164" spans="1:6" outlineLevel="1" x14ac:dyDescent="0.3">
      <c r="A164" s="2431"/>
      <c r="B164" s="10" t="s">
        <v>617</v>
      </c>
      <c r="C164" s="10" t="s">
        <v>618</v>
      </c>
      <c r="D164" s="10">
        <v>0.16700000000000001</v>
      </c>
      <c r="E164" s="155" t="s">
        <v>156</v>
      </c>
    </row>
    <row r="165" spans="1:6" outlineLevel="1" x14ac:dyDescent="0.3">
      <c r="A165" s="2431"/>
      <c r="B165" s="10" t="s">
        <v>609</v>
      </c>
      <c r="C165" s="10" t="s">
        <v>611</v>
      </c>
      <c r="D165" s="10">
        <v>0.16700000000000001</v>
      </c>
      <c r="E165" s="155" t="s">
        <v>156</v>
      </c>
    </row>
    <row r="166" spans="1:6" outlineLevel="1" x14ac:dyDescent="0.3">
      <c r="A166" s="2431" t="s">
        <v>658</v>
      </c>
    </row>
    <row r="167" spans="1:6" outlineLevel="1" x14ac:dyDescent="0.3">
      <c r="A167" s="2434" t="s">
        <v>655</v>
      </c>
      <c r="B167" s="10" t="s">
        <v>638</v>
      </c>
      <c r="C167" s="10" t="s">
        <v>639</v>
      </c>
      <c r="D167" s="10">
        <v>1</v>
      </c>
      <c r="E167" s="10" t="s">
        <v>616</v>
      </c>
      <c r="F167" s="155" t="s">
        <v>2546</v>
      </c>
    </row>
    <row r="168" spans="1:6" outlineLevel="1" x14ac:dyDescent="0.3">
      <c r="A168" s="2434"/>
      <c r="B168" s="10" t="s">
        <v>632</v>
      </c>
      <c r="C168" s="10" t="s">
        <v>630</v>
      </c>
      <c r="D168" s="2487">
        <v>60</v>
      </c>
      <c r="E168" s="155" t="s">
        <v>631</v>
      </c>
      <c r="F168" s="155" t="s">
        <v>2547</v>
      </c>
    </row>
    <row r="169" spans="1:6" outlineLevel="1" x14ac:dyDescent="0.3">
      <c r="A169" s="2434"/>
      <c r="E169" s="10"/>
    </row>
    <row r="170" spans="1:6" outlineLevel="1" x14ac:dyDescent="0.3">
      <c r="A170" s="2434" t="s">
        <v>657</v>
      </c>
      <c r="B170" s="10" t="s">
        <v>649</v>
      </c>
      <c r="C170" s="10" t="s">
        <v>648</v>
      </c>
      <c r="D170" s="10">
        <v>1</v>
      </c>
      <c r="E170" s="155" t="s">
        <v>614</v>
      </c>
      <c r="F170" s="155" t="s">
        <v>2544</v>
      </c>
    </row>
    <row r="171" spans="1:6" outlineLevel="1" x14ac:dyDescent="0.3">
      <c r="A171" s="2434"/>
      <c r="B171" s="10" t="s">
        <v>635</v>
      </c>
      <c r="C171" s="10" t="s">
        <v>633</v>
      </c>
      <c r="D171" s="10">
        <v>8.3000000000000004E-2</v>
      </c>
      <c r="E171" s="155" t="s">
        <v>156</v>
      </c>
    </row>
    <row r="172" spans="1:6" outlineLevel="1" x14ac:dyDescent="0.3">
      <c r="A172" s="2434"/>
      <c r="B172" s="10" t="s">
        <v>636</v>
      </c>
      <c r="C172" s="10" t="s">
        <v>634</v>
      </c>
      <c r="D172" s="10">
        <v>0.1</v>
      </c>
      <c r="E172" s="155" t="s">
        <v>75</v>
      </c>
      <c r="F172" s="155" t="s">
        <v>2549</v>
      </c>
    </row>
    <row r="173" spans="1:6" outlineLevel="1" x14ac:dyDescent="0.3">
      <c r="A173" s="2434"/>
    </row>
    <row r="174" spans="1:6" outlineLevel="1" x14ac:dyDescent="0.3">
      <c r="A174" s="2434" t="s">
        <v>656</v>
      </c>
      <c r="B174" s="10" t="s">
        <v>640</v>
      </c>
      <c r="C174" s="10" t="s">
        <v>644</v>
      </c>
      <c r="D174" s="10">
        <v>1</v>
      </c>
      <c r="E174" s="155" t="s">
        <v>614</v>
      </c>
      <c r="F174" s="155" t="s">
        <v>2543</v>
      </c>
    </row>
    <row r="175" spans="1:6" outlineLevel="1" x14ac:dyDescent="0.3">
      <c r="A175" s="2431"/>
      <c r="B175" s="10" t="s">
        <v>641</v>
      </c>
      <c r="C175" s="10" t="s">
        <v>645</v>
      </c>
      <c r="D175" s="10">
        <v>0.3</v>
      </c>
      <c r="E175" s="155" t="s">
        <v>75</v>
      </c>
      <c r="F175" s="155" t="s">
        <v>2550</v>
      </c>
    </row>
    <row r="176" spans="1:6" outlineLevel="1" x14ac:dyDescent="0.3">
      <c r="A176" s="2431"/>
      <c r="B176" s="10" t="s">
        <v>642</v>
      </c>
      <c r="C176" s="10" t="s">
        <v>646</v>
      </c>
      <c r="D176" s="10">
        <v>0.16700000000000001</v>
      </c>
      <c r="E176" s="155" t="s">
        <v>156</v>
      </c>
    </row>
    <row r="177" spans="1:6" outlineLevel="1" x14ac:dyDescent="0.3">
      <c r="A177" s="2431"/>
      <c r="B177" s="10" t="s">
        <v>643</v>
      </c>
      <c r="C177" s="10" t="s">
        <v>647</v>
      </c>
      <c r="D177" s="10">
        <v>0.16700000000000001</v>
      </c>
      <c r="E177" s="155" t="s">
        <v>156</v>
      </c>
    </row>
    <row r="178" spans="1:6" outlineLevel="1" x14ac:dyDescent="0.3">
      <c r="A178" s="2431" t="s">
        <v>681</v>
      </c>
    </row>
    <row r="179" spans="1:6" outlineLevel="1" x14ac:dyDescent="0.3">
      <c r="A179" s="2431"/>
      <c r="B179" s="10" t="s">
        <v>661</v>
      </c>
      <c r="C179" s="10" t="s">
        <v>662</v>
      </c>
      <c r="D179" s="10">
        <v>1</v>
      </c>
      <c r="E179" s="10" t="s">
        <v>663</v>
      </c>
      <c r="F179" s="155" t="s">
        <v>2564</v>
      </c>
    </row>
    <row r="180" spans="1:6" outlineLevel="1" x14ac:dyDescent="0.3">
      <c r="A180" s="2431"/>
      <c r="B180" s="10" t="s">
        <v>659</v>
      </c>
      <c r="C180" s="10" t="s">
        <v>660</v>
      </c>
      <c r="D180" s="10">
        <v>15</v>
      </c>
      <c r="E180" s="155" t="s">
        <v>631</v>
      </c>
      <c r="F180" s="155" t="s">
        <v>2563</v>
      </c>
    </row>
    <row r="181" spans="1:6" outlineLevel="1" x14ac:dyDescent="0.3">
      <c r="A181" s="2431"/>
    </row>
    <row r="182" spans="1:6" outlineLevel="1" x14ac:dyDescent="0.3">
      <c r="A182" s="2434" t="s">
        <v>680</v>
      </c>
      <c r="B182" s="10" t="s">
        <v>682</v>
      </c>
      <c r="C182" s="10" t="s">
        <v>683</v>
      </c>
      <c r="D182" s="10">
        <v>10</v>
      </c>
      <c r="E182" s="10" t="s">
        <v>631</v>
      </c>
      <c r="F182" s="155" t="s">
        <v>2562</v>
      </c>
    </row>
    <row r="183" spans="1:6" outlineLevel="1" x14ac:dyDescent="0.3">
      <c r="A183" s="2431"/>
      <c r="E183" s="10"/>
    </row>
    <row r="184" spans="1:6" outlineLevel="1" x14ac:dyDescent="0.3">
      <c r="A184" s="2434" t="s">
        <v>664</v>
      </c>
      <c r="B184" s="10" t="s">
        <v>666</v>
      </c>
      <c r="C184" s="10" t="s">
        <v>667</v>
      </c>
      <c r="D184" s="10">
        <v>1</v>
      </c>
      <c r="E184" s="155" t="s">
        <v>614</v>
      </c>
    </row>
    <row r="185" spans="1:6" outlineLevel="1" x14ac:dyDescent="0.3">
      <c r="A185" s="2434"/>
      <c r="B185" s="10" t="s">
        <v>668</v>
      </c>
      <c r="C185" s="10" t="s">
        <v>669</v>
      </c>
      <c r="D185" s="10">
        <v>8.3000000000000004E-2</v>
      </c>
      <c r="E185" s="155" t="s">
        <v>156</v>
      </c>
    </row>
    <row r="186" spans="1:6" outlineLevel="1" x14ac:dyDescent="0.3">
      <c r="A186" s="2434"/>
      <c r="B186" s="10" t="s">
        <v>670</v>
      </c>
      <c r="C186" s="10" t="s">
        <v>671</v>
      </c>
      <c r="D186" s="10">
        <v>0.1</v>
      </c>
      <c r="E186" s="155" t="s">
        <v>75</v>
      </c>
    </row>
    <row r="187" spans="1:6" outlineLevel="1" x14ac:dyDescent="0.3">
      <c r="A187" s="2434"/>
    </row>
    <row r="188" spans="1:6" outlineLevel="1" x14ac:dyDescent="0.3">
      <c r="A188" s="2434" t="s">
        <v>665</v>
      </c>
      <c r="B188" s="10" t="s">
        <v>672</v>
      </c>
      <c r="C188" s="10" t="s">
        <v>673</v>
      </c>
      <c r="D188" s="10">
        <v>1</v>
      </c>
      <c r="E188" s="155" t="s">
        <v>614</v>
      </c>
    </row>
    <row r="189" spans="1:6" outlineLevel="1" x14ac:dyDescent="0.3">
      <c r="A189" s="2431"/>
      <c r="B189" s="10" t="s">
        <v>674</v>
      </c>
      <c r="C189" s="10" t="s">
        <v>675</v>
      </c>
      <c r="D189" s="10">
        <v>0.3</v>
      </c>
      <c r="E189" s="155" t="s">
        <v>75</v>
      </c>
    </row>
    <row r="190" spans="1:6" outlineLevel="1" x14ac:dyDescent="0.3">
      <c r="A190" s="2431"/>
      <c r="B190" s="10" t="s">
        <v>676</v>
      </c>
      <c r="C190" s="10" t="s">
        <v>677</v>
      </c>
      <c r="D190" s="10">
        <v>0.16700000000000001</v>
      </c>
      <c r="E190" s="155" t="s">
        <v>156</v>
      </c>
    </row>
    <row r="191" spans="1:6" outlineLevel="1" x14ac:dyDescent="0.3">
      <c r="A191" s="2431"/>
      <c r="B191" s="10" t="s">
        <v>678</v>
      </c>
      <c r="C191" s="10" t="s">
        <v>679</v>
      </c>
      <c r="D191" s="10">
        <v>0.16700000000000001</v>
      </c>
      <c r="E191" s="155" t="s">
        <v>156</v>
      </c>
    </row>
    <row r="192" spans="1:6" outlineLevel="1" x14ac:dyDescent="0.3">
      <c r="A192" s="2431"/>
    </row>
    <row r="193" spans="1:6" x14ac:dyDescent="0.3">
      <c r="A193" s="2435" t="s">
        <v>78</v>
      </c>
      <c r="C193" s="12"/>
      <c r="D193" s="16"/>
      <c r="E193" s="156"/>
    </row>
    <row r="194" spans="1:6" x14ac:dyDescent="0.3">
      <c r="A194" s="2436" t="s">
        <v>79</v>
      </c>
      <c r="E194" s="10"/>
    </row>
    <row r="195" spans="1:6" x14ac:dyDescent="0.3">
      <c r="A195" s="2436"/>
      <c r="B195" s="10" t="s">
        <v>80</v>
      </c>
      <c r="C195" s="10" t="s">
        <v>81</v>
      </c>
      <c r="D195" s="13">
        <v>0.02</v>
      </c>
      <c r="E195" s="155" t="s">
        <v>82</v>
      </c>
      <c r="F195" s="155" t="s">
        <v>83</v>
      </c>
    </row>
    <row r="196" spans="1:6" x14ac:dyDescent="0.3">
      <c r="A196" s="2436"/>
      <c r="B196" s="10" t="s">
        <v>84</v>
      </c>
      <c r="C196" s="12" t="s">
        <v>85</v>
      </c>
      <c r="D196" s="13">
        <v>36</v>
      </c>
      <c r="E196" s="155" t="s">
        <v>65</v>
      </c>
      <c r="F196" s="155" t="s">
        <v>83</v>
      </c>
    </row>
    <row r="197" spans="1:6" x14ac:dyDescent="0.3">
      <c r="A197" s="2436"/>
      <c r="B197" s="10" t="s">
        <v>86</v>
      </c>
      <c r="C197" s="12" t="s">
        <v>87</v>
      </c>
      <c r="D197" s="13">
        <v>0.01</v>
      </c>
      <c r="E197" s="155" t="s">
        <v>82</v>
      </c>
      <c r="F197" s="155" t="s">
        <v>2495</v>
      </c>
    </row>
    <row r="198" spans="1:6" x14ac:dyDescent="0.3">
      <c r="A198" s="2436"/>
      <c r="B198" s="10" t="s">
        <v>88</v>
      </c>
      <c r="C198" s="12" t="s">
        <v>89</v>
      </c>
      <c r="D198" s="13">
        <v>0.5</v>
      </c>
      <c r="E198" s="155" t="s">
        <v>90</v>
      </c>
      <c r="F198" s="155" t="s">
        <v>2495</v>
      </c>
    </row>
    <row r="199" spans="1:6" x14ac:dyDescent="0.3">
      <c r="A199" s="2436"/>
      <c r="B199" s="10" t="s">
        <v>91</v>
      </c>
      <c r="C199" s="12" t="s">
        <v>92</v>
      </c>
      <c r="D199" s="13">
        <v>0.2</v>
      </c>
      <c r="E199" s="155" t="s">
        <v>75</v>
      </c>
      <c r="F199" s="155" t="s">
        <v>2495</v>
      </c>
    </row>
    <row r="200" spans="1:6" x14ac:dyDescent="0.3">
      <c r="A200" s="2436"/>
      <c r="B200" s="10" t="s">
        <v>93</v>
      </c>
      <c r="C200" s="12" t="s">
        <v>94</v>
      </c>
      <c r="D200" s="13">
        <v>2.5000000000000001E-2</v>
      </c>
      <c r="E200" s="155" t="s">
        <v>82</v>
      </c>
      <c r="F200" s="155" t="s">
        <v>2495</v>
      </c>
    </row>
    <row r="201" spans="1:6" x14ac:dyDescent="0.3">
      <c r="A201" s="2436"/>
      <c r="B201" s="10" t="s">
        <v>95</v>
      </c>
      <c r="C201" s="12" t="s">
        <v>96</v>
      </c>
      <c r="D201" s="13">
        <v>5</v>
      </c>
      <c r="E201" s="155" t="s">
        <v>90</v>
      </c>
      <c r="F201" s="155" t="s">
        <v>2495</v>
      </c>
    </row>
    <row r="202" spans="1:6" x14ac:dyDescent="0.3">
      <c r="A202" s="2436"/>
      <c r="B202" s="10" t="s">
        <v>97</v>
      </c>
      <c r="C202" s="12" t="s">
        <v>98</v>
      </c>
      <c r="D202" s="13">
        <v>0.1</v>
      </c>
      <c r="E202" s="155" t="s">
        <v>82</v>
      </c>
      <c r="F202" s="155" t="s">
        <v>2495</v>
      </c>
    </row>
    <row r="203" spans="1:6" x14ac:dyDescent="0.3">
      <c r="A203" s="2436"/>
      <c r="C203" s="12"/>
      <c r="D203" s="13"/>
    </row>
    <row r="204" spans="1:6" x14ac:dyDescent="0.3">
      <c r="A204" s="2436" t="s">
        <v>2448</v>
      </c>
      <c r="B204" s="10" t="s">
        <v>2449</v>
      </c>
      <c r="C204" s="12" t="s">
        <v>2450</v>
      </c>
      <c r="D204" s="13">
        <v>0.02</v>
      </c>
      <c r="E204" s="155" t="s">
        <v>82</v>
      </c>
      <c r="F204" s="155" t="s">
        <v>2565</v>
      </c>
    </row>
    <row r="205" spans="1:6" x14ac:dyDescent="0.3">
      <c r="A205" s="2436"/>
      <c r="B205" s="10" t="s">
        <v>2452</v>
      </c>
      <c r="C205" s="12" t="s">
        <v>2451</v>
      </c>
      <c r="D205" s="13">
        <v>0.2</v>
      </c>
      <c r="E205" s="155" t="s">
        <v>82</v>
      </c>
      <c r="F205" s="155" t="s">
        <v>2565</v>
      </c>
    </row>
    <row r="206" spans="1:6" x14ac:dyDescent="0.3">
      <c r="A206" s="2436"/>
      <c r="B206" s="10" t="s">
        <v>2453</v>
      </c>
      <c r="C206" s="12" t="s">
        <v>2454</v>
      </c>
      <c r="D206" s="13">
        <v>0.01</v>
      </c>
      <c r="E206" s="155" t="s">
        <v>82</v>
      </c>
      <c r="F206" s="155" t="s">
        <v>2566</v>
      </c>
    </row>
    <row r="207" spans="1:6" x14ac:dyDescent="0.3">
      <c r="A207" s="2436"/>
      <c r="C207" s="12"/>
      <c r="D207" s="13"/>
    </row>
    <row r="208" spans="1:6" x14ac:dyDescent="0.3">
      <c r="A208" s="2436" t="s">
        <v>2431</v>
      </c>
      <c r="B208" s="10" t="s">
        <v>2526</v>
      </c>
      <c r="C208" s="10" t="s">
        <v>2436</v>
      </c>
      <c r="D208" s="12">
        <v>0.02</v>
      </c>
      <c r="E208" s="155" t="s">
        <v>2435</v>
      </c>
      <c r="F208" s="155" t="s">
        <v>2565</v>
      </c>
    </row>
    <row r="209" spans="1:6" x14ac:dyDescent="0.3">
      <c r="A209" s="2436"/>
      <c r="B209" s="10" t="s">
        <v>2237</v>
      </c>
      <c r="C209" s="10" t="s">
        <v>2438</v>
      </c>
      <c r="D209" s="12">
        <v>0.2</v>
      </c>
      <c r="E209" s="155" t="s">
        <v>2435</v>
      </c>
      <c r="F209" s="155" t="s">
        <v>2565</v>
      </c>
    </row>
    <row r="210" spans="1:6" x14ac:dyDescent="0.3">
      <c r="A210" s="2436"/>
      <c r="B210" s="10" t="s">
        <v>2238</v>
      </c>
      <c r="C210" s="10" t="s">
        <v>2437</v>
      </c>
      <c r="D210" s="12">
        <v>0.06</v>
      </c>
      <c r="E210" s="155" t="s">
        <v>2435</v>
      </c>
      <c r="F210" s="155" t="s">
        <v>2565</v>
      </c>
    </row>
    <row r="211" spans="1:6" x14ac:dyDescent="0.3">
      <c r="A211" s="2436"/>
      <c r="D211" s="12"/>
    </row>
    <row r="212" spans="1:6" x14ac:dyDescent="0.3">
      <c r="A212" s="2436" t="s">
        <v>2421</v>
      </c>
      <c r="B212" s="10" t="s">
        <v>2423</v>
      </c>
      <c r="C212" s="10" t="s">
        <v>2439</v>
      </c>
      <c r="D212" s="12">
        <v>0.02</v>
      </c>
      <c r="E212" s="155" t="s">
        <v>2435</v>
      </c>
      <c r="F212" s="155" t="s">
        <v>2565</v>
      </c>
    </row>
    <row r="213" spans="1:6" x14ac:dyDescent="0.3">
      <c r="A213" s="2436"/>
      <c r="B213" s="10" t="s">
        <v>2424</v>
      </c>
      <c r="C213" s="10" t="s">
        <v>2440</v>
      </c>
      <c r="D213" s="12">
        <v>0.2</v>
      </c>
      <c r="E213" s="155" t="s">
        <v>2435</v>
      </c>
      <c r="F213" s="155" t="s">
        <v>2565</v>
      </c>
    </row>
    <row r="214" spans="1:6" x14ac:dyDescent="0.3">
      <c r="A214" s="2436"/>
      <c r="B214" s="10" t="s">
        <v>2425</v>
      </c>
      <c r="C214" s="10" t="s">
        <v>2441</v>
      </c>
      <c r="D214" s="10">
        <v>0.06</v>
      </c>
      <c r="E214" s="155" t="s">
        <v>2435</v>
      </c>
      <c r="F214" s="155" t="s">
        <v>2565</v>
      </c>
    </row>
    <row r="215" spans="1:6" x14ac:dyDescent="0.3">
      <c r="A215" s="2436"/>
      <c r="E215" s="10"/>
      <c r="F215" s="2443"/>
    </row>
    <row r="216" spans="1:6" x14ac:dyDescent="0.3">
      <c r="A216" s="2436" t="s">
        <v>2422</v>
      </c>
      <c r="B216" s="10" t="s">
        <v>2426</v>
      </c>
      <c r="C216" s="10" t="s">
        <v>2442</v>
      </c>
      <c r="D216" s="10">
        <v>0.02</v>
      </c>
      <c r="E216" s="155" t="s">
        <v>2435</v>
      </c>
      <c r="F216" s="155" t="s">
        <v>2565</v>
      </c>
    </row>
    <row r="217" spans="1:6" x14ac:dyDescent="0.3">
      <c r="A217" s="2436"/>
      <c r="B217" s="10" t="s">
        <v>2427</v>
      </c>
      <c r="C217" s="10" t="s">
        <v>2443</v>
      </c>
      <c r="D217" s="10">
        <v>0.01</v>
      </c>
      <c r="E217" s="155" t="s">
        <v>2435</v>
      </c>
      <c r="F217" s="155" t="s">
        <v>2565</v>
      </c>
    </row>
    <row r="218" spans="1:6" x14ac:dyDescent="0.3">
      <c r="A218" s="2436"/>
      <c r="B218" s="10" t="s">
        <v>2428</v>
      </c>
      <c r="C218" s="10" t="s">
        <v>2444</v>
      </c>
      <c r="D218" s="10">
        <v>0.05</v>
      </c>
      <c r="E218" s="155" t="s">
        <v>2435</v>
      </c>
      <c r="F218" s="155" t="s">
        <v>2495</v>
      </c>
    </row>
    <row r="219" spans="1:6" x14ac:dyDescent="0.3">
      <c r="A219" s="2436"/>
      <c r="E219" s="10"/>
      <c r="F219" s="2443"/>
    </row>
    <row r="220" spans="1:6" x14ac:dyDescent="0.3">
      <c r="A220" s="2437" t="s">
        <v>2645</v>
      </c>
      <c r="B220" s="10" t="s">
        <v>2624</v>
      </c>
      <c r="C220" s="10" t="s">
        <v>2623</v>
      </c>
      <c r="D220" s="10">
        <v>0.01</v>
      </c>
      <c r="E220" s="155" t="s">
        <v>2435</v>
      </c>
      <c r="F220" s="155" t="s">
        <v>2566</v>
      </c>
    </row>
    <row r="221" spans="1:6" x14ac:dyDescent="0.3">
      <c r="A221" s="2437"/>
      <c r="B221" s="10" t="s">
        <v>2625</v>
      </c>
      <c r="C221" s="10" t="s">
        <v>2626</v>
      </c>
      <c r="D221" s="10">
        <v>0.2</v>
      </c>
      <c r="E221" s="155" t="s">
        <v>2435</v>
      </c>
      <c r="F221" s="155" t="s">
        <v>2566</v>
      </c>
    </row>
    <row r="222" spans="1:6" x14ac:dyDescent="0.3">
      <c r="A222" s="2436"/>
      <c r="B222" s="10" t="s">
        <v>2429</v>
      </c>
      <c r="C222" s="10" t="s">
        <v>2445</v>
      </c>
      <c r="D222" s="10">
        <v>0.01</v>
      </c>
      <c r="E222" s="155" t="s">
        <v>2435</v>
      </c>
      <c r="F222" s="155" t="s">
        <v>2495</v>
      </c>
    </row>
    <row r="223" spans="1:6" x14ac:dyDescent="0.3">
      <c r="A223" s="2436"/>
    </row>
    <row r="224" spans="1:6" x14ac:dyDescent="0.3">
      <c r="A224" s="2437" t="s">
        <v>2646</v>
      </c>
      <c r="B224" s="10" t="s">
        <v>2647</v>
      </c>
      <c r="C224" s="10" t="s">
        <v>2650</v>
      </c>
      <c r="D224" s="10">
        <v>0.01</v>
      </c>
      <c r="E224" s="155" t="s">
        <v>2435</v>
      </c>
      <c r="F224" s="155" t="s">
        <v>2566</v>
      </c>
    </row>
    <row r="225" spans="1:6" x14ac:dyDescent="0.3">
      <c r="A225" s="2437"/>
      <c r="B225" s="10" t="s">
        <v>2648</v>
      </c>
      <c r="C225" s="10" t="s">
        <v>2651</v>
      </c>
      <c r="D225" s="10">
        <v>0.2</v>
      </c>
      <c r="E225" s="155" t="s">
        <v>2435</v>
      </c>
      <c r="F225" s="155" t="s">
        <v>2566</v>
      </c>
    </row>
    <row r="226" spans="1:6" x14ac:dyDescent="0.3">
      <c r="A226" s="2436"/>
      <c r="B226" s="10" t="s">
        <v>2649</v>
      </c>
      <c r="C226" s="10" t="s">
        <v>2652</v>
      </c>
      <c r="D226" s="10">
        <v>0.01</v>
      </c>
      <c r="E226" s="155" t="s">
        <v>2435</v>
      </c>
      <c r="F226" s="155" t="s">
        <v>2495</v>
      </c>
    </row>
    <row r="227" spans="1:6" x14ac:dyDescent="0.3">
      <c r="A227" s="2436"/>
    </row>
    <row r="228" spans="1:6" x14ac:dyDescent="0.3">
      <c r="A228" s="2436" t="s">
        <v>2432</v>
      </c>
      <c r="B228" s="10" t="s">
        <v>2433</v>
      </c>
      <c r="C228" s="10" t="s">
        <v>2446</v>
      </c>
      <c r="D228" s="2487">
        <v>4.2000000000000003E-2</v>
      </c>
      <c r="E228" s="155" t="s">
        <v>2435</v>
      </c>
      <c r="F228" s="2443" t="s">
        <v>2618</v>
      </c>
    </row>
    <row r="229" spans="1:6" x14ac:dyDescent="0.3">
      <c r="A229" s="2436"/>
      <c r="B229" s="10" t="s">
        <v>2434</v>
      </c>
      <c r="C229" s="10" t="s">
        <v>2447</v>
      </c>
      <c r="D229" s="10">
        <v>8.0000000000000002E-3</v>
      </c>
      <c r="E229" s="155" t="s">
        <v>2435</v>
      </c>
      <c r="F229" s="155" t="s">
        <v>2495</v>
      </c>
    </row>
    <row r="230" spans="1:6" x14ac:dyDescent="0.3">
      <c r="A230" s="2436"/>
      <c r="E230" s="10"/>
      <c r="F230" s="2443"/>
    </row>
    <row r="231" spans="1:6" x14ac:dyDescent="0.3">
      <c r="A231" s="2435" t="s">
        <v>2430</v>
      </c>
      <c r="B231" s="10" t="s">
        <v>214</v>
      </c>
      <c r="C231" s="12" t="s">
        <v>215</v>
      </c>
      <c r="D231" s="13">
        <v>1</v>
      </c>
      <c r="E231" s="155" t="s">
        <v>156</v>
      </c>
      <c r="F231" s="155" t="s">
        <v>2567</v>
      </c>
    </row>
    <row r="232" spans="1:6" x14ac:dyDescent="0.3">
      <c r="A232" s="2435"/>
      <c r="B232" s="10" t="s">
        <v>216</v>
      </c>
      <c r="C232" s="12" t="s">
        <v>217</v>
      </c>
      <c r="D232" s="13">
        <v>1</v>
      </c>
      <c r="E232" s="155" t="s">
        <v>156</v>
      </c>
      <c r="F232" s="155" t="s">
        <v>2567</v>
      </c>
    </row>
    <row r="233" spans="1:6" x14ac:dyDescent="0.3">
      <c r="A233" s="2435"/>
      <c r="B233" s="174" t="s">
        <v>218</v>
      </c>
      <c r="C233" s="176" t="s">
        <v>219</v>
      </c>
      <c r="D233" s="17">
        <f>SUM(D231:D232)</f>
        <v>2</v>
      </c>
      <c r="E233" s="154" t="s">
        <v>156</v>
      </c>
      <c r="F233" s="155" t="s">
        <v>2567</v>
      </c>
    </row>
    <row r="234" spans="1:6" x14ac:dyDescent="0.3">
      <c r="A234" s="2438" t="s">
        <v>499</v>
      </c>
      <c r="B234" s="174"/>
    </row>
    <row r="235" spans="1:6" outlineLevel="1" x14ac:dyDescent="0.3">
      <c r="A235" s="2439"/>
      <c r="B235" s="10" t="s">
        <v>102</v>
      </c>
      <c r="C235" s="12" t="s">
        <v>103</v>
      </c>
      <c r="D235" s="163">
        <v>1E-3</v>
      </c>
      <c r="E235" s="155" t="s">
        <v>2605</v>
      </c>
    </row>
    <row r="236" spans="1:6" outlineLevel="1" x14ac:dyDescent="0.3">
      <c r="A236" s="2439"/>
      <c r="B236" s="10" t="s">
        <v>104</v>
      </c>
      <c r="C236" s="12" t="s">
        <v>105</v>
      </c>
      <c r="D236" s="163">
        <v>0.01</v>
      </c>
      <c r="E236" s="155" t="s">
        <v>2605</v>
      </c>
      <c r="F236" s="155" t="s">
        <v>106</v>
      </c>
    </row>
    <row r="237" spans="1:6" outlineLevel="1" x14ac:dyDescent="0.3">
      <c r="A237" s="2439"/>
      <c r="B237" s="10" t="s">
        <v>107</v>
      </c>
      <c r="C237" s="12" t="s">
        <v>108</v>
      </c>
      <c r="D237" s="163">
        <v>2E-3</v>
      </c>
      <c r="E237" s="155" t="s">
        <v>2605</v>
      </c>
    </row>
    <row r="238" spans="1:6" outlineLevel="1" x14ac:dyDescent="0.3">
      <c r="A238" s="2439"/>
      <c r="B238" s="10" t="s">
        <v>109</v>
      </c>
      <c r="C238" s="12" t="s">
        <v>110</v>
      </c>
      <c r="D238" s="163">
        <v>2E-3</v>
      </c>
      <c r="E238" s="155" t="s">
        <v>2605</v>
      </c>
    </row>
    <row r="239" spans="1:6" outlineLevel="1" x14ac:dyDescent="0.3">
      <c r="A239" s="2439"/>
    </row>
    <row r="240" spans="1:6" outlineLevel="1" x14ac:dyDescent="0.3">
      <c r="A240" s="2439" t="s">
        <v>709</v>
      </c>
      <c r="B240" s="10" t="s">
        <v>710</v>
      </c>
      <c r="C240" s="12" t="s">
        <v>711</v>
      </c>
      <c r="D240" s="18">
        <v>3.0000000000000001E-5</v>
      </c>
      <c r="E240" s="155" t="s">
        <v>2605</v>
      </c>
    </row>
    <row r="241" spans="1:6" outlineLevel="1" x14ac:dyDescent="0.3">
      <c r="A241" s="2439"/>
      <c r="B241" s="10" t="s">
        <v>712</v>
      </c>
      <c r="C241" s="12" t="s">
        <v>713</v>
      </c>
      <c r="D241" s="18">
        <v>3.0000000000000001E-5</v>
      </c>
      <c r="E241" s="155" t="s">
        <v>2605</v>
      </c>
    </row>
    <row r="242" spans="1:6" outlineLevel="1" x14ac:dyDescent="0.3">
      <c r="A242" s="2439"/>
      <c r="B242" s="10" t="s">
        <v>714</v>
      </c>
      <c r="C242" s="12" t="s">
        <v>497</v>
      </c>
      <c r="D242" s="18">
        <v>3.0000000000000001E-5</v>
      </c>
      <c r="E242" s="155" t="s">
        <v>2605</v>
      </c>
    </row>
    <row r="243" spans="1:6" outlineLevel="1" x14ac:dyDescent="0.3">
      <c r="A243" s="2439"/>
      <c r="B243" s="174" t="s">
        <v>715</v>
      </c>
      <c r="C243" s="174" t="s">
        <v>716</v>
      </c>
      <c r="D243" s="175">
        <f>SUM(D240:D242)</f>
        <v>9.0000000000000006E-5</v>
      </c>
      <c r="E243" s="154" t="s">
        <v>2605</v>
      </c>
      <c r="F243" s="155" t="s">
        <v>2567</v>
      </c>
    </row>
    <row r="244" spans="1:6" outlineLevel="1" x14ac:dyDescent="0.3">
      <c r="A244" s="2439"/>
    </row>
    <row r="245" spans="1:6" outlineLevel="1" x14ac:dyDescent="0.3">
      <c r="A245" s="2439" t="s">
        <v>490</v>
      </c>
      <c r="B245" s="10" t="s">
        <v>492</v>
      </c>
      <c r="C245" s="12" t="s">
        <v>491</v>
      </c>
      <c r="D245" s="18">
        <v>0.02</v>
      </c>
      <c r="E245" s="155" t="s">
        <v>2605</v>
      </c>
    </row>
    <row r="246" spans="1:6" outlineLevel="1" x14ac:dyDescent="0.3">
      <c r="A246" s="2439"/>
      <c r="B246" s="10" t="s">
        <v>486</v>
      </c>
      <c r="C246" s="12" t="s">
        <v>493</v>
      </c>
      <c r="D246" s="18">
        <v>0.01</v>
      </c>
      <c r="E246" s="155" t="s">
        <v>2605</v>
      </c>
    </row>
    <row r="247" spans="1:6" outlineLevel="1" x14ac:dyDescent="0.3">
      <c r="A247" s="2439"/>
      <c r="B247" s="10" t="s">
        <v>496</v>
      </c>
      <c r="C247" s="12" t="s">
        <v>497</v>
      </c>
      <c r="D247" s="18">
        <v>0.02</v>
      </c>
      <c r="E247" s="155" t="s">
        <v>2605</v>
      </c>
    </row>
    <row r="248" spans="1:6" outlineLevel="1" x14ac:dyDescent="0.3">
      <c r="A248" s="2439"/>
      <c r="B248" s="174" t="s">
        <v>494</v>
      </c>
      <c r="C248" s="174" t="s">
        <v>495</v>
      </c>
      <c r="D248" s="175">
        <f>SUM(D245:D247)</f>
        <v>0.05</v>
      </c>
      <c r="E248" s="154" t="s">
        <v>2605</v>
      </c>
      <c r="F248" s="155" t="s">
        <v>2567</v>
      </c>
    </row>
    <row r="249" spans="1:6" outlineLevel="1" x14ac:dyDescent="0.3">
      <c r="A249" s="2439"/>
      <c r="C249" s="12"/>
      <c r="D249" s="18"/>
    </row>
    <row r="250" spans="1:6" outlineLevel="1" x14ac:dyDescent="0.3">
      <c r="A250" s="2439" t="s">
        <v>483</v>
      </c>
      <c r="B250" s="10" t="s">
        <v>485</v>
      </c>
      <c r="C250" s="12" t="s">
        <v>484</v>
      </c>
      <c r="D250" s="18">
        <v>0.01</v>
      </c>
      <c r="E250" s="155" t="s">
        <v>2605</v>
      </c>
    </row>
    <row r="251" spans="1:6" outlineLevel="1" x14ac:dyDescent="0.3">
      <c r="A251" s="2439"/>
      <c r="B251" s="10" t="s">
        <v>486</v>
      </c>
      <c r="C251" s="12" t="s">
        <v>487</v>
      </c>
      <c r="D251" s="18">
        <v>0.01</v>
      </c>
      <c r="E251" s="155" t="s">
        <v>2605</v>
      </c>
    </row>
    <row r="252" spans="1:6" outlineLevel="1" x14ac:dyDescent="0.3">
      <c r="A252" s="2439"/>
      <c r="B252" s="174" t="s">
        <v>488</v>
      </c>
      <c r="C252" s="174" t="s">
        <v>489</v>
      </c>
      <c r="D252" s="175">
        <f>SUM(D250:D251)</f>
        <v>0.02</v>
      </c>
      <c r="E252" s="154" t="s">
        <v>2605</v>
      </c>
      <c r="F252" s="155" t="s">
        <v>2567</v>
      </c>
    </row>
    <row r="253" spans="1:6" outlineLevel="1" x14ac:dyDescent="0.3">
      <c r="A253" s="2439"/>
      <c r="C253" s="12"/>
      <c r="D253" s="18"/>
    </row>
    <row r="254" spans="1:6" outlineLevel="1" x14ac:dyDescent="0.3">
      <c r="A254" s="2439" t="s">
        <v>480</v>
      </c>
      <c r="B254" s="10" t="s">
        <v>476</v>
      </c>
      <c r="C254" s="12" t="s">
        <v>478</v>
      </c>
      <c r="D254" s="18">
        <v>7.5000000000000002E-4</v>
      </c>
      <c r="E254" s="155" t="s">
        <v>2605</v>
      </c>
    </row>
    <row r="255" spans="1:6" outlineLevel="1" x14ac:dyDescent="0.3">
      <c r="A255" s="2439"/>
      <c r="B255" s="10" t="s">
        <v>477</v>
      </c>
      <c r="C255" s="12" t="s">
        <v>479</v>
      </c>
      <c r="D255" s="18">
        <v>2.5000000000000001E-4</v>
      </c>
      <c r="E255" s="155" t="s">
        <v>2605</v>
      </c>
    </row>
    <row r="256" spans="1:6" outlineLevel="1" x14ac:dyDescent="0.3">
      <c r="A256" s="2439"/>
      <c r="B256" s="174" t="s">
        <v>481</v>
      </c>
      <c r="C256" s="174" t="s">
        <v>482</v>
      </c>
      <c r="D256" s="175">
        <f>SUM(D254:D255)</f>
        <v>1E-3</v>
      </c>
      <c r="E256" s="154" t="s">
        <v>2605</v>
      </c>
      <c r="F256" s="155" t="s">
        <v>2567</v>
      </c>
    </row>
    <row r="257" spans="1:6" outlineLevel="1" x14ac:dyDescent="0.3">
      <c r="A257" s="2439"/>
      <c r="D257" s="163"/>
    </row>
    <row r="258" spans="1:6" outlineLevel="1" x14ac:dyDescent="0.3">
      <c r="A258" s="2439" t="s">
        <v>564</v>
      </c>
      <c r="B258" s="10" t="s">
        <v>565</v>
      </c>
      <c r="C258" s="12" t="s">
        <v>566</v>
      </c>
      <c r="D258" s="18">
        <v>5.0000000000000001E-4</v>
      </c>
      <c r="E258" s="155" t="s">
        <v>2605</v>
      </c>
    </row>
    <row r="259" spans="1:6" outlineLevel="1" x14ac:dyDescent="0.3">
      <c r="A259" s="2439"/>
      <c r="B259" s="10" t="s">
        <v>569</v>
      </c>
      <c r="C259" s="12" t="s">
        <v>568</v>
      </c>
      <c r="D259" s="18">
        <v>7.4999999999999997E-3</v>
      </c>
      <c r="E259" s="155" t="s">
        <v>2605</v>
      </c>
    </row>
    <row r="260" spans="1:6" outlineLevel="1" x14ac:dyDescent="0.3">
      <c r="A260" s="2439"/>
      <c r="B260" s="10" t="s">
        <v>570</v>
      </c>
      <c r="C260" s="12" t="s">
        <v>571</v>
      </c>
      <c r="D260" s="18">
        <v>2E-3</v>
      </c>
      <c r="E260" s="155" t="s">
        <v>2605</v>
      </c>
    </row>
    <row r="261" spans="1:6" outlineLevel="1" x14ac:dyDescent="0.3">
      <c r="A261" s="2438"/>
      <c r="B261" s="174" t="s">
        <v>567</v>
      </c>
      <c r="C261" s="174" t="s">
        <v>572</v>
      </c>
      <c r="D261" s="2488">
        <f>SUM(D258:D260)</f>
        <v>0.01</v>
      </c>
      <c r="E261" s="154" t="s">
        <v>2605</v>
      </c>
      <c r="F261" s="155" t="s">
        <v>2567</v>
      </c>
    </row>
    <row r="262" spans="1:6" outlineLevel="1" x14ac:dyDescent="0.3">
      <c r="A262" s="2438"/>
      <c r="B262" s="174"/>
      <c r="C262" s="174"/>
      <c r="D262" s="175"/>
      <c r="E262" s="154"/>
    </row>
    <row r="263" spans="1:6" outlineLevel="1" x14ac:dyDescent="0.3">
      <c r="A263" s="2439" t="s">
        <v>576</v>
      </c>
      <c r="B263" s="178" t="s">
        <v>577</v>
      </c>
      <c r="C263" s="178" t="s">
        <v>578</v>
      </c>
      <c r="D263" s="179">
        <v>1.0000000000000001E-5</v>
      </c>
      <c r="E263" s="180" t="s">
        <v>2605</v>
      </c>
    </row>
    <row r="264" spans="1:6" outlineLevel="1" x14ac:dyDescent="0.3">
      <c r="A264" s="2438"/>
      <c r="B264" s="178" t="s">
        <v>579</v>
      </c>
      <c r="C264" s="178" t="s">
        <v>580</v>
      </c>
      <c r="D264" s="179">
        <v>9.9999999999999995E-7</v>
      </c>
      <c r="E264" s="180" t="s">
        <v>2605</v>
      </c>
    </row>
    <row r="265" spans="1:6" outlineLevel="1" x14ac:dyDescent="0.3">
      <c r="A265" s="2438"/>
      <c r="B265" s="10" t="s">
        <v>581</v>
      </c>
      <c r="C265" s="178" t="s">
        <v>582</v>
      </c>
      <c r="D265" s="163">
        <v>1E-4</v>
      </c>
      <c r="E265" s="180" t="s">
        <v>2605</v>
      </c>
    </row>
    <row r="266" spans="1:6" outlineLevel="1" x14ac:dyDescent="0.3">
      <c r="A266" s="2438"/>
      <c r="B266" s="174" t="s">
        <v>583</v>
      </c>
      <c r="C266" s="174" t="s">
        <v>584</v>
      </c>
      <c r="D266" s="175">
        <f>SUM(D263:D265)</f>
        <v>1.11E-4</v>
      </c>
      <c r="E266" s="154" t="s">
        <v>2605</v>
      </c>
      <c r="F266" s="155" t="s">
        <v>2567</v>
      </c>
    </row>
    <row r="267" spans="1:6" outlineLevel="1" x14ac:dyDescent="0.3">
      <c r="A267" s="2438"/>
      <c r="B267" s="174"/>
      <c r="C267" s="174"/>
      <c r="D267" s="175"/>
      <c r="E267" s="154"/>
    </row>
    <row r="268" spans="1:6" x14ac:dyDescent="0.3">
      <c r="A268" s="2439" t="s">
        <v>585</v>
      </c>
      <c r="B268" s="178" t="s">
        <v>586</v>
      </c>
      <c r="C268" s="178" t="s">
        <v>587</v>
      </c>
      <c r="D268" s="179">
        <v>1.0000000000000001E-5</v>
      </c>
      <c r="E268" s="180" t="s">
        <v>2605</v>
      </c>
    </row>
    <row r="269" spans="1:6" x14ac:dyDescent="0.3">
      <c r="A269" s="2438"/>
      <c r="B269" s="178" t="s">
        <v>588</v>
      </c>
      <c r="C269" s="178" t="s">
        <v>589</v>
      </c>
      <c r="D269" s="179">
        <v>5.0000000000000001E-4</v>
      </c>
      <c r="E269" s="180" t="s">
        <v>2605</v>
      </c>
    </row>
    <row r="270" spans="1:6" x14ac:dyDescent="0.3">
      <c r="A270" s="2438"/>
      <c r="B270" s="10" t="s">
        <v>590</v>
      </c>
      <c r="C270" s="178" t="s">
        <v>591</v>
      </c>
      <c r="D270" s="163">
        <v>1E-4</v>
      </c>
      <c r="E270" s="180" t="s">
        <v>2605</v>
      </c>
    </row>
    <row r="271" spans="1:6" x14ac:dyDescent="0.3">
      <c r="A271" s="2438"/>
      <c r="B271" s="10" t="s">
        <v>594</v>
      </c>
      <c r="C271" s="178" t="s">
        <v>595</v>
      </c>
      <c r="D271" s="163">
        <v>4.4000000000000003E-3</v>
      </c>
      <c r="E271" s="180" t="s">
        <v>2605</v>
      </c>
    </row>
    <row r="272" spans="1:6" x14ac:dyDescent="0.3">
      <c r="A272" s="2438"/>
      <c r="B272" s="174" t="s">
        <v>592</v>
      </c>
      <c r="C272" s="174" t="s">
        <v>593</v>
      </c>
      <c r="D272" s="175">
        <f>SUM(D268:D271)</f>
        <v>5.0100000000000006E-3</v>
      </c>
      <c r="E272" s="154" t="s">
        <v>2605</v>
      </c>
      <c r="F272" s="155" t="s">
        <v>2567</v>
      </c>
    </row>
    <row r="273" spans="1:6" x14ac:dyDescent="0.3">
      <c r="A273" s="2438"/>
    </row>
    <row r="274" spans="1:6" x14ac:dyDescent="0.3">
      <c r="A274" s="2440" t="s">
        <v>157</v>
      </c>
      <c r="F274" s="2445" t="s">
        <v>2400</v>
      </c>
    </row>
    <row r="275" spans="1:6" x14ac:dyDescent="0.3">
      <c r="A275" s="2440"/>
      <c r="B275" s="10" t="s">
        <v>164</v>
      </c>
      <c r="C275" s="10" t="s">
        <v>165</v>
      </c>
      <c r="D275" s="31">
        <v>2</v>
      </c>
      <c r="E275" s="155" t="s">
        <v>75</v>
      </c>
      <c r="F275" s="10"/>
    </row>
    <row r="276" spans="1:6" x14ac:dyDescent="0.3">
      <c r="A276" s="2440"/>
      <c r="B276" s="10" t="s">
        <v>210</v>
      </c>
      <c r="C276" s="10" t="s">
        <v>212</v>
      </c>
      <c r="D276" s="10">
        <v>40</v>
      </c>
      <c r="E276" s="155" t="s">
        <v>213</v>
      </c>
    </row>
    <row r="277" spans="1:6" x14ac:dyDescent="0.3">
      <c r="A277" s="2440"/>
      <c r="B277" s="10" t="s">
        <v>211</v>
      </c>
      <c r="C277" s="10" t="s">
        <v>166</v>
      </c>
      <c r="D277" s="31">
        <f>ROUNDUP((dwell_period/60),2)</f>
        <v>0.67</v>
      </c>
      <c r="E277" s="155" t="s">
        <v>75</v>
      </c>
    </row>
    <row r="278" spans="1:6" x14ac:dyDescent="0.3">
      <c r="A278" s="2440"/>
      <c r="B278" s="10" t="s">
        <v>167</v>
      </c>
      <c r="C278" s="10" t="s">
        <v>168</v>
      </c>
      <c r="D278" s="31">
        <f>dwell_time+pulse_time</f>
        <v>2.67</v>
      </c>
      <c r="E278" s="155" t="s">
        <v>75</v>
      </c>
    </row>
    <row r="279" spans="1:6" x14ac:dyDescent="0.3">
      <c r="A279" s="2440"/>
      <c r="B279" s="10" t="s">
        <v>174</v>
      </c>
      <c r="C279" s="10" t="s">
        <v>175</v>
      </c>
      <c r="D279" s="30">
        <f>24/power_cycle_duration</f>
        <v>8.9887640449438209</v>
      </c>
      <c r="E279" s="155" t="s">
        <v>171</v>
      </c>
    </row>
    <row r="280" spans="1:6" x14ac:dyDescent="0.3">
      <c r="A280" s="2440"/>
      <c r="B280" s="10" t="s">
        <v>180</v>
      </c>
      <c r="C280" s="10" t="s">
        <v>191</v>
      </c>
      <c r="D280" s="30">
        <f>((sequence_duration-interim_maintenace_period)*Pulse_per_day)*long_campaign_duration</f>
        <v>1294.3820224719102</v>
      </c>
      <c r="E280" s="155" t="s">
        <v>171</v>
      </c>
    </row>
    <row r="281" spans="1:6" x14ac:dyDescent="0.3">
      <c r="A281" s="2440"/>
      <c r="B281" s="10" t="s">
        <v>177</v>
      </c>
      <c r="C281" s="10" t="s">
        <v>178</v>
      </c>
      <c r="D281" s="32">
        <f>(Pulses_per_campaign*pulse_time)/(365*24)</f>
        <v>0.29552100969678313</v>
      </c>
    </row>
    <row r="282" spans="1:6" x14ac:dyDescent="0.3">
      <c r="A282" s="2440"/>
    </row>
    <row r="283" spans="1:6" x14ac:dyDescent="0.3">
      <c r="A283" s="2440" t="s">
        <v>190</v>
      </c>
      <c r="B283" s="10" t="s">
        <v>203</v>
      </c>
      <c r="C283" s="10" t="s">
        <v>204</v>
      </c>
      <c r="D283" s="10">
        <v>30</v>
      </c>
      <c r="E283" s="155" t="s">
        <v>28</v>
      </c>
    </row>
    <row r="284" spans="1:6" x14ac:dyDescent="0.3">
      <c r="A284" s="2440"/>
      <c r="B284" s="10" t="s">
        <v>169</v>
      </c>
      <c r="C284" s="10" t="s">
        <v>172</v>
      </c>
      <c r="D284" s="30">
        <v>12</v>
      </c>
      <c r="E284" s="155" t="s">
        <v>28</v>
      </c>
    </row>
    <row r="285" spans="1:6" x14ac:dyDescent="0.3">
      <c r="A285" s="2440"/>
      <c r="B285" s="10" t="s">
        <v>170</v>
      </c>
      <c r="C285" s="10" t="s">
        <v>173</v>
      </c>
      <c r="D285" s="30">
        <v>4</v>
      </c>
      <c r="E285" s="155" t="s">
        <v>28</v>
      </c>
    </row>
    <row r="286" spans="1:6" x14ac:dyDescent="0.3">
      <c r="A286" s="2440"/>
      <c r="B286" s="10" t="s">
        <v>182</v>
      </c>
      <c r="C286" s="10" t="s">
        <v>183</v>
      </c>
      <c r="D286" s="30">
        <f>SUM($D$284:$D$285)</f>
        <v>16</v>
      </c>
      <c r="E286" s="155" t="s">
        <v>28</v>
      </c>
    </row>
    <row r="287" spans="1:6" x14ac:dyDescent="0.3">
      <c r="A287" s="2440"/>
      <c r="B287" s="10" t="s">
        <v>220</v>
      </c>
      <c r="C287" s="10" t="s">
        <v>184</v>
      </c>
      <c r="D287" s="30">
        <v>10</v>
      </c>
      <c r="E287" s="155" t="s">
        <v>185</v>
      </c>
    </row>
    <row r="288" spans="1:6" x14ac:dyDescent="0.3">
      <c r="A288" s="2440"/>
      <c r="B288" s="10" t="s">
        <v>221</v>
      </c>
      <c r="C288" s="10" t="s">
        <v>453</v>
      </c>
      <c r="D288" s="30">
        <v>12</v>
      </c>
      <c r="E288" s="155" t="s">
        <v>185</v>
      </c>
    </row>
    <row r="289" spans="1:6" x14ac:dyDescent="0.3">
      <c r="A289" s="2440"/>
      <c r="B289" s="10" t="s">
        <v>186</v>
      </c>
      <c r="C289" s="10" t="s">
        <v>187</v>
      </c>
      <c r="D289" s="31">
        <f>(campaign_duration*(power_generation_period*(Pulse_per_day*pulse_time)))/(365*24)</f>
        <v>0.24626750808065262</v>
      </c>
      <c r="E289" s="155" t="s">
        <v>176</v>
      </c>
    </row>
    <row r="290" spans="1:6" x14ac:dyDescent="0.3">
      <c r="A290" s="2440"/>
      <c r="B290" s="10" t="s">
        <v>222</v>
      </c>
      <c r="C290" s="10" t="s">
        <v>223</v>
      </c>
      <c r="D290" s="31">
        <v>4</v>
      </c>
      <c r="E290" s="155" t="s">
        <v>194</v>
      </c>
    </row>
    <row r="291" spans="1:6" x14ac:dyDescent="0.3">
      <c r="A291" s="2441"/>
      <c r="B291" s="10" t="s">
        <v>188</v>
      </c>
      <c r="C291" s="10" t="s">
        <v>189</v>
      </c>
      <c r="D291" s="10">
        <v>64</v>
      </c>
      <c r="E291" s="155" t="s">
        <v>28</v>
      </c>
    </row>
    <row r="292" spans="1:6" x14ac:dyDescent="0.3">
      <c r="A292" s="2440"/>
      <c r="B292" s="10" t="s">
        <v>200</v>
      </c>
      <c r="C292" s="10" t="s">
        <v>199</v>
      </c>
      <c r="D292" s="10">
        <v>4</v>
      </c>
      <c r="E292" s="155" t="s">
        <v>185</v>
      </c>
    </row>
    <row r="293" spans="1:6" x14ac:dyDescent="0.3">
      <c r="A293" s="2440"/>
      <c r="B293" s="10" t="s">
        <v>201</v>
      </c>
      <c r="C293" s="10" t="s">
        <v>202</v>
      </c>
      <c r="D293" s="10">
        <v>0.5</v>
      </c>
      <c r="E293" s="155" t="s">
        <v>176</v>
      </c>
    </row>
    <row r="294" spans="1:6" x14ac:dyDescent="0.3">
      <c r="A294" s="2440"/>
      <c r="B294" s="10" t="s">
        <v>208</v>
      </c>
      <c r="C294" s="10" t="s">
        <v>209</v>
      </c>
      <c r="D294" s="10">
        <v>30</v>
      </c>
      <c r="E294" s="155" t="s">
        <v>28</v>
      </c>
    </row>
    <row r="295" spans="1:6" x14ac:dyDescent="0.3">
      <c r="A295" s="2441"/>
    </row>
    <row r="296" spans="1:6" x14ac:dyDescent="0.3">
      <c r="A296" s="10"/>
      <c r="E296" s="10"/>
      <c r="F296" s="2443"/>
    </row>
    <row r="297" spans="1:6" x14ac:dyDescent="0.3">
      <c r="A297" s="178"/>
      <c r="B297" s="178"/>
      <c r="C297" s="178"/>
      <c r="D297" s="178"/>
      <c r="E297" s="178"/>
      <c r="F297" s="2471"/>
    </row>
    <row r="298" spans="1:6" x14ac:dyDescent="0.3">
      <c r="A298" s="178"/>
      <c r="B298" s="178"/>
      <c r="C298" s="178"/>
      <c r="D298" s="178"/>
      <c r="E298" s="178"/>
      <c r="F298" s="2471"/>
    </row>
    <row r="299" spans="1:6" x14ac:dyDescent="0.3">
      <c r="A299" s="178"/>
      <c r="B299" s="178"/>
      <c r="C299" s="178"/>
      <c r="D299" s="178"/>
      <c r="E299" s="178"/>
      <c r="F299" s="2471"/>
    </row>
    <row r="300" spans="1:6" x14ac:dyDescent="0.3">
      <c r="A300" s="178"/>
      <c r="B300" s="178"/>
      <c r="C300" s="178"/>
      <c r="D300" s="178"/>
      <c r="E300" s="178"/>
      <c r="F300" s="2471"/>
    </row>
    <row r="301" spans="1:6" x14ac:dyDescent="0.3">
      <c r="A301" s="178"/>
      <c r="B301" s="178"/>
      <c r="C301" s="178"/>
      <c r="D301" s="178"/>
      <c r="E301" s="178"/>
      <c r="F301" s="2471"/>
    </row>
    <row r="302" spans="1:6" x14ac:dyDescent="0.3">
      <c r="B302" s="178"/>
      <c r="C302" s="178"/>
      <c r="D302" s="178"/>
      <c r="E302" s="178"/>
      <c r="F302" s="2471"/>
    </row>
    <row r="303" spans="1:6" x14ac:dyDescent="0.3">
      <c r="A303" s="178"/>
      <c r="B303" s="178"/>
      <c r="C303" s="178"/>
      <c r="D303" s="178"/>
      <c r="E303" s="178"/>
      <c r="F303" s="2471"/>
    </row>
    <row r="304" spans="1:6" x14ac:dyDescent="0.3">
      <c r="A304" s="178"/>
      <c r="B304" s="178"/>
      <c r="C304" s="178"/>
      <c r="D304" s="178"/>
      <c r="E304" s="178"/>
      <c r="F304" s="2471"/>
    </row>
    <row r="305" spans="1:6" x14ac:dyDescent="0.3">
      <c r="B305" s="178"/>
      <c r="C305" s="178"/>
      <c r="D305" s="178"/>
      <c r="E305" s="178"/>
      <c r="F305" s="2471"/>
    </row>
    <row r="306" spans="1:6" x14ac:dyDescent="0.3">
      <c r="B306" s="178"/>
      <c r="C306" s="178"/>
      <c r="D306" s="178"/>
      <c r="E306" s="178"/>
      <c r="F306" s="2471"/>
    </row>
    <row r="307" spans="1:6" x14ac:dyDescent="0.3">
      <c r="A307" s="178"/>
      <c r="B307" s="178"/>
      <c r="C307" s="178"/>
      <c r="D307" s="178"/>
      <c r="E307" s="178"/>
      <c r="F307" s="2471"/>
    </row>
    <row r="308" spans="1:6" x14ac:dyDescent="0.3">
      <c r="B308" s="178"/>
      <c r="C308" s="178"/>
      <c r="D308" s="178"/>
      <c r="E308" s="178"/>
      <c r="F308" s="2471"/>
    </row>
    <row r="309" spans="1:6" x14ac:dyDescent="0.3">
      <c r="B309" s="178"/>
      <c r="C309" s="178"/>
      <c r="D309" s="178"/>
      <c r="E309" s="178"/>
      <c r="F309" s="2471"/>
    </row>
    <row r="310" spans="1:6" x14ac:dyDescent="0.3">
      <c r="B310" s="178"/>
      <c r="C310" s="178"/>
      <c r="D310" s="178"/>
      <c r="E310" s="178"/>
      <c r="F310" s="2471"/>
    </row>
    <row r="311" spans="1:6" x14ac:dyDescent="0.3">
      <c r="B311" s="178"/>
      <c r="C311" s="178"/>
      <c r="D311" s="178"/>
      <c r="E311" s="178"/>
      <c r="F311" s="2471"/>
    </row>
    <row r="312" spans="1:6" x14ac:dyDescent="0.3">
      <c r="B312" s="178"/>
      <c r="C312" s="178"/>
      <c r="D312" s="178"/>
      <c r="E312" s="178"/>
      <c r="F312" s="2471"/>
    </row>
    <row r="313" spans="1:6" x14ac:dyDescent="0.3">
      <c r="B313" s="178"/>
      <c r="C313" s="178"/>
      <c r="D313" s="178"/>
      <c r="E313" s="178"/>
      <c r="F313" s="2471"/>
    </row>
    <row r="314" spans="1:6" x14ac:dyDescent="0.3">
      <c r="B314" s="178"/>
      <c r="C314" s="178"/>
      <c r="D314" s="178"/>
      <c r="E314" s="178"/>
      <c r="F314" s="2471"/>
    </row>
    <row r="315" spans="1:6" x14ac:dyDescent="0.3">
      <c r="B315" s="178"/>
      <c r="C315" s="178"/>
      <c r="D315" s="178"/>
      <c r="E315" s="178"/>
      <c r="F315" s="2471"/>
    </row>
    <row r="316" spans="1:6" x14ac:dyDescent="0.3">
      <c r="B316" s="178"/>
      <c r="C316" s="178"/>
      <c r="D316" s="178"/>
      <c r="E316" s="180"/>
      <c r="F316" s="180"/>
    </row>
    <row r="317" spans="1:6" x14ac:dyDescent="0.3">
      <c r="B317" s="178"/>
      <c r="C317" s="178"/>
      <c r="D317" s="178"/>
      <c r="E317" s="180"/>
      <c r="F317" s="180"/>
    </row>
    <row r="318" spans="1:6" x14ac:dyDescent="0.3">
      <c r="B318" s="178"/>
      <c r="C318" s="178"/>
      <c r="D318" s="178"/>
      <c r="E318" s="180"/>
      <c r="F318" s="180"/>
    </row>
    <row r="319" spans="1:6" x14ac:dyDescent="0.3">
      <c r="B319" s="178"/>
      <c r="C319" s="178"/>
      <c r="D319" s="178"/>
      <c r="E319" s="180"/>
      <c r="F319" s="180"/>
    </row>
    <row r="320" spans="1:6" x14ac:dyDescent="0.3">
      <c r="B320" s="178"/>
      <c r="C320" s="178"/>
      <c r="D320" s="178"/>
      <c r="E320" s="180"/>
      <c r="F320" s="180"/>
    </row>
    <row r="321" spans="2:6" x14ac:dyDescent="0.3">
      <c r="B321" s="178"/>
      <c r="C321" s="178"/>
      <c r="D321" s="178"/>
      <c r="E321" s="180"/>
      <c r="F321" s="180"/>
    </row>
    <row r="322" spans="2:6" x14ac:dyDescent="0.3">
      <c r="B322" s="178"/>
      <c r="C322" s="178"/>
      <c r="D322" s="178"/>
      <c r="E322" s="180"/>
      <c r="F322" s="180"/>
    </row>
    <row r="323" spans="2:6" x14ac:dyDescent="0.3">
      <c r="B323" s="178"/>
      <c r="C323" s="178"/>
      <c r="D323" s="178"/>
      <c r="E323" s="180"/>
      <c r="F323" s="180"/>
    </row>
    <row r="324" spans="2:6" x14ac:dyDescent="0.3">
      <c r="B324" s="178"/>
      <c r="C324" s="178"/>
      <c r="D324" s="178"/>
      <c r="E324" s="180"/>
      <c r="F324" s="180"/>
    </row>
    <row r="325" spans="2:6" x14ac:dyDescent="0.3">
      <c r="B325" s="178"/>
      <c r="C325" s="178"/>
      <c r="D325" s="178"/>
      <c r="E325" s="180"/>
      <c r="F325" s="180"/>
    </row>
    <row r="326" spans="2:6" x14ac:dyDescent="0.3">
      <c r="B326" s="178"/>
      <c r="C326" s="178"/>
      <c r="D326" s="178"/>
      <c r="E326" s="180"/>
      <c r="F326" s="180"/>
    </row>
    <row r="327" spans="2:6" x14ac:dyDescent="0.3">
      <c r="B327" s="178"/>
      <c r="C327" s="178"/>
      <c r="D327" s="178"/>
      <c r="E327" s="180"/>
      <c r="F327" s="180"/>
    </row>
    <row r="328" spans="2:6" x14ac:dyDescent="0.3">
      <c r="B328" s="178"/>
      <c r="C328" s="178"/>
      <c r="D328" s="178"/>
      <c r="E328" s="180"/>
      <c r="F328" s="180"/>
    </row>
    <row r="329" spans="2:6" x14ac:dyDescent="0.3">
      <c r="B329" s="178"/>
      <c r="C329" s="178"/>
      <c r="D329" s="178"/>
      <c r="E329" s="180"/>
      <c r="F329" s="180"/>
    </row>
    <row r="330" spans="2:6" x14ac:dyDescent="0.3">
      <c r="B330" s="178"/>
      <c r="C330" s="178"/>
      <c r="D330" s="178"/>
      <c r="E330" s="180"/>
      <c r="F330" s="180"/>
    </row>
    <row r="331" spans="2:6" x14ac:dyDescent="0.3">
      <c r="B331" s="178"/>
      <c r="C331" s="178"/>
      <c r="D331" s="178"/>
      <c r="E331" s="180"/>
      <c r="F331" s="180"/>
    </row>
    <row r="332" spans="2:6" x14ac:dyDescent="0.3">
      <c r="B332" s="178"/>
      <c r="C332" s="178"/>
      <c r="D332" s="178"/>
      <c r="E332" s="180"/>
      <c r="F332" s="180"/>
    </row>
    <row r="333" spans="2:6" x14ac:dyDescent="0.3">
      <c r="B333" s="178"/>
      <c r="C333" s="178"/>
      <c r="D333" s="178"/>
      <c r="E333" s="180"/>
      <c r="F333" s="180"/>
    </row>
    <row r="334" spans="2:6" x14ac:dyDescent="0.3">
      <c r="B334" s="178"/>
      <c r="C334" s="178"/>
      <c r="D334" s="178"/>
      <c r="E334" s="180"/>
      <c r="F334" s="180"/>
    </row>
    <row r="335" spans="2:6" x14ac:dyDescent="0.3">
      <c r="B335" s="178"/>
      <c r="C335" s="178"/>
      <c r="D335" s="178"/>
      <c r="E335" s="180"/>
      <c r="F335" s="180"/>
    </row>
    <row r="336" spans="2:6" x14ac:dyDescent="0.3">
      <c r="B336" s="178"/>
      <c r="C336" s="178"/>
      <c r="D336" s="178"/>
      <c r="E336" s="180"/>
      <c r="F336" s="180"/>
    </row>
    <row r="337" spans="2:6" x14ac:dyDescent="0.3">
      <c r="B337" s="178"/>
      <c r="C337" s="178"/>
      <c r="D337" s="178"/>
      <c r="E337" s="180"/>
      <c r="F337" s="180"/>
    </row>
    <row r="338" spans="2:6" x14ac:dyDescent="0.3">
      <c r="B338" s="178"/>
      <c r="C338" s="178"/>
      <c r="D338" s="178"/>
      <c r="E338" s="180"/>
      <c r="F338" s="180"/>
    </row>
    <row r="339" spans="2:6" x14ac:dyDescent="0.3">
      <c r="B339" s="178"/>
      <c r="C339" s="178"/>
      <c r="D339" s="178"/>
      <c r="E339" s="180"/>
      <c r="F339" s="180"/>
    </row>
    <row r="340" spans="2:6" x14ac:dyDescent="0.3">
      <c r="B340" s="178"/>
      <c r="C340" s="178"/>
      <c r="D340" s="178"/>
      <c r="E340" s="180"/>
      <c r="F340" s="180"/>
    </row>
    <row r="341" spans="2:6" x14ac:dyDescent="0.3">
      <c r="B341" s="178"/>
      <c r="C341" s="178"/>
      <c r="D341" s="178"/>
      <c r="E341" s="180"/>
      <c r="F341" s="180"/>
    </row>
    <row r="342" spans="2:6" x14ac:dyDescent="0.3">
      <c r="B342" s="178"/>
      <c r="C342" s="178"/>
      <c r="D342" s="178"/>
      <c r="E342" s="180"/>
      <c r="F342" s="180"/>
    </row>
    <row r="343" spans="2:6" x14ac:dyDescent="0.3">
      <c r="B343" s="178"/>
      <c r="C343" s="178"/>
      <c r="D343" s="178"/>
      <c r="E343" s="180"/>
      <c r="F343" s="180"/>
    </row>
    <row r="344" spans="2:6" x14ac:dyDescent="0.3">
      <c r="B344" s="178"/>
      <c r="C344" s="178"/>
      <c r="D344" s="178"/>
      <c r="E344" s="180"/>
      <c r="F344" s="180"/>
    </row>
    <row r="345" spans="2:6" x14ac:dyDescent="0.3">
      <c r="B345" s="178"/>
      <c r="C345" s="178"/>
      <c r="D345" s="178"/>
      <c r="E345" s="180"/>
      <c r="F345" s="180"/>
    </row>
    <row r="346" spans="2:6" x14ac:dyDescent="0.3">
      <c r="B346" s="178"/>
      <c r="C346" s="178"/>
      <c r="D346" s="178"/>
      <c r="E346" s="180"/>
      <c r="F346" s="180"/>
    </row>
    <row r="347" spans="2:6" x14ac:dyDescent="0.3">
      <c r="B347" s="178"/>
      <c r="C347" s="178"/>
      <c r="D347" s="178"/>
      <c r="E347" s="180"/>
      <c r="F347" s="180"/>
    </row>
    <row r="348" spans="2:6" x14ac:dyDescent="0.3">
      <c r="B348" s="178"/>
      <c r="C348" s="178"/>
      <c r="D348" s="178"/>
      <c r="E348" s="180"/>
      <c r="F348" s="180"/>
    </row>
    <row r="349" spans="2:6" x14ac:dyDescent="0.3">
      <c r="B349" s="178"/>
      <c r="C349" s="178"/>
      <c r="D349" s="178"/>
      <c r="E349" s="180"/>
      <c r="F349" s="180"/>
    </row>
  </sheetData>
  <sheetProtection algorithmName="SHA-512" hashValue="EHUT8pHGeFH8pnFjrDSX2jHPsVT1AOpP4oeXW/6YS3OqaOqNy1/AE2xbemnvjnsjr0TNGyzqh4W1uUjtsugOHA==" saltValue="hLZSkYo8sBz6j9xdJ8+Hcw==" spinCount="100000" sheet="1" objects="1" scenarios="1"/>
  <protectedRanges>
    <protectedRange sqref="E3 D1:D1048576" name="values" securityDescriptor="O:WDG:WDD:(A;;CC;;;S-1-5-21-1082691222-395013458-1817074087-31755)"/>
  </protectedRanges>
  <sortState ref="B317:B322">
    <sortCondition descending="1" ref="B317:B322"/>
  </sortState>
  <customSheetViews>
    <customSheetView guid="{9C0AA20B-B2A2-4A2C-B279-4A5988F4E71A}">
      <pageMargins left="0.75" right="0.75" top="1" bottom="1" header="0.5" footer="0.5"/>
      <pageSetup paperSize="9" orientation="portrait" r:id="rId1"/>
      <headerFooter alignWithMargins="0"/>
    </customSheetView>
  </customSheetViews>
  <mergeCells count="1">
    <mergeCell ref="F16:F19"/>
  </mergeCells>
  <conditionalFormatting sqref="A1:XFD1048576">
    <cfRule type="expression" dxfId="5033" priority="1">
      <formula>$F1="Not currently referenced in the model"</formula>
    </cfRule>
  </conditionalFormatting>
  <conditionalFormatting sqref="B1:G1048576">
    <cfRule type="expression" dxfId="5032" priority="2">
      <formula>_xlfn.ISFORMULA($D1)</formula>
    </cfRule>
  </conditionalFormatting>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tabSelected="1" workbookViewId="0">
      <selection activeCell="F21" sqref="F21"/>
    </sheetView>
  </sheetViews>
  <sheetFormatPr defaultRowHeight="14.6" x14ac:dyDescent="0.4"/>
  <cols>
    <col min="1" max="1" width="41.53515625" bestFit="1" customWidth="1"/>
  </cols>
  <sheetData>
    <row r="1" spans="1:3" x14ac:dyDescent="0.4">
      <c r="A1" t="s">
        <v>2714</v>
      </c>
      <c r="B1" t="s">
        <v>24</v>
      </c>
      <c r="C1" t="s">
        <v>2708</v>
      </c>
    </row>
    <row r="2" spans="1:3" x14ac:dyDescent="0.4">
      <c r="A2" t="s">
        <v>2709</v>
      </c>
      <c r="B2" s="177">
        <f ca="1">'Lower Hot Cell Summary'!S24</f>
        <v>213.33710691943622</v>
      </c>
      <c r="C2" s="177">
        <f>'Lower Cask Summary'!S24</f>
        <v>277.0394215509682</v>
      </c>
    </row>
    <row r="3" spans="1:3" x14ac:dyDescent="0.4">
      <c r="A3" t="s">
        <v>2710</v>
      </c>
      <c r="B3" s="177">
        <f ca="1">'Lower Hot Cell Summary'!S36</f>
        <v>120.11637397877855</v>
      </c>
      <c r="C3" s="177">
        <f>'Lower Cask Summary'!S36</f>
        <v>147.27030172388353</v>
      </c>
    </row>
    <row r="4" spans="1:3" x14ac:dyDescent="0.4">
      <c r="A4" t="s">
        <v>2711</v>
      </c>
      <c r="B4" s="177">
        <f ca="1">'Lower Hot Cell Summary'!S48</f>
        <v>90.087280484083934</v>
      </c>
      <c r="C4" s="177">
        <f>'Lower Cask Summary'!S48</f>
        <v>110.45272629291269</v>
      </c>
    </row>
    <row r="5" spans="1:3" x14ac:dyDescent="0.4">
      <c r="A5" t="s">
        <v>2712</v>
      </c>
      <c r="B5" s="177">
        <f ca="1">'Lower Hot Cell Summary'!S60</f>
        <v>60.058186989389277</v>
      </c>
      <c r="C5" s="177">
        <f>'Lower Cask Summary'!S60</f>
        <v>73.635150861941767</v>
      </c>
    </row>
    <row r="6" spans="1:3" x14ac:dyDescent="0.4">
      <c r="A6" t="s">
        <v>2713</v>
      </c>
      <c r="B6" s="177">
        <f ca="1">'Lower Hot Cell Summary'!S72</f>
        <v>45.043640242041967</v>
      </c>
      <c r="C6" s="177">
        <f>'Lower Cask Summary'!S72</f>
        <v>55.226363146456343</v>
      </c>
    </row>
    <row r="8" spans="1:3" x14ac:dyDescent="0.4">
      <c r="A8" t="s">
        <v>2715</v>
      </c>
      <c r="B8" t="s">
        <v>24</v>
      </c>
      <c r="C8" t="s">
        <v>2708</v>
      </c>
    </row>
    <row r="9" spans="1:3" x14ac:dyDescent="0.4">
      <c r="A9" t="s">
        <v>2709</v>
      </c>
      <c r="B9" s="177">
        <f>'Upper Hot Cell Summary'!M24</f>
        <v>591.20176987007642</v>
      </c>
      <c r="C9" s="177">
        <f>'Upper Cask Summary'!M24</f>
        <v>614.97836406475847</v>
      </c>
    </row>
    <row r="10" spans="1:3" x14ac:dyDescent="0.4">
      <c r="A10" t="s">
        <v>2710</v>
      </c>
      <c r="B10" s="177">
        <f>'Upper Hot Cell Summary'!M36</f>
        <v>387.68410233596359</v>
      </c>
      <c r="C10" s="177">
        <f>'Upper Cask Summary'!M36</f>
        <v>387.68410233596359</v>
      </c>
    </row>
    <row r="11" spans="1:3" x14ac:dyDescent="0.4">
      <c r="A11" t="s">
        <v>2711</v>
      </c>
      <c r="B11" s="177">
        <f>'Upper Hot Cell Summary'!M48</f>
        <v>238.7160943993552</v>
      </c>
      <c r="C11" s="177">
        <f>'Upper Cask Summary'!M48</f>
        <v>238.7160943993552</v>
      </c>
    </row>
    <row r="12" spans="1:3" x14ac:dyDescent="0.4">
      <c r="A12" t="s">
        <v>2712</v>
      </c>
      <c r="B12" s="177">
        <f>'Upper Hot Cell Summary'!M60</f>
        <v>147.8004424675191</v>
      </c>
      <c r="C12" s="177">
        <f>'Upper Cask Summary'!M60</f>
        <v>153.74459101618962</v>
      </c>
    </row>
    <row r="13" spans="1:3" x14ac:dyDescent="0.4">
      <c r="A13" t="s">
        <v>2713</v>
      </c>
      <c r="B13" s="177">
        <f>'Upper Hot Cell Summary'!M72</f>
        <v>110.84618480434305</v>
      </c>
      <c r="C13" s="177">
        <f>'Upper Cask Summary'!M72</f>
        <v>115.30844326214223</v>
      </c>
    </row>
    <row r="15" spans="1:3" x14ac:dyDescent="0.4">
      <c r="A15" t="s">
        <v>2716</v>
      </c>
      <c r="B15" t="s">
        <v>24</v>
      </c>
      <c r="C15" t="s">
        <v>2708</v>
      </c>
    </row>
    <row r="16" spans="1:3" x14ac:dyDescent="0.4">
      <c r="A16" t="s">
        <v>2709</v>
      </c>
      <c r="B16" s="177">
        <f>'Lower Hot Cell Summary'!M12</f>
        <v>48.460512791995448</v>
      </c>
      <c r="C16" s="177">
        <f>'Lower Cask Summary'!M12</f>
        <v>49.1355768182936</v>
      </c>
    </row>
    <row r="18" spans="1:3" x14ac:dyDescent="0.4">
      <c r="A18" t="s">
        <v>2717</v>
      </c>
      <c r="B18" t="s">
        <v>24</v>
      </c>
      <c r="C18" t="s">
        <v>2708</v>
      </c>
    </row>
    <row r="19" spans="1:3" x14ac:dyDescent="0.4">
      <c r="A19" t="s">
        <v>2709</v>
      </c>
      <c r="B19" s="177">
        <f>'Upper Hot Cell Summary'!M12</f>
        <v>48.460512791995448</v>
      </c>
      <c r="C19" s="177">
        <f>'Upper Cask Summary'!M12</f>
        <v>48.460512791995448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39997558519241921"/>
  </sheetPr>
  <dimension ref="B1:E195"/>
  <sheetViews>
    <sheetView workbookViewId="0">
      <selection activeCell="B29" sqref="B29:B43"/>
    </sheetView>
  </sheetViews>
  <sheetFormatPr defaultRowHeight="14.6" x14ac:dyDescent="0.4"/>
  <cols>
    <col min="1" max="1" width="3.69140625" customWidth="1"/>
    <col min="2" max="2" width="36.53515625" style="79" customWidth="1"/>
    <col min="3" max="3" width="49.53515625" style="89" bestFit="1" customWidth="1"/>
    <col min="4" max="4" width="9.15234375" style="104"/>
    <col min="5" max="5" width="14.3828125" customWidth="1"/>
  </cols>
  <sheetData>
    <row r="1" spans="2:5" ht="15" thickBot="1" x14ac:dyDescent="0.45"/>
    <row r="2" spans="2:5" ht="18.899999999999999" thickBot="1" x14ac:dyDescent="0.55000000000000004">
      <c r="B2" s="3684" t="s">
        <v>277</v>
      </c>
      <c r="C2" s="3685"/>
      <c r="D2" s="3686"/>
    </row>
    <row r="3" spans="2:5" ht="36.75" customHeight="1" thickBot="1" x14ac:dyDescent="0.45">
      <c r="B3" s="105" t="s">
        <v>251</v>
      </c>
      <c r="C3" s="97" t="s">
        <v>278</v>
      </c>
      <c r="D3" s="181" t="s">
        <v>2619</v>
      </c>
      <c r="E3" s="291"/>
    </row>
    <row r="4" spans="2:5" ht="15" thickBot="1" x14ac:dyDescent="0.45">
      <c r="B4" s="106" t="s">
        <v>0</v>
      </c>
      <c r="C4" s="85" t="str">
        <f>B4</f>
        <v>Blanket Removal Required</v>
      </c>
      <c r="D4" s="173">
        <v>0</v>
      </c>
    </row>
    <row r="5" spans="2:5" x14ac:dyDescent="0.4">
      <c r="B5" s="3687" t="s">
        <v>10</v>
      </c>
      <c r="C5" s="108" t="s">
        <v>279</v>
      </c>
      <c r="D5" s="81">
        <v>0.2</v>
      </c>
    </row>
    <row r="6" spans="2:5" ht="15" customHeight="1" x14ac:dyDescent="0.4">
      <c r="B6" s="3688"/>
      <c r="C6" s="110" t="s">
        <v>280</v>
      </c>
      <c r="D6" s="84">
        <f>(Vertical_Port_Length/loaded_VDS_speed)/(60*60)</f>
        <v>0.16666666666666666</v>
      </c>
    </row>
    <row r="7" spans="2:5" ht="15.75" customHeight="1" thickBot="1" x14ac:dyDescent="0.45">
      <c r="B7" s="3688"/>
      <c r="C7" s="112" t="s">
        <v>281</v>
      </c>
      <c r="D7" s="182">
        <v>0.2</v>
      </c>
    </row>
    <row r="8" spans="2:5" ht="15.75" customHeight="1" thickBot="1" x14ac:dyDescent="0.45">
      <c r="B8" s="3689"/>
      <c r="C8" s="85" t="str">
        <f>B5</f>
        <v>Open Bioshield</v>
      </c>
      <c r="D8" s="173">
        <f>SUM(D5:D7)</f>
        <v>0.56666666666666665</v>
      </c>
    </row>
    <row r="9" spans="2:5" ht="15" customHeight="1" x14ac:dyDescent="0.4">
      <c r="B9" s="3690" t="s">
        <v>1</v>
      </c>
      <c r="C9" s="113" t="s">
        <v>264</v>
      </c>
      <c r="D9" s="114">
        <v>0.3</v>
      </c>
    </row>
    <row r="10" spans="2:5" ht="15.75" customHeight="1" thickBot="1" x14ac:dyDescent="0.45">
      <c r="B10" s="3691"/>
      <c r="C10" s="115" t="s">
        <v>265</v>
      </c>
      <c r="D10" s="103">
        <v>0.3</v>
      </c>
    </row>
    <row r="11" spans="2:5" ht="15.75" customHeight="1" thickBot="1" x14ac:dyDescent="0.45">
      <c r="B11" s="3692"/>
      <c r="C11" s="85" t="str">
        <f>B9</f>
        <v>Open Contamination Control Door</v>
      </c>
      <c r="D11" s="107">
        <f>D10+D9</f>
        <v>0.6</v>
      </c>
    </row>
    <row r="12" spans="2:5" ht="15" customHeight="1" x14ac:dyDescent="0.4">
      <c r="B12" s="3687" t="s">
        <v>596</v>
      </c>
      <c r="C12" s="116" t="s">
        <v>282</v>
      </c>
      <c r="D12" s="117">
        <v>0.8</v>
      </c>
    </row>
    <row r="13" spans="2:5" ht="15" customHeight="1" x14ac:dyDescent="0.4">
      <c r="B13" s="3688"/>
      <c r="C13" s="118" t="s">
        <v>597</v>
      </c>
      <c r="D13" s="119">
        <v>2</v>
      </c>
    </row>
    <row r="14" spans="2:5" x14ac:dyDescent="0.4">
      <c r="B14" s="3688"/>
      <c r="C14" s="118" t="s">
        <v>599</v>
      </c>
      <c r="D14" s="119">
        <v>0.5</v>
      </c>
    </row>
    <row r="15" spans="2:5" ht="15" customHeight="1" x14ac:dyDescent="0.4">
      <c r="B15" s="3688"/>
      <c r="C15" s="118" t="s">
        <v>598</v>
      </c>
      <c r="D15" s="119">
        <v>0.3</v>
      </c>
    </row>
    <row r="16" spans="2:5" ht="15" customHeight="1" x14ac:dyDescent="0.4">
      <c r="B16" s="3688"/>
      <c r="C16" s="118" t="s">
        <v>597</v>
      </c>
      <c r="D16" s="119">
        <v>2</v>
      </c>
    </row>
    <row r="17" spans="2:4" x14ac:dyDescent="0.4">
      <c r="B17" s="3688"/>
      <c r="C17" s="118" t="s">
        <v>599</v>
      </c>
      <c r="D17" s="119">
        <v>0.5</v>
      </c>
    </row>
    <row r="18" spans="2:4" ht="15.75" customHeight="1" thickBot="1" x14ac:dyDescent="0.45">
      <c r="B18" s="3688"/>
      <c r="C18" s="118" t="s">
        <v>284</v>
      </c>
      <c r="D18" s="119">
        <v>0.67222222222222228</v>
      </c>
    </row>
    <row r="19" spans="2:4" ht="15" thickBot="1" x14ac:dyDescent="0.45">
      <c r="B19" s="3689"/>
      <c r="C19" s="85" t="str">
        <f>B12</f>
        <v>Perform Health Physics Checks</v>
      </c>
      <c r="D19" s="173">
        <f>SUM(D12:D18)</f>
        <v>6.7722222222222221</v>
      </c>
    </row>
    <row r="20" spans="2:4" ht="15" customHeight="1" x14ac:dyDescent="0.4">
      <c r="B20" s="3687" t="s">
        <v>2385</v>
      </c>
      <c r="C20" s="116" t="s">
        <v>282</v>
      </c>
      <c r="D20" s="117">
        <v>0.8</v>
      </c>
    </row>
    <row r="21" spans="2:4" ht="15" customHeight="1" x14ac:dyDescent="0.4">
      <c r="B21" s="3688"/>
      <c r="C21" s="118" t="s">
        <v>2392</v>
      </c>
      <c r="D21" s="119">
        <v>2</v>
      </c>
    </row>
    <row r="22" spans="2:4" ht="15" customHeight="1" x14ac:dyDescent="0.4">
      <c r="B22" s="3688"/>
      <c r="C22" s="118" t="s">
        <v>598</v>
      </c>
      <c r="D22" s="119">
        <v>0.3</v>
      </c>
    </row>
    <row r="23" spans="2:4" ht="15" customHeight="1" x14ac:dyDescent="0.4">
      <c r="B23" s="3688"/>
      <c r="C23" s="118" t="s">
        <v>2393</v>
      </c>
      <c r="D23" s="119">
        <v>2</v>
      </c>
    </row>
    <row r="24" spans="2:4" ht="15.75" customHeight="1" thickBot="1" x14ac:dyDescent="0.45">
      <c r="B24" s="3688"/>
      <c r="C24" s="118" t="s">
        <v>284</v>
      </c>
      <c r="D24" s="119">
        <v>0.67222222222222228</v>
      </c>
    </row>
    <row r="25" spans="2:4" ht="15" thickBot="1" x14ac:dyDescent="0.45">
      <c r="B25" s="3689"/>
      <c r="C25" s="85" t="str">
        <f>B20</f>
        <v>Perform engineering checks</v>
      </c>
      <c r="D25" s="173">
        <f>SUM(D20:D24)</f>
        <v>5.7722222222222221</v>
      </c>
    </row>
    <row r="26" spans="2:4" x14ac:dyDescent="0.4">
      <c r="B26" s="3690" t="s">
        <v>603</v>
      </c>
      <c r="C26" s="113" t="s">
        <v>604</v>
      </c>
      <c r="D26" s="183">
        <v>0.3</v>
      </c>
    </row>
    <row r="27" spans="2:4" ht="15" thickBot="1" x14ac:dyDescent="0.45">
      <c r="B27" s="3697"/>
      <c r="C27" s="135" t="s">
        <v>605</v>
      </c>
      <c r="D27" s="184">
        <v>0.2</v>
      </c>
    </row>
    <row r="28" spans="2:4" ht="15" thickBot="1" x14ac:dyDescent="0.45">
      <c r="B28" s="3692"/>
      <c r="C28" s="85" t="str">
        <f>B26</f>
        <v>Install Contamination Control System</v>
      </c>
      <c r="D28" s="173">
        <f>SUM(D26:D27)</f>
        <v>0.5</v>
      </c>
    </row>
    <row r="29" spans="2:4" ht="15" customHeight="1" x14ac:dyDescent="0.4">
      <c r="B29" s="3690" t="s">
        <v>600</v>
      </c>
      <c r="C29" s="113" t="s">
        <v>601</v>
      </c>
      <c r="D29" s="183">
        <v>0.2</v>
      </c>
    </row>
    <row r="30" spans="2:4" ht="15.75" customHeight="1" thickBot="1" x14ac:dyDescent="0.45">
      <c r="B30" s="3691"/>
      <c r="C30" s="115" t="s">
        <v>602</v>
      </c>
      <c r="D30" s="185">
        <v>2</v>
      </c>
    </row>
    <row r="31" spans="2:4" ht="15.75" customHeight="1" thickBot="1" x14ac:dyDescent="0.45">
      <c r="B31" s="3692"/>
      <c r="C31" s="85" t="str">
        <f>B29</f>
        <v>Commission Contamination Control System</v>
      </c>
      <c r="D31" s="173">
        <f>D30+D29</f>
        <v>2.2000000000000002</v>
      </c>
    </row>
    <row r="32" spans="2:4" ht="15" customHeight="1" x14ac:dyDescent="0.4">
      <c r="B32" s="3687" t="s">
        <v>4</v>
      </c>
      <c r="C32" s="116" t="s">
        <v>282</v>
      </c>
      <c r="D32" s="117">
        <f>0.8*ECH_fixation_systems</f>
        <v>0.8</v>
      </c>
    </row>
    <row r="33" spans="2:4" ht="15" customHeight="1" x14ac:dyDescent="0.4">
      <c r="B33" s="3688"/>
      <c r="C33" s="118" t="s">
        <v>623</v>
      </c>
      <c r="D33" s="119">
        <f>((ECH_cooling_pipes*ECH_cooling_disconnection_time)/ECH_fixation_systems)</f>
        <v>0.8</v>
      </c>
    </row>
    <row r="34" spans="2:4" ht="15" customHeight="1" x14ac:dyDescent="0.4">
      <c r="B34" s="3688"/>
      <c r="C34" s="118" t="s">
        <v>283</v>
      </c>
      <c r="D34" s="119">
        <f>0.325*ECH_fixation_systems</f>
        <v>0.32500000000000001</v>
      </c>
    </row>
    <row r="35" spans="2:4" ht="15" customHeight="1" x14ac:dyDescent="0.4">
      <c r="B35" s="3688"/>
      <c r="C35" s="110" t="s">
        <v>2606</v>
      </c>
      <c r="D35" s="122">
        <f>((ECH_pretensioning_duration*ECH_fixation_bolts)/ECH_fixation_systems)*ECH_fixation_disconnection_ops</f>
        <v>3.3400000000000003</v>
      </c>
    </row>
    <row r="36" spans="2:4" x14ac:dyDescent="0.4">
      <c r="B36" s="3688"/>
      <c r="C36" s="110" t="s">
        <v>290</v>
      </c>
      <c r="D36" s="122">
        <f>((ECH_fixations_disconnection_time)*ECH_fixation_bolts)/ECH_fixation_systems</f>
        <v>1.6600000000000001</v>
      </c>
    </row>
    <row r="37" spans="2:4" ht="15" customHeight="1" x14ac:dyDescent="0.4">
      <c r="B37" s="3688"/>
      <c r="C37" s="118" t="s">
        <v>2607</v>
      </c>
      <c r="D37" s="119">
        <f>(ECH_fixation_recovery*ECH_fixation_bolts)/ECH_fixation_systems</f>
        <v>2</v>
      </c>
    </row>
    <row r="38" spans="2:4" ht="15.75" customHeight="1" thickBot="1" x14ac:dyDescent="0.45">
      <c r="B38" s="3688"/>
      <c r="C38" s="118" t="s">
        <v>284</v>
      </c>
      <c r="D38" s="119">
        <f>0.5*ECH_fixation_systems</f>
        <v>0.5</v>
      </c>
    </row>
    <row r="39" spans="2:4" ht="15" thickBot="1" x14ac:dyDescent="0.45">
      <c r="B39" s="3689"/>
      <c r="C39" s="85" t="str">
        <f>B32</f>
        <v>Disconnect ECH</v>
      </c>
      <c r="D39" s="173">
        <f>SUM(D32:D38)</f>
        <v>9.4250000000000007</v>
      </c>
    </row>
    <row r="40" spans="2:4" x14ac:dyDescent="0.4">
      <c r="B40" s="3687" t="s">
        <v>5</v>
      </c>
      <c r="C40" s="116" t="s">
        <v>285</v>
      </c>
      <c r="D40" s="121">
        <f>(Vertical_Port_Length/unloaded_VDS_speed)/(60*60)</f>
        <v>8.3333333333333332E-3</v>
      </c>
    </row>
    <row r="41" spans="2:4" x14ac:dyDescent="0.4">
      <c r="B41" s="3688"/>
      <c r="C41" s="118" t="s">
        <v>286</v>
      </c>
      <c r="D41" s="122">
        <v>2</v>
      </c>
    </row>
    <row r="42" spans="2:4" ht="15" thickBot="1" x14ac:dyDescent="0.45">
      <c r="B42" s="3688"/>
      <c r="C42" s="118" t="s">
        <v>287</v>
      </c>
      <c r="D42" s="122">
        <f>(Vertical_Port_Length/loaded_VDS_speed)/(60*60)</f>
        <v>0.16666666666666666</v>
      </c>
    </row>
    <row r="43" spans="2:4" ht="15" thickBot="1" x14ac:dyDescent="0.45">
      <c r="B43" s="3689"/>
      <c r="C43" s="85" t="str">
        <f>B40</f>
        <v>Extract ECH</v>
      </c>
      <c r="D43" s="173">
        <f>SUM(D40:D42)</f>
        <v>2.1749999999999998</v>
      </c>
    </row>
    <row r="44" spans="2:4" x14ac:dyDescent="0.4">
      <c r="B44" s="3690" t="s">
        <v>6</v>
      </c>
      <c r="C44" s="116" t="s">
        <v>282</v>
      </c>
      <c r="D44" s="117">
        <f>((Vertical_Port_Length/loaded_VDS_speed)/(60*60))*PCP_fixations_RM_systems</f>
        <v>0.16666666666666666</v>
      </c>
    </row>
    <row r="45" spans="2:4" x14ac:dyDescent="0.4">
      <c r="B45" s="3691"/>
      <c r="C45" s="118" t="s">
        <v>288</v>
      </c>
      <c r="D45" s="122">
        <f>2*PCP_fixations_RM_systems</f>
        <v>2</v>
      </c>
    </row>
    <row r="46" spans="2:4" x14ac:dyDescent="0.4">
      <c r="B46" s="3691"/>
      <c r="C46" s="110" t="s">
        <v>2606</v>
      </c>
      <c r="D46" s="122">
        <f>(PCP_pretensioning_duration*PCP_fixation_bolts)/PCP_fixations_RM_systems</f>
        <v>10.020000000000001</v>
      </c>
    </row>
    <row r="47" spans="2:4" x14ac:dyDescent="0.4">
      <c r="B47" s="3691"/>
      <c r="C47" s="110" t="s">
        <v>290</v>
      </c>
      <c r="D47" s="122">
        <f>((PCP_fixations_disconnection_time*PCP_fixation_bolts)/PCP_fixations_RM_systems)*PCP_fixation_disconnection_ops</f>
        <v>4.9800000000000004</v>
      </c>
    </row>
    <row r="48" spans="2:4" x14ac:dyDescent="0.4">
      <c r="B48" s="3691"/>
      <c r="C48" s="110" t="s">
        <v>291</v>
      </c>
      <c r="D48" s="122">
        <f>(PCP_fixation_recovery*PCP_fixation_bolts)/PCP_fixations_RM_systems</f>
        <v>6</v>
      </c>
    </row>
    <row r="49" spans="2:4" x14ac:dyDescent="0.4">
      <c r="B49" s="3691"/>
      <c r="C49" s="118" t="s">
        <v>292</v>
      </c>
      <c r="D49" s="122">
        <f>(PCP_fixation_recovery*PCP_fixation_bolts)*PCP_fixations_RM_systems</f>
        <v>6</v>
      </c>
    </row>
    <row r="50" spans="2:4" ht="15" thickBot="1" x14ac:dyDescent="0.45">
      <c r="B50" s="3691"/>
      <c r="C50" s="118" t="s">
        <v>284</v>
      </c>
      <c r="D50" s="119">
        <f>((Vertical_Port_Length/loaded_VDS_speed)/(60*60))*PCP_fixations_RM_systems</f>
        <v>0.16666666666666666</v>
      </c>
    </row>
    <row r="51" spans="2:4" ht="15" thickBot="1" x14ac:dyDescent="0.45">
      <c r="B51" s="3692"/>
      <c r="C51" s="85" t="str">
        <f>B44</f>
        <v>Disconnect Port Closure Plate</v>
      </c>
      <c r="D51" s="173">
        <f>SUM(D44:D50)</f>
        <v>29.333333333333336</v>
      </c>
    </row>
    <row r="52" spans="2:4" x14ac:dyDescent="0.4">
      <c r="B52" s="3690" t="s">
        <v>7</v>
      </c>
      <c r="C52" s="116" t="s">
        <v>266</v>
      </c>
      <c r="D52" s="117">
        <f>(Vertical_Port_Length/unloaded_VDS_speed)/(60*60)</f>
        <v>8.3333333333333332E-3</v>
      </c>
    </row>
    <row r="53" spans="2:4" x14ac:dyDescent="0.4">
      <c r="B53" s="3691"/>
      <c r="C53" s="118" t="s">
        <v>293</v>
      </c>
      <c r="D53" s="119">
        <v>0.2</v>
      </c>
    </row>
    <row r="54" spans="2:4" ht="15" thickBot="1" x14ac:dyDescent="0.45">
      <c r="B54" s="3691"/>
      <c r="C54" s="118" t="s">
        <v>294</v>
      </c>
      <c r="D54" s="119">
        <f>(Vertical_Port_Length/loaded_VDS_speed)/(60*60)</f>
        <v>0.16666666666666666</v>
      </c>
    </row>
    <row r="55" spans="2:4" ht="15" thickBot="1" x14ac:dyDescent="0.45">
      <c r="B55" s="3692"/>
      <c r="C55" s="85" t="str">
        <f>B52</f>
        <v>Extract Port Closure Plate</v>
      </c>
      <c r="D55" s="173">
        <f>SUM(D52:D54)</f>
        <v>0.375</v>
      </c>
    </row>
    <row r="56" spans="2:4" x14ac:dyDescent="0.4">
      <c r="B56" s="3687" t="s">
        <v>8</v>
      </c>
      <c r="C56" s="116" t="s">
        <v>282</v>
      </c>
      <c r="D56" s="117">
        <f>((Vertical_Port_Length/loaded_VDS_speed)/(60*60)*Plug_RM_systems)</f>
        <v>0.16666666666666666</v>
      </c>
    </row>
    <row r="57" spans="2:4" x14ac:dyDescent="0.4">
      <c r="B57" s="3688"/>
      <c r="C57" s="110" t="s">
        <v>2606</v>
      </c>
      <c r="D57" s="2472">
        <f>(Plug_flange_bolts*ECH_pretensioning_duration)/Plug_RM_systems</f>
        <v>1.6700000000000002</v>
      </c>
    </row>
    <row r="58" spans="2:4" x14ac:dyDescent="0.4">
      <c r="B58" s="3688"/>
      <c r="C58" s="118" t="s">
        <v>295</v>
      </c>
      <c r="D58" s="119">
        <f>(Plug_flange_bolts*Plug_fixations_disconnection_time)*Plug_fixation_disconnection_ops</f>
        <v>0.83000000000000007</v>
      </c>
    </row>
    <row r="59" spans="2:4" x14ac:dyDescent="0.4">
      <c r="B59" s="3688"/>
      <c r="C59" s="118" t="s">
        <v>2608</v>
      </c>
      <c r="D59" s="119">
        <f>(Plug_flange_bolts*Plug_fixation_recovery)/Plug_RM_systems</f>
        <v>1</v>
      </c>
    </row>
    <row r="60" spans="2:4" ht="15" thickBot="1" x14ac:dyDescent="0.45">
      <c r="B60" s="3688"/>
      <c r="C60" s="118" t="s">
        <v>296</v>
      </c>
      <c r="D60" s="119">
        <f>((Vertical_Port_Length/loaded_VDS_speed)/(60*60)*Plug_RM_systems)</f>
        <v>0.16666666666666666</v>
      </c>
    </row>
    <row r="61" spans="2:4" ht="15" thickBot="1" x14ac:dyDescent="0.45">
      <c r="B61" s="3689"/>
      <c r="C61" s="85" t="str">
        <f>B56</f>
        <v>Disconnect Shield Plug Pipe Flange</v>
      </c>
      <c r="D61" s="173">
        <f>SUM(D56:D60)</f>
        <v>3.8333333333333335</v>
      </c>
    </row>
    <row r="62" spans="2:4" x14ac:dyDescent="0.4">
      <c r="B62" s="3687" t="s">
        <v>9</v>
      </c>
      <c r="C62" s="116" t="s">
        <v>297</v>
      </c>
      <c r="D62" s="81">
        <f>((Vertical_Port_Length/unloaded_VDS_speed)/(60*60))*Plug_RM_systems</f>
        <v>8.3333333333333332E-3</v>
      </c>
    </row>
    <row r="63" spans="2:4" x14ac:dyDescent="0.4">
      <c r="B63" s="3688"/>
      <c r="C63" s="118" t="s">
        <v>298</v>
      </c>
      <c r="D63" s="84">
        <f>(Plug_fixation_bolts*ECH_pretensioning_duration)/Plug_RM_systems</f>
        <v>2.5050000000000003</v>
      </c>
    </row>
    <row r="64" spans="2:4" x14ac:dyDescent="0.4">
      <c r="B64" s="3688"/>
      <c r="C64" s="110" t="s">
        <v>691</v>
      </c>
      <c r="D64" s="84">
        <f>((Plug_fixation_bolts*Plug_fixations_disconnection_time)*Plug_fixation_disconnection_ops)/Plug_RM_systems</f>
        <v>1.2450000000000001</v>
      </c>
    </row>
    <row r="65" spans="2:4" ht="15" thickBot="1" x14ac:dyDescent="0.45">
      <c r="B65" s="3688"/>
      <c r="C65" s="118" t="s">
        <v>301</v>
      </c>
      <c r="D65" s="84">
        <f>(Vertical_Port_Length/loaded_VDS_speed)/(60*60)</f>
        <v>0.16666666666666666</v>
      </c>
    </row>
    <row r="66" spans="2:4" ht="15" thickBot="1" x14ac:dyDescent="0.45">
      <c r="B66" s="3689"/>
      <c r="C66" s="85" t="str">
        <f>B62</f>
        <v>Disconnect &amp; extract Shield Plug and Fixations</v>
      </c>
      <c r="D66" s="173">
        <f>SUM(D62:D65)</f>
        <v>3.9250000000000003</v>
      </c>
    </row>
    <row r="67" spans="2:4" x14ac:dyDescent="0.4">
      <c r="B67" s="3694" t="s">
        <v>252</v>
      </c>
      <c r="C67" s="80" t="s">
        <v>282</v>
      </c>
      <c r="D67" s="81">
        <v>0.83</v>
      </c>
    </row>
    <row r="68" spans="2:4" x14ac:dyDescent="0.4">
      <c r="B68" s="3695"/>
      <c r="C68" s="83" t="s">
        <v>302</v>
      </c>
      <c r="D68" s="84">
        <v>3</v>
      </c>
    </row>
    <row r="69" spans="2:4" x14ac:dyDescent="0.4">
      <c r="B69" s="3695"/>
      <c r="C69" s="83" t="s">
        <v>303</v>
      </c>
      <c r="D69" s="84">
        <v>2</v>
      </c>
    </row>
    <row r="70" spans="2:4" ht="15" thickBot="1" x14ac:dyDescent="0.45">
      <c r="B70" s="3695"/>
      <c r="C70" s="83" t="s">
        <v>304</v>
      </c>
      <c r="D70" s="84">
        <v>1</v>
      </c>
    </row>
    <row r="71" spans="2:4" ht="15" thickBot="1" x14ac:dyDescent="0.45">
      <c r="B71" s="3696"/>
      <c r="C71" s="85" t="str">
        <f>B67</f>
        <v>Disconnect Multipipe Flange &amp; Access Lid</v>
      </c>
      <c r="D71" s="173">
        <f>SUM(D67:D70)</f>
        <v>6.83</v>
      </c>
    </row>
    <row r="72" spans="2:4" x14ac:dyDescent="0.4">
      <c r="B72" s="3690" t="s">
        <v>2491</v>
      </c>
      <c r="C72" s="80" t="s">
        <v>247</v>
      </c>
      <c r="D72" s="81">
        <f>((Vertical_Port_Length/SJS_deployment_spd)/(60*60))*Vertical_port_pipes_per_blanket</f>
        <v>0.23809523809523808</v>
      </c>
    </row>
    <row r="73" spans="2:4" x14ac:dyDescent="0.4">
      <c r="B73" s="3693"/>
      <c r="C73" s="2422" t="s">
        <v>2455</v>
      </c>
      <c r="D73" s="2423">
        <f>SJS_pipe_clamp*Vertical_port_pipes_per_blanket</f>
        <v>8.3333333333333402E-3</v>
      </c>
    </row>
    <row r="74" spans="2:4" x14ac:dyDescent="0.4">
      <c r="B74" s="3693"/>
      <c r="C74" s="102" t="s">
        <v>2456</v>
      </c>
      <c r="D74" s="2423">
        <f>SJS_tension_pipe*Vertical_port_pipes_per_blanket</f>
        <v>8.3333333333333332E-3</v>
      </c>
    </row>
    <row r="75" spans="2:4" ht="13.5" customHeight="1" x14ac:dyDescent="0.4">
      <c r="B75" s="3691"/>
      <c r="C75" s="83" t="s">
        <v>248</v>
      </c>
      <c r="D75" s="84">
        <f>(Blanket_Cooling_Cut_Time*vertical_blanket_cooling_pipes)+(Blanket_LiPb_Cut_Time*vertical_blanket_LiPb_pipes)+(Blanket_Drain_Cut_Time*vertical_blanket_drain_pipes)</f>
        <v>4.8725054859626499E-2</v>
      </c>
    </row>
    <row r="76" spans="2:4" x14ac:dyDescent="0.4">
      <c r="B76" s="3691"/>
      <c r="C76" s="83" t="s">
        <v>2457</v>
      </c>
      <c r="D76" s="84">
        <f>0.0833333333333333*Vertical_port_pipes_per_blanket</f>
        <v>0.49999999999999978</v>
      </c>
    </row>
    <row r="77" spans="2:4" x14ac:dyDescent="0.4">
      <c r="B77" s="3691"/>
      <c r="C77" s="83" t="s">
        <v>2458</v>
      </c>
      <c r="D77" s="84">
        <f>0.001388889*Vertical_port_pipes_per_blanket</f>
        <v>8.3333339999999995E-3</v>
      </c>
    </row>
    <row r="78" spans="2:4" ht="15" thickBot="1" x14ac:dyDescent="0.45">
      <c r="B78" s="3691"/>
      <c r="C78" s="83" t="s">
        <v>2459</v>
      </c>
      <c r="D78" s="84">
        <f>((Vertical_Port_Length/SJS_deployment_spd)/(60*60))*Vertical_port_pipes_per_blanket</f>
        <v>0.23809523809523808</v>
      </c>
    </row>
    <row r="79" spans="2:4" ht="15" thickBot="1" x14ac:dyDescent="0.45">
      <c r="B79" s="3692"/>
      <c r="C79" s="85" t="str">
        <f>B72</f>
        <v>Disconnect Vertical Port Pipework</v>
      </c>
      <c r="D79" s="173">
        <f>SUM(D72:D78)</f>
        <v>1.0499155317167692</v>
      </c>
    </row>
    <row r="80" spans="2:4" x14ac:dyDescent="0.4">
      <c r="B80" s="3690" t="s">
        <v>253</v>
      </c>
      <c r="C80" s="80" t="s">
        <v>266</v>
      </c>
      <c r="D80" s="81">
        <f>(Vertical_Port_Length/unloaded_VDS_speed)/(60*60)</f>
        <v>8.3333333333333332E-3</v>
      </c>
    </row>
    <row r="81" spans="2:4" x14ac:dyDescent="0.4">
      <c r="B81" s="3691"/>
      <c r="C81" s="83" t="s">
        <v>305</v>
      </c>
      <c r="D81" s="84">
        <v>0.3</v>
      </c>
    </row>
    <row r="82" spans="2:4" x14ac:dyDescent="0.4">
      <c r="B82" s="3691"/>
      <c r="C82" s="83" t="s">
        <v>306</v>
      </c>
      <c r="D82" s="84">
        <v>0.25</v>
      </c>
    </row>
    <row r="83" spans="2:4" ht="15" thickBot="1" x14ac:dyDescent="0.45">
      <c r="B83" s="3691"/>
      <c r="C83" s="83" t="s">
        <v>307</v>
      </c>
      <c r="D83" s="84">
        <f>(Vertical_Port_Length/loaded_VDS_speed)/(60*60)</f>
        <v>0.16666666666666666</v>
      </c>
    </row>
    <row r="84" spans="2:4" ht="15" thickBot="1" x14ac:dyDescent="0.45">
      <c r="B84" s="3692"/>
      <c r="C84" s="85" t="str">
        <f>B80</f>
        <v>Extract Pipe Module</v>
      </c>
      <c r="D84" s="173">
        <f>SUM(D80:D83)</f>
        <v>0.72499999999999998</v>
      </c>
    </row>
    <row r="85" spans="2:4" x14ac:dyDescent="0.4">
      <c r="B85" s="3687" t="s">
        <v>254</v>
      </c>
      <c r="C85" s="123" t="s">
        <v>308</v>
      </c>
      <c r="D85" s="117">
        <v>0.6</v>
      </c>
    </row>
    <row r="86" spans="2:4" x14ac:dyDescent="0.4">
      <c r="B86" s="3688"/>
      <c r="C86" s="124" t="s">
        <v>309</v>
      </c>
      <c r="D86" s="119">
        <v>1</v>
      </c>
    </row>
    <row r="87" spans="2:4" x14ac:dyDescent="0.4">
      <c r="B87" s="3688"/>
      <c r="C87" s="124" t="s">
        <v>310</v>
      </c>
      <c r="D87" s="119">
        <v>0.5</v>
      </c>
    </row>
    <row r="88" spans="2:4" x14ac:dyDescent="0.4">
      <c r="B88" s="3688"/>
      <c r="C88" s="124" t="s">
        <v>311</v>
      </c>
      <c r="D88" s="119">
        <v>0.14000000000000001</v>
      </c>
    </row>
    <row r="89" spans="2:4" x14ac:dyDescent="0.4">
      <c r="B89" s="3688"/>
      <c r="C89" s="124" t="s">
        <v>312</v>
      </c>
      <c r="D89" s="119">
        <v>1</v>
      </c>
    </row>
    <row r="90" spans="2:4" x14ac:dyDescent="0.4">
      <c r="B90" s="3688"/>
      <c r="C90" s="124" t="s">
        <v>313</v>
      </c>
      <c r="D90" s="119">
        <f>blanket_kinamatic_duration</f>
        <v>1</v>
      </c>
    </row>
    <row r="91" spans="2:4" x14ac:dyDescent="0.4">
      <c r="B91" s="3688"/>
      <c r="C91" s="125" t="s">
        <v>314</v>
      </c>
      <c r="D91" s="119">
        <f>blanket_lift_duration</f>
        <v>1</v>
      </c>
    </row>
    <row r="92" spans="2:4" ht="15" thickBot="1" x14ac:dyDescent="0.45">
      <c r="B92" s="3688"/>
      <c r="C92" s="124" t="s">
        <v>315</v>
      </c>
      <c r="D92" s="119">
        <v>0.5</v>
      </c>
    </row>
    <row r="93" spans="2:4" ht="15" thickBot="1" x14ac:dyDescent="0.45">
      <c r="B93" s="3688"/>
      <c r="C93" s="126" t="str">
        <f>B85</f>
        <v>Extract Blanket Segment</v>
      </c>
      <c r="D93" s="186">
        <f>SUM(D85:D92)</f>
        <v>5.74</v>
      </c>
    </row>
    <row r="94" spans="2:4" ht="15" thickBot="1" x14ac:dyDescent="0.45">
      <c r="B94" s="106" t="s">
        <v>38</v>
      </c>
      <c r="C94" s="127" t="str">
        <f>B94</f>
        <v>Blanket Installation Required</v>
      </c>
      <c r="D94" s="187">
        <v>0</v>
      </c>
    </row>
    <row r="95" spans="2:4" x14ac:dyDescent="0.4">
      <c r="B95" s="3698" t="s">
        <v>256</v>
      </c>
      <c r="C95" s="128" t="s">
        <v>308</v>
      </c>
      <c r="D95" s="188">
        <v>0.56999999999999995</v>
      </c>
    </row>
    <row r="96" spans="2:4" x14ac:dyDescent="0.4">
      <c r="B96" s="3699"/>
      <c r="C96" s="129" t="s">
        <v>309</v>
      </c>
      <c r="D96" s="189">
        <v>1</v>
      </c>
    </row>
    <row r="97" spans="2:4" x14ac:dyDescent="0.4">
      <c r="B97" s="3699"/>
      <c r="C97" s="129" t="s">
        <v>316</v>
      </c>
      <c r="D97" s="189">
        <v>1.5</v>
      </c>
    </row>
    <row r="98" spans="2:4" x14ac:dyDescent="0.4">
      <c r="B98" s="3699"/>
      <c r="C98" s="129" t="s">
        <v>317</v>
      </c>
      <c r="D98" s="189">
        <v>0.56000000000000005</v>
      </c>
    </row>
    <row r="99" spans="2:4" x14ac:dyDescent="0.4">
      <c r="B99" s="3699"/>
      <c r="C99" s="129" t="s">
        <v>318</v>
      </c>
      <c r="D99" s="189">
        <v>0.2</v>
      </c>
    </row>
    <row r="100" spans="2:4" ht="15" thickBot="1" x14ac:dyDescent="0.45">
      <c r="B100" s="3699"/>
      <c r="C100" s="130" t="s">
        <v>319</v>
      </c>
      <c r="D100" s="190">
        <v>0.5</v>
      </c>
    </row>
    <row r="101" spans="2:4" ht="15" thickBot="1" x14ac:dyDescent="0.45">
      <c r="B101" s="3699"/>
      <c r="C101" s="131" t="str">
        <f>B95</f>
        <v>Install Blanket Segment</v>
      </c>
      <c r="D101" s="191">
        <f>SUM(D95:D100)</f>
        <v>4.33</v>
      </c>
    </row>
    <row r="102" spans="2:4" x14ac:dyDescent="0.4">
      <c r="B102" s="3698" t="s">
        <v>35</v>
      </c>
      <c r="C102" s="80" t="s">
        <v>320</v>
      </c>
      <c r="D102" s="81">
        <f>((Vertical_Port_Length/loaded_VDS_speed)/(60*60))</f>
        <v>0.16666666666666666</v>
      </c>
    </row>
    <row r="103" spans="2:4" x14ac:dyDescent="0.4">
      <c r="B103" s="3699"/>
      <c r="C103" s="83" t="s">
        <v>321</v>
      </c>
      <c r="D103" s="84">
        <v>2.67</v>
      </c>
    </row>
    <row r="104" spans="2:4" x14ac:dyDescent="0.4">
      <c r="B104" s="3699"/>
      <c r="C104" s="83" t="s">
        <v>322</v>
      </c>
      <c r="D104" s="84">
        <v>1.25</v>
      </c>
    </row>
    <row r="105" spans="2:4" ht="15" thickBot="1" x14ac:dyDescent="0.45">
      <c r="B105" s="3699"/>
      <c r="C105" s="83" t="s">
        <v>284</v>
      </c>
      <c r="D105" s="84">
        <f>((Vertical_Port_Length/unloaded_VDS_speed)/(60*60))</f>
        <v>8.3333333333333332E-3</v>
      </c>
    </row>
    <row r="106" spans="2:4" ht="15" thickBot="1" x14ac:dyDescent="0.45">
      <c r="B106" s="3699"/>
      <c r="C106" s="132" t="str">
        <f>B102</f>
        <v>Install Pipe Module</v>
      </c>
      <c r="D106" s="87">
        <f>SUM(D102:D105)</f>
        <v>4.0949999999999998</v>
      </c>
    </row>
    <row r="107" spans="2:4" x14ac:dyDescent="0.4">
      <c r="B107" s="3690" t="s">
        <v>2492</v>
      </c>
      <c r="C107" s="80" t="s">
        <v>2465</v>
      </c>
      <c r="D107" s="81">
        <f>((Vertical_Port_Length/SJS_deployment_spd)/(60*60))*Vertical_port_pipes_per_blanket</f>
        <v>0.23809523809523808</v>
      </c>
    </row>
    <row r="108" spans="2:4" x14ac:dyDescent="0.4">
      <c r="B108" s="3693"/>
      <c r="C108" s="102" t="s">
        <v>2455</v>
      </c>
      <c r="D108" s="109">
        <f>SJS_pipe_clamp*Vertical_port_pipes_per_blanket</f>
        <v>8.3333333333333402E-3</v>
      </c>
    </row>
    <row r="109" spans="2:4" x14ac:dyDescent="0.4">
      <c r="B109" s="3691"/>
      <c r="C109" s="83" t="s">
        <v>2456</v>
      </c>
      <c r="D109" s="84">
        <f>SJS_tension_pipe*Vertical_port_pipes_per_blanket</f>
        <v>8.3333333333333332E-3</v>
      </c>
    </row>
    <row r="110" spans="2:4" x14ac:dyDescent="0.4">
      <c r="B110" s="3691"/>
      <c r="C110" s="83" t="s">
        <v>2460</v>
      </c>
      <c r="D110" s="84">
        <f>SJS_visual_check*Vertical_port_pipes_per_blanket</f>
        <v>0.5</v>
      </c>
    </row>
    <row r="111" spans="2:4" x14ac:dyDescent="0.4">
      <c r="B111" s="3691"/>
      <c r="C111" s="83" t="s">
        <v>2461</v>
      </c>
      <c r="D111" s="84">
        <f>SJS_inserting_welding_gas*Vertical_port_pipes_per_blanket</f>
        <v>1.6666666666666666E-2</v>
      </c>
    </row>
    <row r="112" spans="2:4" x14ac:dyDescent="0.4">
      <c r="B112" s="3691"/>
      <c r="C112" s="83" t="s">
        <v>249</v>
      </c>
      <c r="D112" s="84">
        <f>(vertical_blanket_cooling_pipes*Blanket_Cooling_Weld_Time)+(vertical_blanket_drain_pipes*Blanket_Drain_Weld_Time)+(vertical_blanket_LiPb_pipes*Blanket_LiPb_Weld_Time)</f>
        <v>1.0827789968805887E-2</v>
      </c>
    </row>
    <row r="113" spans="2:4" x14ac:dyDescent="0.4">
      <c r="B113" s="3691"/>
      <c r="C113" s="83" t="s">
        <v>2462</v>
      </c>
      <c r="D113" s="84">
        <f>SJS_unclamp_pipe*Vertical_port_pipes_per_blanket</f>
        <v>8.3333333333333332E-3</v>
      </c>
    </row>
    <row r="114" spans="2:4" x14ac:dyDescent="0.4">
      <c r="B114" s="3691"/>
      <c r="C114" s="83" t="s">
        <v>2458</v>
      </c>
      <c r="D114" s="84">
        <f>0.00138888888888889*Vertical_port_pipes_per_blanket</f>
        <v>8.3333333333333402E-3</v>
      </c>
    </row>
    <row r="115" spans="2:4" x14ac:dyDescent="0.4">
      <c r="B115" s="3691"/>
      <c r="C115" s="83" t="s">
        <v>2469</v>
      </c>
      <c r="D115" s="84">
        <f>((Vertical_Port_Length/SJS_deployment_spd)/(60*60))*Vertical_port_pipes_per_blanket</f>
        <v>0.23809523809523808</v>
      </c>
    </row>
    <row r="116" spans="2:4" x14ac:dyDescent="0.4">
      <c r="B116" s="3691"/>
      <c r="C116" s="83" t="s">
        <v>2463</v>
      </c>
      <c r="D116" s="84">
        <f>SJS_Tool_Change*Vertical_port_pipes_per_blanket</f>
        <v>3</v>
      </c>
    </row>
    <row r="117" spans="2:4" x14ac:dyDescent="0.4">
      <c r="B117" s="3691"/>
      <c r="C117" s="83" t="s">
        <v>2464</v>
      </c>
      <c r="D117" s="84">
        <f>((Vertical_Port_Length/SJS_deployment_spd)/(60*60))*Vertical_port_pipes_per_blanket</f>
        <v>0.23809523809523808</v>
      </c>
    </row>
    <row r="118" spans="2:4" x14ac:dyDescent="0.4">
      <c r="B118" s="3691"/>
      <c r="C118" s="83" t="s">
        <v>2493</v>
      </c>
      <c r="D118" s="109">
        <f>SJS_pipe_clamp*Vertical_port_pipes_per_blanket</f>
        <v>8.3333333333333402E-3</v>
      </c>
    </row>
    <row r="119" spans="2:4" x14ac:dyDescent="0.4">
      <c r="B119" s="3691"/>
      <c r="C119" s="83" t="s">
        <v>2466</v>
      </c>
      <c r="D119" s="84">
        <f>PWHT_time*Vertical_port_pipes_per_blanket</f>
        <v>9</v>
      </c>
    </row>
    <row r="120" spans="2:4" x14ac:dyDescent="0.4">
      <c r="B120" s="3691"/>
      <c r="C120" s="83" t="s">
        <v>2458</v>
      </c>
      <c r="D120" s="84">
        <f>0.00138888888888889*Vertical_port_pipes_per_blanket</f>
        <v>8.3333333333333402E-3</v>
      </c>
    </row>
    <row r="121" spans="2:4" x14ac:dyDescent="0.4">
      <c r="B121" s="3691"/>
      <c r="C121" s="83" t="s">
        <v>2470</v>
      </c>
      <c r="D121" s="84">
        <f>((Vertical_Port_Length/SJS_deployment_spd)/(60*60))*Vertical_port_pipes_per_blanket</f>
        <v>0.23809523809523808</v>
      </c>
    </row>
    <row r="122" spans="2:4" x14ac:dyDescent="0.4">
      <c r="B122" s="3691"/>
      <c r="C122" s="83" t="s">
        <v>2471</v>
      </c>
      <c r="D122" s="84">
        <f>SJS_Tool_Change*Vertical_port_pipes_per_blanket</f>
        <v>3</v>
      </c>
    </row>
    <row r="123" spans="2:4" x14ac:dyDescent="0.4">
      <c r="B123" s="3691"/>
      <c r="C123" s="83" t="s">
        <v>2472</v>
      </c>
      <c r="D123" s="84">
        <f>((Vertical_Port_Length/SJS_deployment_spd)/(60*60))*Vertical_port_pipes_per_blanket</f>
        <v>0.23809523809523808</v>
      </c>
    </row>
    <row r="124" spans="2:4" x14ac:dyDescent="0.4">
      <c r="B124" s="3691"/>
      <c r="C124" s="83" t="s">
        <v>2455</v>
      </c>
      <c r="D124" s="84">
        <f>SJS_pipe_clamp*Vertical_port_pipes_per_blanket</f>
        <v>8.3333333333333402E-3</v>
      </c>
    </row>
    <row r="125" spans="2:4" x14ac:dyDescent="0.4">
      <c r="B125" s="3691"/>
      <c r="C125" s="83" t="s">
        <v>2473</v>
      </c>
      <c r="D125" s="84">
        <f>SJS_visual_check*Vertical_port_pipes_per_blanket</f>
        <v>0.5</v>
      </c>
    </row>
    <row r="126" spans="2:4" x14ac:dyDescent="0.4">
      <c r="B126" s="3691"/>
      <c r="C126" s="83" t="s">
        <v>2474</v>
      </c>
      <c r="D126" s="84">
        <f>SJS_volumetric_testing*Vertical_port_pipes_per_blanket</f>
        <v>0.49999999999999978</v>
      </c>
    </row>
    <row r="127" spans="2:4" x14ac:dyDescent="0.4">
      <c r="B127" s="3691"/>
      <c r="C127" s="83" t="s">
        <v>2475</v>
      </c>
      <c r="D127" s="84">
        <f>He_Leak_test*Vertical_port_pipes_per_blanket</f>
        <v>6</v>
      </c>
    </row>
    <row r="128" spans="2:4" x14ac:dyDescent="0.4">
      <c r="B128" s="3691"/>
      <c r="C128" s="83" t="s">
        <v>2485</v>
      </c>
      <c r="D128" s="84">
        <f>SJS_unclamp_pipe*Vertical_port_pipes_per_blanket</f>
        <v>8.3333333333333332E-3</v>
      </c>
    </row>
    <row r="129" spans="2:4" ht="15" thickBot="1" x14ac:dyDescent="0.45">
      <c r="B129" s="3697"/>
      <c r="C129" s="133" t="s">
        <v>284</v>
      </c>
      <c r="D129" s="172">
        <f>((Vertical_Port_Length/SJS_deployment_spd)/(60*60))*Vertical_port_pipes_per_blanket</f>
        <v>0.23809523809523808</v>
      </c>
    </row>
    <row r="130" spans="2:4" ht="15" thickBot="1" x14ac:dyDescent="0.45">
      <c r="B130" s="3692"/>
      <c r="C130" s="86" t="str">
        <f>B107</f>
        <v>Connect Vertical Port Pipework</v>
      </c>
      <c r="D130" s="87">
        <f>SUM(D107:D129)</f>
        <v>24.022732551873563</v>
      </c>
    </row>
    <row r="131" spans="2:4" ht="15" customHeight="1" x14ac:dyDescent="0.4">
      <c r="B131" s="3694" t="s">
        <v>257</v>
      </c>
      <c r="C131" s="80" t="s">
        <v>323</v>
      </c>
      <c r="D131" s="81">
        <v>0.83</v>
      </c>
    </row>
    <row r="132" spans="2:4" x14ac:dyDescent="0.4">
      <c r="B132" s="3695"/>
      <c r="C132" s="83" t="s">
        <v>324</v>
      </c>
      <c r="D132" s="84">
        <v>4</v>
      </c>
    </row>
    <row r="133" spans="2:4" x14ac:dyDescent="0.4">
      <c r="B133" s="3695"/>
      <c r="C133" s="83" t="s">
        <v>325</v>
      </c>
      <c r="D133" s="84">
        <v>2.5</v>
      </c>
    </row>
    <row r="134" spans="2:4" ht="15" thickBot="1" x14ac:dyDescent="0.45">
      <c r="B134" s="3695"/>
      <c r="C134" s="83" t="s">
        <v>296</v>
      </c>
      <c r="D134" s="84">
        <v>0.5</v>
      </c>
    </row>
    <row r="135" spans="2:4" ht="15" thickBot="1" x14ac:dyDescent="0.45">
      <c r="B135" s="3696"/>
      <c r="C135" s="86" t="str">
        <f>B131</f>
        <v>Connect Multipipe Flange &amp; Access Lid</v>
      </c>
      <c r="D135" s="87">
        <f>SUM(D131:D134)</f>
        <v>7.83</v>
      </c>
    </row>
    <row r="136" spans="2:4" x14ac:dyDescent="0.4">
      <c r="B136" s="3687" t="s">
        <v>258</v>
      </c>
      <c r="C136" s="116" t="s">
        <v>326</v>
      </c>
      <c r="D136" s="81">
        <f>((Vertical_Port_Length/loaded_VDS_speed)/(60*60))</f>
        <v>0.16666666666666666</v>
      </c>
    </row>
    <row r="137" spans="2:4" x14ac:dyDescent="0.4">
      <c r="B137" s="3688"/>
      <c r="C137" s="118" t="s">
        <v>2653</v>
      </c>
      <c r="D137" s="84">
        <v>0.5</v>
      </c>
    </row>
    <row r="138" spans="2:4" x14ac:dyDescent="0.4">
      <c r="B138" s="3688"/>
      <c r="C138" s="118" t="s">
        <v>298</v>
      </c>
      <c r="D138" s="84">
        <v>2</v>
      </c>
    </row>
    <row r="139" spans="2:4" x14ac:dyDescent="0.4">
      <c r="B139" s="3688"/>
      <c r="C139" s="110" t="s">
        <v>299</v>
      </c>
      <c r="D139" s="84">
        <v>0.02</v>
      </c>
    </row>
    <row r="140" spans="2:4" x14ac:dyDescent="0.4">
      <c r="B140" s="3688"/>
      <c r="C140" s="110" t="s">
        <v>300</v>
      </c>
      <c r="D140" s="84">
        <v>1</v>
      </c>
    </row>
    <row r="141" spans="2:4" ht="15" thickBot="1" x14ac:dyDescent="0.45">
      <c r="B141" s="3688"/>
      <c r="C141" s="118" t="s">
        <v>284</v>
      </c>
      <c r="D141" s="84">
        <f>((Vertical_Port_Length/unloaded_VDS_speed)/(60*60))</f>
        <v>8.3333333333333332E-3</v>
      </c>
    </row>
    <row r="142" spans="2:4" ht="15" thickBot="1" x14ac:dyDescent="0.45">
      <c r="B142" s="3689"/>
      <c r="C142" s="86" t="str">
        <f>B136</f>
        <v>Insert and Connect Shield Plug and Fixations</v>
      </c>
      <c r="D142" s="87">
        <f>SUM(D136:D141)</f>
        <v>3.6949999999999998</v>
      </c>
    </row>
    <row r="143" spans="2:4" x14ac:dyDescent="0.4">
      <c r="B143" s="3687" t="s">
        <v>36</v>
      </c>
      <c r="C143" s="116" t="s">
        <v>282</v>
      </c>
      <c r="D143" s="117">
        <f>0.8*Plug_RM_systems</f>
        <v>0.8</v>
      </c>
    </row>
    <row r="144" spans="2:4" x14ac:dyDescent="0.4">
      <c r="B144" s="3688"/>
      <c r="C144" s="118" t="s">
        <v>327</v>
      </c>
      <c r="D144" s="119">
        <f>((Plug_fixation_bolts*Plug_fixations_connection_time)*Plug_fixation_tightening_ops)/Plug_RM_systems</f>
        <v>2.5050000000000003</v>
      </c>
    </row>
    <row r="145" spans="2:4" ht="15" thickBot="1" x14ac:dyDescent="0.45">
      <c r="B145" s="3688"/>
      <c r="C145" s="118" t="s">
        <v>296</v>
      </c>
      <c r="D145" s="119">
        <f>0.8*Plug_RM_systems</f>
        <v>0.8</v>
      </c>
    </row>
    <row r="146" spans="2:4" ht="15" thickBot="1" x14ac:dyDescent="0.45">
      <c r="B146" s="3689"/>
      <c r="C146" s="86" t="str">
        <f>B143</f>
        <v>Connect Shield Plug Pipe Flange</v>
      </c>
      <c r="D146" s="87">
        <f>SUM(D143:D145)</f>
        <v>4.1050000000000004</v>
      </c>
    </row>
    <row r="147" spans="2:4" x14ac:dyDescent="0.4">
      <c r="B147" s="3690" t="s">
        <v>259</v>
      </c>
      <c r="C147" s="116" t="s">
        <v>328</v>
      </c>
      <c r="D147" s="117">
        <f>((Vertical_Port_Length/loaded_VDS_speed)/(60*60))</f>
        <v>0.16666666666666666</v>
      </c>
    </row>
    <row r="148" spans="2:4" x14ac:dyDescent="0.4">
      <c r="B148" s="3691"/>
      <c r="C148" s="118" t="s">
        <v>329</v>
      </c>
      <c r="D148" s="119">
        <v>0.2</v>
      </c>
    </row>
    <row r="149" spans="2:4" ht="15" thickBot="1" x14ac:dyDescent="0.45">
      <c r="B149" s="3691"/>
      <c r="C149" s="118" t="s">
        <v>284</v>
      </c>
      <c r="D149" s="119">
        <f>((Vertical_Port_Length/unloaded_VDS_speed)/(60*60))</f>
        <v>8.3333333333333332E-3</v>
      </c>
    </row>
    <row r="150" spans="2:4" ht="15" thickBot="1" x14ac:dyDescent="0.45">
      <c r="B150" s="3692"/>
      <c r="C150" s="86" t="str">
        <f>B147</f>
        <v>Insert Port Closure Plate</v>
      </c>
      <c r="D150" s="87">
        <f>SUM(D147:D149)</f>
        <v>0.37500000000000006</v>
      </c>
    </row>
    <row r="151" spans="2:4" x14ac:dyDescent="0.4">
      <c r="B151" s="3688" t="s">
        <v>37</v>
      </c>
      <c r="C151" s="110" t="s">
        <v>282</v>
      </c>
      <c r="D151" s="122">
        <f>0.8*PCP_fixations_RM_systems</f>
        <v>0.8</v>
      </c>
    </row>
    <row r="152" spans="2:4" x14ac:dyDescent="0.4">
      <c r="B152" s="3688"/>
      <c r="C152" s="110" t="s">
        <v>330</v>
      </c>
      <c r="D152" s="122">
        <f>(PCP_fixation_bolts*PCP_fixation_deployment)/PCP_fixations_RM_systems</f>
        <v>18</v>
      </c>
    </row>
    <row r="153" spans="2:4" x14ac:dyDescent="0.4">
      <c r="B153" s="3688"/>
      <c r="C153" s="118" t="s">
        <v>331</v>
      </c>
      <c r="D153" s="122">
        <f>((PCP_fixation_bolts*PCP_fixations_connection_time)*PCP_fixation_tightening_ops)/PCP_fixations_RM_systems</f>
        <v>10.020000000000001</v>
      </c>
    </row>
    <row r="154" spans="2:4" x14ac:dyDescent="0.4">
      <c r="B154" s="3688"/>
      <c r="C154" s="118" t="s">
        <v>2609</v>
      </c>
      <c r="D154" s="119">
        <f>0.5*PCP_fixations_RM_systems</f>
        <v>0.5</v>
      </c>
    </row>
    <row r="155" spans="2:4" ht="15" thickBot="1" x14ac:dyDescent="0.45">
      <c r="B155" s="3688"/>
      <c r="C155" s="118" t="s">
        <v>332</v>
      </c>
      <c r="D155" s="119">
        <v>5</v>
      </c>
    </row>
    <row r="156" spans="2:4" ht="15" thickBot="1" x14ac:dyDescent="0.45">
      <c r="B156" s="3689"/>
      <c r="C156" s="86" t="str">
        <f>B151</f>
        <v>Connect Port Closure Plate</v>
      </c>
      <c r="D156" s="87">
        <f>SUM(D151:D155)</f>
        <v>34.32</v>
      </c>
    </row>
    <row r="157" spans="2:4" x14ac:dyDescent="0.4">
      <c r="B157" s="3687" t="s">
        <v>260</v>
      </c>
      <c r="C157" s="116" t="s">
        <v>260</v>
      </c>
      <c r="D157" s="121">
        <f>((Vertical_Port_Length/loaded_VDS_speed)/(60*60))</f>
        <v>0.16666666666666666</v>
      </c>
    </row>
    <row r="158" spans="2:4" x14ac:dyDescent="0.4">
      <c r="B158" s="3688"/>
      <c r="C158" s="118" t="s">
        <v>333</v>
      </c>
      <c r="D158" s="122">
        <v>2</v>
      </c>
    </row>
    <row r="159" spans="2:4" ht="15" thickBot="1" x14ac:dyDescent="0.45">
      <c r="B159" s="3688"/>
      <c r="C159" s="118" t="s">
        <v>284</v>
      </c>
      <c r="D159" s="122">
        <f>((Vertical_Port_Length/unloaded_VDS_speed)/(60*60))</f>
        <v>8.3333333333333332E-3</v>
      </c>
    </row>
    <row r="160" spans="2:4" ht="15" thickBot="1" x14ac:dyDescent="0.45">
      <c r="B160" s="3689"/>
      <c r="C160" s="86" t="str">
        <f>B157</f>
        <v>Insert ECH</v>
      </c>
      <c r="D160" s="87">
        <f>SUM(D157:D159)</f>
        <v>2.1749999999999998</v>
      </c>
    </row>
    <row r="161" spans="2:4" x14ac:dyDescent="0.4">
      <c r="B161" s="3687" t="s">
        <v>261</v>
      </c>
      <c r="C161" s="116" t="s">
        <v>282</v>
      </c>
      <c r="D161" s="117">
        <f>0.8*ECH_fixation_systems</f>
        <v>0.8</v>
      </c>
    </row>
    <row r="162" spans="2:4" x14ac:dyDescent="0.4">
      <c r="B162" s="3688"/>
      <c r="C162" s="118" t="s">
        <v>334</v>
      </c>
      <c r="D162" s="119">
        <v>2</v>
      </c>
    </row>
    <row r="163" spans="2:4" x14ac:dyDescent="0.4">
      <c r="B163" s="3688"/>
      <c r="C163" s="118" t="s">
        <v>335</v>
      </c>
      <c r="D163" s="119">
        <f>(ECH_fixation_deployment*ECH_fixation_bolts)/ECH_fixation_systems</f>
        <v>6</v>
      </c>
    </row>
    <row r="164" spans="2:4" x14ac:dyDescent="0.4">
      <c r="B164" s="3688"/>
      <c r="C164" s="118" t="s">
        <v>336</v>
      </c>
      <c r="D164" s="119">
        <f>((ECH_fixations_connection_time*ECH_fixation_bolts)*ECH_fixation_tightening_ops)/ECH_fixation_systems</f>
        <v>3.3400000000000003</v>
      </c>
    </row>
    <row r="165" spans="2:4" x14ac:dyDescent="0.4">
      <c r="B165" s="3688"/>
      <c r="C165" s="118" t="s">
        <v>2418</v>
      </c>
      <c r="D165" s="119">
        <f>0.325*ECH_fixation_systems</f>
        <v>0.32500000000000001</v>
      </c>
    </row>
    <row r="166" spans="2:4" x14ac:dyDescent="0.4">
      <c r="B166" s="3688"/>
      <c r="C166" s="118" t="s">
        <v>2419</v>
      </c>
      <c r="D166" s="119">
        <f>(ECH_cooling_pipes*ECH_cooling_connection_time)/ECH_fixation_systems</f>
        <v>1.6</v>
      </c>
    </row>
    <row r="167" spans="2:4" ht="15" thickBot="1" x14ac:dyDescent="0.45">
      <c r="B167" s="3688"/>
      <c r="C167" s="118" t="s">
        <v>2610</v>
      </c>
      <c r="D167" s="119">
        <f>0.5*ECH_fixation_systems</f>
        <v>0.5</v>
      </c>
    </row>
    <row r="168" spans="2:4" ht="15" thickBot="1" x14ac:dyDescent="0.45">
      <c r="B168" s="3689"/>
      <c r="C168" s="86" t="str">
        <f>B161</f>
        <v>Connect ECH</v>
      </c>
      <c r="D168" s="87">
        <f>SUM(D161:D167)</f>
        <v>14.565</v>
      </c>
    </row>
    <row r="169" spans="2:4" ht="15" customHeight="1" x14ac:dyDescent="0.4">
      <c r="B169" s="3690" t="s">
        <v>2407</v>
      </c>
      <c r="C169" s="195" t="s">
        <v>1559</v>
      </c>
      <c r="D169" s="196">
        <f>((Vertical_Port_Length/MFM_deployment_spd)/(60*60))</f>
        <v>8.3333333333333329E-2</v>
      </c>
    </row>
    <row r="170" spans="2:4" x14ac:dyDescent="0.4">
      <c r="B170" s="3693"/>
      <c r="C170" s="2418" t="s">
        <v>707</v>
      </c>
      <c r="D170" s="185">
        <v>0.2</v>
      </c>
    </row>
    <row r="171" spans="2:4" x14ac:dyDescent="0.4">
      <c r="B171" s="3693"/>
      <c r="C171" s="2416" t="s">
        <v>699</v>
      </c>
      <c r="D171" s="2417">
        <v>0.5</v>
      </c>
    </row>
    <row r="172" spans="2:4" ht="15.75" customHeight="1" thickBot="1" x14ac:dyDescent="0.45">
      <c r="B172" s="3691"/>
      <c r="C172" s="115" t="s">
        <v>2010</v>
      </c>
      <c r="D172" s="185">
        <f>((Vertical_Port_Length/MFM_deployment_spd)/(60*60))</f>
        <v>8.3333333333333329E-2</v>
      </c>
    </row>
    <row r="173" spans="2:4" ht="15.75" customHeight="1" thickBot="1" x14ac:dyDescent="0.45">
      <c r="B173" s="3692"/>
      <c r="C173" s="86" t="str">
        <f>B169</f>
        <v>Disconnect CCS Services</v>
      </c>
      <c r="D173" s="87">
        <f>SUM(D169:D172)</f>
        <v>0.8666666666666667</v>
      </c>
    </row>
    <row r="174" spans="2:4" x14ac:dyDescent="0.4">
      <c r="B174" s="3690" t="s">
        <v>262</v>
      </c>
      <c r="C174" s="113" t="s">
        <v>337</v>
      </c>
      <c r="D174" s="183">
        <v>0.3</v>
      </c>
    </row>
    <row r="175" spans="2:4" x14ac:dyDescent="0.4">
      <c r="B175" s="3691"/>
      <c r="C175" s="115" t="s">
        <v>338</v>
      </c>
      <c r="D175" s="185">
        <v>0.3</v>
      </c>
    </row>
    <row r="176" spans="2:4" ht="15" thickBot="1" x14ac:dyDescent="0.45">
      <c r="B176" s="3697"/>
      <c r="C176" s="135" t="s">
        <v>332</v>
      </c>
      <c r="D176" s="184">
        <v>5</v>
      </c>
    </row>
    <row r="177" spans="2:4" ht="15" thickBot="1" x14ac:dyDescent="0.45">
      <c r="B177" s="3692"/>
      <c r="C177" s="86" t="str">
        <f>B174</f>
        <v>Close Contamination Control Door</v>
      </c>
      <c r="D177" s="87">
        <f>SUM(D174:D176)</f>
        <v>5.6</v>
      </c>
    </row>
    <row r="178" spans="2:4" x14ac:dyDescent="0.4">
      <c r="B178" s="3687" t="s">
        <v>46</v>
      </c>
      <c r="C178" s="108" t="s">
        <v>339</v>
      </c>
      <c r="D178" s="81">
        <v>0.5</v>
      </c>
    </row>
    <row r="179" spans="2:4" x14ac:dyDescent="0.4">
      <c r="B179" s="3688"/>
      <c r="C179" s="110" t="s">
        <v>340</v>
      </c>
      <c r="D179" s="84">
        <v>0.2</v>
      </c>
    </row>
    <row r="180" spans="2:4" x14ac:dyDescent="0.4">
      <c r="B180" s="3688"/>
      <c r="C180" s="112" t="s">
        <v>284</v>
      </c>
      <c r="D180" s="182">
        <v>0.2</v>
      </c>
    </row>
    <row r="181" spans="2:4" ht="15" thickBot="1" x14ac:dyDescent="0.45">
      <c r="B181" s="3688"/>
      <c r="C181" s="112" t="s">
        <v>281</v>
      </c>
      <c r="D181" s="182">
        <v>0.2</v>
      </c>
    </row>
    <row r="182" spans="2:4" ht="15" thickBot="1" x14ac:dyDescent="0.45">
      <c r="B182" s="3688"/>
      <c r="C182" s="127" t="str">
        <f>B178</f>
        <v>Seal Bioshield</v>
      </c>
      <c r="D182" s="187">
        <f>SUM(D178:D181)</f>
        <v>1.0999999999999999</v>
      </c>
    </row>
    <row r="183" spans="2:4" x14ac:dyDescent="0.4">
      <c r="B183" s="3687" t="s">
        <v>341</v>
      </c>
      <c r="C183" s="108" t="s">
        <v>342</v>
      </c>
      <c r="D183" s="81">
        <v>0.75</v>
      </c>
    </row>
    <row r="184" spans="2:4" x14ac:dyDescent="0.4">
      <c r="B184" s="3688"/>
      <c r="C184" s="110" t="s">
        <v>343</v>
      </c>
      <c r="D184" s="84">
        <v>5</v>
      </c>
    </row>
    <row r="185" spans="2:4" x14ac:dyDescent="0.4">
      <c r="B185" s="3688"/>
      <c r="C185" s="112" t="s">
        <v>344</v>
      </c>
      <c r="D185" s="182">
        <v>2</v>
      </c>
    </row>
    <row r="186" spans="2:4" ht="15" thickBot="1" x14ac:dyDescent="0.45">
      <c r="B186" s="3688"/>
      <c r="C186" s="112" t="s">
        <v>345</v>
      </c>
      <c r="D186" s="182">
        <v>0.75</v>
      </c>
    </row>
    <row r="187" spans="2:4" ht="15" thickBot="1" x14ac:dyDescent="0.45">
      <c r="B187" s="3689"/>
      <c r="C187" s="136" t="str">
        <f>B183</f>
        <v>Inspect the Port</v>
      </c>
      <c r="D187" s="192">
        <f>SUM(D183:D186)</f>
        <v>8.5</v>
      </c>
    </row>
    <row r="188" spans="2:4" x14ac:dyDescent="0.4">
      <c r="B188" s="3687" t="s">
        <v>255</v>
      </c>
      <c r="C188" s="108" t="s">
        <v>346</v>
      </c>
      <c r="D188" s="81">
        <v>0.75</v>
      </c>
    </row>
    <row r="189" spans="2:4" x14ac:dyDescent="0.4">
      <c r="B189" s="3688"/>
      <c r="C189" s="110" t="s">
        <v>347</v>
      </c>
      <c r="D189" s="84">
        <v>4</v>
      </c>
    </row>
    <row r="190" spans="2:4" x14ac:dyDescent="0.4">
      <c r="B190" s="3688"/>
      <c r="C190" s="112" t="s">
        <v>348</v>
      </c>
      <c r="D190" s="182">
        <v>3</v>
      </c>
    </row>
    <row r="191" spans="2:4" ht="15" thickBot="1" x14ac:dyDescent="0.45">
      <c r="B191" s="3688"/>
      <c r="C191" s="112" t="s">
        <v>349</v>
      </c>
      <c r="D191" s="182">
        <v>0.75</v>
      </c>
    </row>
    <row r="192" spans="2:4" ht="15" thickBot="1" x14ac:dyDescent="0.45">
      <c r="B192" s="3689"/>
      <c r="C192" s="136" t="str">
        <f>B188</f>
        <v>Clean/re-condition port hardware</v>
      </c>
      <c r="D192" s="192">
        <f>SUM(D188:D191)</f>
        <v>8.5</v>
      </c>
    </row>
    <row r="193" spans="2:4" ht="15" thickBot="1" x14ac:dyDescent="0.45">
      <c r="B193" s="152" t="s">
        <v>557</v>
      </c>
      <c r="C193" s="153" t="str">
        <f>B193</f>
        <v>Hardware Recovery Required</v>
      </c>
      <c r="D193" s="193">
        <v>0</v>
      </c>
    </row>
    <row r="194" spans="2:4" ht="15" thickBot="1" x14ac:dyDescent="0.45">
      <c r="B194" s="152" t="s">
        <v>559</v>
      </c>
      <c r="C194" s="153" t="str">
        <f>B194</f>
        <v>Equipment Recovery Required</v>
      </c>
      <c r="D194" s="193">
        <v>0</v>
      </c>
    </row>
    <row r="195" spans="2:4" ht="15" thickBot="1" x14ac:dyDescent="0.45">
      <c r="B195" s="152" t="s">
        <v>560</v>
      </c>
      <c r="C195" s="153" t="str">
        <f>B195</f>
        <v>Man-in-loop recovery work</v>
      </c>
      <c r="D195" s="193">
        <v>12</v>
      </c>
    </row>
  </sheetData>
  <sheetProtection algorithmName="SHA-512" hashValue="p7heU4e7TnSQTOcGEkLR0IUzNDC0CamMFIk2UyHQUnS6YNjDOHryM405OZCAkJF9pEdFJr2jQ+7rOO/NksKqWQ==" saltValue="fuNQAPXyiNuFaahJL8RuLw==" spinCount="100000" sheet="1" objects="1" scenarios="1"/>
  <customSheetViews>
    <customSheetView guid="{9C0AA20B-B2A2-4A2C-B279-4A5988F4E71A}">
      <selection activeCell="I131" sqref="I131"/>
      <pageMargins left="0.7" right="0.7" top="0.75" bottom="0.75" header="0.3" footer="0.3"/>
      <pageSetup paperSize="9" orientation="portrait" verticalDpi="0" r:id="rId1"/>
    </customSheetView>
  </customSheetViews>
  <mergeCells count="32">
    <mergeCell ref="B174:B177"/>
    <mergeCell ref="B183:B187"/>
    <mergeCell ref="B188:B192"/>
    <mergeCell ref="B85:B93"/>
    <mergeCell ref="B147:B150"/>
    <mergeCell ref="B178:B182"/>
    <mergeCell ref="B95:B101"/>
    <mergeCell ref="B102:B106"/>
    <mergeCell ref="B131:B135"/>
    <mergeCell ref="B136:B142"/>
    <mergeCell ref="B143:B146"/>
    <mergeCell ref="B107:B130"/>
    <mergeCell ref="B151:B156"/>
    <mergeCell ref="B157:B160"/>
    <mergeCell ref="B161:B168"/>
    <mergeCell ref="B169:B173"/>
    <mergeCell ref="B2:D2"/>
    <mergeCell ref="B5:B8"/>
    <mergeCell ref="B29:B31"/>
    <mergeCell ref="B72:B79"/>
    <mergeCell ref="B80:B84"/>
    <mergeCell ref="B32:B39"/>
    <mergeCell ref="B56:B61"/>
    <mergeCell ref="B40:B43"/>
    <mergeCell ref="B52:B55"/>
    <mergeCell ref="B62:B66"/>
    <mergeCell ref="B67:B71"/>
    <mergeCell ref="B44:B51"/>
    <mergeCell ref="B26:B28"/>
    <mergeCell ref="B9:B11"/>
    <mergeCell ref="B12:B19"/>
    <mergeCell ref="B20:B25"/>
  </mergeCells>
  <conditionalFormatting sqref="C1:D1048576">
    <cfRule type="expression" dxfId="5031" priority="1">
      <formula>_xlfn.ISFORMULA($D1)</formula>
    </cfRule>
  </conditionalFormatting>
  <dataValidations disablePrompts="1" count="1">
    <dataValidation type="list" allowBlank="1" showInputMessage="1" showErrorMessage="1" sqref="E5:E195">
      <formula1>RM_task_type</formula1>
    </dataValidation>
  </dataValidations>
  <pageMargins left="0.7" right="0.7" top="0.75" bottom="0.75" header="0.3" footer="0.3"/>
  <pageSetup paperSize="9" orientation="portrait" verticalDpi="0" r:id="rId2"/>
  <ignoredErrors>
    <ignoredError sqref="D119 D116 D12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39997558519241921"/>
  </sheetPr>
  <dimension ref="B1:E222"/>
  <sheetViews>
    <sheetView workbookViewId="0">
      <selection activeCell="B26" sqref="B26:B42"/>
    </sheetView>
  </sheetViews>
  <sheetFormatPr defaultRowHeight="14.6" x14ac:dyDescent="0.4"/>
  <cols>
    <col min="1" max="1" width="3.69140625" customWidth="1"/>
    <col min="2" max="2" width="36.53515625" style="79" customWidth="1"/>
    <col min="3" max="3" width="49.53515625" style="89" bestFit="1" customWidth="1"/>
    <col min="4" max="4" width="9.15234375" style="104"/>
  </cols>
  <sheetData>
    <row r="1" spans="2:4" ht="15" thickBot="1" x14ac:dyDescent="0.45"/>
    <row r="2" spans="2:4" ht="18.899999999999999" thickBot="1" x14ac:dyDescent="0.55000000000000004">
      <c r="B2" s="3684" t="s">
        <v>277</v>
      </c>
      <c r="C2" s="3685"/>
      <c r="D2" s="3686"/>
    </row>
    <row r="3" spans="2:4" ht="15" thickBot="1" x14ac:dyDescent="0.45">
      <c r="B3" s="105" t="s">
        <v>251</v>
      </c>
      <c r="C3" s="97" t="s">
        <v>278</v>
      </c>
      <c r="D3" s="181" t="s">
        <v>2619</v>
      </c>
    </row>
    <row r="4" spans="2:4" ht="15" thickBot="1" x14ac:dyDescent="0.45">
      <c r="B4" s="137" t="s">
        <v>267</v>
      </c>
      <c r="C4" s="138" t="str">
        <f>B4</f>
        <v>Cassette Removal Required</v>
      </c>
      <c r="D4" s="2478">
        <v>0</v>
      </c>
    </row>
    <row r="5" spans="2:4" x14ac:dyDescent="0.4">
      <c r="B5" s="3698" t="s">
        <v>268</v>
      </c>
      <c r="C5" s="91" t="s">
        <v>350</v>
      </c>
      <c r="D5" s="81">
        <v>0.5</v>
      </c>
    </row>
    <row r="6" spans="2:4" x14ac:dyDescent="0.4">
      <c r="B6" s="3699"/>
      <c r="C6" s="92" t="s">
        <v>351</v>
      </c>
      <c r="D6" s="84">
        <v>0.2</v>
      </c>
    </row>
    <row r="7" spans="2:4" ht="15" thickBot="1" x14ac:dyDescent="0.45">
      <c r="B7" s="3699"/>
      <c r="C7" s="139" t="s">
        <v>281</v>
      </c>
      <c r="D7" s="182">
        <v>0.2</v>
      </c>
    </row>
    <row r="8" spans="2:4" ht="15" thickBot="1" x14ac:dyDescent="0.45">
      <c r="B8" s="3700"/>
      <c r="C8" s="140" t="str">
        <f>B5</f>
        <v>Open Lower Port Plug</v>
      </c>
      <c r="D8" s="2475">
        <f>SUM(D5:D7)</f>
        <v>0.89999999999999991</v>
      </c>
    </row>
    <row r="9" spans="2:4" ht="15" customHeight="1" x14ac:dyDescent="0.4">
      <c r="B9" s="3690" t="s">
        <v>603</v>
      </c>
      <c r="C9" s="113" t="s">
        <v>604</v>
      </c>
      <c r="D9" s="183">
        <v>0.3</v>
      </c>
    </row>
    <row r="10" spans="2:4" ht="15" thickBot="1" x14ac:dyDescent="0.45">
      <c r="B10" s="3697"/>
      <c r="C10" s="135" t="s">
        <v>605</v>
      </c>
      <c r="D10" s="184">
        <v>0.2</v>
      </c>
    </row>
    <row r="11" spans="2:4" ht="15" thickBot="1" x14ac:dyDescent="0.45">
      <c r="B11" s="3692"/>
      <c r="C11" s="158" t="str">
        <f>B9</f>
        <v>Install Contamination Control System</v>
      </c>
      <c r="D11" s="159">
        <f>SUM(D9:D10)</f>
        <v>0.5</v>
      </c>
    </row>
    <row r="12" spans="2:4" ht="15" customHeight="1" x14ac:dyDescent="0.4">
      <c r="B12" s="3690" t="s">
        <v>600</v>
      </c>
      <c r="C12" s="113" t="s">
        <v>601</v>
      </c>
      <c r="D12" s="183">
        <v>0.2</v>
      </c>
    </row>
    <row r="13" spans="2:4" ht="15.75" customHeight="1" thickBot="1" x14ac:dyDescent="0.45">
      <c r="B13" s="3691"/>
      <c r="C13" s="115" t="s">
        <v>602</v>
      </c>
      <c r="D13" s="185">
        <v>2</v>
      </c>
    </row>
    <row r="14" spans="2:4" ht="15.75" customHeight="1" thickBot="1" x14ac:dyDescent="0.45">
      <c r="B14" s="3692"/>
      <c r="C14" s="158" t="str">
        <f>B12</f>
        <v>Commission Contamination Control System</v>
      </c>
      <c r="D14" s="159">
        <f>D13+D12</f>
        <v>2.2000000000000002</v>
      </c>
    </row>
    <row r="15" spans="2:4" ht="15" customHeight="1" x14ac:dyDescent="0.4">
      <c r="B15" s="3690" t="s">
        <v>1</v>
      </c>
      <c r="C15" s="113" t="s">
        <v>264</v>
      </c>
      <c r="D15" s="183">
        <v>0.3</v>
      </c>
    </row>
    <row r="16" spans="2:4" ht="15.75" customHeight="1" thickBot="1" x14ac:dyDescent="0.45">
      <c r="B16" s="3691"/>
      <c r="C16" s="115" t="s">
        <v>265</v>
      </c>
      <c r="D16" s="185">
        <v>0.3</v>
      </c>
    </row>
    <row r="17" spans="2:4" ht="15.75" customHeight="1" thickBot="1" x14ac:dyDescent="0.45">
      <c r="B17" s="3692"/>
      <c r="C17" s="158" t="str">
        <f>B15</f>
        <v>Open Contamination Control Door</v>
      </c>
      <c r="D17" s="159">
        <f>D16+D15</f>
        <v>0.6</v>
      </c>
    </row>
    <row r="18" spans="2:4" ht="15" customHeight="1" x14ac:dyDescent="0.4">
      <c r="B18" s="3687" t="s">
        <v>596</v>
      </c>
      <c r="C18" s="116" t="s">
        <v>282</v>
      </c>
      <c r="D18" s="117">
        <v>0.8</v>
      </c>
    </row>
    <row r="19" spans="2:4" ht="15" customHeight="1" x14ac:dyDescent="0.4">
      <c r="B19" s="3688"/>
      <c r="C19" s="118" t="s">
        <v>597</v>
      </c>
      <c r="D19" s="119">
        <v>2</v>
      </c>
    </row>
    <row r="20" spans="2:4" x14ac:dyDescent="0.4">
      <c r="B20" s="3688"/>
      <c r="C20" s="118" t="s">
        <v>599</v>
      </c>
      <c r="D20" s="119">
        <v>0.5</v>
      </c>
    </row>
    <row r="21" spans="2:4" ht="15" customHeight="1" x14ac:dyDescent="0.4">
      <c r="B21" s="3688"/>
      <c r="C21" s="118" t="s">
        <v>598</v>
      </c>
      <c r="D21" s="119">
        <v>0.3</v>
      </c>
    </row>
    <row r="22" spans="2:4" ht="15" customHeight="1" x14ac:dyDescent="0.4">
      <c r="B22" s="3688"/>
      <c r="C22" s="118" t="s">
        <v>597</v>
      </c>
      <c r="D22" s="119">
        <v>2</v>
      </c>
    </row>
    <row r="23" spans="2:4" x14ac:dyDescent="0.4">
      <c r="B23" s="3688"/>
      <c r="C23" s="118" t="s">
        <v>599</v>
      </c>
      <c r="D23" s="119">
        <v>0.5</v>
      </c>
    </row>
    <row r="24" spans="2:4" ht="15.75" customHeight="1" thickBot="1" x14ac:dyDescent="0.45">
      <c r="B24" s="3688"/>
      <c r="C24" s="118" t="s">
        <v>284</v>
      </c>
      <c r="D24" s="119">
        <v>0.67222222222222228</v>
      </c>
    </row>
    <row r="25" spans="2:4" ht="15" thickBot="1" x14ac:dyDescent="0.45">
      <c r="B25" s="3689"/>
      <c r="C25" s="158" t="str">
        <f>B18</f>
        <v>Perform Health Physics Checks</v>
      </c>
      <c r="D25" s="159">
        <f>SUM(D18:D24)</f>
        <v>6.7722222222222221</v>
      </c>
    </row>
    <row r="26" spans="2:4" ht="15" customHeight="1" x14ac:dyDescent="0.4">
      <c r="B26" s="3687" t="s">
        <v>2385</v>
      </c>
      <c r="C26" s="116" t="s">
        <v>282</v>
      </c>
      <c r="D26" s="117">
        <v>0.8</v>
      </c>
    </row>
    <row r="27" spans="2:4" ht="15" customHeight="1" x14ac:dyDescent="0.4">
      <c r="B27" s="3688"/>
      <c r="C27" s="118" t="s">
        <v>2392</v>
      </c>
      <c r="D27" s="119">
        <v>2</v>
      </c>
    </row>
    <row r="28" spans="2:4" ht="15" customHeight="1" x14ac:dyDescent="0.4">
      <c r="B28" s="3688"/>
      <c r="C28" s="118" t="s">
        <v>598</v>
      </c>
      <c r="D28" s="119">
        <v>0.3</v>
      </c>
    </row>
    <row r="29" spans="2:4" ht="15" customHeight="1" x14ac:dyDescent="0.4">
      <c r="B29" s="3688"/>
      <c r="C29" s="118" t="s">
        <v>2393</v>
      </c>
      <c r="D29" s="119">
        <v>2</v>
      </c>
    </row>
    <row r="30" spans="2:4" ht="15.75" customHeight="1" thickBot="1" x14ac:dyDescent="0.45">
      <c r="B30" s="3688"/>
      <c r="C30" s="118" t="s">
        <v>284</v>
      </c>
      <c r="D30" s="119">
        <v>0.67222222222222228</v>
      </c>
    </row>
    <row r="31" spans="2:4" ht="15" thickBot="1" x14ac:dyDescent="0.45">
      <c r="B31" s="3689"/>
      <c r="C31" s="158" t="str">
        <f>B26</f>
        <v>Perform engineering checks</v>
      </c>
      <c r="D31" s="159">
        <f>SUM(D26:D30)</f>
        <v>5.7722222222222221</v>
      </c>
    </row>
    <row r="32" spans="2:4" ht="15" customHeight="1" x14ac:dyDescent="0.4">
      <c r="B32" s="3687" t="s">
        <v>684</v>
      </c>
      <c r="C32" s="116" t="s">
        <v>282</v>
      </c>
      <c r="D32" s="117">
        <v>0.79722222222222228</v>
      </c>
    </row>
    <row r="33" spans="2:4" x14ac:dyDescent="0.4">
      <c r="B33" s="3688"/>
      <c r="C33" s="118" t="s">
        <v>685</v>
      </c>
      <c r="D33" s="119">
        <v>5</v>
      </c>
    </row>
    <row r="34" spans="2:4" x14ac:dyDescent="0.4">
      <c r="B34" s="3688"/>
      <c r="C34" s="118" t="s">
        <v>686</v>
      </c>
      <c r="D34" s="119">
        <v>0.3</v>
      </c>
    </row>
    <row r="35" spans="2:4" x14ac:dyDescent="0.4">
      <c r="B35" s="3688"/>
      <c r="C35" s="83" t="s">
        <v>448</v>
      </c>
      <c r="D35" s="111">
        <v>4</v>
      </c>
    </row>
    <row r="36" spans="2:4" ht="15" thickBot="1" x14ac:dyDescent="0.45">
      <c r="B36" s="3688"/>
      <c r="C36" s="118" t="s">
        <v>296</v>
      </c>
      <c r="D36" s="119">
        <v>0.79722222222222228</v>
      </c>
    </row>
    <row r="37" spans="2:4" ht="15" thickBot="1" x14ac:dyDescent="0.45">
      <c r="B37" s="3689"/>
      <c r="C37" s="158" t="str">
        <f>B32</f>
        <v>Install Threshold Rails</v>
      </c>
      <c r="D37" s="159">
        <f>SUM(D32:D36)</f>
        <v>10.894444444444444</v>
      </c>
    </row>
    <row r="38" spans="2:4" ht="15" customHeight="1" x14ac:dyDescent="0.4">
      <c r="B38" s="3687" t="s">
        <v>687</v>
      </c>
      <c r="C38" s="116" t="s">
        <v>282</v>
      </c>
      <c r="D38" s="117">
        <f>(Divertor_Port_Length/unloaded_IPD_speed)/3600</f>
        <v>1.6666666666666666E-2</v>
      </c>
    </row>
    <row r="39" spans="2:4" x14ac:dyDescent="0.4">
      <c r="B39" s="3688"/>
      <c r="C39" s="118" t="s">
        <v>434</v>
      </c>
      <c r="D39" s="119">
        <f>(pumping_power_disconnection*pumping_power_connections)/60</f>
        <v>6.9166666666666654E-2</v>
      </c>
    </row>
    <row r="40" spans="2:4" x14ac:dyDescent="0.4">
      <c r="B40" s="3688"/>
      <c r="C40" s="83" t="s">
        <v>435</v>
      </c>
      <c r="D40" s="111">
        <f>(pumping_pipework_connections*pumping_pipe_disconnection_time)/60</f>
        <v>0.04</v>
      </c>
    </row>
    <row r="41" spans="2:4" ht="15" thickBot="1" x14ac:dyDescent="0.45">
      <c r="B41" s="3688"/>
      <c r="C41" s="118" t="s">
        <v>296</v>
      </c>
      <c r="D41" s="119">
        <f>(Divertor_Port_Length/loaded_IPD_speed)/3600</f>
        <v>0.33333333333333331</v>
      </c>
    </row>
    <row r="42" spans="2:4" ht="15" thickBot="1" x14ac:dyDescent="0.45">
      <c r="B42" s="3689"/>
      <c r="C42" s="158" t="str">
        <f>B38</f>
        <v>Disconnect Diagnostic services</v>
      </c>
      <c r="D42" s="159">
        <f>SUM(D38:D41)</f>
        <v>0.45916666666666661</v>
      </c>
    </row>
    <row r="43" spans="2:4" ht="15" customHeight="1" x14ac:dyDescent="0.4">
      <c r="B43" s="3687" t="s">
        <v>688</v>
      </c>
      <c r="C43" s="116" t="s">
        <v>282</v>
      </c>
      <c r="D43" s="117">
        <f>(Divertor_Port_Length/unloaded_IPD_speed)/3600</f>
        <v>1.6666666666666666E-2</v>
      </c>
    </row>
    <row r="44" spans="2:4" x14ac:dyDescent="0.4">
      <c r="B44" s="3688"/>
      <c r="C44" s="118" t="s">
        <v>691</v>
      </c>
      <c r="D44" s="119">
        <v>2</v>
      </c>
    </row>
    <row r="45" spans="2:4" x14ac:dyDescent="0.4">
      <c r="B45" s="3688"/>
      <c r="C45" s="83" t="s">
        <v>689</v>
      </c>
      <c r="D45" s="111">
        <v>1</v>
      </c>
    </row>
    <row r="46" spans="2:4" ht="15" thickBot="1" x14ac:dyDescent="0.45">
      <c r="B46" s="3688"/>
      <c r="C46" s="118" t="s">
        <v>690</v>
      </c>
      <c r="D46" s="119">
        <f>(Divertor_Port_Length/loaded_IPD_speed)/3600</f>
        <v>0.33333333333333331</v>
      </c>
    </row>
    <row r="47" spans="2:4" ht="15" thickBot="1" x14ac:dyDescent="0.45">
      <c r="B47" s="3689"/>
      <c r="C47" s="158" t="str">
        <f>B43</f>
        <v>Disconnect shielding modules</v>
      </c>
      <c r="D47" s="159">
        <f>SUM(D43:D46)</f>
        <v>3.35</v>
      </c>
    </row>
    <row r="48" spans="2:4" ht="15" customHeight="1" x14ac:dyDescent="0.4">
      <c r="B48" s="3701" t="s">
        <v>269</v>
      </c>
      <c r="C48" s="80" t="s">
        <v>282</v>
      </c>
      <c r="D48" s="81">
        <v>0.83</v>
      </c>
    </row>
    <row r="49" spans="2:4" x14ac:dyDescent="0.4">
      <c r="B49" s="3702"/>
      <c r="C49" s="83" t="s">
        <v>303</v>
      </c>
      <c r="D49" s="84">
        <v>2</v>
      </c>
    </row>
    <row r="50" spans="2:4" ht="15" thickBot="1" x14ac:dyDescent="0.45">
      <c r="B50" s="3702"/>
      <c r="C50" s="83" t="s">
        <v>304</v>
      </c>
      <c r="D50" s="84">
        <v>1</v>
      </c>
    </row>
    <row r="51" spans="2:4" ht="15" thickBot="1" x14ac:dyDescent="0.45">
      <c r="B51" s="3703"/>
      <c r="C51" s="140" t="str">
        <f>B48</f>
        <v>Remove Lower Port Pipework Access Lid</v>
      </c>
      <c r="D51" s="2475">
        <f>SUM(D48:D50)</f>
        <v>3.83</v>
      </c>
    </row>
    <row r="52" spans="2:4" ht="15" customHeight="1" x14ac:dyDescent="0.4">
      <c r="B52" s="3687" t="s">
        <v>433</v>
      </c>
      <c r="C52" s="116" t="s">
        <v>282</v>
      </c>
      <c r="D52" s="117">
        <v>0.79722222222222228</v>
      </c>
    </row>
    <row r="53" spans="2:4" x14ac:dyDescent="0.4">
      <c r="B53" s="3688"/>
      <c r="C53" s="118" t="s">
        <v>434</v>
      </c>
      <c r="D53" s="119">
        <f>(pumping_power_disconnection*pumping_power_connections)</f>
        <v>4.1499999999999995</v>
      </c>
    </row>
    <row r="54" spans="2:4" x14ac:dyDescent="0.4">
      <c r="B54" s="3688"/>
      <c r="C54" s="83" t="s">
        <v>435</v>
      </c>
      <c r="D54" s="111">
        <f>(pumping_pipework_connections*pumping_pipe_disconnection_time)</f>
        <v>2.4</v>
      </c>
    </row>
    <row r="55" spans="2:4" ht="15" thickBot="1" x14ac:dyDescent="0.45">
      <c r="B55" s="3688"/>
      <c r="C55" s="118" t="s">
        <v>296</v>
      </c>
      <c r="D55" s="119">
        <v>0.79722222222222228</v>
      </c>
    </row>
    <row r="56" spans="2:4" ht="15" thickBot="1" x14ac:dyDescent="0.45">
      <c r="B56" s="3689"/>
      <c r="C56" s="158" t="str">
        <f>B52</f>
        <v>Disconnect vacuum pumping system</v>
      </c>
      <c r="D56" s="159">
        <f>SUM(D52:D55)</f>
        <v>8.1444444444444439</v>
      </c>
    </row>
    <row r="57" spans="2:4" ht="15" customHeight="1" x14ac:dyDescent="0.4">
      <c r="B57" s="3701" t="s">
        <v>436</v>
      </c>
      <c r="C57" s="80" t="s">
        <v>437</v>
      </c>
      <c r="D57" s="81">
        <f>vacuum_transport_connection_time</f>
        <v>0.5</v>
      </c>
    </row>
    <row r="58" spans="2:4" x14ac:dyDescent="0.4">
      <c r="B58" s="3702"/>
      <c r="C58" s="83" t="s">
        <v>438</v>
      </c>
      <c r="D58" s="84">
        <v>0.2</v>
      </c>
    </row>
    <row r="59" spans="2:4" ht="15" thickBot="1" x14ac:dyDescent="0.45">
      <c r="B59" s="3702"/>
      <c r="C59" s="83" t="s">
        <v>439</v>
      </c>
      <c r="D59" s="84">
        <v>3</v>
      </c>
    </row>
    <row r="60" spans="2:4" ht="15" thickBot="1" x14ac:dyDescent="0.45">
      <c r="B60" s="3703"/>
      <c r="C60" s="140" t="str">
        <f>B57</f>
        <v>Lift pumping assembly from port</v>
      </c>
      <c r="D60" s="2475">
        <f>SUM(D57:D59)</f>
        <v>3.7</v>
      </c>
    </row>
    <row r="61" spans="2:4" ht="15" customHeight="1" x14ac:dyDescent="0.4">
      <c r="B61" s="3690" t="s">
        <v>440</v>
      </c>
      <c r="C61" s="80" t="s">
        <v>247</v>
      </c>
      <c r="D61" s="81">
        <f>((Divertor_Port_Length/SJS_deployment_spd)/(60*60))*pipes_per_cassette</f>
        <v>0.31746031746031744</v>
      </c>
    </row>
    <row r="62" spans="2:4" x14ac:dyDescent="0.4">
      <c r="B62" s="3693"/>
      <c r="C62" s="2422" t="s">
        <v>2455</v>
      </c>
      <c r="D62" s="109">
        <f>SJS_pipe_clamp*pipes_per_cassette</f>
        <v>5.5555555555555601E-3</v>
      </c>
    </row>
    <row r="63" spans="2:4" x14ac:dyDescent="0.4">
      <c r="B63" s="3693"/>
      <c r="C63" s="102" t="s">
        <v>2456</v>
      </c>
      <c r="D63" s="109">
        <f>SJS_tension_pipe*pipes_per_cassette</f>
        <v>5.5555555555555558E-3</v>
      </c>
    </row>
    <row r="64" spans="2:4" ht="13.5" customHeight="1" x14ac:dyDescent="0.4">
      <c r="B64" s="3691"/>
      <c r="C64" s="83" t="s">
        <v>2487</v>
      </c>
      <c r="D64" s="84">
        <f>(divertor_module_cooling_pipes*Divertor_Coolant_Cut_Time)+(divertor_module_drain_pipes*Divertor_Drain_Cut_Time)+(divertor_module_LiPb_pipes*Divertor_LiPb_Cut_Time)</f>
        <v>4.0564244343151409E-2</v>
      </c>
    </row>
    <row r="65" spans="2:4" x14ac:dyDescent="0.4">
      <c r="B65" s="3691"/>
      <c r="C65" s="83" t="s">
        <v>2457</v>
      </c>
      <c r="D65" s="84">
        <f>SJS_visual_check*pipes_per_cassette</f>
        <v>0.33333333333333331</v>
      </c>
    </row>
    <row r="66" spans="2:4" x14ac:dyDescent="0.4">
      <c r="B66" s="3691"/>
      <c r="C66" s="83" t="s">
        <v>2458</v>
      </c>
      <c r="D66" s="84">
        <f>SJS_unclamp_pipe*pipes_per_cassette</f>
        <v>5.5555555555555558E-3</v>
      </c>
    </row>
    <row r="67" spans="2:4" ht="15" thickBot="1" x14ac:dyDescent="0.45">
      <c r="B67" s="3691"/>
      <c r="C67" s="83" t="s">
        <v>2459</v>
      </c>
      <c r="D67" s="84">
        <f>((Divertor_Port_Length/SJS_deployment_spd)/(60*60))*pipes_per_cassette</f>
        <v>0.31746031746031744</v>
      </c>
    </row>
    <row r="68" spans="2:4" ht="15" thickBot="1" x14ac:dyDescent="0.45">
      <c r="B68" s="3692"/>
      <c r="C68" s="158" t="str">
        <f>B61</f>
        <v>Disconnect Divertor Pipe module</v>
      </c>
      <c r="D68" s="159">
        <f>SUM(D61:D67)</f>
        <v>1.0254848792637863</v>
      </c>
    </row>
    <row r="69" spans="2:4" ht="15" customHeight="1" x14ac:dyDescent="0.4">
      <c r="B69" s="3690" t="s">
        <v>441</v>
      </c>
      <c r="C69" s="80" t="s">
        <v>247</v>
      </c>
      <c r="D69" s="81">
        <f>((Divertor_Port_Length/SJS_deployment_spd)/(60*60))*Divertor_port_pipes_per_blanket</f>
        <v>0.23809523809523808</v>
      </c>
    </row>
    <row r="70" spans="2:4" x14ac:dyDescent="0.4">
      <c r="B70" s="3693"/>
      <c r="C70" s="2422" t="s">
        <v>2455</v>
      </c>
      <c r="D70" s="109">
        <f>SJS_pipe_clamp*Divertor_port_pipes_per_blanket</f>
        <v>4.1666666666666701E-3</v>
      </c>
    </row>
    <row r="71" spans="2:4" x14ac:dyDescent="0.4">
      <c r="B71" s="3693"/>
      <c r="C71" s="102" t="s">
        <v>2456</v>
      </c>
      <c r="D71" s="109">
        <f>SJS_tension_pipe*Divertor_port_pipes_per_blanket</f>
        <v>4.1666666666666666E-3</v>
      </c>
    </row>
    <row r="72" spans="2:4" ht="13.5" customHeight="1" x14ac:dyDescent="0.4">
      <c r="B72" s="3691"/>
      <c r="C72" s="83" t="s">
        <v>248</v>
      </c>
      <c r="D72" s="84">
        <f>(divertor_blanket_cooling_pipes*Divertor_Coolant_Cut_Time)+(divertor_blanket_drain_pipes*Divertor_Drain_Cut_Time)+(divertor_blanket_LiPb_pipes*Divertor_LiPb_Cut_Time)</f>
        <v>2.1329319722772303E-2</v>
      </c>
    </row>
    <row r="73" spans="2:4" x14ac:dyDescent="0.4">
      <c r="B73" s="3691"/>
      <c r="C73" s="83" t="s">
        <v>2457</v>
      </c>
      <c r="D73" s="84">
        <f>SJS_visual_check*Divertor_port_pipes_per_blanket</f>
        <v>0.25</v>
      </c>
    </row>
    <row r="74" spans="2:4" x14ac:dyDescent="0.4">
      <c r="B74" s="3691"/>
      <c r="C74" s="83" t="s">
        <v>2458</v>
      </c>
      <c r="D74" s="84">
        <f>SJS_unclamp_pipe*Divertor_port_pipes_per_blanket</f>
        <v>4.1666666666666666E-3</v>
      </c>
    </row>
    <row r="75" spans="2:4" ht="15" thickBot="1" x14ac:dyDescent="0.45">
      <c r="B75" s="3691"/>
      <c r="C75" s="83" t="s">
        <v>2459</v>
      </c>
      <c r="D75" s="84">
        <f>((Divertor_Port_Length/SJS_deployment_spd)/(60*60))*Divertor_port_pipes_per_blanket</f>
        <v>0.23809523809523808</v>
      </c>
    </row>
    <row r="76" spans="2:4" ht="15" thickBot="1" x14ac:dyDescent="0.45">
      <c r="B76" s="3692"/>
      <c r="C76" s="158" t="str">
        <f>B69</f>
        <v>Disconnect Blanket Pipe Module</v>
      </c>
      <c r="D76" s="159">
        <f>SUM(D69:D75)</f>
        <v>0.76001979591324842</v>
      </c>
    </row>
    <row r="77" spans="2:4" ht="15" customHeight="1" x14ac:dyDescent="0.4">
      <c r="B77" s="3704" t="s">
        <v>442</v>
      </c>
      <c r="C77" s="141" t="s">
        <v>2488</v>
      </c>
      <c r="D77" s="2476">
        <f>$D$76</f>
        <v>0.76001979591324842</v>
      </c>
    </row>
    <row r="78" spans="2:4" x14ac:dyDescent="0.4">
      <c r="B78" s="3705"/>
      <c r="C78" s="141" t="s">
        <v>2489</v>
      </c>
      <c r="D78" s="2476">
        <f>(Divertor_Port_Length/2)*SJS_deployment_spd</f>
        <v>0.252</v>
      </c>
    </row>
    <row r="79" spans="2:4" ht="15" thickBot="1" x14ac:dyDescent="0.45">
      <c r="B79" s="3705"/>
      <c r="C79" s="141" t="s">
        <v>2490</v>
      </c>
      <c r="D79" s="2476">
        <f>$D$76</f>
        <v>0.76001979591324842</v>
      </c>
    </row>
    <row r="80" spans="2:4" ht="15" customHeight="1" thickBot="1" x14ac:dyDescent="0.45">
      <c r="B80" s="3705"/>
      <c r="C80" s="140" t="str">
        <f>B77</f>
        <v>Disconnect Inner Port Pipe Module</v>
      </c>
      <c r="D80" s="142">
        <f>SUM(D77:D79)</f>
        <v>1.7720395918264968</v>
      </c>
    </row>
    <row r="81" spans="2:4" ht="15" customHeight="1" x14ac:dyDescent="0.4">
      <c r="B81" s="3704" t="s">
        <v>700</v>
      </c>
      <c r="C81" s="141" t="s">
        <v>289</v>
      </c>
      <c r="D81" s="84">
        <f>(PCP_fixation_bolts*PCP_pretensioning_duration)*PCP_fixation_disconnection_ops/PCP_fixations_RM_systems</f>
        <v>10.020000000000001</v>
      </c>
    </row>
    <row r="82" spans="2:4" x14ac:dyDescent="0.4">
      <c r="B82" s="3705"/>
      <c r="C82" s="141" t="s">
        <v>290</v>
      </c>
      <c r="D82" s="84">
        <f>(PCP_fixation_bolts*PCP_fixations_disconnection_time)/PCP_fixations_RM_systems</f>
        <v>4.9800000000000004</v>
      </c>
    </row>
    <row r="83" spans="2:4" x14ac:dyDescent="0.4">
      <c r="B83" s="3705"/>
      <c r="C83" s="141" t="s">
        <v>291</v>
      </c>
      <c r="D83" s="84">
        <f>(PCP_fixation_bolts*PCP_fixation_recovery)/PCP_fixations_RM_systems</f>
        <v>6</v>
      </c>
    </row>
    <row r="84" spans="2:4" ht="15" thickBot="1" x14ac:dyDescent="0.45">
      <c r="B84" s="3705"/>
      <c r="C84" s="143" t="s">
        <v>353</v>
      </c>
      <c r="D84" s="120">
        <f>0.5</f>
        <v>0.5</v>
      </c>
    </row>
    <row r="85" spans="2:4" ht="15" thickBot="1" x14ac:dyDescent="0.45">
      <c r="B85" s="3706"/>
      <c r="C85" s="140" t="str">
        <f>B81</f>
        <v>Remove Vacuum Closure Plate</v>
      </c>
      <c r="D85" s="142">
        <f>SUM(D81:D84)</f>
        <v>21.5</v>
      </c>
    </row>
    <row r="86" spans="2:4" x14ac:dyDescent="0.4">
      <c r="B86" s="3699" t="s">
        <v>270</v>
      </c>
      <c r="C86" s="144" t="s">
        <v>354</v>
      </c>
      <c r="D86" s="2479">
        <f>(Divertor_Port_Length/unloaded_IPD_speed)/3600</f>
        <v>1.6666666666666666E-2</v>
      </c>
    </row>
    <row r="87" spans="2:4" x14ac:dyDescent="0.4">
      <c r="B87" s="3699"/>
      <c r="C87" s="144" t="s">
        <v>2611</v>
      </c>
      <c r="D87" s="2479">
        <v>0.2</v>
      </c>
    </row>
    <row r="88" spans="2:4" x14ac:dyDescent="0.4">
      <c r="B88" s="3699"/>
      <c r="C88" s="144" t="s">
        <v>2614</v>
      </c>
      <c r="D88" s="2479">
        <v>0.3</v>
      </c>
    </row>
    <row r="89" spans="2:4" ht="15" thickBot="1" x14ac:dyDescent="0.45">
      <c r="B89" s="3699"/>
      <c r="C89" s="145" t="s">
        <v>355</v>
      </c>
      <c r="D89" s="2480">
        <f>(Divertor_Port_Length/loaded_IPD_speed)/3600</f>
        <v>0.33333333333333331</v>
      </c>
    </row>
    <row r="90" spans="2:4" ht="15" thickBot="1" x14ac:dyDescent="0.45">
      <c r="B90" s="3699"/>
      <c r="C90" s="140" t="str">
        <f>B86</f>
        <v>Remove Central Divertor Cassette</v>
      </c>
      <c r="D90" s="2475">
        <f>SUM(D86:D89)</f>
        <v>0.84999999999999987</v>
      </c>
    </row>
    <row r="91" spans="2:4" x14ac:dyDescent="0.4">
      <c r="B91" s="3698" t="s">
        <v>271</v>
      </c>
      <c r="C91" s="2474" t="s">
        <v>354</v>
      </c>
      <c r="D91" s="2477">
        <f>(Divertor_Port_Length/unloaded_IPD_speed)/3600</f>
        <v>1.6666666666666666E-2</v>
      </c>
    </row>
    <row r="92" spans="2:4" x14ac:dyDescent="0.4">
      <c r="B92" s="3699"/>
      <c r="C92" s="144" t="s">
        <v>2612</v>
      </c>
      <c r="D92" s="84">
        <v>0.2</v>
      </c>
    </row>
    <row r="93" spans="2:4" x14ac:dyDescent="0.4">
      <c r="B93" s="3699"/>
      <c r="C93" s="144" t="s">
        <v>2613</v>
      </c>
      <c r="D93" s="84">
        <v>0.3</v>
      </c>
    </row>
    <row r="94" spans="2:4" ht="15" thickBot="1" x14ac:dyDescent="0.45">
      <c r="B94" s="3699"/>
      <c r="C94" s="145" t="s">
        <v>356</v>
      </c>
      <c r="D94" s="182">
        <f>(Divertor_Port_Length/loaded_IPD_speed)/3600</f>
        <v>0.33333333333333331</v>
      </c>
    </row>
    <row r="95" spans="2:4" ht="15" thickBot="1" x14ac:dyDescent="0.45">
      <c r="B95" s="3700"/>
      <c r="C95" s="146" t="str">
        <f>B91</f>
        <v>Remove Peripheral Divertor Cassette</v>
      </c>
      <c r="D95" s="159">
        <f>SUM(D91:D94)</f>
        <v>0.84999999999999987</v>
      </c>
    </row>
    <row r="96" spans="2:4" ht="15" thickBot="1" x14ac:dyDescent="0.45">
      <c r="B96" s="96"/>
      <c r="C96" s="160"/>
      <c r="D96" s="2481"/>
    </row>
    <row r="97" spans="2:4" ht="15" thickBot="1" x14ac:dyDescent="0.45">
      <c r="B97" s="106" t="s">
        <v>272</v>
      </c>
      <c r="C97" s="161" t="str">
        <f>B97</f>
        <v>Cassette Installation Required</v>
      </c>
      <c r="D97" s="162">
        <v>0</v>
      </c>
    </row>
    <row r="98" spans="2:4" ht="15" customHeight="1" x14ac:dyDescent="0.4">
      <c r="B98" s="3687" t="s">
        <v>341</v>
      </c>
      <c r="C98" s="108" t="s">
        <v>342</v>
      </c>
      <c r="D98" s="81">
        <f>(Divertor_Port_Length/loaded_IPD_speed)/3600</f>
        <v>0.33333333333333331</v>
      </c>
    </row>
    <row r="99" spans="2:4" x14ac:dyDescent="0.4">
      <c r="B99" s="3688"/>
      <c r="C99" s="110" t="s">
        <v>343</v>
      </c>
      <c r="D99" s="84">
        <v>5</v>
      </c>
    </row>
    <row r="100" spans="2:4" x14ac:dyDescent="0.4">
      <c r="B100" s="3688"/>
      <c r="C100" s="112" t="s">
        <v>344</v>
      </c>
      <c r="D100" s="182">
        <v>2</v>
      </c>
    </row>
    <row r="101" spans="2:4" ht="15" thickBot="1" x14ac:dyDescent="0.45">
      <c r="B101" s="3688"/>
      <c r="C101" s="112" t="s">
        <v>345</v>
      </c>
      <c r="D101" s="182">
        <f>(Divertor_Port_Length/loaded_IPD_speed)/3600</f>
        <v>0.33333333333333331</v>
      </c>
    </row>
    <row r="102" spans="2:4" ht="15" thickBot="1" x14ac:dyDescent="0.45">
      <c r="B102" s="3689"/>
      <c r="C102" s="136" t="str">
        <f>B98</f>
        <v>Inspect the Port</v>
      </c>
      <c r="D102" s="192">
        <f>SUM(D98:D101)</f>
        <v>7.6666666666666661</v>
      </c>
    </row>
    <row r="103" spans="2:4" ht="15" customHeight="1" x14ac:dyDescent="0.4">
      <c r="B103" s="3687" t="s">
        <v>255</v>
      </c>
      <c r="C103" s="108" t="s">
        <v>346</v>
      </c>
      <c r="D103" s="81">
        <f>(Divertor_Port_Length/loaded_IPD_speed)/3600</f>
        <v>0.33333333333333331</v>
      </c>
    </row>
    <row r="104" spans="2:4" x14ac:dyDescent="0.4">
      <c r="B104" s="3688"/>
      <c r="C104" s="110" t="s">
        <v>347</v>
      </c>
      <c r="D104" s="84">
        <v>4</v>
      </c>
    </row>
    <row r="105" spans="2:4" x14ac:dyDescent="0.4">
      <c r="B105" s="3688"/>
      <c r="C105" s="112" t="s">
        <v>348</v>
      </c>
      <c r="D105" s="182">
        <v>3</v>
      </c>
    </row>
    <row r="106" spans="2:4" ht="15" thickBot="1" x14ac:dyDescent="0.45">
      <c r="B106" s="3688"/>
      <c r="C106" s="112" t="s">
        <v>349</v>
      </c>
      <c r="D106" s="182">
        <f>(Divertor_Port_Length/loaded_IPD_speed)/3600</f>
        <v>0.33333333333333331</v>
      </c>
    </row>
    <row r="107" spans="2:4" ht="15" thickBot="1" x14ac:dyDescent="0.45">
      <c r="B107" s="3689"/>
      <c r="C107" s="136" t="str">
        <f>B103</f>
        <v>Clean/re-condition port hardware</v>
      </c>
      <c r="D107" s="192">
        <f>SUM(D103:D106)</f>
        <v>7.6666666666666661</v>
      </c>
    </row>
    <row r="108" spans="2:4" x14ac:dyDescent="0.4">
      <c r="B108" s="3699" t="s">
        <v>274</v>
      </c>
      <c r="C108" s="144" t="s">
        <v>357</v>
      </c>
      <c r="D108" s="84">
        <f>(Divertor_Port_Length/loaded_IPD_speed)/3600</f>
        <v>0.33333333333333331</v>
      </c>
    </row>
    <row r="109" spans="2:4" x14ac:dyDescent="0.4">
      <c r="B109" s="3699"/>
      <c r="C109" s="144" t="s">
        <v>2615</v>
      </c>
      <c r="D109" s="84">
        <v>0.3</v>
      </c>
    </row>
    <row r="110" spans="2:4" x14ac:dyDescent="0.4">
      <c r="B110" s="3699"/>
      <c r="C110" s="145" t="s">
        <v>358</v>
      </c>
      <c r="D110" s="182">
        <v>0.3</v>
      </c>
    </row>
    <row r="111" spans="2:4" ht="15" thickBot="1" x14ac:dyDescent="0.45">
      <c r="B111" s="3699"/>
      <c r="C111" s="2485" t="s">
        <v>2616</v>
      </c>
      <c r="D111" s="120">
        <f>(Divertor_Port_Length/unloaded_IPD_speed)/3600</f>
        <v>1.6666666666666666E-2</v>
      </c>
    </row>
    <row r="112" spans="2:4" ht="15" thickBot="1" x14ac:dyDescent="0.45">
      <c r="B112" s="3700"/>
      <c r="C112" s="147" t="str">
        <f>B108</f>
        <v>Install Peripheral Divertor Cassette</v>
      </c>
      <c r="D112" s="162">
        <f>SUM(D108:D111)</f>
        <v>0.95000000000000007</v>
      </c>
    </row>
    <row r="113" spans="2:4" x14ac:dyDescent="0.4">
      <c r="B113" s="3699" t="s">
        <v>275</v>
      </c>
      <c r="C113" s="144" t="s">
        <v>357</v>
      </c>
      <c r="D113" s="2479">
        <f>(Divertor_Port_Length/loaded_IPD_speed)/3600</f>
        <v>0.33333333333333331</v>
      </c>
    </row>
    <row r="114" spans="2:4" x14ac:dyDescent="0.4">
      <c r="B114" s="3699"/>
      <c r="C114" s="144" t="s">
        <v>2615</v>
      </c>
      <c r="D114" s="2479">
        <v>0.3</v>
      </c>
    </row>
    <row r="115" spans="2:4" x14ac:dyDescent="0.4">
      <c r="B115" s="3699"/>
      <c r="C115" s="144" t="s">
        <v>358</v>
      </c>
      <c r="D115" s="2479">
        <v>0.3</v>
      </c>
    </row>
    <row r="116" spans="2:4" ht="15" thickBot="1" x14ac:dyDescent="0.45">
      <c r="B116" s="3699"/>
      <c r="C116" s="2484" t="s">
        <v>2616</v>
      </c>
      <c r="D116" s="2486">
        <f>(Divertor_Port_Length/unloaded_IPD_speed)/3600</f>
        <v>1.6666666666666666E-2</v>
      </c>
    </row>
    <row r="117" spans="2:4" ht="15" thickBot="1" x14ac:dyDescent="0.45">
      <c r="B117" s="3700"/>
      <c r="C117" s="148" t="str">
        <f>B113</f>
        <v>Install Central Divertor Cassette</v>
      </c>
      <c r="D117" s="2482">
        <f>SUM(D113:D116)</f>
        <v>0.95000000000000007</v>
      </c>
    </row>
    <row r="118" spans="2:4" ht="15" customHeight="1" x14ac:dyDescent="0.4">
      <c r="B118" s="3694" t="s">
        <v>273</v>
      </c>
      <c r="C118" s="80" t="s">
        <v>323</v>
      </c>
      <c r="D118" s="81">
        <v>0.83</v>
      </c>
    </row>
    <row r="119" spans="2:4" x14ac:dyDescent="0.4">
      <c r="B119" s="3695"/>
      <c r="C119" s="83" t="s">
        <v>325</v>
      </c>
      <c r="D119" s="84">
        <v>2.5</v>
      </c>
    </row>
    <row r="120" spans="2:4" x14ac:dyDescent="0.4">
      <c r="B120" s="3695"/>
      <c r="C120" s="83" t="s">
        <v>250</v>
      </c>
      <c r="D120" s="84">
        <f>He_Leak_test</f>
        <v>1</v>
      </c>
    </row>
    <row r="121" spans="2:4" ht="15" thickBot="1" x14ac:dyDescent="0.45">
      <c r="B121" s="3695"/>
      <c r="C121" s="83" t="s">
        <v>296</v>
      </c>
      <c r="D121" s="84">
        <v>0.83</v>
      </c>
    </row>
    <row r="122" spans="2:4" ht="15" thickBot="1" x14ac:dyDescent="0.45">
      <c r="B122" s="3696"/>
      <c r="C122" s="148" t="str">
        <f>B118</f>
        <v>Install Lower Port Pipework Access Lid</v>
      </c>
      <c r="D122" s="2483">
        <f>SUM(D118:D121)</f>
        <v>5.16</v>
      </c>
    </row>
    <row r="123" spans="2:4" ht="15" customHeight="1" x14ac:dyDescent="0.4">
      <c r="B123" s="3687" t="s">
        <v>694</v>
      </c>
      <c r="C123" s="116" t="s">
        <v>282</v>
      </c>
      <c r="D123" s="117">
        <f>(Divertor_Port_Length/loaded_IPD_speed)/3600</f>
        <v>0.33333333333333331</v>
      </c>
    </row>
    <row r="124" spans="2:4" x14ac:dyDescent="0.4">
      <c r="B124" s="3688"/>
      <c r="C124" s="83" t="s">
        <v>692</v>
      </c>
      <c r="D124" s="119">
        <v>2</v>
      </c>
    </row>
    <row r="125" spans="2:4" x14ac:dyDescent="0.4">
      <c r="B125" s="3688"/>
      <c r="C125" s="83" t="s">
        <v>693</v>
      </c>
      <c r="D125" s="111">
        <v>2</v>
      </c>
    </row>
    <row r="126" spans="2:4" ht="15" thickBot="1" x14ac:dyDescent="0.45">
      <c r="B126" s="3688"/>
      <c r="C126" s="118" t="s">
        <v>690</v>
      </c>
      <c r="D126" s="119">
        <f>(Divertor_Port_Length/unloaded_IPD_speed)/3600</f>
        <v>1.6666666666666666E-2</v>
      </c>
    </row>
    <row r="127" spans="2:4" ht="15" thickBot="1" x14ac:dyDescent="0.45">
      <c r="B127" s="3689"/>
      <c r="C127" s="161" t="str">
        <f>B123</f>
        <v>Connect shielding modules</v>
      </c>
      <c r="D127" s="162">
        <f>SUM(D123:D126)</f>
        <v>4.3500000000000005</v>
      </c>
    </row>
    <row r="128" spans="2:4" ht="15" customHeight="1" x14ac:dyDescent="0.4">
      <c r="B128" s="3694" t="s">
        <v>443</v>
      </c>
      <c r="C128" s="80" t="s">
        <v>444</v>
      </c>
      <c r="D128" s="81">
        <v>4</v>
      </c>
    </row>
    <row r="129" spans="2:4" x14ac:dyDescent="0.4">
      <c r="B129" s="3695"/>
      <c r="C129" s="83" t="s">
        <v>445</v>
      </c>
      <c r="D129" s="84">
        <v>0.5</v>
      </c>
    </row>
    <row r="130" spans="2:4" x14ac:dyDescent="0.4">
      <c r="B130" s="3709"/>
      <c r="C130" s="133" t="s">
        <v>2617</v>
      </c>
      <c r="D130" s="172">
        <f>vacuum_transport_release_time</f>
        <v>0.5</v>
      </c>
    </row>
    <row r="131" spans="2:4" ht="15" thickBot="1" x14ac:dyDescent="0.45">
      <c r="B131" s="3709"/>
      <c r="C131" s="118" t="s">
        <v>690</v>
      </c>
      <c r="D131" s="119">
        <f>(Divertor_Port_Length/unloaded_IPD_speed)/3600</f>
        <v>1.6666666666666666E-2</v>
      </c>
    </row>
    <row r="132" spans="2:4" ht="15" thickBot="1" x14ac:dyDescent="0.45">
      <c r="B132" s="3696"/>
      <c r="C132" s="148" t="str">
        <f>B128</f>
        <v>Lift pumping assembly into port</v>
      </c>
      <c r="D132" s="2482">
        <f>SUM(D128:D129)</f>
        <v>4.5</v>
      </c>
    </row>
    <row r="133" spans="2:4" ht="15" customHeight="1" x14ac:dyDescent="0.4">
      <c r="B133" s="3687" t="s">
        <v>446</v>
      </c>
      <c r="C133" s="116" t="s">
        <v>282</v>
      </c>
      <c r="D133" s="117">
        <v>0.79722222222222228</v>
      </c>
    </row>
    <row r="134" spans="2:4" x14ac:dyDescent="0.4">
      <c r="B134" s="3688"/>
      <c r="C134" s="118" t="s">
        <v>447</v>
      </c>
      <c r="D134" s="119">
        <f>(pumping_power_connection*pumping_power_connections)</f>
        <v>3</v>
      </c>
    </row>
    <row r="135" spans="2:4" x14ac:dyDescent="0.4">
      <c r="B135" s="3688"/>
      <c r="C135" s="83" t="s">
        <v>448</v>
      </c>
      <c r="D135" s="111">
        <f>(pumping_pipework_connections*pumping_power_connection)</f>
        <v>2.4</v>
      </c>
    </row>
    <row r="136" spans="2:4" ht="15" thickBot="1" x14ac:dyDescent="0.45">
      <c r="B136" s="3688"/>
      <c r="C136" s="118" t="s">
        <v>296</v>
      </c>
      <c r="D136" s="119">
        <v>0.79722222222222228</v>
      </c>
    </row>
    <row r="137" spans="2:4" ht="15" thickBot="1" x14ac:dyDescent="0.45">
      <c r="B137" s="3689"/>
      <c r="C137" s="161" t="str">
        <f>B133</f>
        <v>Connect vacuum pumping system</v>
      </c>
      <c r="D137" s="162">
        <f>SUM(D133:D136)</f>
        <v>6.9944444444444454</v>
      </c>
    </row>
    <row r="138" spans="2:4" ht="15" customHeight="1" x14ac:dyDescent="0.4">
      <c r="B138" s="3687" t="s">
        <v>695</v>
      </c>
      <c r="C138" s="116" t="s">
        <v>282</v>
      </c>
      <c r="D138" s="117">
        <v>0.79722222222222228</v>
      </c>
    </row>
    <row r="139" spans="2:4" x14ac:dyDescent="0.4">
      <c r="B139" s="3688"/>
      <c r="C139" s="118" t="s">
        <v>693</v>
      </c>
      <c r="D139" s="119">
        <v>6</v>
      </c>
    </row>
    <row r="140" spans="2:4" x14ac:dyDescent="0.4">
      <c r="B140" s="3688"/>
      <c r="C140" s="83" t="s">
        <v>696</v>
      </c>
      <c r="D140" s="111">
        <v>2</v>
      </c>
    </row>
    <row r="141" spans="2:4" ht="15" thickBot="1" x14ac:dyDescent="0.45">
      <c r="B141" s="3688"/>
      <c r="C141" s="118" t="s">
        <v>690</v>
      </c>
      <c r="D141" s="119">
        <f>(Divertor_Port_Length/unloaded_IPD_speed)/3600</f>
        <v>1.6666666666666666E-2</v>
      </c>
    </row>
    <row r="142" spans="2:4" ht="15" thickBot="1" x14ac:dyDescent="0.45">
      <c r="B142" s="3689"/>
      <c r="C142" s="161" t="str">
        <f>B138</f>
        <v>Connect Diagnostic services</v>
      </c>
      <c r="D142" s="162">
        <f>SUM(D138:D141)</f>
        <v>8.81388888888889</v>
      </c>
    </row>
    <row r="143" spans="2:4" ht="15" customHeight="1" x14ac:dyDescent="0.4">
      <c r="B143" s="3687" t="s">
        <v>697</v>
      </c>
      <c r="C143" s="116" t="s">
        <v>282</v>
      </c>
      <c r="D143" s="117">
        <v>0.79722222222222228</v>
      </c>
    </row>
    <row r="144" spans="2:4" x14ac:dyDescent="0.4">
      <c r="B144" s="3688"/>
      <c r="C144" s="118" t="s">
        <v>698</v>
      </c>
      <c r="D144" s="119">
        <v>4</v>
      </c>
    </row>
    <row r="145" spans="2:4" x14ac:dyDescent="0.4">
      <c r="B145" s="3688"/>
      <c r="C145" s="118" t="s">
        <v>686</v>
      </c>
      <c r="D145" s="119">
        <v>0.3</v>
      </c>
    </row>
    <row r="146" spans="2:4" x14ac:dyDescent="0.4">
      <c r="B146" s="3688"/>
      <c r="C146" s="83" t="s">
        <v>699</v>
      </c>
      <c r="D146" s="111">
        <v>3</v>
      </c>
    </row>
    <row r="147" spans="2:4" ht="15" thickBot="1" x14ac:dyDescent="0.45">
      <c r="B147" s="3688"/>
      <c r="C147" s="118" t="s">
        <v>690</v>
      </c>
      <c r="D147" s="119">
        <f>(Divertor_Port_Length/unloaded_IPD_speed)/3600</f>
        <v>1.6666666666666666E-2</v>
      </c>
    </row>
    <row r="148" spans="2:4" ht="15" thickBot="1" x14ac:dyDescent="0.45">
      <c r="B148" s="3689"/>
      <c r="C148" s="161" t="str">
        <f>B143</f>
        <v>Remove Threshold Rails</v>
      </c>
      <c r="D148" s="162">
        <f>SUM(D143:D147)</f>
        <v>8.1138888888888889</v>
      </c>
    </row>
    <row r="149" spans="2:4" ht="15" customHeight="1" x14ac:dyDescent="0.4">
      <c r="B149" s="3690" t="s">
        <v>701</v>
      </c>
      <c r="C149" s="116" t="s">
        <v>328</v>
      </c>
      <c r="D149" s="117">
        <v>1</v>
      </c>
    </row>
    <row r="150" spans="2:4" x14ac:dyDescent="0.4">
      <c r="B150" s="3691"/>
      <c r="C150" s="118" t="s">
        <v>329</v>
      </c>
      <c r="D150" s="119">
        <v>0.2</v>
      </c>
    </row>
    <row r="151" spans="2:4" ht="15" thickBot="1" x14ac:dyDescent="0.45">
      <c r="B151" s="3691"/>
      <c r="C151" s="118" t="s">
        <v>690</v>
      </c>
      <c r="D151" s="119">
        <f>(Divertor_Port_Length/unloaded_IPD_speed)/3600</f>
        <v>1.6666666666666666E-2</v>
      </c>
    </row>
    <row r="152" spans="2:4" ht="15" thickBot="1" x14ac:dyDescent="0.45">
      <c r="B152" s="3692"/>
      <c r="C152" s="161" t="str">
        <f>B149</f>
        <v>Insert Vacuum Closure Plate</v>
      </c>
      <c r="D152" s="162">
        <f>SUM(D149:D151)</f>
        <v>1.2166666666666666</v>
      </c>
    </row>
    <row r="153" spans="2:4" ht="15" customHeight="1" x14ac:dyDescent="0.4">
      <c r="B153" s="3704" t="s">
        <v>702</v>
      </c>
      <c r="C153" s="141" t="s">
        <v>359</v>
      </c>
      <c r="D153" s="84">
        <v>0.55000000000000004</v>
      </c>
    </row>
    <row r="154" spans="2:4" x14ac:dyDescent="0.4">
      <c r="B154" s="3705"/>
      <c r="C154" s="141" t="s">
        <v>331</v>
      </c>
      <c r="D154" s="84">
        <v>6</v>
      </c>
    </row>
    <row r="155" spans="2:4" x14ac:dyDescent="0.4">
      <c r="B155" s="3705"/>
      <c r="C155" s="141" t="s">
        <v>360</v>
      </c>
      <c r="D155" s="84">
        <v>1.5</v>
      </c>
    </row>
    <row r="156" spans="2:4" ht="15" thickBot="1" x14ac:dyDescent="0.45">
      <c r="B156" s="3705"/>
      <c r="C156" s="118" t="s">
        <v>690</v>
      </c>
      <c r="D156" s="119">
        <f>(Divertor_Port_Length/unloaded_IPD_speed)/3600</f>
        <v>1.6666666666666666E-2</v>
      </c>
    </row>
    <row r="157" spans="2:4" ht="15" thickBot="1" x14ac:dyDescent="0.45">
      <c r="B157" s="3705"/>
      <c r="C157" s="148" t="str">
        <f>B153</f>
        <v>Install Vacuum Closure Plate</v>
      </c>
      <c r="D157" s="149">
        <f>SUM(D153:D156)</f>
        <v>8.0666666666666682</v>
      </c>
    </row>
    <row r="158" spans="2:4" ht="15" customHeight="1" x14ac:dyDescent="0.4">
      <c r="B158" s="3704" t="s">
        <v>449</v>
      </c>
      <c r="C158" s="83" t="s">
        <v>2465</v>
      </c>
      <c r="D158" s="84">
        <f>((Divertor_Port_Length/SJS_deployment_spd)/(60*60))*pipes_per_cassette</f>
        <v>0.31746031746031744</v>
      </c>
    </row>
    <row r="159" spans="2:4" x14ac:dyDescent="0.4">
      <c r="B159" s="3705"/>
      <c r="C159" s="102" t="s">
        <v>2455</v>
      </c>
      <c r="D159" s="109">
        <f>SJS_pipe_clamp*pipes_per_cassette</f>
        <v>5.5555555555555601E-3</v>
      </c>
    </row>
    <row r="160" spans="2:4" x14ac:dyDescent="0.4">
      <c r="B160" s="3705"/>
      <c r="C160" s="83" t="s">
        <v>2456</v>
      </c>
      <c r="D160" s="84">
        <f>SJS_tension_pipe*pipes_per_cassette</f>
        <v>5.5555555555555558E-3</v>
      </c>
    </row>
    <row r="161" spans="2:4" x14ac:dyDescent="0.4">
      <c r="B161" s="3705"/>
      <c r="C161" s="83" t="s">
        <v>2460</v>
      </c>
      <c r="D161" s="84">
        <f>SJS_visual_check*pipes_per_cassette</f>
        <v>0.33333333333333331</v>
      </c>
    </row>
    <row r="162" spans="2:4" x14ac:dyDescent="0.4">
      <c r="B162" s="3705"/>
      <c r="C162" s="83" t="s">
        <v>2461</v>
      </c>
      <c r="D162" s="84">
        <f>SJS_inserting_welding_gas*pipes_per_cassette</f>
        <v>1.1111111111111112E-2</v>
      </c>
    </row>
    <row r="163" spans="2:4" x14ac:dyDescent="0.4">
      <c r="B163" s="3705"/>
      <c r="C163" s="83" t="s">
        <v>2486</v>
      </c>
      <c r="D163" s="84">
        <f>(divertor_blanket_cooling_pipes*Divertor_Coolant_Weld_Time)+(divertor_blanket_drain_pipes*Divertor_Drain_Weld_Time)+(divertor_blanket_LiPb_pipes*Divertor_LiPb_Weld_Time)</f>
        <v>4.7398488272827333E-3</v>
      </c>
    </row>
    <row r="164" spans="2:4" x14ac:dyDescent="0.4">
      <c r="B164" s="3705"/>
      <c r="C164" s="83" t="s">
        <v>2462</v>
      </c>
      <c r="D164" s="84">
        <f>SJS_unclamp_pipe*pipes_per_cassette</f>
        <v>5.5555555555555558E-3</v>
      </c>
    </row>
    <row r="165" spans="2:4" x14ac:dyDescent="0.4">
      <c r="B165" s="3705"/>
      <c r="C165" s="83" t="s">
        <v>2458</v>
      </c>
      <c r="D165" s="84">
        <f>SJS_unclamp_pipe*pipes_per_cassette</f>
        <v>5.5555555555555558E-3</v>
      </c>
    </row>
    <row r="166" spans="2:4" x14ac:dyDescent="0.4">
      <c r="B166" s="3705"/>
      <c r="C166" s="83" t="s">
        <v>2469</v>
      </c>
      <c r="D166" s="84">
        <f>((Divertor_Port_Length/SJS_deployment_spd)/(60*60))*pipes_per_cassette</f>
        <v>0.31746031746031744</v>
      </c>
    </row>
    <row r="167" spans="2:4" x14ac:dyDescent="0.4">
      <c r="B167" s="3705"/>
      <c r="C167" s="83" t="s">
        <v>2463</v>
      </c>
      <c r="D167" s="84">
        <f>SJS_Tool_Change*pipes_per_cassette</f>
        <v>2</v>
      </c>
    </row>
    <row r="168" spans="2:4" x14ac:dyDescent="0.4">
      <c r="B168" s="3705"/>
      <c r="C168" s="83" t="s">
        <v>2464</v>
      </c>
      <c r="D168" s="84">
        <f>((Divertor_Port_Length/SJS_deployment_spd)/(60*60))*pipes_per_cassette</f>
        <v>0.31746031746031744</v>
      </c>
    </row>
    <row r="169" spans="2:4" x14ac:dyDescent="0.4">
      <c r="B169" s="3705"/>
      <c r="C169" s="83" t="s">
        <v>2494</v>
      </c>
      <c r="D169" s="84">
        <f>SJS_pipe_clamp*pipes_per_cassette</f>
        <v>5.5555555555555601E-3</v>
      </c>
    </row>
    <row r="170" spans="2:4" x14ac:dyDescent="0.4">
      <c r="B170" s="3705"/>
      <c r="C170" s="83" t="s">
        <v>2466</v>
      </c>
      <c r="D170" s="84">
        <f>PWHT_time*pipes_per_cassette</f>
        <v>6</v>
      </c>
    </row>
    <row r="171" spans="2:4" x14ac:dyDescent="0.4">
      <c r="B171" s="3705"/>
      <c r="C171" s="83" t="s">
        <v>2458</v>
      </c>
      <c r="D171" s="84">
        <f>SJS_unclamp_pipe*pipes_per_cassette</f>
        <v>5.5555555555555558E-3</v>
      </c>
    </row>
    <row r="172" spans="2:4" x14ac:dyDescent="0.4">
      <c r="B172" s="3705"/>
      <c r="C172" s="83" t="s">
        <v>2470</v>
      </c>
      <c r="D172" s="84">
        <f>((Divertor_Port_Length/SJS_deployment_spd)/(60*60))*pipes_per_cassette</f>
        <v>0.31746031746031744</v>
      </c>
    </row>
    <row r="173" spans="2:4" x14ac:dyDescent="0.4">
      <c r="B173" s="3705"/>
      <c r="C173" s="83" t="s">
        <v>2471</v>
      </c>
      <c r="D173" s="84">
        <f>SJS_Tool_Change*pipes_per_cassette</f>
        <v>2</v>
      </c>
    </row>
    <row r="174" spans="2:4" x14ac:dyDescent="0.4">
      <c r="B174" s="3705"/>
      <c r="C174" s="83" t="s">
        <v>2472</v>
      </c>
      <c r="D174" s="84">
        <f>((Divertor_Port_Length/SJS_deployment_spd)/(60*60))*pipes_per_cassette</f>
        <v>0.31746031746031744</v>
      </c>
    </row>
    <row r="175" spans="2:4" x14ac:dyDescent="0.4">
      <c r="B175" s="3705"/>
      <c r="C175" s="83" t="s">
        <v>2455</v>
      </c>
      <c r="D175" s="84">
        <f>SJS_pipe_clamp*pipes_per_cassette</f>
        <v>5.5555555555555601E-3</v>
      </c>
    </row>
    <row r="176" spans="2:4" x14ac:dyDescent="0.4">
      <c r="B176" s="3705"/>
      <c r="C176" s="83" t="s">
        <v>2473</v>
      </c>
      <c r="D176" s="84">
        <f>SJS_visual_check*pipes_per_cassette</f>
        <v>0.33333333333333331</v>
      </c>
    </row>
    <row r="177" spans="2:4" x14ac:dyDescent="0.4">
      <c r="B177" s="3705"/>
      <c r="C177" s="83" t="s">
        <v>2474</v>
      </c>
      <c r="D177" s="84">
        <f>SJS_volumetric_testing*pipes_per_cassette</f>
        <v>0.3333333333333332</v>
      </c>
    </row>
    <row r="178" spans="2:4" x14ac:dyDescent="0.4">
      <c r="B178" s="3705"/>
      <c r="C178" s="83" t="s">
        <v>2475</v>
      </c>
      <c r="D178" s="84">
        <f>He_Leak_test*pipes_per_cassette</f>
        <v>4</v>
      </c>
    </row>
    <row r="179" spans="2:4" x14ac:dyDescent="0.4">
      <c r="B179" s="3705"/>
      <c r="C179" s="83" t="s">
        <v>2485</v>
      </c>
      <c r="D179" s="84">
        <f>SJS_unclamp_pipe*pipes_per_cassette</f>
        <v>5.5555555555555558E-3</v>
      </c>
    </row>
    <row r="180" spans="2:4" x14ac:dyDescent="0.4">
      <c r="B180" s="3705"/>
      <c r="C180" s="133" t="s">
        <v>284</v>
      </c>
      <c r="D180" s="172">
        <f>((Divertor_Port_Length/SJS_deployment_spd)/(60*60))*pipes_per_cassette</f>
        <v>0.31746031746031744</v>
      </c>
    </row>
    <row r="181" spans="2:4" ht="15" thickBot="1" x14ac:dyDescent="0.45">
      <c r="B181" s="3706"/>
      <c r="C181" s="150" t="str">
        <f>B158</f>
        <v>Connect Divertor Pipe module</v>
      </c>
      <c r="D181" s="151">
        <f>SUM(D158:D180)</f>
        <v>16.965057309144747</v>
      </c>
    </row>
    <row r="182" spans="2:4" ht="15" customHeight="1" x14ac:dyDescent="0.4">
      <c r="B182" s="3704" t="s">
        <v>450</v>
      </c>
      <c r="C182" s="83" t="s">
        <v>2465</v>
      </c>
      <c r="D182" s="84">
        <f>((Divertor_Port_Length/SJS_deployment_spd)/(60*60))*Divertor_port_pipes_per_blanket</f>
        <v>0.23809523809523808</v>
      </c>
    </row>
    <row r="183" spans="2:4" x14ac:dyDescent="0.4">
      <c r="B183" s="3705"/>
      <c r="C183" s="102" t="s">
        <v>2455</v>
      </c>
      <c r="D183" s="109">
        <f>SJS_pipe_clamp*Divertor_port_pipes_per_blanket</f>
        <v>4.1666666666666701E-3</v>
      </c>
    </row>
    <row r="184" spans="2:4" x14ac:dyDescent="0.4">
      <c r="B184" s="3705"/>
      <c r="C184" s="83" t="s">
        <v>2456</v>
      </c>
      <c r="D184" s="84">
        <f>SJS_tension_pipe*Divertor_port_pipes_per_blanket</f>
        <v>4.1666666666666666E-3</v>
      </c>
    </row>
    <row r="185" spans="2:4" x14ac:dyDescent="0.4">
      <c r="B185" s="3705"/>
      <c r="C185" s="83" t="s">
        <v>2460</v>
      </c>
      <c r="D185" s="84">
        <f>SJS_visual_check*Divertor_port_pipes_per_blanket</f>
        <v>0.25</v>
      </c>
    </row>
    <row r="186" spans="2:4" x14ac:dyDescent="0.4">
      <c r="B186" s="3705"/>
      <c r="C186" s="83" t="s">
        <v>2461</v>
      </c>
      <c r="D186" s="84">
        <f>SJS_inserting_welding_gas*Divertor_port_pipes_per_blanket</f>
        <v>8.3333333333333332E-3</v>
      </c>
    </row>
    <row r="187" spans="2:4" x14ac:dyDescent="0.4">
      <c r="B187" s="3705"/>
      <c r="C187" s="83" t="s">
        <v>2486</v>
      </c>
      <c r="D187" s="84">
        <f>(divertor_blanket_cooling_pipes*Blanket_Cooling_Weld_Time)+(divertor_blanket_drain_pipes*Blanket_Drain_Weld_Time)+(divertor_blanket_LiPb_pipes*Blanket_LiPb_Weld_Time)</f>
        <v>5.4138949844029435E-3</v>
      </c>
    </row>
    <row r="188" spans="2:4" x14ac:dyDescent="0.4">
      <c r="B188" s="3705"/>
      <c r="C188" s="83" t="s">
        <v>2462</v>
      </c>
      <c r="D188" s="84">
        <f>SJS_unclamp_pipe*Divertor_port_pipes_per_blanket</f>
        <v>4.1666666666666666E-3</v>
      </c>
    </row>
    <row r="189" spans="2:4" x14ac:dyDescent="0.4">
      <c r="B189" s="3705"/>
      <c r="C189" s="83" t="s">
        <v>2458</v>
      </c>
      <c r="D189" s="84">
        <f>SJS_unclamp_pipe*Divertor_port_pipes_per_blanket</f>
        <v>4.1666666666666666E-3</v>
      </c>
    </row>
    <row r="190" spans="2:4" x14ac:dyDescent="0.4">
      <c r="B190" s="3705"/>
      <c r="C190" s="83" t="s">
        <v>2469</v>
      </c>
      <c r="D190" s="84">
        <f>((Divertor_Port_Length/SJS_deployment_spd)/(60*60))*Divertor_port_pipes_per_blanket</f>
        <v>0.23809523809523808</v>
      </c>
    </row>
    <row r="191" spans="2:4" x14ac:dyDescent="0.4">
      <c r="B191" s="3705"/>
      <c r="C191" s="83" t="s">
        <v>2463</v>
      </c>
      <c r="D191" s="84">
        <f>SJS_Tool_Change*Divertor_port_pipes_per_blanket</f>
        <v>1.5</v>
      </c>
    </row>
    <row r="192" spans="2:4" x14ac:dyDescent="0.4">
      <c r="B192" s="3705"/>
      <c r="C192" s="83" t="s">
        <v>2464</v>
      </c>
      <c r="D192" s="84">
        <f>((Divertor_Port_Length/SJS_deployment_spd)/60)*Divertor_port_pipes_per_blanket</f>
        <v>14.285714285714285</v>
      </c>
    </row>
    <row r="193" spans="2:4" x14ac:dyDescent="0.4">
      <c r="B193" s="3705"/>
      <c r="C193" s="83" t="s">
        <v>2455</v>
      </c>
      <c r="D193" s="84">
        <f>SJS_pipe_clamp*Divertor_port_pipes_per_blanket</f>
        <v>4.1666666666666701E-3</v>
      </c>
    </row>
    <row r="194" spans="2:4" x14ac:dyDescent="0.4">
      <c r="B194" s="3705"/>
      <c r="C194" s="83" t="s">
        <v>2466</v>
      </c>
      <c r="D194" s="84">
        <f>PWHT_time*Divertor_port_pipes_per_blanket</f>
        <v>4.5</v>
      </c>
    </row>
    <row r="195" spans="2:4" x14ac:dyDescent="0.4">
      <c r="B195" s="3705"/>
      <c r="C195" s="83" t="s">
        <v>2458</v>
      </c>
      <c r="D195" s="84">
        <f>SJS_unclamp_pipe*Divertor_port_pipes_per_blanket</f>
        <v>4.1666666666666666E-3</v>
      </c>
    </row>
    <row r="196" spans="2:4" x14ac:dyDescent="0.4">
      <c r="B196" s="3705"/>
      <c r="C196" s="83" t="s">
        <v>2470</v>
      </c>
      <c r="D196" s="84">
        <f>((Divertor_Port_Length/SJS_deployment_spd)/(60*60))*Divertor_port_pipes_per_blanket</f>
        <v>0.23809523809523808</v>
      </c>
    </row>
    <row r="197" spans="2:4" x14ac:dyDescent="0.4">
      <c r="B197" s="3705"/>
      <c r="C197" s="83" t="s">
        <v>2471</v>
      </c>
      <c r="D197" s="84">
        <f>SJS_Tool_Change*Divertor_port_pipes_per_blanket</f>
        <v>1.5</v>
      </c>
    </row>
    <row r="198" spans="2:4" x14ac:dyDescent="0.4">
      <c r="B198" s="3705"/>
      <c r="C198" s="83" t="s">
        <v>2472</v>
      </c>
      <c r="D198" s="84">
        <f>((Divertor_Port_Length/SJS_deployment_spd)/(60*60))*Divertor_port_pipes_per_blanket</f>
        <v>0.23809523809523808</v>
      </c>
    </row>
    <row r="199" spans="2:4" x14ac:dyDescent="0.4">
      <c r="B199" s="3705"/>
      <c r="C199" s="83" t="s">
        <v>2455</v>
      </c>
      <c r="D199" s="84">
        <f>SJS_pipe_clamp*Divertor_port_pipes_per_blanket</f>
        <v>4.1666666666666701E-3</v>
      </c>
    </row>
    <row r="200" spans="2:4" x14ac:dyDescent="0.4">
      <c r="B200" s="3705"/>
      <c r="C200" s="83" t="s">
        <v>2473</v>
      </c>
      <c r="D200" s="84">
        <f>SJS_visual_check*Divertor_port_pipes_per_blanket</f>
        <v>0.25</v>
      </c>
    </row>
    <row r="201" spans="2:4" x14ac:dyDescent="0.4">
      <c r="B201" s="3705"/>
      <c r="C201" s="83" t="s">
        <v>2474</v>
      </c>
      <c r="D201" s="84">
        <f>SJS_volumetric_testing*Divertor_port_pipes_per_blanket</f>
        <v>0.24999999999999989</v>
      </c>
    </row>
    <row r="202" spans="2:4" x14ac:dyDescent="0.4">
      <c r="B202" s="3705"/>
      <c r="C202" s="83" t="s">
        <v>2475</v>
      </c>
      <c r="D202" s="84">
        <f>He_Leak_test*Divertor_port_pipes_per_blanket</f>
        <v>3</v>
      </c>
    </row>
    <row r="203" spans="2:4" x14ac:dyDescent="0.4">
      <c r="B203" s="3705"/>
      <c r="C203" s="83" t="s">
        <v>2485</v>
      </c>
      <c r="D203" s="84">
        <f>SJS_unclamp_pipe*Divertor_port_pipes_per_blanket</f>
        <v>4.1666666666666666E-3</v>
      </c>
    </row>
    <row r="204" spans="2:4" x14ac:dyDescent="0.4">
      <c r="B204" s="3705"/>
      <c r="C204" s="133" t="s">
        <v>284</v>
      </c>
      <c r="D204" s="172">
        <f>((Divertor_Port_Length/SJS_deployment_spd)/(60*60))*Divertor_port_pipes_per_blanket</f>
        <v>0.23809523809523808</v>
      </c>
    </row>
    <row r="205" spans="2:4" ht="15" thickBot="1" x14ac:dyDescent="0.45">
      <c r="B205" s="3706"/>
      <c r="C205" s="150" t="str">
        <f>B182</f>
        <v>Connect Blanket Pipe Module</v>
      </c>
      <c r="D205" s="151">
        <f>SUM(D182:D204)</f>
        <v>26.773271037841543</v>
      </c>
    </row>
    <row r="206" spans="2:4" x14ac:dyDescent="0.4">
      <c r="B206" s="3707" t="s">
        <v>556</v>
      </c>
      <c r="C206" s="141" t="s">
        <v>361</v>
      </c>
      <c r="D206" s="2476">
        <f>D205</f>
        <v>26.773271037841543</v>
      </c>
    </row>
    <row r="207" spans="2:4" x14ac:dyDescent="0.4">
      <c r="B207" s="3707"/>
      <c r="C207" s="141" t="s">
        <v>352</v>
      </c>
      <c r="D207" s="2476">
        <f>((Divertor_Port_Length/SJS_deployment_spd)/(60*60))*Divertor_port_pipes_per_blanket</f>
        <v>0.23809523809523808</v>
      </c>
    </row>
    <row r="208" spans="2:4" x14ac:dyDescent="0.4">
      <c r="B208" s="3707"/>
      <c r="C208" s="141" t="s">
        <v>361</v>
      </c>
      <c r="D208" s="2476">
        <f>D205</f>
        <v>26.773271037841543</v>
      </c>
    </row>
    <row r="209" spans="2:5" ht="15" thickBot="1" x14ac:dyDescent="0.45">
      <c r="B209" s="3708"/>
      <c r="C209" s="150" t="str">
        <f>B206</f>
        <v>Connect Inner Port Pipe module</v>
      </c>
      <c r="D209" s="151">
        <f>SUM(D206:D208)</f>
        <v>53.784637313778319</v>
      </c>
    </row>
    <row r="210" spans="2:5" ht="15" customHeight="1" x14ac:dyDescent="0.4">
      <c r="B210" s="3687" t="s">
        <v>705</v>
      </c>
      <c r="C210" s="135" t="s">
        <v>703</v>
      </c>
      <c r="D210" s="184">
        <v>0.2</v>
      </c>
    </row>
    <row r="211" spans="2:5" ht="15" thickBot="1" x14ac:dyDescent="0.45">
      <c r="B211" s="3688"/>
      <c r="C211" s="197" t="s">
        <v>704</v>
      </c>
      <c r="D211" s="198">
        <v>0.3</v>
      </c>
    </row>
    <row r="212" spans="2:5" ht="15" thickBot="1" x14ac:dyDescent="0.45">
      <c r="B212" s="3689"/>
      <c r="C212" s="161" t="str">
        <f>B210</f>
        <v>Remove Contamination Control System</v>
      </c>
      <c r="D212" s="162">
        <f>SUM(D211:D211)</f>
        <v>0.3</v>
      </c>
    </row>
    <row r="213" spans="2:5" ht="15" customHeight="1" x14ac:dyDescent="0.4">
      <c r="B213" s="3690" t="s">
        <v>706</v>
      </c>
      <c r="C213" s="195" t="s">
        <v>708</v>
      </c>
      <c r="D213" s="196">
        <v>1</v>
      </c>
    </row>
    <row r="214" spans="2:5" ht="15.75" customHeight="1" thickBot="1" x14ac:dyDescent="0.45">
      <c r="B214" s="3691"/>
      <c r="C214" s="197" t="s">
        <v>707</v>
      </c>
      <c r="D214" s="198">
        <v>0.2</v>
      </c>
    </row>
    <row r="215" spans="2:5" ht="15.75" customHeight="1" thickBot="1" x14ac:dyDescent="0.45">
      <c r="B215" s="3692"/>
      <c r="C215" s="161" t="str">
        <f>B213</f>
        <v>Decommission Contamination Control System</v>
      </c>
      <c r="D215" s="162">
        <f>D214+D213</f>
        <v>1.2</v>
      </c>
    </row>
    <row r="216" spans="2:5" x14ac:dyDescent="0.4">
      <c r="B216" s="3698" t="s">
        <v>276</v>
      </c>
      <c r="C216" s="91" t="s">
        <v>362</v>
      </c>
      <c r="D216" s="81">
        <v>0.5</v>
      </c>
    </row>
    <row r="217" spans="2:5" x14ac:dyDescent="0.4">
      <c r="B217" s="3699"/>
      <c r="C217" s="92" t="s">
        <v>363</v>
      </c>
      <c r="D217" s="84">
        <v>0.2</v>
      </c>
    </row>
    <row r="218" spans="2:5" ht="15" thickBot="1" x14ac:dyDescent="0.45">
      <c r="B218" s="3699"/>
      <c r="C218" s="139" t="s">
        <v>281</v>
      </c>
      <c r="D218" s="182">
        <v>0.2</v>
      </c>
    </row>
    <row r="219" spans="2:5" ht="15" thickBot="1" x14ac:dyDescent="0.45">
      <c r="B219" s="3700"/>
      <c r="C219" s="147" t="str">
        <f>B216</f>
        <v>Seal Lower Port Bioshield</v>
      </c>
      <c r="D219" s="162">
        <f>SUM(D216:D218)</f>
        <v>0.89999999999999991</v>
      </c>
    </row>
    <row r="220" spans="2:5" ht="15" thickBot="1" x14ac:dyDescent="0.45">
      <c r="B220" s="152" t="s">
        <v>557</v>
      </c>
      <c r="C220" s="153" t="str">
        <f>B220</f>
        <v>Hardware Recovery Required</v>
      </c>
      <c r="D220" s="193">
        <v>0</v>
      </c>
      <c r="E220" t="s">
        <v>558</v>
      </c>
    </row>
    <row r="221" spans="2:5" ht="15" thickBot="1" x14ac:dyDescent="0.45">
      <c r="B221" s="152" t="s">
        <v>559</v>
      </c>
      <c r="C221" s="153" t="str">
        <f>B221</f>
        <v>Equipment Recovery Required</v>
      </c>
      <c r="D221" s="193">
        <v>0</v>
      </c>
    </row>
    <row r="222" spans="2:5" ht="15" thickBot="1" x14ac:dyDescent="0.45">
      <c r="B222" s="152" t="s">
        <v>560</v>
      </c>
      <c r="C222" s="153" t="str">
        <f>B222</f>
        <v>Man-in-loop recovery work</v>
      </c>
      <c r="D222" s="193">
        <v>12</v>
      </c>
    </row>
  </sheetData>
  <sheetProtection algorithmName="SHA-512" hashValue="4LgOmUe5yhed6rFcWL/oHk0dYDmXN6CHWs/P2YuIhGlyIUIkzN8Mf0Z6McJpAGs2dPqApEsgg/5A8nufiMKO1g==" saltValue="21f09XcQJTQ/cSXG5Sub8A==" spinCount="100000" sheet="1" objects="1" scenarios="1"/>
  <customSheetViews>
    <customSheetView guid="{9C0AA20B-B2A2-4A2C-B279-4A5988F4E71A}">
      <selection activeCell="C18" sqref="C18"/>
      <pageMargins left="0.7" right="0.7" top="0.75" bottom="0.75" header="0.3" footer="0.3"/>
      <pageSetup paperSize="9" orientation="portrait" verticalDpi="0" r:id="rId1"/>
    </customSheetView>
  </customSheetViews>
  <mergeCells count="37">
    <mergeCell ref="B57:B60"/>
    <mergeCell ref="B91:B95"/>
    <mergeCell ref="B61:B68"/>
    <mergeCell ref="B69:B76"/>
    <mergeCell ref="B86:B90"/>
    <mergeCell ref="B81:B85"/>
    <mergeCell ref="B77:B80"/>
    <mergeCell ref="B118:B122"/>
    <mergeCell ref="B108:B112"/>
    <mergeCell ref="B113:B117"/>
    <mergeCell ref="B133:B137"/>
    <mergeCell ref="B98:B102"/>
    <mergeCell ref="B103:B107"/>
    <mergeCell ref="B128:B132"/>
    <mergeCell ref="B123:B127"/>
    <mergeCell ref="B138:B142"/>
    <mergeCell ref="B143:B148"/>
    <mergeCell ref="B158:B181"/>
    <mergeCell ref="B182:B205"/>
    <mergeCell ref="B206:B209"/>
    <mergeCell ref="B216:B219"/>
    <mergeCell ref="B153:B157"/>
    <mergeCell ref="B149:B152"/>
    <mergeCell ref="B210:B212"/>
    <mergeCell ref="B213:B215"/>
    <mergeCell ref="B43:B47"/>
    <mergeCell ref="B52:B56"/>
    <mergeCell ref="B32:B37"/>
    <mergeCell ref="B38:B42"/>
    <mergeCell ref="B26:B31"/>
    <mergeCell ref="B48:B51"/>
    <mergeCell ref="B2:D2"/>
    <mergeCell ref="B9:B11"/>
    <mergeCell ref="B12:B14"/>
    <mergeCell ref="B5:B8"/>
    <mergeCell ref="B18:B25"/>
    <mergeCell ref="B15:B17"/>
  </mergeCells>
  <conditionalFormatting sqref="C1:D1048576">
    <cfRule type="expression" dxfId="5030" priority="1">
      <formula>_xlfn.ISFORMULA($D1)</formula>
    </cfRule>
  </conditionalFormatting>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sheetPr>
  <dimension ref="B2:AC206"/>
  <sheetViews>
    <sheetView zoomScale="70" zoomScaleNormal="70" workbookViewId="0">
      <selection activeCell="P20" sqref="P20"/>
    </sheetView>
  </sheetViews>
  <sheetFormatPr defaultColWidth="9.15234375" defaultRowHeight="14.6" x14ac:dyDescent="0.4"/>
  <cols>
    <col min="1" max="1" width="9.15234375" style="29"/>
    <col min="2" max="2" width="20.53515625" style="29" bestFit="1" customWidth="1"/>
    <col min="3" max="3" width="12.3046875" style="166" bestFit="1" customWidth="1"/>
    <col min="4" max="4" width="11" style="166" bestFit="1" customWidth="1"/>
    <col min="5" max="5" width="9.53515625" style="166" customWidth="1"/>
    <col min="6" max="6" width="8.69140625" style="166" customWidth="1"/>
    <col min="7" max="7" width="11.69140625" style="166" bestFit="1" customWidth="1"/>
    <col min="8" max="8" width="5.69140625" style="165" bestFit="1" customWidth="1"/>
    <col min="9" max="9" width="8.69140625" style="165" bestFit="1" customWidth="1"/>
    <col min="10" max="10" width="10.3046875" style="29" customWidth="1"/>
    <col min="11" max="11" width="8.15234375" style="29" customWidth="1"/>
    <col min="12" max="12" width="9.3046875" style="29" customWidth="1"/>
    <col min="13" max="13" width="8.3828125" style="29" customWidth="1"/>
    <col min="14" max="14" width="9.15234375" style="29"/>
    <col min="15" max="15" width="47" style="29" bestFit="1" customWidth="1"/>
    <col min="16" max="16" width="11.15234375" style="29" bestFit="1" customWidth="1"/>
    <col min="17" max="17" width="9.69140625" style="29" bestFit="1" customWidth="1"/>
    <col min="18" max="19" width="11.3046875" style="29" customWidth="1"/>
    <col min="20" max="20" width="10.15234375" style="29" customWidth="1"/>
    <col min="21" max="21" width="9.69140625" style="29" bestFit="1" customWidth="1"/>
    <col min="22" max="25" width="9.15234375" style="29"/>
    <col min="26" max="26" width="13.3046875" style="29" bestFit="1" customWidth="1"/>
    <col min="27" max="16384" width="9.15234375" style="29"/>
  </cols>
  <sheetData>
    <row r="2" spans="2:26" s="168" customFormat="1" ht="44.15" thickBot="1" x14ac:dyDescent="0.45">
      <c r="B2" s="169" t="s">
        <v>554</v>
      </c>
      <c r="C2" s="171" t="s">
        <v>553</v>
      </c>
      <c r="D2" s="171" t="s">
        <v>552</v>
      </c>
      <c r="E2" s="171" t="s">
        <v>551</v>
      </c>
      <c r="F2" s="171" t="s">
        <v>550</v>
      </c>
      <c r="G2" s="171" t="s">
        <v>549</v>
      </c>
      <c r="H2" s="170" t="s">
        <v>533</v>
      </c>
      <c r="I2" s="170" t="s">
        <v>548</v>
      </c>
      <c r="J2" s="169" t="s">
        <v>547</v>
      </c>
      <c r="K2" s="169" t="s">
        <v>546</v>
      </c>
      <c r="L2" s="169" t="s">
        <v>545</v>
      </c>
      <c r="M2" s="169" t="s">
        <v>544</v>
      </c>
      <c r="O2" s="2489"/>
      <c r="P2" s="3728" t="str">
        <f>P18&amp;" and a "&amp;P23&amp;" Maintenance Strategy"</f>
        <v>Upper Port Hot Cell and a Lower Port Hot Cell Maintenance Strategy</v>
      </c>
      <c r="Q2" s="3728"/>
      <c r="R2" s="3728"/>
      <c r="S2" s="3728"/>
      <c r="T2" s="3728"/>
      <c r="U2" s="3728" t="str">
        <f>U18&amp;" and a "&amp;U23&amp;" Maintenance Strategy"</f>
        <v>Upper Port Cask System and a Lower Port Cask System Maintenance Strategy</v>
      </c>
      <c r="V2" s="3728"/>
      <c r="W2" s="3728"/>
      <c r="X2" s="3728"/>
      <c r="Y2" s="3728"/>
      <c r="Z2" s="2489"/>
    </row>
    <row r="3" spans="2:26" x14ac:dyDescent="0.4">
      <c r="B3" s="167" t="str">
        <f t="shared" ref="B3:B34" si="0">IF(B2&lt;&gt;"Campaign","Campaign",IF(AND((ROUND(K2,3)+campaign_fpy)&gt;=starter_blanket_lifetime,L2=0),"Blanket Maintenance",IF(AND((ROUND(K2,3)+campaign_fpy)&gt;=second_blanket_lifetime,L2=1),"Blanket Maintenance",IF((ROUND(M2,3)+campaign_fpy)&gt;=divertor_cassette_lifetime,"Divertor Maintenance",IF((ROUNDUP(J2,3)+campaign_fpy)&gt;=ROUNDUP(minor_maintenance_intervals,3),"Minor Maintenance","Campaign")))))</f>
        <v>Campaign</v>
      </c>
      <c r="C3" s="166">
        <f>IF(B3="campaign", IF(COUNTIF($B$3:$B3,"Campaign")&gt;warmup_campaigns, long_campaign_duration, campaign_duration), 0)</f>
        <v>10</v>
      </c>
      <c r="D3" s="166">
        <f t="shared" ref="D3:D34" si="1">IFERROR(C3+D2, C3)</f>
        <v>10</v>
      </c>
      <c r="E3" s="166">
        <f t="shared" ref="E3:E34" si="2">ROUNDDOWN((C3*( (sequence_duration-interim_maintenace_period)*Pulse_per_day)),0)</f>
        <v>1078</v>
      </c>
      <c r="F3" s="166">
        <f t="shared" ref="F3:F34" si="3">IFERROR(E3+F2,E3)</f>
        <v>1078</v>
      </c>
      <c r="G3" s="166">
        <f t="shared" ref="G3:G34" si="4">IF($B3="campaign", C3*(sequence_duration*(power_generation_period/sequence_duration)), 0)</f>
        <v>120</v>
      </c>
      <c r="H3" s="165">
        <f t="shared" ref="H3:H34" si="5">(E3*pulse_time/(365*24))</f>
        <v>0.24611872146118721</v>
      </c>
      <c r="I3" s="165">
        <f t="shared" ref="I3:I34" si="6">IF($B3="Campaign", IFERROR(H3+I2, H3), I2)</f>
        <v>0.24611872146118721</v>
      </c>
      <c r="J3" s="167">
        <f t="shared" ref="J3:J34" si="7">IF(B3&lt;&gt;"Campaign",0,(IFERROR(H3+J2,H3)))</f>
        <v>0.24611872146118721</v>
      </c>
      <c r="K3" s="167">
        <f>IF($B3="Blanket Maintenance",0,IFERROR($H3+K2,$H3))</f>
        <v>0.24611872146118721</v>
      </c>
      <c r="L3" s="167">
        <f t="shared" ref="L3:L34" si="8">IFERROR(IF(COUNTIF(B3,"Blanket Maintenance")+L2&gt;0, 1, 0),0)</f>
        <v>0</v>
      </c>
      <c r="M3" s="167">
        <f t="shared" ref="M3:M34" si="9">IF(OR($B3="Divertor Maintenance", $B3="Blanket Maintenance"),0,IFERROR($H3+M2,$H3))</f>
        <v>0.24611872146118721</v>
      </c>
      <c r="O3" s="2490" t="s">
        <v>543</v>
      </c>
      <c r="P3" s="2491">
        <v>1</v>
      </c>
      <c r="Q3" s="2491">
        <v>2</v>
      </c>
      <c r="R3" s="2492">
        <v>3</v>
      </c>
      <c r="S3" s="2492">
        <v>4</v>
      </c>
      <c r="T3" s="2493">
        <v>6</v>
      </c>
      <c r="U3" s="2494">
        <v>1</v>
      </c>
      <c r="V3" s="2491">
        <v>2</v>
      </c>
      <c r="W3" s="2492">
        <v>3</v>
      </c>
      <c r="X3" s="2492">
        <v>4</v>
      </c>
      <c r="Y3" s="2493">
        <v>6</v>
      </c>
      <c r="Z3" s="2495" t="s">
        <v>542</v>
      </c>
    </row>
    <row r="4" spans="2:26" x14ac:dyDescent="0.4">
      <c r="B4" s="167" t="str">
        <f t="shared" si="0"/>
        <v>Campaign</v>
      </c>
      <c r="C4" s="166">
        <f>IF(B4="campaign", IF(COUNTIF($B$3:$B4,"Campaign")&gt;warmup_campaigns, long_campaign_duration, campaign_duration), 0)</f>
        <v>10</v>
      </c>
      <c r="D4" s="166">
        <f t="shared" si="1"/>
        <v>20</v>
      </c>
      <c r="E4" s="166">
        <f t="shared" si="2"/>
        <v>1078</v>
      </c>
      <c r="F4" s="166">
        <f t="shared" si="3"/>
        <v>2156</v>
      </c>
      <c r="G4" s="166">
        <f t="shared" si="4"/>
        <v>120</v>
      </c>
      <c r="H4" s="165">
        <f t="shared" si="5"/>
        <v>0.24611872146118721</v>
      </c>
      <c r="I4" s="165">
        <f t="shared" si="6"/>
        <v>0.49223744292237442</v>
      </c>
      <c r="J4" s="167">
        <f t="shared" si="7"/>
        <v>0.49223744292237442</v>
      </c>
      <c r="K4" s="167">
        <f>IF($B4="Blanket Maintenance",0,IFERROR($H4+K3,$H4))</f>
        <v>0.49223744292237442</v>
      </c>
      <c r="L4" s="167">
        <f t="shared" si="8"/>
        <v>0</v>
      </c>
      <c r="M4" s="167">
        <f t="shared" si="9"/>
        <v>0.49223744292237442</v>
      </c>
      <c r="O4" s="2496" t="s">
        <v>2640</v>
      </c>
      <c r="P4" s="2497">
        <f t="shared" ref="P4:Y4" si="10">ROUNDUP(Tokamak_Segmts/P3,0)</f>
        <v>16</v>
      </c>
      <c r="Q4" s="2498">
        <f t="shared" si="10"/>
        <v>8</v>
      </c>
      <c r="R4" s="2498">
        <f t="shared" si="10"/>
        <v>6</v>
      </c>
      <c r="S4" s="2498">
        <f t="shared" si="10"/>
        <v>4</v>
      </c>
      <c r="T4" s="2499">
        <f t="shared" si="10"/>
        <v>3</v>
      </c>
      <c r="U4" s="2500">
        <f t="shared" si="10"/>
        <v>16</v>
      </c>
      <c r="V4" s="2497">
        <f t="shared" si="10"/>
        <v>8</v>
      </c>
      <c r="W4" s="2498">
        <f t="shared" si="10"/>
        <v>6</v>
      </c>
      <c r="X4" s="2498">
        <f t="shared" si="10"/>
        <v>4</v>
      </c>
      <c r="Y4" s="2499">
        <f t="shared" si="10"/>
        <v>3</v>
      </c>
      <c r="Z4" s="2501" t="s">
        <v>541</v>
      </c>
    </row>
    <row r="5" spans="2:26" x14ac:dyDescent="0.4">
      <c r="B5" s="167" t="str">
        <f t="shared" si="0"/>
        <v>Minor Maintenance</v>
      </c>
      <c r="C5" s="166">
        <f>IF(B5="campaign", IF(COUNTIF($B$3:$B5,"Campaign")&gt;warmup_campaigns, long_campaign_duration, campaign_duration), 0)</f>
        <v>0</v>
      </c>
      <c r="D5" s="166">
        <f t="shared" si="1"/>
        <v>20</v>
      </c>
      <c r="E5" s="166">
        <f t="shared" si="2"/>
        <v>0</v>
      </c>
      <c r="F5" s="166">
        <f t="shared" si="3"/>
        <v>2156</v>
      </c>
      <c r="G5" s="166">
        <f t="shared" si="4"/>
        <v>0</v>
      </c>
      <c r="H5" s="165">
        <f t="shared" si="5"/>
        <v>0</v>
      </c>
      <c r="I5" s="165">
        <f t="shared" si="6"/>
        <v>0.49223744292237442</v>
      </c>
      <c r="J5" s="167">
        <f t="shared" si="7"/>
        <v>0</v>
      </c>
      <c r="K5" s="167">
        <f t="shared" ref="K5:K36" si="11">IF(B5="Blanket Maintenance",0,IFERROR(H5+K4,H5))</f>
        <v>0.49223744292237442</v>
      </c>
      <c r="L5" s="167">
        <f t="shared" si="8"/>
        <v>0</v>
      </c>
      <c r="M5" s="167">
        <f t="shared" si="9"/>
        <v>0.49223744292237442</v>
      </c>
      <c r="O5" s="2502" t="s">
        <v>540</v>
      </c>
      <c r="P5" s="3739">
        <f>RM_cooldown_period</f>
        <v>30</v>
      </c>
      <c r="Q5" s="3729"/>
      <c r="R5" s="3729"/>
      <c r="S5" s="3729"/>
      <c r="T5" s="3730"/>
      <c r="U5" s="3739">
        <f>RM_cooldown_period</f>
        <v>30</v>
      </c>
      <c r="V5" s="3729"/>
      <c r="W5" s="3729"/>
      <c r="X5" s="3729"/>
      <c r="Y5" s="3730"/>
      <c r="Z5" s="2501" t="s">
        <v>112</v>
      </c>
    </row>
    <row r="6" spans="2:26" x14ac:dyDescent="0.4">
      <c r="B6" s="167" t="str">
        <f t="shared" si="0"/>
        <v>Campaign</v>
      </c>
      <c r="C6" s="166">
        <f>IF(B6="campaign", IF(COUNTIF($B$3:$B6,"Campaign")&gt;warmup_campaigns, long_campaign_duration, campaign_duration), 0)</f>
        <v>10</v>
      </c>
      <c r="D6" s="166">
        <f t="shared" si="1"/>
        <v>30</v>
      </c>
      <c r="E6" s="166">
        <f t="shared" si="2"/>
        <v>1078</v>
      </c>
      <c r="F6" s="166">
        <f t="shared" si="3"/>
        <v>3234</v>
      </c>
      <c r="G6" s="166">
        <f t="shared" si="4"/>
        <v>120</v>
      </c>
      <c r="H6" s="165">
        <f t="shared" si="5"/>
        <v>0.24611872146118721</v>
      </c>
      <c r="I6" s="165">
        <f t="shared" si="6"/>
        <v>0.73835616438356166</v>
      </c>
      <c r="J6" s="167">
        <f t="shared" si="7"/>
        <v>0.24611872146118721</v>
      </c>
      <c r="K6" s="167">
        <f t="shared" si="11"/>
        <v>0.73835616438356166</v>
      </c>
      <c r="L6" s="167">
        <f t="shared" si="8"/>
        <v>0</v>
      </c>
      <c r="M6" s="167">
        <f t="shared" si="9"/>
        <v>0.73835616438356166</v>
      </c>
      <c r="O6" s="2496" t="s">
        <v>539</v>
      </c>
      <c r="P6" s="3735">
        <f>(P19+P24)*P5</f>
        <v>90</v>
      </c>
      <c r="Q6" s="3735"/>
      <c r="R6" s="3735"/>
      <c r="S6" s="3735"/>
      <c r="T6" s="3736"/>
      <c r="U6" s="3740">
        <f>(U19+U24)*U5</f>
        <v>90</v>
      </c>
      <c r="V6" s="3735"/>
      <c r="W6" s="3735"/>
      <c r="X6" s="3735"/>
      <c r="Y6" s="3736"/>
      <c r="Z6" s="2501" t="s">
        <v>112</v>
      </c>
    </row>
    <row r="7" spans="2:26" x14ac:dyDescent="0.4">
      <c r="B7" s="167" t="str">
        <f t="shared" si="0"/>
        <v>Campaign</v>
      </c>
      <c r="C7" s="166">
        <f>IF(B7="campaign", IF(COUNTIF($B$3:$B7,"Campaign")&gt;warmup_campaigns, long_campaign_duration, campaign_duration), 0)</f>
        <v>10</v>
      </c>
      <c r="D7" s="166">
        <f t="shared" si="1"/>
        <v>40</v>
      </c>
      <c r="E7" s="166">
        <f t="shared" si="2"/>
        <v>1078</v>
      </c>
      <c r="F7" s="166">
        <f t="shared" si="3"/>
        <v>4312</v>
      </c>
      <c r="G7" s="166">
        <f t="shared" si="4"/>
        <v>120</v>
      </c>
      <c r="H7" s="165">
        <f t="shared" si="5"/>
        <v>0.24611872146118721</v>
      </c>
      <c r="I7" s="165">
        <f t="shared" si="6"/>
        <v>0.98447488584474885</v>
      </c>
      <c r="J7" s="167">
        <f t="shared" si="7"/>
        <v>0.49223744292237442</v>
      </c>
      <c r="K7" s="167">
        <f t="shared" si="11"/>
        <v>0.98447488584474885</v>
      </c>
      <c r="L7" s="167">
        <f t="shared" si="8"/>
        <v>0</v>
      </c>
      <c r="M7" s="167">
        <f t="shared" si="9"/>
        <v>0.98447488584474885</v>
      </c>
      <c r="O7" s="2502" t="s">
        <v>538</v>
      </c>
      <c r="P7" s="3735">
        <f>demo_pumpdown</f>
        <v>30</v>
      </c>
      <c r="Q7" s="3735"/>
      <c r="R7" s="3735"/>
      <c r="S7" s="3735"/>
      <c r="T7" s="3736"/>
      <c r="U7" s="3740">
        <f>demo_pumpdown</f>
        <v>30</v>
      </c>
      <c r="V7" s="3735"/>
      <c r="W7" s="3735"/>
      <c r="X7" s="3735"/>
      <c r="Y7" s="3736"/>
      <c r="Z7" s="2501" t="s">
        <v>112</v>
      </c>
    </row>
    <row r="8" spans="2:26" x14ac:dyDescent="0.4">
      <c r="B8" s="167" t="str">
        <f t="shared" si="0"/>
        <v>Minor Maintenance</v>
      </c>
      <c r="C8" s="166">
        <f>IF(B8="campaign", IF(COUNTIF($B$3:$B8,"Campaign")&gt;warmup_campaigns, long_campaign_duration, campaign_duration), 0)</f>
        <v>0</v>
      </c>
      <c r="D8" s="166">
        <f t="shared" si="1"/>
        <v>40</v>
      </c>
      <c r="E8" s="166">
        <f t="shared" si="2"/>
        <v>0</v>
      </c>
      <c r="F8" s="166">
        <f t="shared" si="3"/>
        <v>4312</v>
      </c>
      <c r="G8" s="166">
        <f t="shared" si="4"/>
        <v>0</v>
      </c>
      <c r="H8" s="165">
        <f t="shared" si="5"/>
        <v>0</v>
      </c>
      <c r="I8" s="165">
        <f t="shared" si="6"/>
        <v>0.98447488584474885</v>
      </c>
      <c r="J8" s="167">
        <f t="shared" si="7"/>
        <v>0</v>
      </c>
      <c r="K8" s="167">
        <f t="shared" si="11"/>
        <v>0.98447488584474885</v>
      </c>
      <c r="L8" s="167">
        <f t="shared" si="8"/>
        <v>0</v>
      </c>
      <c r="M8" s="167">
        <f t="shared" si="9"/>
        <v>0.98447488584474885</v>
      </c>
      <c r="O8" s="2496" t="s">
        <v>537</v>
      </c>
      <c r="P8" s="3731">
        <f>($P19+$P24)*$P7</f>
        <v>90</v>
      </c>
      <c r="Q8" s="3731"/>
      <c r="R8" s="3731"/>
      <c r="S8" s="3731"/>
      <c r="T8" s="3732"/>
      <c r="U8" s="3741">
        <f>($U19+$U24)*$U7</f>
        <v>90</v>
      </c>
      <c r="V8" s="3731"/>
      <c r="W8" s="3731"/>
      <c r="X8" s="3731"/>
      <c r="Y8" s="3732"/>
      <c r="Z8" s="2501" t="s">
        <v>112</v>
      </c>
    </row>
    <row r="9" spans="2:26" x14ac:dyDescent="0.4">
      <c r="B9" s="167" t="str">
        <f t="shared" si="0"/>
        <v>Campaign</v>
      </c>
      <c r="C9" s="166">
        <f>IF(B9="campaign", IF(COUNTIF($B$3:$B9,"Campaign")&gt;warmup_campaigns, long_campaign_duration, campaign_duration), 0)</f>
        <v>12</v>
      </c>
      <c r="D9" s="166">
        <f t="shared" si="1"/>
        <v>52</v>
      </c>
      <c r="E9" s="166">
        <f t="shared" si="2"/>
        <v>1294</v>
      </c>
      <c r="F9" s="166">
        <f t="shared" si="3"/>
        <v>5606</v>
      </c>
      <c r="G9" s="166">
        <f t="shared" si="4"/>
        <v>144</v>
      </c>
      <c r="H9" s="165">
        <f t="shared" si="5"/>
        <v>0.29543378995433789</v>
      </c>
      <c r="I9" s="165">
        <f t="shared" si="6"/>
        <v>1.2799086757990867</v>
      </c>
      <c r="J9" s="167">
        <f t="shared" si="7"/>
        <v>0.29543378995433789</v>
      </c>
      <c r="K9" s="167">
        <f t="shared" si="11"/>
        <v>1.2799086757990867</v>
      </c>
      <c r="L9" s="167">
        <f t="shared" si="8"/>
        <v>0</v>
      </c>
      <c r="M9" s="167">
        <f t="shared" si="9"/>
        <v>1.2799086757990867</v>
      </c>
      <c r="O9" s="2503" t="s">
        <v>536</v>
      </c>
      <c r="P9" s="3729">
        <f>DEMO_fpy_Lifetime</f>
        <v>6</v>
      </c>
      <c r="Q9" s="3729"/>
      <c r="R9" s="3729"/>
      <c r="S9" s="3729"/>
      <c r="T9" s="3730"/>
      <c r="U9" s="3739">
        <f>DEMO_fpy_Lifetime</f>
        <v>6</v>
      </c>
      <c r="V9" s="3729"/>
      <c r="W9" s="3729"/>
      <c r="X9" s="3729"/>
      <c r="Y9" s="3730"/>
      <c r="Z9" s="2504" t="s">
        <v>533</v>
      </c>
    </row>
    <row r="10" spans="2:26" x14ac:dyDescent="0.4">
      <c r="B10" s="167" t="str">
        <f t="shared" si="0"/>
        <v>Minor Maintenance</v>
      </c>
      <c r="C10" s="166">
        <f>IF(B10="campaign", IF(COUNTIF($B$3:$B10,"Campaign")&gt;warmup_campaigns, long_campaign_duration, campaign_duration), 0)</f>
        <v>0</v>
      </c>
      <c r="D10" s="166">
        <f t="shared" si="1"/>
        <v>52</v>
      </c>
      <c r="E10" s="166">
        <f t="shared" si="2"/>
        <v>0</v>
      </c>
      <c r="F10" s="166">
        <f t="shared" si="3"/>
        <v>5606</v>
      </c>
      <c r="G10" s="166">
        <f t="shared" si="4"/>
        <v>0</v>
      </c>
      <c r="H10" s="165">
        <f t="shared" si="5"/>
        <v>0</v>
      </c>
      <c r="I10" s="165">
        <f t="shared" si="6"/>
        <v>1.2799086757990867</v>
      </c>
      <c r="J10" s="167">
        <f t="shared" si="7"/>
        <v>0</v>
      </c>
      <c r="K10" s="167">
        <f t="shared" si="11"/>
        <v>1.2799086757990867</v>
      </c>
      <c r="L10" s="167">
        <f t="shared" si="8"/>
        <v>0</v>
      </c>
      <c r="M10" s="167">
        <f t="shared" si="9"/>
        <v>1.2799086757990867</v>
      </c>
      <c r="O10" s="2502" t="s">
        <v>535</v>
      </c>
      <c r="P10" s="3737">
        <f>(INDEX($F$3:$F$126,MATCH(P9,$I$3:$I$126,1))*pulse_time)/24</f>
        <v>2084.6666666666665</v>
      </c>
      <c r="Q10" s="3737"/>
      <c r="R10" s="3737"/>
      <c r="S10" s="3737"/>
      <c r="T10" s="3738"/>
      <c r="U10" s="3743">
        <f>(INDEX($F$3:$F$126,MATCH(U9,$I$3:$I$126,1))*pulse_time)/24</f>
        <v>2084.6666666666665</v>
      </c>
      <c r="V10" s="3737"/>
      <c r="W10" s="3737"/>
      <c r="X10" s="3737"/>
      <c r="Y10" s="3738"/>
      <c r="Z10" s="2501" t="s">
        <v>112</v>
      </c>
    </row>
    <row r="11" spans="2:26" x14ac:dyDescent="0.4">
      <c r="B11" s="167" t="str">
        <f t="shared" si="0"/>
        <v>Campaign</v>
      </c>
      <c r="C11" s="166">
        <f>IF(B11="campaign", IF(COUNTIF($B$3:$B11,"Campaign")&gt;warmup_campaigns, long_campaign_duration, campaign_duration), 0)</f>
        <v>12</v>
      </c>
      <c r="D11" s="166">
        <f t="shared" si="1"/>
        <v>64</v>
      </c>
      <c r="E11" s="166">
        <f t="shared" si="2"/>
        <v>1294</v>
      </c>
      <c r="F11" s="166">
        <f t="shared" si="3"/>
        <v>6900</v>
      </c>
      <c r="G11" s="166">
        <f t="shared" si="4"/>
        <v>144</v>
      </c>
      <c r="H11" s="165">
        <f t="shared" si="5"/>
        <v>0.29543378995433789</v>
      </c>
      <c r="I11" s="165">
        <f t="shared" si="6"/>
        <v>1.5753424657534247</v>
      </c>
      <c r="J11" s="167">
        <f t="shared" si="7"/>
        <v>0.29543378995433789</v>
      </c>
      <c r="K11" s="167">
        <f t="shared" si="11"/>
        <v>1.5753424657534247</v>
      </c>
      <c r="L11" s="167">
        <f t="shared" si="8"/>
        <v>0</v>
      </c>
      <c r="M11" s="167">
        <f t="shared" si="9"/>
        <v>1.5753424657534247</v>
      </c>
      <c r="O11" s="2505" t="s">
        <v>534</v>
      </c>
      <c r="P11" s="3731">
        <f>(P10/(365))</f>
        <v>5.7114155251141545</v>
      </c>
      <c r="Q11" s="3731"/>
      <c r="R11" s="3731"/>
      <c r="S11" s="3731"/>
      <c r="T11" s="3732"/>
      <c r="U11" s="3741">
        <f>(U10/(365))</f>
        <v>5.7114155251141545</v>
      </c>
      <c r="V11" s="3731"/>
      <c r="W11" s="3731"/>
      <c r="X11" s="3731"/>
      <c r="Y11" s="3732"/>
      <c r="Z11" s="2506" t="s">
        <v>533</v>
      </c>
    </row>
    <row r="12" spans="2:26" x14ac:dyDescent="0.4">
      <c r="B12" s="167" t="str">
        <f t="shared" si="0"/>
        <v>Minor Maintenance</v>
      </c>
      <c r="C12" s="166">
        <f>IF(B12="campaign", IF(COUNTIF($B$3:$B12,"Campaign")&gt;warmup_campaigns, long_campaign_duration, campaign_duration), 0)</f>
        <v>0</v>
      </c>
      <c r="D12" s="166">
        <f t="shared" si="1"/>
        <v>64</v>
      </c>
      <c r="E12" s="166">
        <f t="shared" si="2"/>
        <v>0</v>
      </c>
      <c r="F12" s="166">
        <f t="shared" si="3"/>
        <v>6900</v>
      </c>
      <c r="G12" s="166">
        <f t="shared" si="4"/>
        <v>0</v>
      </c>
      <c r="H12" s="165">
        <f t="shared" si="5"/>
        <v>0</v>
      </c>
      <c r="I12" s="165">
        <f t="shared" si="6"/>
        <v>1.5753424657534247</v>
      </c>
      <c r="J12" s="167">
        <f t="shared" si="7"/>
        <v>0</v>
      </c>
      <c r="K12" s="167">
        <f t="shared" si="11"/>
        <v>1.5753424657534247</v>
      </c>
      <c r="L12" s="167">
        <f t="shared" si="8"/>
        <v>0</v>
      </c>
      <c r="M12" s="167">
        <f t="shared" si="9"/>
        <v>1.5753424657534247</v>
      </c>
      <c r="O12" s="2503" t="s">
        <v>532</v>
      </c>
      <c r="P12" s="3729">
        <f>(INDEX($D$3:$D$126,MATCH(P9,$I$3:$I$126,1))*sequence_duration)</f>
        <v>3712</v>
      </c>
      <c r="Q12" s="3729"/>
      <c r="R12" s="3729"/>
      <c r="S12" s="3729"/>
      <c r="T12" s="3730"/>
      <c r="U12" s="3739">
        <f>(INDEX($D$3:$D$126,MATCH(U9,$I$3:$I$126,1))*sequence_duration)</f>
        <v>3712</v>
      </c>
      <c r="V12" s="3729"/>
      <c r="W12" s="3729"/>
      <c r="X12" s="3729"/>
      <c r="Y12" s="3730"/>
      <c r="Z12" s="2504" t="s">
        <v>112</v>
      </c>
    </row>
    <row r="13" spans="2:26" x14ac:dyDescent="0.4">
      <c r="B13" s="167" t="str">
        <f t="shared" si="0"/>
        <v>Campaign</v>
      </c>
      <c r="C13" s="166">
        <f>IF(B13="campaign", IF(COUNTIF($B$3:$B13,"Campaign")&gt;warmup_campaigns, long_campaign_duration, campaign_duration), 0)</f>
        <v>12</v>
      </c>
      <c r="D13" s="166">
        <f t="shared" si="1"/>
        <v>76</v>
      </c>
      <c r="E13" s="166">
        <f t="shared" si="2"/>
        <v>1294</v>
      </c>
      <c r="F13" s="166">
        <f t="shared" si="3"/>
        <v>8194</v>
      </c>
      <c r="G13" s="166">
        <f t="shared" si="4"/>
        <v>144</v>
      </c>
      <c r="H13" s="165">
        <f t="shared" si="5"/>
        <v>0.29543378995433789</v>
      </c>
      <c r="I13" s="165">
        <f t="shared" si="6"/>
        <v>1.8707762557077627</v>
      </c>
      <c r="J13" s="167">
        <f t="shared" si="7"/>
        <v>0.29543378995433789</v>
      </c>
      <c r="K13" s="167">
        <f t="shared" si="11"/>
        <v>1.8707762557077627</v>
      </c>
      <c r="L13" s="167">
        <f t="shared" si="8"/>
        <v>0</v>
      </c>
      <c r="M13" s="167">
        <f t="shared" si="9"/>
        <v>1.8707762557077627</v>
      </c>
      <c r="O13" s="2505" t="s">
        <v>531</v>
      </c>
      <c r="P13" s="3731">
        <f>P12/365</f>
        <v>10.169863013698631</v>
      </c>
      <c r="Q13" s="3731"/>
      <c r="R13" s="3731"/>
      <c r="S13" s="3731"/>
      <c r="T13" s="3732"/>
      <c r="U13" s="3741">
        <f>U12/365</f>
        <v>10.169863013698631</v>
      </c>
      <c r="V13" s="3731"/>
      <c r="W13" s="3731"/>
      <c r="X13" s="3731"/>
      <c r="Y13" s="3732"/>
      <c r="Z13" s="2506" t="s">
        <v>514</v>
      </c>
    </row>
    <row r="14" spans="2:26" x14ac:dyDescent="0.4">
      <c r="B14" s="167" t="str">
        <f t="shared" si="0"/>
        <v>Blanket Maintenance</v>
      </c>
      <c r="C14" s="166">
        <f>IF(B14="campaign", IF(COUNTIF($B$3:$B14,"Campaign")&gt;warmup_campaigns, long_campaign_duration, campaign_duration), 0)</f>
        <v>0</v>
      </c>
      <c r="D14" s="166">
        <f t="shared" si="1"/>
        <v>76</v>
      </c>
      <c r="E14" s="166">
        <f t="shared" si="2"/>
        <v>0</v>
      </c>
      <c r="F14" s="166">
        <f t="shared" si="3"/>
        <v>8194</v>
      </c>
      <c r="G14" s="166">
        <f t="shared" si="4"/>
        <v>0</v>
      </c>
      <c r="H14" s="165">
        <f t="shared" si="5"/>
        <v>0</v>
      </c>
      <c r="I14" s="165">
        <f t="shared" si="6"/>
        <v>1.8707762557077627</v>
      </c>
      <c r="J14" s="167">
        <f t="shared" si="7"/>
        <v>0</v>
      </c>
      <c r="K14" s="167">
        <f t="shared" si="11"/>
        <v>0</v>
      </c>
      <c r="L14" s="167">
        <f t="shared" si="8"/>
        <v>1</v>
      </c>
      <c r="M14" s="167">
        <f t="shared" si="9"/>
        <v>0</v>
      </c>
      <c r="O14" s="3726" t="s">
        <v>530</v>
      </c>
      <c r="P14" s="3733">
        <f>(INDEX($F$3:$F$126,MATCH(P9,$I$3:$I$126,1))*(dwell_time))/24</f>
        <v>698.36333333333334</v>
      </c>
      <c r="Q14" s="3733"/>
      <c r="R14" s="3733"/>
      <c r="S14" s="3733"/>
      <c r="T14" s="3734"/>
      <c r="U14" s="3742">
        <f>(INDEX($F$3:$F$126,MATCH(U9,$I$3:$I$126,1))*(dwell_time))/24</f>
        <v>698.36333333333334</v>
      </c>
      <c r="V14" s="3733"/>
      <c r="W14" s="3733"/>
      <c r="X14" s="3733"/>
      <c r="Y14" s="3734"/>
      <c r="Z14" s="2504" t="s">
        <v>112</v>
      </c>
    </row>
    <row r="15" spans="2:26" x14ac:dyDescent="0.4">
      <c r="B15" s="167" t="str">
        <f t="shared" si="0"/>
        <v>Campaign</v>
      </c>
      <c r="C15" s="166">
        <f>IF(B15="campaign", IF(COUNTIF($B$3:$B15,"Campaign")&gt;warmup_campaigns, long_campaign_duration, campaign_duration), 0)</f>
        <v>12</v>
      </c>
      <c r="D15" s="166">
        <f t="shared" si="1"/>
        <v>88</v>
      </c>
      <c r="E15" s="166">
        <f t="shared" si="2"/>
        <v>1294</v>
      </c>
      <c r="F15" s="166">
        <f t="shared" si="3"/>
        <v>9488</v>
      </c>
      <c r="G15" s="166">
        <f t="shared" si="4"/>
        <v>144</v>
      </c>
      <c r="H15" s="165">
        <f t="shared" si="5"/>
        <v>0.29543378995433789</v>
      </c>
      <c r="I15" s="165">
        <f t="shared" si="6"/>
        <v>2.1662100456621007</v>
      </c>
      <c r="J15" s="167">
        <f t="shared" si="7"/>
        <v>0.29543378995433789</v>
      </c>
      <c r="K15" s="167">
        <f t="shared" si="11"/>
        <v>0.29543378995433789</v>
      </c>
      <c r="L15" s="167">
        <f t="shared" si="8"/>
        <v>1</v>
      </c>
      <c r="M15" s="167">
        <f t="shared" si="9"/>
        <v>0.29543378995433789</v>
      </c>
      <c r="O15" s="3727"/>
      <c r="P15" s="3731">
        <f>(P14)/(365)</f>
        <v>1.9133242009132421</v>
      </c>
      <c r="Q15" s="3731"/>
      <c r="R15" s="3731"/>
      <c r="S15" s="3731"/>
      <c r="T15" s="3732"/>
      <c r="U15" s="3741">
        <f>(U14)/(365)</f>
        <v>1.9133242009132421</v>
      </c>
      <c r="V15" s="3731"/>
      <c r="W15" s="3731"/>
      <c r="X15" s="3731"/>
      <c r="Y15" s="3732"/>
      <c r="Z15" s="2506" t="s">
        <v>514</v>
      </c>
    </row>
    <row r="16" spans="2:26" x14ac:dyDescent="0.4">
      <c r="B16" s="167" t="str">
        <f t="shared" si="0"/>
        <v>Minor Maintenance</v>
      </c>
      <c r="C16" s="166">
        <f>IF(B16="campaign", IF(COUNTIF($B$3:$B16,"Campaign")&gt;warmup_campaigns, long_campaign_duration, campaign_duration), 0)</f>
        <v>0</v>
      </c>
      <c r="D16" s="166">
        <f t="shared" si="1"/>
        <v>88</v>
      </c>
      <c r="E16" s="166">
        <f t="shared" si="2"/>
        <v>0</v>
      </c>
      <c r="F16" s="166">
        <f t="shared" si="3"/>
        <v>9488</v>
      </c>
      <c r="G16" s="166">
        <f t="shared" si="4"/>
        <v>0</v>
      </c>
      <c r="H16" s="165">
        <f t="shared" si="5"/>
        <v>0</v>
      </c>
      <c r="I16" s="165">
        <f t="shared" si="6"/>
        <v>2.1662100456621007</v>
      </c>
      <c r="J16" s="167">
        <f t="shared" si="7"/>
        <v>0</v>
      </c>
      <c r="K16" s="167">
        <f t="shared" si="11"/>
        <v>0.29543378995433789</v>
      </c>
      <c r="L16" s="167">
        <f t="shared" si="8"/>
        <v>1</v>
      </c>
      <c r="M16" s="167">
        <f t="shared" si="9"/>
        <v>0.29543378995433789</v>
      </c>
      <c r="O16" s="3724" t="s">
        <v>529</v>
      </c>
      <c r="P16" s="3729">
        <f>((INDEX($D$3:$D$126,MATCH(P9,$I$3:$I$126,1)))*sequence_duration)*(interim_maintenace_period/sequence_duration)</f>
        <v>928</v>
      </c>
      <c r="Q16" s="3729"/>
      <c r="R16" s="3729"/>
      <c r="S16" s="3729"/>
      <c r="T16" s="3730"/>
      <c r="U16" s="3739">
        <f>((INDEX($D$3:$D$126,MATCH(U9,$I$3:$I$126,1)))*sequence_duration)*(interim_maintenace_period/sequence_duration)</f>
        <v>928</v>
      </c>
      <c r="V16" s="3729"/>
      <c r="W16" s="3729"/>
      <c r="X16" s="3729"/>
      <c r="Y16" s="3730"/>
      <c r="Z16" s="2504" t="s">
        <v>112</v>
      </c>
    </row>
    <row r="17" spans="2:26" x14ac:dyDescent="0.4">
      <c r="B17" s="167" t="str">
        <f t="shared" si="0"/>
        <v>Campaign</v>
      </c>
      <c r="C17" s="166">
        <f>IF(B17="campaign", IF(COUNTIF($B$3:$B17,"Campaign")&gt;warmup_campaigns, long_campaign_duration, campaign_duration), 0)</f>
        <v>12</v>
      </c>
      <c r="D17" s="166">
        <f t="shared" si="1"/>
        <v>100</v>
      </c>
      <c r="E17" s="166">
        <f t="shared" si="2"/>
        <v>1294</v>
      </c>
      <c r="F17" s="166">
        <f t="shared" si="3"/>
        <v>10782</v>
      </c>
      <c r="G17" s="166">
        <f t="shared" si="4"/>
        <v>144</v>
      </c>
      <c r="H17" s="165">
        <f t="shared" si="5"/>
        <v>0.29543378995433789</v>
      </c>
      <c r="I17" s="165">
        <f t="shared" si="6"/>
        <v>2.4616438356164387</v>
      </c>
      <c r="J17" s="167">
        <f t="shared" si="7"/>
        <v>0.29543378995433789</v>
      </c>
      <c r="K17" s="167">
        <f t="shared" si="11"/>
        <v>0.59086757990867578</v>
      </c>
      <c r="L17" s="167">
        <f t="shared" si="8"/>
        <v>1</v>
      </c>
      <c r="M17" s="167">
        <f t="shared" si="9"/>
        <v>0.59086757990867578</v>
      </c>
      <c r="O17" s="3725"/>
      <c r="P17" s="3731">
        <f>P16/365</f>
        <v>2.5424657534246577</v>
      </c>
      <c r="Q17" s="3731"/>
      <c r="R17" s="3731"/>
      <c r="S17" s="3731"/>
      <c r="T17" s="3732"/>
      <c r="U17" s="3741">
        <f>U16/365</f>
        <v>2.5424657534246577</v>
      </c>
      <c r="V17" s="3731"/>
      <c r="W17" s="3731"/>
      <c r="X17" s="3731"/>
      <c r="Y17" s="3732"/>
      <c r="Z17" s="2501" t="s">
        <v>514</v>
      </c>
    </row>
    <row r="18" spans="2:26" x14ac:dyDescent="0.4">
      <c r="B18" s="167" t="str">
        <f t="shared" si="0"/>
        <v>Minor Maintenance</v>
      </c>
      <c r="C18" s="166">
        <f>IF(B18="campaign", IF(COUNTIF($B$3:$B18,"Campaign")&gt;warmup_campaigns, long_campaign_duration, campaign_duration), 0)</f>
        <v>0</v>
      </c>
      <c r="D18" s="166">
        <f t="shared" si="1"/>
        <v>100</v>
      </c>
      <c r="E18" s="166">
        <f t="shared" si="2"/>
        <v>0</v>
      </c>
      <c r="F18" s="166">
        <f t="shared" si="3"/>
        <v>10782</v>
      </c>
      <c r="G18" s="166">
        <f t="shared" si="4"/>
        <v>0</v>
      </c>
      <c r="H18" s="165">
        <f t="shared" si="5"/>
        <v>0</v>
      </c>
      <c r="I18" s="165">
        <f t="shared" si="6"/>
        <v>2.4616438356164387</v>
      </c>
      <c r="J18" s="167">
        <f t="shared" si="7"/>
        <v>0</v>
      </c>
      <c r="K18" s="167">
        <f t="shared" si="11"/>
        <v>0.59086757990867578</v>
      </c>
      <c r="L18" s="167">
        <f t="shared" si="8"/>
        <v>1</v>
      </c>
      <c r="M18" s="167">
        <f t="shared" si="9"/>
        <v>0.59086757990867578</v>
      </c>
      <c r="O18" s="2507" t="s">
        <v>528</v>
      </c>
      <c r="P18" s="3715" t="s">
        <v>2702</v>
      </c>
      <c r="Q18" s="3715"/>
      <c r="R18" s="3715"/>
      <c r="S18" s="3715"/>
      <c r="T18" s="3716"/>
      <c r="U18" s="3712" t="s">
        <v>2703</v>
      </c>
      <c r="V18" s="3712"/>
      <c r="W18" s="3712"/>
      <c r="X18" s="3712"/>
      <c r="Y18" s="3712"/>
      <c r="Z18" s="2508" t="s">
        <v>575</v>
      </c>
    </row>
    <row r="19" spans="2:26" x14ac:dyDescent="0.4">
      <c r="B19" s="167" t="str">
        <f t="shared" si="0"/>
        <v>Campaign</v>
      </c>
      <c r="C19" s="166">
        <f>IF(B19="campaign", IF(COUNTIF($B$3:$B19,"Campaign")&gt;warmup_campaigns, long_campaign_duration, campaign_duration), 0)</f>
        <v>12</v>
      </c>
      <c r="D19" s="166">
        <f t="shared" si="1"/>
        <v>112</v>
      </c>
      <c r="E19" s="166">
        <f t="shared" si="2"/>
        <v>1294</v>
      </c>
      <c r="F19" s="166">
        <f t="shared" si="3"/>
        <v>12076</v>
      </c>
      <c r="G19" s="166">
        <f t="shared" si="4"/>
        <v>144</v>
      </c>
      <c r="H19" s="165">
        <f t="shared" si="5"/>
        <v>0.29543378995433789</v>
      </c>
      <c r="I19" s="165">
        <f t="shared" si="6"/>
        <v>2.7570776255707767</v>
      </c>
      <c r="J19" s="167">
        <f t="shared" si="7"/>
        <v>0.29543378995433789</v>
      </c>
      <c r="K19" s="167">
        <f t="shared" si="11"/>
        <v>0.88630136986301367</v>
      </c>
      <c r="L19" s="167">
        <f t="shared" si="8"/>
        <v>1</v>
      </c>
      <c r="M19" s="167">
        <f t="shared" si="9"/>
        <v>0.88630136986301367</v>
      </c>
      <c r="O19" s="2496" t="s">
        <v>527</v>
      </c>
      <c r="P19" s="3717">
        <f>COUNTIFS(I$3:$I187,"&lt;"&amp;DEMO_fpy_Lifetime,$B$3:B187, "Blanket Maintenance")</f>
        <v>1</v>
      </c>
      <c r="Q19" s="3713"/>
      <c r="R19" s="3713"/>
      <c r="S19" s="3713"/>
      <c r="T19" s="3714"/>
      <c r="U19" s="3717">
        <f>COUNTIFS($I$3:I187,"&lt;"&amp;DEMO_fpy_Lifetime,$B$3:B187, "Blanket Maintenance")</f>
        <v>1</v>
      </c>
      <c r="V19" s="3713"/>
      <c r="W19" s="3713"/>
      <c r="X19" s="3713"/>
      <c r="Y19" s="3714"/>
      <c r="Z19" s="2501" t="s">
        <v>519</v>
      </c>
    </row>
    <row r="20" spans="2:26" x14ac:dyDescent="0.4">
      <c r="B20" s="167" t="str">
        <f t="shared" si="0"/>
        <v>Minor Maintenance</v>
      </c>
      <c r="C20" s="166">
        <f>IF(B20="campaign", IF(COUNTIF($B$3:$B20,"Campaign")&gt;warmup_campaigns, long_campaign_duration, campaign_duration), 0)</f>
        <v>0</v>
      </c>
      <c r="D20" s="166">
        <f t="shared" si="1"/>
        <v>112</v>
      </c>
      <c r="E20" s="166">
        <f t="shared" si="2"/>
        <v>0</v>
      </c>
      <c r="F20" s="166">
        <f t="shared" si="3"/>
        <v>12076</v>
      </c>
      <c r="G20" s="166">
        <f t="shared" si="4"/>
        <v>0</v>
      </c>
      <c r="H20" s="165">
        <f t="shared" si="5"/>
        <v>0</v>
      </c>
      <c r="I20" s="165">
        <f t="shared" si="6"/>
        <v>2.7570776255707767</v>
      </c>
      <c r="J20" s="167">
        <f t="shared" si="7"/>
        <v>0</v>
      </c>
      <c r="K20" s="167">
        <f t="shared" si="11"/>
        <v>0.88630136986301367</v>
      </c>
      <c r="L20" s="167">
        <f t="shared" si="8"/>
        <v>1</v>
      </c>
      <c r="M20" s="167">
        <f t="shared" si="9"/>
        <v>0.88630136986301367</v>
      </c>
      <c r="O20" s="2502" t="s">
        <v>526</v>
      </c>
      <c r="P20" s="2509">
        <f>IF($P18="Upper Port Hot Cell", blanket_hc_days_series, IF($P18="Upper Port Cask System", blanket_cask_days_series, "Error"))</f>
        <v>975.48292028562628</v>
      </c>
      <c r="Q20" s="2509">
        <f>IF($P18="Upper Port Hot Cell", blanket_hc_days_2, IF($P18="Upper Port Cask System", blanket_cask_days_2, "Error"))</f>
        <v>639.67876885433998</v>
      </c>
      <c r="R20" s="2510">
        <f>IF($P18="Upper Port Hot Cell", blanket_hc_days_3, IF($P18="Upper Port Cask System", blanket_cask_days_3, "Error"))</f>
        <v>479.75907664075493</v>
      </c>
      <c r="S20" s="2510">
        <f>IF($P18="Upper Port Hot Cell", blanket_hc_days_4, IF($P18="Upper Port Cask System", blanket_cask_days_4, "Error"))</f>
        <v>319.83938442716999</v>
      </c>
      <c r="T20" s="2511">
        <f>IF($P18="Upper Port Hot Cell", blanket_hc_days_6, IF($P18="Upper Port Cask System", blanket_cask_days_6, "Error"))</f>
        <v>239.87953832037746</v>
      </c>
      <c r="U20" s="2512">
        <f>IF($U18="Upper Port Hot Cell", blanket_hc_days_series, IF($U18="Upper Port Cask System", blanket_cask_days_series, "Error"))</f>
        <v>1014.7143007068516</v>
      </c>
      <c r="V20" s="2509">
        <f>IF($U18="Upper Port Hot Cell", blanket_hc_days_2, IF($U18="Upper Port Cask System", blanket_cask_days_2, "Error"))</f>
        <v>639.67876885433998</v>
      </c>
      <c r="W20" s="2510">
        <f>IF($U18="Upper Port Hot Cell", blanket_hc_days_3, IF($U18="Upper Port Cask System", blanket_cask_days_3, "Error"))</f>
        <v>479.75907664075493</v>
      </c>
      <c r="X20" s="2510">
        <f>IF($U18="Upper Port Hot Cell", blanket_hc_days_4, IF($U18="Upper Port Cask System", blanket_cask_days_4, "Error"))</f>
        <v>319.83938442716999</v>
      </c>
      <c r="Y20" s="2511">
        <f>IF($U18="Upper Port Hot Cell", blanket_hc_days_6, IF($U18="Upper Port Cask System", blanket_cask_days_6, "Error"))</f>
        <v>239.87953832037746</v>
      </c>
      <c r="Z20" s="2501" t="s">
        <v>112</v>
      </c>
    </row>
    <row r="21" spans="2:26" x14ac:dyDescent="0.4">
      <c r="B21" s="167" t="str">
        <f t="shared" si="0"/>
        <v>Campaign</v>
      </c>
      <c r="C21" s="166">
        <f>IF(B21="campaign", IF(COUNTIF($B$3:$B21,"Campaign")&gt;warmup_campaigns, long_campaign_duration, campaign_duration), 0)</f>
        <v>12</v>
      </c>
      <c r="D21" s="166">
        <f t="shared" si="1"/>
        <v>124</v>
      </c>
      <c r="E21" s="166">
        <f t="shared" si="2"/>
        <v>1294</v>
      </c>
      <c r="F21" s="166">
        <f t="shared" si="3"/>
        <v>13370</v>
      </c>
      <c r="G21" s="166">
        <f t="shared" si="4"/>
        <v>144</v>
      </c>
      <c r="H21" s="165">
        <f t="shared" si="5"/>
        <v>0.29543378995433789</v>
      </c>
      <c r="I21" s="165">
        <f t="shared" si="6"/>
        <v>3.0525114155251147</v>
      </c>
      <c r="J21" s="167">
        <f t="shared" si="7"/>
        <v>0.29543378995433789</v>
      </c>
      <c r="K21" s="167">
        <f t="shared" si="11"/>
        <v>1.1817351598173516</v>
      </c>
      <c r="L21" s="167">
        <f t="shared" si="8"/>
        <v>1</v>
      </c>
      <c r="M21" s="167">
        <f t="shared" si="9"/>
        <v>1.1817351598173516</v>
      </c>
      <c r="O21" s="3710" t="s">
        <v>525</v>
      </c>
      <c r="P21" s="2513">
        <f>$P$19*(P20)</f>
        <v>975.48292028562628</v>
      </c>
      <c r="Q21" s="2513">
        <f>$P$19*(Q20)</f>
        <v>639.67876885433998</v>
      </c>
      <c r="R21" s="2514">
        <f>$P$19*(R20)</f>
        <v>479.75907664075493</v>
      </c>
      <c r="S21" s="2514">
        <f>$P$19*(S20)</f>
        <v>319.83938442716999</v>
      </c>
      <c r="T21" s="2515">
        <f>$P$19*(T20)</f>
        <v>239.87953832037746</v>
      </c>
      <c r="U21" s="2516">
        <f>$U$19*(U20)</f>
        <v>1014.7143007068516</v>
      </c>
      <c r="V21" s="2513">
        <f>$U$19*(V20)</f>
        <v>639.67876885433998</v>
      </c>
      <c r="W21" s="2514">
        <f>$U$19*(W20)</f>
        <v>479.75907664075493</v>
      </c>
      <c r="X21" s="2514">
        <f>$U$19*(X20)</f>
        <v>319.83938442716999</v>
      </c>
      <c r="Y21" s="2515">
        <f>$U$19*(Y20)</f>
        <v>239.87953832037746</v>
      </c>
      <c r="Z21" s="2501" t="s">
        <v>112</v>
      </c>
    </row>
    <row r="22" spans="2:26" x14ac:dyDescent="0.4">
      <c r="B22" s="167" t="str">
        <f t="shared" si="0"/>
        <v>Minor Maintenance</v>
      </c>
      <c r="C22" s="166">
        <f>IF(B22="campaign", IF(COUNTIF($B$3:$B22,"Campaign")&gt;warmup_campaigns, long_campaign_duration, campaign_duration), 0)</f>
        <v>0</v>
      </c>
      <c r="D22" s="166">
        <f t="shared" si="1"/>
        <v>124</v>
      </c>
      <c r="E22" s="166">
        <f t="shared" si="2"/>
        <v>0</v>
      </c>
      <c r="F22" s="166">
        <f t="shared" si="3"/>
        <v>13370</v>
      </c>
      <c r="G22" s="166">
        <f t="shared" si="4"/>
        <v>0</v>
      </c>
      <c r="H22" s="165">
        <f t="shared" si="5"/>
        <v>0</v>
      </c>
      <c r="I22" s="165">
        <f t="shared" si="6"/>
        <v>3.0525114155251147</v>
      </c>
      <c r="J22" s="167">
        <f t="shared" si="7"/>
        <v>0</v>
      </c>
      <c r="K22" s="167">
        <f t="shared" si="11"/>
        <v>1.1817351598173516</v>
      </c>
      <c r="L22" s="167">
        <f t="shared" si="8"/>
        <v>1</v>
      </c>
      <c r="M22" s="167">
        <f t="shared" si="9"/>
        <v>1.1817351598173516</v>
      </c>
      <c r="O22" s="3711"/>
      <c r="P22" s="2517">
        <f t="shared" ref="P22:Y22" si="12">P21/365</f>
        <v>2.6725559459880173</v>
      </c>
      <c r="Q22" s="2517">
        <f t="shared" si="12"/>
        <v>1.7525445722036712</v>
      </c>
      <c r="R22" s="2518">
        <f t="shared" si="12"/>
        <v>1.3144084291527531</v>
      </c>
      <c r="S22" s="2518">
        <f>S21/365</f>
        <v>0.87627228610183561</v>
      </c>
      <c r="T22" s="2519">
        <f t="shared" si="12"/>
        <v>0.65720421457637657</v>
      </c>
      <c r="U22" s="2520">
        <f t="shared" si="12"/>
        <v>2.7800391800187718</v>
      </c>
      <c r="V22" s="2517">
        <f t="shared" si="12"/>
        <v>1.7525445722036712</v>
      </c>
      <c r="W22" s="2518">
        <f t="shared" si="12"/>
        <v>1.3144084291527531</v>
      </c>
      <c r="X22" s="2518">
        <f t="shared" si="12"/>
        <v>0.87627228610183561</v>
      </c>
      <c r="Y22" s="2519">
        <f t="shared" si="12"/>
        <v>0.65720421457637657</v>
      </c>
      <c r="Z22" s="2501" t="s">
        <v>514</v>
      </c>
    </row>
    <row r="23" spans="2:26" x14ac:dyDescent="0.4">
      <c r="B23" s="167" t="str">
        <f t="shared" si="0"/>
        <v>Campaign</v>
      </c>
      <c r="C23" s="166">
        <f>IF(B23="campaign", IF(COUNTIF($B$3:$B23,"Campaign")&gt;warmup_campaigns, long_campaign_duration, campaign_duration), 0)</f>
        <v>12</v>
      </c>
      <c r="D23" s="166">
        <f t="shared" si="1"/>
        <v>136</v>
      </c>
      <c r="E23" s="166">
        <f t="shared" si="2"/>
        <v>1294</v>
      </c>
      <c r="F23" s="166">
        <f t="shared" si="3"/>
        <v>14664</v>
      </c>
      <c r="G23" s="166">
        <f t="shared" si="4"/>
        <v>144</v>
      </c>
      <c r="H23" s="165">
        <f t="shared" si="5"/>
        <v>0.29543378995433789</v>
      </c>
      <c r="I23" s="165">
        <f t="shared" si="6"/>
        <v>3.3479452054794527</v>
      </c>
      <c r="J23" s="167">
        <f t="shared" si="7"/>
        <v>0.29543378995433789</v>
      </c>
      <c r="K23" s="167">
        <f t="shared" si="11"/>
        <v>1.4771689497716896</v>
      </c>
      <c r="L23" s="167">
        <f t="shared" si="8"/>
        <v>1</v>
      </c>
      <c r="M23" s="167">
        <f t="shared" si="9"/>
        <v>1.4771689497716896</v>
      </c>
      <c r="O23" s="2507" t="s">
        <v>524</v>
      </c>
      <c r="P23" s="3712" t="s">
        <v>2704</v>
      </c>
      <c r="Q23" s="3712"/>
      <c r="R23" s="3712"/>
      <c r="S23" s="3712"/>
      <c r="T23" s="3712"/>
      <c r="U23" s="3712" t="s">
        <v>2705</v>
      </c>
      <c r="V23" s="3712"/>
      <c r="W23" s="3712"/>
      <c r="X23" s="3712"/>
      <c r="Y23" s="3712"/>
      <c r="Z23" s="2508" t="s">
        <v>575</v>
      </c>
    </row>
    <row r="24" spans="2:26" x14ac:dyDescent="0.4">
      <c r="B24" s="167" t="str">
        <f t="shared" si="0"/>
        <v>Minor Maintenance</v>
      </c>
      <c r="C24" s="166">
        <f>IF(B24="campaign", IF(COUNTIF($B$3:$B24,"Campaign")&gt;warmup_campaigns, long_campaign_duration, campaign_duration), 0)</f>
        <v>0</v>
      </c>
      <c r="D24" s="166">
        <f t="shared" si="1"/>
        <v>136</v>
      </c>
      <c r="E24" s="166">
        <f t="shared" si="2"/>
        <v>0</v>
      </c>
      <c r="F24" s="166">
        <f t="shared" si="3"/>
        <v>14664</v>
      </c>
      <c r="G24" s="166">
        <f t="shared" si="4"/>
        <v>0</v>
      </c>
      <c r="H24" s="165">
        <f t="shared" si="5"/>
        <v>0</v>
      </c>
      <c r="I24" s="165">
        <f t="shared" si="6"/>
        <v>3.3479452054794527</v>
      </c>
      <c r="J24" s="167">
        <f t="shared" si="7"/>
        <v>0</v>
      </c>
      <c r="K24" s="167">
        <f t="shared" si="11"/>
        <v>1.4771689497716896</v>
      </c>
      <c r="L24" s="167">
        <f t="shared" si="8"/>
        <v>1</v>
      </c>
      <c r="M24" s="167">
        <f t="shared" si="9"/>
        <v>1.4771689497716896</v>
      </c>
      <c r="O24" s="2496" t="s">
        <v>523</v>
      </c>
      <c r="P24" s="3713">
        <f>COUNTIFS($I$3:I187,"&lt;"&amp;DEMO_fpy_Lifetime,$B$3:B187, "Divertor Maintenance")</f>
        <v>2</v>
      </c>
      <c r="Q24" s="3713"/>
      <c r="R24" s="3713"/>
      <c r="S24" s="3713"/>
      <c r="T24" s="3714"/>
      <c r="U24" s="3717">
        <f>COUNTIFS($I$3:N187,"&lt;"&amp;DEMO_fpy_Lifetime,$B$3:G187, "Divertor Maintenance")</f>
        <v>2</v>
      </c>
      <c r="V24" s="3713"/>
      <c r="W24" s="3713"/>
      <c r="X24" s="3713"/>
      <c r="Y24" s="3714"/>
      <c r="Z24" s="2501" t="s">
        <v>519</v>
      </c>
    </row>
    <row r="25" spans="2:26" x14ac:dyDescent="0.4">
      <c r="B25" s="167" t="str">
        <f t="shared" si="0"/>
        <v>Campaign</v>
      </c>
      <c r="C25" s="166">
        <f>IF(B25="campaign", IF(COUNTIF($B$3:$B25,"Campaign")&gt;warmup_campaigns, long_campaign_duration, campaign_duration), 0)</f>
        <v>12</v>
      </c>
      <c r="D25" s="166">
        <f t="shared" si="1"/>
        <v>148</v>
      </c>
      <c r="E25" s="166">
        <f t="shared" si="2"/>
        <v>1294</v>
      </c>
      <c r="F25" s="166">
        <f t="shared" si="3"/>
        <v>15958</v>
      </c>
      <c r="G25" s="166">
        <f t="shared" si="4"/>
        <v>144</v>
      </c>
      <c r="H25" s="165">
        <f t="shared" si="5"/>
        <v>0.29543378995433789</v>
      </c>
      <c r="I25" s="165">
        <f t="shared" si="6"/>
        <v>3.6433789954337907</v>
      </c>
      <c r="J25" s="167">
        <f t="shared" si="7"/>
        <v>0.29543378995433789</v>
      </c>
      <c r="K25" s="167">
        <f t="shared" si="11"/>
        <v>1.7726027397260276</v>
      </c>
      <c r="L25" s="167">
        <f t="shared" si="8"/>
        <v>1</v>
      </c>
      <c r="M25" s="167">
        <f t="shared" si="9"/>
        <v>1.7726027397260276</v>
      </c>
      <c r="O25" s="2502" t="s">
        <v>522</v>
      </c>
      <c r="P25" s="2513">
        <f ca="1">IF($P23="Lower Port Hot Cell", Only_Div_hc_days_series, IF($P23="Lower Port Cask System", Only_Div_cask_days_series, "Error"))</f>
        <v>352.00622641706974</v>
      </c>
      <c r="Q25" s="2513">
        <f ca="1">IF($P23="Lower Port Hot Cell", Only_Div_hc_days_2, IF($P23="Lower Port Cask System", Only_Div_cask_days_2, "Error"))</f>
        <v>198.19201706498467</v>
      </c>
      <c r="R25" s="2514">
        <f ca="1">IF($P23="Lower Port Hot Cell", Only_Div_hc_days_3, IF($P23="Lower Port Cask System", Only_Div_cask_days_3, "Error"))</f>
        <v>148.64401279873852</v>
      </c>
      <c r="S25" s="2514">
        <f ca="1">IF($P23="Lower Port Hot Cell", Only_Div_hc_days_4, IF($P23="Lower Port Cask System", Only_Div_cask_days_4, "Error"))</f>
        <v>99.096008532492334</v>
      </c>
      <c r="T25" s="2515">
        <f ca="1">IF($P23="Lower Port Hot Cell", Only_Div_hc_days_6, IF($P23="Lower Port Cask System", Only_Div_cask_days_6, "Error"))</f>
        <v>74.322006399369258</v>
      </c>
      <c r="U25" s="2516">
        <f>IF($U23="Lower Port Hot Cell", Only_Div_hc_days_series, IF($U23="Lower Port Cask System", Only_Div_cask_days_series, "Error"))</f>
        <v>457.11504555909755</v>
      </c>
      <c r="V25" s="2513">
        <f>IF($U23="Lower Port Hot Cell", Only_Div_hc_days_2, IF($U23="Lower Port Cask System", Only_Div_cask_days_2, "Error"))</f>
        <v>242.9959978444079</v>
      </c>
      <c r="W25" s="2514">
        <f>IF($U23="Lower Port Hot Cell", Only_Div_hc_days_3, IF($U23="Lower Port Cask System", Only_Div_cask_days_3, "Error"))</f>
        <v>182.24699838330594</v>
      </c>
      <c r="X25" s="2514">
        <f>IF($U23="Lower Port Hot Cell", Only_Div_hc_days_4, IF($U23="Lower Port Cask System", Only_Div_cask_days_4, "Error"))</f>
        <v>121.49799892220395</v>
      </c>
      <c r="Y25" s="2515">
        <f>IF($U23="Lower Port Hot Cell", Only_Div_hc_days_6, IF($U23="Lower Port Cask System", Only_Div_cask_days_6, "Error"))</f>
        <v>91.123499191652968</v>
      </c>
      <c r="Z25" s="2501" t="s">
        <v>2406</v>
      </c>
    </row>
    <row r="26" spans="2:26" x14ac:dyDescent="0.4">
      <c r="B26" s="167" t="str">
        <f t="shared" si="0"/>
        <v>Divertor Maintenance</v>
      </c>
      <c r="C26" s="166">
        <f>IF(B26="campaign", IF(COUNTIF($B$3:$B26,"Campaign")&gt;warmup_campaigns, long_campaign_duration, campaign_duration), 0)</f>
        <v>0</v>
      </c>
      <c r="D26" s="166">
        <f t="shared" si="1"/>
        <v>148</v>
      </c>
      <c r="E26" s="166">
        <f t="shared" si="2"/>
        <v>0</v>
      </c>
      <c r="F26" s="166">
        <f t="shared" si="3"/>
        <v>15958</v>
      </c>
      <c r="G26" s="166">
        <f t="shared" si="4"/>
        <v>0</v>
      </c>
      <c r="H26" s="165">
        <f t="shared" si="5"/>
        <v>0</v>
      </c>
      <c r="I26" s="165">
        <f t="shared" si="6"/>
        <v>3.6433789954337907</v>
      </c>
      <c r="J26" s="167">
        <f t="shared" si="7"/>
        <v>0</v>
      </c>
      <c r="K26" s="167">
        <f t="shared" si="11"/>
        <v>1.7726027397260276</v>
      </c>
      <c r="L26" s="167">
        <f t="shared" si="8"/>
        <v>1</v>
      </c>
      <c r="M26" s="167">
        <f t="shared" si="9"/>
        <v>0</v>
      </c>
      <c r="O26" s="3710" t="s">
        <v>521</v>
      </c>
      <c r="P26" s="2513">
        <f ca="1">$P$24*(P25)</f>
        <v>704.01245283413948</v>
      </c>
      <c r="Q26" s="2513">
        <f ca="1">$P$24*(Q25)</f>
        <v>396.38403412996934</v>
      </c>
      <c r="R26" s="2514">
        <f ca="1">$P$24*(R25)</f>
        <v>297.28802559747703</v>
      </c>
      <c r="S26" s="2514">
        <f ca="1">$P$24*(S25)</f>
        <v>198.19201706498467</v>
      </c>
      <c r="T26" s="2515">
        <f ca="1">$P$24*(T25)</f>
        <v>148.64401279873852</v>
      </c>
      <c r="U26" s="2516">
        <f>$U$24*(U25)</f>
        <v>914.23009111819511</v>
      </c>
      <c r="V26" s="2513">
        <f>$U$24*(V25)</f>
        <v>485.99199568881579</v>
      </c>
      <c r="W26" s="2514">
        <f>$U$24*(W25)</f>
        <v>364.49399676661187</v>
      </c>
      <c r="X26" s="2514">
        <f>$U$24*(X25)</f>
        <v>242.9959978444079</v>
      </c>
      <c r="Y26" s="2515">
        <f>$U$24*(Y25)</f>
        <v>182.24699838330594</v>
      </c>
      <c r="Z26" s="2501" t="s">
        <v>562</v>
      </c>
    </row>
    <row r="27" spans="2:26" x14ac:dyDescent="0.4">
      <c r="B27" s="167" t="str">
        <f t="shared" si="0"/>
        <v>Campaign</v>
      </c>
      <c r="C27" s="166">
        <f>IF(B27="campaign", IF(COUNTIF($B$3:$B27,"Campaign")&gt;warmup_campaigns, long_campaign_duration, campaign_duration), 0)</f>
        <v>12</v>
      </c>
      <c r="D27" s="166">
        <f t="shared" si="1"/>
        <v>160</v>
      </c>
      <c r="E27" s="166">
        <f t="shared" si="2"/>
        <v>1294</v>
      </c>
      <c r="F27" s="166">
        <f t="shared" si="3"/>
        <v>17252</v>
      </c>
      <c r="G27" s="166">
        <f t="shared" si="4"/>
        <v>144</v>
      </c>
      <c r="H27" s="165">
        <f t="shared" si="5"/>
        <v>0.29543378995433789</v>
      </c>
      <c r="I27" s="165">
        <f t="shared" si="6"/>
        <v>3.9388127853881287</v>
      </c>
      <c r="J27" s="167">
        <f t="shared" si="7"/>
        <v>0.29543378995433789</v>
      </c>
      <c r="K27" s="167">
        <f t="shared" si="11"/>
        <v>2.0680365296803656</v>
      </c>
      <c r="L27" s="167">
        <f t="shared" si="8"/>
        <v>1</v>
      </c>
      <c r="M27" s="167">
        <f t="shared" si="9"/>
        <v>0.29543378995433789</v>
      </c>
      <c r="O27" s="3711"/>
      <c r="P27" s="2517">
        <f t="shared" ref="P27:Y27" ca="1" si="13">P26/365</f>
        <v>1.9288012406414781</v>
      </c>
      <c r="Q27" s="2517">
        <f t="shared" ca="1" si="13"/>
        <v>1.085983655150601</v>
      </c>
      <c r="R27" s="2518">
        <f t="shared" ca="1" si="13"/>
        <v>0.81448774136295077</v>
      </c>
      <c r="S27" s="2518">
        <f t="shared" ca="1" si="13"/>
        <v>0.54299182757530051</v>
      </c>
      <c r="T27" s="2519">
        <f t="shared" ca="1" si="13"/>
        <v>0.40724387068147538</v>
      </c>
      <c r="U27" s="2520">
        <f t="shared" si="13"/>
        <v>2.504739975666288</v>
      </c>
      <c r="V27" s="2517">
        <f t="shared" si="13"/>
        <v>1.3314849196953857</v>
      </c>
      <c r="W27" s="2518">
        <f t="shared" si="13"/>
        <v>0.99861368977153941</v>
      </c>
      <c r="X27" s="2518">
        <f t="shared" si="13"/>
        <v>0.66574245984769287</v>
      </c>
      <c r="Y27" s="2519">
        <f t="shared" si="13"/>
        <v>0.49930684488576971</v>
      </c>
      <c r="Z27" s="2506" t="s">
        <v>514</v>
      </c>
    </row>
    <row r="28" spans="2:26" x14ac:dyDescent="0.4">
      <c r="B28" s="167" t="str">
        <f t="shared" si="0"/>
        <v>Minor Maintenance</v>
      </c>
      <c r="C28" s="166">
        <f>IF(B28="campaign", IF(COUNTIF($B$3:$B28,"Campaign")&gt;warmup_campaigns, long_campaign_duration, campaign_duration), 0)</f>
        <v>0</v>
      </c>
      <c r="D28" s="166">
        <f t="shared" si="1"/>
        <v>160</v>
      </c>
      <c r="E28" s="166">
        <f t="shared" si="2"/>
        <v>0</v>
      </c>
      <c r="F28" s="166">
        <f t="shared" si="3"/>
        <v>17252</v>
      </c>
      <c r="G28" s="166">
        <f t="shared" si="4"/>
        <v>0</v>
      </c>
      <c r="H28" s="165">
        <f t="shared" si="5"/>
        <v>0</v>
      </c>
      <c r="I28" s="165">
        <f t="shared" si="6"/>
        <v>3.9388127853881287</v>
      </c>
      <c r="J28" s="167">
        <f t="shared" si="7"/>
        <v>0</v>
      </c>
      <c r="K28" s="167">
        <f t="shared" si="11"/>
        <v>2.0680365296803656</v>
      </c>
      <c r="L28" s="167">
        <f t="shared" si="8"/>
        <v>1</v>
      </c>
      <c r="M28" s="167">
        <f t="shared" si="9"/>
        <v>0.29543378995433789</v>
      </c>
      <c r="O28" s="2496" t="s">
        <v>520</v>
      </c>
      <c r="P28" s="3713">
        <f>COUNTIFS(I$3:$I185,"&lt;"&amp;DEMO_fpy_Lifetime,B$3:$B185, "Minor Maintenance")</f>
        <v>15</v>
      </c>
      <c r="Q28" s="3713"/>
      <c r="R28" s="3713"/>
      <c r="S28" s="3713"/>
      <c r="T28" s="3714"/>
      <c r="U28" s="3717">
        <f>COUNTIFS($I$3:N185,"&lt;"&amp;DEMO_fpy_Lifetime,$B$3:G185, "Minor Maintenance")</f>
        <v>15</v>
      </c>
      <c r="V28" s="3713"/>
      <c r="W28" s="3713"/>
      <c r="X28" s="3713"/>
      <c r="Y28" s="3714"/>
      <c r="Z28" s="2504" t="s">
        <v>519</v>
      </c>
    </row>
    <row r="29" spans="2:26" x14ac:dyDescent="0.4">
      <c r="B29" s="167" t="str">
        <f t="shared" si="0"/>
        <v>Campaign</v>
      </c>
      <c r="C29" s="166">
        <f>IF(B29="campaign", IF(COUNTIF($B$3:$B29,"Campaign")&gt;warmup_campaigns, long_campaign_duration, campaign_duration), 0)</f>
        <v>12</v>
      </c>
      <c r="D29" s="166">
        <f t="shared" si="1"/>
        <v>172</v>
      </c>
      <c r="E29" s="166">
        <f t="shared" si="2"/>
        <v>1294</v>
      </c>
      <c r="F29" s="166">
        <f t="shared" si="3"/>
        <v>18546</v>
      </c>
      <c r="G29" s="166">
        <f t="shared" si="4"/>
        <v>144</v>
      </c>
      <c r="H29" s="165">
        <f t="shared" si="5"/>
        <v>0.29543378995433789</v>
      </c>
      <c r="I29" s="165">
        <f t="shared" si="6"/>
        <v>4.2342465753424667</v>
      </c>
      <c r="J29" s="167">
        <f t="shared" si="7"/>
        <v>0.29543378995433789</v>
      </c>
      <c r="K29" s="167">
        <f t="shared" si="11"/>
        <v>2.3634703196347036</v>
      </c>
      <c r="L29" s="167">
        <f t="shared" si="8"/>
        <v>1</v>
      </c>
      <c r="M29" s="167">
        <f t="shared" si="9"/>
        <v>0.59086757990867578</v>
      </c>
      <c r="O29" s="3710" t="s">
        <v>518</v>
      </c>
      <c r="P29" s="3718">
        <f>$P$28*(minor_maintenance_duration)</f>
        <v>960</v>
      </c>
      <c r="Q29" s="3718"/>
      <c r="R29" s="3718"/>
      <c r="S29" s="3718"/>
      <c r="T29" s="3719"/>
      <c r="U29" s="3723">
        <f>$U$28*(minor_maintenance_duration)</f>
        <v>960</v>
      </c>
      <c r="V29" s="3718"/>
      <c r="W29" s="3718"/>
      <c r="X29" s="3718"/>
      <c r="Y29" s="3719"/>
      <c r="Z29" s="2501" t="s">
        <v>112</v>
      </c>
    </row>
    <row r="30" spans="2:26" x14ac:dyDescent="0.4">
      <c r="B30" s="167" t="str">
        <f t="shared" si="0"/>
        <v>Minor Maintenance</v>
      </c>
      <c r="C30" s="166">
        <f>IF(B30="campaign", IF(COUNTIF($B$3:$B30,"Campaign")&gt;warmup_campaigns, long_campaign_duration, campaign_duration), 0)</f>
        <v>0</v>
      </c>
      <c r="D30" s="166">
        <f t="shared" si="1"/>
        <v>172</v>
      </c>
      <c r="E30" s="166">
        <f t="shared" si="2"/>
        <v>0</v>
      </c>
      <c r="F30" s="166">
        <f t="shared" si="3"/>
        <v>18546</v>
      </c>
      <c r="G30" s="166">
        <f t="shared" si="4"/>
        <v>0</v>
      </c>
      <c r="H30" s="165">
        <f t="shared" si="5"/>
        <v>0</v>
      </c>
      <c r="I30" s="165">
        <f t="shared" si="6"/>
        <v>4.2342465753424667</v>
      </c>
      <c r="J30" s="167">
        <f t="shared" si="7"/>
        <v>0</v>
      </c>
      <c r="K30" s="167">
        <f t="shared" si="11"/>
        <v>2.3634703196347036</v>
      </c>
      <c r="L30" s="167">
        <f t="shared" si="8"/>
        <v>1</v>
      </c>
      <c r="M30" s="167">
        <f t="shared" si="9"/>
        <v>0.59086757990867578</v>
      </c>
      <c r="O30" s="3711"/>
      <c r="P30" s="3720">
        <f>P29/365</f>
        <v>2.6301369863013697</v>
      </c>
      <c r="Q30" s="3720"/>
      <c r="R30" s="3720"/>
      <c r="S30" s="3720"/>
      <c r="T30" s="3721"/>
      <c r="U30" s="3722">
        <f>U29/365</f>
        <v>2.6301369863013697</v>
      </c>
      <c r="V30" s="3720"/>
      <c r="W30" s="3720"/>
      <c r="X30" s="3720"/>
      <c r="Y30" s="3721"/>
      <c r="Z30" s="2506" t="s">
        <v>514</v>
      </c>
    </row>
    <row r="31" spans="2:26" x14ac:dyDescent="0.4">
      <c r="B31" s="167" t="str">
        <f t="shared" si="0"/>
        <v>Campaign</v>
      </c>
      <c r="C31" s="166">
        <f>IF(B31="campaign", IF(COUNTIF($B$3:$B31,"Campaign")&gt;warmup_campaigns, long_campaign_duration, campaign_duration), 0)</f>
        <v>12</v>
      </c>
      <c r="D31" s="166">
        <f t="shared" si="1"/>
        <v>184</v>
      </c>
      <c r="E31" s="166">
        <f t="shared" si="2"/>
        <v>1294</v>
      </c>
      <c r="F31" s="166">
        <f t="shared" si="3"/>
        <v>19840</v>
      </c>
      <c r="G31" s="166">
        <f t="shared" si="4"/>
        <v>144</v>
      </c>
      <c r="H31" s="165">
        <f t="shared" si="5"/>
        <v>0.29543378995433789</v>
      </c>
      <c r="I31" s="165">
        <f t="shared" si="6"/>
        <v>4.5296803652968043</v>
      </c>
      <c r="J31" s="167">
        <f t="shared" si="7"/>
        <v>0.29543378995433789</v>
      </c>
      <c r="K31" s="167">
        <f t="shared" si="11"/>
        <v>2.6589041095890416</v>
      </c>
      <c r="L31" s="167">
        <f t="shared" si="8"/>
        <v>1</v>
      </c>
      <c r="M31" s="167">
        <f t="shared" si="9"/>
        <v>0.88630136986301367</v>
      </c>
      <c r="O31" s="2503" t="s">
        <v>517</v>
      </c>
      <c r="P31" s="2521">
        <f ca="1">$P29+P26+P21+$P$16</f>
        <v>3567.4953731197656</v>
      </c>
      <c r="Q31" s="2522">
        <f ca="1">$P29+Q26+Q21+$P$16</f>
        <v>2924.0628029843092</v>
      </c>
      <c r="R31" s="2522">
        <f ca="1">$P29+R26+R21+$P$16</f>
        <v>2665.0471022382317</v>
      </c>
      <c r="S31" s="2522">
        <f ca="1">$P29+S26+S21+$P$16</f>
        <v>2406.0314014921546</v>
      </c>
      <c r="T31" s="2522">
        <f ca="1">$P29+T26+T21+$P$16</f>
        <v>2276.5235511191158</v>
      </c>
      <c r="U31" s="2523">
        <f>$U29+U26+U21+$U16</f>
        <v>3816.9443918250468</v>
      </c>
      <c r="V31" s="2521">
        <f>$U29+V26+V21+$U16</f>
        <v>3013.6707645431557</v>
      </c>
      <c r="W31" s="2522">
        <f>$U29+W26+W21+$U16</f>
        <v>2732.2530734073671</v>
      </c>
      <c r="X31" s="2522">
        <f>$U29+X26+X21+$U16</f>
        <v>2450.8353822715781</v>
      </c>
      <c r="Y31" s="2524">
        <f>$U29+Y26+Y21+$U16</f>
        <v>2310.1265367036831</v>
      </c>
      <c r="Z31" s="2504" t="s">
        <v>112</v>
      </c>
    </row>
    <row r="32" spans="2:26" x14ac:dyDescent="0.4">
      <c r="B32" s="167" t="str">
        <f t="shared" si="0"/>
        <v>Minor Maintenance</v>
      </c>
      <c r="C32" s="166">
        <f>IF(B32="campaign", IF(COUNTIF($B$3:$B32,"Campaign")&gt;warmup_campaigns, long_campaign_duration, campaign_duration), 0)</f>
        <v>0</v>
      </c>
      <c r="D32" s="166">
        <f t="shared" si="1"/>
        <v>184</v>
      </c>
      <c r="E32" s="166">
        <f t="shared" si="2"/>
        <v>0</v>
      </c>
      <c r="F32" s="166">
        <f t="shared" si="3"/>
        <v>19840</v>
      </c>
      <c r="G32" s="166">
        <f t="shared" si="4"/>
        <v>0</v>
      </c>
      <c r="H32" s="165">
        <f t="shared" si="5"/>
        <v>0</v>
      </c>
      <c r="I32" s="165">
        <f t="shared" si="6"/>
        <v>4.5296803652968043</v>
      </c>
      <c r="J32" s="167">
        <f t="shared" si="7"/>
        <v>0</v>
      </c>
      <c r="K32" s="167">
        <f t="shared" si="11"/>
        <v>2.6589041095890416</v>
      </c>
      <c r="L32" s="167">
        <f t="shared" si="8"/>
        <v>1</v>
      </c>
      <c r="M32" s="167">
        <f t="shared" si="9"/>
        <v>0.88630136986301367</v>
      </c>
      <c r="O32" s="2502" t="s">
        <v>516</v>
      </c>
      <c r="P32" s="2509">
        <f ca="1">P31/365</f>
        <v>9.7739599263555217</v>
      </c>
      <c r="Q32" s="2509">
        <f t="shared" ref="Q32:Y32" ca="1" si="14">Q31/365</f>
        <v>8.0111309670802999</v>
      </c>
      <c r="R32" s="2510">
        <f t="shared" ca="1" si="14"/>
        <v>7.3014989102417305</v>
      </c>
      <c r="S32" s="2510">
        <f t="shared" ca="1" si="14"/>
        <v>6.5918668534031637</v>
      </c>
      <c r="T32" s="2511">
        <f t="shared" ca="1" si="14"/>
        <v>6.2370508249838794</v>
      </c>
      <c r="U32" s="2512">
        <f t="shared" si="14"/>
        <v>10.457381895411087</v>
      </c>
      <c r="V32" s="2509">
        <f t="shared" si="14"/>
        <v>8.2566322316250833</v>
      </c>
      <c r="W32" s="2510">
        <f t="shared" si="14"/>
        <v>7.4856248586503211</v>
      </c>
      <c r="X32" s="2510">
        <f t="shared" si="14"/>
        <v>6.7146174856755563</v>
      </c>
      <c r="Y32" s="2511">
        <f t="shared" si="14"/>
        <v>6.329113799188173</v>
      </c>
      <c r="Z32" s="2501" t="s">
        <v>514</v>
      </c>
    </row>
    <row r="33" spans="2:29" x14ac:dyDescent="0.4">
      <c r="B33" s="167" t="str">
        <f t="shared" si="0"/>
        <v>Campaign</v>
      </c>
      <c r="C33" s="166">
        <f>IF(B33="campaign", IF(COUNTIF($B$3:$B33,"Campaign")&gt;warmup_campaigns, long_campaign_duration, campaign_duration), 0)</f>
        <v>12</v>
      </c>
      <c r="D33" s="166">
        <f t="shared" si="1"/>
        <v>196</v>
      </c>
      <c r="E33" s="166">
        <f t="shared" si="2"/>
        <v>1294</v>
      </c>
      <c r="F33" s="166">
        <f t="shared" si="3"/>
        <v>21134</v>
      </c>
      <c r="G33" s="166">
        <f t="shared" si="4"/>
        <v>144</v>
      </c>
      <c r="H33" s="165">
        <f t="shared" si="5"/>
        <v>0.29543378995433789</v>
      </c>
      <c r="I33" s="165">
        <f t="shared" si="6"/>
        <v>4.8251141552511418</v>
      </c>
      <c r="J33" s="167">
        <f t="shared" si="7"/>
        <v>0.29543378995433789</v>
      </c>
      <c r="K33" s="167">
        <f t="shared" si="11"/>
        <v>2.9543378995433796</v>
      </c>
      <c r="L33" s="167">
        <f t="shared" si="8"/>
        <v>1</v>
      </c>
      <c r="M33" s="167">
        <f t="shared" si="9"/>
        <v>1.1817351598173516</v>
      </c>
      <c r="O33" s="2502" t="s">
        <v>515</v>
      </c>
      <c r="P33" s="2509">
        <f ca="1">$P$8+$P$10+$P$14+P31+$P$6</f>
        <v>6530.5253731197654</v>
      </c>
      <c r="Q33" s="2509">
        <f ca="1">$P$8+$P$10+$P$14+Q31+$P$6</f>
        <v>5887.0928029843089</v>
      </c>
      <c r="R33" s="2510">
        <f ca="1">$P$8+$P$10+$P$14+R31+$P$6</f>
        <v>5628.0771022382314</v>
      </c>
      <c r="S33" s="2510">
        <f ca="1">$P$8+$P$10+$P$14+S31+$P$6</f>
        <v>5369.0614014921539</v>
      </c>
      <c r="T33" s="2511">
        <f ca="1">$P$8+$P$10+$P$14+T31+$P$6</f>
        <v>5239.5535511191156</v>
      </c>
      <c r="U33" s="2512">
        <f>$U$8+$U$10+U14+U31+U6</f>
        <v>6779.974391825046</v>
      </c>
      <c r="V33" s="2509">
        <f>$U$8+$U$10+U14+V31+U6</f>
        <v>5976.7007645431549</v>
      </c>
      <c r="W33" s="2510">
        <f>$U$8+$U$10+U14+W31+U6</f>
        <v>5695.2830734073668</v>
      </c>
      <c r="X33" s="2510">
        <f>$U$8+$U$10+U14+X31+U6</f>
        <v>5413.8653822715778</v>
      </c>
      <c r="Y33" s="2511">
        <f>$U$8+$U$10+U14+Y31+U6</f>
        <v>5273.1565367036828</v>
      </c>
      <c r="Z33" s="2501" t="s">
        <v>112</v>
      </c>
    </row>
    <row r="34" spans="2:29" x14ac:dyDescent="0.4">
      <c r="B34" s="167" t="str">
        <f t="shared" si="0"/>
        <v>Minor Maintenance</v>
      </c>
      <c r="C34" s="166">
        <f>IF(B34="campaign", IF(COUNTIF($B$3:$B34,"Campaign")&gt;warmup_campaigns, long_campaign_duration, campaign_duration), 0)</f>
        <v>0</v>
      </c>
      <c r="D34" s="166">
        <f t="shared" si="1"/>
        <v>196</v>
      </c>
      <c r="E34" s="166">
        <f t="shared" si="2"/>
        <v>0</v>
      </c>
      <c r="F34" s="166">
        <f t="shared" si="3"/>
        <v>21134</v>
      </c>
      <c r="G34" s="166">
        <f t="shared" si="4"/>
        <v>0</v>
      </c>
      <c r="H34" s="165">
        <f t="shared" si="5"/>
        <v>0</v>
      </c>
      <c r="I34" s="165">
        <f t="shared" si="6"/>
        <v>4.8251141552511418</v>
      </c>
      <c r="J34" s="167">
        <f t="shared" si="7"/>
        <v>0</v>
      </c>
      <c r="K34" s="167">
        <f t="shared" si="11"/>
        <v>2.9543378995433796</v>
      </c>
      <c r="L34" s="167">
        <f t="shared" si="8"/>
        <v>1</v>
      </c>
      <c r="M34" s="167">
        <f t="shared" si="9"/>
        <v>1.1817351598173516</v>
      </c>
      <c r="O34" s="2505" t="s">
        <v>515</v>
      </c>
      <c r="P34" s="2525">
        <f ca="1">P33/365</f>
        <v>17.891850337314427</v>
      </c>
      <c r="Q34" s="2525">
        <f ca="1">Q33/365</f>
        <v>16.129021378039202</v>
      </c>
      <c r="R34" s="2526">
        <f t="shared" ref="R34:Y34" ca="1" si="15">R33/365</f>
        <v>15.419389321200635</v>
      </c>
      <c r="S34" s="2526">
        <f ca="1">S33/365</f>
        <v>14.709757264362066</v>
      </c>
      <c r="T34" s="2527">
        <f t="shared" ca="1" si="15"/>
        <v>14.354941235942782</v>
      </c>
      <c r="U34" s="2528">
        <f t="shared" si="15"/>
        <v>18.575272306369989</v>
      </c>
      <c r="V34" s="2525">
        <f t="shared" si="15"/>
        <v>16.374522642583987</v>
      </c>
      <c r="W34" s="2526">
        <f t="shared" si="15"/>
        <v>15.603515269609224</v>
      </c>
      <c r="X34" s="2526">
        <f t="shared" si="15"/>
        <v>14.832507896634461</v>
      </c>
      <c r="Y34" s="2527">
        <f t="shared" si="15"/>
        <v>14.447004210147076</v>
      </c>
      <c r="Z34" s="2506" t="s">
        <v>514</v>
      </c>
    </row>
    <row r="35" spans="2:29" x14ac:dyDescent="0.4">
      <c r="B35" s="167" t="str">
        <f t="shared" ref="B35:B66" si="16">IF(B34&lt;&gt;"Campaign","Campaign",IF(AND((ROUND(K34,3)+campaign_fpy)&gt;=starter_blanket_lifetime,L34=0),"Blanket Maintenance",IF(AND((ROUND(K34,3)+campaign_fpy)&gt;=second_blanket_lifetime,L34=1),"Blanket Maintenance",IF((ROUND(M34,3)+campaign_fpy)&gt;=divertor_cassette_lifetime,"Divertor Maintenance",IF((ROUNDUP(J34,3)+campaign_fpy)&gt;=ROUNDUP(minor_maintenance_intervals,3),"Minor Maintenance","Campaign")))))</f>
        <v>Campaign</v>
      </c>
      <c r="C35" s="166">
        <f>IF(B35="campaign", IF(COUNTIF($B$3:$B35,"Campaign")&gt;warmup_campaigns, long_campaign_duration, campaign_duration), 0)</f>
        <v>12</v>
      </c>
      <c r="D35" s="166">
        <f t="shared" ref="D35:D66" si="17">IFERROR(C35+D34, C35)</f>
        <v>208</v>
      </c>
      <c r="E35" s="166">
        <f t="shared" ref="E35:E66" si="18">ROUNDDOWN((C35*( (sequence_duration-interim_maintenace_period)*Pulse_per_day)),0)</f>
        <v>1294</v>
      </c>
      <c r="F35" s="166">
        <f t="shared" ref="F35:F66" si="19">IFERROR(E35+F34,E35)</f>
        <v>22428</v>
      </c>
      <c r="G35" s="166">
        <f t="shared" ref="G35:G66" si="20">IF($B35="campaign", C35*(sequence_duration*(power_generation_period/sequence_duration)), 0)</f>
        <v>144</v>
      </c>
      <c r="H35" s="165">
        <f t="shared" ref="H35:H66" si="21">(E35*pulse_time/(365*24))</f>
        <v>0.29543378995433789</v>
      </c>
      <c r="I35" s="165">
        <f t="shared" ref="I35:I66" si="22">IF($B35="Campaign", IFERROR(H35+I34, H35), I34)</f>
        <v>5.1205479452054794</v>
      </c>
      <c r="J35" s="167">
        <f t="shared" ref="J35:J66" si="23">IF(B35&lt;&gt;"Campaign",0,(IFERROR(H35+J34,H35)))</f>
        <v>0.29543378995433789</v>
      </c>
      <c r="K35" s="167">
        <f t="shared" si="11"/>
        <v>3.2497716894977176</v>
      </c>
      <c r="L35" s="167">
        <f t="shared" ref="L35:L66" si="24">IFERROR(IF(COUNTIF(B35,"Blanket Maintenance")+L34&gt;0, 1, 0),0)</f>
        <v>1</v>
      </c>
      <c r="M35" s="167">
        <f t="shared" ref="M35:M62" si="25">IF(OR($B35="Divertor Maintenance", $B35="Blanket Maintenance"),0,IFERROR($H35+M34,$H35))</f>
        <v>1.4771689497716896</v>
      </c>
      <c r="O35" s="2529" t="s">
        <v>2621</v>
      </c>
      <c r="P35" s="2530">
        <f t="shared" ref="P35:Y35" ca="1" si="26">(($P$29+P26+P21+$P$16)/P33)</f>
        <v>0.54627999575714081</v>
      </c>
      <c r="Q35" s="2530">
        <f t="shared" ca="1" si="26"/>
        <v>0.49669045500727138</v>
      </c>
      <c r="R35" s="2531">
        <f t="shared" ca="1" si="26"/>
        <v>0.47352711304867667</v>
      </c>
      <c r="S35" s="2531">
        <f t="shared" ca="1" si="26"/>
        <v>0.44812886677427033</v>
      </c>
      <c r="T35" s="2532">
        <f t="shared" ca="1" si="26"/>
        <v>0.43448807783114907</v>
      </c>
      <c r="U35" s="2533">
        <f t="shared" si="26"/>
        <v>0.56297327559633958</v>
      </c>
      <c r="V35" s="2530">
        <f t="shared" si="26"/>
        <v>0.50423651497190414</v>
      </c>
      <c r="W35" s="2531">
        <f t="shared" si="26"/>
        <v>0.47973964387563234</v>
      </c>
      <c r="X35" s="2531">
        <f t="shared" si="26"/>
        <v>0.45269603309627249</v>
      </c>
      <c r="Y35" s="2532">
        <f t="shared" si="26"/>
        <v>0.43809178062970466</v>
      </c>
      <c r="Z35" s="2504" t="s">
        <v>513</v>
      </c>
    </row>
    <row r="36" spans="2:29" x14ac:dyDescent="0.4">
      <c r="B36" s="167" t="str">
        <f t="shared" si="16"/>
        <v>Minor Maintenance</v>
      </c>
      <c r="C36" s="166">
        <f>IF(B36="campaign", IF(COUNTIF($B$3:$B36,"Campaign")&gt;warmup_campaigns, long_campaign_duration, campaign_duration), 0)</f>
        <v>0</v>
      </c>
      <c r="D36" s="166">
        <f t="shared" si="17"/>
        <v>208</v>
      </c>
      <c r="E36" s="166">
        <f t="shared" si="18"/>
        <v>0</v>
      </c>
      <c r="F36" s="166">
        <f t="shared" si="19"/>
        <v>22428</v>
      </c>
      <c r="G36" s="166">
        <f t="shared" si="20"/>
        <v>0</v>
      </c>
      <c r="H36" s="165">
        <f t="shared" si="21"/>
        <v>0</v>
      </c>
      <c r="I36" s="165">
        <f t="shared" si="22"/>
        <v>5.1205479452054794</v>
      </c>
      <c r="J36" s="167">
        <f t="shared" si="23"/>
        <v>0</v>
      </c>
      <c r="K36" s="167">
        <f t="shared" si="11"/>
        <v>3.2497716894977176</v>
      </c>
      <c r="L36" s="167">
        <f t="shared" si="24"/>
        <v>1</v>
      </c>
      <c r="M36" s="167">
        <f t="shared" si="25"/>
        <v>1.4771689497716896</v>
      </c>
      <c r="O36" s="2496" t="s">
        <v>2620</v>
      </c>
      <c r="P36" s="2534">
        <f ca="1">($P$10/P33)</f>
        <v>0.31921882965914866</v>
      </c>
      <c r="Q36" s="2534">
        <f ca="1">($P$10/Q33)</f>
        <v>0.35410800142472681</v>
      </c>
      <c r="R36" s="2535">
        <f ca="1">$P$10/R33</f>
        <v>0.37040478102860652</v>
      </c>
      <c r="S36" s="2535">
        <f ca="1">$P$10/S33</f>
        <v>0.38827394786122243</v>
      </c>
      <c r="T36" s="2536">
        <f ca="1">$P$10/T33</f>
        <v>0.39787104880747004</v>
      </c>
      <c r="U36" s="2537">
        <f>($U$10/U33)</f>
        <v>0.30747412102031729</v>
      </c>
      <c r="V36" s="2534">
        <f>($U$10/V33)</f>
        <v>0.34879890240347572</v>
      </c>
      <c r="W36" s="2535">
        <f>($U$10/W33)</f>
        <v>0.36603389854324742</v>
      </c>
      <c r="X36" s="2535">
        <f>($U$10/X33)</f>
        <v>0.3850606765164839</v>
      </c>
      <c r="Y36" s="2536">
        <f>($U$10/Y33)</f>
        <v>0.39533563097480473</v>
      </c>
      <c r="Z36" s="2501" t="s">
        <v>513</v>
      </c>
    </row>
    <row r="37" spans="2:29" x14ac:dyDescent="0.4">
      <c r="B37" s="167" t="str">
        <f t="shared" si="16"/>
        <v>Campaign</v>
      </c>
      <c r="C37" s="166">
        <f>IF(B37="campaign", IF(COUNTIF($B$3:$B37,"Campaign")&gt;warmup_campaigns, long_campaign_duration, campaign_duration), 0)</f>
        <v>12</v>
      </c>
      <c r="D37" s="166">
        <f t="shared" si="17"/>
        <v>220</v>
      </c>
      <c r="E37" s="166">
        <f t="shared" si="18"/>
        <v>1294</v>
      </c>
      <c r="F37" s="166">
        <f t="shared" si="19"/>
        <v>23722</v>
      </c>
      <c r="G37" s="166">
        <f t="shared" si="20"/>
        <v>144</v>
      </c>
      <c r="H37" s="165">
        <f t="shared" si="21"/>
        <v>0.29543378995433789</v>
      </c>
      <c r="I37" s="165">
        <f t="shared" si="22"/>
        <v>5.415981735159817</v>
      </c>
      <c r="J37" s="167">
        <f t="shared" si="23"/>
        <v>0.29543378995433789</v>
      </c>
      <c r="K37" s="167">
        <f t="shared" ref="K37:K68" si="27">IF(B37="Blanket Maintenance",0,IFERROR(H37+K36,H37))</f>
        <v>3.5452054794520556</v>
      </c>
      <c r="L37" s="167">
        <f t="shared" si="24"/>
        <v>1</v>
      </c>
      <c r="M37" s="167">
        <f t="shared" si="25"/>
        <v>1.7726027397260276</v>
      </c>
      <c r="O37" s="2496" t="s">
        <v>2622</v>
      </c>
      <c r="P37" s="2534">
        <f t="shared" ref="P37:Y37" ca="1" si="28">($P$6+$P$8+$P$14)/P33</f>
        <v>0.13450117458371061</v>
      </c>
      <c r="Q37" s="2534">
        <f t="shared" ca="1" si="28"/>
        <v>0.14920154356800183</v>
      </c>
      <c r="R37" s="2535">
        <f t="shared" ca="1" si="28"/>
        <v>0.1560681059227168</v>
      </c>
      <c r="S37" s="2535">
        <f t="shared" ca="1" si="28"/>
        <v>0.16359718536450732</v>
      </c>
      <c r="T37" s="2536">
        <f t="shared" ca="1" si="28"/>
        <v>0.16764087336138092</v>
      </c>
      <c r="U37" s="2537">
        <f t="shared" si="28"/>
        <v>0.12955260338334315</v>
      </c>
      <c r="V37" s="2534">
        <f t="shared" si="28"/>
        <v>0.14696458262462023</v>
      </c>
      <c r="W37" s="2535">
        <f t="shared" si="28"/>
        <v>0.15422645758112025</v>
      </c>
      <c r="X37" s="2535">
        <f t="shared" si="28"/>
        <v>0.16224329038724364</v>
      </c>
      <c r="Y37" s="2536">
        <f t="shared" si="28"/>
        <v>0.16657258839549061</v>
      </c>
      <c r="Z37" s="2501" t="s">
        <v>513</v>
      </c>
    </row>
    <row r="38" spans="2:29" ht="15" thickBot="1" x14ac:dyDescent="0.45">
      <c r="B38" s="167" t="str">
        <f t="shared" si="16"/>
        <v>Divertor Maintenance</v>
      </c>
      <c r="C38" s="166">
        <f>IF(B38="campaign", IF(COUNTIF($B$3:$B38,"Campaign")&gt;warmup_campaigns, long_campaign_duration, campaign_duration), 0)</f>
        <v>0</v>
      </c>
      <c r="D38" s="166">
        <f t="shared" si="17"/>
        <v>220</v>
      </c>
      <c r="E38" s="166">
        <f t="shared" si="18"/>
        <v>0</v>
      </c>
      <c r="F38" s="166">
        <f t="shared" si="19"/>
        <v>23722</v>
      </c>
      <c r="G38" s="166">
        <f t="shared" si="20"/>
        <v>0</v>
      </c>
      <c r="H38" s="165">
        <f t="shared" si="21"/>
        <v>0</v>
      </c>
      <c r="I38" s="165">
        <f t="shared" si="22"/>
        <v>5.415981735159817</v>
      </c>
      <c r="J38" s="167">
        <f t="shared" si="23"/>
        <v>0</v>
      </c>
      <c r="K38" s="167">
        <f t="shared" si="27"/>
        <v>3.5452054794520556</v>
      </c>
      <c r="L38" s="167">
        <f t="shared" si="24"/>
        <v>1</v>
      </c>
      <c r="M38" s="167">
        <f t="shared" si="25"/>
        <v>0</v>
      </c>
      <c r="O38" s="2538" t="s">
        <v>11</v>
      </c>
      <c r="P38" s="2539">
        <f t="shared" ref="P38:Y38" ca="1" si="29">SUM(P35:P37)</f>
        <v>1</v>
      </c>
      <c r="Q38" s="2539">
        <f t="shared" ca="1" si="29"/>
        <v>1</v>
      </c>
      <c r="R38" s="2540">
        <f t="shared" ca="1" si="29"/>
        <v>1</v>
      </c>
      <c r="S38" s="2540">
        <f t="shared" ca="1" si="29"/>
        <v>1</v>
      </c>
      <c r="T38" s="2541">
        <f t="shared" ca="1" si="29"/>
        <v>1</v>
      </c>
      <c r="U38" s="2542">
        <f t="shared" si="29"/>
        <v>1</v>
      </c>
      <c r="V38" s="2539">
        <f t="shared" si="29"/>
        <v>1</v>
      </c>
      <c r="W38" s="2540">
        <f t="shared" si="29"/>
        <v>1</v>
      </c>
      <c r="X38" s="2540">
        <f t="shared" si="29"/>
        <v>1</v>
      </c>
      <c r="Y38" s="2541">
        <f t="shared" si="29"/>
        <v>1</v>
      </c>
      <c r="Z38" s="2543" t="s">
        <v>513</v>
      </c>
    </row>
    <row r="39" spans="2:29" x14ac:dyDescent="0.4">
      <c r="B39" s="167" t="str">
        <f t="shared" si="16"/>
        <v>Campaign</v>
      </c>
      <c r="C39" s="166">
        <f>IF(B39="campaign", IF(COUNTIF($B$3:$B39,"Campaign")&gt;warmup_campaigns, long_campaign_duration, campaign_duration), 0)</f>
        <v>12</v>
      </c>
      <c r="D39" s="166">
        <f t="shared" si="17"/>
        <v>232</v>
      </c>
      <c r="E39" s="166">
        <f t="shared" si="18"/>
        <v>1294</v>
      </c>
      <c r="F39" s="166">
        <f t="shared" si="19"/>
        <v>25016</v>
      </c>
      <c r="G39" s="166">
        <f t="shared" si="20"/>
        <v>144</v>
      </c>
      <c r="H39" s="165">
        <f t="shared" si="21"/>
        <v>0.29543378995433789</v>
      </c>
      <c r="I39" s="165">
        <f t="shared" si="22"/>
        <v>5.7114155251141545</v>
      </c>
      <c r="J39" s="167">
        <f t="shared" si="23"/>
        <v>0.29543378995433789</v>
      </c>
      <c r="K39" s="167">
        <f t="shared" si="27"/>
        <v>3.8406392694063936</v>
      </c>
      <c r="L39" s="167">
        <f t="shared" si="24"/>
        <v>1</v>
      </c>
      <c r="M39" s="167">
        <f>IF(OR($B39="Divertor Maintenance", $B39="Blanket Maintenance"),0,IFERROR($H39+M38,$H39))</f>
        <v>0.29543378995433789</v>
      </c>
      <c r="O39" s="3669"/>
      <c r="P39" s="3670">
        <v>0.36129105707925752</v>
      </c>
      <c r="Q39" s="3669"/>
      <c r="R39" s="3670">
        <v>0.42602173022870704</v>
      </c>
      <c r="S39" s="3670">
        <v>0.43615685358992884</v>
      </c>
      <c r="T39" s="3670">
        <v>0.44705200777263804</v>
      </c>
      <c r="U39" s="3670">
        <v>0.35131016497889878</v>
      </c>
      <c r="V39" s="3670"/>
      <c r="W39" s="3670">
        <v>0.42007791889293961</v>
      </c>
      <c r="X39" s="3670">
        <v>0.43113373955307666</v>
      </c>
      <c r="Y39" s="3670">
        <v>0.44313015838390368</v>
      </c>
      <c r="Z39" s="3628"/>
      <c r="AA39" s="3629"/>
      <c r="AB39" s="3629"/>
      <c r="AC39" s="3629"/>
    </row>
    <row r="40" spans="2:29" x14ac:dyDescent="0.4">
      <c r="B40" s="167" t="str">
        <f t="shared" si="16"/>
        <v>Minor Maintenance</v>
      </c>
      <c r="C40" s="166">
        <f>IF(B40="campaign", IF(COUNTIF($B$3:$B40,"Campaign")&gt;warmup_campaigns, long_campaign_duration, campaign_duration), 0)</f>
        <v>0</v>
      </c>
      <c r="D40" s="166">
        <f t="shared" si="17"/>
        <v>232</v>
      </c>
      <c r="E40" s="166">
        <f t="shared" si="18"/>
        <v>0</v>
      </c>
      <c r="F40" s="166">
        <f t="shared" si="19"/>
        <v>25016</v>
      </c>
      <c r="G40" s="166">
        <f t="shared" si="20"/>
        <v>0</v>
      </c>
      <c r="H40" s="165">
        <f t="shared" si="21"/>
        <v>0</v>
      </c>
      <c r="I40" s="165">
        <f t="shared" si="22"/>
        <v>5.7114155251141545</v>
      </c>
      <c r="J40" s="167">
        <f t="shared" si="23"/>
        <v>0</v>
      </c>
      <c r="K40" s="167">
        <f t="shared" si="27"/>
        <v>3.8406392694063936</v>
      </c>
      <c r="L40" s="167">
        <f t="shared" si="24"/>
        <v>1</v>
      </c>
      <c r="M40" s="167">
        <f t="shared" si="25"/>
        <v>0.29543378995433789</v>
      </c>
      <c r="O40" s="3671"/>
      <c r="P40" s="3672">
        <f ca="1">P39-P36</f>
        <v>4.2072227420108854E-2</v>
      </c>
      <c r="Q40" s="3672"/>
      <c r="R40" s="3672">
        <f ca="1">R39-R36</f>
        <v>5.5616949200100518E-2</v>
      </c>
      <c r="S40" s="3672">
        <f ca="1">S39-S36</f>
        <v>4.7882905728706404E-2</v>
      </c>
      <c r="T40" s="3672">
        <f ca="1">T39-T36</f>
        <v>4.9180958965167998E-2</v>
      </c>
      <c r="U40" s="3672">
        <f>U39-U36</f>
        <v>4.3836043958581483E-2</v>
      </c>
      <c r="V40" s="3672"/>
      <c r="W40" s="3672">
        <f>W39-W36</f>
        <v>5.404402034969219E-2</v>
      </c>
      <c r="X40" s="3672">
        <f>X39-X36</f>
        <v>4.6073063036592754E-2</v>
      </c>
      <c r="Y40" s="3672">
        <f>Y39-Y36</f>
        <v>4.7794527409098952E-2</v>
      </c>
      <c r="Z40" s="3629"/>
      <c r="AA40" s="3629"/>
      <c r="AB40" s="3629"/>
      <c r="AC40" s="3629"/>
    </row>
    <row r="41" spans="2:29" x14ac:dyDescent="0.4">
      <c r="B41" s="167" t="str">
        <f t="shared" si="16"/>
        <v>Campaign</v>
      </c>
      <c r="C41" s="166">
        <f>IF(B41="campaign", IF(COUNTIF($B$3:$B41,"Campaign")&gt;warmup_campaigns, long_campaign_duration, campaign_duration), 0)</f>
        <v>12</v>
      </c>
      <c r="D41" s="166">
        <f t="shared" si="17"/>
        <v>244</v>
      </c>
      <c r="E41" s="166">
        <f t="shared" si="18"/>
        <v>1294</v>
      </c>
      <c r="F41" s="166">
        <f t="shared" si="19"/>
        <v>26310</v>
      </c>
      <c r="G41" s="166">
        <f t="shared" si="20"/>
        <v>144</v>
      </c>
      <c r="H41" s="165">
        <f t="shared" si="21"/>
        <v>0.29543378995433789</v>
      </c>
      <c r="I41" s="165">
        <f t="shared" si="22"/>
        <v>6.0068493150684921</v>
      </c>
      <c r="J41" s="167">
        <f t="shared" si="23"/>
        <v>0.29543378995433789</v>
      </c>
      <c r="K41" s="167">
        <f t="shared" si="27"/>
        <v>4.1360730593607311</v>
      </c>
      <c r="L41" s="167">
        <f t="shared" si="24"/>
        <v>1</v>
      </c>
      <c r="M41" s="167">
        <f t="shared" si="25"/>
        <v>0.59086757990867578</v>
      </c>
      <c r="O41" s="3671"/>
      <c r="P41" s="3673">
        <f>P20</f>
        <v>975.48292028562628</v>
      </c>
      <c r="Q41" s="3673">
        <f t="shared" ref="Q41:Y41" si="30">Q20</f>
        <v>639.67876885433998</v>
      </c>
      <c r="R41" s="3673">
        <f t="shared" si="30"/>
        <v>479.75907664075493</v>
      </c>
      <c r="S41" s="3673">
        <f t="shared" si="30"/>
        <v>319.83938442716999</v>
      </c>
      <c r="T41" s="3673">
        <f t="shared" si="30"/>
        <v>239.87953832037746</v>
      </c>
      <c r="U41" s="3673">
        <f>U20</f>
        <v>1014.7143007068516</v>
      </c>
      <c r="V41" s="3673">
        <f t="shared" si="30"/>
        <v>639.67876885433998</v>
      </c>
      <c r="W41" s="3673">
        <f t="shared" si="30"/>
        <v>479.75907664075493</v>
      </c>
      <c r="X41" s="3673">
        <f t="shared" si="30"/>
        <v>319.83938442716999</v>
      </c>
      <c r="Y41" s="3673">
        <f t="shared" si="30"/>
        <v>239.87953832037746</v>
      </c>
      <c r="Z41" s="3629"/>
      <c r="AA41" s="3629"/>
      <c r="AB41" s="3629"/>
      <c r="AC41" s="3629"/>
    </row>
    <row r="42" spans="2:29" x14ac:dyDescent="0.4">
      <c r="B42" s="167" t="str">
        <f t="shared" si="16"/>
        <v>Minor Maintenance</v>
      </c>
      <c r="C42" s="166">
        <f>IF(B42="campaign", IF(COUNTIF($B$3:$B42,"Campaign")&gt;warmup_campaigns, long_campaign_duration, campaign_duration), 0)</f>
        <v>0</v>
      </c>
      <c r="D42" s="166">
        <f t="shared" si="17"/>
        <v>244</v>
      </c>
      <c r="E42" s="166">
        <f t="shared" si="18"/>
        <v>0</v>
      </c>
      <c r="F42" s="166">
        <f t="shared" si="19"/>
        <v>26310</v>
      </c>
      <c r="G42" s="166">
        <f t="shared" si="20"/>
        <v>0</v>
      </c>
      <c r="H42" s="165">
        <f t="shared" si="21"/>
        <v>0</v>
      </c>
      <c r="I42" s="165">
        <f t="shared" si="22"/>
        <v>6.0068493150684921</v>
      </c>
      <c r="J42" s="167">
        <f t="shared" si="23"/>
        <v>0</v>
      </c>
      <c r="K42" s="167">
        <f t="shared" si="27"/>
        <v>4.1360730593607311</v>
      </c>
      <c r="L42" s="167">
        <f t="shared" si="24"/>
        <v>1</v>
      </c>
      <c r="M42" s="167">
        <f t="shared" si="25"/>
        <v>0.59086757990867578</v>
      </c>
      <c r="O42" s="3671"/>
      <c r="P42" s="3673">
        <f ca="1">P25</f>
        <v>352.00622641706974</v>
      </c>
      <c r="Q42" s="3673">
        <f t="shared" ref="Q42:Y42" ca="1" si="31">Q25</f>
        <v>198.19201706498467</v>
      </c>
      <c r="R42" s="3673">
        <f t="shared" ca="1" si="31"/>
        <v>148.64401279873852</v>
      </c>
      <c r="S42" s="3673">
        <f t="shared" ca="1" si="31"/>
        <v>99.096008532492334</v>
      </c>
      <c r="T42" s="3673">
        <f t="shared" ca="1" si="31"/>
        <v>74.322006399369258</v>
      </c>
      <c r="U42" s="3673">
        <f t="shared" si="31"/>
        <v>457.11504555909755</v>
      </c>
      <c r="V42" s="3673">
        <f t="shared" si="31"/>
        <v>242.9959978444079</v>
      </c>
      <c r="W42" s="3673">
        <f t="shared" si="31"/>
        <v>182.24699838330594</v>
      </c>
      <c r="X42" s="3673">
        <f t="shared" si="31"/>
        <v>121.49799892220395</v>
      </c>
      <c r="Y42" s="3673">
        <f t="shared" si="31"/>
        <v>91.123499191652968</v>
      </c>
      <c r="Z42" s="3629"/>
      <c r="AA42" s="3629"/>
      <c r="AB42" s="3629"/>
      <c r="AC42" s="3629"/>
    </row>
    <row r="43" spans="2:29" x14ac:dyDescent="0.4">
      <c r="B43" s="167" t="str">
        <f t="shared" si="16"/>
        <v>Campaign</v>
      </c>
      <c r="C43" s="166">
        <f>IF(B43="campaign", IF(COUNTIF($B$3:$B43,"Campaign")&gt;warmup_campaigns, long_campaign_duration, campaign_duration), 0)</f>
        <v>12</v>
      </c>
      <c r="D43" s="166">
        <f t="shared" si="17"/>
        <v>256</v>
      </c>
      <c r="E43" s="166">
        <f t="shared" si="18"/>
        <v>1294</v>
      </c>
      <c r="F43" s="166">
        <f t="shared" si="19"/>
        <v>27604</v>
      </c>
      <c r="G43" s="166">
        <f t="shared" si="20"/>
        <v>144</v>
      </c>
      <c r="H43" s="165">
        <f t="shared" si="21"/>
        <v>0.29543378995433789</v>
      </c>
      <c r="I43" s="165">
        <f t="shared" si="22"/>
        <v>6.3022831050228296</v>
      </c>
      <c r="J43" s="167">
        <f t="shared" si="23"/>
        <v>0.29543378995433789</v>
      </c>
      <c r="K43" s="167">
        <f t="shared" si="27"/>
        <v>4.4315068493150687</v>
      </c>
      <c r="L43" s="167">
        <f t="shared" si="24"/>
        <v>1</v>
      </c>
      <c r="M43" s="167">
        <f t="shared" si="25"/>
        <v>0.88630136986301367</v>
      </c>
      <c r="O43" s="3671"/>
      <c r="P43" s="3673">
        <f>P41-U41</f>
        <v>-39.231380421225367</v>
      </c>
      <c r="Q43" s="3673">
        <f>Q41-V41</f>
        <v>0</v>
      </c>
      <c r="R43" s="3673">
        <f>R41-W41</f>
        <v>0</v>
      </c>
      <c r="S43" s="3673">
        <f>S41-X41</f>
        <v>0</v>
      </c>
      <c r="T43" s="3673">
        <f>T41-Y41</f>
        <v>0</v>
      </c>
      <c r="U43" s="3673">
        <f ca="1">P42-U42</f>
        <v>-105.10881914202781</v>
      </c>
      <c r="V43" s="3673">
        <f ca="1">Q42-V42</f>
        <v>-44.803980779423227</v>
      </c>
      <c r="W43" s="3673">
        <f ca="1">R42-W42</f>
        <v>-33.602985584567421</v>
      </c>
      <c r="X43" s="3673">
        <f ca="1">S42-X42</f>
        <v>-22.401990389711614</v>
      </c>
      <c r="Y43" s="3673">
        <f ca="1">T42-Y42</f>
        <v>-16.80149279228371</v>
      </c>
      <c r="Z43" s="3629"/>
      <c r="AA43" s="3629"/>
      <c r="AB43" s="3629"/>
      <c r="AC43" s="3629"/>
    </row>
    <row r="44" spans="2:29" x14ac:dyDescent="0.4">
      <c r="B44" s="167" t="str">
        <f t="shared" si="16"/>
        <v>Minor Maintenance</v>
      </c>
      <c r="C44" s="166">
        <f>IF(B44="campaign", IF(COUNTIF($B$3:$B44,"Campaign")&gt;warmup_campaigns, long_campaign_duration, campaign_duration), 0)</f>
        <v>0</v>
      </c>
      <c r="D44" s="166">
        <f t="shared" si="17"/>
        <v>256</v>
      </c>
      <c r="E44" s="166">
        <f t="shared" si="18"/>
        <v>0</v>
      </c>
      <c r="F44" s="166">
        <f t="shared" si="19"/>
        <v>27604</v>
      </c>
      <c r="G44" s="166">
        <f t="shared" si="20"/>
        <v>0</v>
      </c>
      <c r="H44" s="165">
        <f t="shared" si="21"/>
        <v>0</v>
      </c>
      <c r="I44" s="165">
        <f t="shared" si="22"/>
        <v>6.3022831050228296</v>
      </c>
      <c r="J44" s="167">
        <f t="shared" si="23"/>
        <v>0</v>
      </c>
      <c r="K44" s="167">
        <f t="shared" si="27"/>
        <v>4.4315068493150687</v>
      </c>
      <c r="L44" s="167">
        <f t="shared" si="24"/>
        <v>1</v>
      </c>
      <c r="M44" s="167">
        <f t="shared" si="25"/>
        <v>0.88630136986301367</v>
      </c>
      <c r="O44" s="3671"/>
      <c r="P44" s="3671"/>
      <c r="Q44" s="3671"/>
      <c r="R44" s="3671"/>
      <c r="S44" s="3671"/>
      <c r="T44" s="3671"/>
      <c r="U44" s="3671"/>
      <c r="V44" s="3671"/>
      <c r="W44" s="3671"/>
      <c r="X44" s="3671"/>
      <c r="Y44" s="3671"/>
      <c r="Z44" s="3629"/>
      <c r="AA44" s="3629"/>
      <c r="AB44" s="3629"/>
      <c r="AC44" s="3629"/>
    </row>
    <row r="45" spans="2:29" x14ac:dyDescent="0.4">
      <c r="B45" s="167" t="str">
        <f t="shared" si="16"/>
        <v>Campaign</v>
      </c>
      <c r="C45" s="166">
        <f>IF(B45="campaign", IF(COUNTIF($B$3:$B45,"Campaign")&gt;warmup_campaigns, long_campaign_duration, campaign_duration), 0)</f>
        <v>12</v>
      </c>
      <c r="D45" s="166">
        <f t="shared" si="17"/>
        <v>268</v>
      </c>
      <c r="E45" s="166">
        <f t="shared" si="18"/>
        <v>1294</v>
      </c>
      <c r="F45" s="166">
        <f t="shared" si="19"/>
        <v>28898</v>
      </c>
      <c r="G45" s="166">
        <f t="shared" si="20"/>
        <v>144</v>
      </c>
      <c r="H45" s="165">
        <f t="shared" si="21"/>
        <v>0.29543378995433789</v>
      </c>
      <c r="I45" s="165">
        <f t="shared" si="22"/>
        <v>6.5977168949771672</v>
      </c>
      <c r="J45" s="167">
        <f t="shared" si="23"/>
        <v>0.29543378995433789</v>
      </c>
      <c r="K45" s="167">
        <f t="shared" si="27"/>
        <v>4.7269406392694062</v>
      </c>
      <c r="L45" s="167">
        <f t="shared" si="24"/>
        <v>1</v>
      </c>
      <c r="M45" s="167">
        <f t="shared" si="25"/>
        <v>1.1817351598173516</v>
      </c>
      <c r="O45" s="3671"/>
      <c r="P45" s="3671"/>
      <c r="Q45" s="3671"/>
      <c r="R45" s="3671"/>
      <c r="S45" s="3671"/>
      <c r="T45" s="3671"/>
      <c r="U45" s="3671"/>
      <c r="V45" s="3671"/>
      <c r="W45" s="3671"/>
      <c r="X45" s="3671"/>
      <c r="Y45" s="3671"/>
      <c r="Z45" s="3629"/>
      <c r="AA45" s="3629"/>
      <c r="AB45" s="3629"/>
      <c r="AC45" s="3629"/>
    </row>
    <row r="46" spans="2:29" x14ac:dyDescent="0.4">
      <c r="B46" s="167" t="str">
        <f t="shared" si="16"/>
        <v>Minor Maintenance</v>
      </c>
      <c r="C46" s="166">
        <f>IF(B46="campaign", IF(COUNTIF($B$3:$B46,"Campaign")&gt;warmup_campaigns, long_campaign_duration, campaign_duration), 0)</f>
        <v>0</v>
      </c>
      <c r="D46" s="166">
        <f t="shared" si="17"/>
        <v>268</v>
      </c>
      <c r="E46" s="166">
        <f t="shared" si="18"/>
        <v>0</v>
      </c>
      <c r="F46" s="166">
        <f t="shared" si="19"/>
        <v>28898</v>
      </c>
      <c r="G46" s="166">
        <f t="shared" si="20"/>
        <v>0</v>
      </c>
      <c r="H46" s="165">
        <f t="shared" si="21"/>
        <v>0</v>
      </c>
      <c r="I46" s="165">
        <f t="shared" si="22"/>
        <v>6.5977168949771672</v>
      </c>
      <c r="J46" s="167">
        <f t="shared" si="23"/>
        <v>0</v>
      </c>
      <c r="K46" s="167">
        <f t="shared" si="27"/>
        <v>4.7269406392694062</v>
      </c>
      <c r="L46" s="167">
        <f t="shared" si="24"/>
        <v>1</v>
      </c>
      <c r="M46" s="167">
        <f t="shared" si="25"/>
        <v>1.1817351598173516</v>
      </c>
      <c r="O46" s="3629"/>
      <c r="P46" s="3629"/>
      <c r="Q46" s="3629"/>
      <c r="R46" s="3629"/>
      <c r="S46" s="3629"/>
      <c r="T46" s="3629"/>
      <c r="U46" s="3629"/>
      <c r="V46" s="3629"/>
      <c r="W46" s="3629"/>
      <c r="X46" s="3629"/>
      <c r="Y46" s="3629"/>
      <c r="Z46" s="3629"/>
      <c r="AA46" s="3629"/>
      <c r="AB46" s="3629"/>
      <c r="AC46" s="3629"/>
    </row>
    <row r="47" spans="2:29" x14ac:dyDescent="0.4">
      <c r="B47" s="167" t="str">
        <f t="shared" si="16"/>
        <v>Campaign</v>
      </c>
      <c r="C47" s="166">
        <f>IF(B47="campaign", IF(COUNTIF($B$3:$B47,"Campaign")&gt;warmup_campaigns, long_campaign_duration, campaign_duration), 0)</f>
        <v>12</v>
      </c>
      <c r="D47" s="166">
        <f t="shared" si="17"/>
        <v>280</v>
      </c>
      <c r="E47" s="166">
        <f t="shared" si="18"/>
        <v>1294</v>
      </c>
      <c r="F47" s="166">
        <f t="shared" si="19"/>
        <v>30192</v>
      </c>
      <c r="G47" s="166">
        <f t="shared" si="20"/>
        <v>144</v>
      </c>
      <c r="H47" s="165">
        <f t="shared" si="21"/>
        <v>0.29543378995433789</v>
      </c>
      <c r="I47" s="165">
        <f t="shared" si="22"/>
        <v>6.8931506849315047</v>
      </c>
      <c r="J47" s="167">
        <f t="shared" si="23"/>
        <v>0.29543378995433789</v>
      </c>
      <c r="K47" s="167">
        <f t="shared" si="27"/>
        <v>5.0223744292237438</v>
      </c>
      <c r="L47" s="167">
        <f t="shared" si="24"/>
        <v>1</v>
      </c>
      <c r="M47" s="167">
        <f t="shared" si="25"/>
        <v>1.4771689497716896</v>
      </c>
    </row>
    <row r="48" spans="2:29" x14ac:dyDescent="0.4">
      <c r="B48" s="167" t="str">
        <f t="shared" si="16"/>
        <v>Blanket Maintenance</v>
      </c>
      <c r="C48" s="166">
        <f>IF(B48="campaign", IF(COUNTIF($B$3:$B48,"Campaign")&gt;warmup_campaigns, long_campaign_duration, campaign_duration), 0)</f>
        <v>0</v>
      </c>
      <c r="D48" s="166">
        <f t="shared" si="17"/>
        <v>280</v>
      </c>
      <c r="E48" s="166">
        <f t="shared" si="18"/>
        <v>0</v>
      </c>
      <c r="F48" s="166">
        <f t="shared" si="19"/>
        <v>30192</v>
      </c>
      <c r="G48" s="166">
        <f t="shared" si="20"/>
        <v>0</v>
      </c>
      <c r="H48" s="165">
        <f t="shared" si="21"/>
        <v>0</v>
      </c>
      <c r="I48" s="165">
        <f t="shared" si="22"/>
        <v>6.8931506849315047</v>
      </c>
      <c r="J48" s="167">
        <f t="shared" si="23"/>
        <v>0</v>
      </c>
      <c r="K48" s="167">
        <f t="shared" si="27"/>
        <v>0</v>
      </c>
      <c r="L48" s="167">
        <f t="shared" si="24"/>
        <v>1</v>
      </c>
      <c r="M48" s="167">
        <f t="shared" si="25"/>
        <v>0</v>
      </c>
    </row>
    <row r="49" spans="2:13" x14ac:dyDescent="0.4">
      <c r="B49" s="167" t="str">
        <f t="shared" si="16"/>
        <v>Campaign</v>
      </c>
      <c r="C49" s="166">
        <f>IF(B49="campaign", IF(COUNTIF($B$3:$B49,"Campaign")&gt;warmup_campaigns, long_campaign_duration, campaign_duration), 0)</f>
        <v>12</v>
      </c>
      <c r="D49" s="166">
        <f t="shared" si="17"/>
        <v>292</v>
      </c>
      <c r="E49" s="166">
        <f t="shared" si="18"/>
        <v>1294</v>
      </c>
      <c r="F49" s="166">
        <f t="shared" si="19"/>
        <v>31486</v>
      </c>
      <c r="G49" s="166">
        <f t="shared" si="20"/>
        <v>144</v>
      </c>
      <c r="H49" s="165">
        <f t="shared" si="21"/>
        <v>0.29543378995433789</v>
      </c>
      <c r="I49" s="165">
        <f t="shared" si="22"/>
        <v>7.1885844748858423</v>
      </c>
      <c r="J49" s="167">
        <f t="shared" si="23"/>
        <v>0.29543378995433789</v>
      </c>
      <c r="K49" s="167">
        <f t="shared" si="27"/>
        <v>0.29543378995433789</v>
      </c>
      <c r="L49" s="167">
        <f t="shared" si="24"/>
        <v>1</v>
      </c>
      <c r="M49" s="167">
        <f t="shared" si="25"/>
        <v>0.29543378995433789</v>
      </c>
    </row>
    <row r="50" spans="2:13" x14ac:dyDescent="0.4">
      <c r="B50" s="167" t="str">
        <f t="shared" si="16"/>
        <v>Minor Maintenance</v>
      </c>
      <c r="C50" s="166">
        <f>IF(B50="campaign", IF(COUNTIF($B$3:$B50,"Campaign")&gt;warmup_campaigns, long_campaign_duration, campaign_duration), 0)</f>
        <v>0</v>
      </c>
      <c r="D50" s="166">
        <f t="shared" si="17"/>
        <v>292</v>
      </c>
      <c r="E50" s="166">
        <f t="shared" si="18"/>
        <v>0</v>
      </c>
      <c r="F50" s="166">
        <f t="shared" si="19"/>
        <v>31486</v>
      </c>
      <c r="G50" s="166">
        <f t="shared" si="20"/>
        <v>0</v>
      </c>
      <c r="H50" s="165">
        <f t="shared" si="21"/>
        <v>0</v>
      </c>
      <c r="I50" s="165">
        <f t="shared" si="22"/>
        <v>7.1885844748858423</v>
      </c>
      <c r="J50" s="167">
        <f t="shared" si="23"/>
        <v>0</v>
      </c>
      <c r="K50" s="167">
        <f t="shared" si="27"/>
        <v>0.29543378995433789</v>
      </c>
      <c r="L50" s="167">
        <f t="shared" si="24"/>
        <v>1</v>
      </c>
      <c r="M50" s="167">
        <f t="shared" si="25"/>
        <v>0.29543378995433789</v>
      </c>
    </row>
    <row r="51" spans="2:13" x14ac:dyDescent="0.4">
      <c r="B51" s="167" t="str">
        <f t="shared" si="16"/>
        <v>Campaign</v>
      </c>
      <c r="C51" s="166">
        <f>IF(B51="campaign", IF(COUNTIF($B$3:$B51,"Campaign")&gt;warmup_campaigns, long_campaign_duration, campaign_duration), 0)</f>
        <v>12</v>
      </c>
      <c r="D51" s="166">
        <f t="shared" si="17"/>
        <v>304</v>
      </c>
      <c r="E51" s="166">
        <f t="shared" si="18"/>
        <v>1294</v>
      </c>
      <c r="F51" s="166">
        <f t="shared" si="19"/>
        <v>32780</v>
      </c>
      <c r="G51" s="166">
        <f t="shared" si="20"/>
        <v>144</v>
      </c>
      <c r="H51" s="165">
        <f t="shared" si="21"/>
        <v>0.29543378995433789</v>
      </c>
      <c r="I51" s="165">
        <f t="shared" si="22"/>
        <v>7.4840182648401798</v>
      </c>
      <c r="J51" s="167">
        <f t="shared" si="23"/>
        <v>0.29543378995433789</v>
      </c>
      <c r="K51" s="167">
        <f t="shared" si="27"/>
        <v>0.59086757990867578</v>
      </c>
      <c r="L51" s="167">
        <f t="shared" si="24"/>
        <v>1</v>
      </c>
      <c r="M51" s="167">
        <f t="shared" si="25"/>
        <v>0.59086757990867578</v>
      </c>
    </row>
    <row r="52" spans="2:13" x14ac:dyDescent="0.4">
      <c r="B52" s="167" t="str">
        <f t="shared" si="16"/>
        <v>Minor Maintenance</v>
      </c>
      <c r="C52" s="166">
        <f>IF(B52="campaign", IF(COUNTIF($B$3:$B52,"Campaign")&gt;warmup_campaigns, long_campaign_duration, campaign_duration), 0)</f>
        <v>0</v>
      </c>
      <c r="D52" s="166">
        <f t="shared" si="17"/>
        <v>304</v>
      </c>
      <c r="E52" s="166">
        <f t="shared" si="18"/>
        <v>0</v>
      </c>
      <c r="F52" s="166">
        <f t="shared" si="19"/>
        <v>32780</v>
      </c>
      <c r="G52" s="166">
        <f t="shared" si="20"/>
        <v>0</v>
      </c>
      <c r="H52" s="165">
        <f t="shared" si="21"/>
        <v>0</v>
      </c>
      <c r="I52" s="165">
        <f t="shared" si="22"/>
        <v>7.4840182648401798</v>
      </c>
      <c r="J52" s="167">
        <f t="shared" si="23"/>
        <v>0</v>
      </c>
      <c r="K52" s="167">
        <f t="shared" si="27"/>
        <v>0.59086757990867578</v>
      </c>
      <c r="L52" s="167">
        <f t="shared" si="24"/>
        <v>1</v>
      </c>
      <c r="M52" s="167">
        <f t="shared" si="25"/>
        <v>0.59086757990867578</v>
      </c>
    </row>
    <row r="53" spans="2:13" x14ac:dyDescent="0.4">
      <c r="B53" s="167" t="str">
        <f t="shared" si="16"/>
        <v>Campaign</v>
      </c>
      <c r="C53" s="166">
        <f>IF(B53="campaign", IF(COUNTIF($B$3:$B53,"Campaign")&gt;warmup_campaigns, long_campaign_duration, campaign_duration), 0)</f>
        <v>12</v>
      </c>
      <c r="D53" s="166">
        <f t="shared" si="17"/>
        <v>316</v>
      </c>
      <c r="E53" s="166">
        <f t="shared" si="18"/>
        <v>1294</v>
      </c>
      <c r="F53" s="166">
        <f t="shared" si="19"/>
        <v>34074</v>
      </c>
      <c r="G53" s="166">
        <f t="shared" si="20"/>
        <v>144</v>
      </c>
      <c r="H53" s="165">
        <f t="shared" si="21"/>
        <v>0.29543378995433789</v>
      </c>
      <c r="I53" s="165">
        <f t="shared" si="22"/>
        <v>7.7794520547945174</v>
      </c>
      <c r="J53" s="167">
        <f t="shared" si="23"/>
        <v>0.29543378995433789</v>
      </c>
      <c r="K53" s="167">
        <f t="shared" si="27"/>
        <v>0.88630136986301367</v>
      </c>
      <c r="L53" s="167">
        <f t="shared" si="24"/>
        <v>1</v>
      </c>
      <c r="M53" s="167">
        <f t="shared" si="25"/>
        <v>0.88630136986301367</v>
      </c>
    </row>
    <row r="54" spans="2:13" x14ac:dyDescent="0.4">
      <c r="B54" s="167" t="str">
        <f t="shared" si="16"/>
        <v>Minor Maintenance</v>
      </c>
      <c r="C54" s="166">
        <f>IF(B54="campaign", IF(COUNTIF($B$3:$B54,"Campaign")&gt;warmup_campaigns, long_campaign_duration, campaign_duration), 0)</f>
        <v>0</v>
      </c>
      <c r="D54" s="166">
        <f t="shared" si="17"/>
        <v>316</v>
      </c>
      <c r="E54" s="166">
        <f t="shared" si="18"/>
        <v>0</v>
      </c>
      <c r="F54" s="166">
        <f t="shared" si="19"/>
        <v>34074</v>
      </c>
      <c r="G54" s="166">
        <f t="shared" si="20"/>
        <v>0</v>
      </c>
      <c r="H54" s="165">
        <f t="shared" si="21"/>
        <v>0</v>
      </c>
      <c r="I54" s="165">
        <f t="shared" si="22"/>
        <v>7.7794520547945174</v>
      </c>
      <c r="J54" s="167">
        <f t="shared" si="23"/>
        <v>0</v>
      </c>
      <c r="K54" s="167">
        <f t="shared" si="27"/>
        <v>0.88630136986301367</v>
      </c>
      <c r="L54" s="167">
        <f t="shared" si="24"/>
        <v>1</v>
      </c>
      <c r="M54" s="167">
        <f t="shared" si="25"/>
        <v>0.88630136986301367</v>
      </c>
    </row>
    <row r="55" spans="2:13" x14ac:dyDescent="0.4">
      <c r="B55" s="167" t="str">
        <f t="shared" si="16"/>
        <v>Campaign</v>
      </c>
      <c r="C55" s="166">
        <f>IF(B55="campaign", IF(COUNTIF($B$3:$B55,"Campaign")&gt;warmup_campaigns, long_campaign_duration, campaign_duration), 0)</f>
        <v>12</v>
      </c>
      <c r="D55" s="166">
        <f t="shared" si="17"/>
        <v>328</v>
      </c>
      <c r="E55" s="166">
        <f t="shared" si="18"/>
        <v>1294</v>
      </c>
      <c r="F55" s="166">
        <f t="shared" si="19"/>
        <v>35368</v>
      </c>
      <c r="G55" s="166">
        <f t="shared" si="20"/>
        <v>144</v>
      </c>
      <c r="H55" s="165">
        <f t="shared" si="21"/>
        <v>0.29543378995433789</v>
      </c>
      <c r="I55" s="165">
        <f t="shared" si="22"/>
        <v>8.0748858447488558</v>
      </c>
      <c r="J55" s="167">
        <f t="shared" si="23"/>
        <v>0.29543378995433789</v>
      </c>
      <c r="K55" s="167">
        <f t="shared" si="27"/>
        <v>1.1817351598173516</v>
      </c>
      <c r="L55" s="167">
        <f t="shared" si="24"/>
        <v>1</v>
      </c>
      <c r="M55" s="167">
        <f t="shared" si="25"/>
        <v>1.1817351598173516</v>
      </c>
    </row>
    <row r="56" spans="2:13" x14ac:dyDescent="0.4">
      <c r="B56" s="167" t="str">
        <f t="shared" si="16"/>
        <v>Minor Maintenance</v>
      </c>
      <c r="C56" s="166">
        <f>IF(B56="campaign", IF(COUNTIF($B$3:$B56,"Campaign")&gt;warmup_campaigns, long_campaign_duration, campaign_duration), 0)</f>
        <v>0</v>
      </c>
      <c r="D56" s="166">
        <f t="shared" si="17"/>
        <v>328</v>
      </c>
      <c r="E56" s="166">
        <f t="shared" si="18"/>
        <v>0</v>
      </c>
      <c r="F56" s="166">
        <f t="shared" si="19"/>
        <v>35368</v>
      </c>
      <c r="G56" s="166">
        <f t="shared" si="20"/>
        <v>0</v>
      </c>
      <c r="H56" s="165">
        <f t="shared" si="21"/>
        <v>0</v>
      </c>
      <c r="I56" s="165">
        <f t="shared" si="22"/>
        <v>8.0748858447488558</v>
      </c>
      <c r="J56" s="167">
        <f t="shared" si="23"/>
        <v>0</v>
      </c>
      <c r="K56" s="167">
        <f t="shared" si="27"/>
        <v>1.1817351598173516</v>
      </c>
      <c r="L56" s="167">
        <f t="shared" si="24"/>
        <v>1</v>
      </c>
      <c r="M56" s="167">
        <f t="shared" si="25"/>
        <v>1.1817351598173516</v>
      </c>
    </row>
    <row r="57" spans="2:13" x14ac:dyDescent="0.4">
      <c r="B57" s="167" t="str">
        <f t="shared" si="16"/>
        <v>Campaign</v>
      </c>
      <c r="C57" s="166">
        <f>IF(B57="campaign", IF(COUNTIF($B$3:$B57,"Campaign")&gt;warmup_campaigns, long_campaign_duration, campaign_duration), 0)</f>
        <v>12</v>
      </c>
      <c r="D57" s="166">
        <f t="shared" si="17"/>
        <v>340</v>
      </c>
      <c r="E57" s="166">
        <f t="shared" si="18"/>
        <v>1294</v>
      </c>
      <c r="F57" s="166">
        <f t="shared" si="19"/>
        <v>36662</v>
      </c>
      <c r="G57" s="166">
        <f t="shared" si="20"/>
        <v>144</v>
      </c>
      <c r="H57" s="165">
        <f t="shared" si="21"/>
        <v>0.29543378995433789</v>
      </c>
      <c r="I57" s="165">
        <f t="shared" si="22"/>
        <v>8.3703196347031934</v>
      </c>
      <c r="J57" s="167">
        <f t="shared" si="23"/>
        <v>0.29543378995433789</v>
      </c>
      <c r="K57" s="167">
        <f t="shared" si="27"/>
        <v>1.4771689497716896</v>
      </c>
      <c r="L57" s="167">
        <f t="shared" si="24"/>
        <v>1</v>
      </c>
      <c r="M57" s="167">
        <f t="shared" si="25"/>
        <v>1.4771689497716896</v>
      </c>
    </row>
    <row r="58" spans="2:13" x14ac:dyDescent="0.4">
      <c r="B58" s="167" t="str">
        <f t="shared" si="16"/>
        <v>Minor Maintenance</v>
      </c>
      <c r="C58" s="166">
        <f>IF(B58="campaign", IF(COUNTIF($B$3:$B58,"Campaign")&gt;warmup_campaigns, long_campaign_duration, campaign_duration), 0)</f>
        <v>0</v>
      </c>
      <c r="D58" s="166">
        <f t="shared" si="17"/>
        <v>340</v>
      </c>
      <c r="E58" s="166">
        <f t="shared" si="18"/>
        <v>0</v>
      </c>
      <c r="F58" s="166">
        <f t="shared" si="19"/>
        <v>36662</v>
      </c>
      <c r="G58" s="166">
        <f t="shared" si="20"/>
        <v>0</v>
      </c>
      <c r="H58" s="165">
        <f t="shared" si="21"/>
        <v>0</v>
      </c>
      <c r="I58" s="165">
        <f t="shared" si="22"/>
        <v>8.3703196347031934</v>
      </c>
      <c r="J58" s="167">
        <f t="shared" si="23"/>
        <v>0</v>
      </c>
      <c r="K58" s="167">
        <f t="shared" si="27"/>
        <v>1.4771689497716896</v>
      </c>
      <c r="L58" s="167">
        <f t="shared" si="24"/>
        <v>1</v>
      </c>
      <c r="M58" s="167">
        <f t="shared" si="25"/>
        <v>1.4771689497716896</v>
      </c>
    </row>
    <row r="59" spans="2:13" x14ac:dyDescent="0.4">
      <c r="B59" s="167" t="str">
        <f t="shared" si="16"/>
        <v>Campaign</v>
      </c>
      <c r="C59" s="166">
        <f>IF(B59="campaign", IF(COUNTIF($B$3:$B59,"Campaign")&gt;warmup_campaigns, long_campaign_duration, campaign_duration), 0)</f>
        <v>12</v>
      </c>
      <c r="D59" s="166">
        <f t="shared" si="17"/>
        <v>352</v>
      </c>
      <c r="E59" s="166">
        <f t="shared" si="18"/>
        <v>1294</v>
      </c>
      <c r="F59" s="166">
        <f t="shared" si="19"/>
        <v>37956</v>
      </c>
      <c r="G59" s="166">
        <f t="shared" si="20"/>
        <v>144</v>
      </c>
      <c r="H59" s="165">
        <f t="shared" si="21"/>
        <v>0.29543378995433789</v>
      </c>
      <c r="I59" s="165">
        <f t="shared" si="22"/>
        <v>8.665753424657531</v>
      </c>
      <c r="J59" s="167">
        <f t="shared" si="23"/>
        <v>0.29543378995433789</v>
      </c>
      <c r="K59" s="167">
        <f t="shared" si="27"/>
        <v>1.7726027397260276</v>
      </c>
      <c r="L59" s="167">
        <f t="shared" si="24"/>
        <v>1</v>
      </c>
      <c r="M59" s="167">
        <f t="shared" si="25"/>
        <v>1.7726027397260276</v>
      </c>
    </row>
    <row r="60" spans="2:13" x14ac:dyDescent="0.4">
      <c r="B60" s="167" t="str">
        <f t="shared" si="16"/>
        <v>Divertor Maintenance</v>
      </c>
      <c r="C60" s="166">
        <f>IF(B60="campaign", IF(COUNTIF($B$3:$B60,"Campaign")&gt;warmup_campaigns, long_campaign_duration, campaign_duration), 0)</f>
        <v>0</v>
      </c>
      <c r="D60" s="166">
        <f t="shared" si="17"/>
        <v>352</v>
      </c>
      <c r="E60" s="166">
        <f t="shared" si="18"/>
        <v>0</v>
      </c>
      <c r="F60" s="166">
        <f t="shared" si="19"/>
        <v>37956</v>
      </c>
      <c r="G60" s="166">
        <f t="shared" si="20"/>
        <v>0</v>
      </c>
      <c r="H60" s="165">
        <f t="shared" si="21"/>
        <v>0</v>
      </c>
      <c r="I60" s="165">
        <f t="shared" si="22"/>
        <v>8.665753424657531</v>
      </c>
      <c r="J60" s="167">
        <f t="shared" si="23"/>
        <v>0</v>
      </c>
      <c r="K60" s="167">
        <f t="shared" si="27"/>
        <v>1.7726027397260276</v>
      </c>
      <c r="L60" s="167">
        <f t="shared" si="24"/>
        <v>1</v>
      </c>
      <c r="M60" s="167">
        <f t="shared" si="25"/>
        <v>0</v>
      </c>
    </row>
    <row r="61" spans="2:13" x14ac:dyDescent="0.4">
      <c r="B61" s="167" t="str">
        <f t="shared" si="16"/>
        <v>Campaign</v>
      </c>
      <c r="C61" s="166">
        <f>IF(B61="campaign", IF(COUNTIF($B$3:$B61,"Campaign")&gt;warmup_campaigns, long_campaign_duration, campaign_duration), 0)</f>
        <v>12</v>
      </c>
      <c r="D61" s="166">
        <f t="shared" si="17"/>
        <v>364</v>
      </c>
      <c r="E61" s="166">
        <f t="shared" si="18"/>
        <v>1294</v>
      </c>
      <c r="F61" s="166">
        <f t="shared" si="19"/>
        <v>39250</v>
      </c>
      <c r="G61" s="166">
        <f t="shared" si="20"/>
        <v>144</v>
      </c>
      <c r="H61" s="165">
        <f t="shared" si="21"/>
        <v>0.29543378995433789</v>
      </c>
      <c r="I61" s="165">
        <f t="shared" si="22"/>
        <v>8.9611872146118685</v>
      </c>
      <c r="J61" s="167">
        <f t="shared" si="23"/>
        <v>0.29543378995433789</v>
      </c>
      <c r="K61" s="167">
        <f t="shared" si="27"/>
        <v>2.0680365296803656</v>
      </c>
      <c r="L61" s="167">
        <f t="shared" si="24"/>
        <v>1</v>
      </c>
      <c r="M61" s="167">
        <f t="shared" si="25"/>
        <v>0.29543378995433789</v>
      </c>
    </row>
    <row r="62" spans="2:13" x14ac:dyDescent="0.4">
      <c r="B62" s="167" t="str">
        <f t="shared" si="16"/>
        <v>Minor Maintenance</v>
      </c>
      <c r="C62" s="166">
        <f>IF(B62="campaign", IF(COUNTIF($B$3:$B62,"Campaign")&gt;warmup_campaigns, long_campaign_duration, campaign_duration), 0)</f>
        <v>0</v>
      </c>
      <c r="D62" s="166">
        <f t="shared" si="17"/>
        <v>364</v>
      </c>
      <c r="E62" s="166">
        <f t="shared" si="18"/>
        <v>0</v>
      </c>
      <c r="F62" s="166">
        <f t="shared" si="19"/>
        <v>39250</v>
      </c>
      <c r="G62" s="166">
        <f t="shared" si="20"/>
        <v>0</v>
      </c>
      <c r="H62" s="165">
        <f t="shared" si="21"/>
        <v>0</v>
      </c>
      <c r="I62" s="165">
        <f t="shared" si="22"/>
        <v>8.9611872146118685</v>
      </c>
      <c r="J62" s="167">
        <f t="shared" si="23"/>
        <v>0</v>
      </c>
      <c r="K62" s="167">
        <f t="shared" si="27"/>
        <v>2.0680365296803656</v>
      </c>
      <c r="L62" s="167">
        <f t="shared" si="24"/>
        <v>1</v>
      </c>
      <c r="M62" s="167">
        <f t="shared" si="25"/>
        <v>0.29543378995433789</v>
      </c>
    </row>
    <row r="63" spans="2:13" x14ac:dyDescent="0.4">
      <c r="B63" s="167" t="str">
        <f t="shared" si="16"/>
        <v>Campaign</v>
      </c>
      <c r="C63" s="166">
        <f>IF(B63="campaign", IF(COUNTIF($B$3:$B63,"Campaign")&gt;warmup_campaigns, long_campaign_duration, campaign_duration), 0)</f>
        <v>12</v>
      </c>
      <c r="D63" s="166">
        <f t="shared" si="17"/>
        <v>376</v>
      </c>
      <c r="E63" s="166">
        <f t="shared" si="18"/>
        <v>1294</v>
      </c>
      <c r="F63" s="166">
        <f t="shared" si="19"/>
        <v>40544</v>
      </c>
      <c r="G63" s="166">
        <f t="shared" si="20"/>
        <v>144</v>
      </c>
      <c r="H63" s="165">
        <f t="shared" si="21"/>
        <v>0.29543378995433789</v>
      </c>
      <c r="I63" s="165">
        <f t="shared" si="22"/>
        <v>9.2566210045662061</v>
      </c>
      <c r="J63" s="167">
        <f t="shared" si="23"/>
        <v>0.29543378995433789</v>
      </c>
      <c r="K63" s="167">
        <f t="shared" si="27"/>
        <v>2.3634703196347036</v>
      </c>
      <c r="L63" s="167">
        <f t="shared" si="24"/>
        <v>1</v>
      </c>
      <c r="M63" s="167">
        <f>IF(OR($B63="Divertor Maintenance", $B63="Blanket Maintenance"),0,IFERROR($H63+M62,$H63))</f>
        <v>0.59086757990867578</v>
      </c>
    </row>
    <row r="64" spans="2:13" x14ac:dyDescent="0.4">
      <c r="B64" s="167" t="str">
        <f t="shared" si="16"/>
        <v>Minor Maintenance</v>
      </c>
      <c r="C64" s="166">
        <f>IF(B64="campaign", IF(COUNTIF($B$3:$B64,"Campaign")&gt;warmup_campaigns, long_campaign_duration, campaign_duration), 0)</f>
        <v>0</v>
      </c>
      <c r="D64" s="166">
        <f t="shared" si="17"/>
        <v>376</v>
      </c>
      <c r="E64" s="166">
        <f t="shared" si="18"/>
        <v>0</v>
      </c>
      <c r="F64" s="166">
        <f t="shared" si="19"/>
        <v>40544</v>
      </c>
      <c r="G64" s="166">
        <f t="shared" si="20"/>
        <v>0</v>
      </c>
      <c r="H64" s="165">
        <f t="shared" si="21"/>
        <v>0</v>
      </c>
      <c r="I64" s="165">
        <f t="shared" si="22"/>
        <v>9.2566210045662061</v>
      </c>
      <c r="J64" s="167">
        <f t="shared" si="23"/>
        <v>0</v>
      </c>
      <c r="K64" s="167">
        <f t="shared" si="27"/>
        <v>2.3634703196347036</v>
      </c>
      <c r="L64" s="167">
        <f t="shared" si="24"/>
        <v>1</v>
      </c>
      <c r="M64" s="167">
        <f>IF(OR($B64="Divertor Maintenance", $B64="Blanket Maintenance"),0,IFERROR($H64+M63,$H64))</f>
        <v>0.59086757990867578</v>
      </c>
    </row>
    <row r="65" spans="2:13" x14ac:dyDescent="0.4">
      <c r="B65" s="167" t="str">
        <f t="shared" si="16"/>
        <v>Campaign</v>
      </c>
      <c r="C65" s="166">
        <f>IF(B65="campaign", IF(COUNTIF($B$3:$B65,"Campaign")&gt;warmup_campaigns, long_campaign_duration, campaign_duration), 0)</f>
        <v>12</v>
      </c>
      <c r="D65" s="166">
        <f t="shared" si="17"/>
        <v>388</v>
      </c>
      <c r="E65" s="166">
        <f t="shared" si="18"/>
        <v>1294</v>
      </c>
      <c r="F65" s="166">
        <f t="shared" si="19"/>
        <v>41838</v>
      </c>
      <c r="G65" s="166">
        <f t="shared" si="20"/>
        <v>144</v>
      </c>
      <c r="H65" s="165">
        <f t="shared" si="21"/>
        <v>0.29543378995433789</v>
      </c>
      <c r="I65" s="165">
        <f t="shared" si="22"/>
        <v>9.5520547945205436</v>
      </c>
      <c r="J65" s="167">
        <f t="shared" si="23"/>
        <v>0.29543378995433789</v>
      </c>
      <c r="K65" s="167">
        <f t="shared" si="27"/>
        <v>2.6589041095890416</v>
      </c>
      <c r="L65" s="167">
        <f t="shared" si="24"/>
        <v>1</v>
      </c>
      <c r="M65" s="167">
        <f>IF(OR($B65="Divertor Maintenance", $B65="Blanket Maintenance"),0,IFERROR($H65+M64,$H65))</f>
        <v>0.88630136986301367</v>
      </c>
    </row>
    <row r="66" spans="2:13" x14ac:dyDescent="0.4">
      <c r="B66" s="167" t="str">
        <f t="shared" si="16"/>
        <v>Minor Maintenance</v>
      </c>
      <c r="C66" s="166">
        <f>IF(B66="campaign", IF(COUNTIF($B$3:$B66,"Campaign")&gt;warmup_campaigns, long_campaign_duration, campaign_duration), 0)</f>
        <v>0</v>
      </c>
      <c r="D66" s="166">
        <f t="shared" si="17"/>
        <v>388</v>
      </c>
      <c r="E66" s="166">
        <f t="shared" si="18"/>
        <v>0</v>
      </c>
      <c r="F66" s="166">
        <f t="shared" si="19"/>
        <v>41838</v>
      </c>
      <c r="G66" s="166">
        <f t="shared" si="20"/>
        <v>0</v>
      </c>
      <c r="H66" s="165">
        <f t="shared" si="21"/>
        <v>0</v>
      </c>
      <c r="I66" s="165">
        <f t="shared" si="22"/>
        <v>9.5520547945205436</v>
      </c>
      <c r="J66" s="167">
        <f t="shared" si="23"/>
        <v>0</v>
      </c>
      <c r="K66" s="167">
        <f t="shared" si="27"/>
        <v>2.6589041095890416</v>
      </c>
      <c r="L66" s="167">
        <f t="shared" si="24"/>
        <v>1</v>
      </c>
      <c r="M66" s="167">
        <f>IF(OR($B66="Divertor Maintenance", $B66="Blanket Maintenance"),0,IFERROR($H66+M65,$H66))</f>
        <v>0.88630136986301367</v>
      </c>
    </row>
    <row r="67" spans="2:13" x14ac:dyDescent="0.4">
      <c r="B67" s="167" t="str">
        <f t="shared" ref="B67:B98" si="32">IF(B66&lt;&gt;"Campaign","Campaign",IF(AND((ROUND(K66,3)+campaign_fpy)&gt;=starter_blanket_lifetime,L66=0),"Blanket Maintenance",IF(AND((ROUND(K66,3)+campaign_fpy)&gt;=second_blanket_lifetime,L66=1),"Blanket Maintenance",IF((ROUND(M66,3)+campaign_fpy)&gt;=divertor_cassette_lifetime,"Divertor Maintenance",IF((ROUNDUP(J66,3)+campaign_fpy)&gt;=ROUNDUP(minor_maintenance_intervals,3),"Minor Maintenance","Campaign")))))</f>
        <v>Campaign</v>
      </c>
      <c r="C67" s="166">
        <f>IF(B67="campaign", IF(COUNTIF($B$3:$B67,"Campaign")&gt;warmup_campaigns, long_campaign_duration, campaign_duration), 0)</f>
        <v>12</v>
      </c>
      <c r="D67" s="166">
        <f t="shared" ref="D67:D98" si="33">IFERROR(C67+D66, C67)</f>
        <v>400</v>
      </c>
      <c r="E67" s="166">
        <f t="shared" ref="E67:E98" si="34">ROUNDDOWN((C67*( (sequence_duration-interim_maintenace_period)*Pulse_per_day)),0)</f>
        <v>1294</v>
      </c>
      <c r="F67" s="166">
        <f t="shared" ref="F67:F98" si="35">IFERROR(E67+F66,E67)</f>
        <v>43132</v>
      </c>
      <c r="G67" s="166">
        <f t="shared" ref="G67:G98" si="36">IF($B67="campaign", C67*(sequence_duration*(power_generation_period/sequence_duration)), 0)</f>
        <v>144</v>
      </c>
      <c r="H67" s="165">
        <f t="shared" ref="H67:H98" si="37">(E67*pulse_time/(365*24))</f>
        <v>0.29543378995433789</v>
      </c>
      <c r="I67" s="165">
        <f t="shared" ref="I67:I98" si="38">IF($B67="Campaign", IFERROR(H67+I66, H67), I66)</f>
        <v>9.8474885844748812</v>
      </c>
      <c r="J67" s="167">
        <f t="shared" ref="J67:J98" si="39">IF(B67&lt;&gt;"Campaign",0,(IFERROR(H67+J66,H67)))</f>
        <v>0.29543378995433789</v>
      </c>
      <c r="K67" s="167">
        <f t="shared" si="27"/>
        <v>2.9543378995433796</v>
      </c>
      <c r="L67" s="167">
        <f t="shared" ref="L67:L98" si="40">IFERROR(IF(COUNTIF(B67,"Blanket Maintenance")+L66&gt;0, 1, 0),0)</f>
        <v>1</v>
      </c>
      <c r="M67" s="167">
        <f t="shared" ref="M67:M98" si="41">IF(OR($B67="Divertor Maintenance", $B67="Blanket Maintenance"),0,IFERROR($H67+M66,$H67))</f>
        <v>1.1817351598173516</v>
      </c>
    </row>
    <row r="68" spans="2:13" x14ac:dyDescent="0.4">
      <c r="B68" s="167" t="str">
        <f t="shared" si="32"/>
        <v>Minor Maintenance</v>
      </c>
      <c r="C68" s="166">
        <f>IF(B68="campaign", IF(COUNTIF($B$3:$B68,"Campaign")&gt;warmup_campaigns, long_campaign_duration, campaign_duration), 0)</f>
        <v>0</v>
      </c>
      <c r="D68" s="166">
        <f t="shared" si="33"/>
        <v>400</v>
      </c>
      <c r="E68" s="166">
        <f t="shared" si="34"/>
        <v>0</v>
      </c>
      <c r="F68" s="166">
        <f t="shared" si="35"/>
        <v>43132</v>
      </c>
      <c r="G68" s="166">
        <f t="shared" si="36"/>
        <v>0</v>
      </c>
      <c r="H68" s="165">
        <f t="shared" si="37"/>
        <v>0</v>
      </c>
      <c r="I68" s="165">
        <f t="shared" si="38"/>
        <v>9.8474885844748812</v>
      </c>
      <c r="J68" s="167">
        <f t="shared" si="39"/>
        <v>0</v>
      </c>
      <c r="K68" s="167">
        <f t="shared" si="27"/>
        <v>2.9543378995433796</v>
      </c>
      <c r="L68" s="167">
        <f t="shared" si="40"/>
        <v>1</v>
      </c>
      <c r="M68" s="167">
        <f t="shared" si="41"/>
        <v>1.1817351598173516</v>
      </c>
    </row>
    <row r="69" spans="2:13" x14ac:dyDescent="0.4">
      <c r="B69" s="167" t="str">
        <f t="shared" si="32"/>
        <v>Campaign</v>
      </c>
      <c r="C69" s="166">
        <f>IF(B69="campaign", IF(COUNTIF($B$3:$B69,"Campaign")&gt;warmup_campaigns, long_campaign_duration, campaign_duration), 0)</f>
        <v>12</v>
      </c>
      <c r="D69" s="166">
        <f t="shared" si="33"/>
        <v>412</v>
      </c>
      <c r="E69" s="166">
        <f t="shared" si="34"/>
        <v>1294</v>
      </c>
      <c r="F69" s="166">
        <f t="shared" si="35"/>
        <v>44426</v>
      </c>
      <c r="G69" s="166">
        <f t="shared" si="36"/>
        <v>144</v>
      </c>
      <c r="H69" s="165">
        <f t="shared" si="37"/>
        <v>0.29543378995433789</v>
      </c>
      <c r="I69" s="165">
        <f t="shared" si="38"/>
        <v>10.142922374429219</v>
      </c>
      <c r="J69" s="167">
        <f t="shared" si="39"/>
        <v>0.29543378995433789</v>
      </c>
      <c r="K69" s="167">
        <f t="shared" ref="K69:K100" si="42">IF(B69="Blanket Maintenance",0,IFERROR(H69+K68,H69))</f>
        <v>3.2497716894977176</v>
      </c>
      <c r="L69" s="167">
        <f t="shared" si="40"/>
        <v>1</v>
      </c>
      <c r="M69" s="167">
        <f t="shared" si="41"/>
        <v>1.4771689497716896</v>
      </c>
    </row>
    <row r="70" spans="2:13" x14ac:dyDescent="0.4">
      <c r="B70" s="167" t="str">
        <f t="shared" si="32"/>
        <v>Minor Maintenance</v>
      </c>
      <c r="C70" s="166">
        <f>IF(B70="campaign", IF(COUNTIF($B$3:$B70,"Campaign")&gt;warmup_campaigns, long_campaign_duration, campaign_duration), 0)</f>
        <v>0</v>
      </c>
      <c r="D70" s="166">
        <f t="shared" si="33"/>
        <v>412</v>
      </c>
      <c r="E70" s="166">
        <f t="shared" si="34"/>
        <v>0</v>
      </c>
      <c r="F70" s="166">
        <f t="shared" si="35"/>
        <v>44426</v>
      </c>
      <c r="G70" s="166">
        <f t="shared" si="36"/>
        <v>0</v>
      </c>
      <c r="H70" s="165">
        <f t="shared" si="37"/>
        <v>0</v>
      </c>
      <c r="I70" s="165">
        <f t="shared" si="38"/>
        <v>10.142922374429219</v>
      </c>
      <c r="J70" s="167">
        <f t="shared" si="39"/>
        <v>0</v>
      </c>
      <c r="K70" s="167">
        <f t="shared" si="42"/>
        <v>3.2497716894977176</v>
      </c>
      <c r="L70" s="167">
        <f t="shared" si="40"/>
        <v>1</v>
      </c>
      <c r="M70" s="167">
        <f t="shared" si="41"/>
        <v>1.4771689497716896</v>
      </c>
    </row>
    <row r="71" spans="2:13" x14ac:dyDescent="0.4">
      <c r="B71" s="167" t="str">
        <f t="shared" si="32"/>
        <v>Campaign</v>
      </c>
      <c r="C71" s="166">
        <f>IF(B71="campaign", IF(COUNTIF($B$3:$B71,"Campaign")&gt;warmup_campaigns, long_campaign_duration, campaign_duration), 0)</f>
        <v>12</v>
      </c>
      <c r="D71" s="166">
        <f t="shared" si="33"/>
        <v>424</v>
      </c>
      <c r="E71" s="166">
        <f t="shared" si="34"/>
        <v>1294</v>
      </c>
      <c r="F71" s="166">
        <f t="shared" si="35"/>
        <v>45720</v>
      </c>
      <c r="G71" s="166">
        <f t="shared" si="36"/>
        <v>144</v>
      </c>
      <c r="H71" s="165">
        <f t="shared" si="37"/>
        <v>0.29543378995433789</v>
      </c>
      <c r="I71" s="165">
        <f t="shared" si="38"/>
        <v>10.438356164383556</v>
      </c>
      <c r="J71" s="167">
        <f t="shared" si="39"/>
        <v>0.29543378995433789</v>
      </c>
      <c r="K71" s="167">
        <f t="shared" si="42"/>
        <v>3.5452054794520556</v>
      </c>
      <c r="L71" s="167">
        <f t="shared" si="40"/>
        <v>1</v>
      </c>
      <c r="M71" s="167">
        <f t="shared" si="41"/>
        <v>1.7726027397260276</v>
      </c>
    </row>
    <row r="72" spans="2:13" x14ac:dyDescent="0.4">
      <c r="B72" s="167" t="str">
        <f t="shared" si="32"/>
        <v>Divertor Maintenance</v>
      </c>
      <c r="C72" s="166">
        <f>IF(B72="campaign", IF(COUNTIF($B$3:$B72,"Campaign")&gt;warmup_campaigns, long_campaign_duration, campaign_duration), 0)</f>
        <v>0</v>
      </c>
      <c r="D72" s="166">
        <f t="shared" si="33"/>
        <v>424</v>
      </c>
      <c r="E72" s="166">
        <f t="shared" si="34"/>
        <v>0</v>
      </c>
      <c r="F72" s="166">
        <f t="shared" si="35"/>
        <v>45720</v>
      </c>
      <c r="G72" s="166">
        <f t="shared" si="36"/>
        <v>0</v>
      </c>
      <c r="H72" s="165">
        <f t="shared" si="37"/>
        <v>0</v>
      </c>
      <c r="I72" s="165">
        <f t="shared" si="38"/>
        <v>10.438356164383556</v>
      </c>
      <c r="J72" s="167">
        <f t="shared" si="39"/>
        <v>0</v>
      </c>
      <c r="K72" s="167">
        <f t="shared" si="42"/>
        <v>3.5452054794520556</v>
      </c>
      <c r="L72" s="167">
        <f t="shared" si="40"/>
        <v>1</v>
      </c>
      <c r="M72" s="167">
        <f t="shared" si="41"/>
        <v>0</v>
      </c>
    </row>
    <row r="73" spans="2:13" x14ac:dyDescent="0.4">
      <c r="B73" s="167" t="str">
        <f t="shared" si="32"/>
        <v>Campaign</v>
      </c>
      <c r="C73" s="166">
        <f>IF(B73="campaign", IF(COUNTIF($B$3:$B73,"Campaign")&gt;warmup_campaigns, long_campaign_duration, campaign_duration), 0)</f>
        <v>12</v>
      </c>
      <c r="D73" s="166">
        <f t="shared" si="33"/>
        <v>436</v>
      </c>
      <c r="E73" s="166">
        <f t="shared" si="34"/>
        <v>1294</v>
      </c>
      <c r="F73" s="166">
        <f t="shared" si="35"/>
        <v>47014</v>
      </c>
      <c r="G73" s="166">
        <f t="shared" si="36"/>
        <v>144</v>
      </c>
      <c r="H73" s="165">
        <f t="shared" si="37"/>
        <v>0.29543378995433789</v>
      </c>
      <c r="I73" s="165">
        <f t="shared" si="38"/>
        <v>10.733789954337894</v>
      </c>
      <c r="J73" s="167">
        <f t="shared" si="39"/>
        <v>0.29543378995433789</v>
      </c>
      <c r="K73" s="167">
        <f t="shared" si="42"/>
        <v>3.8406392694063936</v>
      </c>
      <c r="L73" s="167">
        <f t="shared" si="40"/>
        <v>1</v>
      </c>
      <c r="M73" s="167">
        <f t="shared" si="41"/>
        <v>0.29543378995433789</v>
      </c>
    </row>
    <row r="74" spans="2:13" x14ac:dyDescent="0.4">
      <c r="B74" s="167" t="str">
        <f t="shared" si="32"/>
        <v>Minor Maintenance</v>
      </c>
      <c r="C74" s="166">
        <f>IF(B74="campaign", IF(COUNTIF($B$3:$B74,"Campaign")&gt;warmup_campaigns, long_campaign_duration, campaign_duration), 0)</f>
        <v>0</v>
      </c>
      <c r="D74" s="166">
        <f t="shared" si="33"/>
        <v>436</v>
      </c>
      <c r="E74" s="166">
        <f t="shared" si="34"/>
        <v>0</v>
      </c>
      <c r="F74" s="166">
        <f t="shared" si="35"/>
        <v>47014</v>
      </c>
      <c r="G74" s="166">
        <f t="shared" si="36"/>
        <v>0</v>
      </c>
      <c r="H74" s="165">
        <f t="shared" si="37"/>
        <v>0</v>
      </c>
      <c r="I74" s="165">
        <f t="shared" si="38"/>
        <v>10.733789954337894</v>
      </c>
      <c r="J74" s="167">
        <f t="shared" si="39"/>
        <v>0</v>
      </c>
      <c r="K74" s="167">
        <f t="shared" si="42"/>
        <v>3.8406392694063936</v>
      </c>
      <c r="L74" s="167">
        <f t="shared" si="40"/>
        <v>1</v>
      </c>
      <c r="M74" s="167">
        <f t="shared" si="41"/>
        <v>0.29543378995433789</v>
      </c>
    </row>
    <row r="75" spans="2:13" x14ac:dyDescent="0.4">
      <c r="B75" s="167" t="str">
        <f t="shared" si="32"/>
        <v>Campaign</v>
      </c>
      <c r="C75" s="166">
        <f>IF(B75="campaign", IF(COUNTIF($B$3:$B75,"Campaign")&gt;warmup_campaigns, long_campaign_duration, campaign_duration), 0)</f>
        <v>12</v>
      </c>
      <c r="D75" s="166">
        <f t="shared" si="33"/>
        <v>448</v>
      </c>
      <c r="E75" s="166">
        <f t="shared" si="34"/>
        <v>1294</v>
      </c>
      <c r="F75" s="166">
        <f t="shared" si="35"/>
        <v>48308</v>
      </c>
      <c r="G75" s="166">
        <f t="shared" si="36"/>
        <v>144</v>
      </c>
      <c r="H75" s="165">
        <f t="shared" si="37"/>
        <v>0.29543378995433789</v>
      </c>
      <c r="I75" s="165">
        <f t="shared" si="38"/>
        <v>11.029223744292231</v>
      </c>
      <c r="J75" s="167">
        <f t="shared" si="39"/>
        <v>0.29543378995433789</v>
      </c>
      <c r="K75" s="167">
        <f t="shared" si="42"/>
        <v>4.1360730593607311</v>
      </c>
      <c r="L75" s="167">
        <f t="shared" si="40"/>
        <v>1</v>
      </c>
      <c r="M75" s="167">
        <f t="shared" si="41"/>
        <v>0.59086757990867578</v>
      </c>
    </row>
    <row r="76" spans="2:13" x14ac:dyDescent="0.4">
      <c r="B76" s="167" t="str">
        <f t="shared" si="32"/>
        <v>Minor Maintenance</v>
      </c>
      <c r="C76" s="166">
        <f>IF(B76="campaign", IF(COUNTIF($B$3:$B76,"Campaign")&gt;warmup_campaigns, long_campaign_duration, campaign_duration), 0)</f>
        <v>0</v>
      </c>
      <c r="D76" s="166">
        <f t="shared" si="33"/>
        <v>448</v>
      </c>
      <c r="E76" s="166">
        <f t="shared" si="34"/>
        <v>0</v>
      </c>
      <c r="F76" s="166">
        <f t="shared" si="35"/>
        <v>48308</v>
      </c>
      <c r="G76" s="166">
        <f t="shared" si="36"/>
        <v>0</v>
      </c>
      <c r="H76" s="165">
        <f t="shared" si="37"/>
        <v>0</v>
      </c>
      <c r="I76" s="165">
        <f t="shared" si="38"/>
        <v>11.029223744292231</v>
      </c>
      <c r="J76" s="167">
        <f t="shared" si="39"/>
        <v>0</v>
      </c>
      <c r="K76" s="167">
        <f t="shared" si="42"/>
        <v>4.1360730593607311</v>
      </c>
      <c r="L76" s="167">
        <f t="shared" si="40"/>
        <v>1</v>
      </c>
      <c r="M76" s="167">
        <f t="shared" si="41"/>
        <v>0.59086757990867578</v>
      </c>
    </row>
    <row r="77" spans="2:13" x14ac:dyDescent="0.4">
      <c r="B77" s="167" t="str">
        <f t="shared" si="32"/>
        <v>Campaign</v>
      </c>
      <c r="C77" s="166">
        <f>IF(B77="campaign", IF(COUNTIF($B$3:$B77,"Campaign")&gt;warmup_campaigns, long_campaign_duration, campaign_duration), 0)</f>
        <v>12</v>
      </c>
      <c r="D77" s="166">
        <f t="shared" si="33"/>
        <v>460</v>
      </c>
      <c r="E77" s="166">
        <f t="shared" si="34"/>
        <v>1294</v>
      </c>
      <c r="F77" s="166">
        <f t="shared" si="35"/>
        <v>49602</v>
      </c>
      <c r="G77" s="166">
        <f t="shared" si="36"/>
        <v>144</v>
      </c>
      <c r="H77" s="165">
        <f t="shared" si="37"/>
        <v>0.29543378995433789</v>
      </c>
      <c r="I77" s="165">
        <f t="shared" si="38"/>
        <v>11.324657534246569</v>
      </c>
      <c r="J77" s="167">
        <f t="shared" si="39"/>
        <v>0.29543378995433789</v>
      </c>
      <c r="K77" s="167">
        <f t="shared" si="42"/>
        <v>4.4315068493150687</v>
      </c>
      <c r="L77" s="167">
        <f t="shared" si="40"/>
        <v>1</v>
      </c>
      <c r="M77" s="167">
        <f t="shared" si="41"/>
        <v>0.88630136986301367</v>
      </c>
    </row>
    <row r="78" spans="2:13" x14ac:dyDescent="0.4">
      <c r="B78" s="167" t="str">
        <f t="shared" si="32"/>
        <v>Minor Maintenance</v>
      </c>
      <c r="C78" s="166">
        <f>IF(B78="campaign", IF(COUNTIF($B$3:$B78,"Campaign")&gt;warmup_campaigns, long_campaign_duration, campaign_duration), 0)</f>
        <v>0</v>
      </c>
      <c r="D78" s="166">
        <f t="shared" si="33"/>
        <v>460</v>
      </c>
      <c r="E78" s="166">
        <f t="shared" si="34"/>
        <v>0</v>
      </c>
      <c r="F78" s="166">
        <f t="shared" si="35"/>
        <v>49602</v>
      </c>
      <c r="G78" s="166">
        <f t="shared" si="36"/>
        <v>0</v>
      </c>
      <c r="H78" s="165">
        <f t="shared" si="37"/>
        <v>0</v>
      </c>
      <c r="I78" s="165">
        <f t="shared" si="38"/>
        <v>11.324657534246569</v>
      </c>
      <c r="J78" s="167">
        <f t="shared" si="39"/>
        <v>0</v>
      </c>
      <c r="K78" s="167">
        <f t="shared" si="42"/>
        <v>4.4315068493150687</v>
      </c>
      <c r="L78" s="167">
        <f t="shared" si="40"/>
        <v>1</v>
      </c>
      <c r="M78" s="167">
        <f t="shared" si="41"/>
        <v>0.88630136986301367</v>
      </c>
    </row>
    <row r="79" spans="2:13" x14ac:dyDescent="0.4">
      <c r="B79" s="167" t="str">
        <f t="shared" si="32"/>
        <v>Campaign</v>
      </c>
      <c r="C79" s="166">
        <f>IF(B79="campaign", IF(COUNTIF($B$3:$B79,"Campaign")&gt;warmup_campaigns, long_campaign_duration, campaign_duration), 0)</f>
        <v>12</v>
      </c>
      <c r="D79" s="166">
        <f t="shared" si="33"/>
        <v>472</v>
      </c>
      <c r="E79" s="166">
        <f t="shared" si="34"/>
        <v>1294</v>
      </c>
      <c r="F79" s="166">
        <f t="shared" si="35"/>
        <v>50896</v>
      </c>
      <c r="G79" s="166">
        <f t="shared" si="36"/>
        <v>144</v>
      </c>
      <c r="H79" s="165">
        <f t="shared" si="37"/>
        <v>0.29543378995433789</v>
      </c>
      <c r="I79" s="165">
        <f t="shared" si="38"/>
        <v>11.620091324200907</v>
      </c>
      <c r="J79" s="167">
        <f t="shared" si="39"/>
        <v>0.29543378995433789</v>
      </c>
      <c r="K79" s="167">
        <f t="shared" si="42"/>
        <v>4.7269406392694062</v>
      </c>
      <c r="L79" s="167">
        <f t="shared" si="40"/>
        <v>1</v>
      </c>
      <c r="M79" s="167">
        <f t="shared" si="41"/>
        <v>1.1817351598173516</v>
      </c>
    </row>
    <row r="80" spans="2:13" x14ac:dyDescent="0.4">
      <c r="B80" s="167" t="str">
        <f t="shared" si="32"/>
        <v>Minor Maintenance</v>
      </c>
      <c r="C80" s="166">
        <f>IF(B80="campaign", IF(COUNTIF($B$3:$B80,"Campaign")&gt;warmup_campaigns, long_campaign_duration, campaign_duration), 0)</f>
        <v>0</v>
      </c>
      <c r="D80" s="166">
        <f t="shared" si="33"/>
        <v>472</v>
      </c>
      <c r="E80" s="166">
        <f t="shared" si="34"/>
        <v>0</v>
      </c>
      <c r="F80" s="166">
        <f t="shared" si="35"/>
        <v>50896</v>
      </c>
      <c r="G80" s="166">
        <f t="shared" si="36"/>
        <v>0</v>
      </c>
      <c r="H80" s="165">
        <f t="shared" si="37"/>
        <v>0</v>
      </c>
      <c r="I80" s="165">
        <f t="shared" si="38"/>
        <v>11.620091324200907</v>
      </c>
      <c r="J80" s="167">
        <f t="shared" si="39"/>
        <v>0</v>
      </c>
      <c r="K80" s="167">
        <f t="shared" si="42"/>
        <v>4.7269406392694062</v>
      </c>
      <c r="L80" s="167">
        <f t="shared" si="40"/>
        <v>1</v>
      </c>
      <c r="M80" s="167">
        <f t="shared" si="41"/>
        <v>1.1817351598173516</v>
      </c>
    </row>
    <row r="81" spans="2:13" x14ac:dyDescent="0.4">
      <c r="B81" s="167" t="str">
        <f t="shared" si="32"/>
        <v>Campaign</v>
      </c>
      <c r="C81" s="166">
        <f>IF(B81="campaign", IF(COUNTIF($B$3:$B81,"Campaign")&gt;warmup_campaigns, long_campaign_duration, campaign_duration), 0)</f>
        <v>12</v>
      </c>
      <c r="D81" s="166">
        <f t="shared" si="33"/>
        <v>484</v>
      </c>
      <c r="E81" s="166">
        <f t="shared" si="34"/>
        <v>1294</v>
      </c>
      <c r="F81" s="166">
        <f t="shared" si="35"/>
        <v>52190</v>
      </c>
      <c r="G81" s="166">
        <f t="shared" si="36"/>
        <v>144</v>
      </c>
      <c r="H81" s="165">
        <f t="shared" si="37"/>
        <v>0.29543378995433789</v>
      </c>
      <c r="I81" s="165">
        <f t="shared" si="38"/>
        <v>11.915525114155244</v>
      </c>
      <c r="J81" s="167">
        <f t="shared" si="39"/>
        <v>0.29543378995433789</v>
      </c>
      <c r="K81" s="167">
        <f t="shared" si="42"/>
        <v>5.0223744292237438</v>
      </c>
      <c r="L81" s="167">
        <f t="shared" si="40"/>
        <v>1</v>
      </c>
      <c r="M81" s="167">
        <f t="shared" si="41"/>
        <v>1.4771689497716896</v>
      </c>
    </row>
    <row r="82" spans="2:13" x14ac:dyDescent="0.4">
      <c r="B82" s="167" t="str">
        <f t="shared" si="32"/>
        <v>Blanket Maintenance</v>
      </c>
      <c r="C82" s="166">
        <f>IF(B82="campaign", IF(COUNTIF($B$3:$B82,"Campaign")&gt;warmup_campaigns, long_campaign_duration, campaign_duration), 0)</f>
        <v>0</v>
      </c>
      <c r="D82" s="166">
        <f t="shared" si="33"/>
        <v>484</v>
      </c>
      <c r="E82" s="166">
        <f t="shared" si="34"/>
        <v>0</v>
      </c>
      <c r="F82" s="166">
        <f t="shared" si="35"/>
        <v>52190</v>
      </c>
      <c r="G82" s="166">
        <f t="shared" si="36"/>
        <v>0</v>
      </c>
      <c r="H82" s="165">
        <f t="shared" si="37"/>
        <v>0</v>
      </c>
      <c r="I82" s="165">
        <f t="shared" si="38"/>
        <v>11.915525114155244</v>
      </c>
      <c r="J82" s="167">
        <f t="shared" si="39"/>
        <v>0</v>
      </c>
      <c r="K82" s="167">
        <f t="shared" si="42"/>
        <v>0</v>
      </c>
      <c r="L82" s="167">
        <f t="shared" si="40"/>
        <v>1</v>
      </c>
      <c r="M82" s="167">
        <f t="shared" si="41"/>
        <v>0</v>
      </c>
    </row>
    <row r="83" spans="2:13" x14ac:dyDescent="0.4">
      <c r="B83" s="167" t="str">
        <f t="shared" si="32"/>
        <v>Campaign</v>
      </c>
      <c r="C83" s="166">
        <f>IF(B83="campaign", IF(COUNTIF($B$3:$B83,"Campaign")&gt;warmup_campaigns, long_campaign_duration, campaign_duration), 0)</f>
        <v>12</v>
      </c>
      <c r="D83" s="166">
        <f t="shared" si="33"/>
        <v>496</v>
      </c>
      <c r="E83" s="166">
        <f t="shared" si="34"/>
        <v>1294</v>
      </c>
      <c r="F83" s="166">
        <f t="shared" si="35"/>
        <v>53484</v>
      </c>
      <c r="G83" s="166">
        <f t="shared" si="36"/>
        <v>144</v>
      </c>
      <c r="H83" s="165">
        <f t="shared" si="37"/>
        <v>0.29543378995433789</v>
      </c>
      <c r="I83" s="165">
        <f t="shared" si="38"/>
        <v>12.210958904109582</v>
      </c>
      <c r="J83" s="167">
        <f t="shared" si="39"/>
        <v>0.29543378995433789</v>
      </c>
      <c r="K83" s="167">
        <f t="shared" si="42"/>
        <v>0.29543378995433789</v>
      </c>
      <c r="L83" s="167">
        <f t="shared" si="40"/>
        <v>1</v>
      </c>
      <c r="M83" s="167">
        <f t="shared" si="41"/>
        <v>0.29543378995433789</v>
      </c>
    </row>
    <row r="84" spans="2:13" x14ac:dyDescent="0.4">
      <c r="B84" s="167" t="str">
        <f t="shared" si="32"/>
        <v>Minor Maintenance</v>
      </c>
      <c r="C84" s="166">
        <f>IF(B84="campaign", IF(COUNTIF($B$3:$B84,"Campaign")&gt;warmup_campaigns, long_campaign_duration, campaign_duration), 0)</f>
        <v>0</v>
      </c>
      <c r="D84" s="166">
        <f t="shared" si="33"/>
        <v>496</v>
      </c>
      <c r="E84" s="166">
        <f t="shared" si="34"/>
        <v>0</v>
      </c>
      <c r="F84" s="166">
        <f t="shared" si="35"/>
        <v>53484</v>
      </c>
      <c r="G84" s="166">
        <f t="shared" si="36"/>
        <v>0</v>
      </c>
      <c r="H84" s="165">
        <f t="shared" si="37"/>
        <v>0</v>
      </c>
      <c r="I84" s="165">
        <f t="shared" si="38"/>
        <v>12.210958904109582</v>
      </c>
      <c r="J84" s="167">
        <f t="shared" si="39"/>
        <v>0</v>
      </c>
      <c r="K84" s="167">
        <f t="shared" si="42"/>
        <v>0.29543378995433789</v>
      </c>
      <c r="L84" s="167">
        <f t="shared" si="40"/>
        <v>1</v>
      </c>
      <c r="M84" s="167">
        <f t="shared" si="41"/>
        <v>0.29543378995433789</v>
      </c>
    </row>
    <row r="85" spans="2:13" x14ac:dyDescent="0.4">
      <c r="B85" s="167" t="str">
        <f t="shared" si="32"/>
        <v>Campaign</v>
      </c>
      <c r="C85" s="166">
        <f>IF(B85="campaign", IF(COUNTIF($B$3:$B85,"Campaign")&gt;warmup_campaigns, long_campaign_duration, campaign_duration), 0)</f>
        <v>12</v>
      </c>
      <c r="D85" s="166">
        <f t="shared" si="33"/>
        <v>508</v>
      </c>
      <c r="E85" s="166">
        <f t="shared" si="34"/>
        <v>1294</v>
      </c>
      <c r="F85" s="166">
        <f t="shared" si="35"/>
        <v>54778</v>
      </c>
      <c r="G85" s="166">
        <f t="shared" si="36"/>
        <v>144</v>
      </c>
      <c r="H85" s="165">
        <f t="shared" si="37"/>
        <v>0.29543378995433789</v>
      </c>
      <c r="I85" s="165">
        <f t="shared" si="38"/>
        <v>12.506392694063919</v>
      </c>
      <c r="J85" s="167">
        <f t="shared" si="39"/>
        <v>0.29543378995433789</v>
      </c>
      <c r="K85" s="167">
        <f t="shared" si="42"/>
        <v>0.59086757990867578</v>
      </c>
      <c r="L85" s="167">
        <f t="shared" si="40"/>
        <v>1</v>
      </c>
      <c r="M85" s="167">
        <f t="shared" si="41"/>
        <v>0.59086757990867578</v>
      </c>
    </row>
    <row r="86" spans="2:13" x14ac:dyDescent="0.4">
      <c r="B86" s="167" t="str">
        <f t="shared" si="32"/>
        <v>Minor Maintenance</v>
      </c>
      <c r="C86" s="166">
        <f>IF(B86="campaign", IF(COUNTIF($B$3:$B86,"Campaign")&gt;warmup_campaigns, long_campaign_duration, campaign_duration), 0)</f>
        <v>0</v>
      </c>
      <c r="D86" s="166">
        <f t="shared" si="33"/>
        <v>508</v>
      </c>
      <c r="E86" s="166">
        <f t="shared" si="34"/>
        <v>0</v>
      </c>
      <c r="F86" s="166">
        <f t="shared" si="35"/>
        <v>54778</v>
      </c>
      <c r="G86" s="166">
        <f t="shared" si="36"/>
        <v>0</v>
      </c>
      <c r="H86" s="165">
        <f t="shared" si="37"/>
        <v>0</v>
      </c>
      <c r="I86" s="165">
        <f t="shared" si="38"/>
        <v>12.506392694063919</v>
      </c>
      <c r="J86" s="167">
        <f t="shared" si="39"/>
        <v>0</v>
      </c>
      <c r="K86" s="167">
        <f t="shared" si="42"/>
        <v>0.59086757990867578</v>
      </c>
      <c r="L86" s="167">
        <f t="shared" si="40"/>
        <v>1</v>
      </c>
      <c r="M86" s="167">
        <f t="shared" si="41"/>
        <v>0.59086757990867578</v>
      </c>
    </row>
    <row r="87" spans="2:13" x14ac:dyDescent="0.4">
      <c r="B87" s="167" t="str">
        <f t="shared" si="32"/>
        <v>Campaign</v>
      </c>
      <c r="C87" s="166">
        <f>IF(B87="campaign", IF(COUNTIF($B$3:$B87,"Campaign")&gt;warmup_campaigns, long_campaign_duration, campaign_duration), 0)</f>
        <v>12</v>
      </c>
      <c r="D87" s="166">
        <f t="shared" si="33"/>
        <v>520</v>
      </c>
      <c r="E87" s="166">
        <f t="shared" si="34"/>
        <v>1294</v>
      </c>
      <c r="F87" s="166">
        <f t="shared" si="35"/>
        <v>56072</v>
      </c>
      <c r="G87" s="166">
        <f t="shared" si="36"/>
        <v>144</v>
      </c>
      <c r="H87" s="165">
        <f t="shared" si="37"/>
        <v>0.29543378995433789</v>
      </c>
      <c r="I87" s="165">
        <f t="shared" si="38"/>
        <v>12.801826484018257</v>
      </c>
      <c r="J87" s="167">
        <f t="shared" si="39"/>
        <v>0.29543378995433789</v>
      </c>
      <c r="K87" s="167">
        <f t="shared" si="42"/>
        <v>0.88630136986301367</v>
      </c>
      <c r="L87" s="167">
        <f t="shared" si="40"/>
        <v>1</v>
      </c>
      <c r="M87" s="167">
        <f t="shared" si="41"/>
        <v>0.88630136986301367</v>
      </c>
    </row>
    <row r="88" spans="2:13" x14ac:dyDescent="0.4">
      <c r="B88" s="167" t="str">
        <f t="shared" si="32"/>
        <v>Minor Maintenance</v>
      </c>
      <c r="C88" s="166">
        <f>IF(B88="campaign", IF(COUNTIF($B$3:$B88,"Campaign")&gt;warmup_campaigns, long_campaign_duration, campaign_duration), 0)</f>
        <v>0</v>
      </c>
      <c r="D88" s="166">
        <f t="shared" si="33"/>
        <v>520</v>
      </c>
      <c r="E88" s="166">
        <f t="shared" si="34"/>
        <v>0</v>
      </c>
      <c r="F88" s="166">
        <f t="shared" si="35"/>
        <v>56072</v>
      </c>
      <c r="G88" s="166">
        <f t="shared" si="36"/>
        <v>0</v>
      </c>
      <c r="H88" s="165">
        <f t="shared" si="37"/>
        <v>0</v>
      </c>
      <c r="I88" s="165">
        <f t="shared" si="38"/>
        <v>12.801826484018257</v>
      </c>
      <c r="J88" s="167">
        <f t="shared" si="39"/>
        <v>0</v>
      </c>
      <c r="K88" s="167">
        <f t="shared" si="42"/>
        <v>0.88630136986301367</v>
      </c>
      <c r="L88" s="167">
        <f t="shared" si="40"/>
        <v>1</v>
      </c>
      <c r="M88" s="167">
        <f t="shared" si="41"/>
        <v>0.88630136986301367</v>
      </c>
    </row>
    <row r="89" spans="2:13" x14ac:dyDescent="0.4">
      <c r="B89" s="167" t="str">
        <f t="shared" si="32"/>
        <v>Campaign</v>
      </c>
      <c r="C89" s="166">
        <f>IF(B89="campaign", IF(COUNTIF($B$3:$B89,"Campaign")&gt;warmup_campaigns, long_campaign_duration, campaign_duration), 0)</f>
        <v>12</v>
      </c>
      <c r="D89" s="166">
        <f t="shared" si="33"/>
        <v>532</v>
      </c>
      <c r="E89" s="166">
        <f t="shared" si="34"/>
        <v>1294</v>
      </c>
      <c r="F89" s="166">
        <f t="shared" si="35"/>
        <v>57366</v>
      </c>
      <c r="G89" s="166">
        <f t="shared" si="36"/>
        <v>144</v>
      </c>
      <c r="H89" s="165">
        <f t="shared" si="37"/>
        <v>0.29543378995433789</v>
      </c>
      <c r="I89" s="165">
        <f t="shared" si="38"/>
        <v>13.097260273972594</v>
      </c>
      <c r="J89" s="167">
        <f t="shared" si="39"/>
        <v>0.29543378995433789</v>
      </c>
      <c r="K89" s="167">
        <f t="shared" si="42"/>
        <v>1.1817351598173516</v>
      </c>
      <c r="L89" s="167">
        <f t="shared" si="40"/>
        <v>1</v>
      </c>
      <c r="M89" s="167">
        <f t="shared" si="41"/>
        <v>1.1817351598173516</v>
      </c>
    </row>
    <row r="90" spans="2:13" x14ac:dyDescent="0.4">
      <c r="B90" s="167" t="str">
        <f t="shared" si="32"/>
        <v>Minor Maintenance</v>
      </c>
      <c r="C90" s="166">
        <f>IF(B90="campaign", IF(COUNTIF($B$3:$B90,"Campaign")&gt;warmup_campaigns, long_campaign_duration, campaign_duration), 0)</f>
        <v>0</v>
      </c>
      <c r="D90" s="166">
        <f t="shared" si="33"/>
        <v>532</v>
      </c>
      <c r="E90" s="166">
        <f t="shared" si="34"/>
        <v>0</v>
      </c>
      <c r="F90" s="166">
        <f t="shared" si="35"/>
        <v>57366</v>
      </c>
      <c r="G90" s="166">
        <f t="shared" si="36"/>
        <v>0</v>
      </c>
      <c r="H90" s="165">
        <f t="shared" si="37"/>
        <v>0</v>
      </c>
      <c r="I90" s="165">
        <f t="shared" si="38"/>
        <v>13.097260273972594</v>
      </c>
      <c r="J90" s="167">
        <f t="shared" si="39"/>
        <v>0</v>
      </c>
      <c r="K90" s="167">
        <f t="shared" si="42"/>
        <v>1.1817351598173516</v>
      </c>
      <c r="L90" s="167">
        <f t="shared" si="40"/>
        <v>1</v>
      </c>
      <c r="M90" s="167">
        <f t="shared" si="41"/>
        <v>1.1817351598173516</v>
      </c>
    </row>
    <row r="91" spans="2:13" x14ac:dyDescent="0.4">
      <c r="B91" s="167" t="str">
        <f t="shared" si="32"/>
        <v>Campaign</v>
      </c>
      <c r="C91" s="166">
        <f>IF(B91="campaign", IF(COUNTIF($B$3:$B91,"Campaign")&gt;warmup_campaigns, long_campaign_duration, campaign_duration), 0)</f>
        <v>12</v>
      </c>
      <c r="D91" s="166">
        <f t="shared" si="33"/>
        <v>544</v>
      </c>
      <c r="E91" s="166">
        <f t="shared" si="34"/>
        <v>1294</v>
      </c>
      <c r="F91" s="166">
        <f t="shared" si="35"/>
        <v>58660</v>
      </c>
      <c r="G91" s="166">
        <f t="shared" si="36"/>
        <v>144</v>
      </c>
      <c r="H91" s="165">
        <f t="shared" si="37"/>
        <v>0.29543378995433789</v>
      </c>
      <c r="I91" s="165">
        <f t="shared" si="38"/>
        <v>13.392694063926932</v>
      </c>
      <c r="J91" s="167">
        <f t="shared" si="39"/>
        <v>0.29543378995433789</v>
      </c>
      <c r="K91" s="167">
        <f t="shared" si="42"/>
        <v>1.4771689497716896</v>
      </c>
      <c r="L91" s="167">
        <f t="shared" si="40"/>
        <v>1</v>
      </c>
      <c r="M91" s="167">
        <f t="shared" si="41"/>
        <v>1.4771689497716896</v>
      </c>
    </row>
    <row r="92" spans="2:13" x14ac:dyDescent="0.4">
      <c r="B92" s="167" t="str">
        <f t="shared" si="32"/>
        <v>Minor Maintenance</v>
      </c>
      <c r="C92" s="166">
        <f>IF(B92="campaign", IF(COUNTIF($B$3:$B92,"Campaign")&gt;warmup_campaigns, long_campaign_duration, campaign_duration), 0)</f>
        <v>0</v>
      </c>
      <c r="D92" s="166">
        <f t="shared" si="33"/>
        <v>544</v>
      </c>
      <c r="E92" s="166">
        <f t="shared" si="34"/>
        <v>0</v>
      </c>
      <c r="F92" s="166">
        <f t="shared" si="35"/>
        <v>58660</v>
      </c>
      <c r="G92" s="166">
        <f t="shared" si="36"/>
        <v>0</v>
      </c>
      <c r="H92" s="165">
        <f t="shared" si="37"/>
        <v>0</v>
      </c>
      <c r="I92" s="165">
        <f t="shared" si="38"/>
        <v>13.392694063926932</v>
      </c>
      <c r="J92" s="167">
        <f t="shared" si="39"/>
        <v>0</v>
      </c>
      <c r="K92" s="167">
        <f t="shared" si="42"/>
        <v>1.4771689497716896</v>
      </c>
      <c r="L92" s="167">
        <f t="shared" si="40"/>
        <v>1</v>
      </c>
      <c r="M92" s="167">
        <f t="shared" si="41"/>
        <v>1.4771689497716896</v>
      </c>
    </row>
    <row r="93" spans="2:13" x14ac:dyDescent="0.4">
      <c r="B93" s="167" t="str">
        <f t="shared" si="32"/>
        <v>Campaign</v>
      </c>
      <c r="C93" s="166">
        <f>IF(B93="campaign", IF(COUNTIF($B$3:$B93,"Campaign")&gt;warmup_campaigns, long_campaign_duration, campaign_duration), 0)</f>
        <v>12</v>
      </c>
      <c r="D93" s="166">
        <f t="shared" si="33"/>
        <v>556</v>
      </c>
      <c r="E93" s="166">
        <f t="shared" si="34"/>
        <v>1294</v>
      </c>
      <c r="F93" s="166">
        <f t="shared" si="35"/>
        <v>59954</v>
      </c>
      <c r="G93" s="166">
        <f t="shared" si="36"/>
        <v>144</v>
      </c>
      <c r="H93" s="165">
        <f t="shared" si="37"/>
        <v>0.29543378995433789</v>
      </c>
      <c r="I93" s="165">
        <f t="shared" si="38"/>
        <v>13.688127853881269</v>
      </c>
      <c r="J93" s="167">
        <f t="shared" si="39"/>
        <v>0.29543378995433789</v>
      </c>
      <c r="K93" s="167">
        <f t="shared" si="42"/>
        <v>1.7726027397260276</v>
      </c>
      <c r="L93" s="167">
        <f t="shared" si="40"/>
        <v>1</v>
      </c>
      <c r="M93" s="167">
        <f t="shared" si="41"/>
        <v>1.7726027397260276</v>
      </c>
    </row>
    <row r="94" spans="2:13" x14ac:dyDescent="0.4">
      <c r="B94" s="167" t="str">
        <f t="shared" si="32"/>
        <v>Divertor Maintenance</v>
      </c>
      <c r="C94" s="166">
        <f>IF(B94="campaign", IF(COUNTIF($B$3:$B94,"Campaign")&gt;warmup_campaigns, long_campaign_duration, campaign_duration), 0)</f>
        <v>0</v>
      </c>
      <c r="D94" s="166">
        <f t="shared" si="33"/>
        <v>556</v>
      </c>
      <c r="E94" s="166">
        <f t="shared" si="34"/>
        <v>0</v>
      </c>
      <c r="F94" s="166">
        <f t="shared" si="35"/>
        <v>59954</v>
      </c>
      <c r="G94" s="166">
        <f t="shared" si="36"/>
        <v>0</v>
      </c>
      <c r="H94" s="165">
        <f t="shared" si="37"/>
        <v>0</v>
      </c>
      <c r="I94" s="165">
        <f t="shared" si="38"/>
        <v>13.688127853881269</v>
      </c>
      <c r="J94" s="167">
        <f t="shared" si="39"/>
        <v>0</v>
      </c>
      <c r="K94" s="167">
        <f t="shared" si="42"/>
        <v>1.7726027397260276</v>
      </c>
      <c r="L94" s="167">
        <f t="shared" si="40"/>
        <v>1</v>
      </c>
      <c r="M94" s="167">
        <f t="shared" si="41"/>
        <v>0</v>
      </c>
    </row>
    <row r="95" spans="2:13" x14ac:dyDescent="0.4">
      <c r="B95" s="167" t="str">
        <f t="shared" si="32"/>
        <v>Campaign</v>
      </c>
      <c r="C95" s="166">
        <f>IF(B95="campaign", IF(COUNTIF($B$3:$B95,"Campaign")&gt;warmup_campaigns, long_campaign_duration, campaign_duration), 0)</f>
        <v>12</v>
      </c>
      <c r="D95" s="166">
        <f t="shared" si="33"/>
        <v>568</v>
      </c>
      <c r="E95" s="166">
        <f t="shared" si="34"/>
        <v>1294</v>
      </c>
      <c r="F95" s="166">
        <f t="shared" si="35"/>
        <v>61248</v>
      </c>
      <c r="G95" s="166">
        <f t="shared" si="36"/>
        <v>144</v>
      </c>
      <c r="H95" s="165">
        <f t="shared" si="37"/>
        <v>0.29543378995433789</v>
      </c>
      <c r="I95" s="165">
        <f t="shared" si="38"/>
        <v>13.983561643835607</v>
      </c>
      <c r="J95" s="167">
        <f t="shared" si="39"/>
        <v>0.29543378995433789</v>
      </c>
      <c r="K95" s="167">
        <f t="shared" si="42"/>
        <v>2.0680365296803656</v>
      </c>
      <c r="L95" s="167">
        <f t="shared" si="40"/>
        <v>1</v>
      </c>
      <c r="M95" s="167">
        <f t="shared" si="41"/>
        <v>0.29543378995433789</v>
      </c>
    </row>
    <row r="96" spans="2:13" x14ac:dyDescent="0.4">
      <c r="B96" s="167" t="str">
        <f t="shared" si="32"/>
        <v>Minor Maintenance</v>
      </c>
      <c r="C96" s="166">
        <f>IF(B96="campaign", IF(COUNTIF($B$3:$B96,"Campaign")&gt;warmup_campaigns, long_campaign_duration, campaign_duration), 0)</f>
        <v>0</v>
      </c>
      <c r="D96" s="166">
        <f t="shared" si="33"/>
        <v>568</v>
      </c>
      <c r="E96" s="166">
        <f t="shared" si="34"/>
        <v>0</v>
      </c>
      <c r="F96" s="166">
        <f t="shared" si="35"/>
        <v>61248</v>
      </c>
      <c r="G96" s="166">
        <f t="shared" si="36"/>
        <v>0</v>
      </c>
      <c r="H96" s="165">
        <f t="shared" si="37"/>
        <v>0</v>
      </c>
      <c r="I96" s="165">
        <f t="shared" si="38"/>
        <v>13.983561643835607</v>
      </c>
      <c r="J96" s="167">
        <f t="shared" si="39"/>
        <v>0</v>
      </c>
      <c r="K96" s="167">
        <f t="shared" si="42"/>
        <v>2.0680365296803656</v>
      </c>
      <c r="L96" s="167">
        <f t="shared" si="40"/>
        <v>1</v>
      </c>
      <c r="M96" s="167">
        <f t="shared" si="41"/>
        <v>0.29543378995433789</v>
      </c>
    </row>
    <row r="97" spans="2:13" x14ac:dyDescent="0.4">
      <c r="B97" s="167" t="str">
        <f t="shared" si="32"/>
        <v>Campaign</v>
      </c>
      <c r="C97" s="166">
        <f>IF(B97="campaign", IF(COUNTIF($B$3:$B97,"Campaign")&gt;warmup_campaigns, long_campaign_duration, campaign_duration), 0)</f>
        <v>12</v>
      </c>
      <c r="D97" s="166">
        <f t="shared" si="33"/>
        <v>580</v>
      </c>
      <c r="E97" s="166">
        <f t="shared" si="34"/>
        <v>1294</v>
      </c>
      <c r="F97" s="166">
        <f t="shared" si="35"/>
        <v>62542</v>
      </c>
      <c r="G97" s="166">
        <f t="shared" si="36"/>
        <v>144</v>
      </c>
      <c r="H97" s="165">
        <f t="shared" si="37"/>
        <v>0.29543378995433789</v>
      </c>
      <c r="I97" s="165">
        <f t="shared" si="38"/>
        <v>14.278995433789945</v>
      </c>
      <c r="J97" s="167">
        <f t="shared" si="39"/>
        <v>0.29543378995433789</v>
      </c>
      <c r="K97" s="167">
        <f t="shared" si="42"/>
        <v>2.3634703196347036</v>
      </c>
      <c r="L97" s="167">
        <f t="shared" si="40"/>
        <v>1</v>
      </c>
      <c r="M97" s="167">
        <f t="shared" si="41"/>
        <v>0.59086757990867578</v>
      </c>
    </row>
    <row r="98" spans="2:13" x14ac:dyDescent="0.4">
      <c r="B98" s="167" t="str">
        <f t="shared" si="32"/>
        <v>Minor Maintenance</v>
      </c>
      <c r="C98" s="166">
        <f>IF(B98="campaign", IF(COUNTIF($B$3:$B98,"Campaign")&gt;warmup_campaigns, long_campaign_duration, campaign_duration), 0)</f>
        <v>0</v>
      </c>
      <c r="D98" s="166">
        <f t="shared" si="33"/>
        <v>580</v>
      </c>
      <c r="E98" s="166">
        <f t="shared" si="34"/>
        <v>0</v>
      </c>
      <c r="F98" s="166">
        <f t="shared" si="35"/>
        <v>62542</v>
      </c>
      <c r="G98" s="166">
        <f t="shared" si="36"/>
        <v>0</v>
      </c>
      <c r="H98" s="165">
        <f t="shared" si="37"/>
        <v>0</v>
      </c>
      <c r="I98" s="165">
        <f t="shared" si="38"/>
        <v>14.278995433789945</v>
      </c>
      <c r="J98" s="167">
        <f t="shared" si="39"/>
        <v>0</v>
      </c>
      <c r="K98" s="167">
        <f t="shared" si="42"/>
        <v>2.3634703196347036</v>
      </c>
      <c r="L98" s="167">
        <f t="shared" si="40"/>
        <v>1</v>
      </c>
      <c r="M98" s="167">
        <f t="shared" si="41"/>
        <v>0.59086757990867578</v>
      </c>
    </row>
    <row r="99" spans="2:13" x14ac:dyDescent="0.4">
      <c r="B99" s="167" t="str">
        <f t="shared" ref="B99:B130" si="43">IF(B98&lt;&gt;"Campaign","Campaign",IF(AND((ROUND(K98,3)+campaign_fpy)&gt;=starter_blanket_lifetime,L98=0),"Blanket Maintenance",IF(AND((ROUND(K98,3)+campaign_fpy)&gt;=second_blanket_lifetime,L98=1),"Blanket Maintenance",IF((ROUND(M98,3)+campaign_fpy)&gt;=divertor_cassette_lifetime,"Divertor Maintenance",IF((ROUNDUP(J98,3)+campaign_fpy)&gt;=ROUNDUP(minor_maintenance_intervals,3),"Minor Maintenance","Campaign")))))</f>
        <v>Campaign</v>
      </c>
      <c r="C99" s="166">
        <f>IF(B99="campaign", IF(COUNTIF($B$3:$B99,"Campaign")&gt;warmup_campaigns, long_campaign_duration, campaign_duration), 0)</f>
        <v>12</v>
      </c>
      <c r="D99" s="166">
        <f t="shared" ref="D99:D130" si="44">IFERROR(C99+D98, C99)</f>
        <v>592</v>
      </c>
      <c r="E99" s="166">
        <f t="shared" ref="E99:E130" si="45">ROUNDDOWN((C99*( (sequence_duration-interim_maintenace_period)*Pulse_per_day)),0)</f>
        <v>1294</v>
      </c>
      <c r="F99" s="166">
        <f t="shared" ref="F99:F130" si="46">IFERROR(E99+F98,E99)</f>
        <v>63836</v>
      </c>
      <c r="G99" s="166">
        <f t="shared" ref="G99:G130" si="47">IF($B99="campaign", C99*(sequence_duration*(power_generation_period/sequence_duration)), 0)</f>
        <v>144</v>
      </c>
      <c r="H99" s="165">
        <f t="shared" ref="H99:H130" si="48">(E99*pulse_time/(365*24))</f>
        <v>0.29543378995433789</v>
      </c>
      <c r="I99" s="165">
        <f t="shared" ref="I99:I130" si="49">IF($B99="Campaign", IFERROR(H99+I98, H99), I98)</f>
        <v>14.574429223744282</v>
      </c>
      <c r="J99" s="167">
        <f t="shared" ref="J99:J130" si="50">IF(B99&lt;&gt;"Campaign",0,(IFERROR(H99+J98,H99)))</f>
        <v>0.29543378995433789</v>
      </c>
      <c r="K99" s="167">
        <f t="shared" si="42"/>
        <v>2.6589041095890416</v>
      </c>
      <c r="L99" s="167">
        <f t="shared" ref="L99:L130" si="51">IFERROR(IF(COUNTIF(B99,"Blanket Maintenance")+L98&gt;0, 1, 0),0)</f>
        <v>1</v>
      </c>
      <c r="M99" s="167">
        <f t="shared" ref="M99:M130" si="52">IF(OR($B99="Divertor Maintenance", $B99="Blanket Maintenance"),0,IFERROR($H99+M98,$H99))</f>
        <v>0.88630136986301367</v>
      </c>
    </row>
    <row r="100" spans="2:13" x14ac:dyDescent="0.4">
      <c r="B100" s="167" t="str">
        <f t="shared" si="43"/>
        <v>Minor Maintenance</v>
      </c>
      <c r="C100" s="166">
        <f>IF(B100="campaign", IF(COUNTIF($B$3:$B100,"Campaign")&gt;warmup_campaigns, long_campaign_duration, campaign_duration), 0)</f>
        <v>0</v>
      </c>
      <c r="D100" s="166">
        <f t="shared" si="44"/>
        <v>592</v>
      </c>
      <c r="E100" s="166">
        <f t="shared" si="45"/>
        <v>0</v>
      </c>
      <c r="F100" s="166">
        <f t="shared" si="46"/>
        <v>63836</v>
      </c>
      <c r="G100" s="166">
        <f t="shared" si="47"/>
        <v>0</v>
      </c>
      <c r="H100" s="165">
        <f t="shared" si="48"/>
        <v>0</v>
      </c>
      <c r="I100" s="165">
        <f t="shared" si="49"/>
        <v>14.574429223744282</v>
      </c>
      <c r="J100" s="167">
        <f t="shared" si="50"/>
        <v>0</v>
      </c>
      <c r="K100" s="167">
        <f t="shared" si="42"/>
        <v>2.6589041095890416</v>
      </c>
      <c r="L100" s="167">
        <f t="shared" si="51"/>
        <v>1</v>
      </c>
      <c r="M100" s="167">
        <f t="shared" si="52"/>
        <v>0.88630136986301367</v>
      </c>
    </row>
    <row r="101" spans="2:13" x14ac:dyDescent="0.4">
      <c r="B101" s="167" t="str">
        <f t="shared" si="43"/>
        <v>Campaign</v>
      </c>
      <c r="C101" s="166">
        <f>IF(B101="campaign", IF(COUNTIF($B$3:$B101,"Campaign")&gt;warmup_campaigns, long_campaign_duration, campaign_duration), 0)</f>
        <v>12</v>
      </c>
      <c r="D101" s="166">
        <f t="shared" si="44"/>
        <v>604</v>
      </c>
      <c r="E101" s="166">
        <f t="shared" si="45"/>
        <v>1294</v>
      </c>
      <c r="F101" s="166">
        <f t="shared" si="46"/>
        <v>65130</v>
      </c>
      <c r="G101" s="166">
        <f t="shared" si="47"/>
        <v>144</v>
      </c>
      <c r="H101" s="165">
        <f t="shared" si="48"/>
        <v>0.29543378995433789</v>
      </c>
      <c r="I101" s="165">
        <f t="shared" si="49"/>
        <v>14.86986301369862</v>
      </c>
      <c r="J101" s="167">
        <f t="shared" si="50"/>
        <v>0.29543378995433789</v>
      </c>
      <c r="K101" s="167">
        <f t="shared" ref="K101:K132" si="53">IF(B101="Blanket Maintenance",0,IFERROR(H101+K100,H101))</f>
        <v>2.9543378995433796</v>
      </c>
      <c r="L101" s="167">
        <f t="shared" si="51"/>
        <v>1</v>
      </c>
      <c r="M101" s="167">
        <f t="shared" si="52"/>
        <v>1.1817351598173516</v>
      </c>
    </row>
    <row r="102" spans="2:13" x14ac:dyDescent="0.4">
      <c r="B102" s="167" t="str">
        <f t="shared" si="43"/>
        <v>Minor Maintenance</v>
      </c>
      <c r="C102" s="166">
        <f>IF(B102="campaign", IF(COUNTIF($B$3:$B102,"Campaign")&gt;warmup_campaigns, long_campaign_duration, campaign_duration), 0)</f>
        <v>0</v>
      </c>
      <c r="D102" s="166">
        <f t="shared" si="44"/>
        <v>604</v>
      </c>
      <c r="E102" s="166">
        <f t="shared" si="45"/>
        <v>0</v>
      </c>
      <c r="F102" s="166">
        <f t="shared" si="46"/>
        <v>65130</v>
      </c>
      <c r="G102" s="166">
        <f t="shared" si="47"/>
        <v>0</v>
      </c>
      <c r="H102" s="165">
        <f t="shared" si="48"/>
        <v>0</v>
      </c>
      <c r="I102" s="165">
        <f t="shared" si="49"/>
        <v>14.86986301369862</v>
      </c>
      <c r="J102" s="167">
        <f t="shared" si="50"/>
        <v>0</v>
      </c>
      <c r="K102" s="167">
        <f t="shared" si="53"/>
        <v>2.9543378995433796</v>
      </c>
      <c r="L102" s="167">
        <f t="shared" si="51"/>
        <v>1</v>
      </c>
      <c r="M102" s="167">
        <f t="shared" si="52"/>
        <v>1.1817351598173516</v>
      </c>
    </row>
    <row r="103" spans="2:13" x14ac:dyDescent="0.4">
      <c r="B103" s="167" t="str">
        <f t="shared" si="43"/>
        <v>Campaign</v>
      </c>
      <c r="C103" s="166">
        <f>IF(B103="campaign", IF(COUNTIF($B$3:$B103,"Campaign")&gt;warmup_campaigns, long_campaign_duration, campaign_duration), 0)</f>
        <v>12</v>
      </c>
      <c r="D103" s="166">
        <f t="shared" si="44"/>
        <v>616</v>
      </c>
      <c r="E103" s="166">
        <f t="shared" si="45"/>
        <v>1294</v>
      </c>
      <c r="F103" s="166">
        <f t="shared" si="46"/>
        <v>66424</v>
      </c>
      <c r="G103" s="166">
        <f t="shared" si="47"/>
        <v>144</v>
      </c>
      <c r="H103" s="165">
        <f t="shared" si="48"/>
        <v>0.29543378995433789</v>
      </c>
      <c r="I103" s="165">
        <f t="shared" si="49"/>
        <v>15.165296803652957</v>
      </c>
      <c r="J103" s="167">
        <f t="shared" si="50"/>
        <v>0.29543378995433789</v>
      </c>
      <c r="K103" s="167">
        <f t="shared" si="53"/>
        <v>3.2497716894977176</v>
      </c>
      <c r="L103" s="167">
        <f t="shared" si="51"/>
        <v>1</v>
      </c>
      <c r="M103" s="167">
        <f t="shared" si="52"/>
        <v>1.4771689497716896</v>
      </c>
    </row>
    <row r="104" spans="2:13" x14ac:dyDescent="0.4">
      <c r="B104" s="167" t="str">
        <f t="shared" si="43"/>
        <v>Minor Maintenance</v>
      </c>
      <c r="C104" s="166">
        <f>IF(B104="campaign", IF(COUNTIF($B$3:$B104,"Campaign")&gt;warmup_campaigns, long_campaign_duration, campaign_duration), 0)</f>
        <v>0</v>
      </c>
      <c r="D104" s="166">
        <f t="shared" si="44"/>
        <v>616</v>
      </c>
      <c r="E104" s="166">
        <f t="shared" si="45"/>
        <v>0</v>
      </c>
      <c r="F104" s="166">
        <f t="shared" si="46"/>
        <v>66424</v>
      </c>
      <c r="G104" s="166">
        <f t="shared" si="47"/>
        <v>0</v>
      </c>
      <c r="H104" s="165">
        <f t="shared" si="48"/>
        <v>0</v>
      </c>
      <c r="I104" s="165">
        <f t="shared" si="49"/>
        <v>15.165296803652957</v>
      </c>
      <c r="J104" s="167">
        <f t="shared" si="50"/>
        <v>0</v>
      </c>
      <c r="K104" s="167">
        <f t="shared" si="53"/>
        <v>3.2497716894977176</v>
      </c>
      <c r="L104" s="167">
        <f t="shared" si="51"/>
        <v>1</v>
      </c>
      <c r="M104" s="167">
        <f t="shared" si="52"/>
        <v>1.4771689497716896</v>
      </c>
    </row>
    <row r="105" spans="2:13" x14ac:dyDescent="0.4">
      <c r="B105" s="167" t="str">
        <f t="shared" si="43"/>
        <v>Campaign</v>
      </c>
      <c r="C105" s="166">
        <f>IF(B105="campaign", IF(COUNTIF($B$3:$B105,"Campaign")&gt;warmup_campaigns, long_campaign_duration, campaign_duration), 0)</f>
        <v>12</v>
      </c>
      <c r="D105" s="166">
        <f t="shared" si="44"/>
        <v>628</v>
      </c>
      <c r="E105" s="166">
        <f t="shared" si="45"/>
        <v>1294</v>
      </c>
      <c r="F105" s="166">
        <f t="shared" si="46"/>
        <v>67718</v>
      </c>
      <c r="G105" s="166">
        <f t="shared" si="47"/>
        <v>144</v>
      </c>
      <c r="H105" s="165">
        <f t="shared" si="48"/>
        <v>0.29543378995433789</v>
      </c>
      <c r="I105" s="165">
        <f t="shared" si="49"/>
        <v>15.460730593607295</v>
      </c>
      <c r="J105" s="167">
        <f t="shared" si="50"/>
        <v>0.29543378995433789</v>
      </c>
      <c r="K105" s="167">
        <f t="shared" si="53"/>
        <v>3.5452054794520556</v>
      </c>
      <c r="L105" s="167">
        <f t="shared" si="51"/>
        <v>1</v>
      </c>
      <c r="M105" s="167">
        <f t="shared" si="52"/>
        <v>1.7726027397260276</v>
      </c>
    </row>
    <row r="106" spans="2:13" x14ac:dyDescent="0.4">
      <c r="B106" s="167" t="str">
        <f t="shared" si="43"/>
        <v>Divertor Maintenance</v>
      </c>
      <c r="C106" s="166">
        <f>IF(B106="campaign", IF(COUNTIF($B$3:$B106,"Campaign")&gt;warmup_campaigns, long_campaign_duration, campaign_duration), 0)</f>
        <v>0</v>
      </c>
      <c r="D106" s="166">
        <f t="shared" si="44"/>
        <v>628</v>
      </c>
      <c r="E106" s="166">
        <f t="shared" si="45"/>
        <v>0</v>
      </c>
      <c r="F106" s="166">
        <f t="shared" si="46"/>
        <v>67718</v>
      </c>
      <c r="G106" s="166">
        <f t="shared" si="47"/>
        <v>0</v>
      </c>
      <c r="H106" s="165">
        <f t="shared" si="48"/>
        <v>0</v>
      </c>
      <c r="I106" s="165">
        <f t="shared" si="49"/>
        <v>15.460730593607295</v>
      </c>
      <c r="J106" s="167">
        <f t="shared" si="50"/>
        <v>0</v>
      </c>
      <c r="K106" s="167">
        <f t="shared" si="53"/>
        <v>3.5452054794520556</v>
      </c>
      <c r="L106" s="167">
        <f t="shared" si="51"/>
        <v>1</v>
      </c>
      <c r="M106" s="167">
        <f t="shared" si="52"/>
        <v>0</v>
      </c>
    </row>
    <row r="107" spans="2:13" x14ac:dyDescent="0.4">
      <c r="B107" s="167" t="str">
        <f t="shared" si="43"/>
        <v>Campaign</v>
      </c>
      <c r="C107" s="166">
        <f>IF(B107="campaign", IF(COUNTIF($B$3:$B107,"Campaign")&gt;warmup_campaigns, long_campaign_duration, campaign_duration), 0)</f>
        <v>12</v>
      </c>
      <c r="D107" s="166">
        <f t="shared" si="44"/>
        <v>640</v>
      </c>
      <c r="E107" s="166">
        <f t="shared" si="45"/>
        <v>1294</v>
      </c>
      <c r="F107" s="166">
        <f t="shared" si="46"/>
        <v>69012</v>
      </c>
      <c r="G107" s="166">
        <f t="shared" si="47"/>
        <v>144</v>
      </c>
      <c r="H107" s="165">
        <f t="shared" si="48"/>
        <v>0.29543378995433789</v>
      </c>
      <c r="I107" s="165">
        <f t="shared" si="49"/>
        <v>15.756164383561632</v>
      </c>
      <c r="J107" s="167">
        <f t="shared" si="50"/>
        <v>0.29543378995433789</v>
      </c>
      <c r="K107" s="167">
        <f t="shared" si="53"/>
        <v>3.8406392694063936</v>
      </c>
      <c r="L107" s="167">
        <f t="shared" si="51"/>
        <v>1</v>
      </c>
      <c r="M107" s="167">
        <f t="shared" si="52"/>
        <v>0.29543378995433789</v>
      </c>
    </row>
    <row r="108" spans="2:13" x14ac:dyDescent="0.4">
      <c r="B108" s="167" t="str">
        <f t="shared" si="43"/>
        <v>Minor Maintenance</v>
      </c>
      <c r="C108" s="166">
        <f>IF(B108="campaign", IF(COUNTIF($B$3:$B108,"Campaign")&gt;warmup_campaigns, long_campaign_duration, campaign_duration), 0)</f>
        <v>0</v>
      </c>
      <c r="D108" s="166">
        <f t="shared" si="44"/>
        <v>640</v>
      </c>
      <c r="E108" s="166">
        <f t="shared" si="45"/>
        <v>0</v>
      </c>
      <c r="F108" s="166">
        <f t="shared" si="46"/>
        <v>69012</v>
      </c>
      <c r="G108" s="166">
        <f t="shared" si="47"/>
        <v>0</v>
      </c>
      <c r="H108" s="165">
        <f t="shared" si="48"/>
        <v>0</v>
      </c>
      <c r="I108" s="165">
        <f t="shared" si="49"/>
        <v>15.756164383561632</v>
      </c>
      <c r="J108" s="167">
        <f t="shared" si="50"/>
        <v>0</v>
      </c>
      <c r="K108" s="167">
        <f t="shared" si="53"/>
        <v>3.8406392694063936</v>
      </c>
      <c r="L108" s="167">
        <f t="shared" si="51"/>
        <v>1</v>
      </c>
      <c r="M108" s="167">
        <f t="shared" si="52"/>
        <v>0.29543378995433789</v>
      </c>
    </row>
    <row r="109" spans="2:13" x14ac:dyDescent="0.4">
      <c r="B109" s="167" t="str">
        <f t="shared" si="43"/>
        <v>Campaign</v>
      </c>
      <c r="C109" s="166">
        <f>IF(B109="campaign", IF(COUNTIF($B$3:$B109,"Campaign")&gt;warmup_campaigns, long_campaign_duration, campaign_duration), 0)</f>
        <v>12</v>
      </c>
      <c r="D109" s="166">
        <f t="shared" si="44"/>
        <v>652</v>
      </c>
      <c r="E109" s="166">
        <f t="shared" si="45"/>
        <v>1294</v>
      </c>
      <c r="F109" s="166">
        <f t="shared" si="46"/>
        <v>70306</v>
      </c>
      <c r="G109" s="166">
        <f t="shared" si="47"/>
        <v>144</v>
      </c>
      <c r="H109" s="165">
        <f t="shared" si="48"/>
        <v>0.29543378995433789</v>
      </c>
      <c r="I109" s="165">
        <f t="shared" si="49"/>
        <v>16.05159817351597</v>
      </c>
      <c r="J109" s="167">
        <f t="shared" si="50"/>
        <v>0.29543378995433789</v>
      </c>
      <c r="K109" s="167">
        <f t="shared" si="53"/>
        <v>4.1360730593607311</v>
      </c>
      <c r="L109" s="167">
        <f t="shared" si="51"/>
        <v>1</v>
      </c>
      <c r="M109" s="167">
        <f t="shared" si="52"/>
        <v>0.59086757990867578</v>
      </c>
    </row>
    <row r="110" spans="2:13" x14ac:dyDescent="0.4">
      <c r="B110" s="167" t="str">
        <f t="shared" si="43"/>
        <v>Minor Maintenance</v>
      </c>
      <c r="C110" s="166">
        <f>IF(B110="campaign", IF(COUNTIF($B$3:$B110,"Campaign")&gt;warmup_campaigns, long_campaign_duration, campaign_duration), 0)</f>
        <v>0</v>
      </c>
      <c r="D110" s="166">
        <f t="shared" si="44"/>
        <v>652</v>
      </c>
      <c r="E110" s="166">
        <f t="shared" si="45"/>
        <v>0</v>
      </c>
      <c r="F110" s="166">
        <f t="shared" si="46"/>
        <v>70306</v>
      </c>
      <c r="G110" s="166">
        <f t="shared" si="47"/>
        <v>0</v>
      </c>
      <c r="H110" s="165">
        <f t="shared" si="48"/>
        <v>0</v>
      </c>
      <c r="I110" s="165">
        <f t="shared" si="49"/>
        <v>16.05159817351597</v>
      </c>
      <c r="J110" s="167">
        <f t="shared" si="50"/>
        <v>0</v>
      </c>
      <c r="K110" s="167">
        <f t="shared" si="53"/>
        <v>4.1360730593607311</v>
      </c>
      <c r="L110" s="167">
        <f t="shared" si="51"/>
        <v>1</v>
      </c>
      <c r="M110" s="167">
        <f t="shared" si="52"/>
        <v>0.59086757990867578</v>
      </c>
    </row>
    <row r="111" spans="2:13" x14ac:dyDescent="0.4">
      <c r="B111" s="167" t="str">
        <f t="shared" si="43"/>
        <v>Campaign</v>
      </c>
      <c r="C111" s="166">
        <f>IF(B111="campaign", IF(COUNTIF($B$3:$B111,"Campaign")&gt;warmup_campaigns, long_campaign_duration, campaign_duration), 0)</f>
        <v>12</v>
      </c>
      <c r="D111" s="166">
        <f t="shared" si="44"/>
        <v>664</v>
      </c>
      <c r="E111" s="166">
        <f t="shared" si="45"/>
        <v>1294</v>
      </c>
      <c r="F111" s="166">
        <f t="shared" si="46"/>
        <v>71600</v>
      </c>
      <c r="G111" s="166">
        <f t="shared" si="47"/>
        <v>144</v>
      </c>
      <c r="H111" s="165">
        <f t="shared" si="48"/>
        <v>0.29543378995433789</v>
      </c>
      <c r="I111" s="165">
        <f t="shared" si="49"/>
        <v>16.347031963470307</v>
      </c>
      <c r="J111" s="167">
        <f t="shared" si="50"/>
        <v>0.29543378995433789</v>
      </c>
      <c r="K111" s="167">
        <f t="shared" si="53"/>
        <v>4.4315068493150687</v>
      </c>
      <c r="L111" s="167">
        <f t="shared" si="51"/>
        <v>1</v>
      </c>
      <c r="M111" s="167">
        <f t="shared" si="52"/>
        <v>0.88630136986301367</v>
      </c>
    </row>
    <row r="112" spans="2:13" x14ac:dyDescent="0.4">
      <c r="B112" s="167" t="str">
        <f t="shared" si="43"/>
        <v>Minor Maintenance</v>
      </c>
      <c r="C112" s="166">
        <f>IF(B112="campaign", IF(COUNTIF($B$3:$B112,"Campaign")&gt;warmup_campaigns, long_campaign_duration, campaign_duration), 0)</f>
        <v>0</v>
      </c>
      <c r="D112" s="166">
        <f t="shared" si="44"/>
        <v>664</v>
      </c>
      <c r="E112" s="166">
        <f t="shared" si="45"/>
        <v>0</v>
      </c>
      <c r="F112" s="166">
        <f t="shared" si="46"/>
        <v>71600</v>
      </c>
      <c r="G112" s="166">
        <f t="shared" si="47"/>
        <v>0</v>
      </c>
      <c r="H112" s="165">
        <f t="shared" si="48"/>
        <v>0</v>
      </c>
      <c r="I112" s="165">
        <f t="shared" si="49"/>
        <v>16.347031963470307</v>
      </c>
      <c r="J112" s="167">
        <f t="shared" si="50"/>
        <v>0</v>
      </c>
      <c r="K112" s="167">
        <f t="shared" si="53"/>
        <v>4.4315068493150687</v>
      </c>
      <c r="L112" s="167">
        <f t="shared" si="51"/>
        <v>1</v>
      </c>
      <c r="M112" s="167">
        <f t="shared" si="52"/>
        <v>0.88630136986301367</v>
      </c>
    </row>
    <row r="113" spans="2:13" x14ac:dyDescent="0.4">
      <c r="B113" s="167" t="str">
        <f t="shared" si="43"/>
        <v>Campaign</v>
      </c>
      <c r="C113" s="166">
        <f>IF(B113="campaign", IF(COUNTIF($B$3:$B113,"Campaign")&gt;warmup_campaigns, long_campaign_duration, campaign_duration), 0)</f>
        <v>12</v>
      </c>
      <c r="D113" s="166">
        <f t="shared" si="44"/>
        <v>676</v>
      </c>
      <c r="E113" s="166">
        <f t="shared" si="45"/>
        <v>1294</v>
      </c>
      <c r="F113" s="166">
        <f t="shared" si="46"/>
        <v>72894</v>
      </c>
      <c r="G113" s="166">
        <f t="shared" si="47"/>
        <v>144</v>
      </c>
      <c r="H113" s="165">
        <f t="shared" si="48"/>
        <v>0.29543378995433789</v>
      </c>
      <c r="I113" s="165">
        <f t="shared" si="49"/>
        <v>16.642465753424645</v>
      </c>
      <c r="J113" s="167">
        <f t="shared" si="50"/>
        <v>0.29543378995433789</v>
      </c>
      <c r="K113" s="167">
        <f t="shared" si="53"/>
        <v>4.7269406392694062</v>
      </c>
      <c r="L113" s="167">
        <f t="shared" si="51"/>
        <v>1</v>
      </c>
      <c r="M113" s="167">
        <f t="shared" si="52"/>
        <v>1.1817351598173516</v>
      </c>
    </row>
    <row r="114" spans="2:13" x14ac:dyDescent="0.4">
      <c r="B114" s="167" t="str">
        <f t="shared" si="43"/>
        <v>Minor Maintenance</v>
      </c>
      <c r="C114" s="166">
        <f>IF(B114="campaign", IF(COUNTIF($B$3:$B114,"Campaign")&gt;warmup_campaigns, long_campaign_duration, campaign_duration), 0)</f>
        <v>0</v>
      </c>
      <c r="D114" s="166">
        <f t="shared" si="44"/>
        <v>676</v>
      </c>
      <c r="E114" s="166">
        <f t="shared" si="45"/>
        <v>0</v>
      </c>
      <c r="F114" s="166">
        <f t="shared" si="46"/>
        <v>72894</v>
      </c>
      <c r="G114" s="166">
        <f t="shared" si="47"/>
        <v>0</v>
      </c>
      <c r="H114" s="165">
        <f t="shared" si="48"/>
        <v>0</v>
      </c>
      <c r="I114" s="165">
        <f t="shared" si="49"/>
        <v>16.642465753424645</v>
      </c>
      <c r="J114" s="167">
        <f t="shared" si="50"/>
        <v>0</v>
      </c>
      <c r="K114" s="167">
        <f t="shared" si="53"/>
        <v>4.7269406392694062</v>
      </c>
      <c r="L114" s="167">
        <f t="shared" si="51"/>
        <v>1</v>
      </c>
      <c r="M114" s="167">
        <f t="shared" si="52"/>
        <v>1.1817351598173516</v>
      </c>
    </row>
    <row r="115" spans="2:13" x14ac:dyDescent="0.4">
      <c r="B115" s="167" t="str">
        <f t="shared" si="43"/>
        <v>Campaign</v>
      </c>
      <c r="C115" s="166">
        <f>IF(B115="campaign", IF(COUNTIF($B$3:$B115,"Campaign")&gt;warmup_campaigns, long_campaign_duration, campaign_duration), 0)</f>
        <v>12</v>
      </c>
      <c r="D115" s="166">
        <f t="shared" si="44"/>
        <v>688</v>
      </c>
      <c r="E115" s="166">
        <f t="shared" si="45"/>
        <v>1294</v>
      </c>
      <c r="F115" s="166">
        <f t="shared" si="46"/>
        <v>74188</v>
      </c>
      <c r="G115" s="166">
        <f t="shared" si="47"/>
        <v>144</v>
      </c>
      <c r="H115" s="165">
        <f t="shared" si="48"/>
        <v>0.29543378995433789</v>
      </c>
      <c r="I115" s="165">
        <f t="shared" si="49"/>
        <v>16.937899543378983</v>
      </c>
      <c r="J115" s="167">
        <f t="shared" si="50"/>
        <v>0.29543378995433789</v>
      </c>
      <c r="K115" s="167">
        <f t="shared" si="53"/>
        <v>5.0223744292237438</v>
      </c>
      <c r="L115" s="167">
        <f t="shared" si="51"/>
        <v>1</v>
      </c>
      <c r="M115" s="167">
        <f t="shared" si="52"/>
        <v>1.4771689497716896</v>
      </c>
    </row>
    <row r="116" spans="2:13" x14ac:dyDescent="0.4">
      <c r="B116" s="167" t="str">
        <f t="shared" si="43"/>
        <v>Blanket Maintenance</v>
      </c>
      <c r="C116" s="166">
        <f>IF(B116="campaign", IF(COUNTIF($B$3:$B116,"Campaign")&gt;warmup_campaigns, long_campaign_duration, campaign_duration), 0)</f>
        <v>0</v>
      </c>
      <c r="D116" s="166">
        <f t="shared" si="44"/>
        <v>688</v>
      </c>
      <c r="E116" s="166">
        <f t="shared" si="45"/>
        <v>0</v>
      </c>
      <c r="F116" s="166">
        <f t="shared" si="46"/>
        <v>74188</v>
      </c>
      <c r="G116" s="166">
        <f t="shared" si="47"/>
        <v>0</v>
      </c>
      <c r="H116" s="165">
        <f t="shared" si="48"/>
        <v>0</v>
      </c>
      <c r="I116" s="165">
        <f t="shared" si="49"/>
        <v>16.937899543378983</v>
      </c>
      <c r="J116" s="167">
        <f t="shared" si="50"/>
        <v>0</v>
      </c>
      <c r="K116" s="167">
        <f t="shared" si="53"/>
        <v>0</v>
      </c>
      <c r="L116" s="167">
        <f t="shared" si="51"/>
        <v>1</v>
      </c>
      <c r="M116" s="167">
        <f t="shared" si="52"/>
        <v>0</v>
      </c>
    </row>
    <row r="117" spans="2:13" x14ac:dyDescent="0.4">
      <c r="B117" s="167" t="str">
        <f t="shared" si="43"/>
        <v>Campaign</v>
      </c>
      <c r="C117" s="166">
        <f>IF(B117="campaign", IF(COUNTIF($B$3:$B117,"Campaign")&gt;warmup_campaigns, long_campaign_duration, campaign_duration), 0)</f>
        <v>12</v>
      </c>
      <c r="D117" s="166">
        <f t="shared" si="44"/>
        <v>700</v>
      </c>
      <c r="E117" s="166">
        <f t="shared" si="45"/>
        <v>1294</v>
      </c>
      <c r="F117" s="166">
        <f t="shared" si="46"/>
        <v>75482</v>
      </c>
      <c r="G117" s="166">
        <f t="shared" si="47"/>
        <v>144</v>
      </c>
      <c r="H117" s="165">
        <f t="shared" si="48"/>
        <v>0.29543378995433789</v>
      </c>
      <c r="I117" s="165">
        <f t="shared" si="49"/>
        <v>17.23333333333332</v>
      </c>
      <c r="J117" s="167">
        <f t="shared" si="50"/>
        <v>0.29543378995433789</v>
      </c>
      <c r="K117" s="167">
        <f t="shared" si="53"/>
        <v>0.29543378995433789</v>
      </c>
      <c r="L117" s="167">
        <f t="shared" si="51"/>
        <v>1</v>
      </c>
      <c r="M117" s="167">
        <f t="shared" si="52"/>
        <v>0.29543378995433789</v>
      </c>
    </row>
    <row r="118" spans="2:13" x14ac:dyDescent="0.4">
      <c r="B118" s="167" t="str">
        <f t="shared" si="43"/>
        <v>Minor Maintenance</v>
      </c>
      <c r="C118" s="166">
        <f>IF(B118="campaign", IF(COUNTIF($B$3:$B118,"Campaign")&gt;warmup_campaigns, long_campaign_duration, campaign_duration), 0)</f>
        <v>0</v>
      </c>
      <c r="D118" s="166">
        <f t="shared" si="44"/>
        <v>700</v>
      </c>
      <c r="E118" s="166">
        <f t="shared" si="45"/>
        <v>0</v>
      </c>
      <c r="F118" s="166">
        <f t="shared" si="46"/>
        <v>75482</v>
      </c>
      <c r="G118" s="166">
        <f t="shared" si="47"/>
        <v>0</v>
      </c>
      <c r="H118" s="165">
        <f t="shared" si="48"/>
        <v>0</v>
      </c>
      <c r="I118" s="165">
        <f t="shared" si="49"/>
        <v>17.23333333333332</v>
      </c>
      <c r="J118" s="167">
        <f t="shared" si="50"/>
        <v>0</v>
      </c>
      <c r="K118" s="167">
        <f t="shared" si="53"/>
        <v>0.29543378995433789</v>
      </c>
      <c r="L118" s="167">
        <f t="shared" si="51"/>
        <v>1</v>
      </c>
      <c r="M118" s="167">
        <f t="shared" si="52"/>
        <v>0.29543378995433789</v>
      </c>
    </row>
    <row r="119" spans="2:13" x14ac:dyDescent="0.4">
      <c r="B119" s="167" t="str">
        <f t="shared" si="43"/>
        <v>Campaign</v>
      </c>
      <c r="C119" s="166">
        <f>IF(B119="campaign", IF(COUNTIF($B$3:$B119,"Campaign")&gt;warmup_campaigns, long_campaign_duration, campaign_duration), 0)</f>
        <v>12</v>
      </c>
      <c r="D119" s="166">
        <f t="shared" si="44"/>
        <v>712</v>
      </c>
      <c r="E119" s="166">
        <f t="shared" si="45"/>
        <v>1294</v>
      </c>
      <c r="F119" s="166">
        <f t="shared" si="46"/>
        <v>76776</v>
      </c>
      <c r="G119" s="166">
        <f t="shared" si="47"/>
        <v>144</v>
      </c>
      <c r="H119" s="165">
        <f t="shared" si="48"/>
        <v>0.29543378995433789</v>
      </c>
      <c r="I119" s="165">
        <f t="shared" si="49"/>
        <v>17.528767123287658</v>
      </c>
      <c r="J119" s="167">
        <f t="shared" si="50"/>
        <v>0.29543378995433789</v>
      </c>
      <c r="K119" s="167">
        <f t="shared" si="53"/>
        <v>0.59086757990867578</v>
      </c>
      <c r="L119" s="167">
        <f t="shared" si="51"/>
        <v>1</v>
      </c>
      <c r="M119" s="167">
        <f t="shared" si="52"/>
        <v>0.59086757990867578</v>
      </c>
    </row>
    <row r="120" spans="2:13" x14ac:dyDescent="0.4">
      <c r="B120" s="167" t="str">
        <f t="shared" si="43"/>
        <v>Minor Maintenance</v>
      </c>
      <c r="C120" s="166">
        <f>IF(B120="campaign", IF(COUNTIF($B$3:$B120,"Campaign")&gt;warmup_campaigns, long_campaign_duration, campaign_duration), 0)</f>
        <v>0</v>
      </c>
      <c r="D120" s="166">
        <f t="shared" si="44"/>
        <v>712</v>
      </c>
      <c r="E120" s="166">
        <f t="shared" si="45"/>
        <v>0</v>
      </c>
      <c r="F120" s="166">
        <f t="shared" si="46"/>
        <v>76776</v>
      </c>
      <c r="G120" s="166">
        <f t="shared" si="47"/>
        <v>0</v>
      </c>
      <c r="H120" s="165">
        <f t="shared" si="48"/>
        <v>0</v>
      </c>
      <c r="I120" s="165">
        <f t="shared" si="49"/>
        <v>17.528767123287658</v>
      </c>
      <c r="J120" s="167">
        <f t="shared" si="50"/>
        <v>0</v>
      </c>
      <c r="K120" s="167">
        <f t="shared" si="53"/>
        <v>0.59086757990867578</v>
      </c>
      <c r="L120" s="167">
        <f t="shared" si="51"/>
        <v>1</v>
      </c>
      <c r="M120" s="167">
        <f t="shared" si="52"/>
        <v>0.59086757990867578</v>
      </c>
    </row>
    <row r="121" spans="2:13" x14ac:dyDescent="0.4">
      <c r="B121" s="167" t="str">
        <f t="shared" si="43"/>
        <v>Campaign</v>
      </c>
      <c r="C121" s="166">
        <f>IF(B121="campaign", IF(COUNTIF($B$3:$B121,"Campaign")&gt;warmup_campaigns, long_campaign_duration, campaign_duration), 0)</f>
        <v>12</v>
      </c>
      <c r="D121" s="166">
        <f t="shared" si="44"/>
        <v>724</v>
      </c>
      <c r="E121" s="166">
        <f t="shared" si="45"/>
        <v>1294</v>
      </c>
      <c r="F121" s="166">
        <f t="shared" si="46"/>
        <v>78070</v>
      </c>
      <c r="G121" s="166">
        <f t="shared" si="47"/>
        <v>144</v>
      </c>
      <c r="H121" s="165">
        <f t="shared" si="48"/>
        <v>0.29543378995433789</v>
      </c>
      <c r="I121" s="165">
        <f t="shared" si="49"/>
        <v>17.824200913241995</v>
      </c>
      <c r="J121" s="167">
        <f t="shared" si="50"/>
        <v>0.29543378995433789</v>
      </c>
      <c r="K121" s="167">
        <f t="shared" si="53"/>
        <v>0.88630136986301367</v>
      </c>
      <c r="L121" s="167">
        <f t="shared" si="51"/>
        <v>1</v>
      </c>
      <c r="M121" s="167">
        <f t="shared" si="52"/>
        <v>0.88630136986301367</v>
      </c>
    </row>
    <row r="122" spans="2:13" x14ac:dyDescent="0.4">
      <c r="B122" s="167" t="str">
        <f t="shared" si="43"/>
        <v>Minor Maintenance</v>
      </c>
      <c r="C122" s="166">
        <f>IF(B122="campaign", IF(COUNTIF($B$3:$B122,"Campaign")&gt;warmup_campaigns, long_campaign_duration, campaign_duration), 0)</f>
        <v>0</v>
      </c>
      <c r="D122" s="166">
        <f t="shared" si="44"/>
        <v>724</v>
      </c>
      <c r="E122" s="166">
        <f t="shared" si="45"/>
        <v>0</v>
      </c>
      <c r="F122" s="166">
        <f t="shared" si="46"/>
        <v>78070</v>
      </c>
      <c r="G122" s="166">
        <f t="shared" si="47"/>
        <v>0</v>
      </c>
      <c r="H122" s="165">
        <f t="shared" si="48"/>
        <v>0</v>
      </c>
      <c r="I122" s="165">
        <f t="shared" si="49"/>
        <v>17.824200913241995</v>
      </c>
      <c r="J122" s="167">
        <f t="shared" si="50"/>
        <v>0</v>
      </c>
      <c r="K122" s="167">
        <f t="shared" si="53"/>
        <v>0.88630136986301367</v>
      </c>
      <c r="L122" s="167">
        <f t="shared" si="51"/>
        <v>1</v>
      </c>
      <c r="M122" s="167">
        <f t="shared" si="52"/>
        <v>0.88630136986301367</v>
      </c>
    </row>
    <row r="123" spans="2:13" x14ac:dyDescent="0.4">
      <c r="B123" s="167" t="str">
        <f t="shared" si="43"/>
        <v>Campaign</v>
      </c>
      <c r="C123" s="166">
        <f>IF(B123="campaign", IF(COUNTIF($B$3:$B123,"Campaign")&gt;warmup_campaigns, long_campaign_duration, campaign_duration), 0)</f>
        <v>12</v>
      </c>
      <c r="D123" s="166">
        <f t="shared" si="44"/>
        <v>736</v>
      </c>
      <c r="E123" s="166">
        <f t="shared" si="45"/>
        <v>1294</v>
      </c>
      <c r="F123" s="166">
        <f t="shared" si="46"/>
        <v>79364</v>
      </c>
      <c r="G123" s="166">
        <f t="shared" si="47"/>
        <v>144</v>
      </c>
      <c r="H123" s="165">
        <f t="shared" si="48"/>
        <v>0.29543378995433789</v>
      </c>
      <c r="I123" s="165">
        <f t="shared" si="49"/>
        <v>18.119634703196333</v>
      </c>
      <c r="J123" s="167">
        <f t="shared" si="50"/>
        <v>0.29543378995433789</v>
      </c>
      <c r="K123" s="167">
        <f t="shared" si="53"/>
        <v>1.1817351598173516</v>
      </c>
      <c r="L123" s="167">
        <f t="shared" si="51"/>
        <v>1</v>
      </c>
      <c r="M123" s="167">
        <f t="shared" si="52"/>
        <v>1.1817351598173516</v>
      </c>
    </row>
    <row r="124" spans="2:13" x14ac:dyDescent="0.4">
      <c r="B124" s="167" t="str">
        <f t="shared" si="43"/>
        <v>Minor Maintenance</v>
      </c>
      <c r="C124" s="166">
        <f>IF(B124="campaign", IF(COUNTIF($B$3:$B124,"Campaign")&gt;warmup_campaigns, long_campaign_duration, campaign_duration), 0)</f>
        <v>0</v>
      </c>
      <c r="D124" s="166">
        <f t="shared" si="44"/>
        <v>736</v>
      </c>
      <c r="E124" s="166">
        <f t="shared" si="45"/>
        <v>0</v>
      </c>
      <c r="F124" s="166">
        <f t="shared" si="46"/>
        <v>79364</v>
      </c>
      <c r="G124" s="166">
        <f t="shared" si="47"/>
        <v>0</v>
      </c>
      <c r="H124" s="165">
        <f t="shared" si="48"/>
        <v>0</v>
      </c>
      <c r="I124" s="165">
        <f t="shared" si="49"/>
        <v>18.119634703196333</v>
      </c>
      <c r="J124" s="167">
        <f t="shared" si="50"/>
        <v>0</v>
      </c>
      <c r="K124" s="167">
        <f t="shared" si="53"/>
        <v>1.1817351598173516</v>
      </c>
      <c r="L124" s="167">
        <f t="shared" si="51"/>
        <v>1</v>
      </c>
      <c r="M124" s="167">
        <f t="shared" si="52"/>
        <v>1.1817351598173516</v>
      </c>
    </row>
    <row r="125" spans="2:13" x14ac:dyDescent="0.4">
      <c r="B125" s="167" t="str">
        <f t="shared" si="43"/>
        <v>Campaign</v>
      </c>
      <c r="C125" s="166">
        <f>IF(B125="campaign", IF(COUNTIF($B$3:$B125,"Campaign")&gt;warmup_campaigns, long_campaign_duration, campaign_duration), 0)</f>
        <v>12</v>
      </c>
      <c r="D125" s="166">
        <f t="shared" si="44"/>
        <v>748</v>
      </c>
      <c r="E125" s="166">
        <f t="shared" si="45"/>
        <v>1294</v>
      </c>
      <c r="F125" s="166">
        <f t="shared" si="46"/>
        <v>80658</v>
      </c>
      <c r="G125" s="166">
        <f t="shared" si="47"/>
        <v>144</v>
      </c>
      <c r="H125" s="165">
        <f t="shared" si="48"/>
        <v>0.29543378995433789</v>
      </c>
      <c r="I125" s="165">
        <f t="shared" si="49"/>
        <v>18.41506849315067</v>
      </c>
      <c r="J125" s="167">
        <f t="shared" si="50"/>
        <v>0.29543378995433789</v>
      </c>
      <c r="K125" s="167">
        <f t="shared" si="53"/>
        <v>1.4771689497716896</v>
      </c>
      <c r="L125" s="167">
        <f t="shared" si="51"/>
        <v>1</v>
      </c>
      <c r="M125" s="167">
        <f t="shared" si="52"/>
        <v>1.4771689497716896</v>
      </c>
    </row>
    <row r="126" spans="2:13" x14ac:dyDescent="0.4">
      <c r="B126" s="167" t="str">
        <f t="shared" si="43"/>
        <v>Minor Maintenance</v>
      </c>
      <c r="C126" s="166">
        <f>IF(B126="campaign", IF(COUNTIF($B$3:$B126,"Campaign")&gt;warmup_campaigns, long_campaign_duration, campaign_duration), 0)</f>
        <v>0</v>
      </c>
      <c r="D126" s="166">
        <f t="shared" si="44"/>
        <v>748</v>
      </c>
      <c r="E126" s="166">
        <f t="shared" si="45"/>
        <v>0</v>
      </c>
      <c r="F126" s="166">
        <f t="shared" si="46"/>
        <v>80658</v>
      </c>
      <c r="G126" s="166">
        <f t="shared" si="47"/>
        <v>0</v>
      </c>
      <c r="H126" s="165">
        <f t="shared" si="48"/>
        <v>0</v>
      </c>
      <c r="I126" s="165">
        <f t="shared" si="49"/>
        <v>18.41506849315067</v>
      </c>
      <c r="J126" s="167">
        <f t="shared" si="50"/>
        <v>0</v>
      </c>
      <c r="K126" s="167">
        <f t="shared" si="53"/>
        <v>1.4771689497716896</v>
      </c>
      <c r="L126" s="167">
        <f t="shared" si="51"/>
        <v>1</v>
      </c>
      <c r="M126" s="167">
        <f t="shared" si="52"/>
        <v>1.4771689497716896</v>
      </c>
    </row>
    <row r="127" spans="2:13" x14ac:dyDescent="0.4">
      <c r="B127" s="167" t="str">
        <f t="shared" si="43"/>
        <v>Campaign</v>
      </c>
      <c r="C127" s="166">
        <f>IF(B127="campaign", IF(COUNTIF($B$3:$B127,"Campaign")&gt;warmup_campaigns, long_campaign_duration, campaign_duration), 0)</f>
        <v>12</v>
      </c>
      <c r="D127" s="166">
        <f t="shared" si="44"/>
        <v>760</v>
      </c>
      <c r="E127" s="166">
        <f t="shared" si="45"/>
        <v>1294</v>
      </c>
      <c r="F127" s="166">
        <f t="shared" si="46"/>
        <v>81952</v>
      </c>
      <c r="G127" s="166">
        <f t="shared" si="47"/>
        <v>144</v>
      </c>
      <c r="H127" s="165">
        <f t="shared" si="48"/>
        <v>0.29543378995433789</v>
      </c>
      <c r="I127" s="165">
        <f t="shared" si="49"/>
        <v>18.710502283105008</v>
      </c>
      <c r="J127" s="167">
        <f t="shared" si="50"/>
        <v>0.29543378995433789</v>
      </c>
      <c r="K127" s="167">
        <f t="shared" si="53"/>
        <v>1.7726027397260276</v>
      </c>
      <c r="L127" s="167">
        <f t="shared" si="51"/>
        <v>1</v>
      </c>
      <c r="M127" s="167">
        <f t="shared" si="52"/>
        <v>1.7726027397260276</v>
      </c>
    </row>
    <row r="128" spans="2:13" x14ac:dyDescent="0.4">
      <c r="B128" s="167" t="str">
        <f t="shared" si="43"/>
        <v>Divertor Maintenance</v>
      </c>
      <c r="C128" s="166">
        <f>IF(B128="campaign", IF(COUNTIF($B$3:$B128,"Campaign")&gt;warmup_campaigns, long_campaign_duration, campaign_duration), 0)</f>
        <v>0</v>
      </c>
      <c r="D128" s="166">
        <f t="shared" si="44"/>
        <v>760</v>
      </c>
      <c r="E128" s="166">
        <f t="shared" si="45"/>
        <v>0</v>
      </c>
      <c r="F128" s="166">
        <f t="shared" si="46"/>
        <v>81952</v>
      </c>
      <c r="G128" s="166">
        <f t="shared" si="47"/>
        <v>0</v>
      </c>
      <c r="H128" s="165">
        <f t="shared" si="48"/>
        <v>0</v>
      </c>
      <c r="I128" s="165">
        <f t="shared" si="49"/>
        <v>18.710502283105008</v>
      </c>
      <c r="J128" s="167">
        <f t="shared" si="50"/>
        <v>0</v>
      </c>
      <c r="K128" s="167">
        <f t="shared" si="53"/>
        <v>1.7726027397260276</v>
      </c>
      <c r="L128" s="167">
        <f t="shared" si="51"/>
        <v>1</v>
      </c>
      <c r="M128" s="167">
        <f t="shared" si="52"/>
        <v>0</v>
      </c>
    </row>
    <row r="129" spans="2:13" x14ac:dyDescent="0.4">
      <c r="B129" s="167" t="str">
        <f t="shared" si="43"/>
        <v>Campaign</v>
      </c>
      <c r="C129" s="166">
        <f>IF(B129="campaign", IF(COUNTIF($B$3:$B129,"Campaign")&gt;warmup_campaigns, long_campaign_duration, campaign_duration), 0)</f>
        <v>12</v>
      </c>
      <c r="D129" s="166">
        <f t="shared" si="44"/>
        <v>772</v>
      </c>
      <c r="E129" s="166">
        <f t="shared" si="45"/>
        <v>1294</v>
      </c>
      <c r="F129" s="166">
        <f t="shared" si="46"/>
        <v>83246</v>
      </c>
      <c r="G129" s="166">
        <f t="shared" si="47"/>
        <v>144</v>
      </c>
      <c r="H129" s="165">
        <f t="shared" si="48"/>
        <v>0.29543378995433789</v>
      </c>
      <c r="I129" s="165">
        <f t="shared" si="49"/>
        <v>19.005936073059345</v>
      </c>
      <c r="J129" s="167">
        <f t="shared" si="50"/>
        <v>0.29543378995433789</v>
      </c>
      <c r="K129" s="167">
        <f t="shared" si="53"/>
        <v>2.0680365296803656</v>
      </c>
      <c r="L129" s="167">
        <f t="shared" si="51"/>
        <v>1</v>
      </c>
      <c r="M129" s="167">
        <f t="shared" si="52"/>
        <v>0.29543378995433789</v>
      </c>
    </row>
    <row r="130" spans="2:13" x14ac:dyDescent="0.4">
      <c r="B130" s="167" t="str">
        <f t="shared" si="43"/>
        <v>Minor Maintenance</v>
      </c>
      <c r="C130" s="166">
        <f>IF(B130="campaign", IF(COUNTIF($B$3:$B130,"Campaign")&gt;warmup_campaigns, long_campaign_duration, campaign_duration), 0)</f>
        <v>0</v>
      </c>
      <c r="D130" s="166">
        <f t="shared" si="44"/>
        <v>772</v>
      </c>
      <c r="E130" s="166">
        <f t="shared" si="45"/>
        <v>0</v>
      </c>
      <c r="F130" s="166">
        <f t="shared" si="46"/>
        <v>83246</v>
      </c>
      <c r="G130" s="166">
        <f t="shared" si="47"/>
        <v>0</v>
      </c>
      <c r="H130" s="165">
        <f t="shared" si="48"/>
        <v>0</v>
      </c>
      <c r="I130" s="165">
        <f t="shared" si="49"/>
        <v>19.005936073059345</v>
      </c>
      <c r="J130" s="167">
        <f t="shared" si="50"/>
        <v>0</v>
      </c>
      <c r="K130" s="167">
        <f t="shared" si="53"/>
        <v>2.0680365296803656</v>
      </c>
      <c r="L130" s="167">
        <f t="shared" si="51"/>
        <v>1</v>
      </c>
      <c r="M130" s="167">
        <f t="shared" si="52"/>
        <v>0.29543378995433789</v>
      </c>
    </row>
    <row r="131" spans="2:13" x14ac:dyDescent="0.4">
      <c r="B131" s="167" t="str">
        <f t="shared" ref="B131:B162" si="54">IF(B130&lt;&gt;"Campaign","Campaign",IF(AND((ROUND(K130,3)+campaign_fpy)&gt;=starter_blanket_lifetime,L130=0),"Blanket Maintenance",IF(AND((ROUND(K130,3)+campaign_fpy)&gt;=second_blanket_lifetime,L130=1),"Blanket Maintenance",IF((ROUND(M130,3)+campaign_fpy)&gt;=divertor_cassette_lifetime,"Divertor Maintenance",IF((ROUNDUP(J130,3)+campaign_fpy)&gt;=ROUNDUP(minor_maintenance_intervals,3),"Minor Maintenance","Campaign")))))</f>
        <v>Campaign</v>
      </c>
      <c r="C131" s="166">
        <f>IF(B131="campaign", IF(COUNTIF($B$3:$B131,"Campaign")&gt;warmup_campaigns, long_campaign_duration, campaign_duration), 0)</f>
        <v>12</v>
      </c>
      <c r="D131" s="166">
        <f t="shared" ref="D131:D162" si="55">IFERROR(C131+D130, C131)</f>
        <v>784</v>
      </c>
      <c r="E131" s="166">
        <f t="shared" ref="E131:E162" si="56">ROUNDDOWN((C131*( (sequence_duration-interim_maintenace_period)*Pulse_per_day)),0)</f>
        <v>1294</v>
      </c>
      <c r="F131" s="166">
        <f t="shared" ref="F131:F162" si="57">IFERROR(E131+F130,E131)</f>
        <v>84540</v>
      </c>
      <c r="G131" s="166">
        <f t="shared" ref="G131:G162" si="58">IF($B131="campaign", C131*(sequence_duration*(power_generation_period/sequence_duration)), 0)</f>
        <v>144</v>
      </c>
      <c r="H131" s="165">
        <f t="shared" ref="H131:H162" si="59">(E131*pulse_time/(365*24))</f>
        <v>0.29543378995433789</v>
      </c>
      <c r="I131" s="165">
        <f t="shared" ref="I131:I162" si="60">IF($B131="Campaign", IFERROR(H131+I130, H131), I130)</f>
        <v>19.301369863013683</v>
      </c>
      <c r="J131" s="167">
        <f t="shared" ref="J131:J162" si="61">IF(B131&lt;&gt;"Campaign",0,(IFERROR(H131+J130,H131)))</f>
        <v>0.29543378995433789</v>
      </c>
      <c r="K131" s="167">
        <f t="shared" si="53"/>
        <v>2.3634703196347036</v>
      </c>
      <c r="L131" s="167">
        <f t="shared" ref="L131:L162" si="62">IFERROR(IF(COUNTIF(B131,"Blanket Maintenance")+L130&gt;0, 1, 0),0)</f>
        <v>1</v>
      </c>
      <c r="M131" s="167">
        <f t="shared" ref="M131:M162" si="63">IF(OR($B131="Divertor Maintenance", $B131="Blanket Maintenance"),0,IFERROR($H131+M130,$H131))</f>
        <v>0.59086757990867578</v>
      </c>
    </row>
    <row r="132" spans="2:13" x14ac:dyDescent="0.4">
      <c r="B132" s="167" t="str">
        <f t="shared" si="54"/>
        <v>Minor Maintenance</v>
      </c>
      <c r="C132" s="166">
        <f>IF(B132="campaign", IF(COUNTIF($B$3:$B132,"Campaign")&gt;warmup_campaigns, long_campaign_duration, campaign_duration), 0)</f>
        <v>0</v>
      </c>
      <c r="D132" s="166">
        <f t="shared" si="55"/>
        <v>784</v>
      </c>
      <c r="E132" s="166">
        <f t="shared" si="56"/>
        <v>0</v>
      </c>
      <c r="F132" s="166">
        <f t="shared" si="57"/>
        <v>84540</v>
      </c>
      <c r="G132" s="166">
        <f t="shared" si="58"/>
        <v>0</v>
      </c>
      <c r="H132" s="165">
        <f t="shared" si="59"/>
        <v>0</v>
      </c>
      <c r="I132" s="165">
        <f t="shared" si="60"/>
        <v>19.301369863013683</v>
      </c>
      <c r="J132" s="167">
        <f t="shared" si="61"/>
        <v>0</v>
      </c>
      <c r="K132" s="167">
        <f t="shared" si="53"/>
        <v>2.3634703196347036</v>
      </c>
      <c r="L132" s="167">
        <f t="shared" si="62"/>
        <v>1</v>
      </c>
      <c r="M132" s="167">
        <f t="shared" si="63"/>
        <v>0.59086757990867578</v>
      </c>
    </row>
    <row r="133" spans="2:13" x14ac:dyDescent="0.4">
      <c r="B133" s="167" t="str">
        <f t="shared" si="54"/>
        <v>Campaign</v>
      </c>
      <c r="C133" s="166">
        <f>IF(B133="campaign", IF(COUNTIF($B$3:$B133,"Campaign")&gt;warmup_campaigns, long_campaign_duration, campaign_duration), 0)</f>
        <v>12</v>
      </c>
      <c r="D133" s="166">
        <f t="shared" si="55"/>
        <v>796</v>
      </c>
      <c r="E133" s="166">
        <f t="shared" si="56"/>
        <v>1294</v>
      </c>
      <c r="F133" s="166">
        <f t="shared" si="57"/>
        <v>85834</v>
      </c>
      <c r="G133" s="166">
        <f t="shared" si="58"/>
        <v>144</v>
      </c>
      <c r="H133" s="165">
        <f t="shared" si="59"/>
        <v>0.29543378995433789</v>
      </c>
      <c r="I133" s="165">
        <f t="shared" si="60"/>
        <v>19.596803652968021</v>
      </c>
      <c r="J133" s="167">
        <f t="shared" si="61"/>
        <v>0.29543378995433789</v>
      </c>
      <c r="K133" s="167">
        <f t="shared" ref="K133:K164" si="64">IF(B133="Blanket Maintenance",0,IFERROR(H133+K132,H133))</f>
        <v>2.6589041095890416</v>
      </c>
      <c r="L133" s="167">
        <f t="shared" si="62"/>
        <v>1</v>
      </c>
      <c r="M133" s="167">
        <f t="shared" si="63"/>
        <v>0.88630136986301367</v>
      </c>
    </row>
    <row r="134" spans="2:13" x14ac:dyDescent="0.4">
      <c r="B134" s="167" t="str">
        <f t="shared" si="54"/>
        <v>Minor Maintenance</v>
      </c>
      <c r="C134" s="166">
        <f>IF(B134="campaign", IF(COUNTIF($B$3:$B134,"Campaign")&gt;warmup_campaigns, long_campaign_duration, campaign_duration), 0)</f>
        <v>0</v>
      </c>
      <c r="D134" s="166">
        <f t="shared" si="55"/>
        <v>796</v>
      </c>
      <c r="E134" s="166">
        <f t="shared" si="56"/>
        <v>0</v>
      </c>
      <c r="F134" s="166">
        <f t="shared" si="57"/>
        <v>85834</v>
      </c>
      <c r="G134" s="166">
        <f t="shared" si="58"/>
        <v>0</v>
      </c>
      <c r="H134" s="165">
        <f t="shared" si="59"/>
        <v>0</v>
      </c>
      <c r="I134" s="165">
        <f t="shared" si="60"/>
        <v>19.596803652968021</v>
      </c>
      <c r="J134" s="167">
        <f t="shared" si="61"/>
        <v>0</v>
      </c>
      <c r="K134" s="167">
        <f t="shared" si="64"/>
        <v>2.6589041095890416</v>
      </c>
      <c r="L134" s="167">
        <f t="shared" si="62"/>
        <v>1</v>
      </c>
      <c r="M134" s="167">
        <f t="shared" si="63"/>
        <v>0.88630136986301367</v>
      </c>
    </row>
    <row r="135" spans="2:13" x14ac:dyDescent="0.4">
      <c r="B135" s="167" t="str">
        <f t="shared" si="54"/>
        <v>Campaign</v>
      </c>
      <c r="C135" s="166">
        <f>IF(B135="campaign", IF(COUNTIF($B$3:$B135,"Campaign")&gt;warmup_campaigns, long_campaign_duration, campaign_duration), 0)</f>
        <v>12</v>
      </c>
      <c r="D135" s="166">
        <f t="shared" si="55"/>
        <v>808</v>
      </c>
      <c r="E135" s="166">
        <f t="shared" si="56"/>
        <v>1294</v>
      </c>
      <c r="F135" s="166">
        <f t="shared" si="57"/>
        <v>87128</v>
      </c>
      <c r="G135" s="166">
        <f t="shared" si="58"/>
        <v>144</v>
      </c>
      <c r="H135" s="165">
        <f t="shared" si="59"/>
        <v>0.29543378995433789</v>
      </c>
      <c r="I135" s="165">
        <f t="shared" si="60"/>
        <v>19.892237442922358</v>
      </c>
      <c r="J135" s="167">
        <f t="shared" si="61"/>
        <v>0.29543378995433789</v>
      </c>
      <c r="K135" s="167">
        <f t="shared" si="64"/>
        <v>2.9543378995433796</v>
      </c>
      <c r="L135" s="167">
        <f t="shared" si="62"/>
        <v>1</v>
      </c>
      <c r="M135" s="167">
        <f t="shared" si="63"/>
        <v>1.1817351598173516</v>
      </c>
    </row>
    <row r="136" spans="2:13" x14ac:dyDescent="0.4">
      <c r="B136" s="167" t="str">
        <f t="shared" si="54"/>
        <v>Minor Maintenance</v>
      </c>
      <c r="C136" s="166">
        <f>IF(B136="campaign", IF(COUNTIF($B$3:$B136,"Campaign")&gt;warmup_campaigns, long_campaign_duration, campaign_duration), 0)</f>
        <v>0</v>
      </c>
      <c r="D136" s="166">
        <f t="shared" si="55"/>
        <v>808</v>
      </c>
      <c r="E136" s="166">
        <f t="shared" si="56"/>
        <v>0</v>
      </c>
      <c r="F136" s="166">
        <f t="shared" si="57"/>
        <v>87128</v>
      </c>
      <c r="G136" s="166">
        <f t="shared" si="58"/>
        <v>0</v>
      </c>
      <c r="H136" s="165">
        <f t="shared" si="59"/>
        <v>0</v>
      </c>
      <c r="I136" s="165">
        <f t="shared" si="60"/>
        <v>19.892237442922358</v>
      </c>
      <c r="J136" s="167">
        <f t="shared" si="61"/>
        <v>0</v>
      </c>
      <c r="K136" s="167">
        <f t="shared" si="64"/>
        <v>2.9543378995433796</v>
      </c>
      <c r="L136" s="167">
        <f t="shared" si="62"/>
        <v>1</v>
      </c>
      <c r="M136" s="167">
        <f t="shared" si="63"/>
        <v>1.1817351598173516</v>
      </c>
    </row>
    <row r="137" spans="2:13" x14ac:dyDescent="0.4">
      <c r="B137" s="167" t="str">
        <f t="shared" si="54"/>
        <v>Campaign</v>
      </c>
      <c r="C137" s="166">
        <f>IF(B137="campaign", IF(COUNTIF($B$3:$B137,"Campaign")&gt;warmup_campaigns, long_campaign_duration, campaign_duration), 0)</f>
        <v>12</v>
      </c>
      <c r="D137" s="166">
        <f t="shared" si="55"/>
        <v>820</v>
      </c>
      <c r="E137" s="166">
        <f t="shared" si="56"/>
        <v>1294</v>
      </c>
      <c r="F137" s="166">
        <f t="shared" si="57"/>
        <v>88422</v>
      </c>
      <c r="G137" s="166">
        <f t="shared" si="58"/>
        <v>144</v>
      </c>
      <c r="H137" s="165">
        <f t="shared" si="59"/>
        <v>0.29543378995433789</v>
      </c>
      <c r="I137" s="165">
        <f t="shared" si="60"/>
        <v>20.187671232876696</v>
      </c>
      <c r="J137" s="167">
        <f t="shared" si="61"/>
        <v>0.29543378995433789</v>
      </c>
      <c r="K137" s="167">
        <f t="shared" si="64"/>
        <v>3.2497716894977176</v>
      </c>
      <c r="L137" s="167">
        <f t="shared" si="62"/>
        <v>1</v>
      </c>
      <c r="M137" s="167">
        <f t="shared" si="63"/>
        <v>1.4771689497716896</v>
      </c>
    </row>
    <row r="138" spans="2:13" x14ac:dyDescent="0.4">
      <c r="B138" s="167" t="str">
        <f t="shared" si="54"/>
        <v>Minor Maintenance</v>
      </c>
      <c r="C138" s="166">
        <f>IF(B138="campaign", IF(COUNTIF($B$3:$B138,"Campaign")&gt;warmup_campaigns, long_campaign_duration, campaign_duration), 0)</f>
        <v>0</v>
      </c>
      <c r="D138" s="166">
        <f t="shared" si="55"/>
        <v>820</v>
      </c>
      <c r="E138" s="166">
        <f t="shared" si="56"/>
        <v>0</v>
      </c>
      <c r="F138" s="166">
        <f t="shared" si="57"/>
        <v>88422</v>
      </c>
      <c r="G138" s="166">
        <f t="shared" si="58"/>
        <v>0</v>
      </c>
      <c r="H138" s="165">
        <f t="shared" si="59"/>
        <v>0</v>
      </c>
      <c r="I138" s="165">
        <f t="shared" si="60"/>
        <v>20.187671232876696</v>
      </c>
      <c r="J138" s="167">
        <f t="shared" si="61"/>
        <v>0</v>
      </c>
      <c r="K138" s="167">
        <f t="shared" si="64"/>
        <v>3.2497716894977176</v>
      </c>
      <c r="L138" s="167">
        <f t="shared" si="62"/>
        <v>1</v>
      </c>
      <c r="M138" s="167">
        <f t="shared" si="63"/>
        <v>1.4771689497716896</v>
      </c>
    </row>
    <row r="139" spans="2:13" x14ac:dyDescent="0.4">
      <c r="B139" s="167" t="str">
        <f t="shared" si="54"/>
        <v>Campaign</v>
      </c>
      <c r="C139" s="166">
        <f>IF(B139="campaign", IF(COUNTIF($B$3:$B139,"Campaign")&gt;warmup_campaigns, long_campaign_duration, campaign_duration), 0)</f>
        <v>12</v>
      </c>
      <c r="D139" s="166">
        <f t="shared" si="55"/>
        <v>832</v>
      </c>
      <c r="E139" s="166">
        <f t="shared" si="56"/>
        <v>1294</v>
      </c>
      <c r="F139" s="166">
        <f t="shared" si="57"/>
        <v>89716</v>
      </c>
      <c r="G139" s="166">
        <f t="shared" si="58"/>
        <v>144</v>
      </c>
      <c r="H139" s="165">
        <f t="shared" si="59"/>
        <v>0.29543378995433789</v>
      </c>
      <c r="I139" s="165">
        <f t="shared" si="60"/>
        <v>20.483105022831033</v>
      </c>
      <c r="J139" s="167">
        <f t="shared" si="61"/>
        <v>0.29543378995433789</v>
      </c>
      <c r="K139" s="167">
        <f t="shared" si="64"/>
        <v>3.5452054794520556</v>
      </c>
      <c r="L139" s="167">
        <f t="shared" si="62"/>
        <v>1</v>
      </c>
      <c r="M139" s="167">
        <f t="shared" si="63"/>
        <v>1.7726027397260276</v>
      </c>
    </row>
    <row r="140" spans="2:13" x14ac:dyDescent="0.4">
      <c r="B140" s="167" t="str">
        <f t="shared" si="54"/>
        <v>Divertor Maintenance</v>
      </c>
      <c r="C140" s="166">
        <f>IF(B140="campaign", IF(COUNTIF($B$3:$B140,"Campaign")&gt;warmup_campaigns, long_campaign_duration, campaign_duration), 0)</f>
        <v>0</v>
      </c>
      <c r="D140" s="166">
        <f t="shared" si="55"/>
        <v>832</v>
      </c>
      <c r="E140" s="166">
        <f t="shared" si="56"/>
        <v>0</v>
      </c>
      <c r="F140" s="166">
        <f t="shared" si="57"/>
        <v>89716</v>
      </c>
      <c r="G140" s="166">
        <f t="shared" si="58"/>
        <v>0</v>
      </c>
      <c r="H140" s="165">
        <f t="shared" si="59"/>
        <v>0</v>
      </c>
      <c r="I140" s="165">
        <f t="shared" si="60"/>
        <v>20.483105022831033</v>
      </c>
      <c r="J140" s="167">
        <f t="shared" si="61"/>
        <v>0</v>
      </c>
      <c r="K140" s="167">
        <f t="shared" si="64"/>
        <v>3.5452054794520556</v>
      </c>
      <c r="L140" s="167">
        <f t="shared" si="62"/>
        <v>1</v>
      </c>
      <c r="M140" s="167">
        <f t="shared" si="63"/>
        <v>0</v>
      </c>
    </row>
    <row r="141" spans="2:13" x14ac:dyDescent="0.4">
      <c r="B141" s="167" t="str">
        <f t="shared" si="54"/>
        <v>Campaign</v>
      </c>
      <c r="C141" s="166">
        <f>IF(B141="campaign", IF(COUNTIF($B$3:$B141,"Campaign")&gt;warmup_campaigns, long_campaign_duration, campaign_duration), 0)</f>
        <v>12</v>
      </c>
      <c r="D141" s="166">
        <f t="shared" si="55"/>
        <v>844</v>
      </c>
      <c r="E141" s="166">
        <f t="shared" si="56"/>
        <v>1294</v>
      </c>
      <c r="F141" s="166">
        <f t="shared" si="57"/>
        <v>91010</v>
      </c>
      <c r="G141" s="166">
        <f t="shared" si="58"/>
        <v>144</v>
      </c>
      <c r="H141" s="165">
        <f t="shared" si="59"/>
        <v>0.29543378995433789</v>
      </c>
      <c r="I141" s="165">
        <f t="shared" si="60"/>
        <v>20.778538812785371</v>
      </c>
      <c r="J141" s="167">
        <f t="shared" si="61"/>
        <v>0.29543378995433789</v>
      </c>
      <c r="K141" s="167">
        <f t="shared" si="64"/>
        <v>3.8406392694063936</v>
      </c>
      <c r="L141" s="167">
        <f t="shared" si="62"/>
        <v>1</v>
      </c>
      <c r="M141" s="167">
        <f t="shared" si="63"/>
        <v>0.29543378995433789</v>
      </c>
    </row>
    <row r="142" spans="2:13" x14ac:dyDescent="0.4">
      <c r="B142" s="167" t="str">
        <f t="shared" si="54"/>
        <v>Minor Maintenance</v>
      </c>
      <c r="C142" s="166">
        <f>IF(B142="campaign", IF(COUNTIF($B$3:$B142,"Campaign")&gt;warmup_campaigns, long_campaign_duration, campaign_duration), 0)</f>
        <v>0</v>
      </c>
      <c r="D142" s="166">
        <f t="shared" si="55"/>
        <v>844</v>
      </c>
      <c r="E142" s="166">
        <f t="shared" si="56"/>
        <v>0</v>
      </c>
      <c r="F142" s="166">
        <f t="shared" si="57"/>
        <v>91010</v>
      </c>
      <c r="G142" s="166">
        <f t="shared" si="58"/>
        <v>0</v>
      </c>
      <c r="H142" s="165">
        <f t="shared" si="59"/>
        <v>0</v>
      </c>
      <c r="I142" s="165">
        <f t="shared" si="60"/>
        <v>20.778538812785371</v>
      </c>
      <c r="J142" s="167">
        <f t="shared" si="61"/>
        <v>0</v>
      </c>
      <c r="K142" s="167">
        <f t="shared" si="64"/>
        <v>3.8406392694063936</v>
      </c>
      <c r="L142" s="167">
        <f t="shared" si="62"/>
        <v>1</v>
      </c>
      <c r="M142" s="167">
        <f t="shared" si="63"/>
        <v>0.29543378995433789</v>
      </c>
    </row>
    <row r="143" spans="2:13" x14ac:dyDescent="0.4">
      <c r="B143" s="167" t="str">
        <f t="shared" si="54"/>
        <v>Campaign</v>
      </c>
      <c r="C143" s="166">
        <f>IF(B143="campaign", IF(COUNTIF($B$3:$B143,"Campaign")&gt;warmup_campaigns, long_campaign_duration, campaign_duration), 0)</f>
        <v>12</v>
      </c>
      <c r="D143" s="166">
        <f t="shared" si="55"/>
        <v>856</v>
      </c>
      <c r="E143" s="166">
        <f t="shared" si="56"/>
        <v>1294</v>
      </c>
      <c r="F143" s="166">
        <f t="shared" si="57"/>
        <v>92304</v>
      </c>
      <c r="G143" s="166">
        <f t="shared" si="58"/>
        <v>144</v>
      </c>
      <c r="H143" s="165">
        <f t="shared" si="59"/>
        <v>0.29543378995433789</v>
      </c>
      <c r="I143" s="165">
        <f t="shared" si="60"/>
        <v>21.073972602739708</v>
      </c>
      <c r="J143" s="167">
        <f t="shared" si="61"/>
        <v>0.29543378995433789</v>
      </c>
      <c r="K143" s="167">
        <f t="shared" si="64"/>
        <v>4.1360730593607311</v>
      </c>
      <c r="L143" s="167">
        <f t="shared" si="62"/>
        <v>1</v>
      </c>
      <c r="M143" s="167">
        <f t="shared" si="63"/>
        <v>0.59086757990867578</v>
      </c>
    </row>
    <row r="144" spans="2:13" x14ac:dyDescent="0.4">
      <c r="B144" s="167" t="str">
        <f t="shared" si="54"/>
        <v>Minor Maintenance</v>
      </c>
      <c r="C144" s="166">
        <f>IF(B144="campaign", IF(COUNTIF($B$3:$B144,"Campaign")&gt;warmup_campaigns, long_campaign_duration, campaign_duration), 0)</f>
        <v>0</v>
      </c>
      <c r="D144" s="166">
        <f t="shared" si="55"/>
        <v>856</v>
      </c>
      <c r="E144" s="166">
        <f t="shared" si="56"/>
        <v>0</v>
      </c>
      <c r="F144" s="166">
        <f t="shared" si="57"/>
        <v>92304</v>
      </c>
      <c r="G144" s="166">
        <f t="shared" si="58"/>
        <v>0</v>
      </c>
      <c r="H144" s="165">
        <f t="shared" si="59"/>
        <v>0</v>
      </c>
      <c r="I144" s="165">
        <f t="shared" si="60"/>
        <v>21.073972602739708</v>
      </c>
      <c r="J144" s="167">
        <f t="shared" si="61"/>
        <v>0</v>
      </c>
      <c r="K144" s="167">
        <f t="shared" si="64"/>
        <v>4.1360730593607311</v>
      </c>
      <c r="L144" s="167">
        <f t="shared" si="62"/>
        <v>1</v>
      </c>
      <c r="M144" s="167">
        <f t="shared" si="63"/>
        <v>0.59086757990867578</v>
      </c>
    </row>
    <row r="145" spans="2:13" x14ac:dyDescent="0.4">
      <c r="B145" s="167" t="str">
        <f t="shared" si="54"/>
        <v>Campaign</v>
      </c>
      <c r="C145" s="166">
        <f>IF(B145="campaign", IF(COUNTIF($B$3:$B145,"Campaign")&gt;warmup_campaigns, long_campaign_duration, campaign_duration), 0)</f>
        <v>12</v>
      </c>
      <c r="D145" s="166">
        <f t="shared" si="55"/>
        <v>868</v>
      </c>
      <c r="E145" s="166">
        <f t="shared" si="56"/>
        <v>1294</v>
      </c>
      <c r="F145" s="166">
        <f t="shared" si="57"/>
        <v>93598</v>
      </c>
      <c r="G145" s="166">
        <f t="shared" si="58"/>
        <v>144</v>
      </c>
      <c r="H145" s="165">
        <f t="shared" si="59"/>
        <v>0.29543378995433789</v>
      </c>
      <c r="I145" s="165">
        <f t="shared" si="60"/>
        <v>21.369406392694046</v>
      </c>
      <c r="J145" s="167">
        <f t="shared" si="61"/>
        <v>0.29543378995433789</v>
      </c>
      <c r="K145" s="167">
        <f t="shared" si="64"/>
        <v>4.4315068493150687</v>
      </c>
      <c r="L145" s="167">
        <f t="shared" si="62"/>
        <v>1</v>
      </c>
      <c r="M145" s="167">
        <f t="shared" si="63"/>
        <v>0.88630136986301367</v>
      </c>
    </row>
    <row r="146" spans="2:13" x14ac:dyDescent="0.4">
      <c r="B146" s="167" t="str">
        <f t="shared" si="54"/>
        <v>Minor Maintenance</v>
      </c>
      <c r="C146" s="166">
        <f>IF(B146="campaign", IF(COUNTIF($B$3:$B146,"Campaign")&gt;warmup_campaigns, long_campaign_duration, campaign_duration), 0)</f>
        <v>0</v>
      </c>
      <c r="D146" s="166">
        <f t="shared" si="55"/>
        <v>868</v>
      </c>
      <c r="E146" s="166">
        <f t="shared" si="56"/>
        <v>0</v>
      </c>
      <c r="F146" s="166">
        <f t="shared" si="57"/>
        <v>93598</v>
      </c>
      <c r="G146" s="166">
        <f t="shared" si="58"/>
        <v>0</v>
      </c>
      <c r="H146" s="165">
        <f t="shared" si="59"/>
        <v>0</v>
      </c>
      <c r="I146" s="165">
        <f t="shared" si="60"/>
        <v>21.369406392694046</v>
      </c>
      <c r="J146" s="167">
        <f t="shared" si="61"/>
        <v>0</v>
      </c>
      <c r="K146" s="167">
        <f t="shared" si="64"/>
        <v>4.4315068493150687</v>
      </c>
      <c r="L146" s="167">
        <f t="shared" si="62"/>
        <v>1</v>
      </c>
      <c r="M146" s="167">
        <f t="shared" si="63"/>
        <v>0.88630136986301367</v>
      </c>
    </row>
    <row r="147" spans="2:13" x14ac:dyDescent="0.4">
      <c r="B147" s="167" t="str">
        <f t="shared" si="54"/>
        <v>Campaign</v>
      </c>
      <c r="C147" s="166">
        <f>IF(B147="campaign", IF(COUNTIF($B$3:$B147,"Campaign")&gt;warmup_campaigns, long_campaign_duration, campaign_duration), 0)</f>
        <v>12</v>
      </c>
      <c r="D147" s="166">
        <f t="shared" si="55"/>
        <v>880</v>
      </c>
      <c r="E147" s="166">
        <f t="shared" si="56"/>
        <v>1294</v>
      </c>
      <c r="F147" s="166">
        <f t="shared" si="57"/>
        <v>94892</v>
      </c>
      <c r="G147" s="166">
        <f t="shared" si="58"/>
        <v>144</v>
      </c>
      <c r="H147" s="165">
        <f t="shared" si="59"/>
        <v>0.29543378995433789</v>
      </c>
      <c r="I147" s="165">
        <f t="shared" si="60"/>
        <v>21.664840182648383</v>
      </c>
      <c r="J147" s="167">
        <f t="shared" si="61"/>
        <v>0.29543378995433789</v>
      </c>
      <c r="K147" s="167">
        <f t="shared" si="64"/>
        <v>4.7269406392694062</v>
      </c>
      <c r="L147" s="167">
        <f t="shared" si="62"/>
        <v>1</v>
      </c>
      <c r="M147" s="167">
        <f t="shared" si="63"/>
        <v>1.1817351598173516</v>
      </c>
    </row>
    <row r="148" spans="2:13" x14ac:dyDescent="0.4">
      <c r="B148" s="167" t="str">
        <f t="shared" si="54"/>
        <v>Minor Maintenance</v>
      </c>
      <c r="C148" s="166">
        <f>IF(B148="campaign", IF(COUNTIF($B$3:$B148,"Campaign")&gt;warmup_campaigns, long_campaign_duration, campaign_duration), 0)</f>
        <v>0</v>
      </c>
      <c r="D148" s="166">
        <f t="shared" si="55"/>
        <v>880</v>
      </c>
      <c r="E148" s="166">
        <f t="shared" si="56"/>
        <v>0</v>
      </c>
      <c r="F148" s="166">
        <f t="shared" si="57"/>
        <v>94892</v>
      </c>
      <c r="G148" s="166">
        <f t="shared" si="58"/>
        <v>0</v>
      </c>
      <c r="H148" s="165">
        <f t="shared" si="59"/>
        <v>0</v>
      </c>
      <c r="I148" s="165">
        <f t="shared" si="60"/>
        <v>21.664840182648383</v>
      </c>
      <c r="J148" s="167">
        <f t="shared" si="61"/>
        <v>0</v>
      </c>
      <c r="K148" s="167">
        <f t="shared" si="64"/>
        <v>4.7269406392694062</v>
      </c>
      <c r="L148" s="167">
        <f t="shared" si="62"/>
        <v>1</v>
      </c>
      <c r="M148" s="167">
        <f t="shared" si="63"/>
        <v>1.1817351598173516</v>
      </c>
    </row>
    <row r="149" spans="2:13" x14ac:dyDescent="0.4">
      <c r="B149" s="167" t="str">
        <f t="shared" si="54"/>
        <v>Campaign</v>
      </c>
      <c r="C149" s="166">
        <f>IF(B149="campaign", IF(COUNTIF($B$3:$B149,"Campaign")&gt;warmup_campaigns, long_campaign_duration, campaign_duration), 0)</f>
        <v>12</v>
      </c>
      <c r="D149" s="166">
        <f t="shared" si="55"/>
        <v>892</v>
      </c>
      <c r="E149" s="166">
        <f t="shared" si="56"/>
        <v>1294</v>
      </c>
      <c r="F149" s="166">
        <f t="shared" si="57"/>
        <v>96186</v>
      </c>
      <c r="G149" s="166">
        <f t="shared" si="58"/>
        <v>144</v>
      </c>
      <c r="H149" s="165">
        <f t="shared" si="59"/>
        <v>0.29543378995433789</v>
      </c>
      <c r="I149" s="165">
        <f t="shared" si="60"/>
        <v>21.960273972602721</v>
      </c>
      <c r="J149" s="167">
        <f t="shared" si="61"/>
        <v>0.29543378995433789</v>
      </c>
      <c r="K149" s="167">
        <f t="shared" si="64"/>
        <v>5.0223744292237438</v>
      </c>
      <c r="L149" s="167">
        <f t="shared" si="62"/>
        <v>1</v>
      </c>
      <c r="M149" s="167">
        <f t="shared" si="63"/>
        <v>1.4771689497716896</v>
      </c>
    </row>
    <row r="150" spans="2:13" x14ac:dyDescent="0.4">
      <c r="B150" s="167" t="str">
        <f t="shared" si="54"/>
        <v>Blanket Maintenance</v>
      </c>
      <c r="C150" s="166">
        <f>IF(B150="campaign", IF(COUNTIF($B$3:$B150,"Campaign")&gt;warmup_campaigns, long_campaign_duration, campaign_duration), 0)</f>
        <v>0</v>
      </c>
      <c r="D150" s="166">
        <f t="shared" si="55"/>
        <v>892</v>
      </c>
      <c r="E150" s="166">
        <f t="shared" si="56"/>
        <v>0</v>
      </c>
      <c r="F150" s="166">
        <f t="shared" si="57"/>
        <v>96186</v>
      </c>
      <c r="G150" s="166">
        <f t="shared" si="58"/>
        <v>0</v>
      </c>
      <c r="H150" s="165">
        <f t="shared" si="59"/>
        <v>0</v>
      </c>
      <c r="I150" s="165">
        <f t="shared" si="60"/>
        <v>21.960273972602721</v>
      </c>
      <c r="J150" s="167">
        <f t="shared" si="61"/>
        <v>0</v>
      </c>
      <c r="K150" s="167">
        <f t="shared" si="64"/>
        <v>0</v>
      </c>
      <c r="L150" s="167">
        <f t="shared" si="62"/>
        <v>1</v>
      </c>
      <c r="M150" s="167">
        <f t="shared" si="63"/>
        <v>0</v>
      </c>
    </row>
    <row r="151" spans="2:13" x14ac:dyDescent="0.4">
      <c r="B151" s="167" t="str">
        <f t="shared" si="54"/>
        <v>Campaign</v>
      </c>
      <c r="C151" s="166">
        <f>IF(B151="campaign", IF(COUNTIF($B$3:$B151,"Campaign")&gt;warmup_campaigns, long_campaign_duration, campaign_duration), 0)</f>
        <v>12</v>
      </c>
      <c r="D151" s="166">
        <f t="shared" si="55"/>
        <v>904</v>
      </c>
      <c r="E151" s="166">
        <f t="shared" si="56"/>
        <v>1294</v>
      </c>
      <c r="F151" s="166">
        <f t="shared" si="57"/>
        <v>97480</v>
      </c>
      <c r="G151" s="166">
        <f t="shared" si="58"/>
        <v>144</v>
      </c>
      <c r="H151" s="165">
        <f t="shared" si="59"/>
        <v>0.29543378995433789</v>
      </c>
      <c r="I151" s="165">
        <f t="shared" si="60"/>
        <v>22.255707762557059</v>
      </c>
      <c r="J151" s="167">
        <f t="shared" si="61"/>
        <v>0.29543378995433789</v>
      </c>
      <c r="K151" s="167">
        <f t="shared" si="64"/>
        <v>0.29543378995433789</v>
      </c>
      <c r="L151" s="167">
        <f t="shared" si="62"/>
        <v>1</v>
      </c>
      <c r="M151" s="167">
        <f t="shared" si="63"/>
        <v>0.29543378995433789</v>
      </c>
    </row>
    <row r="152" spans="2:13" x14ac:dyDescent="0.4">
      <c r="B152" s="167" t="str">
        <f t="shared" si="54"/>
        <v>Minor Maintenance</v>
      </c>
      <c r="C152" s="166">
        <f>IF(B152="campaign", IF(COUNTIF($B$3:$B152,"Campaign")&gt;warmup_campaigns, long_campaign_duration, campaign_duration), 0)</f>
        <v>0</v>
      </c>
      <c r="D152" s="166">
        <f t="shared" si="55"/>
        <v>904</v>
      </c>
      <c r="E152" s="166">
        <f t="shared" si="56"/>
        <v>0</v>
      </c>
      <c r="F152" s="166">
        <f t="shared" si="57"/>
        <v>97480</v>
      </c>
      <c r="G152" s="166">
        <f t="shared" si="58"/>
        <v>0</v>
      </c>
      <c r="H152" s="165">
        <f t="shared" si="59"/>
        <v>0</v>
      </c>
      <c r="I152" s="165">
        <f t="shared" si="60"/>
        <v>22.255707762557059</v>
      </c>
      <c r="J152" s="167">
        <f t="shared" si="61"/>
        <v>0</v>
      </c>
      <c r="K152" s="167">
        <f t="shared" si="64"/>
        <v>0.29543378995433789</v>
      </c>
      <c r="L152" s="167">
        <f t="shared" si="62"/>
        <v>1</v>
      </c>
      <c r="M152" s="167">
        <f t="shared" si="63"/>
        <v>0.29543378995433789</v>
      </c>
    </row>
    <row r="153" spans="2:13" x14ac:dyDescent="0.4">
      <c r="B153" s="167" t="str">
        <f t="shared" si="54"/>
        <v>Campaign</v>
      </c>
      <c r="C153" s="166">
        <f>IF(B153="campaign", IF(COUNTIF($B$3:$B153,"Campaign")&gt;warmup_campaigns, long_campaign_duration, campaign_duration), 0)</f>
        <v>12</v>
      </c>
      <c r="D153" s="166">
        <f t="shared" si="55"/>
        <v>916</v>
      </c>
      <c r="E153" s="166">
        <f t="shared" si="56"/>
        <v>1294</v>
      </c>
      <c r="F153" s="166">
        <f t="shared" si="57"/>
        <v>98774</v>
      </c>
      <c r="G153" s="166">
        <f t="shared" si="58"/>
        <v>144</v>
      </c>
      <c r="H153" s="165">
        <f t="shared" si="59"/>
        <v>0.29543378995433789</v>
      </c>
      <c r="I153" s="165">
        <f t="shared" si="60"/>
        <v>22.551141552511396</v>
      </c>
      <c r="J153" s="167">
        <f t="shared" si="61"/>
        <v>0.29543378995433789</v>
      </c>
      <c r="K153" s="167">
        <f t="shared" si="64"/>
        <v>0.59086757990867578</v>
      </c>
      <c r="L153" s="167">
        <f t="shared" si="62"/>
        <v>1</v>
      </c>
      <c r="M153" s="167">
        <f t="shared" si="63"/>
        <v>0.59086757990867578</v>
      </c>
    </row>
    <row r="154" spans="2:13" x14ac:dyDescent="0.4">
      <c r="B154" s="167" t="str">
        <f t="shared" si="54"/>
        <v>Minor Maintenance</v>
      </c>
      <c r="C154" s="166">
        <f>IF(B154="campaign", IF(COUNTIF($B$3:$B154,"Campaign")&gt;warmup_campaigns, long_campaign_duration, campaign_duration), 0)</f>
        <v>0</v>
      </c>
      <c r="D154" s="166">
        <f t="shared" si="55"/>
        <v>916</v>
      </c>
      <c r="E154" s="166">
        <f t="shared" si="56"/>
        <v>0</v>
      </c>
      <c r="F154" s="166">
        <f t="shared" si="57"/>
        <v>98774</v>
      </c>
      <c r="G154" s="166">
        <f t="shared" si="58"/>
        <v>0</v>
      </c>
      <c r="H154" s="165">
        <f t="shared" si="59"/>
        <v>0</v>
      </c>
      <c r="I154" s="165">
        <f t="shared" si="60"/>
        <v>22.551141552511396</v>
      </c>
      <c r="J154" s="167">
        <f t="shared" si="61"/>
        <v>0</v>
      </c>
      <c r="K154" s="167">
        <f t="shared" si="64"/>
        <v>0.59086757990867578</v>
      </c>
      <c r="L154" s="167">
        <f t="shared" si="62"/>
        <v>1</v>
      </c>
      <c r="M154" s="167">
        <f t="shared" si="63"/>
        <v>0.59086757990867578</v>
      </c>
    </row>
    <row r="155" spans="2:13" x14ac:dyDescent="0.4">
      <c r="B155" s="167" t="str">
        <f t="shared" si="54"/>
        <v>Campaign</v>
      </c>
      <c r="C155" s="166">
        <f>IF(B155="campaign", IF(COUNTIF($B$3:$B155,"Campaign")&gt;warmup_campaigns, long_campaign_duration, campaign_duration), 0)</f>
        <v>12</v>
      </c>
      <c r="D155" s="166">
        <f t="shared" si="55"/>
        <v>928</v>
      </c>
      <c r="E155" s="166">
        <f t="shared" si="56"/>
        <v>1294</v>
      </c>
      <c r="F155" s="166">
        <f t="shared" si="57"/>
        <v>100068</v>
      </c>
      <c r="G155" s="166">
        <f t="shared" si="58"/>
        <v>144</v>
      </c>
      <c r="H155" s="165">
        <f t="shared" si="59"/>
        <v>0.29543378995433789</v>
      </c>
      <c r="I155" s="165">
        <f t="shared" si="60"/>
        <v>22.846575342465734</v>
      </c>
      <c r="J155" s="167">
        <f t="shared" si="61"/>
        <v>0.29543378995433789</v>
      </c>
      <c r="K155" s="167">
        <f t="shared" si="64"/>
        <v>0.88630136986301367</v>
      </c>
      <c r="L155" s="167">
        <f t="shared" si="62"/>
        <v>1</v>
      </c>
      <c r="M155" s="167">
        <f t="shared" si="63"/>
        <v>0.88630136986301367</v>
      </c>
    </row>
    <row r="156" spans="2:13" x14ac:dyDescent="0.4">
      <c r="B156" s="167" t="str">
        <f t="shared" si="54"/>
        <v>Minor Maintenance</v>
      </c>
      <c r="C156" s="166">
        <f>IF(B156="campaign", IF(COUNTIF($B$3:$B156,"Campaign")&gt;warmup_campaigns, long_campaign_duration, campaign_duration), 0)</f>
        <v>0</v>
      </c>
      <c r="D156" s="166">
        <f t="shared" si="55"/>
        <v>928</v>
      </c>
      <c r="E156" s="166">
        <f t="shared" si="56"/>
        <v>0</v>
      </c>
      <c r="F156" s="166">
        <f t="shared" si="57"/>
        <v>100068</v>
      </c>
      <c r="G156" s="166">
        <f t="shared" si="58"/>
        <v>0</v>
      </c>
      <c r="H156" s="165">
        <f t="shared" si="59"/>
        <v>0</v>
      </c>
      <c r="I156" s="165">
        <f t="shared" si="60"/>
        <v>22.846575342465734</v>
      </c>
      <c r="J156" s="167">
        <f t="shared" si="61"/>
        <v>0</v>
      </c>
      <c r="K156" s="167">
        <f t="shared" si="64"/>
        <v>0.88630136986301367</v>
      </c>
      <c r="L156" s="167">
        <f t="shared" si="62"/>
        <v>1</v>
      </c>
      <c r="M156" s="167">
        <f t="shared" si="63"/>
        <v>0.88630136986301367</v>
      </c>
    </row>
    <row r="157" spans="2:13" x14ac:dyDescent="0.4">
      <c r="B157" s="167" t="str">
        <f t="shared" si="54"/>
        <v>Campaign</v>
      </c>
      <c r="C157" s="166">
        <f>IF(B157="campaign", IF(COUNTIF($B$3:$B157,"Campaign")&gt;warmup_campaigns, long_campaign_duration, campaign_duration), 0)</f>
        <v>12</v>
      </c>
      <c r="D157" s="166">
        <f t="shared" si="55"/>
        <v>940</v>
      </c>
      <c r="E157" s="166">
        <f t="shared" si="56"/>
        <v>1294</v>
      </c>
      <c r="F157" s="166">
        <f t="shared" si="57"/>
        <v>101362</v>
      </c>
      <c r="G157" s="166">
        <f t="shared" si="58"/>
        <v>144</v>
      </c>
      <c r="H157" s="165">
        <f t="shared" si="59"/>
        <v>0.29543378995433789</v>
      </c>
      <c r="I157" s="165">
        <f t="shared" si="60"/>
        <v>23.142009132420071</v>
      </c>
      <c r="J157" s="167">
        <f t="shared" si="61"/>
        <v>0.29543378995433789</v>
      </c>
      <c r="K157" s="167">
        <f t="shared" si="64"/>
        <v>1.1817351598173516</v>
      </c>
      <c r="L157" s="167">
        <f t="shared" si="62"/>
        <v>1</v>
      </c>
      <c r="M157" s="167">
        <f t="shared" si="63"/>
        <v>1.1817351598173516</v>
      </c>
    </row>
    <row r="158" spans="2:13" x14ac:dyDescent="0.4">
      <c r="B158" s="167" t="str">
        <f t="shared" si="54"/>
        <v>Minor Maintenance</v>
      </c>
      <c r="C158" s="166">
        <f>IF(B158="campaign", IF(COUNTIF($B$3:$B158,"Campaign")&gt;warmup_campaigns, long_campaign_duration, campaign_duration), 0)</f>
        <v>0</v>
      </c>
      <c r="D158" s="166">
        <f t="shared" si="55"/>
        <v>940</v>
      </c>
      <c r="E158" s="166">
        <f t="shared" si="56"/>
        <v>0</v>
      </c>
      <c r="F158" s="166">
        <f t="shared" si="57"/>
        <v>101362</v>
      </c>
      <c r="G158" s="166">
        <f t="shared" si="58"/>
        <v>0</v>
      </c>
      <c r="H158" s="165">
        <f t="shared" si="59"/>
        <v>0</v>
      </c>
      <c r="I158" s="165">
        <f t="shared" si="60"/>
        <v>23.142009132420071</v>
      </c>
      <c r="J158" s="167">
        <f t="shared" si="61"/>
        <v>0</v>
      </c>
      <c r="K158" s="167">
        <f t="shared" si="64"/>
        <v>1.1817351598173516</v>
      </c>
      <c r="L158" s="167">
        <f t="shared" si="62"/>
        <v>1</v>
      </c>
      <c r="M158" s="167">
        <f t="shared" si="63"/>
        <v>1.1817351598173516</v>
      </c>
    </row>
    <row r="159" spans="2:13" x14ac:dyDescent="0.4">
      <c r="B159" s="167" t="str">
        <f t="shared" si="54"/>
        <v>Campaign</v>
      </c>
      <c r="C159" s="166">
        <f>IF(B159="campaign", IF(COUNTIF($B$3:$B159,"Campaign")&gt;warmup_campaigns, long_campaign_duration, campaign_duration), 0)</f>
        <v>12</v>
      </c>
      <c r="D159" s="166">
        <f t="shared" si="55"/>
        <v>952</v>
      </c>
      <c r="E159" s="166">
        <f t="shared" si="56"/>
        <v>1294</v>
      </c>
      <c r="F159" s="166">
        <f t="shared" si="57"/>
        <v>102656</v>
      </c>
      <c r="G159" s="166">
        <f t="shared" si="58"/>
        <v>144</v>
      </c>
      <c r="H159" s="165">
        <f t="shared" si="59"/>
        <v>0.29543378995433789</v>
      </c>
      <c r="I159" s="165">
        <f t="shared" si="60"/>
        <v>23.437442922374409</v>
      </c>
      <c r="J159" s="167">
        <f t="shared" si="61"/>
        <v>0.29543378995433789</v>
      </c>
      <c r="K159" s="167">
        <f t="shared" si="64"/>
        <v>1.4771689497716896</v>
      </c>
      <c r="L159" s="167">
        <f t="shared" si="62"/>
        <v>1</v>
      </c>
      <c r="M159" s="167">
        <f t="shared" si="63"/>
        <v>1.4771689497716896</v>
      </c>
    </row>
    <row r="160" spans="2:13" x14ac:dyDescent="0.4">
      <c r="B160" s="167" t="str">
        <f t="shared" si="54"/>
        <v>Minor Maintenance</v>
      </c>
      <c r="C160" s="166">
        <f>IF(B160="campaign", IF(COUNTIF($B$3:$B160,"Campaign")&gt;warmup_campaigns, long_campaign_duration, campaign_duration), 0)</f>
        <v>0</v>
      </c>
      <c r="D160" s="166">
        <f t="shared" si="55"/>
        <v>952</v>
      </c>
      <c r="E160" s="166">
        <f t="shared" si="56"/>
        <v>0</v>
      </c>
      <c r="F160" s="166">
        <f t="shared" si="57"/>
        <v>102656</v>
      </c>
      <c r="G160" s="166">
        <f t="shared" si="58"/>
        <v>0</v>
      </c>
      <c r="H160" s="165">
        <f t="shared" si="59"/>
        <v>0</v>
      </c>
      <c r="I160" s="165">
        <f t="shared" si="60"/>
        <v>23.437442922374409</v>
      </c>
      <c r="J160" s="167">
        <f t="shared" si="61"/>
        <v>0</v>
      </c>
      <c r="K160" s="167">
        <f t="shared" si="64"/>
        <v>1.4771689497716896</v>
      </c>
      <c r="L160" s="167">
        <f t="shared" si="62"/>
        <v>1</v>
      </c>
      <c r="M160" s="167">
        <f t="shared" si="63"/>
        <v>1.4771689497716896</v>
      </c>
    </row>
    <row r="161" spans="2:13" x14ac:dyDescent="0.4">
      <c r="B161" s="167" t="str">
        <f t="shared" si="54"/>
        <v>Campaign</v>
      </c>
      <c r="C161" s="166">
        <f>IF(B161="campaign", IF(COUNTIF($B$3:$B161,"Campaign")&gt;warmup_campaigns, long_campaign_duration, campaign_duration), 0)</f>
        <v>12</v>
      </c>
      <c r="D161" s="166">
        <f t="shared" si="55"/>
        <v>964</v>
      </c>
      <c r="E161" s="166">
        <f t="shared" si="56"/>
        <v>1294</v>
      </c>
      <c r="F161" s="166">
        <f t="shared" si="57"/>
        <v>103950</v>
      </c>
      <c r="G161" s="166">
        <f t="shared" si="58"/>
        <v>144</v>
      </c>
      <c r="H161" s="165">
        <f t="shared" si="59"/>
        <v>0.29543378995433789</v>
      </c>
      <c r="I161" s="165">
        <f t="shared" si="60"/>
        <v>23.732876712328746</v>
      </c>
      <c r="J161" s="167">
        <f t="shared" si="61"/>
        <v>0.29543378995433789</v>
      </c>
      <c r="K161" s="167">
        <f t="shared" si="64"/>
        <v>1.7726027397260276</v>
      </c>
      <c r="L161" s="167">
        <f t="shared" si="62"/>
        <v>1</v>
      </c>
      <c r="M161" s="167">
        <f t="shared" si="63"/>
        <v>1.7726027397260276</v>
      </c>
    </row>
    <row r="162" spans="2:13" x14ac:dyDescent="0.4">
      <c r="B162" s="167" t="str">
        <f t="shared" si="54"/>
        <v>Divertor Maintenance</v>
      </c>
      <c r="C162" s="166">
        <f>IF(B162="campaign", IF(COUNTIF($B$3:$B162,"Campaign")&gt;warmup_campaigns, long_campaign_duration, campaign_duration), 0)</f>
        <v>0</v>
      </c>
      <c r="D162" s="166">
        <f t="shared" si="55"/>
        <v>964</v>
      </c>
      <c r="E162" s="166">
        <f t="shared" si="56"/>
        <v>0</v>
      </c>
      <c r="F162" s="166">
        <f t="shared" si="57"/>
        <v>103950</v>
      </c>
      <c r="G162" s="166">
        <f t="shared" si="58"/>
        <v>0</v>
      </c>
      <c r="H162" s="165">
        <f t="shared" si="59"/>
        <v>0</v>
      </c>
      <c r="I162" s="165">
        <f t="shared" si="60"/>
        <v>23.732876712328746</v>
      </c>
      <c r="J162" s="167">
        <f t="shared" si="61"/>
        <v>0</v>
      </c>
      <c r="K162" s="167">
        <f t="shared" si="64"/>
        <v>1.7726027397260276</v>
      </c>
      <c r="L162" s="167">
        <f t="shared" si="62"/>
        <v>1</v>
      </c>
      <c r="M162" s="167">
        <f t="shared" si="63"/>
        <v>0</v>
      </c>
    </row>
    <row r="163" spans="2:13" x14ac:dyDescent="0.4">
      <c r="B163" s="167" t="str">
        <f t="shared" ref="B163:B184" si="65">IF(B162&lt;&gt;"Campaign","Campaign",IF(AND((ROUND(K162,3)+campaign_fpy)&gt;=starter_blanket_lifetime,L162=0),"Blanket Maintenance",IF(AND((ROUND(K162,3)+campaign_fpy)&gt;=second_blanket_lifetime,L162=1),"Blanket Maintenance",IF((ROUND(M162,3)+campaign_fpy)&gt;=divertor_cassette_lifetime,"Divertor Maintenance",IF((ROUNDUP(J162,3)+campaign_fpy)&gt;=ROUNDUP(minor_maintenance_intervals,3),"Minor Maintenance","Campaign")))))</f>
        <v>Campaign</v>
      </c>
      <c r="C163" s="166">
        <f>IF(B163="campaign", IF(COUNTIF($B$3:$B163,"Campaign")&gt;warmup_campaigns, long_campaign_duration, campaign_duration), 0)</f>
        <v>12</v>
      </c>
      <c r="D163" s="166">
        <f t="shared" ref="D163:D184" si="66">IFERROR(C163+D162, C163)</f>
        <v>976</v>
      </c>
      <c r="E163" s="166">
        <f t="shared" ref="E163:E184" si="67">ROUNDDOWN((C163*( (sequence_duration-interim_maintenace_period)*Pulse_per_day)),0)</f>
        <v>1294</v>
      </c>
      <c r="F163" s="166">
        <f t="shared" ref="F163:F184" si="68">IFERROR(E163+F162,E163)</f>
        <v>105244</v>
      </c>
      <c r="G163" s="166">
        <f t="shared" ref="G163:G184" si="69">IF($B163="campaign", C163*(sequence_duration*(power_generation_period/sequence_duration)), 0)</f>
        <v>144</v>
      </c>
      <c r="H163" s="165">
        <f t="shared" ref="H163:H184" si="70">(E163*pulse_time/(365*24))</f>
        <v>0.29543378995433789</v>
      </c>
      <c r="I163" s="165">
        <f t="shared" ref="I163:I184" si="71">IF($B163="Campaign", IFERROR(H163+I162, H163), I162)</f>
        <v>24.028310502283084</v>
      </c>
      <c r="J163" s="167">
        <f t="shared" ref="J163:J184" si="72">IF(B163&lt;&gt;"Campaign",0,(IFERROR(H163+J162,H163)))</f>
        <v>0.29543378995433789</v>
      </c>
      <c r="K163" s="167">
        <f t="shared" si="64"/>
        <v>2.0680365296803656</v>
      </c>
      <c r="L163" s="167">
        <f t="shared" ref="L163:L184" si="73">IFERROR(IF(COUNTIF(B163,"Blanket Maintenance")+L162&gt;0, 1, 0),0)</f>
        <v>1</v>
      </c>
      <c r="M163" s="167">
        <f t="shared" ref="M163:M184" si="74">IF(OR($B163="Divertor Maintenance", $B163="Blanket Maintenance"),0,IFERROR($H163+M162,$H163))</f>
        <v>0.29543378995433789</v>
      </c>
    </row>
    <row r="164" spans="2:13" x14ac:dyDescent="0.4">
      <c r="B164" s="167" t="str">
        <f t="shared" si="65"/>
        <v>Minor Maintenance</v>
      </c>
      <c r="C164" s="166">
        <f>IF(B164="campaign", IF(COUNTIF($B$3:$B164,"Campaign")&gt;warmup_campaigns, long_campaign_duration, campaign_duration), 0)</f>
        <v>0</v>
      </c>
      <c r="D164" s="166">
        <f t="shared" si="66"/>
        <v>976</v>
      </c>
      <c r="E164" s="166">
        <f t="shared" si="67"/>
        <v>0</v>
      </c>
      <c r="F164" s="166">
        <f t="shared" si="68"/>
        <v>105244</v>
      </c>
      <c r="G164" s="166">
        <f t="shared" si="69"/>
        <v>0</v>
      </c>
      <c r="H164" s="165">
        <f t="shared" si="70"/>
        <v>0</v>
      </c>
      <c r="I164" s="165">
        <f t="shared" si="71"/>
        <v>24.028310502283084</v>
      </c>
      <c r="J164" s="167">
        <f t="shared" si="72"/>
        <v>0</v>
      </c>
      <c r="K164" s="167">
        <f t="shared" si="64"/>
        <v>2.0680365296803656</v>
      </c>
      <c r="L164" s="167">
        <f t="shared" si="73"/>
        <v>1</v>
      </c>
      <c r="M164" s="167">
        <f t="shared" si="74"/>
        <v>0.29543378995433789</v>
      </c>
    </row>
    <row r="165" spans="2:13" x14ac:dyDescent="0.4">
      <c r="B165" s="167" t="str">
        <f t="shared" si="65"/>
        <v>Campaign</v>
      </c>
      <c r="C165" s="166">
        <f>IF(B165="campaign", IF(COUNTIF($B$3:$B165,"Campaign")&gt;warmup_campaigns, long_campaign_duration, campaign_duration), 0)</f>
        <v>12</v>
      </c>
      <c r="D165" s="166">
        <f t="shared" si="66"/>
        <v>988</v>
      </c>
      <c r="E165" s="166">
        <f t="shared" si="67"/>
        <v>1294</v>
      </c>
      <c r="F165" s="166">
        <f t="shared" si="68"/>
        <v>106538</v>
      </c>
      <c r="G165" s="166">
        <f t="shared" si="69"/>
        <v>144</v>
      </c>
      <c r="H165" s="165">
        <f t="shared" si="70"/>
        <v>0.29543378995433789</v>
      </c>
      <c r="I165" s="165">
        <f t="shared" si="71"/>
        <v>24.323744292237421</v>
      </c>
      <c r="J165" s="167">
        <f t="shared" si="72"/>
        <v>0.29543378995433789</v>
      </c>
      <c r="K165" s="167">
        <f t="shared" ref="K165:K184" si="75">IF(B165="Blanket Maintenance",0,IFERROR(H165+K164,H165))</f>
        <v>2.3634703196347036</v>
      </c>
      <c r="L165" s="167">
        <f t="shared" si="73"/>
        <v>1</v>
      </c>
      <c r="M165" s="167">
        <f t="shared" si="74"/>
        <v>0.59086757990867578</v>
      </c>
    </row>
    <row r="166" spans="2:13" x14ac:dyDescent="0.4">
      <c r="B166" s="167" t="str">
        <f t="shared" si="65"/>
        <v>Minor Maintenance</v>
      </c>
      <c r="C166" s="166">
        <f>IF(B166="campaign", IF(COUNTIF($B$3:$B166,"Campaign")&gt;warmup_campaigns, long_campaign_duration, campaign_duration), 0)</f>
        <v>0</v>
      </c>
      <c r="D166" s="166">
        <f t="shared" si="66"/>
        <v>988</v>
      </c>
      <c r="E166" s="166">
        <f t="shared" si="67"/>
        <v>0</v>
      </c>
      <c r="F166" s="166">
        <f t="shared" si="68"/>
        <v>106538</v>
      </c>
      <c r="G166" s="166">
        <f t="shared" si="69"/>
        <v>0</v>
      </c>
      <c r="H166" s="165">
        <f t="shared" si="70"/>
        <v>0</v>
      </c>
      <c r="I166" s="165">
        <f t="shared" si="71"/>
        <v>24.323744292237421</v>
      </c>
      <c r="J166" s="167">
        <f t="shared" si="72"/>
        <v>0</v>
      </c>
      <c r="K166" s="167">
        <f t="shared" si="75"/>
        <v>2.3634703196347036</v>
      </c>
      <c r="L166" s="167">
        <f t="shared" si="73"/>
        <v>1</v>
      </c>
      <c r="M166" s="167">
        <f t="shared" si="74"/>
        <v>0.59086757990867578</v>
      </c>
    </row>
    <row r="167" spans="2:13" x14ac:dyDescent="0.4">
      <c r="B167" s="167" t="str">
        <f t="shared" si="65"/>
        <v>Campaign</v>
      </c>
      <c r="C167" s="166">
        <f>IF(B167="campaign", IF(COUNTIF($B$3:$B167,"Campaign")&gt;warmup_campaigns, long_campaign_duration, campaign_duration), 0)</f>
        <v>12</v>
      </c>
      <c r="D167" s="166">
        <f t="shared" si="66"/>
        <v>1000</v>
      </c>
      <c r="E167" s="166">
        <f t="shared" si="67"/>
        <v>1294</v>
      </c>
      <c r="F167" s="166">
        <f t="shared" si="68"/>
        <v>107832</v>
      </c>
      <c r="G167" s="166">
        <f t="shared" si="69"/>
        <v>144</v>
      </c>
      <c r="H167" s="165">
        <f t="shared" si="70"/>
        <v>0.29543378995433789</v>
      </c>
      <c r="I167" s="165">
        <f t="shared" si="71"/>
        <v>24.619178082191759</v>
      </c>
      <c r="J167" s="167">
        <f t="shared" si="72"/>
        <v>0.29543378995433789</v>
      </c>
      <c r="K167" s="167">
        <f t="shared" si="75"/>
        <v>2.6589041095890416</v>
      </c>
      <c r="L167" s="167">
        <f t="shared" si="73"/>
        <v>1</v>
      </c>
      <c r="M167" s="167">
        <f t="shared" si="74"/>
        <v>0.88630136986301367</v>
      </c>
    </row>
    <row r="168" spans="2:13" x14ac:dyDescent="0.4">
      <c r="B168" s="167" t="str">
        <f t="shared" si="65"/>
        <v>Minor Maintenance</v>
      </c>
      <c r="C168" s="166">
        <f>IF(B168="campaign", IF(COUNTIF($B$3:$B168,"Campaign")&gt;warmup_campaigns, long_campaign_duration, campaign_duration), 0)</f>
        <v>0</v>
      </c>
      <c r="D168" s="166">
        <f t="shared" si="66"/>
        <v>1000</v>
      </c>
      <c r="E168" s="166">
        <f t="shared" si="67"/>
        <v>0</v>
      </c>
      <c r="F168" s="166">
        <f t="shared" si="68"/>
        <v>107832</v>
      </c>
      <c r="G168" s="166">
        <f t="shared" si="69"/>
        <v>0</v>
      </c>
      <c r="H168" s="165">
        <f t="shared" si="70"/>
        <v>0</v>
      </c>
      <c r="I168" s="165">
        <f t="shared" si="71"/>
        <v>24.619178082191759</v>
      </c>
      <c r="J168" s="167">
        <f t="shared" si="72"/>
        <v>0</v>
      </c>
      <c r="K168" s="167">
        <f t="shared" si="75"/>
        <v>2.6589041095890416</v>
      </c>
      <c r="L168" s="167">
        <f t="shared" si="73"/>
        <v>1</v>
      </c>
      <c r="M168" s="167">
        <f t="shared" si="74"/>
        <v>0.88630136986301367</v>
      </c>
    </row>
    <row r="169" spans="2:13" x14ac:dyDescent="0.4">
      <c r="B169" s="167" t="str">
        <f t="shared" si="65"/>
        <v>Campaign</v>
      </c>
      <c r="C169" s="166">
        <f>IF(B169="campaign", IF(COUNTIF($B$3:$B169,"Campaign")&gt;warmup_campaigns, long_campaign_duration, campaign_duration), 0)</f>
        <v>12</v>
      </c>
      <c r="D169" s="166">
        <f t="shared" si="66"/>
        <v>1012</v>
      </c>
      <c r="E169" s="166">
        <f t="shared" si="67"/>
        <v>1294</v>
      </c>
      <c r="F169" s="166">
        <f t="shared" si="68"/>
        <v>109126</v>
      </c>
      <c r="G169" s="166">
        <f t="shared" si="69"/>
        <v>144</v>
      </c>
      <c r="H169" s="165">
        <f t="shared" si="70"/>
        <v>0.29543378995433789</v>
      </c>
      <c r="I169" s="165">
        <f t="shared" si="71"/>
        <v>24.914611872146097</v>
      </c>
      <c r="J169" s="167">
        <f t="shared" si="72"/>
        <v>0.29543378995433789</v>
      </c>
      <c r="K169" s="167">
        <f t="shared" si="75"/>
        <v>2.9543378995433796</v>
      </c>
      <c r="L169" s="167">
        <f t="shared" si="73"/>
        <v>1</v>
      </c>
      <c r="M169" s="167">
        <f t="shared" si="74"/>
        <v>1.1817351598173516</v>
      </c>
    </row>
    <row r="170" spans="2:13" x14ac:dyDescent="0.4">
      <c r="B170" s="167" t="str">
        <f t="shared" si="65"/>
        <v>Minor Maintenance</v>
      </c>
      <c r="C170" s="166">
        <f>IF(B170="campaign", IF(COUNTIF($B$3:$B170,"Campaign")&gt;warmup_campaigns, long_campaign_duration, campaign_duration), 0)</f>
        <v>0</v>
      </c>
      <c r="D170" s="166">
        <f t="shared" si="66"/>
        <v>1012</v>
      </c>
      <c r="E170" s="166">
        <f t="shared" si="67"/>
        <v>0</v>
      </c>
      <c r="F170" s="166">
        <f t="shared" si="68"/>
        <v>109126</v>
      </c>
      <c r="G170" s="166">
        <f t="shared" si="69"/>
        <v>0</v>
      </c>
      <c r="H170" s="165">
        <f t="shared" si="70"/>
        <v>0</v>
      </c>
      <c r="I170" s="165">
        <f t="shared" si="71"/>
        <v>24.914611872146097</v>
      </c>
      <c r="J170" s="167">
        <f t="shared" si="72"/>
        <v>0</v>
      </c>
      <c r="K170" s="167">
        <f t="shared" si="75"/>
        <v>2.9543378995433796</v>
      </c>
      <c r="L170" s="167">
        <f t="shared" si="73"/>
        <v>1</v>
      </c>
      <c r="M170" s="167">
        <f t="shared" si="74"/>
        <v>1.1817351598173516</v>
      </c>
    </row>
    <row r="171" spans="2:13" x14ac:dyDescent="0.4">
      <c r="B171" s="167" t="str">
        <f t="shared" si="65"/>
        <v>Campaign</v>
      </c>
      <c r="C171" s="166">
        <f>IF(B171="campaign", IF(COUNTIF($B$3:$B171,"Campaign")&gt;warmup_campaigns, long_campaign_duration, campaign_duration), 0)</f>
        <v>12</v>
      </c>
      <c r="D171" s="166">
        <f t="shared" si="66"/>
        <v>1024</v>
      </c>
      <c r="E171" s="166">
        <f t="shared" si="67"/>
        <v>1294</v>
      </c>
      <c r="F171" s="166">
        <f t="shared" si="68"/>
        <v>110420</v>
      </c>
      <c r="G171" s="166">
        <f t="shared" si="69"/>
        <v>144</v>
      </c>
      <c r="H171" s="165">
        <f t="shared" si="70"/>
        <v>0.29543378995433789</v>
      </c>
      <c r="I171" s="165">
        <f t="shared" si="71"/>
        <v>25.210045662100434</v>
      </c>
      <c r="J171" s="167">
        <f t="shared" si="72"/>
        <v>0.29543378995433789</v>
      </c>
      <c r="K171" s="167">
        <f t="shared" si="75"/>
        <v>3.2497716894977176</v>
      </c>
      <c r="L171" s="167">
        <f t="shared" si="73"/>
        <v>1</v>
      </c>
      <c r="M171" s="167">
        <f t="shared" si="74"/>
        <v>1.4771689497716896</v>
      </c>
    </row>
    <row r="172" spans="2:13" x14ac:dyDescent="0.4">
      <c r="B172" s="167" t="str">
        <f t="shared" si="65"/>
        <v>Minor Maintenance</v>
      </c>
      <c r="C172" s="166">
        <f>IF(B172="campaign", IF(COUNTIF($B$3:$B172,"Campaign")&gt;warmup_campaigns, long_campaign_duration, campaign_duration), 0)</f>
        <v>0</v>
      </c>
      <c r="D172" s="166">
        <f t="shared" si="66"/>
        <v>1024</v>
      </c>
      <c r="E172" s="166">
        <f t="shared" si="67"/>
        <v>0</v>
      </c>
      <c r="F172" s="166">
        <f t="shared" si="68"/>
        <v>110420</v>
      </c>
      <c r="G172" s="166">
        <f t="shared" si="69"/>
        <v>0</v>
      </c>
      <c r="H172" s="165">
        <f t="shared" si="70"/>
        <v>0</v>
      </c>
      <c r="I172" s="165">
        <f t="shared" si="71"/>
        <v>25.210045662100434</v>
      </c>
      <c r="J172" s="167">
        <f t="shared" si="72"/>
        <v>0</v>
      </c>
      <c r="K172" s="167">
        <f t="shared" si="75"/>
        <v>3.2497716894977176</v>
      </c>
      <c r="L172" s="167">
        <f t="shared" si="73"/>
        <v>1</v>
      </c>
      <c r="M172" s="167">
        <f t="shared" si="74"/>
        <v>1.4771689497716896</v>
      </c>
    </row>
    <row r="173" spans="2:13" x14ac:dyDescent="0.4">
      <c r="B173" s="167" t="str">
        <f t="shared" si="65"/>
        <v>Campaign</v>
      </c>
      <c r="C173" s="166">
        <f>IF(B173="campaign", IF(COUNTIF($B$3:$B173,"Campaign")&gt;warmup_campaigns, long_campaign_duration, campaign_duration), 0)</f>
        <v>12</v>
      </c>
      <c r="D173" s="166">
        <f t="shared" si="66"/>
        <v>1036</v>
      </c>
      <c r="E173" s="166">
        <f t="shared" si="67"/>
        <v>1294</v>
      </c>
      <c r="F173" s="166">
        <f t="shared" si="68"/>
        <v>111714</v>
      </c>
      <c r="G173" s="166">
        <f t="shared" si="69"/>
        <v>144</v>
      </c>
      <c r="H173" s="165">
        <f t="shared" si="70"/>
        <v>0.29543378995433789</v>
      </c>
      <c r="I173" s="165">
        <f t="shared" si="71"/>
        <v>25.505479452054772</v>
      </c>
      <c r="J173" s="167">
        <f t="shared" si="72"/>
        <v>0.29543378995433789</v>
      </c>
      <c r="K173" s="167">
        <f t="shared" si="75"/>
        <v>3.5452054794520556</v>
      </c>
      <c r="L173" s="167">
        <f t="shared" si="73"/>
        <v>1</v>
      </c>
      <c r="M173" s="167">
        <f t="shared" si="74"/>
        <v>1.7726027397260276</v>
      </c>
    </row>
    <row r="174" spans="2:13" x14ac:dyDescent="0.4">
      <c r="B174" s="167" t="str">
        <f t="shared" si="65"/>
        <v>Divertor Maintenance</v>
      </c>
      <c r="C174" s="166">
        <f>IF(B174="campaign", IF(COUNTIF($B$3:$B174,"Campaign")&gt;warmup_campaigns, long_campaign_duration, campaign_duration), 0)</f>
        <v>0</v>
      </c>
      <c r="D174" s="166">
        <f t="shared" si="66"/>
        <v>1036</v>
      </c>
      <c r="E174" s="166">
        <f t="shared" si="67"/>
        <v>0</v>
      </c>
      <c r="F174" s="166">
        <f t="shared" si="68"/>
        <v>111714</v>
      </c>
      <c r="G174" s="166">
        <f t="shared" si="69"/>
        <v>0</v>
      </c>
      <c r="H174" s="165">
        <f t="shared" si="70"/>
        <v>0</v>
      </c>
      <c r="I174" s="165">
        <f t="shared" si="71"/>
        <v>25.505479452054772</v>
      </c>
      <c r="J174" s="167">
        <f t="shared" si="72"/>
        <v>0</v>
      </c>
      <c r="K174" s="167">
        <f t="shared" si="75"/>
        <v>3.5452054794520556</v>
      </c>
      <c r="L174" s="167">
        <f t="shared" si="73"/>
        <v>1</v>
      </c>
      <c r="M174" s="167">
        <f t="shared" si="74"/>
        <v>0</v>
      </c>
    </row>
    <row r="175" spans="2:13" x14ac:dyDescent="0.4">
      <c r="B175" s="167" t="str">
        <f t="shared" si="65"/>
        <v>Campaign</v>
      </c>
      <c r="C175" s="166">
        <f>IF(B175="campaign", IF(COUNTIF($B$3:$B175,"Campaign")&gt;warmup_campaigns, long_campaign_duration, campaign_duration), 0)</f>
        <v>12</v>
      </c>
      <c r="D175" s="166">
        <f t="shared" si="66"/>
        <v>1048</v>
      </c>
      <c r="E175" s="166">
        <f t="shared" si="67"/>
        <v>1294</v>
      </c>
      <c r="F175" s="166">
        <f t="shared" si="68"/>
        <v>113008</v>
      </c>
      <c r="G175" s="166">
        <f t="shared" si="69"/>
        <v>144</v>
      </c>
      <c r="H175" s="165">
        <f t="shared" si="70"/>
        <v>0.29543378995433789</v>
      </c>
      <c r="I175" s="165">
        <f t="shared" si="71"/>
        <v>25.800913242009109</v>
      </c>
      <c r="J175" s="167">
        <f t="shared" si="72"/>
        <v>0.29543378995433789</v>
      </c>
      <c r="K175" s="167">
        <f t="shared" si="75"/>
        <v>3.8406392694063936</v>
      </c>
      <c r="L175" s="167">
        <f t="shared" si="73"/>
        <v>1</v>
      </c>
      <c r="M175" s="167">
        <f t="shared" si="74"/>
        <v>0.29543378995433789</v>
      </c>
    </row>
    <row r="176" spans="2:13" x14ac:dyDescent="0.4">
      <c r="B176" s="167" t="str">
        <f t="shared" si="65"/>
        <v>Minor Maintenance</v>
      </c>
      <c r="C176" s="166">
        <f>IF(B176="campaign", IF(COUNTIF($B$3:$B176,"Campaign")&gt;warmup_campaigns, long_campaign_duration, campaign_duration), 0)</f>
        <v>0</v>
      </c>
      <c r="D176" s="166">
        <f t="shared" si="66"/>
        <v>1048</v>
      </c>
      <c r="E176" s="166">
        <f t="shared" si="67"/>
        <v>0</v>
      </c>
      <c r="F176" s="166">
        <f t="shared" si="68"/>
        <v>113008</v>
      </c>
      <c r="G176" s="166">
        <f t="shared" si="69"/>
        <v>0</v>
      </c>
      <c r="H176" s="165">
        <f t="shared" si="70"/>
        <v>0</v>
      </c>
      <c r="I176" s="165">
        <f t="shared" si="71"/>
        <v>25.800913242009109</v>
      </c>
      <c r="J176" s="167">
        <f t="shared" si="72"/>
        <v>0</v>
      </c>
      <c r="K176" s="167">
        <f t="shared" si="75"/>
        <v>3.8406392694063936</v>
      </c>
      <c r="L176" s="167">
        <f t="shared" si="73"/>
        <v>1</v>
      </c>
      <c r="M176" s="167">
        <f t="shared" si="74"/>
        <v>0.29543378995433789</v>
      </c>
    </row>
    <row r="177" spans="2:13" x14ac:dyDescent="0.4">
      <c r="B177" s="167" t="str">
        <f t="shared" si="65"/>
        <v>Campaign</v>
      </c>
      <c r="C177" s="166">
        <f>IF(B177="campaign", IF(COUNTIF($B$3:$B177,"Campaign")&gt;warmup_campaigns, long_campaign_duration, campaign_duration), 0)</f>
        <v>12</v>
      </c>
      <c r="D177" s="166">
        <f t="shared" si="66"/>
        <v>1060</v>
      </c>
      <c r="E177" s="166">
        <f t="shared" si="67"/>
        <v>1294</v>
      </c>
      <c r="F177" s="166">
        <f t="shared" si="68"/>
        <v>114302</v>
      </c>
      <c r="G177" s="166">
        <f t="shared" si="69"/>
        <v>144</v>
      </c>
      <c r="H177" s="165">
        <f t="shared" si="70"/>
        <v>0.29543378995433789</v>
      </c>
      <c r="I177" s="165">
        <f t="shared" si="71"/>
        <v>26.096347031963447</v>
      </c>
      <c r="J177" s="167">
        <f t="shared" si="72"/>
        <v>0.29543378995433789</v>
      </c>
      <c r="K177" s="167">
        <f t="shared" si="75"/>
        <v>4.1360730593607311</v>
      </c>
      <c r="L177" s="167">
        <f t="shared" si="73"/>
        <v>1</v>
      </c>
      <c r="M177" s="167">
        <f t="shared" si="74"/>
        <v>0.59086757990867578</v>
      </c>
    </row>
    <row r="178" spans="2:13" x14ac:dyDescent="0.4">
      <c r="B178" s="167" t="str">
        <f t="shared" si="65"/>
        <v>Minor Maintenance</v>
      </c>
      <c r="C178" s="166">
        <f>IF(B178="campaign", IF(COUNTIF($B$3:$B178,"Campaign")&gt;warmup_campaigns, long_campaign_duration, campaign_duration), 0)</f>
        <v>0</v>
      </c>
      <c r="D178" s="166">
        <f t="shared" si="66"/>
        <v>1060</v>
      </c>
      <c r="E178" s="166">
        <f t="shared" si="67"/>
        <v>0</v>
      </c>
      <c r="F178" s="166">
        <f t="shared" si="68"/>
        <v>114302</v>
      </c>
      <c r="G178" s="166">
        <f t="shared" si="69"/>
        <v>0</v>
      </c>
      <c r="H178" s="165">
        <f t="shared" si="70"/>
        <v>0</v>
      </c>
      <c r="I178" s="165">
        <f t="shared" si="71"/>
        <v>26.096347031963447</v>
      </c>
      <c r="J178" s="167">
        <f t="shared" si="72"/>
        <v>0</v>
      </c>
      <c r="K178" s="167">
        <f t="shared" si="75"/>
        <v>4.1360730593607311</v>
      </c>
      <c r="L178" s="167">
        <f t="shared" si="73"/>
        <v>1</v>
      </c>
      <c r="M178" s="167">
        <f t="shared" si="74"/>
        <v>0.59086757990867578</v>
      </c>
    </row>
    <row r="179" spans="2:13" x14ac:dyDescent="0.4">
      <c r="B179" s="167" t="str">
        <f t="shared" si="65"/>
        <v>Campaign</v>
      </c>
      <c r="C179" s="166">
        <f>IF(B179="campaign", IF(COUNTIF($B$3:$B179,"Campaign")&gt;warmup_campaigns, long_campaign_duration, campaign_duration), 0)</f>
        <v>12</v>
      </c>
      <c r="D179" s="166">
        <f t="shared" si="66"/>
        <v>1072</v>
      </c>
      <c r="E179" s="166">
        <f t="shared" si="67"/>
        <v>1294</v>
      </c>
      <c r="F179" s="166">
        <f t="shared" si="68"/>
        <v>115596</v>
      </c>
      <c r="G179" s="166">
        <f t="shared" si="69"/>
        <v>144</v>
      </c>
      <c r="H179" s="165">
        <f t="shared" si="70"/>
        <v>0.29543378995433789</v>
      </c>
      <c r="I179" s="165">
        <f t="shared" si="71"/>
        <v>26.391780821917784</v>
      </c>
      <c r="J179" s="167">
        <f t="shared" si="72"/>
        <v>0.29543378995433789</v>
      </c>
      <c r="K179" s="167">
        <f t="shared" si="75"/>
        <v>4.4315068493150687</v>
      </c>
      <c r="L179" s="167">
        <f t="shared" si="73"/>
        <v>1</v>
      </c>
      <c r="M179" s="167">
        <f t="shared" si="74"/>
        <v>0.88630136986301367</v>
      </c>
    </row>
    <row r="180" spans="2:13" x14ac:dyDescent="0.4">
      <c r="B180" s="167" t="str">
        <f t="shared" si="65"/>
        <v>Minor Maintenance</v>
      </c>
      <c r="C180" s="166">
        <f>IF(B180="campaign", IF(COUNTIF($B$3:$B180,"Campaign")&gt;warmup_campaigns, long_campaign_duration, campaign_duration), 0)</f>
        <v>0</v>
      </c>
      <c r="D180" s="166">
        <f t="shared" si="66"/>
        <v>1072</v>
      </c>
      <c r="E180" s="166">
        <f t="shared" si="67"/>
        <v>0</v>
      </c>
      <c r="F180" s="166">
        <f t="shared" si="68"/>
        <v>115596</v>
      </c>
      <c r="G180" s="166">
        <f t="shared" si="69"/>
        <v>0</v>
      </c>
      <c r="H180" s="165">
        <f t="shared" si="70"/>
        <v>0</v>
      </c>
      <c r="I180" s="165">
        <f t="shared" si="71"/>
        <v>26.391780821917784</v>
      </c>
      <c r="J180" s="167">
        <f t="shared" si="72"/>
        <v>0</v>
      </c>
      <c r="K180" s="167">
        <f t="shared" si="75"/>
        <v>4.4315068493150687</v>
      </c>
      <c r="L180" s="167">
        <f t="shared" si="73"/>
        <v>1</v>
      </c>
      <c r="M180" s="167">
        <f t="shared" si="74"/>
        <v>0.88630136986301367</v>
      </c>
    </row>
    <row r="181" spans="2:13" x14ac:dyDescent="0.4">
      <c r="B181" s="167" t="str">
        <f t="shared" si="65"/>
        <v>Campaign</v>
      </c>
      <c r="C181" s="166">
        <f>IF(B181="campaign", IF(COUNTIF($B$3:$B181,"Campaign")&gt;warmup_campaigns, long_campaign_duration, campaign_duration), 0)</f>
        <v>12</v>
      </c>
      <c r="D181" s="166">
        <f t="shared" si="66"/>
        <v>1084</v>
      </c>
      <c r="E181" s="166">
        <f t="shared" si="67"/>
        <v>1294</v>
      </c>
      <c r="F181" s="166">
        <f t="shared" si="68"/>
        <v>116890</v>
      </c>
      <c r="G181" s="166">
        <f t="shared" si="69"/>
        <v>144</v>
      </c>
      <c r="H181" s="165">
        <f t="shared" si="70"/>
        <v>0.29543378995433789</v>
      </c>
      <c r="I181" s="165">
        <f t="shared" si="71"/>
        <v>26.687214611872122</v>
      </c>
      <c r="J181" s="167">
        <f t="shared" si="72"/>
        <v>0.29543378995433789</v>
      </c>
      <c r="K181" s="167">
        <f t="shared" si="75"/>
        <v>4.7269406392694062</v>
      </c>
      <c r="L181" s="167">
        <f t="shared" si="73"/>
        <v>1</v>
      </c>
      <c r="M181" s="167">
        <f t="shared" si="74"/>
        <v>1.1817351598173516</v>
      </c>
    </row>
    <row r="182" spans="2:13" x14ac:dyDescent="0.4">
      <c r="B182" s="167" t="str">
        <f t="shared" si="65"/>
        <v>Minor Maintenance</v>
      </c>
      <c r="C182" s="166">
        <f>IF(B182="campaign", IF(COUNTIF($B$3:$B182,"Campaign")&gt;warmup_campaigns, long_campaign_duration, campaign_duration), 0)</f>
        <v>0</v>
      </c>
      <c r="D182" s="166">
        <f t="shared" si="66"/>
        <v>1084</v>
      </c>
      <c r="E182" s="166">
        <f t="shared" si="67"/>
        <v>0</v>
      </c>
      <c r="F182" s="166">
        <f t="shared" si="68"/>
        <v>116890</v>
      </c>
      <c r="G182" s="166">
        <f t="shared" si="69"/>
        <v>0</v>
      </c>
      <c r="H182" s="165">
        <f t="shared" si="70"/>
        <v>0</v>
      </c>
      <c r="I182" s="165">
        <f t="shared" si="71"/>
        <v>26.687214611872122</v>
      </c>
      <c r="J182" s="167">
        <f t="shared" si="72"/>
        <v>0</v>
      </c>
      <c r="K182" s="167">
        <f t="shared" si="75"/>
        <v>4.7269406392694062</v>
      </c>
      <c r="L182" s="167">
        <f t="shared" si="73"/>
        <v>1</v>
      </c>
      <c r="M182" s="167">
        <f t="shared" si="74"/>
        <v>1.1817351598173516</v>
      </c>
    </row>
    <row r="183" spans="2:13" x14ac:dyDescent="0.4">
      <c r="B183" s="167" t="str">
        <f t="shared" si="65"/>
        <v>Campaign</v>
      </c>
      <c r="C183" s="166">
        <f>IF(B183="campaign", IF(COUNTIF($B$3:$B183,"Campaign")&gt;warmup_campaigns, long_campaign_duration, campaign_duration), 0)</f>
        <v>12</v>
      </c>
      <c r="D183" s="166">
        <f t="shared" si="66"/>
        <v>1096</v>
      </c>
      <c r="E183" s="166">
        <f t="shared" si="67"/>
        <v>1294</v>
      </c>
      <c r="F183" s="166">
        <f t="shared" si="68"/>
        <v>118184</v>
      </c>
      <c r="G183" s="166">
        <f t="shared" si="69"/>
        <v>144</v>
      </c>
      <c r="H183" s="165">
        <f t="shared" si="70"/>
        <v>0.29543378995433789</v>
      </c>
      <c r="I183" s="165">
        <f t="shared" si="71"/>
        <v>26.982648401826459</v>
      </c>
      <c r="J183" s="167">
        <f t="shared" si="72"/>
        <v>0.29543378995433789</v>
      </c>
      <c r="K183" s="167">
        <f t="shared" si="75"/>
        <v>5.0223744292237438</v>
      </c>
      <c r="L183" s="167">
        <f t="shared" si="73"/>
        <v>1</v>
      </c>
      <c r="M183" s="167">
        <f t="shared" si="74"/>
        <v>1.4771689497716896</v>
      </c>
    </row>
    <row r="184" spans="2:13" x14ac:dyDescent="0.4">
      <c r="B184" s="167" t="str">
        <f t="shared" si="65"/>
        <v>Blanket Maintenance</v>
      </c>
      <c r="C184" s="166">
        <f>IF(B184="campaign", IF(COUNTIF($B$3:$B184,"Campaign")&gt;warmup_campaigns, long_campaign_duration, campaign_duration), 0)</f>
        <v>0</v>
      </c>
      <c r="D184" s="166">
        <f t="shared" si="66"/>
        <v>1096</v>
      </c>
      <c r="E184" s="166">
        <f t="shared" si="67"/>
        <v>0</v>
      </c>
      <c r="F184" s="166">
        <f t="shared" si="68"/>
        <v>118184</v>
      </c>
      <c r="G184" s="166">
        <f t="shared" si="69"/>
        <v>0</v>
      </c>
      <c r="H184" s="165">
        <f t="shared" si="70"/>
        <v>0</v>
      </c>
      <c r="I184" s="165">
        <f t="shared" si="71"/>
        <v>26.982648401826459</v>
      </c>
      <c r="J184" s="167">
        <f t="shared" si="72"/>
        <v>0</v>
      </c>
      <c r="K184" s="167">
        <f t="shared" si="75"/>
        <v>0</v>
      </c>
      <c r="L184" s="167">
        <f t="shared" si="73"/>
        <v>1</v>
      </c>
      <c r="M184" s="167">
        <f t="shared" si="74"/>
        <v>0</v>
      </c>
    </row>
    <row r="206" spans="3:3" x14ac:dyDescent="0.4">
      <c r="C206" s="166" t="s">
        <v>2402</v>
      </c>
    </row>
  </sheetData>
  <sheetProtection algorithmName="SHA-512" hashValue="OgzRFn/NPvzsXSMR6Mo2wc+sUEd3X1aEsJrWetrUkDt9bHA7l6/M6D5I/3Byp/7b+ZirBsbBLcOmX68BnZILhA==" saltValue="XmYmEcet9Su8zXBrqZ9afw==" spinCount="100000" sheet="1" objects="1" scenarios="1"/>
  <customSheetViews>
    <customSheetView guid="{9C0AA20B-B2A2-4A2C-B279-4A5988F4E71A}" topLeftCell="F40">
      <selection activeCell="AA24" sqref="AA24"/>
      <pageMargins left="0.7" right="0.7" top="0.75" bottom="0.75" header="0.3" footer="0.3"/>
      <pageSetup paperSize="9" orientation="portrait" verticalDpi="0" r:id="rId1"/>
    </customSheetView>
  </customSheetViews>
  <mergeCells count="47">
    <mergeCell ref="U8:Y8"/>
    <mergeCell ref="U9:Y9"/>
    <mergeCell ref="U10:Y10"/>
    <mergeCell ref="U11:Y11"/>
    <mergeCell ref="U12:Y12"/>
    <mergeCell ref="U13:Y13"/>
    <mergeCell ref="U14:Y14"/>
    <mergeCell ref="U15:Y15"/>
    <mergeCell ref="U16:Y16"/>
    <mergeCell ref="U17:Y17"/>
    <mergeCell ref="U2:Y2"/>
    <mergeCell ref="U5:Y5"/>
    <mergeCell ref="U6:Y6"/>
    <mergeCell ref="U7:Y7"/>
    <mergeCell ref="P5:T5"/>
    <mergeCell ref="P6:T6"/>
    <mergeCell ref="O16:O17"/>
    <mergeCell ref="O14:O15"/>
    <mergeCell ref="O21:O22"/>
    <mergeCell ref="O26:O27"/>
    <mergeCell ref="P2:T2"/>
    <mergeCell ref="P12:T12"/>
    <mergeCell ref="P13:T13"/>
    <mergeCell ref="P15:T15"/>
    <mergeCell ref="P14:T14"/>
    <mergeCell ref="P17:T17"/>
    <mergeCell ref="P16:T16"/>
    <mergeCell ref="P8:T8"/>
    <mergeCell ref="P7:T7"/>
    <mergeCell ref="P11:T11"/>
    <mergeCell ref="P10:T10"/>
    <mergeCell ref="P9:T9"/>
    <mergeCell ref="O29:O30"/>
    <mergeCell ref="P23:T23"/>
    <mergeCell ref="P24:T24"/>
    <mergeCell ref="U23:Y23"/>
    <mergeCell ref="P18:T18"/>
    <mergeCell ref="U18:Y18"/>
    <mergeCell ref="U24:Y24"/>
    <mergeCell ref="P29:T29"/>
    <mergeCell ref="P30:T30"/>
    <mergeCell ref="U30:Y30"/>
    <mergeCell ref="U29:Y29"/>
    <mergeCell ref="U28:Y28"/>
    <mergeCell ref="P28:T28"/>
    <mergeCell ref="P19:T19"/>
    <mergeCell ref="U19:Y19"/>
  </mergeCells>
  <conditionalFormatting sqref="B3:M184">
    <cfRule type="expression" dxfId="5029" priority="1">
      <formula>$B3="Divertor Maintenance"</formula>
    </cfRule>
    <cfRule type="expression" dxfId="5028" priority="2">
      <formula>$B3="Blanket Maintenance"</formula>
    </cfRule>
    <cfRule type="expression" dxfId="5027" priority="3">
      <formula>$B3="Minor Maintenance"</formula>
    </cfRule>
    <cfRule type="expression" dxfId="5026" priority="4">
      <formula>$B3="Campaign"</formula>
    </cfRule>
  </conditionalFormatting>
  <dataValidations disablePrompts="1" count="4">
    <dataValidation type="list" allowBlank="1" showInputMessage="1" showErrorMessage="1" sqref="U23:Y23">
      <formula1>#REF!</formula1>
    </dataValidation>
    <dataValidation type="list" allowBlank="1" showInputMessage="1" showErrorMessage="1" sqref="U18:Y18">
      <formula1>#REF!</formula1>
    </dataValidation>
    <dataValidation type="list" allowBlank="1" showInputMessage="1" showErrorMessage="1" sqref="P18:T18">
      <formula1>#REF!</formula1>
    </dataValidation>
    <dataValidation type="list" allowBlank="1" showInputMessage="1" showErrorMessage="1" sqref="P23:T23">
      <formula1>#REF!</formula1>
    </dataValidation>
  </dataValidations>
  <pageMargins left="0.7" right="0.7" top="0.75" bottom="0.75" header="0.3" footer="0.3"/>
  <pageSetup paperSize="9" orientation="portrait" verticalDpi="0" r:id="rId2"/>
  <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FFC000"/>
  </sheetPr>
  <dimension ref="B1:T91"/>
  <sheetViews>
    <sheetView zoomScale="85" zoomScaleNormal="85" workbookViewId="0">
      <selection activeCell="M24" sqref="M24"/>
    </sheetView>
  </sheetViews>
  <sheetFormatPr defaultRowHeight="14.6" x14ac:dyDescent="0.4"/>
  <cols>
    <col min="2" max="2" width="14" customWidth="1"/>
    <col min="3" max="3" width="12.3828125" style="168" customWidth="1"/>
    <col min="4" max="4" width="9.53515625" customWidth="1"/>
    <col min="5" max="8" width="13.3046875" customWidth="1"/>
    <col min="9" max="9" width="14.15234375" customWidth="1"/>
    <col min="10" max="10" width="5.69140625" style="3256" customWidth="1"/>
    <col min="11" max="11" width="14.15234375" style="3256" customWidth="1"/>
    <col min="12" max="12" width="5.69140625" style="3256" customWidth="1"/>
    <col min="13" max="13" width="14.15234375" style="3256" customWidth="1"/>
    <col min="14" max="14" width="3.3046875" style="5" customWidth="1"/>
    <col min="15" max="18" width="13.3046875" customWidth="1"/>
    <col min="19" max="19" width="13.84375" customWidth="1"/>
    <col min="20" max="20" width="3.3046875" customWidth="1"/>
  </cols>
  <sheetData>
    <row r="1" spans="2:20" ht="15" thickBot="1" x14ac:dyDescent="0.45"/>
    <row r="2" spans="2:20" ht="16.5" customHeight="1" thickBot="1" x14ac:dyDescent="0.5">
      <c r="E2" s="3744" t="s">
        <v>2530</v>
      </c>
      <c r="F2" s="3745"/>
      <c r="G2" s="3745"/>
      <c r="H2" s="3745"/>
      <c r="I2" s="3746"/>
      <c r="J2" s="3617"/>
      <c r="K2" s="3756" t="s">
        <v>2692</v>
      </c>
      <c r="L2" s="3617"/>
      <c r="M2" s="3756" t="s">
        <v>2697</v>
      </c>
      <c r="N2" s="201"/>
      <c r="O2" s="3747" t="s">
        <v>2531</v>
      </c>
      <c r="P2" s="3748"/>
      <c r="Q2" s="3748"/>
      <c r="R2" s="3748"/>
      <c r="S2" s="3749"/>
      <c r="T2" s="202"/>
    </row>
    <row r="3" spans="2:20" ht="18.45" x14ac:dyDescent="0.5">
      <c r="E3" s="3750" t="s">
        <v>718</v>
      </c>
      <c r="F3" s="3751"/>
      <c r="G3" s="3750" t="s">
        <v>719</v>
      </c>
      <c r="H3" s="3751"/>
      <c r="I3" s="203" t="s">
        <v>11</v>
      </c>
      <c r="J3" s="3610"/>
      <c r="K3" s="3757"/>
      <c r="L3" s="3610"/>
      <c r="M3" s="3757"/>
      <c r="N3" s="204"/>
      <c r="O3" s="3752" t="s">
        <v>718</v>
      </c>
      <c r="P3" s="3753"/>
      <c r="Q3" s="3754" t="s">
        <v>719</v>
      </c>
      <c r="R3" s="3755"/>
      <c r="S3" s="205" t="s">
        <v>11</v>
      </c>
      <c r="T3" s="206"/>
    </row>
    <row r="4" spans="2:20" ht="32.15" customHeight="1" thickBot="1" x14ac:dyDescent="0.45">
      <c r="E4" s="207" t="s">
        <v>147</v>
      </c>
      <c r="F4" s="208" t="s">
        <v>148</v>
      </c>
      <c r="G4" s="209" t="s">
        <v>720</v>
      </c>
      <c r="H4" s="210" t="s">
        <v>721</v>
      </c>
      <c r="I4" s="211" t="s">
        <v>146</v>
      </c>
      <c r="J4" s="3330"/>
      <c r="K4" s="3332" t="str">
        <f>'Plant Availibility Calculator'!$P$18 &amp; " Ops"</f>
        <v>Upper Port Hot Cell Ops</v>
      </c>
      <c r="L4" s="3330"/>
      <c r="M4" s="3332" t="s">
        <v>2696</v>
      </c>
      <c r="N4" s="212"/>
      <c r="O4" s="213" t="s">
        <v>114</v>
      </c>
      <c r="P4" s="214" t="s">
        <v>115</v>
      </c>
      <c r="Q4" s="213" t="s">
        <v>720</v>
      </c>
      <c r="R4" s="214" t="s">
        <v>721</v>
      </c>
      <c r="S4" s="215" t="s">
        <v>146</v>
      </c>
      <c r="T4" s="5"/>
    </row>
    <row r="5" spans="2:20" x14ac:dyDescent="0.4">
      <c r="B5" s="3758" t="s">
        <v>23</v>
      </c>
      <c r="C5" s="3761" t="s">
        <v>18</v>
      </c>
      <c r="D5" s="216" t="s">
        <v>26</v>
      </c>
      <c r="E5" s="217">
        <f>'Lower Cask Critical Path'!$F$133</f>
        <v>123.42646613434393</v>
      </c>
      <c r="F5" s="218">
        <f>'Lower Cask Critical Path'!$F$257</f>
        <v>391.20191285530979</v>
      </c>
      <c r="G5" s="217">
        <f>'Lower Cask Recovery Scenarios'!D10</f>
        <v>6.3997840579877447</v>
      </c>
      <c r="H5" s="219">
        <f>'Lower Cask Weld Failures'!$D$23</f>
        <v>244.93517525979391</v>
      </c>
      <c r="I5" s="220">
        <f>SUM(E5:H5)</f>
        <v>765.96333830743538</v>
      </c>
      <c r="J5" s="3611"/>
      <c r="K5" s="3265">
        <f>IF('Plant Availibility Calculator'!$P$18="Upper Port Cask System",'Upper Cask Summary'!$I5,IF('Plant Availibility Calculator'!$P$18="Upper Port Hot Cell",'Upper Hot Cell Summary'!$I5,"ERROR"))</f>
        <v>725.821522951676</v>
      </c>
      <c r="L5" s="3611"/>
      <c r="M5" s="3265"/>
      <c r="N5" s="221"/>
      <c r="O5" s="217">
        <f>'Lower Cask Critical Path'!$F$93</f>
        <v>104.59228797112468</v>
      </c>
      <c r="P5" s="218">
        <f>'Lower Cask Critical Path'!$F$253</f>
        <v>134.28628303854535</v>
      </c>
      <c r="Q5" s="217">
        <f>'Lower Cask Recovery Scenarios'!$D$14</f>
        <v>4.7334897421339663</v>
      </c>
      <c r="R5" s="219">
        <f>'Lower Cask Weld Failures'!$D$28</f>
        <v>30.808503762444825</v>
      </c>
      <c r="S5" s="220">
        <f>SUM(O5:R5)</f>
        <v>274.42056451424884</v>
      </c>
      <c r="T5" s="5"/>
    </row>
    <row r="6" spans="2:20" x14ac:dyDescent="0.4">
      <c r="B6" s="3759"/>
      <c r="C6" s="3762"/>
      <c r="D6" s="24" t="s">
        <v>27</v>
      </c>
      <c r="E6" s="222">
        <f>E5/$E11</f>
        <v>0.60045582807846798</v>
      </c>
      <c r="F6" s="223">
        <f>F5/F11</f>
        <v>0.83146378284896727</v>
      </c>
      <c r="G6" s="222">
        <f>G5/G11</f>
        <v>0.21378691385609574</v>
      </c>
      <c r="H6" s="224">
        <f>H5/H11</f>
        <v>0.51754224756705769</v>
      </c>
      <c r="I6" s="225">
        <f>I5/I11</f>
        <v>0.64953219566684439</v>
      </c>
      <c r="J6" s="3612"/>
      <c r="K6" s="3271">
        <f>IF('Plant Availibility Calculator'!$P$18="Upper Port Cask System",'Upper Cask Summary'!$I6,IF('Plant Availibility Calculator'!$P$18="Upper Port Hot Cell",'Upper Hot Cell Summary'!$I6,"ERROR"))</f>
        <v>0.8184701737402712</v>
      </c>
      <c r="L6" s="3612"/>
      <c r="M6" s="3271"/>
      <c r="N6" s="226"/>
      <c r="O6" s="222">
        <f>O5/O$11</f>
        <v>0.6303761635241717</v>
      </c>
      <c r="P6" s="223">
        <f>P5/P$11</f>
        <v>0.69878097234846348</v>
      </c>
      <c r="Q6" s="222">
        <f>Q5/Q$11</f>
        <v>0.21777643448370013</v>
      </c>
      <c r="R6" s="224">
        <f>R5/R$11</f>
        <v>0.49704993223399802</v>
      </c>
      <c r="S6" s="225">
        <f>S5/S$11</f>
        <v>0.62112673386283224</v>
      </c>
      <c r="T6" s="227"/>
    </row>
    <row r="7" spans="2:20" x14ac:dyDescent="0.4">
      <c r="B7" s="3759"/>
      <c r="C7" s="3763" t="s">
        <v>3</v>
      </c>
      <c r="D7" s="21" t="s">
        <v>26</v>
      </c>
      <c r="E7" s="228">
        <f>'Lower Cask Critical Path'!$F$134+'Lower Cask Critical Path'!$F$135</f>
        <v>76.058148148148149</v>
      </c>
      <c r="F7" s="229">
        <f>'Lower Cask Critical Path'!$F$258+'Lower Cask Critical Path'!$F$259</f>
        <v>77.82148148148147</v>
      </c>
      <c r="G7" s="228">
        <f>'Lower Cask Recovery Scenarios'!D11</f>
        <v>23.535556429202074</v>
      </c>
      <c r="H7" s="28">
        <f>'Lower Cask Weld Failures'!$D$24</f>
        <v>68.159461408888092</v>
      </c>
      <c r="I7" s="27">
        <f>SUM(E7:H7)</f>
        <v>245.57464746771979</v>
      </c>
      <c r="J7" s="3611"/>
      <c r="K7" s="3276">
        <f>IF('Plant Availibility Calculator'!$P$18="Upper Port Cask System",'Upper Cask Summary'!$I7,IF('Plant Availibility Calculator'!$P$18="Upper Port Hot Cell",'Upper Hot Cell Summary'!$I7,"ERROR"))</f>
        <v>74.130749550803642</v>
      </c>
      <c r="L7" s="3611"/>
      <c r="M7" s="3276"/>
      <c r="N7" s="221"/>
      <c r="O7" s="228">
        <f>'Lower Cask Critical Path'!$F$94+'Lower Cask Critical Path'!$F$95</f>
        <v>55.258148148148159</v>
      </c>
      <c r="P7" s="229">
        <f>'Lower Cask Critical Path'!$F$254+'Lower Cask Critical Path'!$F$255</f>
        <v>56.411481481481481</v>
      </c>
      <c r="Q7" s="228">
        <f>'Lower Cask Recovery Scenarios'!$D$15</f>
        <v>17.002056408008617</v>
      </c>
      <c r="R7" s="28">
        <f>'Lower Cask Weld Failures'!$D$29</f>
        <v>21.449600558244068</v>
      </c>
      <c r="S7" s="27">
        <f>SUM(O7:R7)</f>
        <v>150.12128659588234</v>
      </c>
      <c r="T7" s="227"/>
    </row>
    <row r="8" spans="2:20" x14ac:dyDescent="0.4">
      <c r="B8" s="3759"/>
      <c r="C8" s="3764"/>
      <c r="D8" s="21" t="s">
        <v>27</v>
      </c>
      <c r="E8" s="230">
        <f>E7/E$11</f>
        <v>0.37001430696964072</v>
      </c>
      <c r="F8" s="231">
        <f>F7/F$11</f>
        <v>0.16540242072751712</v>
      </c>
      <c r="G8" s="230">
        <f>G7/G11</f>
        <v>0.78621308614390428</v>
      </c>
      <c r="H8" s="232">
        <f>H7/H11</f>
        <v>0.14401933414872212</v>
      </c>
      <c r="I8" s="233">
        <f>I7/I11</f>
        <v>0.20824578931191243</v>
      </c>
      <c r="J8" s="3612"/>
      <c r="K8" s="3280">
        <f>IF('Plant Availibility Calculator'!$P$18="Upper Port Cask System",'Upper Cask Summary'!$I8,IF('Plant Availibility Calculator'!$P$18="Upper Port Hot Cell",'Upper Hot Cell Summary'!$I8,"ERROR"))</f>
        <v>8.3593287806625644E-2</v>
      </c>
      <c r="L8" s="3612"/>
      <c r="M8" s="3280"/>
      <c r="N8" s="226"/>
      <c r="O8" s="230">
        <f>O7/O$11</f>
        <v>0.33304003678260286</v>
      </c>
      <c r="P8" s="231">
        <f>P7/P$11</f>
        <v>0.29354651114985525</v>
      </c>
      <c r="Q8" s="230">
        <f>Q7/Q11</f>
        <v>0.7822235655162999</v>
      </c>
      <c r="R8" s="232">
        <f>R7/R11</f>
        <v>0.34605778281637295</v>
      </c>
      <c r="S8" s="233">
        <f>S7/S11</f>
        <v>0.33978628603012367</v>
      </c>
      <c r="T8" s="227"/>
    </row>
    <row r="9" spans="2:20" x14ac:dyDescent="0.4">
      <c r="B9" s="3759"/>
      <c r="C9" s="3764"/>
      <c r="D9" s="21" t="s">
        <v>2699</v>
      </c>
      <c r="E9" s="234">
        <f>-SUMIF('Lower Cask Critical Path'!$S$7:$S$131, "&lt;0")</f>
        <v>6.070000000000066</v>
      </c>
      <c r="F9" s="235">
        <f>-SUMIF('Lower Cask Critical Path'!$S$136:$S$251, "&lt;0")</f>
        <v>1.4744444444444444</v>
      </c>
      <c r="G9" s="234">
        <f>'Lower Cask Recovery Scenarios'!D12</f>
        <v>0</v>
      </c>
      <c r="H9" s="236">
        <f>'Lower Cask Weld Failures'!$D$25</f>
        <v>160.17141341944679</v>
      </c>
      <c r="I9" s="237">
        <f>SUM(E9:H9)</f>
        <v>167.7158578638913</v>
      </c>
      <c r="J9" s="3613"/>
      <c r="K9" s="3284">
        <f>IF('Plant Availibility Calculator'!$P$18="Upper Port Cask System",'Upper Cask Summary'!$I9,IF('Plant Availibility Calculator'!$P$18="Upper Port Hot Cell",'Upper Hot Cell Summary'!$I9,"ERROR"))</f>
        <v>86.850382302635069</v>
      </c>
      <c r="L9" s="3613"/>
      <c r="M9" s="3284"/>
      <c r="N9" s="221"/>
      <c r="O9" s="234">
        <f>-SUMIF('Lower Cask Critical Path'!$S$7:$S$91, "&lt;0")</f>
        <v>6.070000000000066</v>
      </c>
      <c r="P9" s="235">
        <f>(-SUMIF('Lower Cask Critical Path'!$S$136:$S$144, "&lt;0"))+(-SUMIF('Lower Cask Critical Path'!$S$198:$S$251, "&lt;0"))</f>
        <v>1.4744444444444444</v>
      </c>
      <c r="Q9" s="234">
        <f>'Lower Cask Recovery Scenarios'!$D$16</f>
        <v>0</v>
      </c>
      <c r="R9" s="236">
        <f>'Lower Cask Weld Failures'!$D$30</f>
        <v>9.724609617075</v>
      </c>
      <c r="S9" s="237">
        <f>SUM(O9:R9)</f>
        <v>17.269054061519512</v>
      </c>
      <c r="T9" s="227"/>
    </row>
    <row r="10" spans="2:20" x14ac:dyDescent="0.4">
      <c r="B10" s="3759"/>
      <c r="C10" s="3764"/>
      <c r="D10" s="238" t="s">
        <v>27</v>
      </c>
      <c r="E10" s="239">
        <f>E9/E11</f>
        <v>2.9529864951891135E-2</v>
      </c>
      <c r="F10" s="240">
        <f>F9/F11</f>
        <v>3.1337964235155758E-3</v>
      </c>
      <c r="G10" s="239">
        <f>G9/G11</f>
        <v>0</v>
      </c>
      <c r="H10" s="241">
        <f>H9/H11</f>
        <v>0.33843841828422006</v>
      </c>
      <c r="I10" s="242">
        <f>I9/I11</f>
        <v>0.14222201502124326</v>
      </c>
      <c r="J10" s="3614"/>
      <c r="K10" s="3289">
        <f>IF('Plant Availibility Calculator'!$P$18="Upper Port Cask System",'Upper Cask Summary'!$I10,IF('Plant Availibility Calculator'!$P$18="Upper Port Hot Cell",'Upper Hot Cell Summary'!$I10,"ERROR"))</f>
        <v>9.7936538453103142E-2</v>
      </c>
      <c r="L10" s="3614"/>
      <c r="M10" s="3289"/>
      <c r="N10" s="243"/>
      <c r="O10" s="239">
        <f>O9/O11</f>
        <v>3.6583799693225311E-2</v>
      </c>
      <c r="P10" s="240">
        <f>P9/P11</f>
        <v>7.6725165016812555E-3</v>
      </c>
      <c r="Q10" s="239">
        <f>Q9/Q11</f>
        <v>0</v>
      </c>
      <c r="R10" s="241">
        <f>R9/R11</f>
        <v>0.15689228494962912</v>
      </c>
      <c r="S10" s="242">
        <f>S9/S11</f>
        <v>3.9086980107044228E-2</v>
      </c>
      <c r="T10" s="227"/>
    </row>
    <row r="11" spans="2:20" s="251" customFormat="1" x14ac:dyDescent="0.4">
      <c r="B11" s="3759"/>
      <c r="C11" s="3765" t="s">
        <v>25</v>
      </c>
      <c r="D11" s="244" t="s">
        <v>26</v>
      </c>
      <c r="E11" s="245">
        <f>E5+E7+E9</f>
        <v>205.55461428249217</v>
      </c>
      <c r="F11" s="246">
        <f>F5+F7+F9</f>
        <v>470.49783878123571</v>
      </c>
      <c r="G11" s="245">
        <f>G5+G7+G9</f>
        <v>29.935340487189819</v>
      </c>
      <c r="H11" s="247">
        <f>H5+H7+H9</f>
        <v>473.26605008812885</v>
      </c>
      <c r="I11" s="248">
        <f t="shared" ref="I11:I16" si="0">SUM(E11:H11)</f>
        <v>1179.2538436390464</v>
      </c>
      <c r="J11" s="3615"/>
      <c r="K11" s="3294">
        <f>IF('Plant Availibility Calculator'!$P$18="Upper Port Cask System",'Upper Cask Summary'!$I11,IF('Plant Availibility Calculator'!$P$18="Upper Port Hot Cell",'Upper Hot Cell Summary'!$I11,"ERROR"))</f>
        <v>886.80265480511468</v>
      </c>
      <c r="L11" s="3615"/>
      <c r="M11" s="3294">
        <f t="shared" ref="M11:M64" si="1">MAX(I11,K11)</f>
        <v>1179.2538436390464</v>
      </c>
      <c r="N11" s="249"/>
      <c r="O11" s="245">
        <f>O5+O7+O9</f>
        <v>165.92043611927292</v>
      </c>
      <c r="P11" s="246">
        <f>P5+P7+P9</f>
        <v>192.17220896447128</v>
      </c>
      <c r="Q11" s="245">
        <f>Q5+Q7+Q9</f>
        <v>21.735546150142582</v>
      </c>
      <c r="R11" s="247">
        <f>R5+R7+R9</f>
        <v>61.98271393776389</v>
      </c>
      <c r="S11" s="248">
        <f>SUM(O11:R11)</f>
        <v>441.81090517165063</v>
      </c>
      <c r="T11" s="250"/>
    </row>
    <row r="12" spans="2:20" ht="15" customHeight="1" thickBot="1" x14ac:dyDescent="0.45">
      <c r="B12" s="3759"/>
      <c r="C12" s="3766"/>
      <c r="D12" s="252" t="s">
        <v>28</v>
      </c>
      <c r="E12" s="253">
        <f>E11/24</f>
        <v>8.5647755951038409</v>
      </c>
      <c r="F12" s="254">
        <f>F11/24</f>
        <v>19.604076615884821</v>
      </c>
      <c r="G12" s="255">
        <f>G11/24</f>
        <v>1.2473058536329091</v>
      </c>
      <c r="H12" s="256">
        <f>H11/24</f>
        <v>19.719418753672034</v>
      </c>
      <c r="I12" s="254">
        <f t="shared" si="0"/>
        <v>49.1355768182936</v>
      </c>
      <c r="J12" s="3616"/>
      <c r="K12" s="3626">
        <f>IF('Plant Availibility Calculator'!$P$18="Upper Port Cask System",'Upper Cask Summary'!$I12,IF('Plant Availibility Calculator'!$P$18="Upper Port Hot Cell",'Upper Hot Cell Summary'!$I12,"ERROR"))</f>
        <v>36.950110616879776</v>
      </c>
      <c r="L12" s="3616"/>
      <c r="M12" s="3626">
        <f t="shared" si="1"/>
        <v>49.1355768182936</v>
      </c>
      <c r="N12" s="221"/>
      <c r="O12" s="253">
        <f>O11/24</f>
        <v>6.9133515049697047</v>
      </c>
      <c r="P12" s="254">
        <f>P11/24</f>
        <v>8.0071753735196367</v>
      </c>
      <c r="Q12" s="255">
        <f>Q11/24</f>
        <v>0.90564775625594096</v>
      </c>
      <c r="R12" s="256">
        <f>R11/24</f>
        <v>2.5826130807401619</v>
      </c>
      <c r="S12" s="254">
        <f>SUM(O12:R12)</f>
        <v>18.408787715485445</v>
      </c>
      <c r="T12" s="8"/>
    </row>
    <row r="13" spans="2:20" ht="15" customHeight="1" x14ac:dyDescent="0.4">
      <c r="B13" s="3759"/>
      <c r="C13" s="3767" t="s">
        <v>111</v>
      </c>
      <c r="D13" s="257" t="s">
        <v>26</v>
      </c>
      <c r="E13" s="258">
        <f>(E11/two_shift_productivity_ratio)*1.1</f>
        <v>339.1651135661121</v>
      </c>
      <c r="F13" s="259">
        <f>(F11/two_shift_productivity_ratio)*1.1</f>
        <v>776.32143398903895</v>
      </c>
      <c r="G13" s="258">
        <f>(G11/two_shift_productivity_ratio)*1.1</f>
        <v>49.393311803863206</v>
      </c>
      <c r="H13" s="259">
        <f>(H11/two_shift_productivity_ratio)*1.1</f>
        <v>780.88898264541263</v>
      </c>
      <c r="I13" s="260">
        <f>SUM(E13:H13)</f>
        <v>1945.7688420044269</v>
      </c>
      <c r="J13" s="3611"/>
      <c r="K13" s="3304">
        <f>IF('Plant Availibility Calculator'!$P$18="Upper Port Cask System",'Upper Cask Summary'!$I13,IF('Plant Availibility Calculator'!$P$18="Upper Port Hot Cell",'Upper Hot Cell Summary'!$I13,"ERROR"))</f>
        <v>1463.2243804284394</v>
      </c>
      <c r="L13" s="3611"/>
      <c r="M13" s="3304">
        <f t="shared" si="1"/>
        <v>1945.7688420044269</v>
      </c>
      <c r="N13" s="221"/>
      <c r="O13" s="258">
        <f>(O11/two_shift_productivity_ratio)*1.1</f>
        <v>273.76871959680034</v>
      </c>
      <c r="P13" s="259">
        <f>(P11/two_shift_productivity_ratio)*1.1</f>
        <v>317.0841447913777</v>
      </c>
      <c r="Q13" s="258">
        <f>(Q11/two_shift_productivity_ratio)*1.1</f>
        <v>35.863651147735261</v>
      </c>
      <c r="R13" s="259">
        <f>(R11/two_shift_productivity_ratio)*1.1</f>
        <v>102.27147799731043</v>
      </c>
      <c r="S13" s="260">
        <f>SUM(O13:R13)</f>
        <v>728.98799353322363</v>
      </c>
      <c r="T13" s="261"/>
    </row>
    <row r="14" spans="2:20" x14ac:dyDescent="0.4">
      <c r="B14" s="3759"/>
      <c r="C14" s="3768"/>
      <c r="D14" s="22" t="s">
        <v>112</v>
      </c>
      <c r="E14" s="262">
        <f>E13/24</f>
        <v>14.131879731921337</v>
      </c>
      <c r="F14" s="263">
        <f>F13/24</f>
        <v>32.346726416209954</v>
      </c>
      <c r="G14" s="262">
        <f>G13/24</f>
        <v>2.0580546584943002</v>
      </c>
      <c r="H14" s="264">
        <f>H13/24</f>
        <v>32.537040943558857</v>
      </c>
      <c r="I14" s="265">
        <f t="shared" si="0"/>
        <v>81.073701750184455</v>
      </c>
      <c r="J14" s="3611"/>
      <c r="K14" s="3309">
        <f>IF('Plant Availibility Calculator'!$P$18="Upper Port Cask System",'Upper Cask Summary'!$I14,IF('Plant Availibility Calculator'!$P$18="Upper Port Hot Cell",'Upper Hot Cell Summary'!$I14,"ERROR"))</f>
        <v>60.967682517851642</v>
      </c>
      <c r="L14" s="3611"/>
      <c r="M14" s="3309">
        <f t="shared" si="1"/>
        <v>81.073701750184455</v>
      </c>
      <c r="N14" s="221"/>
      <c r="O14" s="262">
        <f>O13/24</f>
        <v>11.407029983200013</v>
      </c>
      <c r="P14" s="263">
        <f>P13/24</f>
        <v>13.211839366307403</v>
      </c>
      <c r="Q14" s="262">
        <f>Q13/24</f>
        <v>1.4943187978223025</v>
      </c>
      <c r="R14" s="264">
        <f>R13/24</f>
        <v>4.2613115832212678</v>
      </c>
      <c r="S14" s="265">
        <f>SUM(O14:R14)</f>
        <v>30.374499730550987</v>
      </c>
      <c r="T14" s="227"/>
    </row>
    <row r="15" spans="2:20" x14ac:dyDescent="0.4">
      <c r="B15" s="3759"/>
      <c r="C15" s="3768"/>
      <c r="D15" s="22" t="s">
        <v>113</v>
      </c>
      <c r="E15" s="262">
        <f>E14/30</f>
        <v>0.47106265773071127</v>
      </c>
      <c r="F15" s="263">
        <f>F14/30</f>
        <v>1.0782242138736651</v>
      </c>
      <c r="G15" s="262">
        <f>G14/30</f>
        <v>6.8601821949810002E-2</v>
      </c>
      <c r="H15" s="264">
        <f>H14/30</f>
        <v>1.0845680314519619</v>
      </c>
      <c r="I15" s="265">
        <f t="shared" si="0"/>
        <v>2.7024567250061482</v>
      </c>
      <c r="J15" s="3611"/>
      <c r="K15" s="3309">
        <f>IF('Plant Availibility Calculator'!$P$18="Upper Port Cask System",'Upper Cask Summary'!$I15,IF('Plant Availibility Calculator'!$P$18="Upper Port Hot Cell",'Upper Hot Cell Summary'!$I15,"ERROR"))</f>
        <v>2.0322560839283881</v>
      </c>
      <c r="L15" s="3611"/>
      <c r="M15" s="3309">
        <f t="shared" si="1"/>
        <v>2.7024567250061482</v>
      </c>
      <c r="N15" s="221"/>
      <c r="O15" s="262">
        <f>O14/30</f>
        <v>0.38023433277333379</v>
      </c>
      <c r="P15" s="263">
        <f>P14/30</f>
        <v>0.4403946455435801</v>
      </c>
      <c r="Q15" s="262">
        <f>Q14/30</f>
        <v>4.981062659407675E-2</v>
      </c>
      <c r="R15" s="264">
        <f>R14/30</f>
        <v>0.14204371944070893</v>
      </c>
      <c r="S15" s="265">
        <f>SUM(O15:R15)</f>
        <v>1.0124833243516995</v>
      </c>
      <c r="T15" s="227"/>
    </row>
    <row r="16" spans="2:20" s="7" customFormat="1" ht="15" thickBot="1" x14ac:dyDescent="0.45">
      <c r="B16" s="3760"/>
      <c r="C16" s="3769"/>
      <c r="D16" s="23" t="s">
        <v>513</v>
      </c>
      <c r="E16" s="266">
        <f>E13/$I$13</f>
        <v>0.17430904753142329</v>
      </c>
      <c r="F16" s="267">
        <f>F13/$I$13</f>
        <v>0.39897927093400992</v>
      </c>
      <c r="G16" s="266">
        <f>G13/$I$13</f>
        <v>2.5384984453230765E-2</v>
      </c>
      <c r="H16" s="268">
        <f>H13/$I$13</f>
        <v>0.401326697081336</v>
      </c>
      <c r="I16" s="269">
        <f t="shared" si="0"/>
        <v>1</v>
      </c>
      <c r="J16" s="3612"/>
      <c r="K16" s="3314">
        <f>IF('Plant Availibility Calculator'!$P$18="Upper Port Cask System",'Upper Cask Summary'!$I16,IF('Plant Availibility Calculator'!$P$18="Upper Port Hot Cell",'Upper Hot Cell Summary'!$I16,"ERROR"))</f>
        <v>1</v>
      </c>
      <c r="L16" s="3612"/>
      <c r="M16" s="3314">
        <f t="shared" si="1"/>
        <v>1</v>
      </c>
      <c r="N16" s="226"/>
      <c r="O16" s="266">
        <f>O13/$S$13</f>
        <v>0.37554626691437182</v>
      </c>
      <c r="P16" s="267">
        <f>P13/$S$13</f>
        <v>0.43496483838444261</v>
      </c>
      <c r="Q16" s="266">
        <f>Q13/$S$13</f>
        <v>4.9196490841931506E-2</v>
      </c>
      <c r="R16" s="268">
        <f>R13/$S$13</f>
        <v>0.14029240385925423</v>
      </c>
      <c r="S16" s="269">
        <f>S13/$S$13</f>
        <v>1</v>
      </c>
      <c r="T16" s="5"/>
    </row>
    <row r="17" spans="2:20" s="7" customFormat="1" ht="15" thickBot="1" x14ac:dyDescent="0.45">
      <c r="C17" s="270"/>
      <c r="D17" s="6"/>
      <c r="E17" s="177"/>
      <c r="F17" s="177"/>
      <c r="G17" s="177"/>
      <c r="H17" s="177"/>
      <c r="I17" s="177"/>
      <c r="J17" s="3266"/>
      <c r="K17" s="3266"/>
      <c r="L17" s="3266"/>
      <c r="M17" s="3266"/>
      <c r="N17" s="272"/>
      <c r="O17" s="177"/>
      <c r="P17" s="177"/>
      <c r="Q17" s="177"/>
      <c r="R17" s="177"/>
      <c r="S17" s="177"/>
      <c r="T17" s="273"/>
    </row>
    <row r="18" spans="2:20" ht="15" customHeight="1" x14ac:dyDescent="0.4">
      <c r="B18" s="3758" t="str">
        <f>"All "&amp;Tokamak_Segmts&amp;" Ports in series"</f>
        <v>All 16 Ports in series</v>
      </c>
      <c r="C18" s="3761" t="s">
        <v>18</v>
      </c>
      <c r="D18" s="216" t="s">
        <v>26</v>
      </c>
      <c r="E18" s="217">
        <f>E$5*(Tokamak_Segmts)</f>
        <v>1974.8234581495028</v>
      </c>
      <c r="F18" s="218">
        <f>F$5*(Tokamak_Segmts)</f>
        <v>6259.2306056849566</v>
      </c>
      <c r="G18" s="217">
        <f>'Lower Cask Recovery Scenarios'!$E$10</f>
        <v>102.39654492780392</v>
      </c>
      <c r="H18" s="219">
        <f>'Lower Cask Weld Failures'!$E$23</f>
        <v>3918.9628041567025</v>
      </c>
      <c r="I18" s="220">
        <f t="shared" ref="I18:I24" si="2">SUM(E18:H18)</f>
        <v>12255.413412918966</v>
      </c>
      <c r="J18" s="3611"/>
      <c r="K18" s="3265">
        <f>IF('Plant Availibility Calculator'!$P$18="Upper Port Cask System",'Upper Cask Summary'!$I18,IF('Plant Availibility Calculator'!$P$18="Upper Port Hot Cell",'Upper Hot Cell Summary'!$I18,"ERROR"))</f>
        <v>11613.144367226816</v>
      </c>
      <c r="L18" s="3611"/>
      <c r="M18" s="3265"/>
      <c r="N18" s="221"/>
      <c r="O18" s="217">
        <f>O$5*(Tokamak_Segmts)</f>
        <v>1673.4766075379948</v>
      </c>
      <c r="P18" s="218">
        <f>O$5*(Tokamak_Segmts)</f>
        <v>1673.4766075379948</v>
      </c>
      <c r="Q18" s="217">
        <f>'Lower Cask Recovery Scenarios'!$E$14</f>
        <v>75.735835874143461</v>
      </c>
      <c r="R18" s="219">
        <f>'Lower Cask Weld Failures'!$E$28</f>
        <v>492.93606019911721</v>
      </c>
      <c r="S18" s="220">
        <f t="shared" ref="S18:S27" si="3">SUM(O18:R18)</f>
        <v>3915.6251111492502</v>
      </c>
      <c r="T18" s="8"/>
    </row>
    <row r="19" spans="2:20" s="177" customFormat="1" x14ac:dyDescent="0.4">
      <c r="B19" s="3759"/>
      <c r="C19" s="3762"/>
      <c r="D19" s="274" t="s">
        <v>28</v>
      </c>
      <c r="E19" s="275">
        <f>E18/24</f>
        <v>82.284310756229289</v>
      </c>
      <c r="F19" s="276">
        <f>F18/24</f>
        <v>260.80127523687321</v>
      </c>
      <c r="G19" s="275">
        <f>G18/24</f>
        <v>4.2665227053251629</v>
      </c>
      <c r="H19" s="26">
        <f>H18/24</f>
        <v>163.29011683986261</v>
      </c>
      <c r="I19" s="25">
        <f t="shared" si="2"/>
        <v>510.64222553829023</v>
      </c>
      <c r="J19" s="3611"/>
      <c r="K19" s="3321">
        <f>IF('Plant Availibility Calculator'!$P$18="Upper Port Cask System",'Upper Cask Summary'!$I19,IF('Plant Availibility Calculator'!$P$18="Upper Port Hot Cell",'Upper Hot Cell Summary'!$I19,"ERROR"))</f>
        <v>483.88101530111732</v>
      </c>
      <c r="L19" s="3611"/>
      <c r="M19" s="3321"/>
      <c r="N19" s="221"/>
      <c r="O19" s="275">
        <f>O18/24</f>
        <v>69.728191980749784</v>
      </c>
      <c r="P19" s="276">
        <f>P18/24</f>
        <v>69.728191980749784</v>
      </c>
      <c r="Q19" s="275">
        <f>Q18/24</f>
        <v>3.1556598280893109</v>
      </c>
      <c r="R19" s="224">
        <f>R18/R$11</f>
        <v>7.9527989157439682</v>
      </c>
      <c r="S19" s="25">
        <f t="shared" si="3"/>
        <v>150.56484270533284</v>
      </c>
      <c r="T19" s="200"/>
    </row>
    <row r="20" spans="2:20" x14ac:dyDescent="0.4">
      <c r="B20" s="3759"/>
      <c r="C20" s="3763" t="s">
        <v>3</v>
      </c>
      <c r="D20" s="21" t="s">
        <v>26</v>
      </c>
      <c r="E20" s="228">
        <f>E$7*Tokamak_Segmts</f>
        <v>1216.9303703703704</v>
      </c>
      <c r="F20" s="229">
        <f>E$7*Tokamak_Segmts</f>
        <v>1216.9303703703704</v>
      </c>
      <c r="G20" s="228">
        <f>'Lower Cask Recovery Scenarios'!$E$11</f>
        <v>376.56890286723319</v>
      </c>
      <c r="H20" s="28">
        <f>'Lower Cask Weld Failures'!$E$24</f>
        <v>1090.5513825422095</v>
      </c>
      <c r="I20" s="27">
        <f t="shared" si="2"/>
        <v>3900.9810261501834</v>
      </c>
      <c r="J20" s="3611"/>
      <c r="K20" s="3276">
        <f>IF('Plant Availibility Calculator'!$P$18="Upper Port Cask System",'Upper Cask Summary'!$I20,IF('Plant Availibility Calculator'!$P$18="Upper Port Hot Cell",'Upper Hot Cell Summary'!$I20,"ERROR"))</f>
        <v>1186.0919928128583</v>
      </c>
      <c r="L20" s="3611"/>
      <c r="M20" s="3276"/>
      <c r="N20" s="221"/>
      <c r="O20" s="228">
        <f>O$7*Tokamak_Segmts</f>
        <v>884.13037037037054</v>
      </c>
      <c r="P20" s="229">
        <f>O$7*Tokamak_Segmts</f>
        <v>884.13037037037054</v>
      </c>
      <c r="Q20" s="228">
        <f>'Lower Cask Recovery Scenarios'!$E$15</f>
        <v>272.03290252813787</v>
      </c>
      <c r="R20" s="28">
        <f>'Lower Cask Weld Failures'!$E$29</f>
        <v>343.19360893190509</v>
      </c>
      <c r="S20" s="27">
        <f t="shared" si="3"/>
        <v>2383.487252200784</v>
      </c>
    </row>
    <row r="21" spans="2:20" s="177" customFormat="1" x14ac:dyDescent="0.4">
      <c r="B21" s="3759"/>
      <c r="C21" s="3764"/>
      <c r="D21" s="277" t="s">
        <v>28</v>
      </c>
      <c r="E21" s="228">
        <f>E20/24</f>
        <v>50.705432098765435</v>
      </c>
      <c r="F21" s="229">
        <f>F20/24</f>
        <v>50.705432098765435</v>
      </c>
      <c r="G21" s="228">
        <f>G20/24</f>
        <v>15.690370952801382</v>
      </c>
      <c r="H21" s="28">
        <f>H20/24</f>
        <v>45.43964093925873</v>
      </c>
      <c r="I21" s="27">
        <f t="shared" si="2"/>
        <v>162.54087608959099</v>
      </c>
      <c r="J21" s="3611"/>
      <c r="K21" s="3276">
        <f>IF('Plant Availibility Calculator'!$P$18="Upper Port Cask System",'Upper Cask Summary'!$I21,IF('Plant Availibility Calculator'!$P$18="Upper Port Hot Cell",'Upper Hot Cell Summary'!$I21,"ERROR"))</f>
        <v>49.420499700535764</v>
      </c>
      <c r="L21" s="3611"/>
      <c r="M21" s="3276"/>
      <c r="N21" s="221"/>
      <c r="O21" s="228">
        <f>O20/24</f>
        <v>36.838765432098775</v>
      </c>
      <c r="P21" s="229">
        <f>P20/24</f>
        <v>36.838765432098775</v>
      </c>
      <c r="Q21" s="228">
        <f>Q20/24</f>
        <v>11.334704272005744</v>
      </c>
      <c r="R21" s="232">
        <f>R20/R24</f>
        <v>8.3053867875929512</v>
      </c>
      <c r="S21" s="27">
        <f t="shared" si="3"/>
        <v>93.317621923796239</v>
      </c>
    </row>
    <row r="22" spans="2:20" x14ac:dyDescent="0.4">
      <c r="B22" s="3759"/>
      <c r="C22" s="3764"/>
      <c r="D22" s="238" t="s">
        <v>2699</v>
      </c>
      <c r="E22" s="278">
        <f>E$9*Tokamak_Segmts</f>
        <v>97.120000000001056</v>
      </c>
      <c r="F22" s="279">
        <f>E$9*Tokamak_Segmts</f>
        <v>97.120000000001056</v>
      </c>
      <c r="G22" s="278">
        <f>'Lower Cask Recovery Scenarios'!$E$12</f>
        <v>0</v>
      </c>
      <c r="H22" s="280">
        <f>'Lower Cask Weld Failures'!$E$25</f>
        <v>2562.7426147111487</v>
      </c>
      <c r="I22" s="281">
        <f t="shared" si="2"/>
        <v>2756.9826147111507</v>
      </c>
      <c r="J22" s="3613"/>
      <c r="K22" s="3325">
        <f>IF('Plant Availibility Calculator'!$P$18="Upper Port Cask System",'Upper Cask Summary'!$I22,IF('Plant Availibility Calculator'!$P$18="Upper Port Hot Cell",'Upper Hot Cell Summary'!$I22,"ERROR"))</f>
        <v>1389.6061168421611</v>
      </c>
      <c r="L22" s="3613"/>
      <c r="M22" s="3325"/>
      <c r="N22" s="221"/>
      <c r="O22" s="278">
        <f>O$9*Tokamak_Segmts</f>
        <v>97.120000000001056</v>
      </c>
      <c r="P22" s="279">
        <f>O$9*Tokamak_Segmts</f>
        <v>97.120000000001056</v>
      </c>
      <c r="Q22" s="278">
        <f>'Lower Cask Recovery Scenarios'!$E$16</f>
        <v>0</v>
      </c>
      <c r="R22" s="236">
        <f>'Lower Cask Weld Failures'!$E$30</f>
        <v>155.5937538732</v>
      </c>
      <c r="S22" s="281">
        <f t="shared" si="3"/>
        <v>349.83375387320211</v>
      </c>
    </row>
    <row r="23" spans="2:20" ht="15" customHeight="1" x14ac:dyDescent="0.4">
      <c r="B23" s="3759"/>
      <c r="C23" s="3765" t="s">
        <v>25</v>
      </c>
      <c r="D23" s="244" t="s">
        <v>26</v>
      </c>
      <c r="E23" s="245">
        <f>E18+E20+E22</f>
        <v>3288.8738285198747</v>
      </c>
      <c r="F23" s="246">
        <f>F18+F20+F22</f>
        <v>7573.2809760553282</v>
      </c>
      <c r="G23" s="245">
        <f>G18+G20+G22</f>
        <v>478.96544779503711</v>
      </c>
      <c r="H23" s="247">
        <f>H18+H20+H22</f>
        <v>7572.2568014100616</v>
      </c>
      <c r="I23" s="248">
        <f>SUM(E23:H23)</f>
        <v>18913.377053780299</v>
      </c>
      <c r="J23" s="3615"/>
      <c r="K23" s="3294">
        <f>IF('Plant Availibility Calculator'!$P$18="Upper Port Cask System",'Upper Cask Summary'!$I23,IF('Plant Availibility Calculator'!$P$18="Upper Port Hot Cell",'Upper Hot Cell Summary'!$I23,"ERROR"))</f>
        <v>14188.842476881835</v>
      </c>
      <c r="L23" s="3615"/>
      <c r="M23" s="3294">
        <f t="shared" si="1"/>
        <v>18913.377053780299</v>
      </c>
      <c r="N23" s="249"/>
      <c r="O23" s="245">
        <f>O18+O20+O22</f>
        <v>2654.7269779083667</v>
      </c>
      <c r="P23" s="246">
        <f>P18+P20+P22</f>
        <v>2654.7269779083667</v>
      </c>
      <c r="Q23" s="245">
        <f>Q18+Q20+Q22</f>
        <v>347.76873840228131</v>
      </c>
      <c r="R23" s="247">
        <f>R18+R20+R22</f>
        <v>991.72342300422224</v>
      </c>
      <c r="S23" s="248">
        <f t="shared" si="3"/>
        <v>6648.9461172232368</v>
      </c>
      <c r="T23" s="8"/>
    </row>
    <row r="24" spans="2:20" ht="15" customHeight="1" thickBot="1" x14ac:dyDescent="0.45">
      <c r="B24" s="3759"/>
      <c r="C24" s="3766"/>
      <c r="D24" s="252" t="s">
        <v>28</v>
      </c>
      <c r="E24" s="253">
        <f>E23/24</f>
        <v>137.03640952166145</v>
      </c>
      <c r="F24" s="254">
        <f>F23/24</f>
        <v>315.55337400230536</v>
      </c>
      <c r="G24" s="255">
        <f>G23/24</f>
        <v>19.956893658126546</v>
      </c>
      <c r="H24" s="256">
        <f>H23/24</f>
        <v>315.51070005875255</v>
      </c>
      <c r="I24" s="254">
        <f t="shared" si="2"/>
        <v>788.05737724084588</v>
      </c>
      <c r="J24" s="3616"/>
      <c r="K24" s="3626">
        <f>IF('Plant Availibility Calculator'!$P$18="Upper Port Cask System",'Upper Cask Summary'!$I24,IF('Plant Availibility Calculator'!$P$18="Upper Port Hot Cell",'Upper Hot Cell Summary'!$I24,"ERROR"))</f>
        <v>591.20176987007642</v>
      </c>
      <c r="L24" s="3616"/>
      <c r="M24" s="3626">
        <f t="shared" si="1"/>
        <v>788.05737724084588</v>
      </c>
      <c r="N24" s="221"/>
      <c r="O24" s="253">
        <f>O23/24</f>
        <v>110.61362407951528</v>
      </c>
      <c r="P24" s="254">
        <f>P23/24</f>
        <v>110.61362407951528</v>
      </c>
      <c r="Q24" s="255">
        <f>Q23/24</f>
        <v>14.490364100095055</v>
      </c>
      <c r="R24" s="256">
        <f>R23/24</f>
        <v>41.321809291842591</v>
      </c>
      <c r="S24" s="254">
        <f t="shared" si="3"/>
        <v>277.0394215509682</v>
      </c>
      <c r="T24" s="8"/>
    </row>
    <row r="25" spans="2:20" s="177" customFormat="1" ht="15" customHeight="1" x14ac:dyDescent="0.4">
      <c r="B25" s="3759"/>
      <c r="C25" s="3767" t="s">
        <v>111</v>
      </c>
      <c r="D25" s="257" t="s">
        <v>26</v>
      </c>
      <c r="E25" s="258">
        <f>(E23/two_shift_productivity_ratio)*1.1</f>
        <v>5426.6418170577936</v>
      </c>
      <c r="F25" s="259">
        <f>(F23/two_shift_productivity_ratio)*1.1</f>
        <v>12495.913610491292</v>
      </c>
      <c r="G25" s="258">
        <f>(G23/two_shift_productivity_ratio)*1.1</f>
        <v>790.2929888618113</v>
      </c>
      <c r="H25" s="259">
        <f>(H23/two_shift_productivity_ratio)*1.1</f>
        <v>12494.223722326602</v>
      </c>
      <c r="I25" s="260">
        <f>SUM(E25:H25)</f>
        <v>31207.072138737502</v>
      </c>
      <c r="J25" s="3611"/>
      <c r="K25" s="3304">
        <f>IF('Plant Availibility Calculator'!$P$18="Upper Port Cask System",'Upper Cask Summary'!$I25,IF('Plant Availibility Calculator'!$P$18="Upper Port Hot Cell",'Upper Hot Cell Summary'!$I25,"ERROR"))</f>
        <v>23411.590086855031</v>
      </c>
      <c r="L25" s="3611"/>
      <c r="M25" s="3304">
        <f t="shared" si="1"/>
        <v>31207.072138737502</v>
      </c>
      <c r="N25" s="221"/>
      <c r="O25" s="258">
        <f>(O23/two_shift_productivity_ratio)*1.1</f>
        <v>4380.2995135488054</v>
      </c>
      <c r="P25" s="259">
        <f>(P23/two_shift_productivity_ratio)*1.1</f>
        <v>4380.2995135488054</v>
      </c>
      <c r="Q25" s="258">
        <f>(Q23/two_shift_productivity_ratio)*1.1</f>
        <v>573.81841836376418</v>
      </c>
      <c r="R25" s="259">
        <f>(R23/two_shift_productivity_ratio)*1.1</f>
        <v>1636.3436479569668</v>
      </c>
      <c r="S25" s="260">
        <f t="shared" si="3"/>
        <v>10970.761093418341</v>
      </c>
    </row>
    <row r="26" spans="2:20" ht="15" customHeight="1" x14ac:dyDescent="0.4">
      <c r="B26" s="3759"/>
      <c r="C26" s="3768"/>
      <c r="D26" s="22" t="s">
        <v>112</v>
      </c>
      <c r="E26" s="262">
        <f>E25/24</f>
        <v>226.1100757107414</v>
      </c>
      <c r="F26" s="263">
        <f>F25/24</f>
        <v>520.66306710380388</v>
      </c>
      <c r="G26" s="262">
        <f>G25/24</f>
        <v>32.928874535908804</v>
      </c>
      <c r="H26" s="263">
        <f>H25/24</f>
        <v>520.59265509694171</v>
      </c>
      <c r="I26" s="265">
        <f>SUM(E26:H26)</f>
        <v>1300.2946724473959</v>
      </c>
      <c r="J26" s="3611"/>
      <c r="K26" s="3309">
        <f>IF('Plant Availibility Calculator'!$P$18="Upper Port Cask System",'Upper Cask Summary'!$I26,IF('Plant Availibility Calculator'!$P$18="Upper Port Hot Cell",'Upper Hot Cell Summary'!$I26,"ERROR"))</f>
        <v>975.48292028562628</v>
      </c>
      <c r="L26" s="3611"/>
      <c r="M26" s="3309">
        <f t="shared" si="1"/>
        <v>1300.2946724473959</v>
      </c>
      <c r="N26" s="221"/>
      <c r="O26" s="262">
        <f>O25/24</f>
        <v>182.51247973120022</v>
      </c>
      <c r="P26" s="263">
        <f>P25/24</f>
        <v>182.51247973120022</v>
      </c>
      <c r="Q26" s="262">
        <f>Q25/24</f>
        <v>23.90910076515684</v>
      </c>
      <c r="R26" s="263">
        <f>R25/24</f>
        <v>68.180985331540285</v>
      </c>
      <c r="S26" s="265">
        <f t="shared" si="3"/>
        <v>457.11504555909755</v>
      </c>
    </row>
    <row r="27" spans="2:20" x14ac:dyDescent="0.4">
      <c r="B27" s="3759"/>
      <c r="C27" s="3768"/>
      <c r="D27" s="22" t="s">
        <v>113</v>
      </c>
      <c r="E27" s="262">
        <f>E26/30</f>
        <v>7.5370025236913802</v>
      </c>
      <c r="F27" s="263">
        <f>F26/30</f>
        <v>17.355435570126797</v>
      </c>
      <c r="G27" s="262">
        <f>G26/30</f>
        <v>1.09762915119696</v>
      </c>
      <c r="H27" s="263">
        <f>H26/30</f>
        <v>17.35308850323139</v>
      </c>
      <c r="I27" s="265">
        <f>SUM(E27:H27)</f>
        <v>43.343155748246531</v>
      </c>
      <c r="J27" s="3611"/>
      <c r="K27" s="3309">
        <f>IF('Plant Availibility Calculator'!$P$18="Upper Port Cask System",'Upper Cask Summary'!$I27,IF('Plant Availibility Calculator'!$P$18="Upper Port Hot Cell",'Upper Hot Cell Summary'!$I27,"ERROR"))</f>
        <v>32.516097342854209</v>
      </c>
      <c r="L27" s="3611"/>
      <c r="M27" s="3309">
        <f t="shared" si="1"/>
        <v>43.343155748246531</v>
      </c>
      <c r="N27" s="221"/>
      <c r="O27" s="262">
        <f>O26/30</f>
        <v>6.0837493243733407</v>
      </c>
      <c r="P27" s="263">
        <f>P26/30</f>
        <v>6.0837493243733407</v>
      </c>
      <c r="Q27" s="262">
        <f>Q26/30</f>
        <v>0.796970025505228</v>
      </c>
      <c r="R27" s="263">
        <f>R26/30</f>
        <v>2.2726995110513428</v>
      </c>
      <c r="S27" s="265">
        <f t="shared" si="3"/>
        <v>15.237168185303252</v>
      </c>
    </row>
    <row r="28" spans="2:20" s="283" customFormat="1" ht="15" thickBot="1" x14ac:dyDescent="0.45">
      <c r="B28" s="3760"/>
      <c r="C28" s="3769"/>
      <c r="D28" s="282" t="s">
        <v>513</v>
      </c>
      <c r="E28" s="266">
        <f>E25/$I$25</f>
        <v>0.17389141130999197</v>
      </c>
      <c r="F28" s="267">
        <f>F25/$I$25</f>
        <v>0.40041928813245026</v>
      </c>
      <c r="G28" s="266">
        <f>G25/$I$25</f>
        <v>2.5324163232885166E-2</v>
      </c>
      <c r="H28" s="267">
        <f>H25/$I$25</f>
        <v>0.40036513732467255</v>
      </c>
      <c r="I28" s="269">
        <f>SUM(E28:H28)</f>
        <v>1</v>
      </c>
      <c r="J28" s="3612"/>
      <c r="K28" s="3314">
        <f>IF('Plant Availibility Calculator'!$P$18="Upper Port Cask System",'Upper Cask Summary'!$I28,IF('Plant Availibility Calculator'!$P$18="Upper Port Hot Cell",'Upper Hot Cell Summary'!$I28,"ERROR"))</f>
        <v>1</v>
      </c>
      <c r="L28" s="3612"/>
      <c r="M28" s="3314">
        <f t="shared" si="1"/>
        <v>1</v>
      </c>
      <c r="N28" s="226"/>
      <c r="O28" s="266">
        <f>O25/$S$25</f>
        <v>0.39927034015686175</v>
      </c>
      <c r="P28" s="267">
        <f>P25/$S$25</f>
        <v>0.39927034015686175</v>
      </c>
      <c r="Q28" s="266">
        <f>Q25/$S$25</f>
        <v>5.2304340006821722E-2</v>
      </c>
      <c r="R28" s="267">
        <f>R25/$S$25</f>
        <v>0.14915497967945487</v>
      </c>
      <c r="S28" s="269">
        <f>S25/$S$25</f>
        <v>1</v>
      </c>
      <c r="T28" s="272"/>
    </row>
    <row r="29" spans="2:20" s="7" customFormat="1" ht="15" thickBot="1" x14ac:dyDescent="0.45">
      <c r="C29" s="270"/>
      <c r="D29" s="6"/>
      <c r="E29" s="177"/>
      <c r="F29" s="177"/>
      <c r="G29" s="177"/>
      <c r="H29" s="177"/>
      <c r="I29" s="177"/>
      <c r="J29" s="3266"/>
      <c r="K29" s="3266"/>
      <c r="L29" s="3266"/>
      <c r="M29" s="3266"/>
      <c r="N29" s="177"/>
      <c r="O29" s="177"/>
      <c r="P29" s="177"/>
      <c r="Q29" s="177"/>
      <c r="R29" s="177"/>
      <c r="S29" s="177"/>
      <c r="T29" s="5"/>
    </row>
    <row r="30" spans="2:20" ht="15" customHeight="1" x14ac:dyDescent="0.4">
      <c r="B30" s="3758" t="str">
        <f>"All "&amp;Tokamak_Segmts&amp;" Ports with 2 RM Systems"</f>
        <v>All 16 Ports with 2 RM Systems</v>
      </c>
      <c r="C30" s="3761" t="s">
        <v>18</v>
      </c>
      <c r="D30" s="216" t="s">
        <v>26</v>
      </c>
      <c r="E30" s="217">
        <f>E$5*(ROUNDUP((Tokamak_Segmts/2),0))</f>
        <v>987.41172907475141</v>
      </c>
      <c r="F30" s="218">
        <f>F$5*(ROUNDUP((Tokamak_Segmts/2),0))</f>
        <v>3129.6153028424783</v>
      </c>
      <c r="G30" s="217">
        <f>'Lower Cask Recovery Scenarios'!$F$10</f>
        <v>51.198272463901958</v>
      </c>
      <c r="H30" s="219">
        <f>'Lower Cask Weld Failures'!$F$23</f>
        <v>1959.4814020783513</v>
      </c>
      <c r="I30" s="220">
        <f t="shared" ref="I30:I36" si="4">SUM(E30:H30)</f>
        <v>6127.706706459483</v>
      </c>
      <c r="J30" s="3611"/>
      <c r="K30" s="3265">
        <f>IF('Plant Availibility Calculator'!$P$18="Upper Port Cask System",'Upper Cask Summary'!$I30,IF('Plant Availibility Calculator'!$P$18="Upper Port Hot Cell",'Upper Hot Cell Summary'!$I30,"ERROR"))</f>
        <v>5806.572183613408</v>
      </c>
      <c r="L30" s="3611"/>
      <c r="M30" s="3265"/>
      <c r="N30" s="221"/>
      <c r="O30" s="217">
        <f>O$5*(ROUNDUP((Tokamak_Segmts/2),0))</f>
        <v>836.73830376899741</v>
      </c>
      <c r="P30" s="218">
        <f>P$5*(ROUNDUP((Tokamak_Segmts/2),0))</f>
        <v>1074.2902643083628</v>
      </c>
      <c r="Q30" s="217">
        <f>'Lower Cask Recovery Scenarios'!$F$14</f>
        <v>37.867917937071731</v>
      </c>
      <c r="R30" s="219">
        <f>'Lower Cask Weld Failures'!$F$28</f>
        <v>246.4680300995586</v>
      </c>
      <c r="S30" s="220">
        <f>SUM(O30:R30)</f>
        <v>2195.3645161139907</v>
      </c>
    </row>
    <row r="31" spans="2:20" s="177" customFormat="1" x14ac:dyDescent="0.4">
      <c r="B31" s="3759"/>
      <c r="C31" s="3762"/>
      <c r="D31" s="274" t="s">
        <v>28</v>
      </c>
      <c r="E31" s="275">
        <f>E30/24</f>
        <v>41.142155378114644</v>
      </c>
      <c r="F31" s="276">
        <f>F30/24</f>
        <v>130.4006376184366</v>
      </c>
      <c r="G31" s="275">
        <f>G30/G35</f>
        <v>0.21378691385609574</v>
      </c>
      <c r="H31" s="26">
        <f>H30/H35</f>
        <v>0.51754224756705769</v>
      </c>
      <c r="I31" s="25">
        <f t="shared" si="4"/>
        <v>172.2741221579744</v>
      </c>
      <c r="J31" s="3611"/>
      <c r="K31" s="3321">
        <f>IF('Plant Availibility Calculator'!$P$18="Upper Port Cask System",'Upper Cask Summary'!$I31,IF('Plant Availibility Calculator'!$P$18="Upper Port Hot Cell",'Upper Hot Cell Summary'!$I31,"ERROR"))</f>
        <v>241.94050765055866</v>
      </c>
      <c r="L31" s="3611"/>
      <c r="M31" s="3321"/>
      <c r="N31" s="221"/>
      <c r="O31" s="275">
        <f>O30/24</f>
        <v>34.864095990374892</v>
      </c>
      <c r="P31" s="276">
        <f>P30/24</f>
        <v>44.762094346181783</v>
      </c>
      <c r="Q31" s="275">
        <f>Q30/24</f>
        <v>1.5778299140446554</v>
      </c>
      <c r="R31" s="224">
        <f>R30/R$11</f>
        <v>3.9763994578719841</v>
      </c>
      <c r="S31" s="25">
        <f>S30/24</f>
        <v>91.473521504749613</v>
      </c>
    </row>
    <row r="32" spans="2:20" s="177" customFormat="1" x14ac:dyDescent="0.4">
      <c r="B32" s="3759"/>
      <c r="C32" s="3763" t="s">
        <v>3</v>
      </c>
      <c r="D32" s="21" t="s">
        <v>26</v>
      </c>
      <c r="E32" s="228">
        <f>E$7*(ROUNDUP((Tokamak_Segmts/2),0))</f>
        <v>608.46518518518519</v>
      </c>
      <c r="F32" s="229">
        <f>F$7*(ROUNDUP((Tokamak_Segmts/2),0))</f>
        <v>622.57185185185176</v>
      </c>
      <c r="G32" s="228">
        <f>'Lower Cask Recovery Scenarios'!$F$11</f>
        <v>188.2844514336166</v>
      </c>
      <c r="H32" s="28">
        <f>'Lower Cask Weld Failures'!$F$24</f>
        <v>545.27569127110473</v>
      </c>
      <c r="I32" s="27">
        <f t="shared" si="4"/>
        <v>1964.5971797417583</v>
      </c>
      <c r="J32" s="3611"/>
      <c r="K32" s="3276">
        <f>IF('Plant Availibility Calculator'!$P$18="Upper Port Cask System",'Upper Cask Summary'!$I32,IF('Plant Availibility Calculator'!$P$18="Upper Port Hot Cell",'Upper Hot Cell Summary'!$I32,"ERROR"))</f>
        <v>593.04599640642914</v>
      </c>
      <c r="L32" s="3611"/>
      <c r="M32" s="3276"/>
      <c r="N32" s="221"/>
      <c r="O32" s="228">
        <f>O$7*(ROUNDUP((Tokamak_Segmts/2),0))</f>
        <v>442.06518518518527</v>
      </c>
      <c r="P32" s="229">
        <f>P$7*(ROUNDUP((Tokamak_Segmts/2),0))</f>
        <v>451.29185185185185</v>
      </c>
      <c r="Q32" s="228">
        <f>'Lower Cask Recovery Scenarios'!$F$15</f>
        <v>136.01645126406893</v>
      </c>
      <c r="R32" s="28">
        <f>'Lower Cask Weld Failures'!$F$29</f>
        <v>171.59680446595254</v>
      </c>
      <c r="S32" s="27">
        <f>SUM(O32:R32)</f>
        <v>1200.9702927670587</v>
      </c>
    </row>
    <row r="33" spans="2:20" s="177" customFormat="1" x14ac:dyDescent="0.4">
      <c r="B33" s="3759"/>
      <c r="C33" s="3764"/>
      <c r="D33" s="277" t="s">
        <v>28</v>
      </c>
      <c r="E33" s="228">
        <f>E32/24</f>
        <v>25.352716049382718</v>
      </c>
      <c r="F33" s="229">
        <f>F32/24</f>
        <v>25.940493827160491</v>
      </c>
      <c r="G33" s="228">
        <f>G32/G35</f>
        <v>0.78621308614390428</v>
      </c>
      <c r="H33" s="28">
        <f>H32/H35</f>
        <v>0.14401933414872212</v>
      </c>
      <c r="I33" s="27">
        <f t="shared" si="4"/>
        <v>52.223442296835834</v>
      </c>
      <c r="J33" s="3611"/>
      <c r="K33" s="3276">
        <f>IF('Plant Availibility Calculator'!$P$18="Upper Port Cask System",'Upper Cask Summary'!$I33,IF('Plant Availibility Calculator'!$P$18="Upper Port Hot Cell",'Upper Hot Cell Summary'!$I33,"ERROR"))</f>
        <v>24.710249850267882</v>
      </c>
      <c r="L33" s="3611"/>
      <c r="M33" s="3276"/>
      <c r="N33" s="221"/>
      <c r="O33" s="228">
        <f>O32/24</f>
        <v>18.419382716049387</v>
      </c>
      <c r="P33" s="229">
        <f>P32/24</f>
        <v>18.803827160493828</v>
      </c>
      <c r="Q33" s="228">
        <f>Q32/24</f>
        <v>5.6673521360028722</v>
      </c>
      <c r="R33" s="232">
        <f>R32/R36</f>
        <v>8.3053867875929512</v>
      </c>
      <c r="S33" s="27">
        <f>S32/24</f>
        <v>50.04042886529411</v>
      </c>
    </row>
    <row r="34" spans="2:20" x14ac:dyDescent="0.4">
      <c r="B34" s="3759"/>
      <c r="C34" s="3764"/>
      <c r="D34" s="238" t="s">
        <v>2699</v>
      </c>
      <c r="E34" s="278">
        <f>E$9*(ROUNDUP((Tokamak_Segmts/2),0))</f>
        <v>48.560000000000528</v>
      </c>
      <c r="F34" s="279">
        <f>F$9*(ROUNDUP((Tokamak_Segmts/2),0))</f>
        <v>11.795555555555556</v>
      </c>
      <c r="G34" s="278">
        <f>'Lower Cask Recovery Scenarios'!$F$12</f>
        <v>0</v>
      </c>
      <c r="H34" s="280">
        <f>'Lower Cask Weld Failures'!$F$25</f>
        <v>1281.3713073555743</v>
      </c>
      <c r="I34" s="281">
        <f t="shared" si="4"/>
        <v>1341.7268629111304</v>
      </c>
      <c r="J34" s="3613"/>
      <c r="K34" s="3325">
        <f>IF('Plant Availibility Calculator'!$P$18="Upper Port Cask System",'Upper Cask Summary'!$I34,IF('Plant Availibility Calculator'!$P$18="Upper Port Hot Cell",'Upper Hot Cell Summary'!$I34,"ERROR"))</f>
        <v>694.80305842108055</v>
      </c>
      <c r="L34" s="3613"/>
      <c r="M34" s="3325"/>
      <c r="N34" s="221"/>
      <c r="O34" s="278">
        <f>O$9*(ROUNDUP((Tokamak_Segmts/2),0))</f>
        <v>48.560000000000528</v>
      </c>
      <c r="P34" s="279">
        <f>P$9*(ROUNDUP((Tokamak_Segmts/2),0))</f>
        <v>11.795555555555556</v>
      </c>
      <c r="Q34" s="278">
        <f>'Lower Cask Recovery Scenarios'!$F$16</f>
        <v>0</v>
      </c>
      <c r="R34" s="236">
        <f>'Lower Cask Weld Failures'!$F$30</f>
        <v>77.7968769366</v>
      </c>
      <c r="S34" s="281">
        <f>SUM(O34:R34)</f>
        <v>138.15243249215609</v>
      </c>
    </row>
    <row r="35" spans="2:20" ht="15" customHeight="1" x14ac:dyDescent="0.4">
      <c r="B35" s="3759"/>
      <c r="C35" s="3765" t="s">
        <v>25</v>
      </c>
      <c r="D35" s="244" t="s">
        <v>26</v>
      </c>
      <c r="E35" s="245">
        <f>E30+E32+E34</f>
        <v>1644.4369142599373</v>
      </c>
      <c r="F35" s="246">
        <f>F30+F32+F34</f>
        <v>3763.9827102498857</v>
      </c>
      <c r="G35" s="245">
        <f>G30+G32+G34</f>
        <v>239.48272389751855</v>
      </c>
      <c r="H35" s="247">
        <f>H30+H32+H34</f>
        <v>3786.1284007050308</v>
      </c>
      <c r="I35" s="248">
        <f>SUM(E35:H35)</f>
        <v>9434.0307491123713</v>
      </c>
      <c r="J35" s="3615"/>
      <c r="K35" s="3294">
        <f>IF('Plant Availibility Calculator'!$P$18="Upper Port Cask System",'Upper Cask Summary'!$I35,IF('Plant Availibility Calculator'!$P$18="Upper Port Hot Cell",'Upper Hot Cell Summary'!$I35,"ERROR"))</f>
        <v>7094.4212384409175</v>
      </c>
      <c r="L35" s="3615"/>
      <c r="M35" s="3294">
        <f t="shared" si="1"/>
        <v>9434.0307491123713</v>
      </c>
      <c r="N35" s="249"/>
      <c r="O35" s="245">
        <f>O30+O32+O34</f>
        <v>1327.3634889541834</v>
      </c>
      <c r="P35" s="246">
        <f>P30+P32+P34</f>
        <v>1537.3776717157702</v>
      </c>
      <c r="Q35" s="245">
        <f>Q30+Q32+Q34</f>
        <v>173.88436920114066</v>
      </c>
      <c r="R35" s="247">
        <f>R30+R32+R34</f>
        <v>495.86171150211112</v>
      </c>
      <c r="S35" s="248">
        <f>SUM(O35:R35)</f>
        <v>3534.4872413732051</v>
      </c>
    </row>
    <row r="36" spans="2:20" ht="15" customHeight="1" thickBot="1" x14ac:dyDescent="0.45">
      <c r="B36" s="3759"/>
      <c r="C36" s="3766"/>
      <c r="D36" s="252" t="s">
        <v>28</v>
      </c>
      <c r="E36" s="253">
        <f>E35/24</f>
        <v>68.518204760830727</v>
      </c>
      <c r="F36" s="254">
        <f>F35/24</f>
        <v>156.83261292707857</v>
      </c>
      <c r="G36" s="255">
        <f>G35/24</f>
        <v>9.9784468290632731</v>
      </c>
      <c r="H36" s="256">
        <f>H35/24</f>
        <v>157.75535002937627</v>
      </c>
      <c r="I36" s="254">
        <f t="shared" si="4"/>
        <v>393.0846145463488</v>
      </c>
      <c r="J36" s="3616"/>
      <c r="K36" s="3626">
        <f>IF('Plant Availibility Calculator'!$P$18="Upper Port Cask System",'Upper Cask Summary'!$I36,IF('Plant Availibility Calculator'!$P$18="Upper Port Hot Cell",'Upper Hot Cell Summary'!$I36,"ERROR"))</f>
        <v>295.60088493503821</v>
      </c>
      <c r="L36" s="3616"/>
      <c r="M36" s="3626">
        <f t="shared" si="1"/>
        <v>393.0846145463488</v>
      </c>
      <c r="N36" s="221"/>
      <c r="O36" s="253">
        <f>O35/24</f>
        <v>55.306812039757638</v>
      </c>
      <c r="P36" s="254">
        <f>P35/24</f>
        <v>64.057402988157094</v>
      </c>
      <c r="Q36" s="255">
        <f>Q35/24</f>
        <v>7.2451820500475277</v>
      </c>
      <c r="R36" s="256">
        <f>R35/24</f>
        <v>20.660904645921295</v>
      </c>
      <c r="S36" s="254">
        <f>S35/24</f>
        <v>147.27030172388353</v>
      </c>
    </row>
    <row r="37" spans="2:20" s="177" customFormat="1" ht="15" customHeight="1" x14ac:dyDescent="0.4">
      <c r="B37" s="3759"/>
      <c r="C37" s="3767" t="s">
        <v>111</v>
      </c>
      <c r="D37" s="257" t="s">
        <v>26</v>
      </c>
      <c r="E37" s="258">
        <f>(E35/two_shift_productivity_ratio)*1.1</f>
        <v>2713.3209085288968</v>
      </c>
      <c r="F37" s="259">
        <f>(F35/two_shift_productivity_ratio)*1.1</f>
        <v>6210.5714719123116</v>
      </c>
      <c r="G37" s="258">
        <f>(G35/two_shift_productivity_ratio)*1.1</f>
        <v>395.14649443090565</v>
      </c>
      <c r="H37" s="259">
        <f>(H35/two_shift_productivity_ratio)*1.1</f>
        <v>6247.111861163301</v>
      </c>
      <c r="I37" s="260">
        <f>SUM(E37:H37)</f>
        <v>15566.150736035415</v>
      </c>
      <c r="J37" s="3611"/>
      <c r="K37" s="3304">
        <f>IF('Plant Availibility Calculator'!$P$18="Upper Port Cask System",'Upper Cask Summary'!$I37,IF('Plant Availibility Calculator'!$P$18="Upper Port Hot Cell",'Upper Hot Cell Summary'!$I37,"ERROR"))</f>
        <v>11705.795043427515</v>
      </c>
      <c r="L37" s="3611"/>
      <c r="M37" s="3304">
        <f t="shared" si="1"/>
        <v>15566.150736035415</v>
      </c>
      <c r="N37" s="221"/>
      <c r="O37" s="258">
        <f>(O35/two_shift_productivity_ratio)*1.1</f>
        <v>2190.1497567744027</v>
      </c>
      <c r="P37" s="259">
        <f>(P35/two_shift_productivity_ratio)*1.1</f>
        <v>2536.6731583310216</v>
      </c>
      <c r="Q37" s="258">
        <f>(Q35/two_shift_productivity_ratio)*1.1</f>
        <v>286.90920918188209</v>
      </c>
      <c r="R37" s="259">
        <f>(R35/two_shift_productivity_ratio)*1.1</f>
        <v>818.17182397848342</v>
      </c>
      <c r="S37" s="260">
        <f>SUM(O37:R37)</f>
        <v>5831.903948265789</v>
      </c>
    </row>
    <row r="38" spans="2:20" ht="15" customHeight="1" x14ac:dyDescent="0.4">
      <c r="B38" s="3759"/>
      <c r="C38" s="3768"/>
      <c r="D38" s="22" t="s">
        <v>112</v>
      </c>
      <c r="E38" s="262">
        <f>E37/24</f>
        <v>113.0550378553707</v>
      </c>
      <c r="F38" s="263">
        <f>F37/24</f>
        <v>258.77381132967963</v>
      </c>
      <c r="G38" s="262">
        <f>G37/24</f>
        <v>16.464437267954402</v>
      </c>
      <c r="H38" s="263">
        <f>H37/24</f>
        <v>260.29632754847086</v>
      </c>
      <c r="I38" s="265">
        <f>SUM(E38:H38)</f>
        <v>648.58961400147564</v>
      </c>
      <c r="J38" s="3611"/>
      <c r="K38" s="3309">
        <f>IF('Plant Availibility Calculator'!$P$18="Upper Port Cask System",'Upper Cask Summary'!$I38,IF('Plant Availibility Calculator'!$P$18="Upper Port Hot Cell",'Upper Hot Cell Summary'!$I38,"ERROR"))</f>
        <v>487.74146014281314</v>
      </c>
      <c r="L38" s="3611"/>
      <c r="M38" s="3309">
        <f t="shared" si="1"/>
        <v>648.58961400147564</v>
      </c>
      <c r="N38" s="221"/>
      <c r="O38" s="262">
        <f>O37/24</f>
        <v>91.256239865600108</v>
      </c>
      <c r="P38" s="263">
        <f>P37/24</f>
        <v>105.69471493045923</v>
      </c>
      <c r="Q38" s="262">
        <f>Q37/24</f>
        <v>11.95455038257842</v>
      </c>
      <c r="R38" s="263">
        <f>R37/24</f>
        <v>34.090492665770142</v>
      </c>
      <c r="S38" s="265">
        <f>SUM(O38:R38)</f>
        <v>242.9959978444079</v>
      </c>
    </row>
    <row r="39" spans="2:20" x14ac:dyDescent="0.4">
      <c r="B39" s="3759"/>
      <c r="C39" s="3768"/>
      <c r="D39" s="22" t="s">
        <v>113</v>
      </c>
      <c r="E39" s="262">
        <f>E38/30</f>
        <v>3.7685012618456901</v>
      </c>
      <c r="F39" s="263">
        <f>F38/30</f>
        <v>8.6257937109893206</v>
      </c>
      <c r="G39" s="262">
        <f>G38/30</f>
        <v>0.54881457559848001</v>
      </c>
      <c r="H39" s="263">
        <f>H38/30</f>
        <v>8.6765442516156952</v>
      </c>
      <c r="I39" s="265">
        <f>SUM(E39:H39)</f>
        <v>21.619653800049186</v>
      </c>
      <c r="J39" s="3611"/>
      <c r="K39" s="3309">
        <f>IF('Plant Availibility Calculator'!$P$18="Upper Port Cask System",'Upper Cask Summary'!$I39,IF('Plant Availibility Calculator'!$P$18="Upper Port Hot Cell",'Upper Hot Cell Summary'!$I39,"ERROR"))</f>
        <v>16.258048671427105</v>
      </c>
      <c r="L39" s="3611"/>
      <c r="M39" s="3309">
        <f t="shared" si="1"/>
        <v>21.619653800049186</v>
      </c>
      <c r="N39" s="221"/>
      <c r="O39" s="262">
        <f>O38/30</f>
        <v>3.0418746621866704</v>
      </c>
      <c r="P39" s="263">
        <f>P38/30</f>
        <v>3.5231571643486408</v>
      </c>
      <c r="Q39" s="262">
        <f>Q38/30</f>
        <v>0.398485012752614</v>
      </c>
      <c r="R39" s="263">
        <f>R38/30</f>
        <v>1.1363497555256714</v>
      </c>
      <c r="S39" s="265">
        <f>SUM(O39:R39)</f>
        <v>8.0998665948135962</v>
      </c>
    </row>
    <row r="40" spans="2:20" s="271" customFormat="1" ht="15" thickBot="1" x14ac:dyDescent="0.45">
      <c r="B40" s="3760"/>
      <c r="C40" s="3769"/>
      <c r="D40" s="282" t="s">
        <v>513</v>
      </c>
      <c r="E40" s="266">
        <f>E37/$I$37</f>
        <v>0.17430904753142329</v>
      </c>
      <c r="F40" s="267">
        <f>F37/$I$37</f>
        <v>0.39897927093400992</v>
      </c>
      <c r="G40" s="266">
        <f>G37/$I$37</f>
        <v>2.5384984453230765E-2</v>
      </c>
      <c r="H40" s="267">
        <f>H37/$I$37</f>
        <v>0.401326697081336</v>
      </c>
      <c r="I40" s="269">
        <f>SUM(E40:H40)</f>
        <v>1</v>
      </c>
      <c r="J40" s="3612"/>
      <c r="K40" s="3314">
        <f>IF('Plant Availibility Calculator'!$P$18="Upper Port Cask System",'Upper Cask Summary'!$I40,IF('Plant Availibility Calculator'!$P$18="Upper Port Hot Cell",'Upper Hot Cell Summary'!$I40,"ERROR"))</f>
        <v>1.3333832168279387</v>
      </c>
      <c r="L40" s="3612"/>
      <c r="M40" s="3314">
        <f t="shared" si="1"/>
        <v>1.3333832168279387</v>
      </c>
      <c r="N40" s="226"/>
      <c r="O40" s="266">
        <f>O37/$S$37</f>
        <v>0.37554626691437182</v>
      </c>
      <c r="P40" s="267">
        <f>P37/$S$37</f>
        <v>0.43496483838444261</v>
      </c>
      <c r="Q40" s="266">
        <f>Q37/$S$37</f>
        <v>4.9196490841931506E-2</v>
      </c>
      <c r="R40" s="267">
        <f>R37/$S$37</f>
        <v>0.14029240385925423</v>
      </c>
      <c r="S40" s="269">
        <f>S37/$S$37</f>
        <v>1</v>
      </c>
    </row>
    <row r="41" spans="2:20" s="7" customFormat="1" ht="15" thickBot="1" x14ac:dyDescent="0.45">
      <c r="C41" s="270"/>
      <c r="D41" s="6"/>
      <c r="E41" s="177"/>
      <c r="F41" s="177"/>
      <c r="G41" s="177"/>
      <c r="H41" s="177"/>
      <c r="I41" s="177"/>
      <c r="J41" s="3266"/>
      <c r="K41" s="3266"/>
      <c r="L41" s="3266"/>
      <c r="M41" s="3266"/>
      <c r="N41" s="177"/>
      <c r="O41" s="177"/>
      <c r="P41" s="177"/>
      <c r="Q41" s="177"/>
      <c r="R41" s="177"/>
      <c r="S41" s="177"/>
      <c r="T41" s="5"/>
    </row>
    <row r="42" spans="2:20" ht="15" customHeight="1" x14ac:dyDescent="0.4">
      <c r="B42" s="3758" t="str">
        <f>"All "&amp;Tokamak_Segmts&amp;" Ports with 3 RM Systems"</f>
        <v>All 16 Ports with 3 RM Systems</v>
      </c>
      <c r="C42" s="3770" t="s">
        <v>18</v>
      </c>
      <c r="D42" s="216" t="s">
        <v>26</v>
      </c>
      <c r="E42" s="217">
        <f>E$5*(ROUNDUP((Tokamak_Segmts/3),0))</f>
        <v>740.55879680606358</v>
      </c>
      <c r="F42" s="218">
        <f>F$5*(ROUNDUP((Tokamak_Segmts/3),0))</f>
        <v>2347.2114771318588</v>
      </c>
      <c r="G42" s="217">
        <f>'Lower Cask Recovery Scenarios'!$G$10</f>
        <v>38.398704347926468</v>
      </c>
      <c r="H42" s="219">
        <f>'Lower Cask Weld Failures'!$G$23</f>
        <v>1469.6110515587636</v>
      </c>
      <c r="I42" s="220">
        <f t="shared" ref="I42:I48" si="5">SUM(E42:H42)</f>
        <v>4595.7800298446127</v>
      </c>
      <c r="J42" s="3611"/>
      <c r="K42" s="3265">
        <f>IF('Plant Availibility Calculator'!$P$18="Upper Port Cask System",'Upper Cask Summary'!$I42,IF('Plant Availibility Calculator'!$P$18="Upper Port Hot Cell",'Upper Hot Cell Summary'!$I42,"ERROR"))</f>
        <v>4354.8146877100562</v>
      </c>
      <c r="L42" s="3611"/>
      <c r="M42" s="3265"/>
      <c r="N42" s="221"/>
      <c r="O42" s="217">
        <f>O$5*(ROUNDUP((Tokamak_Segmts/3),0))</f>
        <v>627.55372782674806</v>
      </c>
      <c r="P42" s="218">
        <f>P$5*(ROUNDUP((Tokamak_Segmts/3),0))</f>
        <v>805.71769823127215</v>
      </c>
      <c r="Q42" s="217">
        <f>'Lower Cask Recovery Scenarios'!$G$14</f>
        <v>28.400938452803796</v>
      </c>
      <c r="R42" s="219">
        <f>'Lower Cask Weld Failures'!$G$28</f>
        <v>184.851022574669</v>
      </c>
      <c r="S42" s="220">
        <f>SUM(O42:R42)</f>
        <v>1646.5233870854929</v>
      </c>
    </row>
    <row r="43" spans="2:20" s="177" customFormat="1" x14ac:dyDescent="0.4">
      <c r="B43" s="3759"/>
      <c r="C43" s="3771"/>
      <c r="D43" s="274" t="s">
        <v>28</v>
      </c>
      <c r="E43" s="275">
        <f>E42/34</f>
        <v>21.781141082531281</v>
      </c>
      <c r="F43" s="276">
        <f>F42/34</f>
        <v>69.035631680348786</v>
      </c>
      <c r="G43" s="275">
        <f>G42/24</f>
        <v>1.5999460144969362</v>
      </c>
      <c r="H43" s="26">
        <f>H42/24</f>
        <v>61.233793814948484</v>
      </c>
      <c r="I43" s="25">
        <f t="shared" si="5"/>
        <v>153.65051259232547</v>
      </c>
      <c r="J43" s="3611"/>
      <c r="K43" s="3321">
        <f>IF('Plant Availibility Calculator'!$P$18="Upper Port Cask System",'Upper Cask Summary'!$I43,IF('Plant Availibility Calculator'!$P$18="Upper Port Hot Cell",'Upper Hot Cell Summary'!$I43,"ERROR"))</f>
        <v>181.45061198791902</v>
      </c>
      <c r="L43" s="3611"/>
      <c r="M43" s="3321"/>
      <c r="N43" s="221"/>
      <c r="O43" s="275">
        <f>O42/34</f>
        <v>18.457462583139648</v>
      </c>
      <c r="P43" s="276">
        <f>P42/34</f>
        <v>23.697579359743298</v>
      </c>
      <c r="Q43" s="275">
        <f>Q42/24</f>
        <v>1.1833724355334916</v>
      </c>
      <c r="R43" s="224">
        <f>R42/R$11</f>
        <v>2.9822995934039889</v>
      </c>
      <c r="S43" s="25">
        <f>S42/24</f>
        <v>68.605141128562209</v>
      </c>
    </row>
    <row r="44" spans="2:20" s="177" customFormat="1" x14ac:dyDescent="0.4">
      <c r="B44" s="3759"/>
      <c r="C44" s="3772" t="s">
        <v>3</v>
      </c>
      <c r="D44" s="21" t="s">
        <v>26</v>
      </c>
      <c r="E44" s="228">
        <f>E$7*(ROUNDUP((Tokamak_Segmts/3),0))</f>
        <v>456.34888888888889</v>
      </c>
      <c r="F44" s="229">
        <f>F$7*(ROUNDUP((Tokamak_Segmts/3),0))</f>
        <v>466.92888888888882</v>
      </c>
      <c r="G44" s="228">
        <f>'Lower Cask Recovery Scenarios'!$G$11</f>
        <v>141.21333857521245</v>
      </c>
      <c r="H44" s="28">
        <f>'Lower Cask Weld Failures'!$G$24</f>
        <v>408.95676845332855</v>
      </c>
      <c r="I44" s="27">
        <f t="shared" si="5"/>
        <v>1473.4478848063186</v>
      </c>
      <c r="J44" s="3611"/>
      <c r="K44" s="3276">
        <f>IF('Plant Availibility Calculator'!$P$18="Upper Port Cask System",'Upper Cask Summary'!$I44,IF('Plant Availibility Calculator'!$P$18="Upper Port Hot Cell",'Upper Hot Cell Summary'!$I44,"ERROR"))</f>
        <v>444.69988908259967</v>
      </c>
      <c r="L44" s="3611"/>
      <c r="M44" s="3276"/>
      <c r="N44" s="221"/>
      <c r="O44" s="228">
        <f>O$7*(ROUNDUP((Tokamak_Segmts/3),0))</f>
        <v>331.54888888888894</v>
      </c>
      <c r="P44" s="229">
        <f>P$7*(ROUNDUP((Tokamak_Segmts/3),0))</f>
        <v>338.4688888888889</v>
      </c>
      <c r="Q44" s="228">
        <f>'Lower Cask Recovery Scenarios'!$G$15</f>
        <v>102.01233844805169</v>
      </c>
      <c r="R44" s="28">
        <f>'Lower Cask Weld Failures'!$G$29</f>
        <v>128.69760334946443</v>
      </c>
      <c r="S44" s="27">
        <f>SUM(O44:R44)</f>
        <v>900.72771957529392</v>
      </c>
    </row>
    <row r="45" spans="2:20" s="177" customFormat="1" x14ac:dyDescent="0.4">
      <c r="B45" s="3759"/>
      <c r="C45" s="3773"/>
      <c r="D45" s="277" t="s">
        <v>28</v>
      </c>
      <c r="E45" s="228">
        <f>E44/34</f>
        <v>13.42202614379085</v>
      </c>
      <c r="F45" s="229">
        <f>F44/34</f>
        <v>13.733202614379083</v>
      </c>
      <c r="G45" s="228">
        <f>G44/24</f>
        <v>5.8838891073005186</v>
      </c>
      <c r="H45" s="28">
        <f>H44/24</f>
        <v>17.039865352222023</v>
      </c>
      <c r="I45" s="27">
        <f t="shared" si="5"/>
        <v>50.078983217692475</v>
      </c>
      <c r="J45" s="3611"/>
      <c r="K45" s="3276">
        <f>IF('Plant Availibility Calculator'!$P$18="Upper Port Cask System",'Upper Cask Summary'!$I45,IF('Plant Availibility Calculator'!$P$18="Upper Port Hot Cell",'Upper Hot Cell Summary'!$I45,"ERROR"))</f>
        <v>18.529162045108318</v>
      </c>
      <c r="L45" s="3611"/>
      <c r="M45" s="3276"/>
      <c r="N45" s="221"/>
      <c r="O45" s="228">
        <f>O44/34</f>
        <v>9.7514379084967331</v>
      </c>
      <c r="P45" s="229">
        <f>P44/34</f>
        <v>9.9549673202614386</v>
      </c>
      <c r="Q45" s="228">
        <f>Q44/24</f>
        <v>4.2505141020021542</v>
      </c>
      <c r="R45" s="232">
        <f>R44/R48</f>
        <v>8.3053867875929495</v>
      </c>
      <c r="S45" s="27">
        <f>S44/24</f>
        <v>37.530321648970578</v>
      </c>
    </row>
    <row r="46" spans="2:20" x14ac:dyDescent="0.4">
      <c r="B46" s="3759"/>
      <c r="C46" s="3774"/>
      <c r="D46" s="238" t="s">
        <v>2699</v>
      </c>
      <c r="E46" s="278">
        <f>E$9*(ROUNDUP((Tokamak_Segmts/3),0))</f>
        <v>36.4200000000004</v>
      </c>
      <c r="F46" s="279">
        <f>F$9*(ROUNDUP((Tokamak_Segmts/3),0))</f>
        <v>8.8466666666666676</v>
      </c>
      <c r="G46" s="278">
        <f>'Lower Cask Recovery Scenarios'!$G$12</f>
        <v>0</v>
      </c>
      <c r="H46" s="280">
        <f>'Lower Cask Weld Failures'!$G$25</f>
        <v>961.02848051668047</v>
      </c>
      <c r="I46" s="281">
        <f t="shared" si="5"/>
        <v>1006.2951471833476</v>
      </c>
      <c r="J46" s="3613"/>
      <c r="K46" s="3325">
        <f>IF('Plant Availibility Calculator'!$P$18="Upper Port Cask System",'Upper Cask Summary'!$I46,IF('Plant Availibility Calculator'!$P$18="Upper Port Hot Cell",'Upper Hot Cell Summary'!$I46,"ERROR"))</f>
        <v>521.1022938158103</v>
      </c>
      <c r="L46" s="3613"/>
      <c r="M46" s="3325"/>
      <c r="N46" s="221"/>
      <c r="O46" s="278">
        <f>O$9*(ROUNDUP((Tokamak_Segmts/3),0))</f>
        <v>36.4200000000004</v>
      </c>
      <c r="P46" s="279">
        <f>P$9*(ROUNDUP((Tokamak_Segmts/3),0))</f>
        <v>8.8466666666666676</v>
      </c>
      <c r="Q46" s="278">
        <f>'Lower Cask Recovery Scenarios'!$G$16</f>
        <v>0</v>
      </c>
      <c r="R46" s="236">
        <f>'Lower Cask Weld Failures'!$G$30</f>
        <v>58.347657702450007</v>
      </c>
      <c r="S46" s="281">
        <f>SUM(O46:R46)</f>
        <v>103.61432436911707</v>
      </c>
    </row>
    <row r="47" spans="2:20" ht="15" customHeight="1" x14ac:dyDescent="0.4">
      <c r="B47" s="3759"/>
      <c r="C47" s="3775" t="s">
        <v>25</v>
      </c>
      <c r="D47" s="244" t="s">
        <v>26</v>
      </c>
      <c r="E47" s="245">
        <f>E42+E44+E46</f>
        <v>1233.3276856949528</v>
      </c>
      <c r="F47" s="246">
        <f>F42+F44+F46</f>
        <v>2822.9870326874143</v>
      </c>
      <c r="G47" s="245">
        <f>G42+G44+G46</f>
        <v>179.61204292313892</v>
      </c>
      <c r="H47" s="247">
        <f>H42+H44+H46</f>
        <v>2839.5963005287726</v>
      </c>
      <c r="I47" s="248">
        <f>SUM(E47:H47)</f>
        <v>7075.5230618342794</v>
      </c>
      <c r="J47" s="3615"/>
      <c r="K47" s="3294">
        <f>IF('Plant Availibility Calculator'!$P$18="Upper Port Cask System",'Upper Cask Summary'!$I47,IF('Plant Availibility Calculator'!$P$18="Upper Port Hot Cell",'Upper Hot Cell Summary'!$I47,"ERROR"))</f>
        <v>5320.6168706084663</v>
      </c>
      <c r="L47" s="3615"/>
      <c r="M47" s="3294">
        <f t="shared" si="1"/>
        <v>7075.5230618342794</v>
      </c>
      <c r="N47" s="249"/>
      <c r="O47" s="245">
        <f>O42+O44+O46</f>
        <v>995.52261671563735</v>
      </c>
      <c r="P47" s="246">
        <f>P42+P44+P46</f>
        <v>1153.0332537868276</v>
      </c>
      <c r="Q47" s="245">
        <f>Q42+Q44+Q46</f>
        <v>130.41327690085549</v>
      </c>
      <c r="R47" s="247">
        <f>R42+R44+R46</f>
        <v>371.89628362658345</v>
      </c>
      <c r="S47" s="248">
        <f>SUM(O47:R47)</f>
        <v>2650.8654310299044</v>
      </c>
    </row>
    <row r="48" spans="2:20" ht="15" customHeight="1" thickBot="1" x14ac:dyDescent="0.45">
      <c r="B48" s="3759"/>
      <c r="C48" s="3776"/>
      <c r="D48" s="252" t="s">
        <v>28</v>
      </c>
      <c r="E48" s="253">
        <f>E47/34</f>
        <v>36.274343696910378</v>
      </c>
      <c r="F48" s="254">
        <f>F47/34</f>
        <v>83.029030373159245</v>
      </c>
      <c r="G48" s="255">
        <f>G47/24</f>
        <v>7.4838351217974548</v>
      </c>
      <c r="H48" s="256">
        <f>H47/24</f>
        <v>118.3165125220322</v>
      </c>
      <c r="I48" s="254">
        <f t="shared" si="5"/>
        <v>245.10372171389929</v>
      </c>
      <c r="J48" s="3616"/>
      <c r="K48" s="3626">
        <f>IF('Plant Availibility Calculator'!$P$18="Upper Port Cask System",'Upper Cask Summary'!$I48,IF('Plant Availibility Calculator'!$P$18="Upper Port Hot Cell",'Upper Hot Cell Summary'!$I48,"ERROR"))</f>
        <v>221.69236960868611</v>
      </c>
      <c r="L48" s="3616"/>
      <c r="M48" s="3626">
        <f t="shared" si="1"/>
        <v>245.10372171389929</v>
      </c>
      <c r="N48" s="221"/>
      <c r="O48" s="253">
        <f>O47/34</f>
        <v>29.280076962224626</v>
      </c>
      <c r="P48" s="254">
        <f>P47/34</f>
        <v>33.912742758436103</v>
      </c>
      <c r="Q48" s="255">
        <f>Q47/24</f>
        <v>5.4338865375356455</v>
      </c>
      <c r="R48" s="256">
        <f>R47/24</f>
        <v>15.495678484440978</v>
      </c>
      <c r="S48" s="254">
        <f>S47/24</f>
        <v>110.45272629291269</v>
      </c>
    </row>
    <row r="49" spans="2:20" s="177" customFormat="1" ht="15" customHeight="1" x14ac:dyDescent="0.4">
      <c r="B49" s="3759"/>
      <c r="C49" s="3777" t="s">
        <v>111</v>
      </c>
      <c r="D49" s="257" t="s">
        <v>26</v>
      </c>
      <c r="E49" s="258">
        <f>(E47/two_shift_productivity_ratio)*1.1</f>
        <v>2034.9906813966722</v>
      </c>
      <c r="F49" s="259">
        <f>(F47/two_shift_productivity_ratio)*1.1</f>
        <v>4657.9286039342342</v>
      </c>
      <c r="G49" s="258">
        <f>(G47/two_shift_productivity_ratio)*1.1</f>
        <v>296.35987082317922</v>
      </c>
      <c r="H49" s="259">
        <f>(H47/two_shift_productivity_ratio)*1.1</f>
        <v>4685.3338958724753</v>
      </c>
      <c r="I49" s="260">
        <f>SUM(E49:H49)</f>
        <v>11674.613052026561</v>
      </c>
      <c r="J49" s="3611"/>
      <c r="K49" s="3304">
        <f>IF('Plant Availibility Calculator'!$P$18="Upper Port Cask System",'Upper Cask Summary'!$I49,IF('Plant Availibility Calculator'!$P$18="Upper Port Hot Cell",'Upper Hot Cell Summary'!$I49,"ERROR"))</f>
        <v>8779.0178365039701</v>
      </c>
      <c r="L49" s="3611"/>
      <c r="M49" s="3304">
        <f t="shared" si="1"/>
        <v>11674.613052026561</v>
      </c>
      <c r="N49" s="221"/>
      <c r="O49" s="258">
        <f>(O47/two_shift_productivity_ratio)*1.1</f>
        <v>1642.612317580802</v>
      </c>
      <c r="P49" s="259">
        <f>(P47/two_shift_productivity_ratio)*1.1</f>
        <v>1902.5048687482656</v>
      </c>
      <c r="Q49" s="258">
        <f>(Q47/two_shift_productivity_ratio)*1.1</f>
        <v>215.18190688641161</v>
      </c>
      <c r="R49" s="259">
        <f>(R47/two_shift_productivity_ratio)*1.1</f>
        <v>613.62886798386273</v>
      </c>
      <c r="S49" s="260">
        <f>SUM(O49:R49)</f>
        <v>4373.9279611993416</v>
      </c>
    </row>
    <row r="50" spans="2:20" ht="15" customHeight="1" x14ac:dyDescent="0.4">
      <c r="B50" s="3759"/>
      <c r="C50" s="3778"/>
      <c r="D50" s="22" t="s">
        <v>112</v>
      </c>
      <c r="E50" s="262">
        <f>E49/24</f>
        <v>84.79127839152801</v>
      </c>
      <c r="F50" s="263">
        <f>F49/24</f>
        <v>194.08035849725977</v>
      </c>
      <c r="G50" s="262">
        <f>G49/24</f>
        <v>12.348327950965801</v>
      </c>
      <c r="H50" s="263">
        <f>H49/24</f>
        <v>195.22224566135313</v>
      </c>
      <c r="I50" s="265">
        <f>SUM(E50:H50)</f>
        <v>486.44221050110673</v>
      </c>
      <c r="J50" s="3611"/>
      <c r="K50" s="3309">
        <f>IF('Plant Availibility Calculator'!$P$18="Upper Port Cask System",'Upper Cask Summary'!$I50,IF('Plant Availibility Calculator'!$P$18="Upper Port Hot Cell",'Upper Hot Cell Summary'!$I50,"ERROR"))</f>
        <v>365.79240985433211</v>
      </c>
      <c r="L50" s="3611"/>
      <c r="M50" s="3309">
        <f t="shared" si="1"/>
        <v>486.44221050110673</v>
      </c>
      <c r="N50" s="221"/>
      <c r="O50" s="262">
        <f>O49/24</f>
        <v>68.442179899200084</v>
      </c>
      <c r="P50" s="263">
        <f>P49/24</f>
        <v>79.271036197844396</v>
      </c>
      <c r="Q50" s="262">
        <f>Q49/24</f>
        <v>8.9659127869338171</v>
      </c>
      <c r="R50" s="263">
        <f>R49/24</f>
        <v>25.567869499327614</v>
      </c>
      <c r="S50" s="265">
        <f>SUM(O50:R50)</f>
        <v>182.24699838330594</v>
      </c>
    </row>
    <row r="51" spans="2:20" x14ac:dyDescent="0.4">
      <c r="B51" s="3759"/>
      <c r="C51" s="3778"/>
      <c r="D51" s="22" t="s">
        <v>113</v>
      </c>
      <c r="E51" s="262">
        <f>E50/30</f>
        <v>2.826375946384267</v>
      </c>
      <c r="F51" s="263">
        <f>F50/30</f>
        <v>6.4693452832419922</v>
      </c>
      <c r="G51" s="262">
        <f>G50/30</f>
        <v>0.41161093169886004</v>
      </c>
      <c r="H51" s="263">
        <f>H50/30</f>
        <v>6.5074081887117705</v>
      </c>
      <c r="I51" s="265">
        <f>SUM(E51:H51)</f>
        <v>16.214740350036891</v>
      </c>
      <c r="J51" s="3611"/>
      <c r="K51" s="3309">
        <f>IF('Plant Availibility Calculator'!$P$18="Upper Port Cask System",'Upper Cask Summary'!$I51,IF('Plant Availibility Calculator'!$P$18="Upper Port Hot Cell",'Upper Hot Cell Summary'!$I51,"ERROR"))</f>
        <v>12.193080328477738</v>
      </c>
      <c r="L51" s="3611"/>
      <c r="M51" s="3309">
        <f t="shared" si="1"/>
        <v>16.214740350036891</v>
      </c>
      <c r="N51" s="221"/>
      <c r="O51" s="262">
        <f>O50/30</f>
        <v>2.2814059966400029</v>
      </c>
      <c r="P51" s="263">
        <f>P50/30</f>
        <v>2.6423678732614797</v>
      </c>
      <c r="Q51" s="262">
        <f>Q50/30</f>
        <v>0.2988637595644606</v>
      </c>
      <c r="R51" s="263">
        <f>R50/30</f>
        <v>0.85226231664425378</v>
      </c>
      <c r="S51" s="265">
        <f>SUM(O51:R51)</f>
        <v>6.0748999461101976</v>
      </c>
    </row>
    <row r="52" spans="2:20" s="271" customFormat="1" ht="15" thickBot="1" x14ac:dyDescent="0.45">
      <c r="B52" s="3760"/>
      <c r="C52" s="3779"/>
      <c r="D52" s="282" t="s">
        <v>513</v>
      </c>
      <c r="E52" s="266">
        <f>E49/$I$49</f>
        <v>0.17430904753142326</v>
      </c>
      <c r="F52" s="267">
        <f>F49/$I$49</f>
        <v>0.39897927093400992</v>
      </c>
      <c r="G52" s="266">
        <f>G49/$I$49</f>
        <v>2.5384984453230765E-2</v>
      </c>
      <c r="H52" s="267">
        <f>H49/$I$49</f>
        <v>0.401326697081336</v>
      </c>
      <c r="I52" s="269">
        <f>SUM(E52:H52)</f>
        <v>1</v>
      </c>
      <c r="J52" s="3612"/>
      <c r="K52" s="3314">
        <f>IF('Plant Availibility Calculator'!$P$18="Upper Port Cask System",'Upper Cask Summary'!$I52,IF('Plant Availibility Calculator'!$P$18="Upper Port Hot Cell",'Upper Hot Cell Summary'!$I52,"ERROR"))</f>
        <v>1</v>
      </c>
      <c r="L52" s="3612"/>
      <c r="M52" s="3314">
        <f t="shared" si="1"/>
        <v>1</v>
      </c>
      <c r="N52" s="226"/>
      <c r="O52" s="266">
        <f>O49/$S$49</f>
        <v>0.37554626691437182</v>
      </c>
      <c r="P52" s="267">
        <f>P49/$S$49</f>
        <v>0.4349648383844425</v>
      </c>
      <c r="Q52" s="266">
        <f>Q49/$S$49</f>
        <v>4.919649084193152E-2</v>
      </c>
      <c r="R52" s="267">
        <f>R49/$S$49</f>
        <v>0.14029240385925429</v>
      </c>
      <c r="S52" s="269">
        <f>S49/$S$61</f>
        <v>1.5</v>
      </c>
    </row>
    <row r="53" spans="2:20" s="7" customFormat="1" ht="15" thickBot="1" x14ac:dyDescent="0.45">
      <c r="C53" s="270"/>
      <c r="D53" s="6"/>
      <c r="E53" s="177"/>
      <c r="F53" s="177"/>
      <c r="G53" s="177"/>
      <c r="H53" s="177"/>
      <c r="I53" s="177"/>
      <c r="J53" s="3266"/>
      <c r="K53" s="3266"/>
      <c r="L53" s="3266"/>
      <c r="M53" s="3266"/>
      <c r="N53" s="177"/>
      <c r="O53" s="177"/>
      <c r="P53" s="177"/>
      <c r="Q53" s="177"/>
      <c r="R53" s="177"/>
      <c r="S53" s="177"/>
      <c r="T53" s="5"/>
    </row>
    <row r="54" spans="2:20" ht="15" customHeight="1" x14ac:dyDescent="0.4">
      <c r="B54" s="3758" t="str">
        <f>"All "&amp;Tokamak_Segmts&amp;" Ports with 4 RM Systems"</f>
        <v>All 16 Ports with 4 RM Systems</v>
      </c>
      <c r="C54" s="3770" t="s">
        <v>18</v>
      </c>
      <c r="D54" s="216" t="s">
        <v>26</v>
      </c>
      <c r="E54" s="217">
        <f>E$5*(ROUNDUP((Tokamak_Segmts/4),0))</f>
        <v>493.7058645373757</v>
      </c>
      <c r="F54" s="218">
        <f>F$5*(ROUNDUP((Tokamak_Segmts/4),0))</f>
        <v>1564.8076514212391</v>
      </c>
      <c r="G54" s="217">
        <f>'Lower Cask Recovery Scenarios'!$H$10</f>
        <v>25.599136231950979</v>
      </c>
      <c r="H54" s="219">
        <f>'Lower Cask Weld Failures'!$H$23</f>
        <v>979.74070103917563</v>
      </c>
      <c r="I54" s="220">
        <f t="shared" ref="I54:I60" si="6">SUM(E54:H54)</f>
        <v>3063.8533532297415</v>
      </c>
      <c r="J54" s="3611"/>
      <c r="K54" s="3265">
        <f>IF('Plant Availibility Calculator'!$P$18="Upper Port Cask System",'Upper Cask Summary'!$I54,IF('Plant Availibility Calculator'!$P$18="Upper Port Hot Cell",'Upper Hot Cell Summary'!$I54,"ERROR"))</f>
        <v>2903.286091806704</v>
      </c>
      <c r="L54" s="3611"/>
      <c r="M54" s="3265"/>
      <c r="N54" s="221"/>
      <c r="O54" s="217">
        <f>O$5*(ROUNDUP((Tokamak_Segmts/4),0))</f>
        <v>418.36915188449871</v>
      </c>
      <c r="P54" s="218">
        <f>P$5*(ROUNDUP((Tokamak_Segmts/4),0))</f>
        <v>537.1451321541814</v>
      </c>
      <c r="Q54" s="217">
        <f>'Lower Cask Recovery Scenarios'!$H$14</f>
        <v>18.933958968535865</v>
      </c>
      <c r="R54" s="219">
        <f>'Lower Cask Weld Failures'!$H$28</f>
        <v>123.2340150497793</v>
      </c>
      <c r="S54" s="220">
        <f>SUM(O54:R54)</f>
        <v>1097.6822580569954</v>
      </c>
    </row>
    <row r="55" spans="2:20" s="177" customFormat="1" x14ac:dyDescent="0.4">
      <c r="B55" s="3759"/>
      <c r="C55" s="3771"/>
      <c r="D55" s="274" t="s">
        <v>28</v>
      </c>
      <c r="E55" s="275">
        <f>E54/44</f>
        <v>11.220587830394903</v>
      </c>
      <c r="F55" s="276">
        <f>F54/44</f>
        <v>35.563810259573614</v>
      </c>
      <c r="G55" s="275">
        <f>G54/24</f>
        <v>1.0666306763312907</v>
      </c>
      <c r="H55" s="26">
        <f>H54/24</f>
        <v>40.822529209965651</v>
      </c>
      <c r="I55" s="25">
        <f t="shared" si="6"/>
        <v>88.673557976265471</v>
      </c>
      <c r="J55" s="3611"/>
      <c r="K55" s="3321">
        <f>IF('Plant Availibility Calculator'!$P$18="Upper Port Cask System",'Upper Cask Summary'!$I55,IF('Plant Availibility Calculator'!$P$18="Upper Port Hot Cell",'Upper Hot Cell Summary'!$I55,"ERROR"))</f>
        <v>120.97025382527933</v>
      </c>
      <c r="L55" s="3611"/>
      <c r="M55" s="3321"/>
      <c r="N55" s="221"/>
      <c r="O55" s="275">
        <f>O54/44</f>
        <v>9.5083898155567894</v>
      </c>
      <c r="P55" s="276">
        <f>P54/44</f>
        <v>12.207843912595031</v>
      </c>
      <c r="Q55" s="275">
        <f>Q54/24</f>
        <v>0.78891495702232772</v>
      </c>
      <c r="R55" s="224">
        <f>R54/R$11</f>
        <v>1.9881997289359921</v>
      </c>
      <c r="S55" s="25">
        <f>S54/24</f>
        <v>45.736760752374806</v>
      </c>
    </row>
    <row r="56" spans="2:20" s="177" customFormat="1" x14ac:dyDescent="0.4">
      <c r="B56" s="3759"/>
      <c r="C56" s="3772" t="s">
        <v>3</v>
      </c>
      <c r="D56" s="21" t="s">
        <v>26</v>
      </c>
      <c r="E56" s="228">
        <f>E$7*(ROUNDUP((Tokamak_Segmts/4),0))</f>
        <v>304.2325925925926</v>
      </c>
      <c r="F56" s="229">
        <f>F$7*(ROUNDUP((Tokamak_Segmts/4),0))</f>
        <v>311.28592592592588</v>
      </c>
      <c r="G56" s="228">
        <f>'Lower Cask Recovery Scenarios'!$H$11</f>
        <v>94.142225716808298</v>
      </c>
      <c r="H56" s="28">
        <f>'Lower Cask Weld Failures'!$G$24</f>
        <v>408.95676845332855</v>
      </c>
      <c r="I56" s="27">
        <f t="shared" si="6"/>
        <v>1118.6175126886553</v>
      </c>
      <c r="J56" s="3611"/>
      <c r="K56" s="3276">
        <f>IF('Plant Availibility Calculator'!$P$18="Upper Port Cask System",'Upper Cask Summary'!$I56,IF('Plant Availibility Calculator'!$P$18="Upper Port Hot Cell",'Upper Hot Cell Summary'!$I56,"ERROR"))</f>
        <v>296.52299820321457</v>
      </c>
      <c r="L56" s="3611"/>
      <c r="M56" s="3276"/>
      <c r="N56" s="221"/>
      <c r="O56" s="228">
        <f>O$7*(ROUNDUP((Tokamak_Segmts/4),0))</f>
        <v>221.03259259259264</v>
      </c>
      <c r="P56" s="229">
        <f>P$7*(ROUNDUP((Tokamak_Segmts/4),0))</f>
        <v>225.64592592592592</v>
      </c>
      <c r="Q56" s="228">
        <f>'Lower Cask Recovery Scenarios'!$H$15</f>
        <v>68.008225632034467</v>
      </c>
      <c r="R56" s="28">
        <f>'Lower Cask Weld Failures'!$H$29</f>
        <v>85.798402232976272</v>
      </c>
      <c r="S56" s="27">
        <f>SUM(O56:R56)</f>
        <v>600.48514638352935</v>
      </c>
    </row>
    <row r="57" spans="2:20" s="177" customFormat="1" x14ac:dyDescent="0.4">
      <c r="B57" s="3759"/>
      <c r="C57" s="3773"/>
      <c r="D57" s="277" t="s">
        <v>28</v>
      </c>
      <c r="E57" s="228">
        <f>E56/44</f>
        <v>6.9143771043771043</v>
      </c>
      <c r="F57" s="229">
        <f>F56/44</f>
        <v>7.0746801346801336</v>
      </c>
      <c r="G57" s="228">
        <f>G56/24</f>
        <v>3.9225927382003456</v>
      </c>
      <c r="H57" s="28">
        <f>H56/24</f>
        <v>17.039865352222023</v>
      </c>
      <c r="I57" s="27">
        <f t="shared" si="6"/>
        <v>34.951515329479605</v>
      </c>
      <c r="J57" s="3611"/>
      <c r="K57" s="3276">
        <f>IF('Plant Availibility Calculator'!$P$18="Upper Port Cask System",'Upper Cask Summary'!$I57,IF('Plant Availibility Calculator'!$P$18="Upper Port Hot Cell",'Upper Hot Cell Summary'!$I57,"ERROR"))</f>
        <v>12.355124925133941</v>
      </c>
      <c r="L57" s="3611"/>
      <c r="M57" s="3276"/>
      <c r="N57" s="221"/>
      <c r="O57" s="228">
        <f>O56/44</f>
        <v>5.0234680134680145</v>
      </c>
      <c r="P57" s="229">
        <f>P56/44</f>
        <v>5.1283164983164982</v>
      </c>
      <c r="Q57" s="228">
        <f>Q56/24</f>
        <v>2.8336760680014361</v>
      </c>
      <c r="R57" s="232">
        <f>R56/R60</f>
        <v>8.3053867875929512</v>
      </c>
      <c r="S57" s="27">
        <f>S56/24</f>
        <v>25.020214432647055</v>
      </c>
    </row>
    <row r="58" spans="2:20" x14ac:dyDescent="0.4">
      <c r="B58" s="3759"/>
      <c r="C58" s="3774"/>
      <c r="D58" s="238" t="s">
        <v>2699</v>
      </c>
      <c r="E58" s="278">
        <f>E$9*(ROUNDUP((Tokamak_Segmts/4),0))</f>
        <v>24.280000000000264</v>
      </c>
      <c r="F58" s="279">
        <f>F$9*(ROUNDUP((Tokamak_Segmts/4),0))</f>
        <v>5.8977777777777778</v>
      </c>
      <c r="G58" s="278">
        <f>'Lower Cask Recovery Scenarios'!$H$12</f>
        <v>0</v>
      </c>
      <c r="H58" s="280">
        <f>'Lower Cask Weld Failures'!$G$25</f>
        <v>961.02848051668047</v>
      </c>
      <c r="I58" s="281">
        <f t="shared" si="6"/>
        <v>991.20625829445851</v>
      </c>
      <c r="J58" s="3613"/>
      <c r="K58" s="3325">
        <f>IF('Plant Availibility Calculator'!$P$18="Upper Port Cask System",'Upper Cask Summary'!$I58,IF('Plant Availibility Calculator'!$P$18="Upper Port Hot Cell",'Upper Hot Cell Summary'!$I58,"ERROR"))</f>
        <v>347.40152921054028</v>
      </c>
      <c r="L58" s="3613"/>
      <c r="M58" s="3325"/>
      <c r="N58" s="221"/>
      <c r="O58" s="278">
        <f>O$9*(ROUNDUP((Tokamak_Segmts/4),0))</f>
        <v>24.280000000000264</v>
      </c>
      <c r="P58" s="279">
        <f>P$9*(ROUNDUP((Tokamak_Segmts/4),0))</f>
        <v>5.8977777777777778</v>
      </c>
      <c r="Q58" s="278">
        <f>'Lower Cask Recovery Scenarios'!$H$16</f>
        <v>0</v>
      </c>
      <c r="R58" s="236">
        <f>'Lower Cask Weld Failures'!$H$30</f>
        <v>38.8984384683</v>
      </c>
      <c r="S58" s="281">
        <f>SUM(O58:R58)</f>
        <v>69.076216246078047</v>
      </c>
    </row>
    <row r="59" spans="2:20" ht="15" customHeight="1" x14ac:dyDescent="0.4">
      <c r="B59" s="3759"/>
      <c r="C59" s="3775" t="s">
        <v>25</v>
      </c>
      <c r="D59" s="244" t="s">
        <v>26</v>
      </c>
      <c r="E59" s="245">
        <f>E54+E56+E58</f>
        <v>822.21845712996867</v>
      </c>
      <c r="F59" s="246">
        <f>F54+F56+F58</f>
        <v>1881.9913551249429</v>
      </c>
      <c r="G59" s="245">
        <f>G54+G56+G58</f>
        <v>119.74136194875928</v>
      </c>
      <c r="H59" s="247">
        <f>H54+H56+H58</f>
        <v>2349.725950009185</v>
      </c>
      <c r="I59" s="248">
        <f>SUM(E59:H59)</f>
        <v>5173.6771242128561</v>
      </c>
      <c r="J59" s="3615"/>
      <c r="K59" s="3294">
        <f>IF('Plant Availibility Calculator'!$P$18="Upper Port Cask System",'Upper Cask Summary'!$I59,IF('Plant Availibility Calculator'!$P$18="Upper Port Hot Cell",'Upper Hot Cell Summary'!$I59,"ERROR"))</f>
        <v>3547.2106192204587</v>
      </c>
      <c r="L59" s="3615"/>
      <c r="M59" s="3294">
        <f t="shared" si="1"/>
        <v>5173.6771242128561</v>
      </c>
      <c r="N59" s="249"/>
      <c r="O59" s="245">
        <f>O54+O56+O58</f>
        <v>663.68174447709168</v>
      </c>
      <c r="P59" s="246">
        <f>P54+P56+P58</f>
        <v>768.68883585788512</v>
      </c>
      <c r="Q59" s="245">
        <f>Q54+Q56+Q58</f>
        <v>86.942184600570329</v>
      </c>
      <c r="R59" s="247">
        <f>R54+R56+R58</f>
        <v>247.93085575105556</v>
      </c>
      <c r="S59" s="248">
        <f>SUM(O59:R59)</f>
        <v>1767.2436206866025</v>
      </c>
    </row>
    <row r="60" spans="2:20" ht="15" customHeight="1" thickBot="1" x14ac:dyDescent="0.45">
      <c r="B60" s="3759"/>
      <c r="C60" s="3776"/>
      <c r="D60" s="252" t="s">
        <v>28</v>
      </c>
      <c r="E60" s="253">
        <f>E59/44</f>
        <v>18.686783116590195</v>
      </c>
      <c r="F60" s="254">
        <f>F59/44</f>
        <v>42.772530798294156</v>
      </c>
      <c r="G60" s="255">
        <f>G59/24</f>
        <v>4.9892234145316365</v>
      </c>
      <c r="H60" s="256">
        <f>H59/24</f>
        <v>97.90524791704938</v>
      </c>
      <c r="I60" s="254">
        <f t="shared" si="6"/>
        <v>164.35378524646535</v>
      </c>
      <c r="J60" s="3616"/>
      <c r="K60" s="3626">
        <f>IF('Plant Availibility Calculator'!$P$18="Upper Port Cask System",'Upper Cask Summary'!$I60,IF('Plant Availibility Calculator'!$P$18="Upper Port Hot Cell",'Upper Hot Cell Summary'!$I60,"ERROR"))</f>
        <v>147.8004424675191</v>
      </c>
      <c r="L60" s="3616"/>
      <c r="M60" s="3626">
        <f t="shared" si="1"/>
        <v>164.35378524646535</v>
      </c>
      <c r="N60" s="221"/>
      <c r="O60" s="253">
        <f>O59/44</f>
        <v>15.083676010842993</v>
      </c>
      <c r="P60" s="254">
        <f>P59/44</f>
        <v>17.470200814951934</v>
      </c>
      <c r="Q60" s="255">
        <f>Q59/24</f>
        <v>3.6225910250237638</v>
      </c>
      <c r="R60" s="256">
        <f>R59/24</f>
        <v>10.330452322960648</v>
      </c>
      <c r="S60" s="254">
        <f>S59/24</f>
        <v>73.635150861941767</v>
      </c>
    </row>
    <row r="61" spans="2:20" s="177" customFormat="1" ht="15" customHeight="1" x14ac:dyDescent="0.4">
      <c r="B61" s="3759"/>
      <c r="C61" s="3777" t="s">
        <v>111</v>
      </c>
      <c r="D61" s="257" t="s">
        <v>26</v>
      </c>
      <c r="E61" s="258">
        <f>(E59/two_shift_productivity_ratio)*1.1</f>
        <v>1356.6604542644484</v>
      </c>
      <c r="F61" s="259">
        <f>(F59/two_shift_productivity_ratio)*1.1</f>
        <v>3105.2857359561558</v>
      </c>
      <c r="G61" s="258">
        <f>(G59/two_shift_productivity_ratio)*1.1</f>
        <v>197.57324721545282</v>
      </c>
      <c r="H61" s="259">
        <f>(H59/two_shift_productivity_ratio)*1.1</f>
        <v>3877.0478175151557</v>
      </c>
      <c r="I61" s="260">
        <f>SUM(E61:H61)</f>
        <v>8536.5672549512128</v>
      </c>
      <c r="J61" s="3611"/>
      <c r="K61" s="3304">
        <f>IF('Plant Availibility Calculator'!$P$18="Upper Port Cask System",'Upper Cask Summary'!$I61,IF('Plant Availibility Calculator'!$P$18="Upper Port Hot Cell",'Upper Hot Cell Summary'!$I61,"ERROR"))</f>
        <v>5852.8975217137577</v>
      </c>
      <c r="L61" s="3611"/>
      <c r="M61" s="3304">
        <f t="shared" si="1"/>
        <v>8536.5672549512128</v>
      </c>
      <c r="N61" s="221"/>
      <c r="O61" s="258">
        <f>(O59/two_shift_productivity_ratio)*1.1</f>
        <v>1095.0748783872014</v>
      </c>
      <c r="P61" s="259">
        <f>(P59/two_shift_productivity_ratio)*1.1</f>
        <v>1268.3365791655108</v>
      </c>
      <c r="Q61" s="258">
        <f>(Q59/two_shift_productivity_ratio)*1.1</f>
        <v>143.45460459094105</v>
      </c>
      <c r="R61" s="259">
        <f>(R59/two_shift_productivity_ratio)*1.1</f>
        <v>409.08591198924171</v>
      </c>
      <c r="S61" s="260">
        <f>SUM(O61:R61)</f>
        <v>2915.9519741328945</v>
      </c>
    </row>
    <row r="62" spans="2:20" ht="15" customHeight="1" x14ac:dyDescent="0.4">
      <c r="B62" s="3759"/>
      <c r="C62" s="3778"/>
      <c r="D62" s="22" t="s">
        <v>112</v>
      </c>
      <c r="E62" s="262">
        <f>E61/24</f>
        <v>56.52751892768535</v>
      </c>
      <c r="F62" s="263">
        <f>F61/24</f>
        <v>129.38690566483982</v>
      </c>
      <c r="G62" s="262">
        <f>G61/24</f>
        <v>8.232218633977201</v>
      </c>
      <c r="H62" s="263">
        <f>H61/24</f>
        <v>161.54365906313149</v>
      </c>
      <c r="I62" s="265">
        <f>SUM(E62:H62)</f>
        <v>355.69030228963385</v>
      </c>
      <c r="J62" s="3611"/>
      <c r="K62" s="3309">
        <f>IF('Plant Availibility Calculator'!$P$18="Upper Port Cask System",'Upper Cask Summary'!$I62,IF('Plant Availibility Calculator'!$P$18="Upper Port Hot Cell",'Upper Hot Cell Summary'!$I62,"ERROR"))</f>
        <v>243.87073007140657</v>
      </c>
      <c r="L62" s="3611"/>
      <c r="M62" s="3309">
        <f t="shared" si="1"/>
        <v>355.69030228963385</v>
      </c>
      <c r="N62" s="221"/>
      <c r="O62" s="262">
        <f>O61/24</f>
        <v>45.628119932800054</v>
      </c>
      <c r="P62" s="263">
        <f>P61/24</f>
        <v>52.847357465229614</v>
      </c>
      <c r="Q62" s="262">
        <f>Q61/24</f>
        <v>5.9772751912892099</v>
      </c>
      <c r="R62" s="263">
        <f>R61/24</f>
        <v>17.045246332885071</v>
      </c>
      <c r="S62" s="265">
        <f>SUM(O62:R62)</f>
        <v>121.49799892220395</v>
      </c>
    </row>
    <row r="63" spans="2:20" x14ac:dyDescent="0.4">
      <c r="B63" s="3759"/>
      <c r="C63" s="3778"/>
      <c r="D63" s="22" t="s">
        <v>113</v>
      </c>
      <c r="E63" s="262">
        <f>E62/30</f>
        <v>1.8842506309228451</v>
      </c>
      <c r="F63" s="263">
        <f>F62/30</f>
        <v>4.3128968554946603</v>
      </c>
      <c r="G63" s="262">
        <f>G62/30</f>
        <v>0.27440728779924001</v>
      </c>
      <c r="H63" s="263">
        <f>H62/30</f>
        <v>5.3847886354377161</v>
      </c>
      <c r="I63" s="265">
        <f>SUM(E63:H63)</f>
        <v>11.85634340965446</v>
      </c>
      <c r="J63" s="3611"/>
      <c r="K63" s="3309">
        <f>IF('Plant Availibility Calculator'!$P$18="Upper Port Cask System",'Upper Cask Summary'!$I63,IF('Plant Availibility Calculator'!$P$18="Upper Port Hot Cell",'Upper Hot Cell Summary'!$I63,"ERROR"))</f>
        <v>8.1290243357135523</v>
      </c>
      <c r="L63" s="3611"/>
      <c r="M63" s="3309">
        <f t="shared" si="1"/>
        <v>11.85634340965446</v>
      </c>
      <c r="N63" s="221"/>
      <c r="O63" s="262">
        <f>O62/30</f>
        <v>1.5209373310933352</v>
      </c>
      <c r="P63" s="263">
        <f>P62/30</f>
        <v>1.7615785821743204</v>
      </c>
      <c r="Q63" s="262">
        <f>Q62/30</f>
        <v>0.199242506376307</v>
      </c>
      <c r="R63" s="263">
        <f>R62/30</f>
        <v>0.56817487776283571</v>
      </c>
      <c r="S63" s="265">
        <f>SUM(O63:R63)</f>
        <v>4.0499332974067981</v>
      </c>
    </row>
    <row r="64" spans="2:20" s="271" customFormat="1" ht="15" thickBot="1" x14ac:dyDescent="0.45">
      <c r="B64" s="3760"/>
      <c r="C64" s="3779"/>
      <c r="D64" s="282" t="s">
        <v>513</v>
      </c>
      <c r="E64" s="266">
        <f>E61/$I$61</f>
        <v>0.15892341895128687</v>
      </c>
      <c r="F64" s="267">
        <f>F61/$I$61</f>
        <v>0.36376281510054159</v>
      </c>
      <c r="G64" s="266">
        <f>G61/$I$60</f>
        <v>1.2021216725807167</v>
      </c>
      <c r="H64" s="267">
        <f>H61/$I$49</f>
        <v>0.3320921901426232</v>
      </c>
      <c r="I64" s="269">
        <f>SUM(E64:H64)</f>
        <v>2.0569000967751685</v>
      </c>
      <c r="J64" s="3612"/>
      <c r="K64" s="3314">
        <f>IF('Plant Availibility Calculator'!$P$18="Upper Port Cask System",'Upper Cask Summary'!$I64,IF('Plant Availibility Calculator'!$P$18="Upper Port Hot Cell",'Upper Hot Cell Summary'!$I64,"ERROR"))</f>
        <v>0.66669160841396935</v>
      </c>
      <c r="L64" s="3612"/>
      <c r="M64" s="3314">
        <f t="shared" si="1"/>
        <v>2.0569000967751685</v>
      </c>
      <c r="N64" s="226"/>
      <c r="O64" s="266">
        <f>O61/$S$61</f>
        <v>0.37554626691437182</v>
      </c>
      <c r="P64" s="267">
        <f>P61/$S$61</f>
        <v>0.43496483838444261</v>
      </c>
      <c r="Q64" s="266">
        <f>Q61/$S$61</f>
        <v>4.9196490841931506E-2</v>
      </c>
      <c r="R64" s="267">
        <f>R61/$S$61</f>
        <v>0.14029240385925423</v>
      </c>
      <c r="S64" s="269">
        <f>S61/$S$61</f>
        <v>1</v>
      </c>
    </row>
    <row r="65" spans="2:19" ht="15" thickBot="1" x14ac:dyDescent="0.45">
      <c r="E65" s="177"/>
      <c r="F65" s="177"/>
      <c r="G65" s="177"/>
      <c r="H65" s="177"/>
      <c r="I65" s="177"/>
      <c r="J65" s="3266"/>
      <c r="K65" s="3266"/>
      <c r="L65" s="3266"/>
      <c r="M65" s="3266"/>
      <c r="N65" s="177"/>
      <c r="O65" s="177"/>
      <c r="P65" s="177"/>
      <c r="Q65" s="177"/>
      <c r="R65" s="177"/>
      <c r="S65" s="177"/>
    </row>
    <row r="66" spans="2:19" ht="15" customHeight="1" x14ac:dyDescent="0.4">
      <c r="B66" s="3758" t="str">
        <f>"All "&amp;Tokamak_Segmts&amp;" Ports with 6 RM Systems"</f>
        <v>All 16 Ports with 6 RM Systems</v>
      </c>
      <c r="C66" s="3761" t="s">
        <v>18</v>
      </c>
      <c r="D66" s="216" t="s">
        <v>26</v>
      </c>
      <c r="E66" s="217">
        <f>E$5*(ROUNDUP((Tokamak_Segmts/6),0))</f>
        <v>370.27939840303179</v>
      </c>
      <c r="F66" s="218">
        <f>F$5*(ROUNDUP((Tokamak_Segmts/6),0))</f>
        <v>1173.6057385659294</v>
      </c>
      <c r="G66" s="217">
        <f>'Lower Cask Recovery Scenarios'!$I$10</f>
        <v>19.199352173963234</v>
      </c>
      <c r="H66" s="219">
        <f>'Lower Cask Weld Failures'!$I$23</f>
        <v>734.80552577938181</v>
      </c>
      <c r="I66" s="220">
        <f t="shared" ref="I66:I72" si="7">SUM(E66:H66)</f>
        <v>2297.8900149223064</v>
      </c>
      <c r="J66" s="3611"/>
      <c r="K66" s="3265">
        <f>IF('Plant Availibility Calculator'!$P$18="Upper Port Cask System",'Upper Cask Summary'!$I66,IF('Plant Availibility Calculator'!$P$18="Upper Port Hot Cell",'Upper Hot Cell Summary'!$I66,"ERROR"))</f>
        <v>2177.4073438550281</v>
      </c>
      <c r="L66" s="3611"/>
      <c r="M66" s="3265"/>
      <c r="N66" s="221"/>
      <c r="O66" s="217">
        <f>O$5*(ROUNDUP((Tokamak_Segmts/6),0))</f>
        <v>313.77686391337403</v>
      </c>
      <c r="P66" s="218">
        <f>P$5*(ROUNDUP((Tokamak_Segmts/6),0))</f>
        <v>402.85884911563608</v>
      </c>
      <c r="Q66" s="217">
        <f>'Lower Cask Recovery Scenarios'!$I$14</f>
        <v>14.200469226401898</v>
      </c>
      <c r="R66" s="219">
        <f>'Lower Cask Weld Failures'!$I$28</f>
        <v>92.425511287334501</v>
      </c>
      <c r="S66" s="220">
        <f>SUM(O66:R66)</f>
        <v>823.26169354274646</v>
      </c>
    </row>
    <row r="67" spans="2:19" s="177" customFormat="1" x14ac:dyDescent="0.4">
      <c r="B67" s="3759"/>
      <c r="C67" s="3762"/>
      <c r="D67" s="274" t="s">
        <v>28</v>
      </c>
      <c r="E67" s="275">
        <f>E66/64</f>
        <v>5.7856156000473717</v>
      </c>
      <c r="F67" s="276">
        <f>F66/64</f>
        <v>18.337589665092647</v>
      </c>
      <c r="G67" s="275">
        <f>G66/G71</f>
        <v>0.21378691385609574</v>
      </c>
      <c r="H67" s="26">
        <f>H66/24</f>
        <v>30.616896907474242</v>
      </c>
      <c r="I67" s="25">
        <f t="shared" si="7"/>
        <v>54.953889086470355</v>
      </c>
      <c r="J67" s="3611"/>
      <c r="K67" s="3321">
        <f>IF('Plant Availibility Calculator'!$P$18="Upper Port Cask System",'Upper Cask Summary'!$I67,IF('Plant Availibility Calculator'!$P$18="Upper Port Hot Cell",'Upper Hot Cell Summary'!$I67,"ERROR"))</f>
        <v>90.725305993959509</v>
      </c>
      <c r="L67" s="3611"/>
      <c r="M67" s="3321"/>
      <c r="N67" s="221"/>
      <c r="O67" s="275">
        <f>O66/64</f>
        <v>4.9027634986464692</v>
      </c>
      <c r="P67" s="276">
        <f>P66/64</f>
        <v>6.2946695174318137</v>
      </c>
      <c r="Q67" s="275">
        <f>Q66/Q71</f>
        <v>0.2177764344837001</v>
      </c>
      <c r="R67" s="224">
        <f>R66/R$11</f>
        <v>1.4911497967019944</v>
      </c>
      <c r="S67" s="25">
        <f>S66/24</f>
        <v>34.302570564281105</v>
      </c>
    </row>
    <row r="68" spans="2:19" x14ac:dyDescent="0.4">
      <c r="B68" s="3759"/>
      <c r="C68" s="3763" t="s">
        <v>3</v>
      </c>
      <c r="D68" s="21" t="s">
        <v>26</v>
      </c>
      <c r="E68" s="228">
        <f>E$7*(ROUNDUP((Tokamak_Segmts/6),0))</f>
        <v>228.17444444444445</v>
      </c>
      <c r="F68" s="229">
        <f>F$7*(ROUNDUP((Tokamak_Segmts/6),0))</f>
        <v>233.46444444444441</v>
      </c>
      <c r="G68" s="228">
        <f>'Lower Cask Recovery Scenarios'!$I$11</f>
        <v>70.606669287606223</v>
      </c>
      <c r="H68" s="28">
        <f>'Lower Cask Weld Failures'!$I$24</f>
        <v>204.47838422666428</v>
      </c>
      <c r="I68" s="27">
        <f t="shared" si="7"/>
        <v>736.7239424031593</v>
      </c>
      <c r="J68" s="3611"/>
      <c r="K68" s="3276">
        <f>IF('Plant Availibility Calculator'!$P$18="Upper Port Cask System",'Upper Cask Summary'!$I68,IF('Plant Availibility Calculator'!$P$18="Upper Port Hot Cell",'Upper Hot Cell Summary'!$I68,"ERROR"))</f>
        <v>222.34994454129983</v>
      </c>
      <c r="L68" s="3611"/>
      <c r="M68" s="3276"/>
      <c r="N68" s="221"/>
      <c r="O68" s="228">
        <f>O$7*(ROUNDUP((Tokamak_Segmts/6),0))</f>
        <v>165.77444444444447</v>
      </c>
      <c r="P68" s="229">
        <f>P$7*(ROUNDUP((Tokamak_Segmts/6),0))</f>
        <v>169.23444444444445</v>
      </c>
      <c r="Q68" s="228">
        <f>'Lower Cask Recovery Scenarios'!$I$15</f>
        <v>51.006169224025847</v>
      </c>
      <c r="R68" s="28">
        <f>'Lower Cask Weld Failures'!$I$29</f>
        <v>64.348801674732215</v>
      </c>
      <c r="S68" s="27">
        <f>SUM(O68:R68)</f>
        <v>450.36385978764696</v>
      </c>
    </row>
    <row r="69" spans="2:19" s="177" customFormat="1" x14ac:dyDescent="0.4">
      <c r="B69" s="3759"/>
      <c r="C69" s="3764"/>
      <c r="D69" s="277" t="s">
        <v>28</v>
      </c>
      <c r="E69" s="228">
        <f>E68/64</f>
        <v>3.5652256944444445</v>
      </c>
      <c r="F69" s="229">
        <f>F68/64</f>
        <v>3.6478819444444439</v>
      </c>
      <c r="G69" s="228">
        <f>G68/G71</f>
        <v>0.78621308614390428</v>
      </c>
      <c r="H69" s="28">
        <f>H68/24</f>
        <v>8.5199326761110115</v>
      </c>
      <c r="I69" s="27">
        <f t="shared" si="7"/>
        <v>16.519253401143803</v>
      </c>
      <c r="J69" s="3611"/>
      <c r="K69" s="3276">
        <f>IF('Plant Availibility Calculator'!$P$18="Upper Port Cask System",'Upper Cask Summary'!$I69,IF('Plant Availibility Calculator'!$P$18="Upper Port Hot Cell",'Upper Hot Cell Summary'!$I69,"ERROR"))</f>
        <v>9.2645810225541592</v>
      </c>
      <c r="L69" s="3611"/>
      <c r="M69" s="3276"/>
      <c r="N69" s="221"/>
      <c r="O69" s="228">
        <f>O68/64</f>
        <v>2.5902256944444448</v>
      </c>
      <c r="P69" s="229">
        <f>P68/64</f>
        <v>2.6442881944444445</v>
      </c>
      <c r="Q69" s="228">
        <f>Q68/Q71</f>
        <v>0.7822235655162999</v>
      </c>
      <c r="R69" s="232">
        <f>R68/R72</f>
        <v>8.3053867875929495</v>
      </c>
      <c r="S69" s="27">
        <f>S68/24</f>
        <v>18.765160824485289</v>
      </c>
    </row>
    <row r="70" spans="2:19" x14ac:dyDescent="0.4">
      <c r="B70" s="3759"/>
      <c r="C70" s="3764"/>
      <c r="D70" s="238" t="s">
        <v>2699</v>
      </c>
      <c r="E70" s="278">
        <f>E$9*(ROUNDUP((Tokamak_Segmts/6),0))</f>
        <v>18.2100000000002</v>
      </c>
      <c r="F70" s="279">
        <f>F$9*(ROUNDUP((Tokamak_Segmts/6),0))</f>
        <v>4.4233333333333338</v>
      </c>
      <c r="G70" s="278">
        <f>'Lower Cask Recovery Scenarios'!$I$12</f>
        <v>0</v>
      </c>
      <c r="H70" s="280">
        <f>'Lower Cask Weld Failures'!$I$25</f>
        <v>480.51424025834024</v>
      </c>
      <c r="I70" s="281">
        <f t="shared" si="7"/>
        <v>503.14757359167379</v>
      </c>
      <c r="J70" s="3613"/>
      <c r="K70" s="3325">
        <f>IF('Plant Availibility Calculator'!$P$18="Upper Port Cask System",'Upper Cask Summary'!$I70,IF('Plant Availibility Calculator'!$P$18="Upper Port Hot Cell",'Upper Hot Cell Summary'!$I70,"ERROR"))</f>
        <v>260.55114690790515</v>
      </c>
      <c r="L70" s="3613"/>
      <c r="M70" s="3325"/>
      <c r="N70" s="221"/>
      <c r="O70" s="278">
        <f>O$9*(ROUNDUP((Tokamak_Segmts/6),0))</f>
        <v>18.2100000000002</v>
      </c>
      <c r="P70" s="279">
        <f>P$9*(ROUNDUP((Tokamak_Segmts/6),0))</f>
        <v>4.4233333333333338</v>
      </c>
      <c r="Q70" s="278">
        <f>'Lower Cask Recovery Scenarios'!$I$16</f>
        <v>0</v>
      </c>
      <c r="R70" s="236">
        <f>'Lower Cask Weld Failures'!$I$30</f>
        <v>29.173828851225004</v>
      </c>
      <c r="S70" s="281">
        <f>SUM(O70:R70)</f>
        <v>51.807162184558536</v>
      </c>
    </row>
    <row r="71" spans="2:19" ht="15" customHeight="1" x14ac:dyDescent="0.4">
      <c r="B71" s="3759"/>
      <c r="C71" s="3765" t="s">
        <v>25</v>
      </c>
      <c r="D71" s="244" t="s">
        <v>26</v>
      </c>
      <c r="E71" s="245">
        <f>E66+E68+E70</f>
        <v>616.66384284747642</v>
      </c>
      <c r="F71" s="246">
        <f>F66+F68+F70</f>
        <v>1411.4935163437071</v>
      </c>
      <c r="G71" s="245">
        <f>G66+G68+G70</f>
        <v>89.806021461569458</v>
      </c>
      <c r="H71" s="247">
        <f>H66+H68+H70</f>
        <v>1419.7981502643863</v>
      </c>
      <c r="I71" s="248">
        <f>SUM(E71:H71)</f>
        <v>3537.7615309171397</v>
      </c>
      <c r="J71" s="3615"/>
      <c r="K71" s="3294">
        <f>IF('Plant Availibility Calculator'!$P$18="Upper Port Cask System",'Upper Cask Summary'!$I71,IF('Plant Availibility Calculator'!$P$18="Upper Port Hot Cell",'Upper Hot Cell Summary'!$I71,"ERROR"))</f>
        <v>2660.3084353042332</v>
      </c>
      <c r="L71" s="3615"/>
      <c r="M71" s="3294">
        <f t="shared" ref="M71:M76" si="8">MAX(I71,K71)</f>
        <v>3537.7615309171397</v>
      </c>
      <c r="N71" s="249"/>
      <c r="O71" s="245">
        <f>O66+O68+O70</f>
        <v>497.76130835781868</v>
      </c>
      <c r="P71" s="246">
        <f>P66+P68+P70</f>
        <v>576.51662689341379</v>
      </c>
      <c r="Q71" s="245">
        <f>Q66+Q68+Q70</f>
        <v>65.206638450427747</v>
      </c>
      <c r="R71" s="247">
        <f>R66+R68+R70</f>
        <v>185.94814181329173</v>
      </c>
      <c r="S71" s="248">
        <f>SUM(O71:R71)</f>
        <v>1325.4327155149522</v>
      </c>
    </row>
    <row r="72" spans="2:19" ht="15" thickBot="1" x14ac:dyDescent="0.45">
      <c r="B72" s="3759"/>
      <c r="C72" s="3766"/>
      <c r="D72" s="252" t="s">
        <v>28</v>
      </c>
      <c r="E72" s="253">
        <f>E71/64</f>
        <v>9.635372544491819</v>
      </c>
      <c r="F72" s="254">
        <f>F71/64</f>
        <v>22.054586192870424</v>
      </c>
      <c r="G72" s="255">
        <f>G71/24</f>
        <v>3.7419175608987274</v>
      </c>
      <c r="H72" s="256">
        <f>H71/24</f>
        <v>59.158256261016099</v>
      </c>
      <c r="I72" s="254">
        <f t="shared" si="7"/>
        <v>94.590132559277066</v>
      </c>
      <c r="J72" s="3616"/>
      <c r="K72" s="3626">
        <f>IF('Plant Availibility Calculator'!$P$18="Upper Port Cask System",'Upper Cask Summary'!$I72,IF('Plant Availibility Calculator'!$P$18="Upper Port Hot Cell",'Upper Hot Cell Summary'!$I72,"ERROR"))</f>
        <v>110.84618480434305</v>
      </c>
      <c r="L72" s="3616"/>
      <c r="M72" s="3626">
        <f t="shared" si="8"/>
        <v>110.84618480434305</v>
      </c>
      <c r="N72" s="221"/>
      <c r="O72" s="253">
        <f>O71/64</f>
        <v>7.7775204430909168</v>
      </c>
      <c r="P72" s="254">
        <f>P71/64</f>
        <v>9.0080722952095904</v>
      </c>
      <c r="Q72" s="255">
        <f>Q71/24</f>
        <v>2.7169432687678228</v>
      </c>
      <c r="R72" s="256">
        <f>R71/24</f>
        <v>7.7478392422204889</v>
      </c>
      <c r="S72" s="254">
        <f>S71/24</f>
        <v>55.226363146456343</v>
      </c>
    </row>
    <row r="73" spans="2:19" s="177" customFormat="1" ht="15" customHeight="1" x14ac:dyDescent="0.4">
      <c r="B73" s="3759"/>
      <c r="C73" s="3767" t="s">
        <v>111</v>
      </c>
      <c r="D73" s="257" t="s">
        <v>26</v>
      </c>
      <c r="E73" s="258">
        <f>(E71/two_shift_productivity_ratio)*1.1</f>
        <v>1017.4953406983361</v>
      </c>
      <c r="F73" s="259">
        <f>(F71/two_shift_productivity_ratio)*1.1</f>
        <v>2328.9643019671171</v>
      </c>
      <c r="G73" s="258">
        <f>(G71/two_shift_productivity_ratio)*1.1</f>
        <v>148.17993541158961</v>
      </c>
      <c r="H73" s="259">
        <f>(H71/two_shift_productivity_ratio)*1.1</f>
        <v>2342.6669479362376</v>
      </c>
      <c r="I73" s="260">
        <f>SUM(E73:H73)</f>
        <v>5837.3065260132807</v>
      </c>
      <c r="J73" s="3611"/>
      <c r="K73" s="3304">
        <f>IF('Plant Availibility Calculator'!$P$18="Upper Port Cask System",'Upper Cask Summary'!$I73,IF('Plant Availibility Calculator'!$P$18="Upper Port Hot Cell",'Upper Hot Cell Summary'!$I73,"ERROR"))</f>
        <v>4389.5089182519851</v>
      </c>
      <c r="L73" s="3611"/>
      <c r="M73" s="3304">
        <f t="shared" si="8"/>
        <v>5837.3065260132807</v>
      </c>
      <c r="N73" s="221"/>
      <c r="O73" s="258">
        <f>(O71/two_shift_productivity_ratio)*1.1</f>
        <v>821.30615879040101</v>
      </c>
      <c r="P73" s="259">
        <f>(P71/two_shift_productivity_ratio)*1.1</f>
        <v>951.2524343741328</v>
      </c>
      <c r="Q73" s="258">
        <f>(Q71/two_shift_productivity_ratio)*1.1</f>
        <v>107.59095344320581</v>
      </c>
      <c r="R73" s="259">
        <f>(R71/two_shift_productivity_ratio)*1.1</f>
        <v>306.81443399193137</v>
      </c>
      <c r="S73" s="260">
        <f>SUM(O73:R73)</f>
        <v>2186.9639805996708</v>
      </c>
    </row>
    <row r="74" spans="2:19" ht="15" customHeight="1" x14ac:dyDescent="0.4">
      <c r="B74" s="3759"/>
      <c r="C74" s="3768"/>
      <c r="D74" s="22" t="s">
        <v>112</v>
      </c>
      <c r="E74" s="262">
        <f>E73/24</f>
        <v>42.395639195764005</v>
      </c>
      <c r="F74" s="263">
        <f>F73/24</f>
        <v>97.040179248629883</v>
      </c>
      <c r="G74" s="262">
        <f>G73/24</f>
        <v>6.1741639754829007</v>
      </c>
      <c r="H74" s="263">
        <f>H73/24</f>
        <v>97.611122830676564</v>
      </c>
      <c r="I74" s="265">
        <f>SUM(E74:H74)</f>
        <v>243.22110525055336</v>
      </c>
      <c r="J74" s="3611"/>
      <c r="K74" s="3309">
        <f>IF('Plant Availibility Calculator'!$P$18="Upper Port Cask System",'Upper Cask Summary'!$I74,IF('Plant Availibility Calculator'!$P$18="Upper Port Hot Cell",'Upper Hot Cell Summary'!$I74,"ERROR"))</f>
        <v>182.89620492716605</v>
      </c>
      <c r="L74" s="3611"/>
      <c r="M74" s="3309">
        <f t="shared" si="8"/>
        <v>243.22110525055336</v>
      </c>
      <c r="N74" s="221"/>
      <c r="O74" s="262">
        <f>O73/24</f>
        <v>34.221089949600042</v>
      </c>
      <c r="P74" s="263">
        <f>P73/24</f>
        <v>39.635518098922198</v>
      </c>
      <c r="Q74" s="262">
        <f>Q73/24</f>
        <v>4.4829563934669086</v>
      </c>
      <c r="R74" s="263">
        <f>R73/24</f>
        <v>12.783934749663807</v>
      </c>
      <c r="S74" s="265">
        <f>SUM(O74:R74)</f>
        <v>91.123499191652968</v>
      </c>
    </row>
    <row r="75" spans="2:19" x14ac:dyDescent="0.4">
      <c r="B75" s="3759"/>
      <c r="C75" s="3768"/>
      <c r="D75" s="22" t="s">
        <v>113</v>
      </c>
      <c r="E75" s="262">
        <f>E74/30</f>
        <v>1.4131879731921335</v>
      </c>
      <c r="F75" s="263">
        <f>F74/30</f>
        <v>3.2346726416209961</v>
      </c>
      <c r="G75" s="262">
        <f>G74/30</f>
        <v>0.20580546584943002</v>
      </c>
      <c r="H75" s="263">
        <f>H74/30</f>
        <v>3.2537040943558853</v>
      </c>
      <c r="I75" s="265">
        <f>SUM(E75:H75)</f>
        <v>8.1073701750184455</v>
      </c>
      <c r="J75" s="3611"/>
      <c r="K75" s="3309">
        <f>IF('Plant Availibility Calculator'!$P$18="Upper Port Cask System",'Upper Cask Summary'!$I75,IF('Plant Availibility Calculator'!$P$18="Upper Port Hot Cell",'Upper Hot Cell Summary'!$I75,"ERROR"))</f>
        <v>6.0965401642388688</v>
      </c>
      <c r="L75" s="3611"/>
      <c r="M75" s="3309">
        <f t="shared" si="8"/>
        <v>8.1073701750184455</v>
      </c>
      <c r="N75" s="221"/>
      <c r="O75" s="262">
        <f>O74/30</f>
        <v>1.1407029983200014</v>
      </c>
      <c r="P75" s="263">
        <f>P74/30</f>
        <v>1.3211839366307399</v>
      </c>
      <c r="Q75" s="262">
        <f>Q74/30</f>
        <v>0.1494318797822303</v>
      </c>
      <c r="R75" s="263">
        <f>R74/30</f>
        <v>0.42613115832212689</v>
      </c>
      <c r="S75" s="265">
        <f>SUM(O75:R75)</f>
        <v>3.0374499730550988</v>
      </c>
    </row>
    <row r="76" spans="2:19" s="271" customFormat="1" ht="15" thickBot="1" x14ac:dyDescent="0.45">
      <c r="B76" s="3760"/>
      <c r="C76" s="3769"/>
      <c r="D76" s="282" t="s">
        <v>513</v>
      </c>
      <c r="E76" s="266">
        <f>E73/$I$73</f>
        <v>0.17430904753142326</v>
      </c>
      <c r="F76" s="267">
        <f>F73/$I$73</f>
        <v>0.39897927093400992</v>
      </c>
      <c r="G76" s="266">
        <f>G73/$I$73</f>
        <v>2.5384984453230765E-2</v>
      </c>
      <c r="H76" s="267">
        <f>H73/$I$73</f>
        <v>0.401326697081336</v>
      </c>
      <c r="I76" s="269">
        <f>SUM(E76:H76)</f>
        <v>1</v>
      </c>
      <c r="J76" s="3612"/>
      <c r="K76" s="3314">
        <f>IF('Plant Availibility Calculator'!$P$18="Upper Port Cask System",'Upper Cask Summary'!$I76,IF('Plant Availibility Calculator'!$P$18="Upper Port Hot Cell",'Upper Hot Cell Summary'!$I76,"ERROR"))</f>
        <v>1</v>
      </c>
      <c r="L76" s="3612"/>
      <c r="M76" s="3314">
        <f t="shared" si="8"/>
        <v>1</v>
      </c>
      <c r="N76" s="226"/>
      <c r="O76" s="266">
        <f>O73/$S$73</f>
        <v>0.37554626691437182</v>
      </c>
      <c r="P76" s="267">
        <f>P73/$S$73</f>
        <v>0.4349648383844425</v>
      </c>
      <c r="Q76" s="266">
        <f>Q73/$S$73</f>
        <v>4.919649084193152E-2</v>
      </c>
      <c r="R76" s="267">
        <f>R73/$S$73</f>
        <v>0.14029240385925429</v>
      </c>
      <c r="S76" s="269">
        <f>SUM(O76:R76)</f>
        <v>1.0000000000000002</v>
      </c>
    </row>
    <row r="77" spans="2:19" x14ac:dyDescent="0.4">
      <c r="E77" s="177"/>
      <c r="F77" s="177"/>
      <c r="G77" s="177"/>
      <c r="H77" s="177"/>
      <c r="I77" s="177"/>
      <c r="J77" s="3266"/>
      <c r="K77" s="3266"/>
      <c r="L77" s="3266"/>
      <c r="M77" s="3266"/>
      <c r="N77" s="177"/>
      <c r="O77" s="177"/>
      <c r="P77" s="177"/>
      <c r="Q77" s="177"/>
      <c r="R77" s="177"/>
      <c r="S77" s="177"/>
    </row>
    <row r="82" spans="10:13" x14ac:dyDescent="0.4">
      <c r="J82" s="3266"/>
      <c r="K82" s="3266"/>
      <c r="L82" s="3266"/>
      <c r="M82" s="3266"/>
    </row>
    <row r="83" spans="10:13" x14ac:dyDescent="0.4">
      <c r="J83" s="3266"/>
      <c r="K83" s="3266"/>
      <c r="L83" s="3266"/>
      <c r="M83" s="3266"/>
    </row>
    <row r="84" spans="10:13" x14ac:dyDescent="0.4">
      <c r="J84" s="3266"/>
      <c r="K84" s="3266"/>
      <c r="L84" s="3266"/>
      <c r="M84" s="3266"/>
    </row>
    <row r="85" spans="10:13" x14ac:dyDescent="0.4">
      <c r="J85" s="3266"/>
      <c r="K85" s="3266"/>
      <c r="L85" s="3266"/>
      <c r="M85" s="3266"/>
    </row>
    <row r="88" spans="10:13" x14ac:dyDescent="0.4">
      <c r="J88" s="3266"/>
      <c r="K88" s="3266"/>
      <c r="L88" s="3266"/>
      <c r="M88" s="3266"/>
    </row>
    <row r="89" spans="10:13" x14ac:dyDescent="0.4">
      <c r="J89" s="3266"/>
      <c r="K89" s="3266"/>
      <c r="L89" s="3266"/>
      <c r="M89" s="3266"/>
    </row>
    <row r="90" spans="10:13" x14ac:dyDescent="0.4">
      <c r="J90" s="3266"/>
      <c r="K90" s="3266"/>
      <c r="L90" s="3266"/>
      <c r="M90" s="3266"/>
    </row>
    <row r="91" spans="10:13" x14ac:dyDescent="0.4">
      <c r="J91" s="3266"/>
      <c r="K91" s="3266"/>
      <c r="L91" s="3266"/>
      <c r="M91" s="3266"/>
    </row>
  </sheetData>
  <sheetProtection algorithmName="SHA-512" hashValue="+wZYSsyahoeJkpgsvzpmYi2zoVAY3hLqkQ4Gc2q34ooin79I99BOqhcw0GzvCaEGRu2KGR+KZMBWbjy4MQxzXA==" saltValue="tfYszz+RxfuX5Lscq4QNdw==" spinCount="100000" sheet="1" objects="1" scenarios="1"/>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8">
    <mergeCell ref="B54:B64"/>
    <mergeCell ref="C54:C55"/>
    <mergeCell ref="C56:C58"/>
    <mergeCell ref="C59:C60"/>
    <mergeCell ref="C61:C64"/>
    <mergeCell ref="B66:B76"/>
    <mergeCell ref="C66:C67"/>
    <mergeCell ref="C68:C70"/>
    <mergeCell ref="C71:C72"/>
    <mergeCell ref="C73:C76"/>
    <mergeCell ref="B30:B40"/>
    <mergeCell ref="C30:C31"/>
    <mergeCell ref="C32:C34"/>
    <mergeCell ref="C35:C36"/>
    <mergeCell ref="C37:C40"/>
    <mergeCell ref="B42:B52"/>
    <mergeCell ref="C42:C43"/>
    <mergeCell ref="C44:C46"/>
    <mergeCell ref="C47:C48"/>
    <mergeCell ref="C49:C52"/>
    <mergeCell ref="B5:B16"/>
    <mergeCell ref="C5:C6"/>
    <mergeCell ref="C7:C10"/>
    <mergeCell ref="C11:C12"/>
    <mergeCell ref="C13:C16"/>
    <mergeCell ref="B18:B28"/>
    <mergeCell ref="C18:C19"/>
    <mergeCell ref="C20:C22"/>
    <mergeCell ref="C23:C24"/>
    <mergeCell ref="C25:C28"/>
    <mergeCell ref="E2:I2"/>
    <mergeCell ref="O2:S2"/>
    <mergeCell ref="E3:F3"/>
    <mergeCell ref="G3:H3"/>
    <mergeCell ref="O3:P3"/>
    <mergeCell ref="Q3:R3"/>
    <mergeCell ref="K2:K3"/>
    <mergeCell ref="M2:M3"/>
  </mergeCells>
  <pageMargins left="0.7" right="0.7" top="0.75" bottom="0.75" header="0.3" footer="0.3"/>
  <pageSetup paperSize="9" orientation="portrait" verticalDpi="0"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39997558519241921"/>
  </sheetPr>
  <dimension ref="B4:S273"/>
  <sheetViews>
    <sheetView zoomScale="70" zoomScaleNormal="70" workbookViewId="0">
      <selection activeCell="K2" sqref="K2:M4"/>
    </sheetView>
  </sheetViews>
  <sheetFormatPr defaultColWidth="9.15234375" defaultRowHeight="12.9" outlineLevelCol="1" x14ac:dyDescent="0.35"/>
  <cols>
    <col min="1" max="1" width="1.53515625" style="88" customWidth="1"/>
    <col min="2" max="2" width="16" style="1233" customWidth="1"/>
    <col min="3" max="3" width="69.15234375" style="88" bestFit="1" customWidth="1"/>
    <col min="4" max="4" width="18.53515625" style="88" customWidth="1"/>
    <col min="5" max="5" width="9.69140625" style="88" customWidth="1"/>
    <col min="6" max="6" width="12.15234375" style="88" customWidth="1"/>
    <col min="7" max="7" width="37.69140625" style="88" customWidth="1" outlineLevel="1"/>
    <col min="8" max="8" width="16.3046875" style="88" customWidth="1"/>
    <col min="9" max="9" width="28.69140625" style="88" hidden="1" customWidth="1" outlineLevel="1"/>
    <col min="10" max="10" width="20.3046875" style="88" hidden="1" customWidth="1" outlineLevel="1"/>
    <col min="11" max="11" width="18.69140625" style="88" hidden="1" customWidth="1" outlineLevel="1"/>
    <col min="12" max="12" width="13" style="88" hidden="1" customWidth="1" outlineLevel="1"/>
    <col min="13" max="13" width="12.84375" style="88" hidden="1" customWidth="1" outlineLevel="1"/>
    <col min="14" max="14" width="9.69140625" style="88" customWidth="1" collapsed="1"/>
    <col min="15" max="15" width="43" style="88" hidden="1" customWidth="1" outlineLevel="1"/>
    <col min="16" max="16" width="12" style="1569" customWidth="1" collapsed="1"/>
    <col min="17" max="17" width="117.69140625" style="88" hidden="1" customWidth="1" outlineLevel="1"/>
    <col min="18" max="18" width="12" style="88" hidden="1" customWidth="1" outlineLevel="1"/>
    <col min="19" max="19" width="16.3828125" style="88" customWidth="1" collapsed="1"/>
    <col min="20" max="28" width="9.15234375" style="88" customWidth="1"/>
    <col min="29" max="16384" width="9.15234375" style="88"/>
  </cols>
  <sheetData>
    <row r="4" spans="2:19" ht="13.3" thickBot="1" x14ac:dyDescent="0.4"/>
    <row r="5" spans="2:19" ht="13.3" thickBot="1" x14ac:dyDescent="0.4">
      <c r="E5" s="1570"/>
      <c r="F5" s="1571"/>
      <c r="G5" s="3791" t="s">
        <v>18</v>
      </c>
      <c r="H5" s="3792"/>
      <c r="I5" s="3793" t="s">
        <v>778</v>
      </c>
      <c r="J5" s="3794"/>
      <c r="K5" s="3794"/>
      <c r="L5" s="3794"/>
      <c r="M5" s="3794"/>
      <c r="N5" s="3795"/>
      <c r="O5" s="3793" t="s">
        <v>3</v>
      </c>
      <c r="P5" s="3795"/>
      <c r="Q5" s="3780" t="s">
        <v>779</v>
      </c>
      <c r="R5" s="3781"/>
      <c r="S5" s="3782"/>
    </row>
    <row r="6" spans="2:19" s="1161" customFormat="1" ht="26.15" thickBot="1" x14ac:dyDescent="0.45">
      <c r="B6" s="562" t="s">
        <v>780</v>
      </c>
      <c r="C6" s="562" t="s">
        <v>781</v>
      </c>
      <c r="D6" s="564" t="s">
        <v>782</v>
      </c>
      <c r="E6" s="945" t="s">
        <v>783</v>
      </c>
      <c r="F6" s="1446" t="s">
        <v>784</v>
      </c>
      <c r="G6" s="562" t="s">
        <v>785</v>
      </c>
      <c r="H6" s="945" t="s">
        <v>783</v>
      </c>
      <c r="I6" s="562" t="s">
        <v>786</v>
      </c>
      <c r="J6" s="563" t="s">
        <v>787</v>
      </c>
      <c r="K6" s="563" t="s">
        <v>788</v>
      </c>
      <c r="L6" s="563" t="s">
        <v>789</v>
      </c>
      <c r="M6" s="563" t="s">
        <v>790</v>
      </c>
      <c r="N6" s="945" t="s">
        <v>783</v>
      </c>
      <c r="O6" s="562" t="s">
        <v>785</v>
      </c>
      <c r="P6" s="1573" t="s">
        <v>783</v>
      </c>
      <c r="Q6" s="788" t="s">
        <v>781</v>
      </c>
      <c r="R6" s="784" t="s">
        <v>791</v>
      </c>
      <c r="S6" s="790" t="s">
        <v>792</v>
      </c>
    </row>
    <row r="7" spans="2:19" x14ac:dyDescent="0.35">
      <c r="B7" s="3787" t="s">
        <v>1533</v>
      </c>
      <c r="C7" s="803" t="s">
        <v>267</v>
      </c>
      <c r="D7" s="1574" t="s">
        <v>251</v>
      </c>
      <c r="E7" s="567">
        <f t="shared" ref="E7:E85" si="0">MAX($P7,$N7,$H7)</f>
        <v>0</v>
      </c>
      <c r="F7" s="567">
        <v>0</v>
      </c>
      <c r="G7" s="803" t="s">
        <v>267</v>
      </c>
      <c r="H7" s="1575">
        <f>IF(D7="operation",VLOOKUP(G7,'Generic Divertor Port Tasks'!C$4:D$223,2,FALSE),"N/A")</f>
        <v>0</v>
      </c>
      <c r="I7" s="803"/>
      <c r="J7" s="566"/>
      <c r="K7" s="566"/>
      <c r="L7" s="570" t="str">
        <f>IFERROR(INDEX('Lower Cask Movement &amp; Logistics'!$I$13:$O$19,MATCH($J7,'Lower Cask Movement &amp; Logistics'!$H$13:$H$19,0),MATCH($K7,'Lower Cask Movement &amp; Logistics'!$H$13:$H$19,0)),"N/A")</f>
        <v>N/A</v>
      </c>
      <c r="M7" s="570" t="str">
        <f>IFERROR(VLOOKUP($I7,'Lower Cask Movement &amp; Logistics'!$H$4:$I$9,2,FALSE),"N/A")</f>
        <v>N/A</v>
      </c>
      <c r="N7" s="1575" t="str">
        <f t="shared" ref="N7:N85" si="1">IF(D7="Movement",IFERROR((L7/M7)/(60*60),"Error"),"N/A")</f>
        <v>N/A</v>
      </c>
      <c r="O7" s="1576"/>
      <c r="P7" s="1575" t="str">
        <f>IF($D7="Logistics",VLOOKUP($O7,'Lower Cask Movement &amp; Logistics'!$C$4:$D$54,2,FALSE),"N/A")</f>
        <v>N/A</v>
      </c>
      <c r="Q7" s="1576"/>
      <c r="R7" s="1575" t="str">
        <f>IFERROR(VLOOKUP($Q7,'Lower Cask Dependencies'!$C$5:$F$277,4,FALSE),"N/A")</f>
        <v>N/A</v>
      </c>
      <c r="S7" s="1575" t="str">
        <f>IFERROR(F7-E7-R7,"N/A")</f>
        <v>N/A</v>
      </c>
    </row>
    <row r="8" spans="2:19" x14ac:dyDescent="0.35">
      <c r="B8" s="3786"/>
      <c r="C8" s="1131" t="s">
        <v>1534</v>
      </c>
      <c r="D8" s="1577" t="s">
        <v>3</v>
      </c>
      <c r="E8" s="574">
        <f t="shared" si="0"/>
        <v>0.58000000000000007</v>
      </c>
      <c r="F8" s="574">
        <f t="shared" ref="F8:F21" si="2">IF(S8&lt;0,E8+F7+(-S8),E8+F7)</f>
        <v>0.58000000000000007</v>
      </c>
      <c r="G8" s="1131"/>
      <c r="H8" s="1183" t="str">
        <f>IF(D8="operation",VLOOKUP(G8,'Generic Divertor Port Tasks'!C$4:D$223,2,FALSE),"N/A")</f>
        <v>N/A</v>
      </c>
      <c r="I8" s="1131"/>
      <c r="J8" s="573"/>
      <c r="K8" s="573"/>
      <c r="L8" s="853" t="str">
        <f>IFERROR(INDEX('Lower Cask Movement &amp; Logistics'!$I$13:$O$19,MATCH($J8,'Lower Cask Movement &amp; Logistics'!$H$13:$H$19,0),MATCH($K8,'Lower Cask Movement &amp; Logistics'!$H$13:$H$19,0)),"N/A")</f>
        <v>N/A</v>
      </c>
      <c r="M8" s="853" t="str">
        <f>IFERROR(VLOOKUP($I8,'Lower Cask Movement &amp; Logistics'!$H$4:$I$9,2,FALSE),"N/A")</f>
        <v>N/A</v>
      </c>
      <c r="N8" s="1183" t="str">
        <f t="shared" si="1"/>
        <v>N/A</v>
      </c>
      <c r="O8" s="1578" t="s">
        <v>796</v>
      </c>
      <c r="P8" s="1183">
        <f>IF($D8="Logistics",VLOOKUP($O8,'Lower Cask Movement &amp; Logistics'!$C$4:$D$54,2,FALSE),"N/A")</f>
        <v>0.58000000000000007</v>
      </c>
      <c r="Q8" s="1578"/>
      <c r="R8" s="1183" t="str">
        <f>IFERROR(VLOOKUP($Q8,'Lower Cask Dependencies'!$C$5:$F$277,4,FALSE),"N/A")</f>
        <v>N/A</v>
      </c>
      <c r="S8" s="1183" t="str">
        <f t="shared" ref="S8:S85" si="3">IFERROR(F7-R8,"N/A")</f>
        <v>N/A</v>
      </c>
    </row>
    <row r="9" spans="2:19" x14ac:dyDescent="0.35">
      <c r="B9" s="3786"/>
      <c r="C9" s="1131" t="s">
        <v>1535</v>
      </c>
      <c r="D9" s="1577" t="s">
        <v>778</v>
      </c>
      <c r="E9" s="626">
        <f t="shared" si="0"/>
        <v>0.23148148148148148</v>
      </c>
      <c r="F9" s="574">
        <f t="shared" si="2"/>
        <v>0.81148148148148158</v>
      </c>
      <c r="G9" s="1579"/>
      <c r="H9" s="1183" t="str">
        <f>IF(D9="operation",VLOOKUP(G9,'Generic Divertor Port Tasks'!C$4:D$223,2,FALSE),"N/A")</f>
        <v>N/A</v>
      </c>
      <c r="I9" s="1579" t="s">
        <v>1536</v>
      </c>
      <c r="J9" s="582" t="s">
        <v>799</v>
      </c>
      <c r="K9" s="582" t="s">
        <v>1203</v>
      </c>
      <c r="L9" s="1478">
        <f>IFERROR(INDEX('Lower Cask Movement &amp; Logistics'!$I$13:$O$19,MATCH($J9,'Lower Cask Movement &amp; Logistics'!$H$13:$H$19,0),MATCH($K9,'Lower Cask Movement &amp; Logistics'!$H$13:$H$19,0)),"N/A")</f>
        <v>50</v>
      </c>
      <c r="M9" s="1478">
        <f>IFERROR(VLOOKUP($I9,'Lower Cask Movement &amp; Logistics'!$H$4:$I$9,2,FALSE),"N/A")</f>
        <v>0.06</v>
      </c>
      <c r="N9" s="1183">
        <f>IF(D9="Movement",IFERROR((L9/M9)/(60*60),"Error"),"N/A")</f>
        <v>0.23148148148148148</v>
      </c>
      <c r="O9" s="1578"/>
      <c r="P9" s="1183" t="str">
        <f>IF($D9="Logistics",VLOOKUP($O9,'Lower Cask Movement &amp; Logistics'!$C$4:$D$54,2,FALSE),"N/A")</f>
        <v>N/A</v>
      </c>
      <c r="Q9" s="1578"/>
      <c r="R9" s="1183" t="str">
        <f>IFERROR(VLOOKUP($Q9,'Lower Cask Dependencies'!$C$5:$F$277,4,FALSE),"N/A")</f>
        <v>N/A</v>
      </c>
      <c r="S9" s="1183" t="str">
        <f t="shared" si="3"/>
        <v>N/A</v>
      </c>
    </row>
    <row r="10" spans="2:19" x14ac:dyDescent="0.35">
      <c r="B10" s="3786"/>
      <c r="C10" s="1131" t="s">
        <v>268</v>
      </c>
      <c r="D10" s="1577" t="s">
        <v>251</v>
      </c>
      <c r="E10" s="574">
        <f t="shared" si="0"/>
        <v>0.89999999999999991</v>
      </c>
      <c r="F10" s="574">
        <f t="shared" si="2"/>
        <v>1.7114814814814814</v>
      </c>
      <c r="G10" s="1131" t="s">
        <v>268</v>
      </c>
      <c r="H10" s="1176">
        <f>IF(D10="operation",VLOOKUP(G10,'Generic Divertor Port Tasks'!C$4:D$223,2,FALSE),"N/A")</f>
        <v>0.89999999999999991</v>
      </c>
      <c r="I10" s="1131"/>
      <c r="J10" s="573"/>
      <c r="K10" s="573"/>
      <c r="L10" s="853" t="str">
        <f>IFERROR(INDEX('Lower Cask Movement &amp; Logistics'!$I$13:$O$19,MATCH($J10,'Lower Cask Movement &amp; Logistics'!$H$13:$H$19,0),MATCH($K10,'Lower Cask Movement &amp; Logistics'!$H$13:$H$19,0)),"N/A")</f>
        <v>N/A</v>
      </c>
      <c r="M10" s="853" t="str">
        <f>IFERROR(VLOOKUP($I10,'Lower Cask Movement &amp; Logistics'!$H$4:$I$9,2,FALSE),"N/A")</f>
        <v>N/A</v>
      </c>
      <c r="N10" s="1176" t="str">
        <f t="shared" si="1"/>
        <v>N/A</v>
      </c>
      <c r="O10" s="1580"/>
      <c r="P10" s="1176" t="str">
        <f>IF($D10="Logistics",VLOOKUP($O10,'Lower Cask Movement &amp; Logistics'!$C$4:$D$54,2,FALSE),"N/A")</f>
        <v>N/A</v>
      </c>
      <c r="Q10" s="1580"/>
      <c r="R10" s="1176" t="str">
        <f>IFERROR(VLOOKUP($Q10,'Lower Cask Dependencies'!$C$5:$F$277,4,FALSE),"N/A")</f>
        <v>N/A</v>
      </c>
      <c r="S10" s="1176" t="str">
        <f t="shared" si="3"/>
        <v>N/A</v>
      </c>
    </row>
    <row r="11" spans="2:19" x14ac:dyDescent="0.35">
      <c r="B11" s="3786"/>
      <c r="C11" s="1131" t="s">
        <v>1537</v>
      </c>
      <c r="D11" s="1577" t="s">
        <v>778</v>
      </c>
      <c r="E11" s="626">
        <f t="shared" si="0"/>
        <v>0.41666666666666669</v>
      </c>
      <c r="F11" s="574">
        <f t="shared" si="2"/>
        <v>2.1281481481481479</v>
      </c>
      <c r="G11" s="1579"/>
      <c r="H11" s="1183" t="str">
        <f>IF(D11="operation",VLOOKUP(G11,'Generic Divertor Port Tasks'!C$4:D$223,2,FALSE),"N/A")</f>
        <v>N/A</v>
      </c>
      <c r="I11" s="1579" t="s">
        <v>1538</v>
      </c>
      <c r="J11" s="582" t="s">
        <v>1203</v>
      </c>
      <c r="K11" s="582" t="s">
        <v>901</v>
      </c>
      <c r="L11" s="1478">
        <f>IFERROR(INDEX('Lower Cask Movement &amp; Logistics'!$I$13:$O$19,MATCH($J11,'Lower Cask Movement &amp; Logistics'!$H$13:$H$19,0),MATCH($K11,'Lower Cask Movement &amp; Logistics'!$H$13:$H$19,0)),"N/A")</f>
        <v>30</v>
      </c>
      <c r="M11" s="1478">
        <f>IFERROR(VLOOKUP($I11,'Lower Cask Movement &amp; Logistics'!$H$4:$I$9,2,FALSE),"N/A")</f>
        <v>0.02</v>
      </c>
      <c r="N11" s="1183">
        <f t="shared" si="1"/>
        <v>0.41666666666666669</v>
      </c>
      <c r="O11" s="1578"/>
      <c r="P11" s="1183" t="str">
        <f>IF($D11="Logistics",VLOOKUP($O11,'Lower Cask Movement &amp; Logistics'!$C$4:$D$54,2,FALSE),"N/A")</f>
        <v>N/A</v>
      </c>
      <c r="Q11" s="1578"/>
      <c r="R11" s="1183" t="str">
        <f>IFERROR(VLOOKUP($Q11,'Lower Cask Dependencies'!$C$5:$F$277,4,FALSE),"N/A")</f>
        <v>N/A</v>
      </c>
      <c r="S11" s="1183" t="str">
        <f t="shared" si="3"/>
        <v>N/A</v>
      </c>
    </row>
    <row r="12" spans="2:19" ht="13.3" thickBot="1" x14ac:dyDescent="0.4">
      <c r="B12" s="3788"/>
      <c r="C12" s="1136" t="s">
        <v>912</v>
      </c>
      <c r="D12" s="1581" t="s">
        <v>3</v>
      </c>
      <c r="E12" s="585">
        <f t="shared" si="0"/>
        <v>0.58000000000000007</v>
      </c>
      <c r="F12" s="585">
        <f t="shared" si="2"/>
        <v>2.708148148148148</v>
      </c>
      <c r="G12" s="1136"/>
      <c r="H12" s="1179" t="str">
        <f>IF(D12="operation",VLOOKUP(G12,'Generic Divertor Port Tasks'!C$4:D$223,2,FALSE),"N/A")</f>
        <v>N/A</v>
      </c>
      <c r="I12" s="1136"/>
      <c r="J12" s="584"/>
      <c r="K12" s="584"/>
      <c r="L12" s="814" t="str">
        <f>IFERROR(INDEX('Lower Cask Movement &amp; Logistics'!$I$13:$O$19,MATCH($J12,'Lower Cask Movement &amp; Logistics'!$H$13:$H$19,0),MATCH($K12,'Lower Cask Movement &amp; Logistics'!$H$13:$H$19,0)),"N/A")</f>
        <v>N/A</v>
      </c>
      <c r="M12" s="814" t="str">
        <f>IFERROR(VLOOKUP($I12,'Lower Cask Movement &amp; Logistics'!$H$4:$I$9,2,FALSE),"N/A")</f>
        <v>N/A</v>
      </c>
      <c r="N12" s="1179" t="str">
        <f t="shared" si="1"/>
        <v>N/A</v>
      </c>
      <c r="O12" s="1582" t="s">
        <v>1539</v>
      </c>
      <c r="P12" s="1179">
        <f>IF($D12="Logistics",VLOOKUP($O12,'Lower Cask Movement &amp; Logistics'!$C$4:$D$54,2,FALSE),"N/A")</f>
        <v>0.58000000000000007</v>
      </c>
      <c r="Q12" s="1582"/>
      <c r="R12" s="1179" t="str">
        <f>IFERROR(VLOOKUP($Q12,'Lower Cask Dependencies'!$C$5:$F$277,4,FALSE),"N/A")</f>
        <v>N/A</v>
      </c>
      <c r="S12" s="1179" t="str">
        <f t="shared" si="3"/>
        <v>N/A</v>
      </c>
    </row>
    <row r="13" spans="2:19" ht="15" customHeight="1" x14ac:dyDescent="0.35">
      <c r="B13" s="3783" t="s">
        <v>2398</v>
      </c>
      <c r="C13" s="1660" t="s">
        <v>2677</v>
      </c>
      <c r="D13" s="1661" t="s">
        <v>3</v>
      </c>
      <c r="E13" s="1634">
        <f t="shared" si="0"/>
        <v>1.9</v>
      </c>
      <c r="F13" s="1634">
        <f t="shared" si="2"/>
        <v>5.7744444444444447</v>
      </c>
      <c r="G13" s="1660"/>
      <c r="H13" s="1636" t="str">
        <f>IF(D13="operation",VLOOKUP(G13,'Generic Divertor Port Tasks'!C$4:D$223,2,FALSE),"N/A")</f>
        <v>N/A</v>
      </c>
      <c r="I13" s="1660"/>
      <c r="J13" s="1662"/>
      <c r="K13" s="1662"/>
      <c r="L13" s="1635" t="str">
        <f>IFERROR(INDEX('Lower Cask Movement &amp; Logistics'!$I$13:$O$19,MATCH($J13,'Lower Cask Movement &amp; Logistics'!$H$13:$H$19,0),MATCH($K13,'Lower Cask Movement &amp; Logistics'!$H$13:$H$19,0)),"N/A")</f>
        <v>N/A</v>
      </c>
      <c r="M13" s="1635" t="str">
        <f>IFERROR(VLOOKUP($I13,'Lower Cask Movement &amp; Logistics'!$H$4:$I$9,2,FALSE),"N/A")</f>
        <v>N/A</v>
      </c>
      <c r="N13" s="1636" t="str">
        <f t="shared" si="1"/>
        <v>N/A</v>
      </c>
      <c r="O13" s="1663" t="s">
        <v>1541</v>
      </c>
      <c r="P13" s="1636">
        <f>IF($D13="Logistics",VLOOKUP($O13,'Lower Cask Movement &amp; Logistics'!$C$4:$D$54,2,FALSE),"N/A")</f>
        <v>1.9</v>
      </c>
      <c r="Q13" s="1663" t="s">
        <v>1542</v>
      </c>
      <c r="R13" s="1636">
        <f>IFERROR(VLOOKUP($Q13,'Lower Cask Dependencies'!$C$5:$F$277,4,FALSE),"N/A")</f>
        <v>3.8744444444444452</v>
      </c>
      <c r="S13" s="1636">
        <f t="shared" si="3"/>
        <v>-1.1662962962962973</v>
      </c>
    </row>
    <row r="14" spans="2:19" ht="15" customHeight="1" x14ac:dyDescent="0.35">
      <c r="B14" s="3784"/>
      <c r="C14" s="1590" t="s">
        <v>1543</v>
      </c>
      <c r="D14" s="1591" t="s">
        <v>3</v>
      </c>
      <c r="E14" s="1592">
        <f t="shared" si="0"/>
        <v>0.38</v>
      </c>
      <c r="F14" s="1592">
        <f t="shared" ref="F14:F30" si="4">IF(S14&lt;0,E14+F13+(-S14),E14+F13)</f>
        <v>6.1544444444444446</v>
      </c>
      <c r="G14" s="1593"/>
      <c r="H14" s="1594" t="str">
        <f>IF(D14="operation",VLOOKUP(G14,'Generic Divertor Port Tasks'!C$4:D$223,2,FALSE),"N/A")</f>
        <v>N/A</v>
      </c>
      <c r="I14" s="1593"/>
      <c r="J14" s="1590"/>
      <c r="K14" s="1590"/>
      <c r="L14" s="1595" t="str">
        <f>IFERROR(INDEX('Lower Cask Movement &amp; Logistics'!$I$13:$O$19,MATCH($J14,'Lower Cask Movement &amp; Logistics'!$H$13:$H$19,0),MATCH($K14,'Lower Cask Movement &amp; Logistics'!$H$13:$H$19,0)),"N/A")</f>
        <v>N/A</v>
      </c>
      <c r="M14" s="1595" t="str">
        <f>IFERROR(VLOOKUP($I14,'Lower Cask Movement &amp; Logistics'!$H$4:$I$9,2,FALSE),"N/A")</f>
        <v>N/A</v>
      </c>
      <c r="N14" s="1594" t="str">
        <f t="shared" si="1"/>
        <v>N/A</v>
      </c>
      <c r="O14" s="1596" t="s">
        <v>1544</v>
      </c>
      <c r="P14" s="1594">
        <f>IF($D14="Logistics",VLOOKUP($O14,'Lower Cask Movement &amp; Logistics'!$C$4:$D$54,2,FALSE),"N/A")</f>
        <v>0.38</v>
      </c>
      <c r="Q14" s="1596"/>
      <c r="R14" s="1594" t="str">
        <f>IFERROR(VLOOKUP($Q14,'Lower Cask Dependencies'!$C$5:$F$277,4,FALSE),"N/A")</f>
        <v>N/A</v>
      </c>
      <c r="S14" s="1594" t="str">
        <f t="shared" si="3"/>
        <v>N/A</v>
      </c>
    </row>
    <row r="15" spans="2:19" x14ac:dyDescent="0.35">
      <c r="B15" s="3784"/>
      <c r="C15" s="1597" t="s">
        <v>2412</v>
      </c>
      <c r="D15" s="1598" t="s">
        <v>251</v>
      </c>
      <c r="E15" s="1599">
        <f t="shared" si="0"/>
        <v>6.7722222222222221</v>
      </c>
      <c r="F15" s="1592">
        <f t="shared" si="2"/>
        <v>12.926666666666666</v>
      </c>
      <c r="G15" s="1597" t="s">
        <v>596</v>
      </c>
      <c r="H15" s="1600">
        <f>IF(D15="operation",VLOOKUP(G15,'Generic Divertor Port Tasks'!C$4:D$223,2,FALSE),"N/A")</f>
        <v>6.7722222222222221</v>
      </c>
      <c r="I15" s="1597"/>
      <c r="J15" s="1601"/>
      <c r="K15" s="1601"/>
      <c r="L15" s="1602" t="str">
        <f>IFERROR(INDEX('Lower Cask Movement &amp; Logistics'!$I$13:$O$19,MATCH($J15,'Lower Cask Movement &amp; Logistics'!$H$13:$H$19,0),MATCH($K15,'Lower Cask Movement &amp; Logistics'!$H$13:$H$19,0)),"N/A")</f>
        <v>N/A</v>
      </c>
      <c r="M15" s="1602" t="str">
        <f>IFERROR(VLOOKUP($I15,'Lower Cask Movement &amp; Logistics'!$H$4:$I$9,2,FALSE),"N/A")</f>
        <v>N/A</v>
      </c>
      <c r="N15" s="1600" t="str">
        <f t="shared" si="1"/>
        <v>N/A</v>
      </c>
      <c r="O15" s="1603"/>
      <c r="P15" s="1600" t="str">
        <f>IF($D15="Logistics",VLOOKUP($O15,'Lower Cask Movement &amp; Logistics'!$C$4:$D$54,2,FALSE),"N/A")</f>
        <v>N/A</v>
      </c>
      <c r="Q15" s="1603"/>
      <c r="R15" s="1600" t="str">
        <f>IFERROR(VLOOKUP($Q15,'Lower Cask Dependencies'!$C$5:$F$277,4,FALSE),"N/A")</f>
        <v>N/A</v>
      </c>
      <c r="S15" s="1600" t="str">
        <f t="shared" si="3"/>
        <v>N/A</v>
      </c>
    </row>
    <row r="16" spans="2:19" x14ac:dyDescent="0.35">
      <c r="B16" s="3784"/>
      <c r="C16" s="1597" t="s">
        <v>804</v>
      </c>
      <c r="D16" s="1598" t="s">
        <v>3</v>
      </c>
      <c r="E16" s="1599">
        <f>MAX($P16,$N16,$H16)</f>
        <v>0.38</v>
      </c>
      <c r="F16" s="1599">
        <f t="shared" si="2"/>
        <v>13.306666666666667</v>
      </c>
      <c r="G16" s="1597"/>
      <c r="H16" s="1600" t="str">
        <f>IF(D16="operation",VLOOKUP(G16,'Generic Divertor Port Tasks'!C$4:D$223,2,FALSE),"N/A")</f>
        <v>N/A</v>
      </c>
      <c r="I16" s="1597"/>
      <c r="J16" s="1601"/>
      <c r="K16" s="1601"/>
      <c r="L16" s="1602" t="str">
        <f>IFERROR(INDEX('Lower Cask Movement &amp; Logistics'!$I$13:$O$19,MATCH($J16,'Lower Cask Movement &amp; Logistics'!$H$13:$H$19,0),MATCH($K16,'Lower Cask Movement &amp; Logistics'!$H$13:$H$19,0)),"N/A")</f>
        <v>N/A</v>
      </c>
      <c r="M16" s="1602" t="str">
        <f>IFERROR(VLOOKUP($I16,'Lower Cask Movement &amp; Logistics'!$H$4:$I$9,2,FALSE),"N/A")</f>
        <v>N/A</v>
      </c>
      <c r="N16" s="1600" t="str">
        <f>IF(D16="Movement",IFERROR((L16/M16)/(60*60),"Error"),"N/A")</f>
        <v>N/A</v>
      </c>
      <c r="O16" s="1603" t="s">
        <v>1546</v>
      </c>
      <c r="P16" s="1600">
        <f>IF($D16="Logistics",VLOOKUP($O16,'Lower Cask Movement &amp; Logistics'!$C$4:$D$54,2,FALSE),"N/A")</f>
        <v>0.38</v>
      </c>
      <c r="Q16" s="1603"/>
      <c r="R16" s="1600" t="str">
        <f>IFERROR(VLOOKUP($Q16,'Lower Cask Dependencies'!$C$5:$F$277,4,FALSE),"N/A")</f>
        <v>N/A</v>
      </c>
      <c r="S16" s="1600" t="str">
        <f t="shared" si="3"/>
        <v>N/A</v>
      </c>
    </row>
    <row r="17" spans="2:19" x14ac:dyDescent="0.35">
      <c r="B17" s="3784"/>
      <c r="C17" s="1597" t="s">
        <v>2384</v>
      </c>
      <c r="D17" s="1598" t="s">
        <v>3</v>
      </c>
      <c r="E17" s="1599">
        <f t="shared" si="0"/>
        <v>0.38</v>
      </c>
      <c r="F17" s="1599">
        <f t="shared" si="2"/>
        <v>13.686666666666667</v>
      </c>
      <c r="G17" s="1597"/>
      <c r="H17" s="1600" t="str">
        <f>IF(D17="operation",VLOOKUP(G17,'Generic Divertor Port Tasks'!C$4:D$223,2,FALSE),"N/A")</f>
        <v>N/A</v>
      </c>
      <c r="I17" s="1597"/>
      <c r="J17" s="1601"/>
      <c r="K17" s="1601"/>
      <c r="L17" s="1602" t="str">
        <f>IFERROR(INDEX('Lower Cask Movement &amp; Logistics'!$I$13:$O$19,MATCH($J17,'Lower Cask Movement &amp; Logistics'!$H$13:$H$19,0),MATCH($K17,'Lower Cask Movement &amp; Logistics'!$H$13:$H$19,0)),"N/A")</f>
        <v>N/A</v>
      </c>
      <c r="M17" s="1602" t="str">
        <f>IFERROR(VLOOKUP($I17,'Lower Cask Movement &amp; Logistics'!$H$4:$I$9,2,FALSE),"N/A")</f>
        <v>N/A</v>
      </c>
      <c r="N17" s="1600" t="str">
        <f>IF(D17="Movement",IFERROR((L17/M17)/(60*60),"Error"),"N/A")</f>
        <v>N/A</v>
      </c>
      <c r="O17" s="2404" t="s">
        <v>1544</v>
      </c>
      <c r="P17" s="1600">
        <f>IF($D17="Logistics",VLOOKUP($O17,'Lower Cask Movement &amp; Logistics'!$C$4:$D$54,2,FALSE),"N/A")</f>
        <v>0.38</v>
      </c>
      <c r="Q17" s="1603"/>
      <c r="R17" s="1600" t="str">
        <f>IFERROR(VLOOKUP($Q17,'Lower Cask Dependencies'!$C$5:$F$277,4,FALSE),"N/A")</f>
        <v>N/A</v>
      </c>
      <c r="S17" s="1600" t="str">
        <f t="shared" si="3"/>
        <v>N/A</v>
      </c>
    </row>
    <row r="18" spans="2:19" x14ac:dyDescent="0.35">
      <c r="B18" s="3784"/>
      <c r="C18" s="1597" t="s">
        <v>2385</v>
      </c>
      <c r="D18" s="1598" t="s">
        <v>251</v>
      </c>
      <c r="E18" s="1599">
        <f t="shared" si="0"/>
        <v>5.7722222222222221</v>
      </c>
      <c r="F18" s="1599">
        <f t="shared" si="2"/>
        <v>19.45888888888889</v>
      </c>
      <c r="G18" s="1597" t="s">
        <v>2385</v>
      </c>
      <c r="H18" s="1600">
        <f>IF(D18="operation",VLOOKUP(G18,'Generic Divertor Port Tasks'!C$4:D$223,2,FALSE),"N/A")</f>
        <v>5.7722222222222221</v>
      </c>
      <c r="I18" s="1597"/>
      <c r="J18" s="1601"/>
      <c r="K18" s="1601"/>
      <c r="L18" s="1602" t="str">
        <f>IFERROR(INDEX('Lower Cask Movement &amp; Logistics'!$I$13:$O$19,MATCH($J18,'Lower Cask Movement &amp; Logistics'!$H$13:$H$19,0),MATCH($K18,'Lower Cask Movement &amp; Logistics'!$H$13:$H$19,0)),"N/A")</f>
        <v>N/A</v>
      </c>
      <c r="M18" s="1602" t="str">
        <f>IFERROR(VLOOKUP($I18,'Lower Cask Movement &amp; Logistics'!$H$4:$I$9,2,FALSE),"N/A")</f>
        <v>N/A</v>
      </c>
      <c r="N18" s="1600" t="str">
        <f>IF(D18="Movement",IFERROR((L18/M18)/(60*60),"Error"),"N/A")</f>
        <v>N/A</v>
      </c>
      <c r="O18" s="1603"/>
      <c r="P18" s="1600" t="str">
        <f>IF($D18="Logistics",VLOOKUP($O18,'Lower Cask Movement &amp; Logistics'!$C$4:$D$54,2,FALSE),"N/A")</f>
        <v>N/A</v>
      </c>
      <c r="Q18" s="1603"/>
      <c r="R18" s="1600" t="str">
        <f>IFERROR(VLOOKUP($Q18,'Lower Cask Dependencies'!$C$5:$F$277,4,FALSE),"N/A")</f>
        <v>N/A</v>
      </c>
      <c r="S18" s="1600" t="str">
        <f t="shared" si="3"/>
        <v>N/A</v>
      </c>
    </row>
    <row r="19" spans="2:19" ht="13.3" thickBot="1" x14ac:dyDescent="0.4">
      <c r="B19" s="3785"/>
      <c r="C19" s="1604" t="s">
        <v>1545</v>
      </c>
      <c r="D19" s="1605" t="s">
        <v>3</v>
      </c>
      <c r="E19" s="1606">
        <f t="shared" si="0"/>
        <v>0.38</v>
      </c>
      <c r="F19" s="1606">
        <f t="shared" si="2"/>
        <v>19.838888888888889</v>
      </c>
      <c r="G19" s="1604"/>
      <c r="H19" s="1607" t="str">
        <f>IF(D19="operation",VLOOKUP(G19,'Generic Divertor Port Tasks'!C$4:D$223,2,FALSE),"N/A")</f>
        <v>N/A</v>
      </c>
      <c r="I19" s="1604"/>
      <c r="J19" s="1608"/>
      <c r="K19" s="1608"/>
      <c r="L19" s="1609" t="str">
        <f>IFERROR(INDEX('Lower Cask Movement &amp; Logistics'!$I$13:$O$19,MATCH($J19,'Lower Cask Movement &amp; Logistics'!$H$13:$H$19,0),MATCH($K19,'Lower Cask Movement &amp; Logistics'!$H$13:$H$19,0)),"N/A")</f>
        <v>N/A</v>
      </c>
      <c r="M19" s="1609" t="str">
        <f>IFERROR(VLOOKUP($I19,'Lower Cask Movement &amp; Logistics'!$H$4:$I$9,2,FALSE),"N/A")</f>
        <v>N/A</v>
      </c>
      <c r="N19" s="1607" t="str">
        <f t="shared" si="1"/>
        <v>N/A</v>
      </c>
      <c r="O19" s="1610" t="s">
        <v>1546</v>
      </c>
      <c r="P19" s="1607">
        <f>IF($D19="Logistics",VLOOKUP($O19,'Lower Cask Movement &amp; Logistics'!$C$4:$D$54,2,FALSE),"N/A")</f>
        <v>0.38</v>
      </c>
      <c r="Q19" s="1610"/>
      <c r="R19" s="1607" t="str">
        <f>IFERROR(VLOOKUP($Q19,'Lower Cask Dependencies'!$C$5:$F$277,4,FALSE),"N/A")</f>
        <v>N/A</v>
      </c>
      <c r="S19" s="1607" t="str">
        <f t="shared" si="3"/>
        <v>N/A</v>
      </c>
    </row>
    <row r="20" spans="2:19" x14ac:dyDescent="0.35">
      <c r="B20" s="3786" t="s">
        <v>700</v>
      </c>
      <c r="C20" s="1638" t="s">
        <v>1547</v>
      </c>
      <c r="D20" s="1639" t="s">
        <v>3</v>
      </c>
      <c r="E20" s="1640">
        <f t="shared" si="0"/>
        <v>0.38</v>
      </c>
      <c r="F20" s="1276">
        <f t="shared" si="2"/>
        <v>20.218888888888888</v>
      </c>
      <c r="G20" s="1638"/>
      <c r="H20" s="1641" t="str">
        <f>IF(D20="operation",VLOOKUP(G20,'Generic Divertor Port Tasks'!C$4:D$223,2,FALSE),"N/A")</f>
        <v>N/A</v>
      </c>
      <c r="I20" s="1638"/>
      <c r="J20" s="1642"/>
      <c r="K20" s="1642"/>
      <c r="L20" s="1643" t="str">
        <f>IFERROR(INDEX('Lower Cask Movement &amp; Logistics'!$I$13:$O$19,MATCH($J20,'Lower Cask Movement &amp; Logistics'!$H$13:$H$19,0),MATCH($K20,'Lower Cask Movement &amp; Logistics'!$H$13:$H$19,0)),"N/A")</f>
        <v>N/A</v>
      </c>
      <c r="M20" s="1643" t="str">
        <f>IFERROR(VLOOKUP($I20,'Lower Cask Movement &amp; Logistics'!$H$4:$I$9,2,FALSE),"N/A")</f>
        <v>N/A</v>
      </c>
      <c r="N20" s="1641" t="str">
        <f t="shared" si="1"/>
        <v>N/A</v>
      </c>
      <c r="O20" s="1644" t="s">
        <v>1544</v>
      </c>
      <c r="P20" s="1641">
        <f>IF($D20="Logistics",VLOOKUP($O20,'Lower Cask Movement &amp; Logistics'!$C$4:$D$54,2,FALSE),"N/A")</f>
        <v>0.38</v>
      </c>
      <c r="Q20" s="1644"/>
      <c r="R20" s="1641" t="str">
        <f>IFERROR(VLOOKUP($Q20,'Lower Cask Dependencies'!$C$5:$F$277,4,FALSE),"N/A")</f>
        <v>N/A</v>
      </c>
      <c r="S20" s="1641" t="str">
        <f t="shared" si="3"/>
        <v>N/A</v>
      </c>
    </row>
    <row r="21" spans="2:19" x14ac:dyDescent="0.35">
      <c r="B21" s="3786"/>
      <c r="C21" s="1579" t="s">
        <v>1548</v>
      </c>
      <c r="D21" s="1611" t="s">
        <v>251</v>
      </c>
      <c r="E21" s="626">
        <f t="shared" si="0"/>
        <v>21.5</v>
      </c>
      <c r="F21" s="574">
        <f t="shared" si="2"/>
        <v>41.718888888888884</v>
      </c>
      <c r="G21" s="1579" t="s">
        <v>700</v>
      </c>
      <c r="H21" s="1183">
        <f>IF(D21="operation",VLOOKUP(G21,'Generic Divertor Port Tasks'!C$4:D$223,2,FALSE),"N/A")</f>
        <v>21.5</v>
      </c>
      <c r="I21" s="1579"/>
      <c r="J21" s="582"/>
      <c r="K21" s="582"/>
      <c r="L21" s="1478" t="str">
        <f>IFERROR(INDEX('Lower Cask Movement &amp; Logistics'!$I$13:$O$19,MATCH($J21,'Lower Cask Movement &amp; Logistics'!$H$13:$H$19,0),MATCH($K21,'Lower Cask Movement &amp; Logistics'!$H$13:$H$19,0)),"N/A")</f>
        <v>N/A</v>
      </c>
      <c r="M21" s="1478" t="str">
        <f>IFERROR(VLOOKUP($I21,'Lower Cask Movement &amp; Logistics'!$H$4:$I$9,2,FALSE),"N/A")</f>
        <v>N/A</v>
      </c>
      <c r="N21" s="1183" t="str">
        <f t="shared" si="1"/>
        <v>N/A</v>
      </c>
      <c r="O21" s="1578"/>
      <c r="P21" s="1183" t="str">
        <f>IF($D21="Logistics",VLOOKUP($O21,'Lower Cask Movement &amp; Logistics'!$C$4:$D$54,2,FALSE),"N/A")</f>
        <v>N/A</v>
      </c>
      <c r="Q21" s="1578"/>
      <c r="R21" s="1183" t="str">
        <f>IFERROR(VLOOKUP($Q21,'Lower Cask Dependencies'!$C$5:$F$277,4,FALSE),"N/A")</f>
        <v>N/A</v>
      </c>
      <c r="S21" s="1183" t="str">
        <f t="shared" si="3"/>
        <v>N/A</v>
      </c>
    </row>
    <row r="22" spans="2:19" ht="13.3" thickBot="1" x14ac:dyDescent="0.4">
      <c r="B22" s="3786"/>
      <c r="C22" s="1579" t="s">
        <v>1549</v>
      </c>
      <c r="D22" s="1611" t="s">
        <v>3</v>
      </c>
      <c r="E22" s="626">
        <f t="shared" si="0"/>
        <v>0.38</v>
      </c>
      <c r="F22" s="626">
        <f t="shared" si="4"/>
        <v>42.098888888888887</v>
      </c>
      <c r="G22" s="1579"/>
      <c r="H22" s="1183" t="str">
        <f>IF(D22="operation",VLOOKUP(G22,'Generic Divertor Port Tasks'!C$4:D$223,2,FALSE),"N/A")</f>
        <v>N/A</v>
      </c>
      <c r="I22" s="1579"/>
      <c r="J22" s="582"/>
      <c r="K22" s="582"/>
      <c r="L22" s="1478" t="str">
        <f>IFERROR(INDEX('Lower Cask Movement &amp; Logistics'!$I$13:$O$19,MATCH($J22,'Lower Cask Movement &amp; Logistics'!$H$13:$H$19,0),MATCH($K22,'Lower Cask Movement &amp; Logistics'!$H$13:$H$19,0)),"N/A")</f>
        <v>N/A</v>
      </c>
      <c r="M22" s="1478" t="str">
        <f>IFERROR(VLOOKUP($I22,'Lower Cask Movement &amp; Logistics'!$H$4:$I$9,2,FALSE),"N/A")</f>
        <v>N/A</v>
      </c>
      <c r="N22" s="1183" t="str">
        <f t="shared" si="1"/>
        <v>N/A</v>
      </c>
      <c r="O22" s="1578" t="s">
        <v>1546</v>
      </c>
      <c r="P22" s="1183">
        <f>IF($D22="Logistics",VLOOKUP($O22,'Lower Cask Movement &amp; Logistics'!$C$4:$D$54,2,FALSE),"N/A")</f>
        <v>0.38</v>
      </c>
      <c r="Q22" s="1578"/>
      <c r="R22" s="1183" t="str">
        <f>IFERROR(VLOOKUP($Q22,'Lower Cask Dependencies'!$C$5:$F$277,4,FALSE),"N/A")</f>
        <v>N/A</v>
      </c>
      <c r="S22" s="1183" t="str">
        <f t="shared" si="3"/>
        <v>N/A</v>
      </c>
    </row>
    <row r="23" spans="2:19" ht="15" customHeight="1" x14ac:dyDescent="0.35">
      <c r="B23" s="3783" t="s">
        <v>2398</v>
      </c>
      <c r="C23" s="1612" t="s">
        <v>1543</v>
      </c>
      <c r="D23" s="1613" t="s">
        <v>3</v>
      </c>
      <c r="E23" s="1614">
        <f t="shared" si="0"/>
        <v>0.38</v>
      </c>
      <c r="F23" s="1614">
        <f t="shared" si="4"/>
        <v>42.478888888888889</v>
      </c>
      <c r="G23" s="1615"/>
      <c r="H23" s="1616" t="str">
        <f>IF(D23="operation",VLOOKUP(G23,'Generic Divertor Port Tasks'!C$4:D$223,2,FALSE),"N/A")</f>
        <v>N/A</v>
      </c>
      <c r="I23" s="1615"/>
      <c r="J23" s="1612"/>
      <c r="K23" s="1612"/>
      <c r="L23" s="1617" t="str">
        <f>IFERROR(INDEX('Lower Cask Movement &amp; Logistics'!$I$13:$O$19,MATCH($J23,'Lower Cask Movement &amp; Logistics'!$H$13:$H$19,0),MATCH($K23,'Lower Cask Movement &amp; Logistics'!$H$13:$H$19,0)),"N/A")</f>
        <v>N/A</v>
      </c>
      <c r="M23" s="1617" t="str">
        <f>IFERROR(VLOOKUP($I23,'Lower Cask Movement &amp; Logistics'!$H$4:$I$9,2,FALSE),"N/A")</f>
        <v>N/A</v>
      </c>
      <c r="N23" s="1616" t="str">
        <f t="shared" si="1"/>
        <v>N/A</v>
      </c>
      <c r="O23" s="1618" t="s">
        <v>1544</v>
      </c>
      <c r="P23" s="1616">
        <f>IF($D23="Logistics",VLOOKUP($O23,'Lower Cask Movement &amp; Logistics'!$C$4:$D$54,2,FALSE),"N/A")</f>
        <v>0.38</v>
      </c>
      <c r="Q23" s="1618"/>
      <c r="R23" s="1616" t="str">
        <f>IFERROR(VLOOKUP($Q23,'Lower Cask Dependencies'!$C$5:$F$277,4,FALSE),"N/A")</f>
        <v>N/A</v>
      </c>
      <c r="S23" s="1616" t="str">
        <f t="shared" si="3"/>
        <v>N/A</v>
      </c>
    </row>
    <row r="24" spans="2:19" x14ac:dyDescent="0.35">
      <c r="B24" s="3784"/>
      <c r="C24" s="1597" t="s">
        <v>2412</v>
      </c>
      <c r="D24" s="1598" t="s">
        <v>251</v>
      </c>
      <c r="E24" s="1599">
        <f>MAX($P24,$N24,$H24)</f>
        <v>6.7722222222222221</v>
      </c>
      <c r="F24" s="1592">
        <f t="shared" si="4"/>
        <v>49.251111111111115</v>
      </c>
      <c r="G24" s="1597" t="s">
        <v>596</v>
      </c>
      <c r="H24" s="1600">
        <f>IF(D24="operation",VLOOKUP(G24,'Generic Divertor Port Tasks'!C$4:D$223,2,FALSE),"N/A")</f>
        <v>6.7722222222222221</v>
      </c>
      <c r="I24" s="1597"/>
      <c r="J24" s="1601"/>
      <c r="K24" s="1601"/>
      <c r="L24" s="1602" t="str">
        <f>IFERROR(INDEX('Lower Cask Movement &amp; Logistics'!$I$13:$O$19,MATCH($J24,'Lower Cask Movement &amp; Logistics'!$H$13:$H$19,0),MATCH($K24,'Lower Cask Movement &amp; Logistics'!$H$13:$H$19,0)),"N/A")</f>
        <v>N/A</v>
      </c>
      <c r="M24" s="1602" t="str">
        <f>IFERROR(VLOOKUP($I24,'Lower Cask Movement &amp; Logistics'!$H$4:$I$9,2,FALSE),"N/A")</f>
        <v>N/A</v>
      </c>
      <c r="N24" s="1600" t="str">
        <f t="shared" si="1"/>
        <v>N/A</v>
      </c>
      <c r="O24" s="1603"/>
      <c r="P24" s="1600" t="str">
        <f>IF($D24="Logistics",VLOOKUP($O24,'Lower Cask Movement &amp; Logistics'!$C$4:$D$54,2,FALSE),"N/A")</f>
        <v>N/A</v>
      </c>
      <c r="Q24" s="1603"/>
      <c r="R24" s="1600" t="str">
        <f>IFERROR(VLOOKUP($Q24,'Lower Cask Dependencies'!$C$5:$F$277,4,FALSE),"N/A")</f>
        <v>N/A</v>
      </c>
      <c r="S24" s="1600" t="str">
        <f t="shared" si="3"/>
        <v>N/A</v>
      </c>
    </row>
    <row r="25" spans="2:19" x14ac:dyDescent="0.35">
      <c r="B25" s="3784"/>
      <c r="C25" s="1597" t="s">
        <v>1550</v>
      </c>
      <c r="D25" s="1598" t="s">
        <v>3</v>
      </c>
      <c r="E25" s="1599">
        <f t="shared" si="0"/>
        <v>0.38</v>
      </c>
      <c r="F25" s="1599">
        <f t="shared" si="4"/>
        <v>49.631111111111117</v>
      </c>
      <c r="G25" s="1597"/>
      <c r="H25" s="1600" t="str">
        <f>IF(D25="operation",VLOOKUP(G25,'Generic Divertor Port Tasks'!C$4:D$223,2,FALSE),"N/A")</f>
        <v>N/A</v>
      </c>
      <c r="I25" s="1597"/>
      <c r="J25" s="1601"/>
      <c r="K25" s="1601"/>
      <c r="L25" s="1602" t="str">
        <f>IFERROR(INDEX('Lower Cask Movement &amp; Logistics'!$I$13:$O$19,MATCH($J25,'Lower Cask Movement &amp; Logistics'!$H$13:$H$19,0),MATCH($K25,'Lower Cask Movement &amp; Logistics'!$H$13:$H$19,0)),"N/A")</f>
        <v>N/A</v>
      </c>
      <c r="M25" s="1602" t="str">
        <f>IFERROR(VLOOKUP($I25,'Lower Cask Movement &amp; Logistics'!$H$4:$I$9,2,FALSE),"N/A")</f>
        <v>N/A</v>
      </c>
      <c r="N25" s="1600" t="str">
        <f>IF(D25="Movement",IFERROR((L25/M25)/(60*60),"Error"),"N/A")</f>
        <v>N/A</v>
      </c>
      <c r="O25" s="1603" t="s">
        <v>1546</v>
      </c>
      <c r="P25" s="1600">
        <f>IF($D25="Logistics",VLOOKUP($O25,'Lower Cask Movement &amp; Logistics'!$C$4:$D$54,2,FALSE),"N/A")</f>
        <v>0.38</v>
      </c>
      <c r="Q25" s="1603"/>
      <c r="R25" s="1600" t="str">
        <f>IFERROR(VLOOKUP($Q25,'Lower Cask Dependencies'!$C$5:$F$277,4,FALSE),"N/A")</f>
        <v>N/A</v>
      </c>
      <c r="S25" s="1600" t="str">
        <f t="shared" si="3"/>
        <v>N/A</v>
      </c>
    </row>
    <row r="26" spans="2:19" x14ac:dyDescent="0.35">
      <c r="B26" s="3784"/>
      <c r="C26" s="1597" t="s">
        <v>2384</v>
      </c>
      <c r="D26" s="1598" t="s">
        <v>3</v>
      </c>
      <c r="E26" s="1599">
        <f t="shared" si="0"/>
        <v>0.38</v>
      </c>
      <c r="F26" s="1599">
        <f t="shared" si="4"/>
        <v>50.01111111111112</v>
      </c>
      <c r="G26" s="1597"/>
      <c r="H26" s="1600" t="str">
        <f>IF(D26="operation",VLOOKUP(G26,'Generic Divertor Port Tasks'!C$4:D$223,2,FALSE),"N/A")</f>
        <v>N/A</v>
      </c>
      <c r="I26" s="1597"/>
      <c r="J26" s="1601"/>
      <c r="K26" s="1601"/>
      <c r="L26" s="1602" t="str">
        <f>IFERROR(INDEX('Lower Cask Movement &amp; Logistics'!$I$13:$O$19,MATCH($J26,'Lower Cask Movement &amp; Logistics'!$H$13:$H$19,0),MATCH($K26,'Lower Cask Movement &amp; Logistics'!$H$13:$H$19,0)),"N/A")</f>
        <v>N/A</v>
      </c>
      <c r="M26" s="1602" t="str">
        <f>IFERROR(VLOOKUP($I26,'Lower Cask Movement &amp; Logistics'!$H$4:$I$9,2,FALSE),"N/A")</f>
        <v>N/A</v>
      </c>
      <c r="N26" s="1600" t="str">
        <f>IF(D26="Movement",IFERROR((L26/M26)/(60*60),"Error"),"N/A")</f>
        <v>N/A</v>
      </c>
      <c r="O26" s="2404" t="s">
        <v>1544</v>
      </c>
      <c r="P26" s="1600">
        <f>IF($D26="Logistics",VLOOKUP($O26,'Lower Cask Movement &amp; Logistics'!$C$4:$D$54,2,FALSE),"N/A")</f>
        <v>0.38</v>
      </c>
      <c r="Q26" s="1603"/>
      <c r="R26" s="1600" t="str">
        <f>IFERROR(VLOOKUP($Q26,'Lower Cask Dependencies'!$C$5:$F$277,4,FALSE),"N/A")</f>
        <v>N/A</v>
      </c>
      <c r="S26" s="1600" t="str">
        <f t="shared" si="3"/>
        <v>N/A</v>
      </c>
    </row>
    <row r="27" spans="2:19" x14ac:dyDescent="0.35">
      <c r="B27" s="3784"/>
      <c r="C27" s="1597" t="s">
        <v>2385</v>
      </c>
      <c r="D27" s="1598" t="s">
        <v>251</v>
      </c>
      <c r="E27" s="1599">
        <f t="shared" si="0"/>
        <v>5.7722222222222221</v>
      </c>
      <c r="F27" s="1599">
        <f t="shared" si="4"/>
        <v>55.783333333333346</v>
      </c>
      <c r="G27" s="1597" t="s">
        <v>2385</v>
      </c>
      <c r="H27" s="1600">
        <f>IF(D27="operation",VLOOKUP(G27,'Generic Divertor Port Tasks'!C$4:D$223,2,FALSE),"N/A")</f>
        <v>5.7722222222222221</v>
      </c>
      <c r="I27" s="1597"/>
      <c r="J27" s="1601"/>
      <c r="K27" s="1601"/>
      <c r="L27" s="1602" t="str">
        <f>IFERROR(INDEX('Lower Cask Movement &amp; Logistics'!$I$13:$O$19,MATCH($J27,'Lower Cask Movement &amp; Logistics'!$H$13:$H$19,0),MATCH($K27,'Lower Cask Movement &amp; Logistics'!$H$13:$H$19,0)),"N/A")</f>
        <v>N/A</v>
      </c>
      <c r="M27" s="1602" t="str">
        <f>IFERROR(VLOOKUP($I27,'Lower Cask Movement &amp; Logistics'!$H$4:$I$9,2,FALSE),"N/A")</f>
        <v>N/A</v>
      </c>
      <c r="N27" s="1600" t="str">
        <f>IF(D27="Movement",IFERROR((L27/M27)/(60*60),"Error"),"N/A")</f>
        <v>N/A</v>
      </c>
      <c r="O27" s="1603"/>
      <c r="P27" s="1600" t="str">
        <f>IF($D27="Logistics",VLOOKUP($O27,'Lower Cask Movement &amp; Logistics'!$C$4:$D$54,2,FALSE),"N/A")</f>
        <v>N/A</v>
      </c>
      <c r="Q27" s="1603"/>
      <c r="R27" s="1600" t="str">
        <f>IFERROR(VLOOKUP($Q27,'Lower Cask Dependencies'!$C$5:$F$277,4,FALSE),"N/A")</f>
        <v>N/A</v>
      </c>
      <c r="S27" s="1600" t="str">
        <f t="shared" si="3"/>
        <v>N/A</v>
      </c>
    </row>
    <row r="28" spans="2:19" x14ac:dyDescent="0.35">
      <c r="B28" s="3784"/>
      <c r="C28" s="1597" t="s">
        <v>804</v>
      </c>
      <c r="D28" s="1598" t="s">
        <v>3</v>
      </c>
      <c r="E28" s="1599">
        <f t="shared" si="0"/>
        <v>0.38</v>
      </c>
      <c r="F28" s="1599">
        <f t="shared" si="4"/>
        <v>56.163333333333348</v>
      </c>
      <c r="G28" s="1597"/>
      <c r="H28" s="1600" t="str">
        <f>IF(D28="operation",VLOOKUP(G28,'Generic Divertor Port Tasks'!C$4:D$223,2,FALSE),"N/A")</f>
        <v>N/A</v>
      </c>
      <c r="I28" s="1597"/>
      <c r="J28" s="1601"/>
      <c r="K28" s="1601"/>
      <c r="L28" s="1602" t="str">
        <f>IFERROR(INDEX('Lower Cask Movement &amp; Logistics'!$I$13:$O$19,MATCH($J28,'Lower Cask Movement &amp; Logistics'!$H$13:$H$19,0),MATCH($K28,'Lower Cask Movement &amp; Logistics'!$H$13:$H$19,0)),"N/A")</f>
        <v>N/A</v>
      </c>
      <c r="M28" s="1602" t="str">
        <f>IFERROR(VLOOKUP($I28,'Lower Cask Movement &amp; Logistics'!$H$4:$I$9,2,FALSE),"N/A")</f>
        <v>N/A</v>
      </c>
      <c r="N28" s="1600" t="str">
        <f>IF(D28="Movement",IFERROR((L28/M28)/(60*60),"Error"),"N/A")</f>
        <v>N/A</v>
      </c>
      <c r="O28" s="1603" t="s">
        <v>1546</v>
      </c>
      <c r="P28" s="1600">
        <f>IF($D28="Logistics",VLOOKUP($O28,'Lower Cask Movement &amp; Logistics'!$C$4:$D$54,2,FALSE),"N/A")</f>
        <v>0.38</v>
      </c>
      <c r="Q28" s="1603"/>
      <c r="R28" s="1600" t="str">
        <f>IFERROR(VLOOKUP($Q28,'Lower Cask Dependencies'!$C$5:$F$277,4,FALSE),"N/A")</f>
        <v>N/A</v>
      </c>
      <c r="S28" s="1600" t="str">
        <f t="shared" si="3"/>
        <v>N/A</v>
      </c>
    </row>
    <row r="29" spans="2:19" ht="13.3" thickBot="1" x14ac:dyDescent="0.4">
      <c r="B29" s="3785"/>
      <c r="C29" s="1608" t="s">
        <v>1551</v>
      </c>
      <c r="D29" s="1605" t="s">
        <v>3</v>
      </c>
      <c r="E29" s="1606">
        <f t="shared" si="0"/>
        <v>2.3000000000000003</v>
      </c>
      <c r="F29" s="1606">
        <f t="shared" si="4"/>
        <v>58.463333333333345</v>
      </c>
      <c r="G29" s="1604"/>
      <c r="H29" s="1607" t="str">
        <f>IF(D29="operation",VLOOKUP(G29,'Generic Divertor Port Tasks'!C$4:D$223,2,FALSE),"N/A")</f>
        <v>N/A</v>
      </c>
      <c r="I29" s="1604"/>
      <c r="J29" s="1608"/>
      <c r="K29" s="1608"/>
      <c r="L29" s="1609" t="str">
        <f>IFERROR(INDEX('Lower Cask Movement &amp; Logistics'!$I$13:$O$19,MATCH($J29,'Lower Cask Movement &amp; Logistics'!$H$13:$H$19,0),MATCH($K29,'Lower Cask Movement &amp; Logistics'!$H$13:$H$19,0)),"N/A")</f>
        <v>N/A</v>
      </c>
      <c r="M29" s="1609" t="str">
        <f>IFERROR(VLOOKUP($I29,'Lower Cask Movement &amp; Logistics'!$H$4:$I$9,2,FALSE),"N/A")</f>
        <v>N/A</v>
      </c>
      <c r="N29" s="1607" t="str">
        <f>IF(D29="Movement",IFERROR((L29/M29)/(60*60),"Error"),"N/A")</f>
        <v>N/A</v>
      </c>
      <c r="O29" s="2405" t="s">
        <v>1552</v>
      </c>
      <c r="P29" s="1607">
        <f>IF($D29="Logistics",VLOOKUP($O29,'Lower Cask Movement &amp; Logistics'!$C$4:$D$54,2,FALSE),"N/A")</f>
        <v>2.3000000000000003</v>
      </c>
      <c r="Q29" s="1610"/>
      <c r="R29" s="1607" t="str">
        <f>IFERROR(VLOOKUP($Q29,'Lower Cask Dependencies'!$C$5:$F$277,4,FALSE),"N/A")</f>
        <v>N/A</v>
      </c>
      <c r="S29" s="1607" t="str">
        <f t="shared" si="3"/>
        <v>N/A</v>
      </c>
    </row>
    <row r="30" spans="2:19" x14ac:dyDescent="0.35">
      <c r="B30" s="3787" t="s">
        <v>1553</v>
      </c>
      <c r="C30" s="1619" t="s">
        <v>1554</v>
      </c>
      <c r="D30" s="1620" t="s">
        <v>3</v>
      </c>
      <c r="E30" s="1621">
        <f t="shared" si="0"/>
        <v>1.9</v>
      </c>
      <c r="F30" s="1621">
        <f t="shared" si="4"/>
        <v>60.363333333333344</v>
      </c>
      <c r="G30" s="1129"/>
      <c r="H30" s="1575" t="str">
        <f>IF(D30="operation",VLOOKUP(G30,'Generic Divertor Port Tasks'!C$4:D$223,2,FALSE),"N/A")</f>
        <v>N/A</v>
      </c>
      <c r="I30" s="1129"/>
      <c r="J30" s="1619"/>
      <c r="K30" s="1620"/>
      <c r="L30" s="1622" t="str">
        <f>IFERROR(INDEX('Lower Cask Movement &amp; Logistics'!$I$13:$O$19,MATCH($J30,'Lower Cask Movement &amp; Logistics'!$H$13:$H$19,0),MATCH($K30,'Lower Cask Movement &amp; Logistics'!$H$13:$H$19,0)),"N/A")</f>
        <v>N/A</v>
      </c>
      <c r="M30" s="1623" t="str">
        <f>IFERROR(VLOOKUP($I30,'Lower Cask Movement &amp; Logistics'!$H$4:$I$9,2,FALSE),"N/A")</f>
        <v>N/A</v>
      </c>
      <c r="N30" s="1575" t="str">
        <f t="shared" si="1"/>
        <v>N/A</v>
      </c>
      <c r="O30" s="1576" t="s">
        <v>1541</v>
      </c>
      <c r="P30" s="1575">
        <f>IF($D30="Logistics",VLOOKUP($O30,'Lower Cask Movement &amp; Logistics'!$C$4:$D$54,2,FALSE),"N/A")</f>
        <v>1.9</v>
      </c>
      <c r="Q30" s="1576" t="s">
        <v>1555</v>
      </c>
      <c r="R30" s="1575">
        <f>IFERROR(VLOOKUP($Q30,'Lower Cask Dependencies'!$C$5:$F$277,4,FALSE),"N/A")</f>
        <v>13.721851851851852</v>
      </c>
      <c r="S30" s="1575">
        <f t="shared" si="3"/>
        <v>44.741481481481493</v>
      </c>
    </row>
    <row r="31" spans="2:19" x14ac:dyDescent="0.35">
      <c r="B31" s="3786"/>
      <c r="C31" s="582" t="s">
        <v>1556</v>
      </c>
      <c r="D31" s="1611" t="s">
        <v>3</v>
      </c>
      <c r="E31" s="626">
        <f t="shared" si="0"/>
        <v>0.38</v>
      </c>
      <c r="F31" s="626">
        <f t="shared" ref="F31:F80" si="5">IF(S31&lt;0,E31+F30+(-S31),E31+F30)</f>
        <v>60.743333333333347</v>
      </c>
      <c r="G31" s="1579"/>
      <c r="H31" s="1183" t="str">
        <f>IF(D31="operation",VLOOKUP(G31,'Generic Divertor Port Tasks'!C$4:D$223,2,FALSE),"N/A")</f>
        <v>N/A</v>
      </c>
      <c r="I31" s="1579"/>
      <c r="J31" s="582"/>
      <c r="K31" s="1611"/>
      <c r="L31" s="1479" t="str">
        <f>IFERROR(INDEX('Lower Cask Movement &amp; Logistics'!$I$13:$O$19,MATCH($J31,'Lower Cask Movement &amp; Logistics'!$H$13:$H$19,0),MATCH($K31,'Lower Cask Movement &amp; Logistics'!$H$13:$H$19,0)),"N/A")</f>
        <v>N/A</v>
      </c>
      <c r="M31" s="1478" t="str">
        <f>IFERROR(VLOOKUP($I31,'Lower Cask Movement &amp; Logistics'!$H$4:$I$9,2,FALSE),"N/A")</f>
        <v>N/A</v>
      </c>
      <c r="N31" s="1183" t="str">
        <f t="shared" si="1"/>
        <v>N/A</v>
      </c>
      <c r="O31" s="1578" t="s">
        <v>1544</v>
      </c>
      <c r="P31" s="1183">
        <f>IF($D31="Logistics",VLOOKUP($O31,'Lower Cask Movement &amp; Logistics'!$C$4:$D$54,2,FALSE),"N/A")</f>
        <v>0.38</v>
      </c>
      <c r="Q31" s="1578"/>
      <c r="R31" s="1183" t="str">
        <f>IFERROR(VLOOKUP($Q31,'Lower Cask Dependencies'!$C$5:$F$277,4,FALSE),"N/A")</f>
        <v>N/A</v>
      </c>
      <c r="S31" s="1183" t="str">
        <f t="shared" si="3"/>
        <v>N/A</v>
      </c>
    </row>
    <row r="32" spans="2:19" x14ac:dyDescent="0.35">
      <c r="B32" s="3786"/>
      <c r="C32" s="582" t="s">
        <v>2678</v>
      </c>
      <c r="D32" s="1611" t="s">
        <v>3</v>
      </c>
      <c r="E32" s="626">
        <f t="shared" si="0"/>
        <v>0.53</v>
      </c>
      <c r="F32" s="626">
        <f t="shared" si="5"/>
        <v>61.273333333333348</v>
      </c>
      <c r="G32" s="1579"/>
      <c r="H32" s="1183" t="str">
        <f>IF(D32="operation",VLOOKUP(G32,'Generic Divertor Port Tasks'!C$4:D$223,2,FALSE),"N/A")</f>
        <v>N/A</v>
      </c>
      <c r="I32" s="1579"/>
      <c r="J32" s="582"/>
      <c r="K32" s="1611"/>
      <c r="L32" s="1479" t="str">
        <f>IFERROR(INDEX('Lower Cask Movement &amp; Logistics'!$I$13:$O$19,MATCH($J32,'Lower Cask Movement &amp; Logistics'!$H$13:$H$19,0),MATCH($K32,'Lower Cask Movement &amp; Logistics'!$H$13:$H$19,0)),"N/A")</f>
        <v>N/A</v>
      </c>
      <c r="M32" s="1478" t="str">
        <f>IFERROR(VLOOKUP($I32,'Lower Cask Movement &amp; Logistics'!$H$4:$I$9,2,FALSE),"N/A")</f>
        <v>N/A</v>
      </c>
      <c r="N32" s="1183" t="str">
        <f t="shared" si="1"/>
        <v>N/A</v>
      </c>
      <c r="O32" s="1578" t="s">
        <v>1558</v>
      </c>
      <c r="P32" s="1183">
        <f>IF($D32="Logistics",VLOOKUP($O32,'Lower Cask Movement &amp; Logistics'!$C$4:$D$54,2,FALSE),"N/A")</f>
        <v>0.53</v>
      </c>
      <c r="Q32" s="1578"/>
      <c r="R32" s="1183" t="str">
        <f>IFERROR(VLOOKUP($Q32,'Lower Cask Dependencies'!$C$5:$F$277,4,FALSE),"N/A")</f>
        <v>N/A</v>
      </c>
      <c r="S32" s="1183" t="str">
        <f t="shared" si="3"/>
        <v>N/A</v>
      </c>
    </row>
    <row r="33" spans="2:19" x14ac:dyDescent="0.35">
      <c r="B33" s="3786"/>
      <c r="C33" s="582" t="s">
        <v>2525</v>
      </c>
      <c r="D33" s="1611" t="s">
        <v>3</v>
      </c>
      <c r="E33" s="626">
        <f t="shared" si="0"/>
        <v>0.38</v>
      </c>
      <c r="F33" s="626">
        <f t="shared" si="5"/>
        <v>61.65333333333335</v>
      </c>
      <c r="G33" s="1579"/>
      <c r="H33" s="1183" t="str">
        <f>IF(D33="operation",VLOOKUP(G33,'Generic Divertor Port Tasks'!C$4:D$223,2,FALSE),"N/A")</f>
        <v>N/A</v>
      </c>
      <c r="I33" s="1579"/>
      <c r="J33" s="582"/>
      <c r="K33" s="1611"/>
      <c r="L33" s="1479" t="str">
        <f>IFERROR(INDEX('Lower Cask Movement &amp; Logistics'!$I$13:$O$19,MATCH($J33,'Lower Cask Movement &amp; Logistics'!$H$13:$H$19,0),MATCH($K33,'Lower Cask Movement &amp; Logistics'!$H$13:$H$19,0)),"N/A")</f>
        <v>N/A</v>
      </c>
      <c r="M33" s="1478" t="str">
        <f>IFERROR(VLOOKUP($I33,'Lower Cask Movement &amp; Logistics'!$H$4:$I$9,2,FALSE),"N/A")</f>
        <v>N/A</v>
      </c>
      <c r="N33" s="1183" t="str">
        <f t="shared" si="1"/>
        <v>N/A</v>
      </c>
      <c r="O33" s="1578" t="s">
        <v>1544</v>
      </c>
      <c r="P33" s="1183">
        <f>IF($D33="Logistics",VLOOKUP($O33,'Lower Cask Movement &amp; Logistics'!$C$4:$D$54,2,FALSE),"N/A")</f>
        <v>0.38</v>
      </c>
      <c r="Q33" s="1578"/>
      <c r="R33" s="1183" t="str">
        <f>IFERROR(VLOOKUP($Q33,'Lower Cask Dependencies'!$C$5:$F$277,4,FALSE),"N/A")</f>
        <v>N/A</v>
      </c>
      <c r="S33" s="1183" t="str">
        <f t="shared" si="3"/>
        <v>N/A</v>
      </c>
    </row>
    <row r="34" spans="2:19" x14ac:dyDescent="0.35">
      <c r="B34" s="3786"/>
      <c r="C34" s="573" t="s">
        <v>1560</v>
      </c>
      <c r="D34" s="1577" t="s">
        <v>251</v>
      </c>
      <c r="E34" s="574">
        <f t="shared" si="0"/>
        <v>10.894444444444444</v>
      </c>
      <c r="F34" s="574">
        <f t="shared" si="5"/>
        <v>72.547777777777796</v>
      </c>
      <c r="G34" s="1131" t="s">
        <v>684</v>
      </c>
      <c r="H34" s="1176">
        <f>IF(D34="operation",VLOOKUP(G34,'Generic Divertor Port Tasks'!C$4:D$223,2,FALSE),"N/A")</f>
        <v>10.894444444444444</v>
      </c>
      <c r="I34" s="1131"/>
      <c r="J34" s="573"/>
      <c r="K34" s="1577"/>
      <c r="L34" s="852" t="str">
        <f>IFERROR(INDEX('Lower Cask Movement &amp; Logistics'!$I$13:$O$19,MATCH($J34,'Lower Cask Movement &amp; Logistics'!$H$13:$H$19,0),MATCH($K34,'Lower Cask Movement &amp; Logistics'!$H$13:$H$19,0)),"N/A")</f>
        <v>N/A</v>
      </c>
      <c r="M34" s="853" t="str">
        <f>IFERROR(VLOOKUP($I34,'Lower Cask Movement &amp; Logistics'!$H$4:$I$9,2,FALSE),"N/A")</f>
        <v>N/A</v>
      </c>
      <c r="N34" s="1176" t="str">
        <f t="shared" si="1"/>
        <v>N/A</v>
      </c>
      <c r="O34" s="1580"/>
      <c r="P34" s="1176" t="str">
        <f>IF($D34="Logistics",VLOOKUP($O34,'Lower Cask Movement &amp; Logistics'!$C$4:$D$54,2,FALSE),"N/A")</f>
        <v>N/A</v>
      </c>
      <c r="Q34" s="1580"/>
      <c r="R34" s="1176" t="str">
        <f>IFERROR(VLOOKUP($Q34,'Lower Cask Dependencies'!$C$5:$F$277,4,FALSE),"N/A")</f>
        <v>N/A</v>
      </c>
      <c r="S34" s="1176" t="str">
        <f t="shared" si="3"/>
        <v>N/A</v>
      </c>
    </row>
    <row r="35" spans="2:19" x14ac:dyDescent="0.35">
      <c r="B35" s="3786"/>
      <c r="C35" s="573" t="s">
        <v>1561</v>
      </c>
      <c r="D35" s="1577" t="s">
        <v>3</v>
      </c>
      <c r="E35" s="574">
        <f t="shared" si="0"/>
        <v>0.38</v>
      </c>
      <c r="F35" s="574">
        <f t="shared" si="5"/>
        <v>72.927777777777791</v>
      </c>
      <c r="G35" s="1131"/>
      <c r="H35" s="1176" t="str">
        <f>IF(D35="operation",VLOOKUP(G35,'Generic Divertor Port Tasks'!C$4:D$223,2,FALSE),"N/A")</f>
        <v>N/A</v>
      </c>
      <c r="I35" s="1131"/>
      <c r="J35" s="573"/>
      <c r="K35" s="1577"/>
      <c r="L35" s="852" t="str">
        <f>IFERROR(INDEX('Lower Cask Movement &amp; Logistics'!$I$13:$O$19,MATCH($J35,'Lower Cask Movement &amp; Logistics'!$H$13:$H$19,0),MATCH($K35,'Lower Cask Movement &amp; Logistics'!$H$13:$H$19,0)),"N/A")</f>
        <v>N/A</v>
      </c>
      <c r="M35" s="853" t="str">
        <f>IFERROR(VLOOKUP($I35,'Lower Cask Movement &amp; Logistics'!$H$4:$I$9,2,FALSE),"N/A")</f>
        <v>N/A</v>
      </c>
      <c r="N35" s="1176" t="str">
        <f t="shared" si="1"/>
        <v>N/A</v>
      </c>
      <c r="O35" s="1580" t="s">
        <v>1546</v>
      </c>
      <c r="P35" s="1176">
        <f>IF($D35="Logistics",VLOOKUP($O35,'Lower Cask Movement &amp; Logistics'!$C$4:$D$54,2,FALSE),"N/A")</f>
        <v>0.38</v>
      </c>
      <c r="Q35" s="1580"/>
      <c r="R35" s="1176" t="str">
        <f>IFERROR(VLOOKUP($Q35,'Lower Cask Dependencies'!$C$5:$F$277,4,FALSE),"N/A")</f>
        <v>N/A</v>
      </c>
      <c r="S35" s="1176" t="str">
        <f t="shared" si="3"/>
        <v>N/A</v>
      </c>
    </row>
    <row r="36" spans="2:19" ht="13.3" thickBot="1" x14ac:dyDescent="0.4">
      <c r="B36" s="3788"/>
      <c r="C36" s="584" t="s">
        <v>1562</v>
      </c>
      <c r="D36" s="1581" t="s">
        <v>3</v>
      </c>
      <c r="E36" s="585">
        <f t="shared" si="0"/>
        <v>2.3000000000000003</v>
      </c>
      <c r="F36" s="585">
        <f t="shared" si="5"/>
        <v>75.227777777777789</v>
      </c>
      <c r="G36" s="1136"/>
      <c r="H36" s="1179" t="str">
        <f>IF(D36="operation",VLOOKUP(G36,'Generic Divertor Port Tasks'!C$4:D$223,2,FALSE),"N/A")</f>
        <v>N/A</v>
      </c>
      <c r="I36" s="1136"/>
      <c r="J36" s="584"/>
      <c r="K36" s="1581"/>
      <c r="L36" s="813" t="str">
        <f>IFERROR(INDEX('Lower Cask Movement &amp; Logistics'!$I$13:$O$19,MATCH($J36,'Lower Cask Movement &amp; Logistics'!$H$13:$H$19,0),MATCH($K36,'Lower Cask Movement &amp; Logistics'!$H$13:$H$19,0)),"N/A")</f>
        <v>N/A</v>
      </c>
      <c r="M36" s="814" t="str">
        <f>IFERROR(VLOOKUP($I36,'Lower Cask Movement &amp; Logistics'!$H$4:$I$9,2,FALSE),"N/A")</f>
        <v>N/A</v>
      </c>
      <c r="N36" s="1179" t="str">
        <f t="shared" si="1"/>
        <v>N/A</v>
      </c>
      <c r="O36" s="1582" t="s">
        <v>1552</v>
      </c>
      <c r="P36" s="1179">
        <f>IF($D36="Logistics",VLOOKUP($O36,'Lower Cask Movement &amp; Logistics'!$C$4:$D$54,2,FALSE),"N/A")</f>
        <v>2.3000000000000003</v>
      </c>
      <c r="Q36" s="1582"/>
      <c r="R36" s="1179" t="str">
        <f>IFERROR(VLOOKUP($Q36,'Lower Cask Dependencies'!$C$5:$F$277,4,FALSE),"N/A")</f>
        <v>N/A</v>
      </c>
      <c r="S36" s="1179" t="str">
        <f t="shared" si="3"/>
        <v>N/A</v>
      </c>
    </row>
    <row r="37" spans="2:19" x14ac:dyDescent="0.35">
      <c r="B37" s="3784" t="s">
        <v>1563</v>
      </c>
      <c r="C37" s="1625" t="s">
        <v>1564</v>
      </c>
      <c r="D37" s="1625" t="s">
        <v>3</v>
      </c>
      <c r="E37" s="1626">
        <f t="shared" si="0"/>
        <v>1.9</v>
      </c>
      <c r="F37" s="1585">
        <f t="shared" si="5"/>
        <v>77.127777777777794</v>
      </c>
      <c r="G37" s="1627"/>
      <c r="H37" s="1628" t="str">
        <f>IF(D37="operation",VLOOKUP(G37,'Generic Divertor Port Tasks'!C$4:D$223,2,FALSE),"N/A")</f>
        <v>N/A</v>
      </c>
      <c r="I37" s="1627"/>
      <c r="J37" s="1625"/>
      <c r="K37" s="1625"/>
      <c r="L37" s="1588" t="str">
        <f>IFERROR(INDEX('Lower Cask Movement &amp; Logistics'!$I$13:$O$19,MATCH($J37,'Lower Cask Movement &amp; Logistics'!$H$13:$H$19,0),MATCH($K37,'Lower Cask Movement &amp; Logistics'!$H$13:$H$19,0)),"N/A")</f>
        <v>N/A</v>
      </c>
      <c r="M37" s="1588" t="str">
        <f>IFERROR(VLOOKUP($I37,'Lower Cask Movement &amp; Logistics'!$H$4:$I$9,2,FALSE),"N/A")</f>
        <v>N/A</v>
      </c>
      <c r="N37" s="1586" t="str">
        <f t="shared" si="1"/>
        <v>N/A</v>
      </c>
      <c r="O37" s="1629" t="s">
        <v>1541</v>
      </c>
      <c r="P37" s="1628">
        <f>IF($D37="Logistics",VLOOKUP($O37,'Lower Cask Movement &amp; Logistics'!$C$4:$D$54,2,FALSE),"N/A")</f>
        <v>1.9</v>
      </c>
      <c r="Q37" s="1629" t="s">
        <v>1565</v>
      </c>
      <c r="R37" s="1628">
        <f>IFERROR(VLOOKUP($Q37,'Lower Cask Dependencies'!$C$5:$F$277,4,FALSE),"N/A")</f>
        <v>60.777037037037047</v>
      </c>
      <c r="S37" s="1628">
        <f t="shared" si="3"/>
        <v>14.450740740740741</v>
      </c>
    </row>
    <row r="38" spans="2:19" x14ac:dyDescent="0.35">
      <c r="B38" s="3784"/>
      <c r="C38" s="1590" t="s">
        <v>1566</v>
      </c>
      <c r="D38" s="1590" t="s">
        <v>3</v>
      </c>
      <c r="E38" s="1626">
        <f t="shared" si="0"/>
        <v>0.38</v>
      </c>
      <c r="F38" s="1599">
        <f t="shared" si="5"/>
        <v>77.50777777777779</v>
      </c>
      <c r="G38" s="1593"/>
      <c r="H38" s="1594" t="str">
        <f>IF(D38="operation",VLOOKUP(G38,'Generic Divertor Port Tasks'!C$4:D$223,2,FALSE),"N/A")</f>
        <v>N/A</v>
      </c>
      <c r="I38" s="1593"/>
      <c r="J38" s="1590"/>
      <c r="K38" s="1590"/>
      <c r="L38" s="1595" t="str">
        <f>IFERROR(INDEX('Lower Cask Movement &amp; Logistics'!$I$13:$O$19,MATCH($J38,'Lower Cask Movement &amp; Logistics'!$H$13:$H$19,0),MATCH($K38,'Lower Cask Movement &amp; Logistics'!$H$13:$H$19,0)),"N/A")</f>
        <v>N/A</v>
      </c>
      <c r="M38" s="1595" t="str">
        <f>IFERROR(VLOOKUP($I38,'Lower Cask Movement &amp; Logistics'!$H$4:$I$9,2,FALSE),"N/A")</f>
        <v>N/A</v>
      </c>
      <c r="N38" s="1594" t="str">
        <f t="shared" si="1"/>
        <v>N/A</v>
      </c>
      <c r="O38" s="1596" t="s">
        <v>1544</v>
      </c>
      <c r="P38" s="1594">
        <f>IF($D38="Logistics",VLOOKUP($O38,'Lower Cask Movement &amp; Logistics'!$C$4:$D$54,2,FALSE),"N/A")</f>
        <v>0.38</v>
      </c>
      <c r="Q38" s="1596"/>
      <c r="R38" s="1594" t="str">
        <f>IFERROR(VLOOKUP($Q38,'Lower Cask Dependencies'!$C$5:$F$277,4,FALSE),"N/A")</f>
        <v>N/A</v>
      </c>
      <c r="S38" s="1594" t="str">
        <f t="shared" si="3"/>
        <v>N/A</v>
      </c>
    </row>
    <row r="39" spans="2:19" x14ac:dyDescent="0.35">
      <c r="B39" s="3784"/>
      <c r="C39" s="1590" t="s">
        <v>2524</v>
      </c>
      <c r="D39" s="1590" t="s">
        <v>251</v>
      </c>
      <c r="E39" s="1626">
        <f t="shared" si="0"/>
        <v>0.45916666666666661</v>
      </c>
      <c r="F39" s="1599">
        <f t="shared" si="5"/>
        <v>77.966944444444451</v>
      </c>
      <c r="G39" s="1593" t="s">
        <v>687</v>
      </c>
      <c r="H39" s="1594">
        <f>IF(D39="operation",VLOOKUP(G39,'Generic Divertor Port Tasks'!C$4:D$223,2,FALSE),"N/A")</f>
        <v>0.45916666666666661</v>
      </c>
      <c r="I39" s="1593"/>
      <c r="J39" s="1590"/>
      <c r="K39" s="1590"/>
      <c r="L39" s="1595" t="str">
        <f>IFERROR(INDEX('Lower Cask Movement &amp; Logistics'!$I$13:$O$19,MATCH($J39,'Lower Cask Movement &amp; Logistics'!$H$13:$H$19,0),MATCH($K39,'Lower Cask Movement &amp; Logistics'!$H$13:$H$19,0)),"N/A")</f>
        <v>N/A</v>
      </c>
      <c r="M39" s="1595" t="str">
        <f>IFERROR(VLOOKUP($I39,'Lower Cask Movement &amp; Logistics'!$H$4:$I$9,2,FALSE),"N/A")</f>
        <v>N/A</v>
      </c>
      <c r="N39" s="1594" t="str">
        <f t="shared" si="1"/>
        <v>N/A</v>
      </c>
      <c r="O39" s="1596"/>
      <c r="P39" s="1594" t="str">
        <f>IF($D39="Logistics",VLOOKUP($O39,'Lower Cask Movement &amp; Logistics'!$C$4:$D$54,2,FALSE),"N/A")</f>
        <v>N/A</v>
      </c>
      <c r="Q39" s="1596"/>
      <c r="R39" s="1594" t="str">
        <f>IFERROR(VLOOKUP($Q39,'Lower Cask Dependencies'!$C$5:$F$277,4,FALSE),"N/A")</f>
        <v>N/A</v>
      </c>
      <c r="S39" s="1594" t="str">
        <f t="shared" si="3"/>
        <v>N/A</v>
      </c>
    </row>
    <row r="40" spans="2:19" x14ac:dyDescent="0.35">
      <c r="B40" s="3784"/>
      <c r="C40" s="1590" t="s">
        <v>1568</v>
      </c>
      <c r="D40" s="1590" t="s">
        <v>3</v>
      </c>
      <c r="E40" s="1626">
        <v>0.38</v>
      </c>
      <c r="F40" s="1599">
        <f t="shared" si="5"/>
        <v>78.346944444444446</v>
      </c>
      <c r="G40" s="1593"/>
      <c r="H40" s="1594" t="str">
        <f>IF(D40="operation",VLOOKUP(G40,'Generic Divertor Port Tasks'!C$4:D$223,2,FALSE),"N/A")</f>
        <v>N/A</v>
      </c>
      <c r="I40" s="1593"/>
      <c r="J40" s="1590"/>
      <c r="K40" s="1590"/>
      <c r="L40" s="1595" t="s">
        <v>263</v>
      </c>
      <c r="M40" s="1595" t="s">
        <v>263</v>
      </c>
      <c r="N40" s="1594" t="s">
        <v>263</v>
      </c>
      <c r="O40" s="1596" t="s">
        <v>1546</v>
      </c>
      <c r="P40" s="1594">
        <v>0.38</v>
      </c>
      <c r="Q40" s="1596"/>
      <c r="R40" s="1594" t="str">
        <f>IFERROR(VLOOKUP($Q40,'Lower Cask Dependencies'!$C$5:$F$277,4,FALSE),"N/A")</f>
        <v>N/A</v>
      </c>
      <c r="S40" s="1594" t="str">
        <f t="shared" si="3"/>
        <v>N/A</v>
      </c>
    </row>
    <row r="41" spans="2:19" ht="13.3" thickBot="1" x14ac:dyDescent="0.4">
      <c r="B41" s="3784"/>
      <c r="C41" s="1590" t="s">
        <v>1569</v>
      </c>
      <c r="D41" s="1590" t="s">
        <v>3</v>
      </c>
      <c r="E41" s="1626">
        <f t="shared" ref="E41:E64" si="6">MAX($P41,$N41,$H41)</f>
        <v>2.3000000000000003</v>
      </c>
      <c r="F41" s="1599">
        <f t="shared" si="5"/>
        <v>80.646944444444443</v>
      </c>
      <c r="G41" s="1593"/>
      <c r="H41" s="1594" t="str">
        <f>IF(D41="operation",VLOOKUP(G41,'Generic Divertor Port Tasks'!C$4:D$223,2,FALSE),"N/A")</f>
        <v>N/A</v>
      </c>
      <c r="I41" s="1593"/>
      <c r="J41" s="1590"/>
      <c r="K41" s="1590"/>
      <c r="L41" s="1595" t="str">
        <f>IFERROR(INDEX('Lower Cask Movement &amp; Logistics'!$I$13:$O$19,MATCH($J41,'Lower Cask Movement &amp; Logistics'!$H$13:$H$19,0),MATCH($K41,'Lower Cask Movement &amp; Logistics'!$H$13:$H$19,0)),"N/A")</f>
        <v>N/A</v>
      </c>
      <c r="M41" s="1595" t="str">
        <f>IFERROR(VLOOKUP($I41,'Lower Cask Movement &amp; Logistics'!$H$4:$I$9,2,FALSE),"N/A")</f>
        <v>N/A</v>
      </c>
      <c r="N41" s="1594" t="str">
        <f t="shared" ref="N41:N52" si="7">IF(D41="Movement",IFERROR((L41/M41)/(60*60),"Error"),"N/A")</f>
        <v>N/A</v>
      </c>
      <c r="O41" s="1596" t="s">
        <v>1552</v>
      </c>
      <c r="P41" s="1594">
        <f>IF($D41="Logistics",VLOOKUP($O41,'Lower Cask Movement &amp; Logistics'!$C$4:$D$54,2,FALSE),"N/A")</f>
        <v>2.3000000000000003</v>
      </c>
      <c r="Q41" s="1596"/>
      <c r="R41" s="1594" t="str">
        <f>IFERROR(VLOOKUP($Q41,'Lower Cask Dependencies'!$C$5:$F$277,4,FALSE),"N/A")</f>
        <v>N/A</v>
      </c>
      <c r="S41" s="1594" t="str">
        <f t="shared" si="3"/>
        <v>N/A</v>
      </c>
    </row>
    <row r="42" spans="2:19" ht="15.75" customHeight="1" x14ac:dyDescent="0.35">
      <c r="B42" s="3787" t="s">
        <v>1570</v>
      </c>
      <c r="C42" s="1619" t="s">
        <v>1571</v>
      </c>
      <c r="D42" s="1619" t="s">
        <v>3</v>
      </c>
      <c r="E42" s="1621">
        <f t="shared" si="6"/>
        <v>1.9</v>
      </c>
      <c r="F42" s="1621">
        <f t="shared" si="5"/>
        <v>82.546944444444449</v>
      </c>
      <c r="G42" s="1129"/>
      <c r="H42" s="1575" t="str">
        <f>IF(D42="operation",VLOOKUP(G42,'Generic Divertor Port Tasks'!C$4:D$223,2,FALSE),"N/A")</f>
        <v>N/A</v>
      </c>
      <c r="I42" s="1129"/>
      <c r="J42" s="1619"/>
      <c r="K42" s="1630"/>
      <c r="L42" s="1622" t="str">
        <f>IFERROR(INDEX('Lower Hot Cell Logistics'!$I$13:$O$19,MATCH($J42,'Lower Hot Cell Logistics'!$H$13:$H$19,0),MATCH($K42,'Lower Hot Cell Logistics'!$H$13:$H$19,0)),"N/A")</f>
        <v>N/A</v>
      </c>
      <c r="M42" s="1623" t="str">
        <f>IFERROR(VLOOKUP($I42,'Lower Hot Cell Logistics'!$H$4:$I$9,2,FALSE),"N/A")</f>
        <v>N/A</v>
      </c>
      <c r="N42" s="1575" t="str">
        <f t="shared" si="7"/>
        <v>N/A</v>
      </c>
      <c r="O42" s="1576" t="s">
        <v>1541</v>
      </c>
      <c r="P42" s="1575">
        <f>IF($D42="Logistics",VLOOKUP($O42,'Lower Cask Movement &amp; Logistics'!$C$4:$D$54,2,FALSE),"N/A")</f>
        <v>1.9</v>
      </c>
      <c r="Q42" s="1576"/>
      <c r="R42" s="1575" t="str">
        <f>IFERROR(VLOOKUP($Q42,'Lower Cask Dependencies'!$C$5:$F$277,4,FALSE),"N/A")</f>
        <v>N/A</v>
      </c>
      <c r="S42" s="1575" t="str">
        <f t="shared" si="3"/>
        <v>N/A</v>
      </c>
    </row>
    <row r="43" spans="2:19" ht="15" customHeight="1" x14ac:dyDescent="0.35">
      <c r="B43" s="3786"/>
      <c r="C43" s="573" t="s">
        <v>1559</v>
      </c>
      <c r="D43" s="573" t="s">
        <v>3</v>
      </c>
      <c r="E43" s="574">
        <f t="shared" si="6"/>
        <v>0.38</v>
      </c>
      <c r="F43" s="626">
        <f t="shared" si="5"/>
        <v>82.926944444444445</v>
      </c>
      <c r="G43" s="1131"/>
      <c r="H43" s="1176" t="str">
        <f>IF(D43="operation",VLOOKUP(G43,'Generic Divertor Port Tasks'!C$4:D$223,2,FALSE),"N/A")</f>
        <v>N/A</v>
      </c>
      <c r="I43" s="1131"/>
      <c r="J43" s="573"/>
      <c r="K43" s="1631"/>
      <c r="L43" s="852" t="str">
        <f>IFERROR(INDEX('Lower Hot Cell Logistics'!$I$13:$O$19,MATCH($J43,'Lower Hot Cell Logistics'!$H$13:$H$19,0),MATCH($K43,'Lower Hot Cell Logistics'!$H$13:$H$19,0)),"N/A")</f>
        <v>N/A</v>
      </c>
      <c r="M43" s="853" t="str">
        <f>IFERROR(VLOOKUP($I43,'Lower Hot Cell Logistics'!$H$4:$I$9,2,FALSE),"N/A")</f>
        <v>N/A</v>
      </c>
      <c r="N43" s="1176" t="str">
        <f t="shared" si="7"/>
        <v>N/A</v>
      </c>
      <c r="O43" s="1580" t="s">
        <v>1544</v>
      </c>
      <c r="P43" s="1176">
        <f>IF($D43="Logistics",VLOOKUP($O43,'Lower Cask Movement &amp; Logistics'!$C$4:$D$54,2,FALSE),"N/A")</f>
        <v>0.38</v>
      </c>
      <c r="Q43" s="1580"/>
      <c r="R43" s="1176" t="str">
        <f>IFERROR(VLOOKUP($Q43,'Lower Cask Dependencies'!$C$5:$F$277,4,FALSE),"N/A")</f>
        <v>N/A</v>
      </c>
      <c r="S43" s="1176" t="str">
        <f t="shared" si="3"/>
        <v>N/A</v>
      </c>
    </row>
    <row r="44" spans="2:19" x14ac:dyDescent="0.35">
      <c r="B44" s="3786"/>
      <c r="C44" s="573" t="s">
        <v>2523</v>
      </c>
      <c r="D44" s="573" t="s">
        <v>251</v>
      </c>
      <c r="E44" s="1276">
        <f t="shared" si="6"/>
        <v>8.1444444444444439</v>
      </c>
      <c r="F44" s="626">
        <f>IF(S44&lt;0,E44+F43+(-S44),E44+F43)</f>
        <v>91.07138888888889</v>
      </c>
      <c r="G44" s="1131" t="s">
        <v>433</v>
      </c>
      <c r="H44" s="1176">
        <f>IF(D44="operation",VLOOKUP(G44,'Generic Divertor Port Tasks'!C$4:D$223,2,FALSE),"N/A")</f>
        <v>8.1444444444444439</v>
      </c>
      <c r="I44" s="1131"/>
      <c r="J44" s="573"/>
      <c r="K44" s="1631"/>
      <c r="L44" s="852" t="str">
        <f>IFERROR(INDEX('Lower Hot Cell Logistics'!$I$13:$O$19,MATCH($J44,'Lower Hot Cell Logistics'!$H$13:$H$19,0),MATCH($K44,'Lower Hot Cell Logistics'!$H$13:$H$19,0)),"N/A")</f>
        <v>N/A</v>
      </c>
      <c r="M44" s="853" t="str">
        <f>IFERROR(VLOOKUP($I44,'Lower Hot Cell Logistics'!$H$4:$I$9,2,FALSE),"N/A")</f>
        <v>N/A</v>
      </c>
      <c r="N44" s="1176" t="str">
        <f t="shared" si="7"/>
        <v>N/A</v>
      </c>
      <c r="O44" s="1580"/>
      <c r="P44" s="1176" t="str">
        <f>IF($D44="Logistics",VLOOKUP($O44,'Lower Cask Movement &amp; Logistics'!$C$4:$D$54,2,FALSE),"N/A")</f>
        <v>N/A</v>
      </c>
      <c r="Q44" s="1580"/>
      <c r="R44" s="1176" t="str">
        <f>IFERROR(VLOOKUP($Q44,'Lower Cask Dependencies'!$C$5:$F$277,4,FALSE),"N/A")</f>
        <v>N/A</v>
      </c>
      <c r="S44" s="1176" t="str">
        <f t="shared" si="3"/>
        <v>N/A</v>
      </c>
    </row>
    <row r="45" spans="2:19" x14ac:dyDescent="0.35">
      <c r="B45" s="3786"/>
      <c r="C45" s="573" t="s">
        <v>1573</v>
      </c>
      <c r="D45" s="573" t="s">
        <v>3</v>
      </c>
      <c r="E45" s="1276">
        <f t="shared" si="6"/>
        <v>0.38</v>
      </c>
      <c r="F45" s="626">
        <f>IF(S45&lt;0,E45+F44+(-S45),E45+F44)</f>
        <v>91.451388888888886</v>
      </c>
      <c r="G45" s="1131"/>
      <c r="H45" s="1176" t="str">
        <f>IF(D45="operation",VLOOKUP(G45,'Generic Divertor Port Tasks'!C$4:D$223,2,FALSE),"N/A")</f>
        <v>N/A</v>
      </c>
      <c r="I45" s="1131"/>
      <c r="J45" s="573"/>
      <c r="K45" s="1631"/>
      <c r="L45" s="852" t="str">
        <f>IFERROR(INDEX('Lower Hot Cell Logistics'!$I$13:$O$19,MATCH($J45,'Lower Hot Cell Logistics'!$H$13:$H$19,0),MATCH($K45,'Lower Hot Cell Logistics'!$H$13:$H$19,0)),"N/A")</f>
        <v>N/A</v>
      </c>
      <c r="M45" s="853" t="str">
        <f>IFERROR(VLOOKUP($I45,'Lower Hot Cell Logistics'!$H$4:$I$9,2,FALSE),"N/A")</f>
        <v>N/A</v>
      </c>
      <c r="N45" s="1176" t="str">
        <f t="shared" si="7"/>
        <v>N/A</v>
      </c>
      <c r="O45" s="1580" t="s">
        <v>1546</v>
      </c>
      <c r="P45" s="1176">
        <f>IF($D45="Logistics",VLOOKUP($O45,'Lower Cask Movement &amp; Logistics'!$C$4:$D$54,2,FALSE),"N/A")</f>
        <v>0.38</v>
      </c>
      <c r="Q45" s="1580"/>
      <c r="R45" s="1176" t="str">
        <f>IFERROR(VLOOKUP($Q45,'Lower Cask Dependencies'!$C$5:$F$277,4,FALSE),"N/A")</f>
        <v>N/A</v>
      </c>
      <c r="S45" s="1176" t="str">
        <f t="shared" si="3"/>
        <v>N/A</v>
      </c>
    </row>
    <row r="46" spans="2:19" x14ac:dyDescent="0.35">
      <c r="B46" s="3786"/>
      <c r="C46" s="573" t="s">
        <v>1574</v>
      </c>
      <c r="D46" s="573" t="s">
        <v>3</v>
      </c>
      <c r="E46" s="1276">
        <f t="shared" si="6"/>
        <v>0.38</v>
      </c>
      <c r="F46" s="626">
        <f>IF(S46&lt;0,E46+F45+(-S46),E46+F45)</f>
        <v>91.831388888888881</v>
      </c>
      <c r="G46" s="1131"/>
      <c r="H46" s="1176" t="str">
        <f>IF(D46="operation",VLOOKUP(G46,'Generic Divertor Port Tasks'!C$4:D$223,2,FALSE),"N/A")</f>
        <v>N/A</v>
      </c>
      <c r="I46" s="1131"/>
      <c r="J46" s="573"/>
      <c r="K46" s="1631"/>
      <c r="L46" s="852" t="str">
        <f>IFERROR(INDEX('Lower Hot Cell Logistics'!$I$13:$O$19,MATCH($J46,'Lower Hot Cell Logistics'!$H$13:$H$19,0),MATCH($K46,'Lower Hot Cell Logistics'!$H$13:$H$19,0)),"N/A")</f>
        <v>N/A</v>
      </c>
      <c r="M46" s="853" t="str">
        <f>IFERROR(VLOOKUP($I46,'Lower Hot Cell Logistics'!$H$4:$I$9,2,FALSE),"N/A")</f>
        <v>N/A</v>
      </c>
      <c r="N46" s="1176" t="str">
        <f t="shared" si="7"/>
        <v>N/A</v>
      </c>
      <c r="O46" s="1580" t="s">
        <v>1544</v>
      </c>
      <c r="P46" s="1176">
        <f>IF($D46="Logistics",VLOOKUP($O46,'Lower Cask Movement &amp; Logistics'!$C$4:$D$54,2,FALSE),"N/A")</f>
        <v>0.38</v>
      </c>
      <c r="Q46" s="1580"/>
      <c r="R46" s="1176" t="str">
        <f>IFERROR(VLOOKUP($Q46,'Lower Cask Dependencies'!$C$5:$F$277,4,FALSE),"N/A")</f>
        <v>N/A</v>
      </c>
      <c r="S46" s="1176" t="str">
        <f t="shared" si="3"/>
        <v>N/A</v>
      </c>
    </row>
    <row r="47" spans="2:19" x14ac:dyDescent="0.35">
      <c r="B47" s="3786"/>
      <c r="C47" s="573" t="s">
        <v>2679</v>
      </c>
      <c r="D47" s="573" t="s">
        <v>251</v>
      </c>
      <c r="E47" s="1276">
        <f t="shared" si="6"/>
        <v>3.7</v>
      </c>
      <c r="F47" s="626">
        <f t="shared" si="5"/>
        <v>95.531388888888884</v>
      </c>
      <c r="G47" s="1131" t="s">
        <v>436</v>
      </c>
      <c r="H47" s="1176">
        <f>IF(D47="operation",VLOOKUP(G47,'Generic Divertor Port Tasks'!C$4:D$223,2,FALSE),"N/A")</f>
        <v>3.7</v>
      </c>
      <c r="I47" s="1131"/>
      <c r="J47" s="573"/>
      <c r="K47" s="1631"/>
      <c r="L47" s="852" t="str">
        <f>IFERROR(INDEX('Lower Hot Cell Logistics'!$I$13:$O$19,MATCH($J47,'Lower Hot Cell Logistics'!$H$13:$H$19,0),MATCH($K47,'Lower Hot Cell Logistics'!$H$13:$H$19,0)),"N/A")</f>
        <v>N/A</v>
      </c>
      <c r="M47" s="853" t="str">
        <f>IFERROR(VLOOKUP($I47,'Lower Hot Cell Logistics'!$H$4:$I$9,2,FALSE),"N/A")</f>
        <v>N/A</v>
      </c>
      <c r="N47" s="1176" t="str">
        <f t="shared" si="7"/>
        <v>N/A</v>
      </c>
      <c r="O47" s="1580"/>
      <c r="P47" s="1176" t="str">
        <f>IF($D47="Logistics",VLOOKUP($O47,'Lower Cask Movement &amp; Logistics'!$C$4:$D$54,2,FALSE),"N/A")</f>
        <v>N/A</v>
      </c>
      <c r="Q47" s="1580"/>
      <c r="R47" s="1176" t="str">
        <f>IFERROR(VLOOKUP($Q47,'Lower Cask Dependencies'!$C$5:$F$277,4,FALSE),"N/A")</f>
        <v>N/A</v>
      </c>
      <c r="S47" s="1176" t="str">
        <f t="shared" si="3"/>
        <v>N/A</v>
      </c>
    </row>
    <row r="48" spans="2:19" x14ac:dyDescent="0.35">
      <c r="B48" s="3789"/>
      <c r="C48" s="573" t="s">
        <v>1575</v>
      </c>
      <c r="D48" s="573" t="s">
        <v>3</v>
      </c>
      <c r="E48" s="1276">
        <f t="shared" si="6"/>
        <v>0.38</v>
      </c>
      <c r="F48" s="626">
        <f t="shared" ref="F48:F64" si="8">IF(S48&lt;0,E48+F47+(-S48),E48+F47)</f>
        <v>95.911388888888879</v>
      </c>
      <c r="G48" s="1131"/>
      <c r="H48" s="1176" t="str">
        <f>IF(D48="operation",VLOOKUP(G48,'Generic Divertor Port Tasks'!C$4:D$223,2,FALSE),"N/A")</f>
        <v>N/A</v>
      </c>
      <c r="I48" s="1131"/>
      <c r="J48" s="573"/>
      <c r="K48" s="1631"/>
      <c r="L48" s="852" t="str">
        <f>IFERROR(INDEX('Lower Hot Cell Logistics'!$I$13:$O$19,MATCH($J48,'Lower Hot Cell Logistics'!$H$13:$H$19,0),MATCH($K48,'Lower Hot Cell Logistics'!$H$13:$H$19,0)),"N/A")</f>
        <v>N/A</v>
      </c>
      <c r="M48" s="853" t="str">
        <f>IFERROR(VLOOKUP($I48,'Lower Hot Cell Logistics'!$H$4:$I$9,2,FALSE),"N/A")</f>
        <v>N/A</v>
      </c>
      <c r="N48" s="1176" t="str">
        <f t="shared" si="7"/>
        <v>N/A</v>
      </c>
      <c r="O48" s="1580" t="s">
        <v>1546</v>
      </c>
      <c r="P48" s="1176">
        <f>IF($D48="Logistics",VLOOKUP($O48,'Lower Cask Movement &amp; Logistics'!$C$4:$D$54,2,FALSE),"N/A")</f>
        <v>0.38</v>
      </c>
      <c r="Q48" s="1580"/>
      <c r="R48" s="1176" t="str">
        <f>IFERROR(VLOOKUP($Q48,'Lower Cask Dependencies'!$C$5:$F$277,4,FALSE),"N/A")</f>
        <v>N/A</v>
      </c>
      <c r="S48" s="1176" t="str">
        <f t="shared" si="3"/>
        <v>N/A</v>
      </c>
    </row>
    <row r="49" spans="2:19" ht="13.3" thickBot="1" x14ac:dyDescent="0.4">
      <c r="B49" s="3790"/>
      <c r="C49" s="584" t="s">
        <v>1576</v>
      </c>
      <c r="D49" s="584" t="s">
        <v>3</v>
      </c>
      <c r="E49" s="1632">
        <f t="shared" si="6"/>
        <v>2.3000000000000003</v>
      </c>
      <c r="F49" s="585">
        <f t="shared" si="8"/>
        <v>98.211388888888877</v>
      </c>
      <c r="G49" s="1136"/>
      <c r="H49" s="1179" t="str">
        <f>IF(D49="operation",VLOOKUP(G49,'Generic Divertor Port Tasks'!C$4:D$223,2,FALSE),"N/A")</f>
        <v>N/A</v>
      </c>
      <c r="I49" s="1136"/>
      <c r="J49" s="584"/>
      <c r="K49" s="1633"/>
      <c r="L49" s="813" t="str">
        <f>IFERROR(INDEX('Lower Hot Cell Logistics'!$I$13:$O$19,MATCH($J49,'Lower Hot Cell Logistics'!$H$13:$H$19,0),MATCH($K49,'Lower Hot Cell Logistics'!$H$13:$H$19,0)),"N/A")</f>
        <v>N/A</v>
      </c>
      <c r="M49" s="814" t="str">
        <f>IFERROR(VLOOKUP($I49,'Lower Hot Cell Logistics'!$H$4:$I$9,2,FALSE),"N/A")</f>
        <v>N/A</v>
      </c>
      <c r="N49" s="1179" t="str">
        <f t="shared" si="7"/>
        <v>N/A</v>
      </c>
      <c r="O49" s="1582" t="s">
        <v>1577</v>
      </c>
      <c r="P49" s="1179">
        <f>IF($D49="Logistics",VLOOKUP($O49,'Lower Cask Movement &amp; Logistics'!$C$4:$D$54,2,FALSE),"N/A")</f>
        <v>2.3000000000000003</v>
      </c>
      <c r="Q49" s="1582"/>
      <c r="R49" s="1179" t="str">
        <f>IFERROR(VLOOKUP($Q49,'Lower Cask Dependencies'!$C$5:$F$277,4,FALSE),"N/A")</f>
        <v>N/A</v>
      </c>
      <c r="S49" s="1179" t="str">
        <f t="shared" si="3"/>
        <v>N/A</v>
      </c>
    </row>
    <row r="50" spans="2:19" x14ac:dyDescent="0.35">
      <c r="B50" s="3783" t="s">
        <v>1578</v>
      </c>
      <c r="C50" s="1612" t="s">
        <v>1579</v>
      </c>
      <c r="D50" s="1612" t="s">
        <v>3</v>
      </c>
      <c r="E50" s="1614">
        <f t="shared" si="6"/>
        <v>1.9</v>
      </c>
      <c r="F50" s="1634">
        <f t="shared" si="8"/>
        <v>100.11138888888888</v>
      </c>
      <c r="G50" s="1615"/>
      <c r="H50" s="1616" t="str">
        <f>IF(D50="operation",VLOOKUP(G50,'Generic Divertor Port Tasks'!C$4:D$223,2,FALSE),"N/A")</f>
        <v>N/A</v>
      </c>
      <c r="I50" s="1615"/>
      <c r="J50" s="1612"/>
      <c r="K50" s="1612"/>
      <c r="L50" s="1635" t="str">
        <f>IFERROR(INDEX('Lower Cask Movement &amp; Logistics'!$I$13:$O$19,MATCH($J50,'Lower Cask Movement &amp; Logistics'!$H$13:$H$19,0),MATCH($K50,'Lower Cask Movement &amp; Logistics'!$H$13:$H$19,0)),"N/A")</f>
        <v>N/A</v>
      </c>
      <c r="M50" s="1635" t="str">
        <f>IFERROR(VLOOKUP($I50,'Lower Cask Movement &amp; Logistics'!$H$4:$I$9,2,FALSE),"N/A")</f>
        <v>N/A</v>
      </c>
      <c r="N50" s="1636" t="str">
        <f t="shared" si="7"/>
        <v>N/A</v>
      </c>
      <c r="O50" s="1618" t="s">
        <v>1541</v>
      </c>
      <c r="P50" s="1616">
        <f>IF($D50="Logistics",VLOOKUP($O50,'Lower Cask Movement &amp; Logistics'!$C$4:$D$54,2,FALSE),"N/A")</f>
        <v>1.9</v>
      </c>
      <c r="Q50" s="1618" t="s">
        <v>1580</v>
      </c>
      <c r="R50" s="1616">
        <f>IFERROR(VLOOKUP($Q50,'Lower Cask Dependencies'!$C$5:$F$277,4,FALSE),"N/A")</f>
        <v>88.140648148148131</v>
      </c>
      <c r="S50" s="1616">
        <f t="shared" si="3"/>
        <v>10.070740740740746</v>
      </c>
    </row>
    <row r="51" spans="2:19" x14ac:dyDescent="0.35">
      <c r="B51" s="3784"/>
      <c r="C51" s="1590" t="s">
        <v>1581</v>
      </c>
      <c r="D51" s="1590" t="s">
        <v>3</v>
      </c>
      <c r="E51" s="1626">
        <f t="shared" si="6"/>
        <v>0.38</v>
      </c>
      <c r="F51" s="1599">
        <f t="shared" si="8"/>
        <v>100.49138888888888</v>
      </c>
      <c r="G51" s="1593"/>
      <c r="H51" s="1594" t="str">
        <f>IF(D51="operation",VLOOKUP(G51,'Generic Divertor Port Tasks'!C$4:D$223,2,FALSE),"N/A")</f>
        <v>N/A</v>
      </c>
      <c r="I51" s="1593"/>
      <c r="J51" s="1590"/>
      <c r="K51" s="1590"/>
      <c r="L51" s="1595" t="str">
        <f>IFERROR(INDEX('Lower Cask Movement &amp; Logistics'!$I$13:$O$19,MATCH($J51,'Lower Cask Movement &amp; Logistics'!$H$13:$H$19,0),MATCH($K51,'Lower Cask Movement &amp; Logistics'!$H$13:$H$19,0)),"N/A")</f>
        <v>N/A</v>
      </c>
      <c r="M51" s="1595" t="str">
        <f>IFERROR(VLOOKUP($I51,'Lower Cask Movement &amp; Logistics'!$H$4:$I$9,2,FALSE),"N/A")</f>
        <v>N/A</v>
      </c>
      <c r="N51" s="1594" t="str">
        <f t="shared" si="7"/>
        <v>N/A</v>
      </c>
      <c r="O51" s="1596" t="s">
        <v>1544</v>
      </c>
      <c r="P51" s="1594">
        <f>IF($D51="Logistics",VLOOKUP($O51,'Lower Cask Movement &amp; Logistics'!$C$4:$D$54,2,FALSE),"N/A")</f>
        <v>0.38</v>
      </c>
      <c r="Q51" s="1596"/>
      <c r="R51" s="1594" t="str">
        <f>IFERROR(VLOOKUP($Q51,'Lower Cask Dependencies'!$C$5:$F$277,4,FALSE),"N/A")</f>
        <v>N/A</v>
      </c>
      <c r="S51" s="1594" t="str">
        <f t="shared" si="3"/>
        <v>N/A</v>
      </c>
    </row>
    <row r="52" spans="2:19" x14ac:dyDescent="0.35">
      <c r="B52" s="3784"/>
      <c r="C52" s="1590" t="s">
        <v>2522</v>
      </c>
      <c r="D52" s="1590" t="s">
        <v>251</v>
      </c>
      <c r="E52" s="1626">
        <f t="shared" si="6"/>
        <v>3.35</v>
      </c>
      <c r="F52" s="1599">
        <f t="shared" si="8"/>
        <v>103.84138888888887</v>
      </c>
      <c r="G52" s="1593" t="s">
        <v>688</v>
      </c>
      <c r="H52" s="1594">
        <f>IF(D52="operation",VLOOKUP(G52,'Generic Divertor Port Tasks'!C$4:D$223,2,FALSE),"N/A")</f>
        <v>3.35</v>
      </c>
      <c r="I52" s="1593"/>
      <c r="J52" s="1590"/>
      <c r="K52" s="1590"/>
      <c r="L52" s="1595" t="str">
        <f>IFERROR(INDEX('Lower Cask Movement &amp; Logistics'!$I$13:$O$19,MATCH($J52,'Lower Cask Movement &amp; Logistics'!$H$13:$H$19,0),MATCH($K52,'Lower Cask Movement &amp; Logistics'!$H$13:$H$19,0)),"N/A")</f>
        <v>N/A</v>
      </c>
      <c r="M52" s="1595" t="str">
        <f>IFERROR(VLOOKUP($I52,'Lower Cask Movement &amp; Logistics'!$H$4:$I$9,2,FALSE),"N/A")</f>
        <v>N/A</v>
      </c>
      <c r="N52" s="1594" t="str">
        <f t="shared" si="7"/>
        <v>N/A</v>
      </c>
      <c r="O52" s="1596"/>
      <c r="P52" s="1594" t="str">
        <f>IF($D52="Logistics",VLOOKUP($O52,'Lower Cask Movement &amp; Logistics'!$C$4:$D$54,2,FALSE),"N/A")</f>
        <v>N/A</v>
      </c>
      <c r="Q52" s="1596"/>
      <c r="R52" s="1594" t="str">
        <f>IFERROR(VLOOKUP($Q52,'Lower Cask Dependencies'!$C$5:$F$277,4,FALSE),"N/A")</f>
        <v>N/A</v>
      </c>
      <c r="S52" s="1594" t="str">
        <f t="shared" si="3"/>
        <v>N/A</v>
      </c>
    </row>
    <row r="53" spans="2:19" x14ac:dyDescent="0.35">
      <c r="B53" s="3784"/>
      <c r="C53" s="1590" t="s">
        <v>2680</v>
      </c>
      <c r="D53" s="1590" t="s">
        <v>3</v>
      </c>
      <c r="E53" s="1626">
        <f t="shared" si="6"/>
        <v>0.38</v>
      </c>
      <c r="F53" s="1599">
        <f t="shared" si="8"/>
        <v>104.22138888888887</v>
      </c>
      <c r="G53" s="1593"/>
      <c r="H53" s="1594" t="str">
        <f>IF(D53="operation",VLOOKUP(G53,'Generic Divertor Port Tasks'!C$4:D$223,2,FALSE),"N/A")</f>
        <v>N/A</v>
      </c>
      <c r="I53" s="1593"/>
      <c r="J53" s="1590"/>
      <c r="K53" s="1590"/>
      <c r="L53" s="1595" t="s">
        <v>263</v>
      </c>
      <c r="M53" s="1595" t="s">
        <v>263</v>
      </c>
      <c r="N53" s="1594" t="s">
        <v>263</v>
      </c>
      <c r="O53" s="1596" t="s">
        <v>1546</v>
      </c>
      <c r="P53" s="1594">
        <v>0.38</v>
      </c>
      <c r="Q53" s="1596"/>
      <c r="R53" s="1594" t="str">
        <f>IFERROR(VLOOKUP($Q53,'Lower Cask Dependencies'!$C$5:$F$277,4,FALSE),"N/A")</f>
        <v>N/A</v>
      </c>
      <c r="S53" s="1594" t="str">
        <f t="shared" si="3"/>
        <v>N/A</v>
      </c>
    </row>
    <row r="54" spans="2:19" x14ac:dyDescent="0.35">
      <c r="B54" s="3784"/>
      <c r="C54" s="1597" t="s">
        <v>2384</v>
      </c>
      <c r="D54" s="1598" t="s">
        <v>3</v>
      </c>
      <c r="E54" s="1599">
        <f t="shared" si="6"/>
        <v>0.38</v>
      </c>
      <c r="F54" s="1599">
        <f t="shared" si="8"/>
        <v>104.60138888888886</v>
      </c>
      <c r="G54" s="1597"/>
      <c r="H54" s="1600" t="str">
        <f>IF(D54="operation",VLOOKUP(G54,'Generic Divertor Port Tasks'!C$4:D$223,2,FALSE),"N/A")</f>
        <v>N/A</v>
      </c>
      <c r="I54" s="1597"/>
      <c r="J54" s="1601"/>
      <c r="K54" s="1601"/>
      <c r="L54" s="1602" t="str">
        <f>IFERROR(INDEX('Lower Cask Movement &amp; Logistics'!$I$13:$O$19,MATCH($J54,'Lower Cask Movement &amp; Logistics'!$H$13:$H$19,0),MATCH($K54,'Lower Cask Movement &amp; Logistics'!$H$13:$H$19,0)),"N/A")</f>
        <v>N/A</v>
      </c>
      <c r="M54" s="1602" t="str">
        <f>IFERROR(VLOOKUP($I54,'Lower Cask Movement &amp; Logistics'!$H$4:$I$9,2,FALSE),"N/A")</f>
        <v>N/A</v>
      </c>
      <c r="N54" s="1600" t="str">
        <f>IF(D54="Movement",IFERROR((L54/M54)/(60*60),"Error"),"N/A")</f>
        <v>N/A</v>
      </c>
      <c r="O54" s="2404" t="s">
        <v>1544</v>
      </c>
      <c r="P54" s="1600">
        <f>IF($D54="Logistics",VLOOKUP($O54,'Lower Cask Movement &amp; Logistics'!$C$4:$D$54,2,FALSE),"N/A")</f>
        <v>0.38</v>
      </c>
      <c r="Q54" s="1603"/>
      <c r="R54" s="1600" t="str">
        <f>IFERROR(VLOOKUP($Q54,'Lower Cask Dependencies'!$C$5:$F$277,4,FALSE),"N/A")</f>
        <v>N/A</v>
      </c>
      <c r="S54" s="1600" t="str">
        <f t="shared" si="3"/>
        <v>N/A</v>
      </c>
    </row>
    <row r="55" spans="2:19" x14ac:dyDescent="0.35">
      <c r="B55" s="3784"/>
      <c r="C55" s="1597" t="s">
        <v>2385</v>
      </c>
      <c r="D55" s="1598" t="s">
        <v>251</v>
      </c>
      <c r="E55" s="1599">
        <f t="shared" si="6"/>
        <v>5.7722222222222221</v>
      </c>
      <c r="F55" s="1599">
        <f t="shared" si="8"/>
        <v>110.37361111111109</v>
      </c>
      <c r="G55" s="1597" t="s">
        <v>2385</v>
      </c>
      <c r="H55" s="1600">
        <f>IF(D55="operation",VLOOKUP(G55,'Generic Divertor Port Tasks'!C$4:D$223,2,FALSE),"N/A")</f>
        <v>5.7722222222222221</v>
      </c>
      <c r="I55" s="1597"/>
      <c r="J55" s="1601"/>
      <c r="K55" s="1601"/>
      <c r="L55" s="1602" t="str">
        <f>IFERROR(INDEX('Lower Cask Movement &amp; Logistics'!$I$13:$O$19,MATCH($J55,'Lower Cask Movement &amp; Logistics'!$H$13:$H$19,0),MATCH($K55,'Lower Cask Movement &amp; Logistics'!$H$13:$H$19,0)),"N/A")</f>
        <v>N/A</v>
      </c>
      <c r="M55" s="1602" t="str">
        <f>IFERROR(VLOOKUP($I55,'Lower Cask Movement &amp; Logistics'!$H$4:$I$9,2,FALSE),"N/A")</f>
        <v>N/A</v>
      </c>
      <c r="N55" s="1600" t="str">
        <f>IF(D55="Movement",IFERROR((L55/M55)/(60*60),"Error"),"N/A")</f>
        <v>N/A</v>
      </c>
      <c r="O55" s="1603"/>
      <c r="P55" s="1600" t="str">
        <f>IF($D55="Logistics",VLOOKUP($O55,'Lower Cask Movement &amp; Logistics'!$C$4:$D$54,2,FALSE),"N/A")</f>
        <v>N/A</v>
      </c>
      <c r="Q55" s="1603"/>
      <c r="R55" s="1600" t="str">
        <f>IFERROR(VLOOKUP($Q55,'Lower Cask Dependencies'!$C$5:$F$277,4,FALSE),"N/A")</f>
        <v>N/A</v>
      </c>
      <c r="S55" s="1600" t="str">
        <f t="shared" si="3"/>
        <v>N/A</v>
      </c>
    </row>
    <row r="56" spans="2:19" x14ac:dyDescent="0.35">
      <c r="B56" s="3784"/>
      <c r="C56" s="1597" t="s">
        <v>1545</v>
      </c>
      <c r="D56" s="1598" t="s">
        <v>3</v>
      </c>
      <c r="E56" s="1599">
        <f t="shared" si="6"/>
        <v>0.38</v>
      </c>
      <c r="F56" s="1599">
        <f t="shared" si="8"/>
        <v>110.75361111111108</v>
      </c>
      <c r="G56" s="1597"/>
      <c r="H56" s="1600" t="str">
        <f>IF(D56="operation",VLOOKUP(G56,'Generic Divertor Port Tasks'!C$4:D$223,2,FALSE),"N/A")</f>
        <v>N/A</v>
      </c>
      <c r="I56" s="1597"/>
      <c r="J56" s="1601"/>
      <c r="K56" s="1601"/>
      <c r="L56" s="1602" t="str">
        <f>IFERROR(INDEX('Lower Cask Movement &amp; Logistics'!$I$13:$O$19,MATCH($J56,'Lower Cask Movement &amp; Logistics'!$H$13:$H$19,0),MATCH($K56,'Lower Cask Movement &amp; Logistics'!$H$13:$H$19,0)),"N/A")</f>
        <v>N/A</v>
      </c>
      <c r="M56" s="1602" t="str">
        <f>IFERROR(VLOOKUP($I56,'Lower Cask Movement &amp; Logistics'!$H$4:$I$9,2,FALSE),"N/A")</f>
        <v>N/A</v>
      </c>
      <c r="N56" s="1600" t="str">
        <f>IF(D56="Movement",IFERROR((L56/M56)/(60*60),"Error"),"N/A")</f>
        <v>N/A</v>
      </c>
      <c r="O56" s="1603" t="s">
        <v>1546</v>
      </c>
      <c r="P56" s="1600">
        <f>IF($D56="Logistics",VLOOKUP($O56,'Lower Cask Movement &amp; Logistics'!$C$4:$D$54,2,FALSE),"N/A")</f>
        <v>0.38</v>
      </c>
      <c r="Q56" s="1603"/>
      <c r="R56" s="1600" t="str">
        <f>IFERROR(VLOOKUP($Q56,'Lower Cask Dependencies'!$C$5:$F$277,4,FALSE),"N/A")</f>
        <v>N/A</v>
      </c>
      <c r="S56" s="1600" t="str">
        <f t="shared" si="3"/>
        <v>N/A</v>
      </c>
    </row>
    <row r="57" spans="2:19" ht="13.3" thickBot="1" x14ac:dyDescent="0.4">
      <c r="B57" s="3785"/>
      <c r="C57" s="1608" t="s">
        <v>1583</v>
      </c>
      <c r="D57" s="1608" t="s">
        <v>3</v>
      </c>
      <c r="E57" s="1606">
        <f t="shared" si="6"/>
        <v>2.3000000000000003</v>
      </c>
      <c r="F57" s="1606">
        <f t="shared" si="8"/>
        <v>113.05361111111108</v>
      </c>
      <c r="G57" s="1604"/>
      <c r="H57" s="1607" t="str">
        <f>IF(D57="operation",VLOOKUP(G57,'Generic Divertor Port Tasks'!C$4:D$223,2,FALSE),"N/A")</f>
        <v>N/A</v>
      </c>
      <c r="I57" s="1604"/>
      <c r="J57" s="1608"/>
      <c r="K57" s="1608"/>
      <c r="L57" s="1609" t="str">
        <f>IFERROR(INDEX('Lower Cask Movement &amp; Logistics'!$I$13:$O$19,MATCH($J57,'Lower Cask Movement &amp; Logistics'!$H$13:$H$19,0),MATCH($K57,'Lower Cask Movement &amp; Logistics'!$H$13:$H$19,0)),"N/A")</f>
        <v>N/A</v>
      </c>
      <c r="M57" s="1609" t="str">
        <f>IFERROR(VLOOKUP($I57,'Lower Cask Movement &amp; Logistics'!$H$4:$I$9,2,FALSE),"N/A")</f>
        <v>N/A</v>
      </c>
      <c r="N57" s="1607" t="str">
        <f>IF(D57="Movement",IFERROR((L57/M57)/(60*60),"Error"),"N/A")</f>
        <v>N/A</v>
      </c>
      <c r="O57" s="1610" t="s">
        <v>1552</v>
      </c>
      <c r="P57" s="1607">
        <f>IF($D57="Logistics",VLOOKUP($O57,'Lower Cask Movement &amp; Logistics'!$C$4:$D$54,2,FALSE),"N/A")</f>
        <v>2.3000000000000003</v>
      </c>
      <c r="Q57" s="1610"/>
      <c r="R57" s="1607" t="str">
        <f>IFERROR(VLOOKUP($Q57,'Lower Cask Dependencies'!$C$5:$F$277,4,FALSE),"N/A")</f>
        <v>N/A</v>
      </c>
      <c r="S57" s="1607" t="str">
        <f t="shared" si="3"/>
        <v>N/A</v>
      </c>
    </row>
    <row r="58" spans="2:19" x14ac:dyDescent="0.35">
      <c r="B58" s="3786" t="s">
        <v>1584</v>
      </c>
      <c r="C58" s="1638" t="s">
        <v>1585</v>
      </c>
      <c r="D58" s="1639" t="s">
        <v>3</v>
      </c>
      <c r="E58" s="1640">
        <f t="shared" si="6"/>
        <v>1.9</v>
      </c>
      <c r="F58" s="1640">
        <f t="shared" si="8"/>
        <v>114.95361111111109</v>
      </c>
      <c r="G58" s="1638"/>
      <c r="H58" s="1641" t="str">
        <f>IF(D58="operation",VLOOKUP(G58,'Generic Divertor Port Tasks'!C$4:D$223,2,FALSE),"N/A")</f>
        <v>N/A</v>
      </c>
      <c r="I58" s="1638"/>
      <c r="J58" s="1642"/>
      <c r="K58" s="1642"/>
      <c r="L58" s="1643" t="str">
        <f>IFERROR(INDEX('Lower Cask Movement &amp; Logistics'!$I$13:$O$19,MATCH($J58,'Lower Cask Movement &amp; Logistics'!$H$13:$H$19,0),MATCH($K58,'Lower Cask Movement &amp; Logistics'!$H$13:$H$19,0)),"N/A")</f>
        <v>N/A</v>
      </c>
      <c r="M58" s="1643" t="str">
        <f>IFERROR(VLOOKUP($I58,'Lower Cask Movement &amp; Logistics'!$H$4:$I$9,2,FALSE),"N/A")</f>
        <v>N/A</v>
      </c>
      <c r="N58" s="1641" t="str">
        <f t="shared" si="1"/>
        <v>N/A</v>
      </c>
      <c r="O58" s="1644" t="s">
        <v>1541</v>
      </c>
      <c r="P58" s="1641">
        <f>IF($D58="Logistics",VLOOKUP($O58,'Lower Cask Movement &amp; Logistics'!$C$4:$D$54,2,FALSE),"N/A")</f>
        <v>1.9</v>
      </c>
      <c r="Q58" s="1644" t="s">
        <v>2681</v>
      </c>
      <c r="R58" s="1641" t="str">
        <f>IFERROR(VLOOKUP($Q58,'Lower Cask Dependencies'!$C$5:$F$277,4,FALSE),"N/A")</f>
        <v>N/A</v>
      </c>
      <c r="S58" s="1641" t="str">
        <f t="shared" si="3"/>
        <v>N/A</v>
      </c>
    </row>
    <row r="59" spans="2:19" x14ac:dyDescent="0.35">
      <c r="B59" s="3786"/>
      <c r="C59" s="1579" t="s">
        <v>1252</v>
      </c>
      <c r="D59" s="1611" t="s">
        <v>3</v>
      </c>
      <c r="E59" s="626">
        <f t="shared" si="6"/>
        <v>0.38</v>
      </c>
      <c r="F59" s="626">
        <f t="shared" si="8"/>
        <v>115.33361111111108</v>
      </c>
      <c r="G59" s="1579"/>
      <c r="H59" s="1183" t="str">
        <f>IF(D59="operation",VLOOKUP(G59,'Generic Divertor Port Tasks'!C$4:D$223,2,FALSE),"N/A")</f>
        <v>N/A</v>
      </c>
      <c r="I59" s="1579"/>
      <c r="J59" s="582"/>
      <c r="K59" s="582"/>
      <c r="L59" s="1478" t="str">
        <f>IFERROR(INDEX('Lower Cask Movement &amp; Logistics'!$I$13:$O$19,MATCH($J59,'Lower Cask Movement &amp; Logistics'!$H$13:$H$19,0),MATCH($K59,'Lower Cask Movement &amp; Logistics'!$H$13:$H$19,0)),"N/A")</f>
        <v>N/A</v>
      </c>
      <c r="M59" s="1478" t="str">
        <f>IFERROR(VLOOKUP($I59,'Lower Cask Movement &amp; Logistics'!$H$4:$I$9,2,FALSE),"N/A")</f>
        <v>N/A</v>
      </c>
      <c r="N59" s="1183" t="str">
        <f t="shared" si="1"/>
        <v>N/A</v>
      </c>
      <c r="O59" s="1578" t="s">
        <v>1544</v>
      </c>
      <c r="P59" s="1183">
        <f>IF($D59="Logistics",VLOOKUP($O59,'Lower Cask Movement &amp; Logistics'!$C$4:$D$54,2,FALSE),"N/A")</f>
        <v>0.38</v>
      </c>
      <c r="Q59" s="1578"/>
      <c r="R59" s="1183" t="str">
        <f>IFERROR(VLOOKUP($Q59,'Lower Cask Dependencies'!$C$5:$F$277,4,FALSE),"N/A")</f>
        <v>N/A</v>
      </c>
      <c r="S59" s="1183" t="str">
        <f t="shared" si="3"/>
        <v>N/A</v>
      </c>
    </row>
    <row r="60" spans="2:19" x14ac:dyDescent="0.35">
      <c r="B60" s="3786"/>
      <c r="C60" s="1579" t="s">
        <v>1587</v>
      </c>
      <c r="D60" s="1611" t="s">
        <v>251</v>
      </c>
      <c r="E60" s="626">
        <f t="shared" si="6"/>
        <v>3.83</v>
      </c>
      <c r="F60" s="626">
        <f t="shared" si="8"/>
        <v>119.16361111111108</v>
      </c>
      <c r="G60" s="1579" t="s">
        <v>269</v>
      </c>
      <c r="H60" s="1183">
        <f>IF(D60="operation",VLOOKUP(G60,'Generic Divertor Port Tasks'!C$4:D$223,2,FALSE),"N/A")</f>
        <v>3.83</v>
      </c>
      <c r="I60" s="1579"/>
      <c r="J60" s="582"/>
      <c r="K60" s="582"/>
      <c r="L60" s="1478" t="str">
        <f>IFERROR(INDEX('Lower Cask Movement &amp; Logistics'!$I$13:$O$19,MATCH($J60,'Lower Cask Movement &amp; Logistics'!$H$13:$H$19,0),MATCH($K60,'Lower Cask Movement &amp; Logistics'!$H$13:$H$19,0)),"N/A")</f>
        <v>N/A</v>
      </c>
      <c r="M60" s="1478" t="str">
        <f>IFERROR(VLOOKUP($I60,'Lower Cask Movement &amp; Logistics'!$H$4:$I$9,2,FALSE),"N/A")</f>
        <v>N/A</v>
      </c>
      <c r="N60" s="1183" t="str">
        <f t="shared" si="1"/>
        <v>N/A</v>
      </c>
      <c r="O60" s="1578"/>
      <c r="P60" s="1183" t="str">
        <f>IF($D60="Logistics",VLOOKUP($O60,'Lower Cask Movement &amp; Logistics'!$C$4:$D$54,2,FALSE),"N/A")</f>
        <v>N/A</v>
      </c>
      <c r="Q60" s="1578"/>
      <c r="R60" s="1183" t="str">
        <f>IFERROR(VLOOKUP($Q60,'Lower Cask Dependencies'!$C$5:$F$277,4,FALSE),"N/A")</f>
        <v>N/A</v>
      </c>
      <c r="S60" s="1183" t="str">
        <f t="shared" si="3"/>
        <v>N/A</v>
      </c>
    </row>
    <row r="61" spans="2:19" x14ac:dyDescent="0.35">
      <c r="B61" s="3786"/>
      <c r="C61" s="1579" t="s">
        <v>1588</v>
      </c>
      <c r="D61" s="1611" t="s">
        <v>251</v>
      </c>
      <c r="E61" s="626">
        <f t="shared" si="6"/>
        <v>3.83</v>
      </c>
      <c r="F61" s="626">
        <f t="shared" si="8"/>
        <v>122.99361111111108</v>
      </c>
      <c r="G61" s="1579" t="s">
        <v>269</v>
      </c>
      <c r="H61" s="1183">
        <f>IF(D61="operation",VLOOKUP(G61,'Generic Divertor Port Tasks'!C$4:D$223,2,FALSE),"N/A")</f>
        <v>3.83</v>
      </c>
      <c r="I61" s="1579"/>
      <c r="J61" s="582"/>
      <c r="K61" s="582"/>
      <c r="L61" s="1478" t="str">
        <f>IFERROR(INDEX('Lower Cask Movement &amp; Logistics'!$I$13:$O$19,MATCH($J61,'Lower Cask Movement &amp; Logistics'!$H$13:$H$19,0),MATCH($K61,'Lower Cask Movement &amp; Logistics'!$H$13:$H$19,0)),"N/A")</f>
        <v>N/A</v>
      </c>
      <c r="M61" s="1478" t="str">
        <f>IFERROR(VLOOKUP($I61,'Lower Cask Movement &amp; Logistics'!$H$4:$I$9,2,FALSE),"N/A")</f>
        <v>N/A</v>
      </c>
      <c r="N61" s="1183" t="str">
        <f t="shared" si="1"/>
        <v>N/A</v>
      </c>
      <c r="O61" s="1578"/>
      <c r="P61" s="1183" t="str">
        <f>IF($D61="Logistics",VLOOKUP($O61,'Lower Cask Movement &amp; Logistics'!$C$4:$D$54,2,FALSE),"N/A")</f>
        <v>N/A</v>
      </c>
      <c r="Q61" s="1578"/>
      <c r="R61" s="1183" t="str">
        <f>IFERROR(VLOOKUP($Q61,'Lower Cask Dependencies'!$C$5:$F$277,4,FALSE),"N/A")</f>
        <v>N/A</v>
      </c>
      <c r="S61" s="1183" t="str">
        <f t="shared" si="3"/>
        <v>N/A</v>
      </c>
    </row>
    <row r="62" spans="2:19" x14ac:dyDescent="0.35">
      <c r="B62" s="3786"/>
      <c r="C62" s="1579" t="s">
        <v>1589</v>
      </c>
      <c r="D62" s="1611" t="s">
        <v>251</v>
      </c>
      <c r="E62" s="626">
        <f t="shared" si="6"/>
        <v>3.83</v>
      </c>
      <c r="F62" s="626">
        <f t="shared" si="8"/>
        <v>126.82361111111108</v>
      </c>
      <c r="G62" s="1579" t="s">
        <v>269</v>
      </c>
      <c r="H62" s="1183">
        <f>IF(D62="operation",VLOOKUP(G62,'Generic Divertor Port Tasks'!C$4:D$223,2,FALSE),"N/A")</f>
        <v>3.83</v>
      </c>
      <c r="I62" s="1579"/>
      <c r="J62" s="582"/>
      <c r="K62" s="582"/>
      <c r="L62" s="1478" t="str">
        <f>IFERROR(INDEX('Lower Cask Movement &amp; Logistics'!$I$13:$O$19,MATCH($J62,'Lower Cask Movement &amp; Logistics'!$H$13:$H$19,0),MATCH($K62,'Lower Cask Movement &amp; Logistics'!$H$13:$H$19,0)),"N/A")</f>
        <v>N/A</v>
      </c>
      <c r="M62" s="1478" t="str">
        <f>IFERROR(VLOOKUP($I62,'Lower Cask Movement &amp; Logistics'!$H$4:$I$9,2,FALSE),"N/A")</f>
        <v>N/A</v>
      </c>
      <c r="N62" s="1183" t="str">
        <f t="shared" si="1"/>
        <v>N/A</v>
      </c>
      <c r="O62" s="1578"/>
      <c r="P62" s="1183" t="str">
        <f>IF($D62="Logistics",VLOOKUP($O62,'Lower Cask Movement &amp; Logistics'!$C$4:$D$54,2,FALSE),"N/A")</f>
        <v>N/A</v>
      </c>
      <c r="Q62" s="1578"/>
      <c r="R62" s="1183" t="str">
        <f>IFERROR(VLOOKUP($Q62,'Lower Cask Dependencies'!$C$5:$F$277,4,FALSE),"N/A")</f>
        <v>N/A</v>
      </c>
      <c r="S62" s="1183" t="str">
        <f t="shared" si="3"/>
        <v>N/A</v>
      </c>
    </row>
    <row r="63" spans="2:19" x14ac:dyDescent="0.35">
      <c r="B63" s="3786"/>
      <c r="C63" s="1579" t="s">
        <v>1590</v>
      </c>
      <c r="D63" s="1611" t="s">
        <v>3</v>
      </c>
      <c r="E63" s="626">
        <f t="shared" si="6"/>
        <v>0.38</v>
      </c>
      <c r="F63" s="626">
        <f t="shared" si="8"/>
        <v>127.20361111111107</v>
      </c>
      <c r="G63" s="1579"/>
      <c r="H63" s="1183" t="str">
        <f>IF(D63="operation",VLOOKUP(G63,'Generic Divertor Port Tasks'!C$4:D$223,2,FALSE),"N/A")</f>
        <v>N/A</v>
      </c>
      <c r="I63" s="1579"/>
      <c r="J63" s="582"/>
      <c r="K63" s="582"/>
      <c r="L63" s="1478" t="str">
        <f>IFERROR(INDEX('Lower Cask Movement &amp; Logistics'!$I$13:$O$19,MATCH($J63,'Lower Cask Movement &amp; Logistics'!$H$13:$H$19,0),MATCH($K63,'Lower Cask Movement &amp; Logistics'!$H$13:$H$19,0)),"N/A")</f>
        <v>N/A</v>
      </c>
      <c r="M63" s="1478" t="str">
        <f>IFERROR(VLOOKUP($I63,'Lower Cask Movement &amp; Logistics'!$H$4:$I$9,2,FALSE),"N/A")</f>
        <v>N/A</v>
      </c>
      <c r="N63" s="1183" t="str">
        <f t="shared" si="1"/>
        <v>N/A</v>
      </c>
      <c r="O63" s="1578" t="s">
        <v>1546</v>
      </c>
      <c r="P63" s="1183">
        <f>IF($D63="Logistics",VLOOKUP($O63,'Lower Cask Movement &amp; Logistics'!$C$4:$D$54,2,FALSE),"N/A")</f>
        <v>0.38</v>
      </c>
      <c r="Q63" s="1578"/>
      <c r="R63" s="1183" t="str">
        <f>IFERROR(VLOOKUP($Q63,'Lower Cask Dependencies'!$C$5:$F$277,4,FALSE),"N/A")</f>
        <v>N/A</v>
      </c>
      <c r="S63" s="1183" t="str">
        <f t="shared" si="3"/>
        <v>N/A</v>
      </c>
    </row>
    <row r="64" spans="2:19" x14ac:dyDescent="0.35">
      <c r="B64" s="3786"/>
      <c r="C64" s="1579" t="s">
        <v>1247</v>
      </c>
      <c r="D64" s="1611" t="s">
        <v>3</v>
      </c>
      <c r="E64" s="626">
        <f t="shared" si="6"/>
        <v>0.38</v>
      </c>
      <c r="F64" s="626">
        <f t="shared" si="8"/>
        <v>127.58361111111107</v>
      </c>
      <c r="G64" s="1579"/>
      <c r="H64" s="1183" t="str">
        <f>IF(D64="operation",VLOOKUP(G64,'Generic Divertor Port Tasks'!C$4:D$223,2,FALSE),"N/A")</f>
        <v>N/A</v>
      </c>
      <c r="I64" s="1579"/>
      <c r="J64" s="582"/>
      <c r="K64" s="582"/>
      <c r="L64" s="1478" t="str">
        <f>IFERROR(INDEX('Lower Cask Movement &amp; Logistics'!$I$13:$O$19,MATCH($J64,'Lower Cask Movement &amp; Logistics'!$H$13:$H$19,0),MATCH($K64,'Lower Cask Movement &amp; Logistics'!$H$13:$H$19,0)),"N/A")</f>
        <v>N/A</v>
      </c>
      <c r="M64" s="1478" t="str">
        <f>IFERROR(VLOOKUP($I64,'Lower Cask Movement &amp; Logistics'!$H$4:$I$9,2,FALSE),"N/A")</f>
        <v>N/A</v>
      </c>
      <c r="N64" s="1183" t="str">
        <f t="shared" si="1"/>
        <v>N/A</v>
      </c>
      <c r="O64" s="1578" t="s">
        <v>1544</v>
      </c>
      <c r="P64" s="1183">
        <f>IF($D64="Logistics",VLOOKUP($O64,'Lower Cask Movement &amp; Logistics'!$C$4:$D$54,2,FALSE),"N/A")</f>
        <v>0.38</v>
      </c>
      <c r="Q64" s="1578"/>
      <c r="R64" s="1183" t="str">
        <f>IFERROR(VLOOKUP($Q64,'Lower Cask Dependencies'!$C$5:$F$277,4,FALSE),"N/A")</f>
        <v>N/A</v>
      </c>
      <c r="S64" s="1183" t="str">
        <f t="shared" si="3"/>
        <v>N/A</v>
      </c>
    </row>
    <row r="65" spans="2:19" x14ac:dyDescent="0.35">
      <c r="B65" s="3786"/>
      <c r="C65" s="1579" t="s">
        <v>1591</v>
      </c>
      <c r="D65" s="1611" t="s">
        <v>251</v>
      </c>
      <c r="E65" s="626">
        <f t="shared" si="0"/>
        <v>1.0254848792637863</v>
      </c>
      <c r="F65" s="626">
        <f t="shared" si="5"/>
        <v>128.60909599037487</v>
      </c>
      <c r="G65" s="1579" t="s">
        <v>440</v>
      </c>
      <c r="H65" s="1183">
        <f>IF(D65="operation",VLOOKUP(G65,'Generic Divertor Port Tasks'!C$4:D$223,2,FALSE),"N/A")</f>
        <v>1.0254848792637863</v>
      </c>
      <c r="I65" s="1579"/>
      <c r="J65" s="582"/>
      <c r="K65" s="582"/>
      <c r="L65" s="1478" t="str">
        <f>IFERROR(INDEX('Lower Cask Movement &amp; Logistics'!$I$13:$O$19,MATCH($J65,'Lower Cask Movement &amp; Logistics'!$H$13:$H$19,0),MATCH($K65,'Lower Cask Movement &amp; Logistics'!$H$13:$H$19,0)),"N/A")</f>
        <v>N/A</v>
      </c>
      <c r="M65" s="1478" t="str">
        <f>IFERROR(VLOOKUP($I65,'Lower Cask Movement &amp; Logistics'!$H$4:$I$9,2,FALSE),"N/A")</f>
        <v>N/A</v>
      </c>
      <c r="N65" s="1183" t="str">
        <f t="shared" si="1"/>
        <v>N/A</v>
      </c>
      <c r="O65" s="1578"/>
      <c r="P65" s="1183" t="str">
        <f>IF($D65="Logistics",VLOOKUP($O65,'Lower Cask Movement &amp; Logistics'!$C$4:$D$54,2,FALSE),"N/A")</f>
        <v>N/A</v>
      </c>
      <c r="Q65" s="1578"/>
      <c r="R65" s="1183" t="str">
        <f>IFERROR(VLOOKUP($Q65,'Lower Cask Dependencies'!$C$5:$F$277,4,FALSE),"N/A")</f>
        <v>N/A</v>
      </c>
      <c r="S65" s="1183" t="str">
        <f t="shared" si="3"/>
        <v>N/A</v>
      </c>
    </row>
    <row r="66" spans="2:19" x14ac:dyDescent="0.35">
      <c r="B66" s="3786"/>
      <c r="C66" s="1579" t="s">
        <v>1592</v>
      </c>
      <c r="D66" s="1611" t="s">
        <v>3</v>
      </c>
      <c r="E66" s="626">
        <f t="shared" si="0"/>
        <v>0.38</v>
      </c>
      <c r="F66" s="626">
        <f t="shared" si="5"/>
        <v>128.98909599037486</v>
      </c>
      <c r="G66" s="1579"/>
      <c r="H66" s="1183" t="str">
        <f>IF(D66="operation",VLOOKUP(G66,'Generic Divertor Port Tasks'!C$4:D$223,2,FALSE),"N/A")</f>
        <v>N/A</v>
      </c>
      <c r="I66" s="1579"/>
      <c r="J66" s="582"/>
      <c r="K66" s="582"/>
      <c r="L66" s="1478" t="str">
        <f>IFERROR(INDEX('Lower Cask Movement &amp; Logistics'!$I$13:$O$19,MATCH($J66,'Lower Cask Movement &amp; Logistics'!$H$13:$H$19,0),MATCH($K66,'Lower Cask Movement &amp; Logistics'!$H$13:$H$19,0)),"N/A")</f>
        <v>N/A</v>
      </c>
      <c r="M66" s="1478" t="str">
        <f>IFERROR(VLOOKUP($I66,'Lower Cask Movement &amp; Logistics'!$H$4:$I$9,2,FALSE),"N/A")</f>
        <v>N/A</v>
      </c>
      <c r="N66" s="1183" t="str">
        <f t="shared" si="1"/>
        <v>N/A</v>
      </c>
      <c r="O66" s="1578" t="s">
        <v>1546</v>
      </c>
      <c r="P66" s="1183">
        <f>IF($D66="Logistics",VLOOKUP($O66,'Lower Cask Movement &amp; Logistics'!$C$4:$D$54,2,FALSE),"N/A")</f>
        <v>0.38</v>
      </c>
      <c r="Q66" s="1578"/>
      <c r="R66" s="1183" t="str">
        <f>IFERROR(VLOOKUP($Q66,'Lower Cask Dependencies'!$C$5:$F$277,4,FALSE),"N/A")</f>
        <v>N/A</v>
      </c>
      <c r="S66" s="1183" t="str">
        <f t="shared" si="3"/>
        <v>N/A</v>
      </c>
    </row>
    <row r="67" spans="2:19" x14ac:dyDescent="0.35">
      <c r="B67" s="3786"/>
      <c r="C67" s="1579" t="s">
        <v>1593</v>
      </c>
      <c r="D67" s="1611" t="s">
        <v>3</v>
      </c>
      <c r="E67" s="626">
        <f t="shared" si="0"/>
        <v>0.53</v>
      </c>
      <c r="F67" s="626">
        <f t="shared" si="5"/>
        <v>129.51909599037486</v>
      </c>
      <c r="G67" s="1579"/>
      <c r="H67" s="1183" t="str">
        <f>IF(D67="operation",VLOOKUP(G67,'Generic Divertor Port Tasks'!C$4:D$223,2,FALSE),"N/A")</f>
        <v>N/A</v>
      </c>
      <c r="I67" s="1579"/>
      <c r="J67" s="582"/>
      <c r="K67" s="582"/>
      <c r="L67" s="1478" t="str">
        <f>IFERROR(INDEX('Lower Cask Movement &amp; Logistics'!$I$13:$O$19,MATCH($J67,'Lower Cask Movement &amp; Logistics'!$H$13:$H$19,0),MATCH($K67,'Lower Cask Movement &amp; Logistics'!$H$13:$H$19,0)),"N/A")</f>
        <v>N/A</v>
      </c>
      <c r="M67" s="1478" t="str">
        <f>IFERROR(VLOOKUP($I67,'Lower Cask Movement &amp; Logistics'!$H$4:$I$9,2,FALSE),"N/A")</f>
        <v>N/A</v>
      </c>
      <c r="N67" s="1183" t="str">
        <f t="shared" si="1"/>
        <v>N/A</v>
      </c>
      <c r="O67" s="1578" t="s">
        <v>1558</v>
      </c>
      <c r="P67" s="1183">
        <f>IF($D67="Logistics",VLOOKUP($O67,'Lower Cask Movement &amp; Logistics'!$C$4:$D$54,2,FALSE),"N/A")</f>
        <v>0.53</v>
      </c>
      <c r="Q67" s="1578"/>
      <c r="R67" s="1183" t="str">
        <f>IFERROR(VLOOKUP($Q67,'Lower Cask Dependencies'!$C$5:$F$277,4,FALSE),"N/A")</f>
        <v>N/A</v>
      </c>
      <c r="S67" s="1183" t="str">
        <f t="shared" si="3"/>
        <v>N/A</v>
      </c>
    </row>
    <row r="68" spans="2:19" x14ac:dyDescent="0.35">
      <c r="B68" s="3786"/>
      <c r="C68" s="1579" t="s">
        <v>1594</v>
      </c>
      <c r="D68" s="1611" t="s">
        <v>251</v>
      </c>
      <c r="E68" s="626">
        <f t="shared" si="0"/>
        <v>1.0254848792637863</v>
      </c>
      <c r="F68" s="626">
        <f t="shared" si="5"/>
        <v>130.54458086963865</v>
      </c>
      <c r="G68" s="1579" t="s">
        <v>440</v>
      </c>
      <c r="H68" s="1183">
        <f>IF(D68="operation",VLOOKUP(G68,'Generic Divertor Port Tasks'!C$4:D$223,2,FALSE),"N/A")</f>
        <v>1.0254848792637863</v>
      </c>
      <c r="I68" s="1579"/>
      <c r="J68" s="582"/>
      <c r="K68" s="582"/>
      <c r="L68" s="1478" t="str">
        <f>IFERROR(INDEX('Lower Cask Movement &amp; Logistics'!$I$13:$O$19,MATCH($J68,'Lower Cask Movement &amp; Logistics'!$H$13:$H$19,0),MATCH($K68,'Lower Cask Movement &amp; Logistics'!$H$13:$H$19,0)),"N/A")</f>
        <v>N/A</v>
      </c>
      <c r="M68" s="1478" t="str">
        <f>IFERROR(VLOOKUP($I68,'Lower Cask Movement &amp; Logistics'!$H$4:$I$9,2,FALSE),"N/A")</f>
        <v>N/A</v>
      </c>
      <c r="N68" s="1183" t="str">
        <f t="shared" si="1"/>
        <v>N/A</v>
      </c>
      <c r="O68" s="1578"/>
      <c r="P68" s="1183" t="str">
        <f>IF($D68="Logistics",VLOOKUP($O68,'Lower Cask Movement &amp; Logistics'!$C$4:$D$54,2,FALSE),"N/A")</f>
        <v>N/A</v>
      </c>
      <c r="Q68" s="1578"/>
      <c r="R68" s="1183" t="str">
        <f>IFERROR(VLOOKUP($Q68,'Lower Cask Dependencies'!$C$5:$F$277,4,FALSE),"N/A")</f>
        <v>N/A</v>
      </c>
      <c r="S68" s="1183" t="str">
        <f t="shared" si="3"/>
        <v>N/A</v>
      </c>
    </row>
    <row r="69" spans="2:19" x14ac:dyDescent="0.35">
      <c r="B69" s="3786"/>
      <c r="C69" s="1579" t="s">
        <v>1595</v>
      </c>
      <c r="D69" s="1611" t="s">
        <v>3</v>
      </c>
      <c r="E69" s="626">
        <f t="shared" si="0"/>
        <v>0.38</v>
      </c>
      <c r="F69" s="626">
        <f t="shared" si="5"/>
        <v>130.92458086963865</v>
      </c>
      <c r="G69" s="1579"/>
      <c r="H69" s="1183" t="str">
        <f>IF(D69="operation",VLOOKUP(G69,'Generic Divertor Port Tasks'!C$4:D$223,2,FALSE),"N/A")</f>
        <v>N/A</v>
      </c>
      <c r="I69" s="1579"/>
      <c r="J69" s="582"/>
      <c r="K69" s="582"/>
      <c r="L69" s="1478" t="str">
        <f>IFERROR(INDEX('Lower Cask Movement &amp; Logistics'!$I$13:$O$19,MATCH($J69,'Lower Cask Movement &amp; Logistics'!$H$13:$H$19,0),MATCH($K69,'Lower Cask Movement &amp; Logistics'!$H$13:$H$19,0)),"N/A")</f>
        <v>N/A</v>
      </c>
      <c r="M69" s="1478" t="str">
        <f>IFERROR(VLOOKUP($I69,'Lower Cask Movement &amp; Logistics'!$H$4:$I$9,2,FALSE),"N/A")</f>
        <v>N/A</v>
      </c>
      <c r="N69" s="1183" t="str">
        <f t="shared" si="1"/>
        <v>N/A</v>
      </c>
      <c r="O69" s="1578" t="s">
        <v>1546</v>
      </c>
      <c r="P69" s="1183">
        <f>IF($D69="Logistics",VLOOKUP($O69,'Lower Cask Movement &amp; Logistics'!$C$4:$D$54,2,FALSE),"N/A")</f>
        <v>0.38</v>
      </c>
      <c r="Q69" s="1578"/>
      <c r="R69" s="1183" t="str">
        <f>IFERROR(VLOOKUP($Q69,'Lower Cask Dependencies'!$C$5:$F$277,4,FALSE),"N/A")</f>
        <v>N/A</v>
      </c>
      <c r="S69" s="1183" t="str">
        <f t="shared" si="3"/>
        <v>N/A</v>
      </c>
    </row>
    <row r="70" spans="2:19" x14ac:dyDescent="0.35">
      <c r="B70" s="3786"/>
      <c r="C70" s="1579" t="s">
        <v>1596</v>
      </c>
      <c r="D70" s="1611" t="s">
        <v>3</v>
      </c>
      <c r="E70" s="626">
        <f t="shared" si="0"/>
        <v>0.53</v>
      </c>
      <c r="F70" s="626">
        <f t="shared" si="5"/>
        <v>131.45458086963865</v>
      </c>
      <c r="G70" s="1579"/>
      <c r="H70" s="1183" t="str">
        <f>IF(D70="operation",VLOOKUP(G70,'Generic Divertor Port Tasks'!C$4:D$223,2,FALSE),"N/A")</f>
        <v>N/A</v>
      </c>
      <c r="I70" s="1579"/>
      <c r="J70" s="582"/>
      <c r="K70" s="582"/>
      <c r="L70" s="1478" t="str">
        <f>IFERROR(INDEX('Lower Cask Movement &amp; Logistics'!$I$13:$O$19,MATCH($J70,'Lower Cask Movement &amp; Logistics'!$H$13:$H$19,0),MATCH($K70,'Lower Cask Movement &amp; Logistics'!$H$13:$H$19,0)),"N/A")</f>
        <v>N/A</v>
      </c>
      <c r="M70" s="1478" t="str">
        <f>IFERROR(VLOOKUP($I70,'Lower Cask Movement &amp; Logistics'!$H$4:$I$9,2,FALSE),"N/A")</f>
        <v>N/A</v>
      </c>
      <c r="N70" s="1183" t="str">
        <f t="shared" si="1"/>
        <v>N/A</v>
      </c>
      <c r="O70" s="1578" t="s">
        <v>1558</v>
      </c>
      <c r="P70" s="1183">
        <f>IF($D70="Logistics",VLOOKUP($O70,'Lower Cask Movement &amp; Logistics'!$C$4:$D$54,2,FALSE),"N/A")</f>
        <v>0.53</v>
      </c>
      <c r="Q70" s="1578"/>
      <c r="R70" s="1183" t="str">
        <f>IFERROR(VLOOKUP($Q70,'Lower Cask Dependencies'!$C$5:$F$277,4,FALSE),"N/A")</f>
        <v>N/A</v>
      </c>
      <c r="S70" s="1183" t="str">
        <f t="shared" si="3"/>
        <v>N/A</v>
      </c>
    </row>
    <row r="71" spans="2:19" x14ac:dyDescent="0.35">
      <c r="B71" s="3786"/>
      <c r="C71" s="1579" t="s">
        <v>1597</v>
      </c>
      <c r="D71" s="1611" t="s">
        <v>251</v>
      </c>
      <c r="E71" s="626">
        <f t="shared" si="0"/>
        <v>1.0254848792637863</v>
      </c>
      <c r="F71" s="626">
        <f t="shared" si="5"/>
        <v>132.48006574890243</v>
      </c>
      <c r="G71" s="1579" t="s">
        <v>440</v>
      </c>
      <c r="H71" s="1183">
        <f>IF(D71="operation",VLOOKUP(G71,'Generic Divertor Port Tasks'!C$4:D$223,2,FALSE),"N/A")</f>
        <v>1.0254848792637863</v>
      </c>
      <c r="I71" s="1579"/>
      <c r="J71" s="582"/>
      <c r="K71" s="582"/>
      <c r="L71" s="1478" t="str">
        <f>IFERROR(INDEX('Lower Cask Movement &amp; Logistics'!$I$13:$O$19,MATCH($J71,'Lower Cask Movement &amp; Logistics'!$H$13:$H$19,0),MATCH($K71,'Lower Cask Movement &amp; Logistics'!$H$13:$H$19,0)),"N/A")</f>
        <v>N/A</v>
      </c>
      <c r="M71" s="1478" t="str">
        <f>IFERROR(VLOOKUP($I71,'Lower Cask Movement &amp; Logistics'!$H$4:$I$9,2,FALSE),"N/A")</f>
        <v>N/A</v>
      </c>
      <c r="N71" s="1183" t="str">
        <f t="shared" si="1"/>
        <v>N/A</v>
      </c>
      <c r="O71" s="1578"/>
      <c r="P71" s="1183" t="str">
        <f>IF($D71="Logistics",VLOOKUP($O71,'Lower Cask Movement &amp; Logistics'!$C$4:$D$54,2,FALSE),"N/A")</f>
        <v>N/A</v>
      </c>
      <c r="Q71" s="1578"/>
      <c r="R71" s="1183" t="str">
        <f>IFERROR(VLOOKUP($Q71,'Lower Cask Dependencies'!$C$5:$F$277,4,FALSE),"N/A")</f>
        <v>N/A</v>
      </c>
      <c r="S71" s="1183" t="str">
        <f t="shared" si="3"/>
        <v>N/A</v>
      </c>
    </row>
    <row r="72" spans="2:19" x14ac:dyDescent="0.35">
      <c r="B72" s="3786"/>
      <c r="C72" s="1579" t="s">
        <v>1598</v>
      </c>
      <c r="D72" s="1611" t="s">
        <v>3</v>
      </c>
      <c r="E72" s="626">
        <f t="shared" si="0"/>
        <v>0.38</v>
      </c>
      <c r="F72" s="626">
        <f t="shared" si="5"/>
        <v>132.86006574890243</v>
      </c>
      <c r="G72" s="1579"/>
      <c r="H72" s="1183" t="str">
        <f>IF(D72="operation",VLOOKUP(G72,'Generic Divertor Port Tasks'!C$4:D$223,2,FALSE),"N/A")</f>
        <v>N/A</v>
      </c>
      <c r="I72" s="1579"/>
      <c r="J72" s="582"/>
      <c r="K72" s="582"/>
      <c r="L72" s="1478" t="str">
        <f>IFERROR(INDEX('Lower Cask Movement &amp; Logistics'!$I$13:$O$19,MATCH($J72,'Lower Cask Movement &amp; Logistics'!$H$13:$H$19,0),MATCH($K72,'Lower Cask Movement &amp; Logistics'!$H$13:$H$19,0)),"N/A")</f>
        <v>N/A</v>
      </c>
      <c r="M72" s="1478" t="str">
        <f>IFERROR(VLOOKUP($I72,'Lower Cask Movement &amp; Logistics'!$H$4:$I$9,2,FALSE),"N/A")</f>
        <v>N/A</v>
      </c>
      <c r="N72" s="1183" t="str">
        <f t="shared" si="1"/>
        <v>N/A</v>
      </c>
      <c r="O72" s="1578" t="s">
        <v>1546</v>
      </c>
      <c r="P72" s="1183">
        <f>IF($D72="Logistics",VLOOKUP($O72,'Lower Cask Movement &amp; Logistics'!$C$4:$D$54,2,FALSE),"N/A")</f>
        <v>0.38</v>
      </c>
      <c r="Q72" s="1578"/>
      <c r="R72" s="1183" t="str">
        <f>IFERROR(VLOOKUP($Q72,'Lower Cask Dependencies'!$C$5:$F$277,4,FALSE),"N/A")</f>
        <v>N/A</v>
      </c>
      <c r="S72" s="1183" t="str">
        <f t="shared" si="3"/>
        <v>N/A</v>
      </c>
    </row>
    <row r="73" spans="2:19" x14ac:dyDescent="0.35">
      <c r="B73" s="3786"/>
      <c r="C73" s="1579" t="s">
        <v>1599</v>
      </c>
      <c r="D73" s="1611" t="s">
        <v>3</v>
      </c>
      <c r="E73" s="626">
        <f t="shared" si="0"/>
        <v>0.38</v>
      </c>
      <c r="F73" s="626">
        <f t="shared" si="5"/>
        <v>133.24006574890242</v>
      </c>
      <c r="G73" s="1579"/>
      <c r="H73" s="1183" t="str">
        <f>IF(D73="operation",VLOOKUP(G73,'Generic Divertor Port Tasks'!C$4:D$223,2,FALSE),"N/A")</f>
        <v>N/A</v>
      </c>
      <c r="I73" s="1579"/>
      <c r="J73" s="582"/>
      <c r="K73" s="582"/>
      <c r="L73" s="1478" t="str">
        <f>IFERROR(INDEX('Lower Cask Movement &amp; Logistics'!$I$13:$O$19,MATCH($J73,'Lower Cask Movement &amp; Logistics'!$H$13:$H$19,0),MATCH($K73,'Lower Cask Movement &amp; Logistics'!$H$13:$H$19,0)),"N/A")</f>
        <v>N/A</v>
      </c>
      <c r="M73" s="1478" t="str">
        <f>IFERROR(VLOOKUP($I73,'Lower Cask Movement &amp; Logistics'!$H$4:$I$9,2,FALSE),"N/A")</f>
        <v>N/A</v>
      </c>
      <c r="N73" s="1183" t="str">
        <f t="shared" si="1"/>
        <v>N/A</v>
      </c>
      <c r="O73" s="1578" t="s">
        <v>1546</v>
      </c>
      <c r="P73" s="1183">
        <f>IF($D73="Logistics",VLOOKUP($O73,'Lower Cask Movement &amp; Logistics'!$C$4:$D$54,2,FALSE),"N/A")</f>
        <v>0.38</v>
      </c>
      <c r="Q73" s="1578"/>
      <c r="R73" s="1183" t="str">
        <f>IFERROR(VLOOKUP($Q73,'Lower Cask Dependencies'!$C$5:$F$277,4,FALSE),"N/A")</f>
        <v>N/A</v>
      </c>
      <c r="S73" s="1183" t="str">
        <f t="shared" si="3"/>
        <v>N/A</v>
      </c>
    </row>
    <row r="74" spans="2:19" ht="13.3" thickBot="1" x14ac:dyDescent="0.4">
      <c r="B74" s="3788"/>
      <c r="C74" s="1136" t="s">
        <v>1600</v>
      </c>
      <c r="D74" s="1581" t="s">
        <v>3</v>
      </c>
      <c r="E74" s="585">
        <f t="shared" si="0"/>
        <v>2.3000000000000003</v>
      </c>
      <c r="F74" s="585">
        <f t="shared" si="5"/>
        <v>135.54006574890244</v>
      </c>
      <c r="G74" s="1136"/>
      <c r="H74" s="1179" t="str">
        <f>IF(D74="operation",VLOOKUP(G74,'Generic Divertor Port Tasks'!C$4:D$223,2,FALSE),"N/A")</f>
        <v>N/A</v>
      </c>
      <c r="I74" s="1136"/>
      <c r="J74" s="584"/>
      <c r="K74" s="584"/>
      <c r="L74" s="814" t="str">
        <f>IFERROR(INDEX('Lower Cask Movement &amp; Logistics'!$I$13:$O$19,MATCH($J74,'Lower Cask Movement &amp; Logistics'!$H$13:$H$19,0),MATCH($K74,'Lower Cask Movement &amp; Logistics'!$H$13:$H$19,0)),"N/A")</f>
        <v>N/A</v>
      </c>
      <c r="M74" s="814" t="str">
        <f>IFERROR(VLOOKUP($I74,'Lower Cask Movement &amp; Logistics'!$H$4:$I$9,2,FALSE),"N/A")</f>
        <v>N/A</v>
      </c>
      <c r="N74" s="1179" t="str">
        <f t="shared" si="1"/>
        <v>N/A</v>
      </c>
      <c r="O74" s="1582" t="s">
        <v>1552</v>
      </c>
      <c r="P74" s="1179">
        <f>IF($D74="Logistics",VLOOKUP($O74,'Lower Cask Movement &amp; Logistics'!$C$4:$D$54,2,FALSE),"N/A")</f>
        <v>2.3000000000000003</v>
      </c>
      <c r="Q74" s="1582"/>
      <c r="R74" s="1179" t="str">
        <f>IFERROR(VLOOKUP($Q74,'Lower Cask Dependencies'!$C$5:$F$277,4,FALSE),"N/A")</f>
        <v>N/A</v>
      </c>
      <c r="S74" s="1179" t="str">
        <f t="shared" si="3"/>
        <v>N/A</v>
      </c>
    </row>
    <row r="75" spans="2:19" x14ac:dyDescent="0.35">
      <c r="B75" s="3783" t="s">
        <v>1601</v>
      </c>
      <c r="C75" s="1612" t="s">
        <v>1602</v>
      </c>
      <c r="D75" s="1612" t="s">
        <v>3</v>
      </c>
      <c r="E75" s="1614">
        <f t="shared" si="0"/>
        <v>1.9</v>
      </c>
      <c r="F75" s="1614">
        <f t="shared" si="5"/>
        <v>137.44006574890244</v>
      </c>
      <c r="G75" s="1615"/>
      <c r="H75" s="1616" t="str">
        <f>IF(D75="operation",VLOOKUP(G75,'Generic Divertor Port Tasks'!C$4:D$223,2,FALSE),"N/A")</f>
        <v>N/A</v>
      </c>
      <c r="I75" s="1615"/>
      <c r="J75" s="1612"/>
      <c r="K75" s="1612"/>
      <c r="L75" s="1635" t="str">
        <f>IFERROR(INDEX('Lower Cask Movement &amp; Logistics'!$I$13:$O$19,MATCH($J75,'Lower Cask Movement &amp; Logistics'!$H$13:$H$19,0),MATCH($K75,'Lower Cask Movement &amp; Logistics'!$H$13:$H$19,0)),"N/A")</f>
        <v>N/A</v>
      </c>
      <c r="M75" s="1635" t="str">
        <f>IFERROR(VLOOKUP($I75,'Lower Cask Movement &amp; Logistics'!$H$4:$I$9,2,FALSE),"N/A")</f>
        <v>N/A</v>
      </c>
      <c r="N75" s="1636" t="str">
        <f t="shared" si="1"/>
        <v>N/A</v>
      </c>
      <c r="O75" s="1618" t="s">
        <v>1541</v>
      </c>
      <c r="P75" s="1616">
        <f>IF($D75="Logistics",VLOOKUP($O75,'Lower Cask Movement &amp; Logistics'!$C$4:$D$54,2,FALSE),"N/A")</f>
        <v>1.9</v>
      </c>
      <c r="Q75" s="1618" t="s">
        <v>2682</v>
      </c>
      <c r="R75" s="1616" t="str">
        <f>IFERROR(VLOOKUP($Q75,'Lower Cask Dependencies'!$C$5:$F$277,4,FALSE),"N/A")</f>
        <v>N/A</v>
      </c>
      <c r="S75" s="1616" t="str">
        <f t="shared" si="3"/>
        <v>N/A</v>
      </c>
    </row>
    <row r="76" spans="2:19" x14ac:dyDescent="0.35">
      <c r="B76" s="3784"/>
      <c r="C76" s="1590" t="s">
        <v>1603</v>
      </c>
      <c r="D76" s="1590" t="s">
        <v>3</v>
      </c>
      <c r="E76" s="1626">
        <f t="shared" si="0"/>
        <v>0.38</v>
      </c>
      <c r="F76" s="1599">
        <f t="shared" si="5"/>
        <v>137.82006574890244</v>
      </c>
      <c r="G76" s="1593"/>
      <c r="H76" s="1594" t="str">
        <f>IF(D76="operation",VLOOKUP(G76,'Generic Divertor Port Tasks'!C$4:D$223,2,FALSE),"N/A")</f>
        <v>N/A</v>
      </c>
      <c r="I76" s="1593"/>
      <c r="J76" s="1590"/>
      <c r="K76" s="1590"/>
      <c r="L76" s="1595" t="str">
        <f>IFERROR(INDEX('Lower Cask Movement &amp; Logistics'!$I$13:$O$19,MATCH($J76,'Lower Cask Movement &amp; Logistics'!$H$13:$H$19,0),MATCH($K76,'Lower Cask Movement &amp; Logistics'!$H$13:$H$19,0)),"N/A")</f>
        <v>N/A</v>
      </c>
      <c r="M76" s="1595" t="str">
        <f>IFERROR(VLOOKUP($I76,'Lower Cask Movement &amp; Logistics'!$H$4:$I$9,2,FALSE),"N/A")</f>
        <v>N/A</v>
      </c>
      <c r="N76" s="1594" t="str">
        <f t="shared" si="1"/>
        <v>N/A</v>
      </c>
      <c r="O76" s="1596" t="s">
        <v>1544</v>
      </c>
      <c r="P76" s="1594">
        <f>IF($D76="Logistics",VLOOKUP($O76,'Lower Cask Movement &amp; Logistics'!$C$4:$D$54,2,FALSE),"N/A")</f>
        <v>0.38</v>
      </c>
      <c r="Q76" s="1596"/>
      <c r="R76" s="1594" t="str">
        <f>IFERROR(VLOOKUP($Q76,'Lower Cask Dependencies'!$C$5:$F$277,4,FALSE),"N/A")</f>
        <v>N/A</v>
      </c>
      <c r="S76" s="1594" t="str">
        <f t="shared" si="3"/>
        <v>N/A</v>
      </c>
    </row>
    <row r="77" spans="2:19" x14ac:dyDescent="0.35">
      <c r="B77" s="3784"/>
      <c r="C77" s="1590" t="s">
        <v>1604</v>
      </c>
      <c r="D77" s="1590" t="s">
        <v>251</v>
      </c>
      <c r="E77" s="1626">
        <f t="shared" si="0"/>
        <v>7.6666666666666661</v>
      </c>
      <c r="F77" s="1599">
        <f t="shared" si="5"/>
        <v>145.48673241556909</v>
      </c>
      <c r="G77" s="1593" t="s">
        <v>255</v>
      </c>
      <c r="H77" s="1594">
        <f>IF(D77="operation",VLOOKUP(G77,'Generic Divertor Port Tasks'!C$4:D$223,2,FALSE),"N/A")</f>
        <v>7.6666666666666661</v>
      </c>
      <c r="I77" s="1593"/>
      <c r="J77" s="1590"/>
      <c r="K77" s="1590"/>
      <c r="L77" s="1595" t="str">
        <f>IFERROR(INDEX('Lower Cask Movement &amp; Logistics'!$I$13:$O$19,MATCH($J77,'Lower Cask Movement &amp; Logistics'!$H$13:$H$19,0),MATCH($K77,'Lower Cask Movement &amp; Logistics'!$H$13:$H$19,0)),"N/A")</f>
        <v>N/A</v>
      </c>
      <c r="M77" s="1595" t="str">
        <f>IFERROR(VLOOKUP($I77,'Lower Cask Movement &amp; Logistics'!$H$4:$I$9,2,FALSE),"N/A")</f>
        <v>N/A</v>
      </c>
      <c r="N77" s="1594" t="str">
        <f t="shared" si="1"/>
        <v>N/A</v>
      </c>
      <c r="O77" s="1596"/>
      <c r="P77" s="1594" t="str">
        <f>IF($D77="Logistics",VLOOKUP($O77,'Lower Cask Movement &amp; Logistics'!$C$4:$D$54,2,FALSE),"N/A")</f>
        <v>N/A</v>
      </c>
      <c r="Q77" s="1596"/>
      <c r="R77" s="1594" t="str">
        <f>IFERROR(VLOOKUP($Q77,'Lower Cask Dependencies'!$C$5:$F$277,4,FALSE),"N/A")</f>
        <v>N/A</v>
      </c>
      <c r="S77" s="1594" t="str">
        <f t="shared" si="3"/>
        <v>N/A</v>
      </c>
    </row>
    <row r="78" spans="2:19" x14ac:dyDescent="0.35">
      <c r="B78" s="3784"/>
      <c r="C78" s="1590" t="s">
        <v>1605</v>
      </c>
      <c r="D78" s="1590" t="s">
        <v>3</v>
      </c>
      <c r="E78" s="1626">
        <f t="shared" si="0"/>
        <v>0.38</v>
      </c>
      <c r="F78" s="1599">
        <f t="shared" si="5"/>
        <v>145.86673241556909</v>
      </c>
      <c r="G78" s="1593"/>
      <c r="H78" s="1594" t="str">
        <f>IF(D78="operation",VLOOKUP(G78,'Generic Divertor Port Tasks'!C$4:D$223,2,FALSE),"N/A")</f>
        <v>N/A</v>
      </c>
      <c r="I78" s="1593"/>
      <c r="J78" s="1590"/>
      <c r="K78" s="1590"/>
      <c r="L78" s="1595" t="str">
        <f>IFERROR(INDEX('Lower Cask Movement &amp; Logistics'!$I$13:$O$19,MATCH($J78,'Lower Cask Movement &amp; Logistics'!$H$13:$H$19,0),MATCH($K78,'Lower Cask Movement &amp; Logistics'!$H$13:$H$19,0)),"N/A")</f>
        <v>N/A</v>
      </c>
      <c r="M78" s="1595" t="str">
        <f>IFERROR(VLOOKUP($I78,'Lower Cask Movement &amp; Logistics'!$H$4:$I$9,2,FALSE),"N/A")</f>
        <v>N/A</v>
      </c>
      <c r="N78" s="1594" t="str">
        <f t="shared" si="1"/>
        <v>N/A</v>
      </c>
      <c r="O78" s="1596" t="s">
        <v>1546</v>
      </c>
      <c r="P78" s="1594">
        <f>IF($D78="Logistics",VLOOKUP($O78,'Lower Cask Movement &amp; Logistics'!$C$4:$D$54,2,FALSE),"N/A")</f>
        <v>0.38</v>
      </c>
      <c r="Q78" s="1596"/>
      <c r="R78" s="1594" t="str">
        <f>IFERROR(VLOOKUP($Q78,'Lower Cask Dependencies'!$C$5:$F$277,4,FALSE),"N/A")</f>
        <v>N/A</v>
      </c>
      <c r="S78" s="1594" t="str">
        <f t="shared" si="3"/>
        <v>N/A</v>
      </c>
    </row>
    <row r="79" spans="2:19" x14ac:dyDescent="0.35">
      <c r="B79" s="3784"/>
      <c r="C79" s="1590" t="s">
        <v>1606</v>
      </c>
      <c r="D79" s="1590" t="s">
        <v>3</v>
      </c>
      <c r="E79" s="1626">
        <f t="shared" si="0"/>
        <v>0.38</v>
      </c>
      <c r="F79" s="1599">
        <f t="shared" si="5"/>
        <v>146.24673241556908</v>
      </c>
      <c r="G79" s="1593"/>
      <c r="H79" s="1594" t="str">
        <f>IF(D79="operation",VLOOKUP(G79,'Generic Divertor Port Tasks'!C$4:D$223,2,FALSE),"N/A")</f>
        <v>N/A</v>
      </c>
      <c r="I79" s="1593"/>
      <c r="J79" s="1590"/>
      <c r="K79" s="1590"/>
      <c r="L79" s="1595" t="str">
        <f>IFERROR(INDEX('Lower Cask Movement &amp; Logistics'!$I$13:$O$19,MATCH($J79,'Lower Cask Movement &amp; Logistics'!$H$13:$H$19,0),MATCH($K79,'Lower Cask Movement &amp; Logistics'!$H$13:$H$19,0)),"N/A")</f>
        <v>N/A</v>
      </c>
      <c r="M79" s="1595" t="str">
        <f>IFERROR(VLOOKUP($I79,'Lower Cask Movement &amp; Logistics'!$H$4:$I$9,2,FALSE),"N/A")</f>
        <v>N/A</v>
      </c>
      <c r="N79" s="1594" t="str">
        <f t="shared" si="1"/>
        <v>N/A</v>
      </c>
      <c r="O79" s="1596" t="s">
        <v>1544</v>
      </c>
      <c r="P79" s="1594">
        <f>IF($D79="Logistics",VLOOKUP($O79,'Lower Cask Movement &amp; Logistics'!$C$4:$D$54,2,FALSE),"N/A")</f>
        <v>0.38</v>
      </c>
      <c r="Q79" s="1596"/>
      <c r="R79" s="1594" t="str">
        <f>IFERROR(VLOOKUP($Q79,'Lower Cask Dependencies'!$C$5:$F$277,4,FALSE),"N/A")</f>
        <v>N/A</v>
      </c>
      <c r="S79" s="1594" t="str">
        <f t="shared" si="3"/>
        <v>N/A</v>
      </c>
    </row>
    <row r="80" spans="2:19" x14ac:dyDescent="0.35">
      <c r="B80" s="3784"/>
      <c r="C80" s="1590" t="s">
        <v>1607</v>
      </c>
      <c r="D80" s="1590" t="s">
        <v>251</v>
      </c>
      <c r="E80" s="1626">
        <f t="shared" si="0"/>
        <v>0.84999999999999987</v>
      </c>
      <c r="F80" s="1599">
        <f t="shared" si="5"/>
        <v>147.09673241556908</v>
      </c>
      <c r="G80" s="1593" t="s">
        <v>270</v>
      </c>
      <c r="H80" s="1594">
        <f>IF(D80="operation",VLOOKUP(G80,'Generic Divertor Port Tasks'!C$4:D$223,2,FALSE),"N/A")</f>
        <v>0.84999999999999987</v>
      </c>
      <c r="I80" s="1593"/>
      <c r="J80" s="1590"/>
      <c r="K80" s="1590"/>
      <c r="L80" s="1595" t="str">
        <f>IFERROR(INDEX('Lower Cask Movement &amp; Logistics'!$I$13:$O$19,MATCH($J80,'Lower Cask Movement &amp; Logistics'!$H$13:$H$19,0),MATCH($K80,'Lower Cask Movement &amp; Logistics'!$H$13:$H$19,0)),"N/A")</f>
        <v>N/A</v>
      </c>
      <c r="M80" s="1595" t="str">
        <f>IFERROR(VLOOKUP($I80,'Lower Cask Movement &amp; Logistics'!$H$4:$I$9,2,FALSE),"N/A")</f>
        <v>N/A</v>
      </c>
      <c r="N80" s="1594" t="str">
        <f t="shared" si="1"/>
        <v>N/A</v>
      </c>
      <c r="O80" s="1596"/>
      <c r="P80" s="1594" t="str">
        <f>IF($D80="Logistics",VLOOKUP($O80,'Lower Cask Movement &amp; Logistics'!$C$4:$D$54,2,FALSE),"N/A")</f>
        <v>N/A</v>
      </c>
      <c r="Q80" s="1596"/>
      <c r="R80" s="1594" t="str">
        <f>IFERROR(VLOOKUP($Q80,'Lower Cask Dependencies'!$C$5:$F$277,4,FALSE),"N/A")</f>
        <v>N/A</v>
      </c>
      <c r="S80" s="1594" t="str">
        <f t="shared" si="3"/>
        <v>N/A</v>
      </c>
    </row>
    <row r="81" spans="2:19" x14ac:dyDescent="0.35">
      <c r="B81" s="3784"/>
      <c r="C81" s="1590" t="s">
        <v>1575</v>
      </c>
      <c r="D81" s="1590" t="s">
        <v>3</v>
      </c>
      <c r="E81" s="1626">
        <f t="shared" si="0"/>
        <v>0.38</v>
      </c>
      <c r="F81" s="1599">
        <f t="shared" ref="F81:F91" si="9">IF(S81&lt;0,E81+F80+(-S81),E81+F80)</f>
        <v>147.47673241556907</v>
      </c>
      <c r="G81" s="1593"/>
      <c r="H81" s="1594" t="str">
        <f>IF(D81="operation",VLOOKUP(G81,'Generic Divertor Port Tasks'!C$4:D$223,2,FALSE),"N/A")</f>
        <v>N/A</v>
      </c>
      <c r="I81" s="1593"/>
      <c r="J81" s="1590"/>
      <c r="K81" s="1590"/>
      <c r="L81" s="1595" t="str">
        <f>IFERROR(INDEX('Lower Cask Movement &amp; Logistics'!$I$13:$O$19,MATCH($J81,'Lower Cask Movement &amp; Logistics'!$H$13:$H$19,0),MATCH($K81,'Lower Cask Movement &amp; Logistics'!$H$13:$H$19,0)),"N/A")</f>
        <v>N/A</v>
      </c>
      <c r="M81" s="1595" t="str">
        <f>IFERROR(VLOOKUP($I81,'Lower Cask Movement &amp; Logistics'!$H$4:$I$9,2,FALSE),"N/A")</f>
        <v>N/A</v>
      </c>
      <c r="N81" s="1594" t="str">
        <f t="shared" si="1"/>
        <v>N/A</v>
      </c>
      <c r="O81" s="1596" t="s">
        <v>1546</v>
      </c>
      <c r="P81" s="1594">
        <f>IF($D81="Logistics",VLOOKUP($O81,'Lower Cask Movement &amp; Logistics'!$C$4:$D$54,2,FALSE),"N/A")</f>
        <v>0.38</v>
      </c>
      <c r="Q81" s="1596"/>
      <c r="R81" s="1594" t="str">
        <f>IFERROR(VLOOKUP($Q81,'Lower Cask Dependencies'!$C$5:$F$277,4,FALSE),"N/A")</f>
        <v>N/A</v>
      </c>
      <c r="S81" s="1594" t="str">
        <f t="shared" si="3"/>
        <v>N/A</v>
      </c>
    </row>
    <row r="82" spans="2:19" ht="13.3" thickBot="1" x14ac:dyDescent="0.4">
      <c r="B82" s="3785"/>
      <c r="C82" s="1608" t="s">
        <v>1608</v>
      </c>
      <c r="D82" s="1608" t="s">
        <v>3</v>
      </c>
      <c r="E82" s="1637">
        <f t="shared" si="0"/>
        <v>2.3000000000000003</v>
      </c>
      <c r="F82" s="1606">
        <f t="shared" si="9"/>
        <v>149.77673241556909</v>
      </c>
      <c r="G82" s="1604"/>
      <c r="H82" s="1607" t="str">
        <f>IF(D82="operation",VLOOKUP(G82,'Generic Divertor Port Tasks'!C$4:D$223,2,FALSE),"N/A")</f>
        <v>N/A</v>
      </c>
      <c r="I82" s="1604"/>
      <c r="J82" s="1608"/>
      <c r="K82" s="1608"/>
      <c r="L82" s="1609" t="str">
        <f>IFERROR(INDEX('Lower Cask Movement &amp; Logistics'!$I$13:$O$19,MATCH($J82,'Lower Cask Movement &amp; Logistics'!$H$13:$H$19,0),MATCH($K82,'Lower Cask Movement &amp; Logistics'!$H$13:$H$19,0)),"N/A")</f>
        <v>N/A</v>
      </c>
      <c r="M82" s="1609" t="str">
        <f>IFERROR(VLOOKUP($I82,'Lower Cask Movement &amp; Logistics'!$H$4:$I$9,2,FALSE),"N/A")</f>
        <v>N/A</v>
      </c>
      <c r="N82" s="1607" t="str">
        <f t="shared" si="1"/>
        <v>N/A</v>
      </c>
      <c r="O82" s="1610" t="s">
        <v>1552</v>
      </c>
      <c r="P82" s="1607">
        <f>IF($D82="Logistics",VLOOKUP($O82,'Lower Cask Movement &amp; Logistics'!$C$4:$D$54,2,FALSE),"N/A")</f>
        <v>2.3000000000000003</v>
      </c>
      <c r="Q82" s="1610"/>
      <c r="R82" s="1607" t="str">
        <f>IFERROR(VLOOKUP($Q82,'Lower Cask Dependencies'!$C$5:$F$277,4,FALSE),"N/A")</f>
        <v>N/A</v>
      </c>
      <c r="S82" s="1607" t="str">
        <f t="shared" si="3"/>
        <v>N/A</v>
      </c>
    </row>
    <row r="83" spans="2:19" x14ac:dyDescent="0.35">
      <c r="B83" s="3786" t="s">
        <v>1609</v>
      </c>
      <c r="C83" s="880" t="s">
        <v>1602</v>
      </c>
      <c r="D83" s="880" t="s">
        <v>3</v>
      </c>
      <c r="E83" s="1276">
        <f t="shared" si="0"/>
        <v>1.9</v>
      </c>
      <c r="F83" s="1640">
        <f t="shared" si="9"/>
        <v>151.67673241556909</v>
      </c>
      <c r="G83" s="854"/>
      <c r="H83" s="1645" t="str">
        <f>IF(D83="operation",VLOOKUP(G83,'Generic Divertor Port Tasks'!C$4:D$223,2,FALSE),"N/A")</f>
        <v>N/A</v>
      </c>
      <c r="I83" s="854"/>
      <c r="J83" s="880"/>
      <c r="K83" s="880"/>
      <c r="L83" s="1643" t="str">
        <f>IFERROR(INDEX('Lower Cask Movement &amp; Logistics'!$I$13:$O$19,MATCH($J83,'Lower Cask Movement &amp; Logistics'!$H$13:$H$19,0),MATCH($K83,'Lower Cask Movement &amp; Logistics'!$H$13:$H$19,0)),"N/A")</f>
        <v>N/A</v>
      </c>
      <c r="M83" s="1643" t="str">
        <f>IFERROR(VLOOKUP($I83,'Lower Cask Movement &amp; Logistics'!$H$4:$I$9,2,FALSE),"N/A")</f>
        <v>N/A</v>
      </c>
      <c r="N83" s="1641" t="str">
        <f t="shared" si="1"/>
        <v>N/A</v>
      </c>
      <c r="O83" s="1646" t="s">
        <v>1541</v>
      </c>
      <c r="P83" s="1645">
        <f>IF($D83="Logistics",VLOOKUP($O83,'Lower Cask Movement &amp; Logistics'!$C$4:$D$54,2,FALSE),"N/A")</f>
        <v>1.9</v>
      </c>
      <c r="Q83" s="1646" t="s">
        <v>1610</v>
      </c>
      <c r="R83" s="1645">
        <f>IFERROR(VLOOKUP($Q83,'Lower Cask Dependencies'!$C$5:$F$277,4,FALSE),"N/A")</f>
        <v>142.93376945260619</v>
      </c>
      <c r="S83" s="1645">
        <f t="shared" si="3"/>
        <v>6.8429629629629005</v>
      </c>
    </row>
    <row r="84" spans="2:19" x14ac:dyDescent="0.35">
      <c r="B84" s="3786"/>
      <c r="C84" s="573" t="s">
        <v>1606</v>
      </c>
      <c r="D84" s="573" t="s">
        <v>3</v>
      </c>
      <c r="E84" s="1276">
        <f t="shared" si="0"/>
        <v>0.38</v>
      </c>
      <c r="F84" s="626">
        <f t="shared" si="9"/>
        <v>152.05673241556909</v>
      </c>
      <c r="G84" s="1131"/>
      <c r="H84" s="1176" t="str">
        <f>IF(D84="operation",VLOOKUP(G84,'Generic Divertor Port Tasks'!C$4:D$223,2,FALSE),"N/A")</f>
        <v>N/A</v>
      </c>
      <c r="I84" s="1131"/>
      <c r="J84" s="573"/>
      <c r="K84" s="573"/>
      <c r="L84" s="853" t="str">
        <f>IFERROR(INDEX('Lower Cask Movement &amp; Logistics'!$I$13:$O$19,MATCH($J84,'Lower Cask Movement &amp; Logistics'!$H$13:$H$19,0),MATCH($K84,'Lower Cask Movement &amp; Logistics'!$H$13:$H$19,0)),"N/A")</f>
        <v>N/A</v>
      </c>
      <c r="M84" s="853" t="str">
        <f>IFERROR(VLOOKUP($I84,'Lower Cask Movement &amp; Logistics'!$H$4:$I$9,2,FALSE),"N/A")</f>
        <v>N/A</v>
      </c>
      <c r="N84" s="1176" t="str">
        <f t="shared" si="1"/>
        <v>N/A</v>
      </c>
      <c r="O84" s="1580" t="s">
        <v>1544</v>
      </c>
      <c r="P84" s="1176">
        <f>IF($D84="Logistics",VLOOKUP($O84,'Lower Cask Movement &amp; Logistics'!$C$4:$D$54,2,FALSE),"N/A")</f>
        <v>0.38</v>
      </c>
      <c r="Q84" s="1580"/>
      <c r="R84" s="1176" t="str">
        <f>IFERROR(VLOOKUP($Q84,'Lower Cask Dependencies'!$C$5:$F$277,4,FALSE),"N/A")</f>
        <v>N/A</v>
      </c>
      <c r="S84" s="1176" t="str">
        <f t="shared" si="3"/>
        <v>N/A</v>
      </c>
    </row>
    <row r="85" spans="2:19" x14ac:dyDescent="0.35">
      <c r="B85" s="3786"/>
      <c r="C85" s="573" t="s">
        <v>1611</v>
      </c>
      <c r="D85" s="573" t="s">
        <v>251</v>
      </c>
      <c r="E85" s="1276">
        <f t="shared" si="0"/>
        <v>0.84999999999999987</v>
      </c>
      <c r="F85" s="626">
        <f t="shared" si="9"/>
        <v>152.90673241556908</v>
      </c>
      <c r="G85" s="1131" t="s">
        <v>271</v>
      </c>
      <c r="H85" s="1176">
        <f>IF(D85="operation",VLOOKUP(G85,'Generic Divertor Port Tasks'!C$4:D$223,2,FALSE),"N/A")</f>
        <v>0.84999999999999987</v>
      </c>
      <c r="I85" s="1131"/>
      <c r="J85" s="573"/>
      <c r="K85" s="573"/>
      <c r="L85" s="853" t="str">
        <f>IFERROR(INDEX('Lower Cask Movement &amp; Logistics'!$I$13:$O$19,MATCH($J85,'Lower Cask Movement &amp; Logistics'!$H$13:$H$19,0),MATCH($K85,'Lower Cask Movement &amp; Logistics'!$H$13:$H$19,0)),"N/A")</f>
        <v>N/A</v>
      </c>
      <c r="M85" s="853" t="str">
        <f>IFERROR(VLOOKUP($I85,'Lower Cask Movement &amp; Logistics'!$H$4:$I$9,2,FALSE),"N/A")</f>
        <v>N/A</v>
      </c>
      <c r="N85" s="1176" t="str">
        <f t="shared" si="1"/>
        <v>N/A</v>
      </c>
      <c r="O85" s="1580"/>
      <c r="P85" s="1176" t="str">
        <f>IF($D85="Logistics",VLOOKUP($O85,'Lower Cask Movement &amp; Logistics'!$C$4:$D$54,2,FALSE),"N/A")</f>
        <v>N/A</v>
      </c>
      <c r="Q85" s="1580"/>
      <c r="R85" s="1176" t="str">
        <f>IFERROR(VLOOKUP($Q85,'Lower Cask Dependencies'!$C$5:$F$277,4,FALSE),"N/A")</f>
        <v>N/A</v>
      </c>
      <c r="S85" s="1176" t="str">
        <f t="shared" si="3"/>
        <v>N/A</v>
      </c>
    </row>
    <row r="86" spans="2:19" x14ac:dyDescent="0.35">
      <c r="B86" s="3786"/>
      <c r="C86" s="573" t="s">
        <v>1575</v>
      </c>
      <c r="D86" s="573" t="s">
        <v>3</v>
      </c>
      <c r="E86" s="1276">
        <v>0.38</v>
      </c>
      <c r="F86" s="626">
        <f t="shared" si="9"/>
        <v>153.28673241556908</v>
      </c>
      <c r="G86" s="1131"/>
      <c r="H86" s="1176" t="str">
        <f>IF(D86="operation",VLOOKUP(G86,'Generic Divertor Port Tasks'!C$4:D$223,2,FALSE),"N/A")</f>
        <v>N/A</v>
      </c>
      <c r="I86" s="1131"/>
      <c r="J86" s="573"/>
      <c r="K86" s="573"/>
      <c r="L86" s="853" t="s">
        <v>263</v>
      </c>
      <c r="M86" s="853" t="s">
        <v>263</v>
      </c>
      <c r="N86" s="1176" t="s">
        <v>263</v>
      </c>
      <c r="O86" s="1580" t="s">
        <v>1546</v>
      </c>
      <c r="P86" s="1176">
        <v>0.38</v>
      </c>
      <c r="Q86" s="1580"/>
      <c r="R86" s="1176" t="str">
        <f>IFERROR(VLOOKUP($Q86,'Lower Cask Dependencies'!$C$5:$F$277,4,FALSE),"N/A")</f>
        <v>N/A</v>
      </c>
      <c r="S86" s="1176" t="str">
        <f t="shared" ref="S86:S91" si="10">IFERROR(F85-R86,"N/A")</f>
        <v>N/A</v>
      </c>
    </row>
    <row r="87" spans="2:19" ht="13.3" thickBot="1" x14ac:dyDescent="0.4">
      <c r="B87" s="3786"/>
      <c r="C87" s="573" t="s">
        <v>1612</v>
      </c>
      <c r="D87" s="573" t="s">
        <v>3</v>
      </c>
      <c r="E87" s="1276">
        <f>MAX($P87,$N87,$H87)</f>
        <v>2.3000000000000003</v>
      </c>
      <c r="F87" s="626">
        <f t="shared" si="9"/>
        <v>155.58673241556909</v>
      </c>
      <c r="G87" s="1131"/>
      <c r="H87" s="1176" t="str">
        <f>IF(D87="operation",VLOOKUP(G87,'Generic Divertor Port Tasks'!C$4:D$223,2,FALSE),"N/A")</f>
        <v>N/A</v>
      </c>
      <c r="I87" s="1131"/>
      <c r="J87" s="573"/>
      <c r="K87" s="573"/>
      <c r="L87" s="853" t="str">
        <f>IFERROR(INDEX('Lower Cask Movement &amp; Logistics'!$I$13:$O$19,MATCH($J87,'Lower Cask Movement &amp; Logistics'!$H$13:$H$19,0),MATCH($K87,'Lower Cask Movement &amp; Logistics'!$H$13:$H$19,0)),"N/A")</f>
        <v>N/A</v>
      </c>
      <c r="M87" s="853" t="str">
        <f>IFERROR(VLOOKUP($I87,'Lower Cask Movement &amp; Logistics'!$H$4:$I$9,2,FALSE),"N/A")</f>
        <v>N/A</v>
      </c>
      <c r="N87" s="1176" t="str">
        <f>IF(D87="Movement",IFERROR((L87/M87)/(60*60),"Error"),"N/A")</f>
        <v>N/A</v>
      </c>
      <c r="O87" s="1580" t="s">
        <v>1552</v>
      </c>
      <c r="P87" s="1176">
        <f>IF($D87="Logistics",VLOOKUP($O87,'Lower Cask Movement &amp; Logistics'!$C$4:$D$54,2,FALSE),"N/A")</f>
        <v>2.3000000000000003</v>
      </c>
      <c r="Q87" s="1580"/>
      <c r="R87" s="1176" t="str">
        <f>IFERROR(VLOOKUP($Q87,'Lower Cask Dependencies'!$C$5:$F$277,4,FALSE),"N/A")</f>
        <v>N/A</v>
      </c>
      <c r="S87" s="1176" t="str">
        <f t="shared" si="10"/>
        <v>N/A</v>
      </c>
    </row>
    <row r="88" spans="2:19" x14ac:dyDescent="0.35">
      <c r="B88" s="3796" t="s">
        <v>1613</v>
      </c>
      <c r="C88" s="1612" t="s">
        <v>1602</v>
      </c>
      <c r="D88" s="1612" t="s">
        <v>3</v>
      </c>
      <c r="E88" s="1614">
        <f>MAX($P88,$N88,$H88)</f>
        <v>1.9</v>
      </c>
      <c r="F88" s="1634">
        <f t="shared" si="9"/>
        <v>162.39043611927286</v>
      </c>
      <c r="G88" s="1615"/>
      <c r="H88" s="1616" t="str">
        <f>IF(D88="operation",VLOOKUP(G88,'Generic Divertor Port Tasks'!C$4:D$223,2,FALSE),"N/A")</f>
        <v>N/A</v>
      </c>
      <c r="I88" s="1615"/>
      <c r="J88" s="1612"/>
      <c r="K88" s="1612"/>
      <c r="L88" s="1635" t="str">
        <f>IFERROR(INDEX('Lower Cask Movement &amp; Logistics'!$I$13:$O$19,MATCH($J88,'Lower Cask Movement &amp; Logistics'!$H$13:$H$19,0),MATCH($K88,'Lower Cask Movement &amp; Logistics'!$H$13:$H$19,0)),"N/A")</f>
        <v>N/A</v>
      </c>
      <c r="M88" s="1635" t="str">
        <f>IFERROR(VLOOKUP($I88,'Lower Cask Movement &amp; Logistics'!$H$4:$I$9,2,FALSE),"N/A")</f>
        <v>N/A</v>
      </c>
      <c r="N88" s="1636" t="str">
        <f>IF(D88="Movement",IFERROR((L88/M88)/(60*60),"Error"),"N/A")</f>
        <v>N/A</v>
      </c>
      <c r="O88" s="1618" t="s">
        <v>1541</v>
      </c>
      <c r="P88" s="1616">
        <f>IF($D88="Logistics",VLOOKUP($O88,'Lower Cask Movement &amp; Logistics'!$C$4:$D$54,2,FALSE),"N/A")</f>
        <v>1.9</v>
      </c>
      <c r="Q88" s="1618" t="s">
        <v>1614</v>
      </c>
      <c r="R88" s="1616">
        <f>IFERROR(VLOOKUP($Q88,'Lower Cask Dependencies'!$C$5:$F$277,4,FALSE),"N/A")</f>
        <v>160.49043611927286</v>
      </c>
      <c r="S88" s="1616">
        <f t="shared" si="10"/>
        <v>-4.9037037037037692</v>
      </c>
    </row>
    <row r="89" spans="2:19" x14ac:dyDescent="0.35">
      <c r="B89" s="3797"/>
      <c r="C89" s="1590" t="s">
        <v>1606</v>
      </c>
      <c r="D89" s="1590" t="s">
        <v>3</v>
      </c>
      <c r="E89" s="1626">
        <f>MAX($P89,$N89,$H89)</f>
        <v>0.38</v>
      </c>
      <c r="F89" s="1599">
        <f t="shared" si="9"/>
        <v>162.77043611927286</v>
      </c>
      <c r="G89" s="1593"/>
      <c r="H89" s="1594" t="str">
        <f>IF(D89="operation",VLOOKUP(G89,'Generic Divertor Port Tasks'!C$4:D$223,2,FALSE),"N/A")</f>
        <v>N/A</v>
      </c>
      <c r="I89" s="1593"/>
      <c r="J89" s="1590"/>
      <c r="K89" s="1590"/>
      <c r="L89" s="1595" t="str">
        <f>IFERROR(INDEX('Lower Cask Movement &amp; Logistics'!$I$13:$O$19,MATCH($J89,'Lower Cask Movement &amp; Logistics'!$H$13:$H$19,0),MATCH($K89,'Lower Cask Movement &amp; Logistics'!$H$13:$H$19,0)),"N/A")</f>
        <v>N/A</v>
      </c>
      <c r="M89" s="1595" t="str">
        <f>IFERROR(VLOOKUP($I89,'Lower Cask Movement &amp; Logistics'!$H$4:$I$9,2,FALSE),"N/A")</f>
        <v>N/A</v>
      </c>
      <c r="N89" s="1594" t="str">
        <f>IF(D89="Movement",IFERROR((L89/M89)/(60*60),"Error"),"N/A")</f>
        <v>N/A</v>
      </c>
      <c r="O89" s="1596" t="s">
        <v>1544</v>
      </c>
      <c r="P89" s="1594">
        <f>IF($D89="Logistics",VLOOKUP($O89,'Lower Cask Movement &amp; Logistics'!$C$4:$D$54,2,FALSE),"N/A")</f>
        <v>0.38</v>
      </c>
      <c r="Q89" s="1596"/>
      <c r="R89" s="1594" t="str">
        <f>IFERROR(VLOOKUP($Q89,'Lower Cask Dependencies'!$C$5:$F$277,4,FALSE),"N/A")</f>
        <v>N/A</v>
      </c>
      <c r="S89" s="1594" t="str">
        <f t="shared" si="10"/>
        <v>N/A</v>
      </c>
    </row>
    <row r="90" spans="2:19" x14ac:dyDescent="0.35">
      <c r="B90" s="3797"/>
      <c r="C90" s="1590" t="s">
        <v>1615</v>
      </c>
      <c r="D90" s="1590" t="s">
        <v>251</v>
      </c>
      <c r="E90" s="1626">
        <f>MAX($P90,$N90,$H90)</f>
        <v>0.84999999999999987</v>
      </c>
      <c r="F90" s="1599">
        <f t="shared" si="9"/>
        <v>163.62043611927285</v>
      </c>
      <c r="G90" s="1593" t="s">
        <v>271</v>
      </c>
      <c r="H90" s="1594">
        <f>IF(D90="operation",VLOOKUP(G90,'Generic Divertor Port Tasks'!C$4:D$223,2,FALSE),"N/A")</f>
        <v>0.84999999999999987</v>
      </c>
      <c r="I90" s="1593"/>
      <c r="J90" s="1590"/>
      <c r="K90" s="1590"/>
      <c r="L90" s="1595" t="str">
        <f>IFERROR(INDEX('Lower Cask Movement &amp; Logistics'!$I$13:$O$19,MATCH($J90,'Lower Cask Movement &amp; Logistics'!$H$13:$H$19,0),MATCH($K90,'Lower Cask Movement &amp; Logistics'!$H$13:$H$19,0)),"N/A")</f>
        <v>N/A</v>
      </c>
      <c r="M90" s="1595" t="str">
        <f>IFERROR(VLOOKUP($I90,'Lower Cask Movement &amp; Logistics'!$H$4:$I$9,2,FALSE),"N/A")</f>
        <v>N/A</v>
      </c>
      <c r="N90" s="1594" t="str">
        <f>IF(D90="Movement",IFERROR((L90/M90)/(60*60),"Error"),"N/A")</f>
        <v>N/A</v>
      </c>
      <c r="O90" s="1596"/>
      <c r="P90" s="1594" t="str">
        <f>IF($D90="Logistics",VLOOKUP($O90,'Lower Cask Movement &amp; Logistics'!$C$4:$D$54,2,FALSE),"N/A")</f>
        <v>N/A</v>
      </c>
      <c r="Q90" s="1596"/>
      <c r="R90" s="1594" t="str">
        <f>IFERROR(VLOOKUP($Q90,'Lower Cask Dependencies'!$C$5:$F$277,4,FALSE),"N/A")</f>
        <v>N/A</v>
      </c>
      <c r="S90" s="1594" t="str">
        <f t="shared" si="10"/>
        <v>N/A</v>
      </c>
    </row>
    <row r="91" spans="2:19" ht="13.3" thickBot="1" x14ac:dyDescent="0.4">
      <c r="B91" s="3798"/>
      <c r="C91" s="1608" t="s">
        <v>1616</v>
      </c>
      <c r="D91" s="1608" t="s">
        <v>3</v>
      </c>
      <c r="E91" s="1606">
        <f>MAX($P91,$N91,$H91)</f>
        <v>2.3000000000000003</v>
      </c>
      <c r="F91" s="1606">
        <f t="shared" si="9"/>
        <v>165.92043611927286</v>
      </c>
      <c r="G91" s="1604"/>
      <c r="H91" s="1607" t="str">
        <f>IF(D91="operation",VLOOKUP(G91,'Generic Divertor Port Tasks'!C$4:D$223,2,FALSE),"N/A")</f>
        <v>N/A</v>
      </c>
      <c r="I91" s="1604"/>
      <c r="J91" s="1608"/>
      <c r="K91" s="1608"/>
      <c r="L91" s="1609" t="str">
        <f>IFERROR(INDEX('Lower Cask Movement &amp; Logistics'!$I$13:$O$19,MATCH($J91,'Lower Cask Movement &amp; Logistics'!$H$13:$H$19,0),MATCH($K91,'Lower Cask Movement &amp; Logistics'!$H$13:$H$19,0)),"N/A")</f>
        <v>N/A</v>
      </c>
      <c r="M91" s="1609" t="str">
        <f>IFERROR(VLOOKUP($I91,'Lower Cask Movement &amp; Logistics'!$H$4:$I$9,2,FALSE),"N/A")</f>
        <v>N/A</v>
      </c>
      <c r="N91" s="1607" t="str">
        <f>IF(D91="Movement",IFERROR((L91/M91)/(60*60),"Error"),"N/A")</f>
        <v>N/A</v>
      </c>
      <c r="O91" s="1610" t="s">
        <v>1552</v>
      </c>
      <c r="P91" s="1607">
        <f>IF($D91="Logistics",VLOOKUP($O91,'Lower Cask Movement &amp; Logistics'!$C$4:$D$54,2,FALSE),"N/A")</f>
        <v>2.3000000000000003</v>
      </c>
      <c r="Q91" s="1610"/>
      <c r="R91" s="1607" t="str">
        <f>IFERROR(VLOOKUP($Q91,'Lower Cask Dependencies'!$C$5:$F$277,4,FALSE),"N/A")</f>
        <v>N/A</v>
      </c>
      <c r="S91" s="1607" t="str">
        <f t="shared" si="10"/>
        <v>N/A</v>
      </c>
    </row>
    <row r="92" spans="2:19" x14ac:dyDescent="0.35">
      <c r="B92" s="3799" t="s">
        <v>1617</v>
      </c>
      <c r="C92" s="3634" t="s">
        <v>850</v>
      </c>
      <c r="D92" s="3634"/>
      <c r="E92" s="3634"/>
      <c r="F92" s="3635">
        <f>F91</f>
        <v>165.92043611927286</v>
      </c>
      <c r="G92" s="2206"/>
      <c r="H92" s="2206"/>
      <c r="I92" s="2206"/>
      <c r="J92" s="2206"/>
      <c r="K92" s="2206"/>
      <c r="L92" s="2206"/>
      <c r="M92" s="2206"/>
      <c r="N92" s="2206"/>
      <c r="O92" s="2206"/>
      <c r="P92" s="2207"/>
      <c r="Q92" s="1672"/>
      <c r="R92" s="1672"/>
      <c r="S92" s="3636"/>
    </row>
    <row r="93" spans="2:19" x14ac:dyDescent="0.35">
      <c r="B93" s="3800"/>
      <c r="C93" s="1649" t="s">
        <v>851</v>
      </c>
      <c r="D93" s="1649"/>
      <c r="E93" s="1649"/>
      <c r="F93" s="1652">
        <f>SUMIF($D$7:$D$91,"Operation",$E$7:$E$91)</f>
        <v>104.59228797112468</v>
      </c>
      <c r="G93" s="1653">
        <f>F93/$F$132</f>
        <v>0.50882967690223824</v>
      </c>
      <c r="H93" s="1653">
        <f>F93/$F$92</f>
        <v>0.63037616352417192</v>
      </c>
      <c r="I93" s="1647"/>
      <c r="J93" s="1647"/>
      <c r="K93" s="1647"/>
      <c r="L93" s="1647"/>
      <c r="M93" s="1647"/>
      <c r="N93" s="1647"/>
      <c r="O93" s="1647"/>
      <c r="P93" s="1654"/>
      <c r="Q93" s="1651"/>
      <c r="R93" s="1651"/>
      <c r="S93" s="3637"/>
    </row>
    <row r="94" spans="2:19" x14ac:dyDescent="0.35">
      <c r="B94" s="3800"/>
      <c r="C94" s="1649" t="s">
        <v>852</v>
      </c>
      <c r="D94" s="1649"/>
      <c r="E94" s="1649"/>
      <c r="F94" s="1652">
        <f>SUMIF($D$7:$D$91,"Logistics",$E$7:$E$91)</f>
        <v>54.610000000000014</v>
      </c>
      <c r="G94" s="1653">
        <f>F94/$F$132</f>
        <v>0.26567148682417763</v>
      </c>
      <c r="H94" s="1653">
        <f>F94/$F$92</f>
        <v>0.32913365753657553</v>
      </c>
      <c r="I94" s="1649"/>
      <c r="J94" s="1649"/>
      <c r="K94" s="1649"/>
      <c r="L94" s="1649"/>
      <c r="M94" s="1649"/>
      <c r="N94" s="1649"/>
      <c r="O94" s="1649"/>
      <c r="P94" s="1650"/>
      <c r="Q94" s="1651"/>
      <c r="R94" s="1651"/>
      <c r="S94" s="3637"/>
    </row>
    <row r="95" spans="2:19" ht="13.3" thickBot="1" x14ac:dyDescent="0.4">
      <c r="B95" s="3801"/>
      <c r="C95" s="1673" t="s">
        <v>853</v>
      </c>
      <c r="D95" s="1673"/>
      <c r="E95" s="1673"/>
      <c r="F95" s="1674">
        <f>SUMIF($D$7:$D$91,"Movement",$E$7:$E$91)</f>
        <v>0.64814814814814814</v>
      </c>
      <c r="G95" s="1675">
        <f>F95/F92</f>
        <v>3.9063792460274343E-3</v>
      </c>
      <c r="H95" s="1675">
        <f>F95/$F$92</f>
        <v>3.9063792460274343E-3</v>
      </c>
      <c r="I95" s="1673"/>
      <c r="J95" s="1673"/>
      <c r="K95" s="1673"/>
      <c r="L95" s="1673"/>
      <c r="M95" s="1673"/>
      <c r="N95" s="1673"/>
      <c r="O95" s="1673"/>
      <c r="P95" s="1676"/>
      <c r="Q95" s="1677"/>
      <c r="R95" s="1677"/>
      <c r="S95" s="3638"/>
    </row>
    <row r="96" spans="2:19" ht="27.75" customHeight="1" x14ac:dyDescent="0.35">
      <c r="B96" s="3787" t="s">
        <v>1618</v>
      </c>
      <c r="C96" s="1129" t="s">
        <v>1619</v>
      </c>
      <c r="D96" s="1620" t="s">
        <v>3</v>
      </c>
      <c r="E96" s="1621">
        <f t="shared" ref="E96:E131" si="11">MAX($P96,$N96,$H96)</f>
        <v>1.9</v>
      </c>
      <c r="F96" s="1621">
        <f>IF(S96&lt;0,E96+F91+(-S96),E96+F91)</f>
        <v>167.82043611927287</v>
      </c>
      <c r="G96" s="1129"/>
      <c r="H96" s="1575" t="str">
        <f>IF(D96="operation",VLOOKUP(G96,'Generic Divertor Port Tasks'!C$4:D$223,2,FALSE),"N/A")</f>
        <v>N/A</v>
      </c>
      <c r="I96" s="1129"/>
      <c r="J96" s="1619"/>
      <c r="K96" s="1619"/>
      <c r="L96" s="1623" t="str">
        <f>IFERROR(INDEX('Lower Cask Movement &amp; Logistics'!$I$13:$O$19,MATCH($J96,'Lower Cask Movement &amp; Logistics'!$H$13:$H$19,0),MATCH($K96,'Lower Cask Movement &amp; Logistics'!$H$13:$H$19,0)),"N/A")</f>
        <v>N/A</v>
      </c>
      <c r="M96" s="1623" t="str">
        <f>IFERROR(VLOOKUP($I96,'Lower Cask Movement &amp; Logistics'!$H$4:$I$9,2,FALSE),"N/A")</f>
        <v>N/A</v>
      </c>
      <c r="N96" s="1575" t="str">
        <f t="shared" ref="N96:N131" si="12">IF(D96="Movement",IFERROR((L96/M96)/(60*60),"Error"),"N/A")</f>
        <v>N/A</v>
      </c>
      <c r="O96" s="1576" t="s">
        <v>1541</v>
      </c>
      <c r="P96" s="1575">
        <f>IF($D96="Logistics",VLOOKUP($O96,'Lower Cask Movement &amp; Logistics'!$C$4:$D$54,2,FALSE),"N/A")</f>
        <v>1.9</v>
      </c>
      <c r="Q96" s="1576" t="s">
        <v>1620</v>
      </c>
      <c r="R96" s="1575">
        <f>IFERROR(VLOOKUP($Q96,'Lower Cask Dependencies'!$C$5:$F$277,4,FALSE),"N/A")</f>
        <v>157.90043611927283</v>
      </c>
      <c r="S96" s="1575">
        <f>IFERROR(F91-R96,"N/A")</f>
        <v>8.0200000000000387</v>
      </c>
    </row>
    <row r="97" spans="2:19" x14ac:dyDescent="0.35">
      <c r="B97" s="3786"/>
      <c r="C97" s="1579" t="s">
        <v>1252</v>
      </c>
      <c r="D97" s="1611" t="s">
        <v>3</v>
      </c>
      <c r="E97" s="626">
        <f t="shared" si="11"/>
        <v>0.38</v>
      </c>
      <c r="F97" s="626">
        <f t="shared" ref="F97:F130" si="13">IF(S97&lt;0,E97+F96+(-S97),E97+F96)</f>
        <v>168.20043611927287</v>
      </c>
      <c r="G97" s="1579"/>
      <c r="H97" s="1183" t="str">
        <f>IF(D97="operation",VLOOKUP(G97,'Generic Divertor Port Tasks'!C$4:D$223,2,FALSE),"N/A")</f>
        <v>N/A</v>
      </c>
      <c r="I97" s="1579"/>
      <c r="J97" s="582"/>
      <c r="K97" s="582"/>
      <c r="L97" s="1478" t="str">
        <f>IFERROR(INDEX('Lower Cask Movement &amp; Logistics'!$I$13:$O$19,MATCH($J97,'Lower Cask Movement &amp; Logistics'!$H$13:$H$19,0),MATCH($K97,'Lower Cask Movement &amp; Logistics'!$H$13:$H$19,0)),"N/A")</f>
        <v>N/A</v>
      </c>
      <c r="M97" s="1478" t="str">
        <f>IFERROR(VLOOKUP($I97,'Lower Cask Movement &amp; Logistics'!$H$4:$I$9,2,FALSE),"N/A")</f>
        <v>N/A</v>
      </c>
      <c r="N97" s="1183" t="str">
        <f t="shared" si="12"/>
        <v>N/A</v>
      </c>
      <c r="O97" s="1578" t="s">
        <v>1544</v>
      </c>
      <c r="P97" s="1183">
        <f>IF($D97="Logistics",VLOOKUP($O97,'Lower Cask Movement &amp; Logistics'!$C$4:$D$54,2,FALSE),"N/A")</f>
        <v>0.38</v>
      </c>
      <c r="Q97" s="1578"/>
      <c r="R97" s="1183" t="str">
        <f>IFERROR(VLOOKUP($Q97,'Lower Cask Dependencies'!$C$5:$F$277,4,FALSE),"N/A")</f>
        <v>N/A</v>
      </c>
      <c r="S97" s="1183" t="str">
        <f t="shared" ref="S97:S131" si="14">IFERROR(F96-R97,"N/A")</f>
        <v>N/A</v>
      </c>
    </row>
    <row r="98" spans="2:19" x14ac:dyDescent="0.35">
      <c r="B98" s="3786"/>
      <c r="C98" s="1579" t="s">
        <v>1621</v>
      </c>
      <c r="D98" s="1611" t="s">
        <v>251</v>
      </c>
      <c r="E98" s="626">
        <f>MAX($P98,$N98,$H98)</f>
        <v>3.83</v>
      </c>
      <c r="F98" s="626">
        <f t="shared" si="13"/>
        <v>172.03043611927288</v>
      </c>
      <c r="G98" s="1579" t="s">
        <v>269</v>
      </c>
      <c r="H98" s="1183">
        <f>IF(D98="operation",VLOOKUP(G98,'Generic Divertor Port Tasks'!C$4:D$223,2,FALSE),"N/A")</f>
        <v>3.83</v>
      </c>
      <c r="I98" s="1579"/>
      <c r="J98" s="582"/>
      <c r="K98" s="582"/>
      <c r="L98" s="1478" t="str">
        <f>IFERROR(INDEX('Lower Cask Movement &amp; Logistics'!$I$13:$O$19,MATCH($J98,'Lower Cask Movement &amp; Logistics'!$H$13:$H$19,0),MATCH($K98,'Lower Cask Movement &amp; Logistics'!$H$13:$H$19,0)),"N/A")</f>
        <v>N/A</v>
      </c>
      <c r="M98" s="1478" t="str">
        <f>IFERROR(VLOOKUP($I98,'Lower Cask Movement &amp; Logistics'!$H$4:$I$9,2,FALSE),"N/A")</f>
        <v>N/A</v>
      </c>
      <c r="N98" s="1183" t="str">
        <f t="shared" si="12"/>
        <v>N/A</v>
      </c>
      <c r="O98" s="1578"/>
      <c r="P98" s="1183" t="str">
        <f>IF($D98="Logistics",VLOOKUP($O98,'Lower Cask Movement &amp; Logistics'!$C$4:$D$54,2,FALSE),"N/A")</f>
        <v>N/A</v>
      </c>
      <c r="Q98" s="1578"/>
      <c r="R98" s="1183" t="str">
        <f>IFERROR(VLOOKUP($Q98,'Lower Cask Dependencies'!$C$5:$F$277,4,FALSE),"N/A")</f>
        <v>N/A</v>
      </c>
      <c r="S98" s="1183" t="str">
        <f t="shared" si="14"/>
        <v>N/A</v>
      </c>
    </row>
    <row r="99" spans="2:19" x14ac:dyDescent="0.35">
      <c r="B99" s="3786"/>
      <c r="C99" s="1579" t="s">
        <v>1622</v>
      </c>
      <c r="D99" s="1611" t="s">
        <v>3</v>
      </c>
      <c r="E99" s="626">
        <f t="shared" si="11"/>
        <v>0.38</v>
      </c>
      <c r="F99" s="626">
        <f t="shared" si="13"/>
        <v>172.41043611927287</v>
      </c>
      <c r="G99" s="1579"/>
      <c r="H99" s="1183" t="str">
        <f>IF(D99="operation",VLOOKUP(G99,'Generic Divertor Port Tasks'!C$4:D$223,2,FALSE),"N/A")</f>
        <v>N/A</v>
      </c>
      <c r="I99" s="1579"/>
      <c r="J99" s="582"/>
      <c r="K99" s="582"/>
      <c r="L99" s="1478" t="str">
        <f>IFERROR(INDEX('Lower Cask Movement &amp; Logistics'!$I$13:$O$19,MATCH($J99,'Lower Cask Movement &amp; Logistics'!$H$13:$H$19,0),MATCH($K99,'Lower Cask Movement &amp; Logistics'!$H$13:$H$19,0)),"N/A")</f>
        <v>N/A</v>
      </c>
      <c r="M99" s="1478" t="str">
        <f>IFERROR(VLOOKUP($I99,'Lower Cask Movement &amp; Logistics'!$H$4:$I$9,2,FALSE),"N/A")</f>
        <v>N/A</v>
      </c>
      <c r="N99" s="1183" t="str">
        <f t="shared" si="12"/>
        <v>N/A</v>
      </c>
      <c r="O99" s="1578" t="s">
        <v>1544</v>
      </c>
      <c r="P99" s="1183">
        <f>IF($D99="Logistics",VLOOKUP($O99,'Lower Cask Movement &amp; Logistics'!$C$4:$D$54,2,FALSE),"N/A")</f>
        <v>0.38</v>
      </c>
      <c r="Q99" s="1578"/>
      <c r="R99" s="1183" t="str">
        <f>IFERROR(VLOOKUP($Q99,'Lower Cask Dependencies'!$C$5:$F$277,4,FALSE),"N/A")</f>
        <v>N/A</v>
      </c>
      <c r="S99" s="1183" t="str">
        <f t="shared" si="14"/>
        <v>N/A</v>
      </c>
    </row>
    <row r="100" spans="2:19" x14ac:dyDescent="0.35">
      <c r="B100" s="3786"/>
      <c r="C100" s="1579" t="s">
        <v>945</v>
      </c>
      <c r="D100" s="1611" t="s">
        <v>251</v>
      </c>
      <c r="E100" s="626">
        <f t="shared" si="11"/>
        <v>0.76001979591324842</v>
      </c>
      <c r="F100" s="626">
        <f t="shared" si="13"/>
        <v>173.17045591518612</v>
      </c>
      <c r="G100" s="1579" t="s">
        <v>441</v>
      </c>
      <c r="H100" s="1183">
        <f>IF(D100="operation",VLOOKUP(G100,'Generic Divertor Port Tasks'!C$4:D$223,2,FALSE),"N/A")</f>
        <v>0.76001979591324842</v>
      </c>
      <c r="I100" s="1579"/>
      <c r="J100" s="582"/>
      <c r="K100" s="582"/>
      <c r="L100" s="1478" t="str">
        <f>IFERROR(INDEX('Lower Cask Movement &amp; Logistics'!$I$13:$O$19,MATCH($J100,'Lower Cask Movement &amp; Logistics'!$H$13:$H$19,0),MATCH($K100,'Lower Cask Movement &amp; Logistics'!$H$13:$H$19,0)),"N/A")</f>
        <v>N/A</v>
      </c>
      <c r="M100" s="1478" t="str">
        <f>IFERROR(VLOOKUP($I100,'Lower Cask Movement &amp; Logistics'!$H$4:$I$9,2,FALSE),"N/A")</f>
        <v>N/A</v>
      </c>
      <c r="N100" s="1183" t="str">
        <f t="shared" si="12"/>
        <v>N/A</v>
      </c>
      <c r="O100" s="1578"/>
      <c r="P100" s="1183" t="str">
        <f>IF($D100="Logistics",VLOOKUP($O100,'Lower Cask Movement &amp; Logistics'!$C$4:$D$54,2,FALSE),"N/A")</f>
        <v>N/A</v>
      </c>
      <c r="Q100" s="1578"/>
      <c r="R100" s="1183" t="str">
        <f>IFERROR(VLOOKUP($Q100,'Lower Cask Dependencies'!$C$5:$F$277,4,FALSE),"N/A")</f>
        <v>N/A</v>
      </c>
      <c r="S100" s="1183" t="str">
        <f t="shared" si="14"/>
        <v>N/A</v>
      </c>
    </row>
    <row r="101" spans="2:19" x14ac:dyDescent="0.35">
      <c r="B101" s="3786"/>
      <c r="C101" s="1579" t="s">
        <v>1623</v>
      </c>
      <c r="D101" s="1611" t="s">
        <v>3</v>
      </c>
      <c r="E101" s="626">
        <f t="shared" si="11"/>
        <v>0.38</v>
      </c>
      <c r="F101" s="626">
        <f t="shared" si="13"/>
        <v>173.55045591518612</v>
      </c>
      <c r="G101" s="1579"/>
      <c r="H101" s="1183" t="str">
        <f>IF(D101="operation",VLOOKUP(G101,'Generic Divertor Port Tasks'!C$4:D$223,2,FALSE),"N/A")</f>
        <v>N/A</v>
      </c>
      <c r="I101" s="1579"/>
      <c r="J101" s="582"/>
      <c r="K101" s="582"/>
      <c r="L101" s="1478" t="str">
        <f>IFERROR(INDEX('Lower Cask Movement &amp; Logistics'!$I$13:$O$19,MATCH($J101,'Lower Cask Movement &amp; Logistics'!$H$13:$H$19,0),MATCH($K101,'Lower Cask Movement &amp; Logistics'!$H$13:$H$19,0)),"N/A")</f>
        <v>N/A</v>
      </c>
      <c r="M101" s="1478" t="str">
        <f>IFERROR(VLOOKUP($I101,'Lower Cask Movement &amp; Logistics'!$H$4:$I$9,2,FALSE),"N/A")</f>
        <v>N/A</v>
      </c>
      <c r="N101" s="1183" t="str">
        <f t="shared" si="12"/>
        <v>N/A</v>
      </c>
      <c r="O101" s="1578" t="s">
        <v>1546</v>
      </c>
      <c r="P101" s="1183">
        <f>IF($D101="Logistics",VLOOKUP($O101,'Lower Cask Movement &amp; Logistics'!$C$4:$D$54,2,FALSE),"N/A")</f>
        <v>0.38</v>
      </c>
      <c r="Q101" s="1578"/>
      <c r="R101" s="1183" t="str">
        <f>IFERROR(VLOOKUP($Q101,'Lower Cask Dependencies'!$C$5:$F$277,4,FALSE),"N/A")</f>
        <v>N/A</v>
      </c>
      <c r="S101" s="1183" t="str">
        <f t="shared" si="14"/>
        <v>N/A</v>
      </c>
    </row>
    <row r="102" spans="2:19" x14ac:dyDescent="0.35">
      <c r="B102" s="3786"/>
      <c r="C102" s="1579" t="s">
        <v>1599</v>
      </c>
      <c r="D102" s="1611" t="s">
        <v>3</v>
      </c>
      <c r="E102" s="626">
        <f t="shared" si="11"/>
        <v>0.38</v>
      </c>
      <c r="F102" s="626">
        <f t="shared" si="13"/>
        <v>173.93045591518612</v>
      </c>
      <c r="G102" s="1579"/>
      <c r="H102" s="1183" t="str">
        <f>IF(D102="operation",VLOOKUP(G102,'Generic Divertor Port Tasks'!C$4:D$223,2,FALSE),"N/A")</f>
        <v>N/A</v>
      </c>
      <c r="I102" s="1579"/>
      <c r="J102" s="582"/>
      <c r="K102" s="582"/>
      <c r="L102" s="1478" t="str">
        <f>IFERROR(INDEX('Lower Cask Movement &amp; Logistics'!$I$13:$O$19,MATCH($J102,'Lower Cask Movement &amp; Logistics'!$H$13:$H$19,0),MATCH($K102,'Lower Cask Movement &amp; Logistics'!$H$13:$H$19,0)),"N/A")</f>
        <v>N/A</v>
      </c>
      <c r="M102" s="1478" t="str">
        <f>IFERROR(VLOOKUP($I102,'Lower Cask Movement &amp; Logistics'!$H$4:$I$9,2,FALSE),"N/A")</f>
        <v>N/A</v>
      </c>
      <c r="N102" s="1183" t="str">
        <f t="shared" si="12"/>
        <v>N/A</v>
      </c>
      <c r="O102" s="1578" t="s">
        <v>1546</v>
      </c>
      <c r="P102" s="1183">
        <f>IF($D102="Logistics",VLOOKUP($O102,'Lower Cask Movement &amp; Logistics'!$C$4:$D$54,2,FALSE),"N/A")</f>
        <v>0.38</v>
      </c>
      <c r="Q102" s="1578"/>
      <c r="R102" s="1183" t="str">
        <f>IFERROR(VLOOKUP($Q102,'Lower Cask Dependencies'!$C$5:$F$277,4,FALSE),"N/A")</f>
        <v>N/A</v>
      </c>
      <c r="S102" s="1183" t="str">
        <f t="shared" si="14"/>
        <v>N/A</v>
      </c>
    </row>
    <row r="103" spans="2:19" x14ac:dyDescent="0.35">
      <c r="B103" s="3786"/>
      <c r="C103" s="1579" t="s">
        <v>1252</v>
      </c>
      <c r="D103" s="1611" t="s">
        <v>3</v>
      </c>
      <c r="E103" s="626">
        <f t="shared" si="11"/>
        <v>0.38</v>
      </c>
      <c r="F103" s="626">
        <f t="shared" si="13"/>
        <v>174.31045591518611</v>
      </c>
      <c r="G103" s="1579"/>
      <c r="H103" s="1183" t="str">
        <f>IF(D103="operation",VLOOKUP(G103,'Generic Divertor Port Tasks'!C$4:D$223,2,FALSE),"N/A")</f>
        <v>N/A</v>
      </c>
      <c r="I103" s="1579"/>
      <c r="J103" s="582"/>
      <c r="K103" s="582"/>
      <c r="L103" s="1478" t="str">
        <f>IFERROR(INDEX('Lower Cask Movement &amp; Logistics'!$I$13:$O$19,MATCH($J103,'Lower Cask Movement &amp; Logistics'!$H$13:$H$19,0),MATCH($K103,'Lower Cask Movement &amp; Logistics'!$H$13:$H$19,0)),"N/A")</f>
        <v>N/A</v>
      </c>
      <c r="M103" s="1478" t="str">
        <f>IFERROR(VLOOKUP($I103,'Lower Cask Movement &amp; Logistics'!$H$4:$I$9,2,FALSE),"N/A")</f>
        <v>N/A</v>
      </c>
      <c r="N103" s="1183" t="str">
        <f t="shared" si="12"/>
        <v>N/A</v>
      </c>
      <c r="O103" s="1578" t="s">
        <v>1544</v>
      </c>
      <c r="P103" s="1183">
        <f>IF($D103="Logistics",VLOOKUP($O103,'Lower Cask Movement &amp; Logistics'!$C$4:$D$54,2,FALSE),"N/A")</f>
        <v>0.38</v>
      </c>
      <c r="Q103" s="1578"/>
      <c r="R103" s="1183" t="str">
        <f>IFERROR(VLOOKUP($Q103,'Lower Cask Dependencies'!$C$5:$F$277,4,FALSE),"N/A")</f>
        <v>N/A</v>
      </c>
      <c r="S103" s="1183" t="str">
        <f t="shared" si="14"/>
        <v>N/A</v>
      </c>
    </row>
    <row r="104" spans="2:19" x14ac:dyDescent="0.35">
      <c r="B104" s="3786"/>
      <c r="C104" s="1579" t="s">
        <v>1624</v>
      </c>
      <c r="D104" s="1611" t="s">
        <v>251</v>
      </c>
      <c r="E104" s="626">
        <f t="shared" si="11"/>
        <v>3.83</v>
      </c>
      <c r="F104" s="626">
        <f t="shared" si="13"/>
        <v>178.14045591518612</v>
      </c>
      <c r="G104" s="1579" t="s">
        <v>269</v>
      </c>
      <c r="H104" s="1183">
        <f>IF(D104="operation",VLOOKUP(G104,'Generic Divertor Port Tasks'!C$4:D$223,2,FALSE),"N/A")</f>
        <v>3.83</v>
      </c>
      <c r="I104" s="1579"/>
      <c r="J104" s="582"/>
      <c r="K104" s="582"/>
      <c r="L104" s="1478" t="str">
        <f>IFERROR(INDEX('Lower Cask Movement &amp; Logistics'!$I$13:$O$19,MATCH($J104,'Lower Cask Movement &amp; Logistics'!$H$13:$H$19,0),MATCH($K104,'Lower Cask Movement &amp; Logistics'!$H$13:$H$19,0)),"N/A")</f>
        <v>N/A</v>
      </c>
      <c r="M104" s="1478" t="str">
        <f>IFERROR(VLOOKUP($I104,'Lower Cask Movement &amp; Logistics'!$H$4:$I$9,2,FALSE),"N/A")</f>
        <v>N/A</v>
      </c>
      <c r="N104" s="1183" t="str">
        <f t="shared" si="12"/>
        <v>N/A</v>
      </c>
      <c r="O104" s="1578"/>
      <c r="P104" s="1183" t="str">
        <f>IF($D104="Logistics",VLOOKUP($O104,'Lower Cask Movement &amp; Logistics'!$C$4:$D$54,2,FALSE),"N/A")</f>
        <v>N/A</v>
      </c>
      <c r="Q104" s="1578"/>
      <c r="R104" s="1183" t="str">
        <f>IFERROR(VLOOKUP($Q104,'Lower Cask Dependencies'!$C$5:$F$277,4,FALSE),"N/A")</f>
        <v>N/A</v>
      </c>
      <c r="S104" s="1183" t="str">
        <f t="shared" si="14"/>
        <v>N/A</v>
      </c>
    </row>
    <row r="105" spans="2:19" x14ac:dyDescent="0.35">
      <c r="B105" s="3786"/>
      <c r="C105" s="1579" t="s">
        <v>1625</v>
      </c>
      <c r="D105" s="1611" t="s">
        <v>251</v>
      </c>
      <c r="E105" s="626">
        <f t="shared" si="11"/>
        <v>3.83</v>
      </c>
      <c r="F105" s="626">
        <f t="shared" si="13"/>
        <v>181.97045591518614</v>
      </c>
      <c r="G105" s="1579" t="s">
        <v>269</v>
      </c>
      <c r="H105" s="1183">
        <f>IF(D105="operation",VLOOKUP(G105,'Generic Divertor Port Tasks'!C$4:D$223,2,FALSE),"N/A")</f>
        <v>3.83</v>
      </c>
      <c r="I105" s="1579"/>
      <c r="J105" s="582"/>
      <c r="K105" s="582"/>
      <c r="L105" s="1478" t="str">
        <f>IFERROR(INDEX('Lower Cask Movement &amp; Logistics'!$I$13:$O$19,MATCH($J105,'Lower Cask Movement &amp; Logistics'!$H$13:$H$19,0),MATCH($K105,'Lower Cask Movement &amp; Logistics'!$H$13:$H$19,0)),"N/A")</f>
        <v>N/A</v>
      </c>
      <c r="M105" s="1478" t="str">
        <f>IFERROR(VLOOKUP($I105,'Lower Cask Movement &amp; Logistics'!$H$4:$I$9,2,FALSE),"N/A")</f>
        <v>N/A</v>
      </c>
      <c r="N105" s="1183" t="str">
        <f t="shared" si="12"/>
        <v>N/A</v>
      </c>
      <c r="O105" s="1578" t="s">
        <v>1546</v>
      </c>
      <c r="P105" s="1183" t="str">
        <f>IF($D105="Logistics",VLOOKUP($O105,'Lower Cask Movement &amp; Logistics'!$C$4:$D$54,2,FALSE),"N/A")</f>
        <v>N/A</v>
      </c>
      <c r="Q105" s="1578"/>
      <c r="R105" s="1183" t="str">
        <f>IFERROR(VLOOKUP($Q105,'Lower Cask Dependencies'!$C$5:$F$277,4,FALSE),"N/A")</f>
        <v>N/A</v>
      </c>
      <c r="S105" s="1183" t="str">
        <f t="shared" si="14"/>
        <v>N/A</v>
      </c>
    </row>
    <row r="106" spans="2:19" x14ac:dyDescent="0.35">
      <c r="B106" s="3786"/>
      <c r="C106" s="1579" t="s">
        <v>1593</v>
      </c>
      <c r="D106" s="1611" t="s">
        <v>3</v>
      </c>
      <c r="E106" s="626">
        <f t="shared" si="11"/>
        <v>0.53</v>
      </c>
      <c r="F106" s="626">
        <f t="shared" si="13"/>
        <v>182.50045591518614</v>
      </c>
      <c r="G106" s="1579"/>
      <c r="H106" s="1183" t="str">
        <f>IF(D106="operation",VLOOKUP(G106,'Generic Divertor Port Tasks'!C$4:D$223,2,FALSE),"N/A")</f>
        <v>N/A</v>
      </c>
      <c r="I106" s="1579"/>
      <c r="J106" s="582"/>
      <c r="K106" s="582"/>
      <c r="L106" s="1478" t="str">
        <f>IFERROR(INDEX('Lower Cask Movement &amp; Logistics'!$I$13:$O$19,MATCH($J106,'Lower Cask Movement &amp; Logistics'!$H$13:$H$19,0),MATCH($K106,'Lower Cask Movement &amp; Logistics'!$H$13:$H$19,0)),"N/A")</f>
        <v>N/A</v>
      </c>
      <c r="M106" s="1478" t="str">
        <f>IFERROR(VLOOKUP($I106,'Lower Cask Movement &amp; Logistics'!$H$4:$I$9,2,FALSE),"N/A")</f>
        <v>N/A</v>
      </c>
      <c r="N106" s="1183" t="str">
        <f t="shared" si="12"/>
        <v>N/A</v>
      </c>
      <c r="O106" s="1578" t="s">
        <v>1558</v>
      </c>
      <c r="P106" s="1183">
        <f>IF($D106="Logistics",VLOOKUP($O106,'Lower Cask Movement &amp; Logistics'!$C$4:$D$54,2,FALSE),"N/A")</f>
        <v>0.53</v>
      </c>
      <c r="Q106" s="1578"/>
      <c r="R106" s="1183" t="str">
        <f>IFERROR(VLOOKUP($Q106,'Lower Cask Dependencies'!$C$5:$F$277,4,FALSE),"N/A")</f>
        <v>N/A</v>
      </c>
      <c r="S106" s="1183" t="str">
        <f t="shared" si="14"/>
        <v>N/A</v>
      </c>
    </row>
    <row r="107" spans="2:19" x14ac:dyDescent="0.35">
      <c r="B107" s="3786"/>
      <c r="C107" s="1579" t="s">
        <v>947</v>
      </c>
      <c r="D107" s="1611" t="s">
        <v>251</v>
      </c>
      <c r="E107" s="626">
        <f t="shared" si="11"/>
        <v>0.76001979591324842</v>
      </c>
      <c r="F107" s="626">
        <f t="shared" si="13"/>
        <v>183.26047571109939</v>
      </c>
      <c r="G107" s="1579" t="s">
        <v>441</v>
      </c>
      <c r="H107" s="1183">
        <f>IF(D107="operation",VLOOKUP(G107,'Generic Divertor Port Tasks'!C$4:D$223,2,FALSE),"N/A")</f>
        <v>0.76001979591324842</v>
      </c>
      <c r="I107" s="1579"/>
      <c r="J107" s="582"/>
      <c r="K107" s="582"/>
      <c r="L107" s="1478" t="str">
        <f>IFERROR(INDEX('Lower Cask Movement &amp; Logistics'!$I$13:$O$19,MATCH($J107,'Lower Cask Movement &amp; Logistics'!$H$13:$H$19,0),MATCH($K107,'Lower Cask Movement &amp; Logistics'!$H$13:$H$19,0)),"N/A")</f>
        <v>N/A</v>
      </c>
      <c r="M107" s="1478" t="str">
        <f>IFERROR(VLOOKUP($I107,'Lower Cask Movement &amp; Logistics'!$H$4:$I$9,2,FALSE),"N/A")</f>
        <v>N/A</v>
      </c>
      <c r="N107" s="1183" t="str">
        <f t="shared" si="12"/>
        <v>N/A</v>
      </c>
      <c r="O107" s="1578"/>
      <c r="P107" s="1183" t="str">
        <f>IF($D107="Logistics",VLOOKUP($O107,'Lower Cask Movement &amp; Logistics'!$C$4:$D$54,2,FALSE),"N/A")</f>
        <v>N/A</v>
      </c>
      <c r="Q107" s="1578"/>
      <c r="R107" s="1183" t="str">
        <f>IFERROR(VLOOKUP($Q107,'Lower Cask Dependencies'!$C$5:$F$277,4,FALSE),"N/A")</f>
        <v>N/A</v>
      </c>
      <c r="S107" s="1183" t="str">
        <f t="shared" si="14"/>
        <v>N/A</v>
      </c>
    </row>
    <row r="108" spans="2:19" x14ac:dyDescent="0.35">
      <c r="B108" s="3786"/>
      <c r="C108" s="1579" t="s">
        <v>1626</v>
      </c>
      <c r="D108" s="1611" t="s">
        <v>3</v>
      </c>
      <c r="E108" s="626">
        <f t="shared" si="11"/>
        <v>0.38</v>
      </c>
      <c r="F108" s="626">
        <f t="shared" si="13"/>
        <v>183.64047571109938</v>
      </c>
      <c r="G108" s="1579"/>
      <c r="H108" s="1183" t="str">
        <f>IF(D108="operation",VLOOKUP(G108,'Generic Divertor Port Tasks'!C$4:D$223,2,FALSE),"N/A")</f>
        <v>N/A</v>
      </c>
      <c r="I108" s="1579"/>
      <c r="J108" s="582"/>
      <c r="K108" s="582"/>
      <c r="L108" s="1478" t="str">
        <f>IFERROR(INDEX('Lower Cask Movement &amp; Logistics'!$I$13:$O$19,MATCH($J108,'Lower Cask Movement &amp; Logistics'!$H$13:$H$19,0),MATCH($K108,'Lower Cask Movement &amp; Logistics'!$H$13:$H$19,0)),"N/A")</f>
        <v>N/A</v>
      </c>
      <c r="M108" s="1478" t="str">
        <f>IFERROR(VLOOKUP($I108,'Lower Cask Movement &amp; Logistics'!$H$4:$I$9,2,FALSE),"N/A")</f>
        <v>N/A</v>
      </c>
      <c r="N108" s="1183" t="str">
        <f t="shared" si="12"/>
        <v>N/A</v>
      </c>
      <c r="O108" s="1578" t="s">
        <v>1546</v>
      </c>
      <c r="P108" s="1183">
        <f>IF($D108="Logistics",VLOOKUP($O108,'Lower Cask Movement &amp; Logistics'!$C$4:$D$54,2,FALSE),"N/A")</f>
        <v>0.38</v>
      </c>
      <c r="Q108" s="1578"/>
      <c r="R108" s="1183" t="str">
        <f>IFERROR(VLOOKUP($Q108,'Lower Cask Dependencies'!$C$5:$F$277,4,FALSE),"N/A")</f>
        <v>N/A</v>
      </c>
      <c r="S108" s="1183" t="str">
        <f t="shared" si="14"/>
        <v>N/A</v>
      </c>
    </row>
    <row r="109" spans="2:19" x14ac:dyDescent="0.35">
      <c r="B109" s="3786"/>
      <c r="C109" s="1579" t="s">
        <v>1596</v>
      </c>
      <c r="D109" s="1611" t="s">
        <v>3</v>
      </c>
      <c r="E109" s="626">
        <f t="shared" si="11"/>
        <v>0.53</v>
      </c>
      <c r="F109" s="626">
        <f t="shared" si="13"/>
        <v>184.17047571109939</v>
      </c>
      <c r="G109" s="1579"/>
      <c r="H109" s="1183" t="str">
        <f>IF(D109="operation",VLOOKUP(G109,'Generic Divertor Port Tasks'!C$4:D$223,2,FALSE),"N/A")</f>
        <v>N/A</v>
      </c>
      <c r="I109" s="1579"/>
      <c r="J109" s="582"/>
      <c r="K109" s="582"/>
      <c r="L109" s="1478" t="str">
        <f>IFERROR(INDEX('Lower Cask Movement &amp; Logistics'!$I$13:$O$19,MATCH($J109,'Lower Cask Movement &amp; Logistics'!$H$13:$H$19,0),MATCH($K109,'Lower Cask Movement &amp; Logistics'!$H$13:$H$19,0)),"N/A")</f>
        <v>N/A</v>
      </c>
      <c r="M109" s="1478" t="str">
        <f>IFERROR(VLOOKUP($I109,'Lower Cask Movement &amp; Logistics'!$H$4:$I$9,2,FALSE),"N/A")</f>
        <v>N/A</v>
      </c>
      <c r="N109" s="1183" t="str">
        <f t="shared" si="12"/>
        <v>N/A</v>
      </c>
      <c r="O109" s="1578" t="s">
        <v>1558</v>
      </c>
      <c r="P109" s="1183">
        <f>IF($D109="Logistics",VLOOKUP($O109,'Lower Cask Movement &amp; Logistics'!$C$4:$D$54,2,FALSE),"N/A")</f>
        <v>0.53</v>
      </c>
      <c r="Q109" s="1578"/>
      <c r="R109" s="1183" t="str">
        <f>IFERROR(VLOOKUP($Q109,'Lower Cask Dependencies'!$C$5:$F$277,4,FALSE),"N/A")</f>
        <v>N/A</v>
      </c>
      <c r="S109" s="1183" t="str">
        <f t="shared" si="14"/>
        <v>N/A</v>
      </c>
    </row>
    <row r="110" spans="2:19" x14ac:dyDescent="0.35">
      <c r="B110" s="3786"/>
      <c r="C110" s="1579" t="s">
        <v>949</v>
      </c>
      <c r="D110" s="1611" t="s">
        <v>251</v>
      </c>
      <c r="E110" s="626">
        <f t="shared" si="11"/>
        <v>0.76001979591324842</v>
      </c>
      <c r="F110" s="626">
        <f t="shared" si="13"/>
        <v>184.93049550701264</v>
      </c>
      <c r="G110" s="1579" t="s">
        <v>441</v>
      </c>
      <c r="H110" s="1183">
        <f>IF(D110="operation",VLOOKUP(G110,'Generic Divertor Port Tasks'!C$4:D$223,2,FALSE),"N/A")</f>
        <v>0.76001979591324842</v>
      </c>
      <c r="I110" s="1579"/>
      <c r="J110" s="582"/>
      <c r="K110" s="582"/>
      <c r="L110" s="1478" t="str">
        <f>IFERROR(INDEX('Lower Cask Movement &amp; Logistics'!$I$13:$O$19,MATCH($J110,'Lower Cask Movement &amp; Logistics'!$H$13:$H$19,0),MATCH($K110,'Lower Cask Movement &amp; Logistics'!$H$13:$H$19,0)),"N/A")</f>
        <v>N/A</v>
      </c>
      <c r="M110" s="1478" t="str">
        <f>IFERROR(VLOOKUP($I110,'Lower Cask Movement &amp; Logistics'!$H$4:$I$9,2,FALSE),"N/A")</f>
        <v>N/A</v>
      </c>
      <c r="N110" s="1183" t="str">
        <f t="shared" si="12"/>
        <v>N/A</v>
      </c>
      <c r="O110" s="1578"/>
      <c r="P110" s="1183" t="str">
        <f>IF($D110="Logistics",VLOOKUP($O110,'Lower Cask Movement &amp; Logistics'!$C$4:$D$54,2,FALSE),"N/A")</f>
        <v>N/A</v>
      </c>
      <c r="Q110" s="1578"/>
      <c r="R110" s="1183" t="str">
        <f>IFERROR(VLOOKUP($Q110,'Lower Cask Dependencies'!$C$5:$F$277,4,FALSE),"N/A")</f>
        <v>N/A</v>
      </c>
      <c r="S110" s="1183" t="str">
        <f t="shared" si="14"/>
        <v>N/A</v>
      </c>
    </row>
    <row r="111" spans="2:19" x14ac:dyDescent="0.35">
      <c r="B111" s="3786"/>
      <c r="C111" s="1579" t="s">
        <v>1599</v>
      </c>
      <c r="D111" s="1611" t="s">
        <v>3</v>
      </c>
      <c r="E111" s="626">
        <f t="shared" si="11"/>
        <v>0.38</v>
      </c>
      <c r="F111" s="626">
        <f t="shared" si="13"/>
        <v>185.31049550701263</v>
      </c>
      <c r="G111" s="1579"/>
      <c r="H111" s="1183" t="str">
        <f>IF(D111="operation",VLOOKUP(G111,'Generic Divertor Port Tasks'!C$4:D$223,2,FALSE),"N/A")</f>
        <v>N/A</v>
      </c>
      <c r="I111" s="1579"/>
      <c r="J111" s="582"/>
      <c r="K111" s="582"/>
      <c r="L111" s="1478" t="str">
        <f>IFERROR(INDEX('Lower Cask Movement &amp; Logistics'!$I$13:$O$19,MATCH($J111,'Lower Cask Movement &amp; Logistics'!$H$13:$H$19,0),MATCH($K111,'Lower Cask Movement &amp; Logistics'!$H$13:$H$19,0)),"N/A")</f>
        <v>N/A</v>
      </c>
      <c r="M111" s="1478" t="str">
        <f>IFERROR(VLOOKUP($I111,'Lower Cask Movement &amp; Logistics'!$H$4:$I$9,2,FALSE),"N/A")</f>
        <v>N/A</v>
      </c>
      <c r="N111" s="1183" t="str">
        <f t="shared" si="12"/>
        <v>N/A</v>
      </c>
      <c r="O111" s="1578" t="s">
        <v>1546</v>
      </c>
      <c r="P111" s="1183">
        <f>IF($D111="Logistics",VLOOKUP($O111,'Lower Cask Movement &amp; Logistics'!$C$4:$D$54,2,FALSE),"N/A")</f>
        <v>0.38</v>
      </c>
      <c r="Q111" s="1578"/>
      <c r="R111" s="1183" t="str">
        <f>IFERROR(VLOOKUP($Q111,'Lower Cask Dependencies'!$C$5:$F$277,4,FALSE),"N/A")</f>
        <v>N/A</v>
      </c>
      <c r="S111" s="1183" t="str">
        <f t="shared" si="14"/>
        <v>N/A</v>
      </c>
    </row>
    <row r="112" spans="2:19" x14ac:dyDescent="0.35">
      <c r="B112" s="3786"/>
      <c r="C112" s="1579" t="s">
        <v>1627</v>
      </c>
      <c r="D112" s="1611" t="s">
        <v>3</v>
      </c>
      <c r="E112" s="626">
        <f t="shared" si="11"/>
        <v>0.38</v>
      </c>
      <c r="F112" s="626">
        <f t="shared" si="13"/>
        <v>185.69049550701263</v>
      </c>
      <c r="G112" s="1579"/>
      <c r="H112" s="1183" t="str">
        <f>IF(D112="operation",VLOOKUP(G112,'Generic Divertor Port Tasks'!C$4:D$223,2,FALSE),"N/A")</f>
        <v>N/A</v>
      </c>
      <c r="I112" s="1579"/>
      <c r="J112" s="582"/>
      <c r="K112" s="582"/>
      <c r="L112" s="1478" t="str">
        <f>IFERROR(INDEX('Lower Cask Movement &amp; Logistics'!$I$13:$O$19,MATCH($J112,'Lower Cask Movement &amp; Logistics'!$H$13:$H$19,0),MATCH($K112,'Lower Cask Movement &amp; Logistics'!$H$13:$H$19,0)),"N/A")</f>
        <v>N/A</v>
      </c>
      <c r="M112" s="1478" t="str">
        <f>IFERROR(VLOOKUP($I112,'Lower Cask Movement &amp; Logistics'!$H$4:$I$9,2,FALSE),"N/A")</f>
        <v>N/A</v>
      </c>
      <c r="N112" s="1183" t="str">
        <f t="shared" si="12"/>
        <v>N/A</v>
      </c>
      <c r="O112" s="1578" t="s">
        <v>1546</v>
      </c>
      <c r="P112" s="1183">
        <f>IF($D112="Logistics",VLOOKUP($O112,'Lower Cask Movement &amp; Logistics'!$C$4:$D$54,2,FALSE),"N/A")</f>
        <v>0.38</v>
      </c>
      <c r="Q112" s="1578"/>
      <c r="R112" s="1183" t="str">
        <f>IFERROR(VLOOKUP($Q112,'Lower Cask Dependencies'!$C$5:$F$277,4,FALSE),"N/A")</f>
        <v>N/A</v>
      </c>
      <c r="S112" s="1183" t="str">
        <f t="shared" si="14"/>
        <v>N/A</v>
      </c>
    </row>
    <row r="113" spans="2:19" ht="13.3" thickBot="1" x14ac:dyDescent="0.4">
      <c r="B113" s="3788"/>
      <c r="C113" s="1136" t="s">
        <v>1628</v>
      </c>
      <c r="D113" s="1581" t="s">
        <v>3</v>
      </c>
      <c r="E113" s="585">
        <f t="shared" si="11"/>
        <v>2.3000000000000003</v>
      </c>
      <c r="F113" s="585">
        <f t="shared" si="13"/>
        <v>187.99049550701264</v>
      </c>
      <c r="G113" s="1136"/>
      <c r="H113" s="1179" t="str">
        <f>IF(D113="operation",VLOOKUP(G113,'Generic Divertor Port Tasks'!C$4:D$223,2,FALSE),"N/A")</f>
        <v>N/A</v>
      </c>
      <c r="I113" s="1136"/>
      <c r="J113" s="584"/>
      <c r="K113" s="584"/>
      <c r="L113" s="814" t="str">
        <f>IFERROR(INDEX('Lower Cask Movement &amp; Logistics'!$I$13:$O$19,MATCH($J113,'Lower Cask Movement &amp; Logistics'!$H$13:$H$19,0),MATCH($K113,'Lower Cask Movement &amp; Logistics'!$H$13:$H$19,0)),"N/A")</f>
        <v>N/A</v>
      </c>
      <c r="M113" s="814" t="str">
        <f>IFERROR(VLOOKUP($I113,'Lower Cask Movement &amp; Logistics'!$H$4:$I$9,2,FALSE),"N/A")</f>
        <v>N/A</v>
      </c>
      <c r="N113" s="1179" t="str">
        <f t="shared" si="12"/>
        <v>N/A</v>
      </c>
      <c r="O113" s="1582" t="s">
        <v>1552</v>
      </c>
      <c r="P113" s="1179">
        <f>IF($D113="Logistics",VLOOKUP($O113,'Lower Cask Movement &amp; Logistics'!$C$4:$D$54,2,FALSE),"N/A")</f>
        <v>2.3000000000000003</v>
      </c>
      <c r="Q113" s="1582"/>
      <c r="R113" s="1179" t="str">
        <f>IFERROR(VLOOKUP($Q113,'Lower Cask Dependencies'!$C$5:$F$277,4,FALSE),"N/A")</f>
        <v>N/A</v>
      </c>
      <c r="S113" s="1179" t="str">
        <f t="shared" si="14"/>
        <v>N/A</v>
      </c>
    </row>
    <row r="114" spans="2:19" x14ac:dyDescent="0.35">
      <c r="B114" s="3784" t="s">
        <v>1629</v>
      </c>
      <c r="C114" s="1583" t="s">
        <v>1630</v>
      </c>
      <c r="D114" s="1584" t="s">
        <v>3</v>
      </c>
      <c r="E114" s="1585">
        <f t="shared" si="11"/>
        <v>1.9</v>
      </c>
      <c r="F114" s="1585">
        <f t="shared" si="13"/>
        <v>189.89049550701264</v>
      </c>
      <c r="G114" s="1583"/>
      <c r="H114" s="1586" t="str">
        <f>IF(D114="operation",VLOOKUP(G114,'Generic Divertor Port Tasks'!C$4:D$223,2,FALSE),"N/A")</f>
        <v>N/A</v>
      </c>
      <c r="I114" s="1583"/>
      <c r="J114" s="1587"/>
      <c r="K114" s="1587"/>
      <c r="L114" s="1588" t="str">
        <f>IFERROR(INDEX('Lower Cask Movement &amp; Logistics'!$I$13:$O$19,MATCH($J114,'Lower Cask Movement &amp; Logistics'!$H$13:$H$19,0),MATCH($K114,'Lower Cask Movement &amp; Logistics'!$H$13:$H$19,0)),"N/A")</f>
        <v>N/A</v>
      </c>
      <c r="M114" s="1588" t="str">
        <f>IFERROR(VLOOKUP($I114,'Lower Cask Movement &amp; Logistics'!$H$4:$I$9,2,FALSE),"N/A")</f>
        <v>N/A</v>
      </c>
      <c r="N114" s="1586" t="str">
        <f t="shared" si="12"/>
        <v>N/A</v>
      </c>
      <c r="O114" s="1589" t="s">
        <v>1541</v>
      </c>
      <c r="P114" s="1586">
        <f>IF($D114="Logistics",VLOOKUP($O114,'Lower Cask Movement &amp; Logistics'!$C$4:$D$54,2,FALSE),"N/A")</f>
        <v>1.9</v>
      </c>
      <c r="Q114" s="1589" t="s">
        <v>1631</v>
      </c>
      <c r="R114" s="1586">
        <f>IFERROR(VLOOKUP($Q114,'Lower Cask Dependencies'!$C$5:$F$277,4,FALSE),"N/A")</f>
        <v>170.13413982297661</v>
      </c>
      <c r="S114" s="1586">
        <f t="shared" si="14"/>
        <v>17.856355684036032</v>
      </c>
    </row>
    <row r="115" spans="2:19" x14ac:dyDescent="0.35">
      <c r="B115" s="3784"/>
      <c r="C115" s="1597" t="s">
        <v>1247</v>
      </c>
      <c r="D115" s="1598" t="s">
        <v>3</v>
      </c>
      <c r="E115" s="1599">
        <f t="shared" si="11"/>
        <v>0.38</v>
      </c>
      <c r="F115" s="1599">
        <f t="shared" si="13"/>
        <v>190.27049550701264</v>
      </c>
      <c r="G115" s="1597"/>
      <c r="H115" s="1600" t="str">
        <f>IF(D115="operation",VLOOKUP(G115,'Generic Divertor Port Tasks'!C$4:D$223,2,FALSE),"N/A")</f>
        <v>N/A</v>
      </c>
      <c r="I115" s="1597"/>
      <c r="J115" s="1601"/>
      <c r="K115" s="1601"/>
      <c r="L115" s="1602" t="str">
        <f>IFERROR(INDEX('Lower Cask Movement &amp; Logistics'!$I$13:$O$19,MATCH($J115,'Lower Cask Movement &amp; Logistics'!$H$13:$H$19,0),MATCH($K115,'Lower Cask Movement &amp; Logistics'!$H$13:$H$19,0)),"N/A")</f>
        <v>N/A</v>
      </c>
      <c r="M115" s="1602" t="str">
        <f>IFERROR(VLOOKUP($I115,'Lower Cask Movement &amp; Logistics'!$H$4:$I$9,2,FALSE),"N/A")</f>
        <v>N/A</v>
      </c>
      <c r="N115" s="1600" t="str">
        <f t="shared" si="12"/>
        <v>N/A</v>
      </c>
      <c r="O115" s="1603" t="s">
        <v>1544</v>
      </c>
      <c r="P115" s="1600">
        <f>IF($D115="Logistics",VLOOKUP($O115,'Lower Cask Movement &amp; Logistics'!$C$4:$D$54,2,FALSE),"N/A")</f>
        <v>0.38</v>
      </c>
      <c r="Q115" s="1603"/>
      <c r="R115" s="1600" t="str">
        <f>IFERROR(VLOOKUP($Q115,'Lower Cask Dependencies'!$C$5:$F$277,4,FALSE),"N/A")</f>
        <v>N/A</v>
      </c>
      <c r="S115" s="1600" t="str">
        <f t="shared" si="14"/>
        <v>N/A</v>
      </c>
    </row>
    <row r="116" spans="2:19" x14ac:dyDescent="0.35">
      <c r="B116" s="3784"/>
      <c r="C116" s="1597" t="s">
        <v>951</v>
      </c>
      <c r="D116" s="1598" t="s">
        <v>251</v>
      </c>
      <c r="E116" s="1599">
        <f t="shared" si="11"/>
        <v>0.76001979591324842</v>
      </c>
      <c r="F116" s="1599">
        <f t="shared" si="13"/>
        <v>191.03051530292589</v>
      </c>
      <c r="G116" s="1597" t="s">
        <v>441</v>
      </c>
      <c r="H116" s="1600">
        <f>IF(D116="operation",VLOOKUP(G116,'Generic Divertor Port Tasks'!C$4:D$223,2,FALSE),"N/A")</f>
        <v>0.76001979591324842</v>
      </c>
      <c r="I116" s="1597"/>
      <c r="J116" s="1601"/>
      <c r="K116" s="1601"/>
      <c r="L116" s="1602" t="str">
        <f>IFERROR(INDEX('Lower Cask Movement &amp; Logistics'!$I$13:$O$19,MATCH($J116,'Lower Cask Movement &amp; Logistics'!$H$13:$H$19,0),MATCH($K116,'Lower Cask Movement &amp; Logistics'!$H$13:$H$19,0)),"N/A")</f>
        <v>N/A</v>
      </c>
      <c r="M116" s="1602" t="str">
        <f>IFERROR(VLOOKUP($I116,'Lower Cask Movement &amp; Logistics'!$H$4:$I$9,2,FALSE),"N/A")</f>
        <v>N/A</v>
      </c>
      <c r="N116" s="1600" t="str">
        <f t="shared" si="12"/>
        <v>N/A</v>
      </c>
      <c r="O116" s="1603"/>
      <c r="P116" s="1600" t="str">
        <f>IF($D116="Logistics",VLOOKUP($O116,'Lower Cask Movement &amp; Logistics'!$C$4:$D$54,2,FALSE),"N/A")</f>
        <v>N/A</v>
      </c>
      <c r="Q116" s="1603"/>
      <c r="R116" s="1600" t="str">
        <f>IFERROR(VLOOKUP($Q116,'Lower Cask Dependencies'!$C$5:$F$277,4,FALSE),"N/A")</f>
        <v>N/A</v>
      </c>
      <c r="S116" s="1600" t="str">
        <f t="shared" si="14"/>
        <v>N/A</v>
      </c>
    </row>
    <row r="117" spans="2:19" x14ac:dyDescent="0.35">
      <c r="B117" s="3784"/>
      <c r="C117" s="1597" t="s">
        <v>1632</v>
      </c>
      <c r="D117" s="1598" t="s">
        <v>3</v>
      </c>
      <c r="E117" s="1599">
        <f t="shared" si="11"/>
        <v>0.38</v>
      </c>
      <c r="F117" s="1599">
        <f t="shared" si="13"/>
        <v>191.41051530292589</v>
      </c>
      <c r="G117" s="1597"/>
      <c r="H117" s="1600" t="str">
        <f>IF(D117="operation",VLOOKUP(G117,'Generic Divertor Port Tasks'!C$4:D$223,2,FALSE),"N/A")</f>
        <v>N/A</v>
      </c>
      <c r="I117" s="1597"/>
      <c r="J117" s="1601"/>
      <c r="K117" s="1601"/>
      <c r="L117" s="1602" t="str">
        <f>IFERROR(INDEX('Lower Cask Movement &amp; Logistics'!$I$13:$O$19,MATCH($J117,'Lower Cask Movement &amp; Logistics'!$H$13:$H$19,0),MATCH($K117,'Lower Cask Movement &amp; Logistics'!$H$13:$H$19,0)),"N/A")</f>
        <v>N/A</v>
      </c>
      <c r="M117" s="1602" t="str">
        <f>IFERROR(VLOOKUP($I117,'Lower Cask Movement &amp; Logistics'!$H$4:$I$9,2,FALSE),"N/A")</f>
        <v>N/A</v>
      </c>
      <c r="N117" s="1600" t="str">
        <f t="shared" si="12"/>
        <v>N/A</v>
      </c>
      <c r="O117" s="1603" t="s">
        <v>1546</v>
      </c>
      <c r="P117" s="1600">
        <f>IF($D117="Logistics",VLOOKUP($O117,'Lower Cask Movement &amp; Logistics'!$C$4:$D$54,2,FALSE),"N/A")</f>
        <v>0.38</v>
      </c>
      <c r="Q117" s="1603"/>
      <c r="R117" s="1600" t="str">
        <f>IFERROR(VLOOKUP($Q117,'Lower Cask Dependencies'!$C$5:$F$277,4,FALSE),"N/A")</f>
        <v>N/A</v>
      </c>
      <c r="S117" s="1600" t="str">
        <f t="shared" si="14"/>
        <v>N/A</v>
      </c>
    </row>
    <row r="118" spans="2:19" x14ac:dyDescent="0.35">
      <c r="B118" s="3784"/>
      <c r="C118" s="1597" t="s">
        <v>1593</v>
      </c>
      <c r="D118" s="1598" t="s">
        <v>3</v>
      </c>
      <c r="E118" s="1599">
        <f t="shared" si="11"/>
        <v>0.53</v>
      </c>
      <c r="F118" s="1599">
        <f t="shared" si="13"/>
        <v>191.94051530292589</v>
      </c>
      <c r="G118" s="1597"/>
      <c r="H118" s="1600" t="str">
        <f>IF(D118="operation",VLOOKUP(G118,'Generic Divertor Port Tasks'!C$4:D$223,2,FALSE),"N/A")</f>
        <v>N/A</v>
      </c>
      <c r="I118" s="1597"/>
      <c r="J118" s="1601"/>
      <c r="K118" s="1601"/>
      <c r="L118" s="1602" t="str">
        <f>IFERROR(INDEX('Lower Cask Movement &amp; Logistics'!$I$13:$O$19,MATCH($J118,'Lower Cask Movement &amp; Logistics'!$H$13:$H$19,0),MATCH($K118,'Lower Cask Movement &amp; Logistics'!$H$13:$H$19,0)),"N/A")</f>
        <v>N/A</v>
      </c>
      <c r="M118" s="1602" t="str">
        <f>IFERROR(VLOOKUP($I118,'Lower Cask Movement &amp; Logistics'!$H$4:$I$9,2,FALSE),"N/A")</f>
        <v>N/A</v>
      </c>
      <c r="N118" s="1600" t="str">
        <f t="shared" si="12"/>
        <v>N/A</v>
      </c>
      <c r="O118" s="1603" t="s">
        <v>1558</v>
      </c>
      <c r="P118" s="1600">
        <f>IF($D118="Logistics",VLOOKUP($O118,'Lower Cask Movement &amp; Logistics'!$C$4:$D$54,2,FALSE),"N/A")</f>
        <v>0.53</v>
      </c>
      <c r="Q118" s="1603"/>
      <c r="R118" s="1600" t="str">
        <f>IFERROR(VLOOKUP($Q118,'Lower Cask Dependencies'!$C$5:$F$277,4,FALSE),"N/A")</f>
        <v>N/A</v>
      </c>
      <c r="S118" s="1600" t="str">
        <f t="shared" si="14"/>
        <v>N/A</v>
      </c>
    </row>
    <row r="119" spans="2:19" x14ac:dyDescent="0.35">
      <c r="B119" s="3784"/>
      <c r="C119" s="1597" t="s">
        <v>953</v>
      </c>
      <c r="D119" s="1598" t="s">
        <v>251</v>
      </c>
      <c r="E119" s="1599">
        <f t="shared" si="11"/>
        <v>0.76001979591324842</v>
      </c>
      <c r="F119" s="1599">
        <f t="shared" si="13"/>
        <v>192.70053509883914</v>
      </c>
      <c r="G119" s="1597" t="s">
        <v>441</v>
      </c>
      <c r="H119" s="1600">
        <f>IF(D119="operation",VLOOKUP(G119,'Generic Divertor Port Tasks'!C$4:D$223,2,FALSE),"N/A")</f>
        <v>0.76001979591324842</v>
      </c>
      <c r="I119" s="1597"/>
      <c r="J119" s="1601"/>
      <c r="K119" s="1601"/>
      <c r="L119" s="1602" t="str">
        <f>IFERROR(INDEX('Lower Cask Movement &amp; Logistics'!$I$13:$O$19,MATCH($J119,'Lower Cask Movement &amp; Logistics'!$H$13:$H$19,0),MATCH($K119,'Lower Cask Movement &amp; Logistics'!$H$13:$H$19,0)),"N/A")</f>
        <v>N/A</v>
      </c>
      <c r="M119" s="1602" t="str">
        <f>IFERROR(VLOOKUP($I119,'Lower Cask Movement &amp; Logistics'!$H$4:$I$9,2,FALSE),"N/A")</f>
        <v>N/A</v>
      </c>
      <c r="N119" s="1600" t="str">
        <f t="shared" si="12"/>
        <v>N/A</v>
      </c>
      <c r="O119" s="1603"/>
      <c r="P119" s="1600" t="str">
        <f>IF($D119="Logistics",VLOOKUP($O119,'Lower Cask Movement &amp; Logistics'!$C$4:$D$54,2,FALSE),"N/A")</f>
        <v>N/A</v>
      </c>
      <c r="Q119" s="1603"/>
      <c r="R119" s="1600" t="str">
        <f>IFERROR(VLOOKUP($Q119,'Lower Cask Dependencies'!$C$5:$F$277,4,FALSE),"N/A")</f>
        <v>N/A</v>
      </c>
      <c r="S119" s="1600" t="str">
        <f t="shared" si="14"/>
        <v>N/A</v>
      </c>
    </row>
    <row r="120" spans="2:19" x14ac:dyDescent="0.35">
      <c r="B120" s="3784"/>
      <c r="C120" s="1597" t="s">
        <v>1633</v>
      </c>
      <c r="D120" s="1598" t="s">
        <v>3</v>
      </c>
      <c r="E120" s="1599">
        <f t="shared" si="11"/>
        <v>0.38</v>
      </c>
      <c r="F120" s="1599">
        <f t="shared" si="13"/>
        <v>193.08053509883914</v>
      </c>
      <c r="G120" s="1597"/>
      <c r="H120" s="1600" t="str">
        <f>IF(D120="operation",VLOOKUP(G120,'Generic Divertor Port Tasks'!C$4:D$223,2,FALSE),"N/A")</f>
        <v>N/A</v>
      </c>
      <c r="I120" s="1597"/>
      <c r="J120" s="1601"/>
      <c r="K120" s="1601"/>
      <c r="L120" s="1602" t="str">
        <f>IFERROR(INDEX('Lower Cask Movement &amp; Logistics'!$I$13:$O$19,MATCH($J120,'Lower Cask Movement &amp; Logistics'!$H$13:$H$19,0),MATCH($K120,'Lower Cask Movement &amp; Logistics'!$H$13:$H$19,0)),"N/A")</f>
        <v>N/A</v>
      </c>
      <c r="M120" s="1602" t="str">
        <f>IFERROR(VLOOKUP($I120,'Lower Cask Movement &amp; Logistics'!$H$4:$I$9,2,FALSE),"N/A")</f>
        <v>N/A</v>
      </c>
      <c r="N120" s="1600" t="str">
        <f t="shared" si="12"/>
        <v>N/A</v>
      </c>
      <c r="O120" s="1603" t="s">
        <v>1546</v>
      </c>
      <c r="P120" s="1600">
        <f>IF($D120="Logistics",VLOOKUP($O120,'Lower Cask Movement &amp; Logistics'!$C$4:$D$54,2,FALSE),"N/A")</f>
        <v>0.38</v>
      </c>
      <c r="Q120" s="1603"/>
      <c r="R120" s="1600" t="str">
        <f>IFERROR(VLOOKUP($Q120,'Lower Cask Dependencies'!$C$5:$F$277,4,FALSE),"N/A")</f>
        <v>N/A</v>
      </c>
      <c r="S120" s="1600" t="str">
        <f t="shared" si="14"/>
        <v>N/A</v>
      </c>
    </row>
    <row r="121" spans="2:19" x14ac:dyDescent="0.35">
      <c r="B121" s="3784"/>
      <c r="C121" s="1597" t="s">
        <v>1599</v>
      </c>
      <c r="D121" s="1598" t="s">
        <v>3</v>
      </c>
      <c r="E121" s="1599">
        <f t="shared" si="11"/>
        <v>0.38</v>
      </c>
      <c r="F121" s="1599">
        <f t="shared" si="13"/>
        <v>193.46053509883913</v>
      </c>
      <c r="G121" s="1597"/>
      <c r="H121" s="1600" t="str">
        <f>IF(D121="operation",VLOOKUP(G121,'Generic Divertor Port Tasks'!C$4:D$223,2,FALSE),"N/A")</f>
        <v>N/A</v>
      </c>
      <c r="I121" s="1597"/>
      <c r="J121" s="1601"/>
      <c r="K121" s="1601"/>
      <c r="L121" s="1602" t="str">
        <f>IFERROR(INDEX('Lower Cask Movement &amp; Logistics'!$I$13:$O$19,MATCH($J121,'Lower Cask Movement &amp; Logistics'!$H$13:$H$19,0),MATCH($K121,'Lower Cask Movement &amp; Logistics'!$H$13:$H$19,0)),"N/A")</f>
        <v>N/A</v>
      </c>
      <c r="M121" s="1602" t="str">
        <f>IFERROR(VLOOKUP($I121,'Lower Cask Movement &amp; Logistics'!$H$4:$I$9,2,FALSE),"N/A")</f>
        <v>N/A</v>
      </c>
      <c r="N121" s="1600" t="str">
        <f t="shared" si="12"/>
        <v>N/A</v>
      </c>
      <c r="O121" s="1603" t="s">
        <v>1546</v>
      </c>
      <c r="P121" s="1600">
        <f>IF($D121="Logistics",VLOOKUP($O121,'Lower Cask Movement &amp; Logistics'!$C$4:$D$54,2,FALSE),"N/A")</f>
        <v>0.38</v>
      </c>
      <c r="Q121" s="1603"/>
      <c r="R121" s="1600" t="str">
        <f>IFERROR(VLOOKUP($Q121,'Lower Cask Dependencies'!$C$5:$F$277,4,FALSE),"N/A")</f>
        <v>N/A</v>
      </c>
      <c r="S121" s="1600" t="str">
        <f t="shared" si="14"/>
        <v>N/A</v>
      </c>
    </row>
    <row r="122" spans="2:19" ht="13.3" thickBot="1" x14ac:dyDescent="0.4">
      <c r="B122" s="3784"/>
      <c r="C122" s="1597" t="s">
        <v>1634</v>
      </c>
      <c r="D122" s="1598" t="s">
        <v>3</v>
      </c>
      <c r="E122" s="1599">
        <f t="shared" si="11"/>
        <v>2.3000000000000003</v>
      </c>
      <c r="F122" s="1599">
        <f t="shared" si="13"/>
        <v>195.76053509883914</v>
      </c>
      <c r="G122" s="1597"/>
      <c r="H122" s="1600" t="str">
        <f>IF(D122="operation",VLOOKUP(G122,'Generic Divertor Port Tasks'!C$4:D$223,2,FALSE),"N/A")</f>
        <v>N/A</v>
      </c>
      <c r="I122" s="1597"/>
      <c r="J122" s="1601"/>
      <c r="K122" s="1601"/>
      <c r="L122" s="1602" t="str">
        <f>IFERROR(INDEX('Lower Cask Movement &amp; Logistics'!$I$13:$O$19,MATCH($J122,'Lower Cask Movement &amp; Logistics'!$H$13:$H$19,0),MATCH($K122,'Lower Cask Movement &amp; Logistics'!$H$13:$H$19,0)),"N/A")</f>
        <v>N/A</v>
      </c>
      <c r="M122" s="1602" t="str">
        <f>IFERROR(VLOOKUP($I122,'Lower Cask Movement &amp; Logistics'!$H$4:$I$9,2,FALSE),"N/A")</f>
        <v>N/A</v>
      </c>
      <c r="N122" s="1600" t="str">
        <f t="shared" si="12"/>
        <v>N/A</v>
      </c>
      <c r="O122" s="1603" t="s">
        <v>1552</v>
      </c>
      <c r="P122" s="1600">
        <f>IF($D122="Logistics",VLOOKUP($O122,'Lower Cask Movement &amp; Logistics'!$C$4:$D$54,2,FALSE),"N/A")</f>
        <v>2.3000000000000003</v>
      </c>
      <c r="Q122" s="1603"/>
      <c r="R122" s="1600" t="str">
        <f>IFERROR(VLOOKUP($Q122,'Lower Cask Dependencies'!$C$5:$F$277,4,FALSE),"N/A")</f>
        <v>N/A</v>
      </c>
      <c r="S122" s="1600" t="str">
        <f t="shared" si="14"/>
        <v>N/A</v>
      </c>
    </row>
    <row r="123" spans="2:19" x14ac:dyDescent="0.35">
      <c r="B123" s="3787" t="s">
        <v>1635</v>
      </c>
      <c r="C123" s="1129" t="s">
        <v>1619</v>
      </c>
      <c r="D123" s="1620" t="s">
        <v>3</v>
      </c>
      <c r="E123" s="1621">
        <f t="shared" si="11"/>
        <v>1.9</v>
      </c>
      <c r="F123" s="1621">
        <f t="shared" si="13"/>
        <v>197.66053509883915</v>
      </c>
      <c r="G123" s="1129"/>
      <c r="H123" s="1575" t="str">
        <f>IF(D123="operation",VLOOKUP(G123,'Generic Divertor Port Tasks'!C$4:D$223,2,FALSE),"N/A")</f>
        <v>N/A</v>
      </c>
      <c r="I123" s="1129"/>
      <c r="J123" s="1619"/>
      <c r="K123" s="1619"/>
      <c r="L123" s="1623" t="str">
        <f>IFERROR(INDEX('Lower Cask Movement &amp; Logistics'!$I$13:$O$19,MATCH($J123,'Lower Cask Movement &amp; Logistics'!$H$13:$H$19,0),MATCH($K123,'Lower Cask Movement &amp; Logistics'!$H$13:$H$19,0)),"N/A")</f>
        <v>N/A</v>
      </c>
      <c r="M123" s="1623" t="str">
        <f>IFERROR(VLOOKUP($I123,'Lower Cask Movement &amp; Logistics'!$H$4:$I$9,2,FALSE),"N/A")</f>
        <v>N/A</v>
      </c>
      <c r="N123" s="1575" t="str">
        <f t="shared" si="12"/>
        <v>N/A</v>
      </c>
      <c r="O123" s="1576" t="s">
        <v>1541</v>
      </c>
      <c r="P123" s="1575">
        <f>IF($D123="Logistics",VLOOKUP($O123,'Lower Cask Movement &amp; Logistics'!$C$4:$D$54,2,FALSE),"N/A")</f>
        <v>1.9</v>
      </c>
      <c r="Q123" s="1576" t="s">
        <v>1636</v>
      </c>
      <c r="R123" s="1575">
        <f>IFERROR(VLOOKUP($Q123,'Lower Cask Dependencies'!$C$5:$F$277,4,FALSE),"N/A")</f>
        <v>195.48419921071638</v>
      </c>
      <c r="S123" s="1575">
        <f t="shared" si="14"/>
        <v>0.27633588812275889</v>
      </c>
    </row>
    <row r="124" spans="2:19" x14ac:dyDescent="0.35">
      <c r="B124" s="3786"/>
      <c r="C124" s="1579" t="s">
        <v>1622</v>
      </c>
      <c r="D124" s="1611" t="s">
        <v>3</v>
      </c>
      <c r="E124" s="626">
        <f t="shared" si="11"/>
        <v>0.38</v>
      </c>
      <c r="F124" s="626">
        <f t="shared" si="13"/>
        <v>198.04053509883914</v>
      </c>
      <c r="G124" s="1579"/>
      <c r="H124" s="1183" t="str">
        <f>IF(D124="operation",VLOOKUP(G124,'Generic Divertor Port Tasks'!C$4:D$223,2,FALSE),"N/A")</f>
        <v>N/A</v>
      </c>
      <c r="I124" s="1579"/>
      <c r="J124" s="582"/>
      <c r="K124" s="582"/>
      <c r="L124" s="1478" t="str">
        <f>IFERROR(INDEX('Lower Cask Movement &amp; Logistics'!$I$13:$O$19,MATCH($J124,'Lower Cask Movement &amp; Logistics'!$H$13:$H$19,0),MATCH($K124,'Lower Cask Movement &amp; Logistics'!$H$13:$H$19,0)),"N/A")</f>
        <v>N/A</v>
      </c>
      <c r="M124" s="1478" t="str">
        <f>IFERROR(VLOOKUP($I124,'Lower Cask Movement &amp; Logistics'!$H$4:$I$9,2,FALSE),"N/A")</f>
        <v>N/A</v>
      </c>
      <c r="N124" s="1183" t="str">
        <f t="shared" si="12"/>
        <v>N/A</v>
      </c>
      <c r="O124" s="1578" t="s">
        <v>1544</v>
      </c>
      <c r="P124" s="1183">
        <f>IF($D124="Logistics",VLOOKUP($O124,'Lower Cask Movement &amp; Logistics'!$C$4:$D$54,2,FALSE),"N/A")</f>
        <v>0.38</v>
      </c>
      <c r="Q124" s="1578"/>
      <c r="R124" s="1183" t="str">
        <f>IFERROR(VLOOKUP($Q124,'Lower Cask Dependencies'!$C$5:$F$277,4,FALSE),"N/A")</f>
        <v>N/A</v>
      </c>
      <c r="S124" s="1183" t="str">
        <f t="shared" si="14"/>
        <v>N/A</v>
      </c>
    </row>
    <row r="125" spans="2:19" x14ac:dyDescent="0.35">
      <c r="B125" s="3786"/>
      <c r="C125" s="1579" t="s">
        <v>1637</v>
      </c>
      <c r="D125" s="1611" t="s">
        <v>251</v>
      </c>
      <c r="E125" s="626">
        <f t="shared" si="11"/>
        <v>1.7720395918264968</v>
      </c>
      <c r="F125" s="626">
        <f t="shared" si="13"/>
        <v>199.81257469066563</v>
      </c>
      <c r="G125" s="1579" t="s">
        <v>442</v>
      </c>
      <c r="H125" s="1183">
        <f>IF(D125="operation",VLOOKUP(G125,'Generic Divertor Port Tasks'!C$4:D$223,2,FALSE),"N/A")</f>
        <v>1.7720395918264968</v>
      </c>
      <c r="I125" s="1579"/>
      <c r="J125" s="582"/>
      <c r="K125" s="582"/>
      <c r="L125" s="1478" t="str">
        <f>IFERROR(INDEX('Lower Cask Movement &amp; Logistics'!$I$13:$O$19,MATCH($J125,'Lower Cask Movement &amp; Logistics'!$H$13:$H$19,0),MATCH($K125,'Lower Cask Movement &amp; Logistics'!$H$13:$H$19,0)),"N/A")</f>
        <v>N/A</v>
      </c>
      <c r="M125" s="1478" t="str">
        <f>IFERROR(VLOOKUP($I125,'Lower Cask Movement &amp; Logistics'!$H$4:$I$9,2,FALSE),"N/A")</f>
        <v>N/A</v>
      </c>
      <c r="N125" s="1183" t="str">
        <f t="shared" si="12"/>
        <v>N/A</v>
      </c>
      <c r="O125" s="1578"/>
      <c r="P125" s="1183" t="str">
        <f>IF($D125="Logistics",VLOOKUP($O125,'Lower Cask Movement &amp; Logistics'!$C$4:$D$54,2,FALSE),"N/A")</f>
        <v>N/A</v>
      </c>
      <c r="Q125" s="1578"/>
      <c r="R125" s="1183" t="str">
        <f>IFERROR(VLOOKUP($Q125,'Lower Cask Dependencies'!$C$5:$F$277,4,FALSE),"N/A")</f>
        <v>N/A</v>
      </c>
      <c r="S125" s="1183" t="str">
        <f t="shared" si="14"/>
        <v>N/A</v>
      </c>
    </row>
    <row r="126" spans="2:19" x14ac:dyDescent="0.35">
      <c r="B126" s="3786"/>
      <c r="C126" s="1579" t="s">
        <v>1638</v>
      </c>
      <c r="D126" s="1611" t="s">
        <v>3</v>
      </c>
      <c r="E126" s="626">
        <f t="shared" si="11"/>
        <v>0.38</v>
      </c>
      <c r="F126" s="626">
        <f t="shared" si="13"/>
        <v>200.19257469066562</v>
      </c>
      <c r="G126" s="1579"/>
      <c r="H126" s="1183" t="str">
        <f>IF(D126="operation",VLOOKUP(G126,'Generic Divertor Port Tasks'!C$4:D$223,2,FALSE),"N/A")</f>
        <v>N/A</v>
      </c>
      <c r="I126" s="1579"/>
      <c r="J126" s="582"/>
      <c r="K126" s="582"/>
      <c r="L126" s="1478" t="str">
        <f>IFERROR(INDEX('Lower Cask Movement &amp; Logistics'!$I$13:$O$19,MATCH($J126,'Lower Cask Movement &amp; Logistics'!$H$13:$H$19,0),MATCH($K126,'Lower Cask Movement &amp; Logistics'!$H$13:$H$19,0)),"N/A")</f>
        <v>N/A</v>
      </c>
      <c r="M126" s="1478" t="str">
        <f>IFERROR(VLOOKUP($I126,'Lower Cask Movement &amp; Logistics'!$H$4:$I$9,2,FALSE),"N/A")</f>
        <v>N/A</v>
      </c>
      <c r="N126" s="1183" t="str">
        <f t="shared" si="12"/>
        <v>N/A</v>
      </c>
      <c r="O126" s="1578" t="s">
        <v>1546</v>
      </c>
      <c r="P126" s="1183">
        <f>IF($D126="Logistics",VLOOKUP($O126,'Lower Cask Movement &amp; Logistics'!$C$4:$D$54,2,FALSE),"N/A")</f>
        <v>0.38</v>
      </c>
      <c r="Q126" s="1578"/>
      <c r="R126" s="1183" t="str">
        <f>IFERROR(VLOOKUP($Q126,'Lower Cask Dependencies'!$C$5:$F$277,4,FALSE),"N/A")</f>
        <v>N/A</v>
      </c>
      <c r="S126" s="1183" t="str">
        <f t="shared" si="14"/>
        <v>N/A</v>
      </c>
    </row>
    <row r="127" spans="2:19" x14ac:dyDescent="0.35">
      <c r="B127" s="3786"/>
      <c r="C127" s="1579" t="s">
        <v>1639</v>
      </c>
      <c r="D127" s="1611" t="s">
        <v>3</v>
      </c>
      <c r="E127" s="626">
        <f t="shared" si="11"/>
        <v>0.53</v>
      </c>
      <c r="F127" s="626">
        <f t="shared" si="13"/>
        <v>200.72257469066562</v>
      </c>
      <c r="G127" s="1579"/>
      <c r="H127" s="1183" t="str">
        <f>IF(D127="operation",VLOOKUP(G127,'Generic Divertor Port Tasks'!C$4:D$223,2,FALSE),"N/A")</f>
        <v>N/A</v>
      </c>
      <c r="I127" s="1579"/>
      <c r="J127" s="582"/>
      <c r="K127" s="582"/>
      <c r="L127" s="1478" t="str">
        <f>IFERROR(INDEX('Lower Cask Movement &amp; Logistics'!$I$13:$O$19,MATCH($J127,'Lower Cask Movement &amp; Logistics'!$H$13:$H$19,0),MATCH($K127,'Lower Cask Movement &amp; Logistics'!$H$13:$H$19,0)),"N/A")</f>
        <v>N/A</v>
      </c>
      <c r="M127" s="1478" t="str">
        <f>IFERROR(VLOOKUP($I127,'Lower Cask Movement &amp; Logistics'!$H$4:$I$9,2,FALSE),"N/A")</f>
        <v>N/A</v>
      </c>
      <c r="N127" s="1183" t="str">
        <f t="shared" si="12"/>
        <v>N/A</v>
      </c>
      <c r="O127" s="1578" t="s">
        <v>1558</v>
      </c>
      <c r="P127" s="1183">
        <f>IF($D127="Logistics",VLOOKUP($O127,'Lower Cask Movement &amp; Logistics'!$C$4:$D$54,2,FALSE),"N/A")</f>
        <v>0.53</v>
      </c>
      <c r="Q127" s="1578"/>
      <c r="R127" s="1183" t="str">
        <f>IFERROR(VLOOKUP($Q127,'Lower Cask Dependencies'!$C$5:$F$277,4,FALSE),"N/A")</f>
        <v>N/A</v>
      </c>
      <c r="S127" s="1183" t="str">
        <f t="shared" si="14"/>
        <v>N/A</v>
      </c>
    </row>
    <row r="128" spans="2:19" x14ac:dyDescent="0.35">
      <c r="B128" s="3786"/>
      <c r="C128" s="1579" t="s">
        <v>953</v>
      </c>
      <c r="D128" s="1611" t="s">
        <v>251</v>
      </c>
      <c r="E128" s="626">
        <f t="shared" si="11"/>
        <v>1.7720395918264968</v>
      </c>
      <c r="F128" s="626">
        <f t="shared" si="13"/>
        <v>202.49461428249211</v>
      </c>
      <c r="G128" s="1579" t="s">
        <v>442</v>
      </c>
      <c r="H128" s="1183">
        <f>IF(D128="operation",VLOOKUP(G128,'Generic Divertor Port Tasks'!C$4:D$223,2,FALSE),"N/A")</f>
        <v>1.7720395918264968</v>
      </c>
      <c r="I128" s="1579"/>
      <c r="J128" s="582"/>
      <c r="K128" s="582"/>
      <c r="L128" s="1478" t="str">
        <f>IFERROR(INDEX('Lower Cask Movement &amp; Logistics'!$I$13:$O$19,MATCH($J128,'Lower Cask Movement &amp; Logistics'!$H$13:$H$19,0),MATCH($K128,'Lower Cask Movement &amp; Logistics'!$H$13:$H$19,0)),"N/A")</f>
        <v>N/A</v>
      </c>
      <c r="M128" s="1478" t="str">
        <f>IFERROR(VLOOKUP($I128,'Lower Cask Movement &amp; Logistics'!$H$4:$I$9,2,FALSE),"N/A")</f>
        <v>N/A</v>
      </c>
      <c r="N128" s="1183" t="str">
        <f t="shared" si="12"/>
        <v>N/A</v>
      </c>
      <c r="O128" s="1578"/>
      <c r="P128" s="1183" t="str">
        <f>IF($D128="Logistics",VLOOKUP($O128,'Lower Cask Movement &amp; Logistics'!$C$4:$D$54,2,FALSE),"N/A")</f>
        <v>N/A</v>
      </c>
      <c r="Q128" s="1578"/>
      <c r="R128" s="1183" t="str">
        <f>IFERROR(VLOOKUP($Q128,'Lower Cask Dependencies'!$C$5:$F$277,4,FALSE),"N/A")</f>
        <v>N/A</v>
      </c>
      <c r="S128" s="1183" t="str">
        <f t="shared" si="14"/>
        <v>N/A</v>
      </c>
    </row>
    <row r="129" spans="2:19" x14ac:dyDescent="0.35">
      <c r="B129" s="3786"/>
      <c r="C129" s="1579" t="s">
        <v>1640</v>
      </c>
      <c r="D129" s="1611" t="s">
        <v>3</v>
      </c>
      <c r="E129" s="626">
        <f t="shared" si="11"/>
        <v>0.38</v>
      </c>
      <c r="F129" s="626">
        <f t="shared" si="13"/>
        <v>202.8746142824921</v>
      </c>
      <c r="G129" s="1579"/>
      <c r="H129" s="1183" t="str">
        <f>IF(D129="operation",VLOOKUP(G129,'Generic Divertor Port Tasks'!C$4:D$223,2,FALSE),"N/A")</f>
        <v>N/A</v>
      </c>
      <c r="I129" s="1579"/>
      <c r="J129" s="582"/>
      <c r="K129" s="582"/>
      <c r="L129" s="1478" t="str">
        <f>IFERROR(INDEX('Lower Cask Movement &amp; Logistics'!$I$13:$O$19,MATCH($J129,'Lower Cask Movement &amp; Logistics'!$H$13:$H$19,0),MATCH($K129,'Lower Cask Movement &amp; Logistics'!$H$13:$H$19,0)),"N/A")</f>
        <v>N/A</v>
      </c>
      <c r="M129" s="1478" t="str">
        <f>IFERROR(VLOOKUP($I129,'Lower Cask Movement &amp; Logistics'!$H$4:$I$9,2,FALSE),"N/A")</f>
        <v>N/A</v>
      </c>
      <c r="N129" s="1183" t="str">
        <f t="shared" si="12"/>
        <v>N/A</v>
      </c>
      <c r="O129" s="1578" t="s">
        <v>1546</v>
      </c>
      <c r="P129" s="1183">
        <f>IF($D129="Logistics",VLOOKUP($O129,'Lower Cask Movement &amp; Logistics'!$C$4:$D$54,2,FALSE),"N/A")</f>
        <v>0.38</v>
      </c>
      <c r="Q129" s="1578"/>
      <c r="R129" s="1183" t="str">
        <f>IFERROR(VLOOKUP($Q129,'Lower Cask Dependencies'!$C$5:$F$277,4,FALSE),"N/A")</f>
        <v>N/A</v>
      </c>
      <c r="S129" s="1183" t="str">
        <f t="shared" si="14"/>
        <v>N/A</v>
      </c>
    </row>
    <row r="130" spans="2:19" x14ac:dyDescent="0.35">
      <c r="B130" s="3786"/>
      <c r="C130" s="1579" t="s">
        <v>1599</v>
      </c>
      <c r="D130" s="1611" t="s">
        <v>3</v>
      </c>
      <c r="E130" s="626">
        <f t="shared" si="11"/>
        <v>0.38</v>
      </c>
      <c r="F130" s="626">
        <f t="shared" si="13"/>
        <v>203.2546142824921</v>
      </c>
      <c r="G130" s="1579"/>
      <c r="H130" s="1183" t="str">
        <f>IF(D130="operation",VLOOKUP(G130,'Generic Divertor Port Tasks'!C$4:D$223,2,FALSE),"N/A")</f>
        <v>N/A</v>
      </c>
      <c r="I130" s="1579"/>
      <c r="J130" s="582"/>
      <c r="K130" s="582"/>
      <c r="L130" s="1478" t="str">
        <f>IFERROR(INDEX('Lower Cask Movement &amp; Logistics'!$I$13:$O$19,MATCH($J130,'Lower Cask Movement &amp; Logistics'!$H$13:$H$19,0),MATCH($K130,'Lower Cask Movement &amp; Logistics'!$H$13:$H$19,0)),"N/A")</f>
        <v>N/A</v>
      </c>
      <c r="M130" s="1478" t="str">
        <f>IFERROR(VLOOKUP($I130,'Lower Cask Movement &amp; Logistics'!$H$4:$I$9,2,FALSE),"N/A")</f>
        <v>N/A</v>
      </c>
      <c r="N130" s="1183" t="str">
        <f t="shared" si="12"/>
        <v>N/A</v>
      </c>
      <c r="O130" s="1578" t="s">
        <v>1546</v>
      </c>
      <c r="P130" s="1183">
        <f>IF($D130="Logistics",VLOOKUP($O130,'Lower Cask Movement &amp; Logistics'!$C$4:$D$54,2,FALSE),"N/A")</f>
        <v>0.38</v>
      </c>
      <c r="Q130" s="1578"/>
      <c r="R130" s="1183" t="str">
        <f>IFERROR(VLOOKUP($Q130,'Lower Cask Dependencies'!$C$5:$F$277,4,FALSE),"N/A")</f>
        <v>N/A</v>
      </c>
      <c r="S130" s="1183" t="str">
        <f t="shared" si="14"/>
        <v>N/A</v>
      </c>
    </row>
    <row r="131" spans="2:19" ht="13.3" thickBot="1" x14ac:dyDescent="0.4">
      <c r="B131" s="3788"/>
      <c r="C131" s="1136" t="s">
        <v>1641</v>
      </c>
      <c r="D131" s="1581" t="s">
        <v>3</v>
      </c>
      <c r="E131" s="585">
        <f t="shared" si="11"/>
        <v>2.3000000000000003</v>
      </c>
      <c r="F131" s="585">
        <f>IF(S131&lt;0,E131+F130+(-S131),E131+F130)</f>
        <v>205.55461428249211</v>
      </c>
      <c r="G131" s="1136"/>
      <c r="H131" s="1179" t="str">
        <f>IF(D131="operation",VLOOKUP(G131,'Generic Divertor Port Tasks'!C$4:D$223,2,FALSE),"N/A")</f>
        <v>N/A</v>
      </c>
      <c r="I131" s="1136"/>
      <c r="J131" s="584"/>
      <c r="K131" s="584"/>
      <c r="L131" s="814" t="str">
        <f>IFERROR(INDEX('Lower Cask Movement &amp; Logistics'!$I$13:$O$19,MATCH($J131,'Lower Cask Movement &amp; Logistics'!$H$13:$H$19,0),MATCH($K131,'Lower Cask Movement &amp; Logistics'!$H$13:$H$19,0)),"N/A")</f>
        <v>N/A</v>
      </c>
      <c r="M131" s="814" t="str">
        <f>IFERROR(VLOOKUP($I131,'Lower Cask Movement &amp; Logistics'!$H$4:$I$9,2,FALSE),"N/A")</f>
        <v>N/A</v>
      </c>
      <c r="N131" s="1179" t="str">
        <f t="shared" si="12"/>
        <v>N/A</v>
      </c>
      <c r="O131" s="1582" t="s">
        <v>1552</v>
      </c>
      <c r="P131" s="1179">
        <f>IF($D131="Logistics",VLOOKUP($O131,'Lower Cask Movement &amp; Logistics'!$C$4:$D$54,2,FALSE),"N/A")</f>
        <v>2.3000000000000003</v>
      </c>
      <c r="Q131" s="1582"/>
      <c r="R131" s="1179" t="str">
        <f>IFERROR(VLOOKUP($Q131,'Lower Cask Dependencies'!$C$5:$F$277,4,FALSE),"N/A")</f>
        <v>N/A</v>
      </c>
      <c r="S131" s="1179" t="str">
        <f t="shared" si="14"/>
        <v>N/A</v>
      </c>
    </row>
    <row r="132" spans="2:19" x14ac:dyDescent="0.35">
      <c r="B132" s="3802" t="s">
        <v>1642</v>
      </c>
      <c r="C132" s="3653" t="s">
        <v>850</v>
      </c>
      <c r="D132" s="3653"/>
      <c r="E132" s="3653"/>
      <c r="F132" s="3654">
        <f>F131</f>
        <v>205.55461428249211</v>
      </c>
      <c r="G132" s="3655"/>
      <c r="H132" s="3655"/>
      <c r="I132" s="3655"/>
      <c r="J132" s="3655"/>
      <c r="K132" s="3655"/>
      <c r="L132" s="3655"/>
      <c r="M132" s="3655"/>
      <c r="N132" s="3655"/>
      <c r="O132" s="3655"/>
      <c r="P132" s="3656"/>
      <c r="Q132" s="3657"/>
      <c r="R132" s="3657"/>
      <c r="S132" s="3658"/>
    </row>
    <row r="133" spans="2:19" x14ac:dyDescent="0.35">
      <c r="B133" s="3803"/>
      <c r="C133" s="1262" t="s">
        <v>851</v>
      </c>
      <c r="D133" s="1262"/>
      <c r="E133" s="1262"/>
      <c r="F133" s="1261">
        <f>SUMIF(D7:D131,"Operation",E7:E131)</f>
        <v>123.42646613434393</v>
      </c>
      <c r="G133" s="1263">
        <f>F133/$F$132</f>
        <v>0.6004558280784682</v>
      </c>
      <c r="H133" s="1263"/>
      <c r="I133" s="1259"/>
      <c r="J133" s="1259"/>
      <c r="K133" s="1259"/>
      <c r="L133" s="1259"/>
      <c r="M133" s="1259"/>
      <c r="N133" s="1259"/>
      <c r="O133" s="1259"/>
      <c r="P133" s="1657"/>
      <c r="Q133" s="1656"/>
      <c r="R133" s="1656"/>
      <c r="S133" s="3659"/>
    </row>
    <row r="134" spans="2:19" x14ac:dyDescent="0.35">
      <c r="B134" s="3803"/>
      <c r="C134" s="1262" t="s">
        <v>852</v>
      </c>
      <c r="D134" s="1262"/>
      <c r="E134" s="1262"/>
      <c r="F134" s="1261">
        <f>SUMIF(D7:D131,"Logistics",E7:E131)</f>
        <v>75.41</v>
      </c>
      <c r="G134" s="1263">
        <f>F134/$F$132</f>
        <v>0.366861139377609</v>
      </c>
      <c r="H134" s="1263"/>
      <c r="I134" s="1262"/>
      <c r="J134" s="1262"/>
      <c r="K134" s="1262"/>
      <c r="L134" s="1262"/>
      <c r="M134" s="1262"/>
      <c r="N134" s="1262"/>
      <c r="O134" s="1262"/>
      <c r="P134" s="1655"/>
      <c r="Q134" s="1656"/>
      <c r="R134" s="1656"/>
      <c r="S134" s="3659"/>
    </row>
    <row r="135" spans="2:19" ht="13.3" thickBot="1" x14ac:dyDescent="0.4">
      <c r="B135" s="3804"/>
      <c r="C135" s="1264" t="s">
        <v>853</v>
      </c>
      <c r="D135" s="1264"/>
      <c r="E135" s="1264"/>
      <c r="F135" s="1265">
        <f>SUMIF(D7:D131,"Movement",E7:E131)</f>
        <v>0.64814814814814814</v>
      </c>
      <c r="G135" s="1266">
        <f>F135/F132</f>
        <v>3.1531675920317857E-3</v>
      </c>
      <c r="H135" s="1266"/>
      <c r="I135" s="1264"/>
      <c r="J135" s="1264"/>
      <c r="K135" s="1264"/>
      <c r="L135" s="1264"/>
      <c r="M135" s="1264"/>
      <c r="N135" s="1264"/>
      <c r="O135" s="1264"/>
      <c r="P135" s="1658"/>
      <c r="Q135" s="1659"/>
      <c r="R135" s="1659"/>
      <c r="S135" s="3660"/>
    </row>
    <row r="136" spans="2:19" x14ac:dyDescent="0.35">
      <c r="B136" s="3787" t="s">
        <v>774</v>
      </c>
      <c r="C136" s="573" t="s">
        <v>272</v>
      </c>
      <c r="D136" s="573" t="s">
        <v>251</v>
      </c>
      <c r="E136" s="1276">
        <f>MAX($P136,$N136,$H136)</f>
        <v>0</v>
      </c>
      <c r="F136" s="626">
        <v>0</v>
      </c>
      <c r="G136" s="1131" t="s">
        <v>272</v>
      </c>
      <c r="H136" s="1176">
        <f>IF(D136="operation",VLOOKUP(G136,'Generic Divertor Port Tasks'!C$4:D$223,2,FALSE),"N/A")</f>
        <v>0</v>
      </c>
      <c r="I136" s="1131"/>
      <c r="J136" s="573"/>
      <c r="K136" s="573"/>
      <c r="L136" s="853" t="str">
        <f>IFERROR(INDEX('Lower Cask Movement &amp; Logistics'!$I$13:$O$19,MATCH($J136,'Lower Cask Movement &amp; Logistics'!$H$13:$H$19,0),MATCH($K136,'Lower Cask Movement &amp; Logistics'!$H$13:$H$19,0)),"N/A")</f>
        <v>N/A</v>
      </c>
      <c r="M136" s="853" t="str">
        <f>IFERROR(VLOOKUP($I136,'Lower Cask Movement &amp; Logistics'!$H$4:$I$9,2,FALSE),"N/A")</f>
        <v>N/A</v>
      </c>
      <c r="N136" s="1176" t="str">
        <f t="shared" ref="N136:N185" si="15">IF(D136="Movement",IFERROR((L136/M136)/(60*60),"Error"),"N/A")</f>
        <v>N/A</v>
      </c>
      <c r="O136" s="1580"/>
      <c r="P136" s="1176" t="str">
        <f>IF($D136="Logistics",VLOOKUP($O136,'Lower Cask Movement &amp; Logistics'!$C$4:$D$54,2,FALSE),"N/A")</f>
        <v>N/A</v>
      </c>
      <c r="Q136" s="1580"/>
      <c r="R136" s="1176" t="str">
        <f>IFERROR(VLOOKUP($Q136,'Lower Cask Dependencies'!$C$5:$F$277,4,FALSE),"N/A")</f>
        <v>N/A</v>
      </c>
      <c r="S136" s="1175" t="str">
        <f>IFERROR(F136-R136,"N/A")</f>
        <v>N/A</v>
      </c>
    </row>
    <row r="137" spans="2:19" x14ac:dyDescent="0.35">
      <c r="B137" s="3786"/>
      <c r="C137" s="573" t="s">
        <v>1643</v>
      </c>
      <c r="D137" s="573" t="s">
        <v>3</v>
      </c>
      <c r="E137" s="1276">
        <f>MAX($P137,$N137,$H137)</f>
        <v>1.9</v>
      </c>
      <c r="F137" s="626">
        <f>IF(S137&lt;0,E137+F136+(-S137),E137+F136)</f>
        <v>3.3744444444444444</v>
      </c>
      <c r="G137" s="1131"/>
      <c r="H137" s="1176" t="str">
        <f>IF(D137="operation",VLOOKUP(G137,'Generic Divertor Port Tasks'!C$4:D$223,2,FALSE),"N/A")</f>
        <v>N/A</v>
      </c>
      <c r="I137" s="1131"/>
      <c r="J137" s="573"/>
      <c r="K137" s="573"/>
      <c r="L137" s="853" t="str">
        <f>IFERROR(INDEX('Lower Cask Movement &amp; Logistics'!$I$13:$O$19,MATCH($J137,'Lower Cask Movement &amp; Logistics'!$H$13:$H$19,0),MATCH($K137,'Lower Cask Movement &amp; Logistics'!$H$13:$H$19,0)),"N/A")</f>
        <v>N/A</v>
      </c>
      <c r="M137" s="853" t="str">
        <f>IFERROR(VLOOKUP($I137,'Lower Cask Movement &amp; Logistics'!$H$4:$I$9,2,FALSE),"N/A")</f>
        <v>N/A</v>
      </c>
      <c r="N137" s="1176" t="str">
        <f t="shared" si="15"/>
        <v>N/A</v>
      </c>
      <c r="O137" s="1580" t="s">
        <v>1541</v>
      </c>
      <c r="P137" s="1176">
        <f>IF($D137="Logistics",VLOOKUP($O137,'Lower Cask Movement &amp; Logistics'!$C$4:$D$54,2,FALSE),"N/A")</f>
        <v>1.9</v>
      </c>
      <c r="Q137" s="1580" t="s">
        <v>1644</v>
      </c>
      <c r="R137" s="1176">
        <f>IFERROR(VLOOKUP($Q137,'Lower Cask Dependencies'!$C$5:$F$277,4,FALSE),"N/A")</f>
        <v>1.4744444444444444</v>
      </c>
      <c r="S137" s="1176">
        <f t="shared" ref="S137:S200" si="16">IFERROR(F136-R137,"N/A")</f>
        <v>-1.4744444444444444</v>
      </c>
    </row>
    <row r="138" spans="2:19" x14ac:dyDescent="0.35">
      <c r="B138" s="3786"/>
      <c r="C138" s="573" t="s">
        <v>854</v>
      </c>
      <c r="D138" s="573" t="s">
        <v>3</v>
      </c>
      <c r="E138" s="1276">
        <f>MAX($P138,$N138,$H138)</f>
        <v>0.38</v>
      </c>
      <c r="F138" s="626">
        <f t="shared" ref="F138:F201" si="17">IF(S138&lt;0,E138+F137+(-S138),E138+F137)</f>
        <v>3.7544444444444443</v>
      </c>
      <c r="G138" s="1131"/>
      <c r="H138" s="1176" t="s">
        <v>2402</v>
      </c>
      <c r="I138" s="1131"/>
      <c r="J138" s="573"/>
      <c r="K138" s="573"/>
      <c r="L138" s="853" t="str">
        <f>IFERROR(INDEX('Lower Cask Movement &amp; Logistics'!$I$13:$O$19,MATCH($J138,'Lower Cask Movement &amp; Logistics'!$H$13:$H$19,0),MATCH($K138,'Lower Cask Movement &amp; Logistics'!$H$13:$H$19,0)),"N/A")</f>
        <v>N/A</v>
      </c>
      <c r="M138" s="853" t="str">
        <f>IFERROR(VLOOKUP($I138,'Lower Cask Movement &amp; Logistics'!$H$4:$I$9,2,FALSE),"N/A")</f>
        <v>N/A</v>
      </c>
      <c r="N138" s="1176" t="str">
        <f t="shared" si="15"/>
        <v>N/A</v>
      </c>
      <c r="O138" s="1580" t="s">
        <v>1544</v>
      </c>
      <c r="P138" s="1176">
        <f>IF($D138="Logistics",VLOOKUP($O138,'Lower Cask Movement &amp; Logistics'!$C$4:$D$54,2,FALSE),"N/A")</f>
        <v>0.38</v>
      </c>
      <c r="Q138" s="1580"/>
      <c r="R138" s="1176" t="str">
        <f>IFERROR(VLOOKUP($Q138,'Lower Cask Dependencies'!$C$5:$F$277,4,FALSE),"N/A")</f>
        <v>N/A</v>
      </c>
      <c r="S138" s="1176" t="str">
        <f t="shared" si="16"/>
        <v>N/A</v>
      </c>
    </row>
    <row r="139" spans="2:19" x14ac:dyDescent="0.35">
      <c r="B139" s="3786"/>
      <c r="C139" s="573" t="s">
        <v>144</v>
      </c>
      <c r="D139" s="573" t="s">
        <v>251</v>
      </c>
      <c r="E139" s="1276">
        <f t="shared" ref="E139:E160" si="18">MAX($P139,$N139,$H139)</f>
        <v>7.6666666666666661</v>
      </c>
      <c r="F139" s="626">
        <f t="shared" si="17"/>
        <v>11.421111111111109</v>
      </c>
      <c r="G139" s="1131" t="s">
        <v>144</v>
      </c>
      <c r="H139" s="1176">
        <f>IF(D139="operation",VLOOKUP(G139,'Generic Divertor Port Tasks'!C$4:D$223,2,FALSE),"N/A")</f>
        <v>7.6666666666666661</v>
      </c>
      <c r="I139" s="1131"/>
      <c r="J139" s="573"/>
      <c r="K139" s="573"/>
      <c r="L139" s="853" t="str">
        <f>IFERROR(INDEX('Lower Cask Movement &amp; Logistics'!$I$13:$O$19,MATCH($J139,'Lower Cask Movement &amp; Logistics'!$H$13:$H$19,0),MATCH($K139,'Lower Cask Movement &amp; Logistics'!$H$13:$H$19,0)),"N/A")</f>
        <v>N/A</v>
      </c>
      <c r="M139" s="853" t="str">
        <f>IFERROR(VLOOKUP($I139,'Lower Cask Movement &amp; Logistics'!$H$4:$I$9,2,FALSE),"N/A")</f>
        <v>N/A</v>
      </c>
      <c r="N139" s="1176" t="str">
        <f t="shared" si="15"/>
        <v>N/A</v>
      </c>
      <c r="O139" s="1580"/>
      <c r="P139" s="1176" t="str">
        <f>IF($D139="Logistics",VLOOKUP($O139,'Lower Cask Movement &amp; Logistics'!$C$4:$D$54,2,FALSE),"N/A")</f>
        <v>N/A</v>
      </c>
      <c r="Q139" s="1580"/>
      <c r="R139" s="1176" t="str">
        <f>IFERROR(VLOOKUP($Q139,'Lower Cask Dependencies'!$C$5:$F$277,4,FALSE),"N/A")</f>
        <v>N/A</v>
      </c>
      <c r="S139" s="1176" t="str">
        <f t="shared" si="16"/>
        <v>N/A</v>
      </c>
    </row>
    <row r="140" spans="2:19" x14ac:dyDescent="0.35">
      <c r="B140" s="3786"/>
      <c r="C140" s="573" t="s">
        <v>1645</v>
      </c>
      <c r="D140" s="573" t="s">
        <v>3</v>
      </c>
      <c r="E140" s="1276">
        <f t="shared" si="18"/>
        <v>0.38</v>
      </c>
      <c r="F140" s="626">
        <f t="shared" si="17"/>
        <v>11.80111111111111</v>
      </c>
      <c r="G140" s="1131"/>
      <c r="H140" s="1176" t="str">
        <f>IF(D140="operation",VLOOKUP(G140,'Generic Divertor Port Tasks'!C$4:D$223,2,FALSE),"N/A")</f>
        <v>N/A</v>
      </c>
      <c r="I140" s="1131"/>
      <c r="J140" s="573"/>
      <c r="K140" s="573"/>
      <c r="L140" s="853" t="str">
        <f>IFERROR(INDEX('Lower Cask Movement &amp; Logistics'!$I$13:$O$19,MATCH($J140,'Lower Cask Movement &amp; Logistics'!$H$13:$H$19,0),MATCH($K140,'Lower Cask Movement &amp; Logistics'!$H$13:$H$19,0)),"N/A")</f>
        <v>N/A</v>
      </c>
      <c r="M140" s="853" t="str">
        <f>IFERROR(VLOOKUP($I140,'Lower Cask Movement &amp; Logistics'!$H$4:$I$9,2,FALSE),"N/A")</f>
        <v>N/A</v>
      </c>
      <c r="N140" s="1176" t="str">
        <f t="shared" si="15"/>
        <v>N/A</v>
      </c>
      <c r="O140" s="1580" t="s">
        <v>1546</v>
      </c>
      <c r="P140" s="1176">
        <f>IF($D140="Logistics",VLOOKUP($O140,'Lower Cask Movement &amp; Logistics'!$C$4:$D$54,2,FALSE),"N/A")</f>
        <v>0.38</v>
      </c>
      <c r="Q140" s="1580"/>
      <c r="R140" s="1176" t="str">
        <f>IFERROR(VLOOKUP($Q140,'Lower Cask Dependencies'!$C$5:$F$277,4,FALSE),"N/A")</f>
        <v>N/A</v>
      </c>
      <c r="S140" s="1176" t="str">
        <f t="shared" si="16"/>
        <v>N/A</v>
      </c>
    </row>
    <row r="141" spans="2:19" x14ac:dyDescent="0.35">
      <c r="B141" s="3786"/>
      <c r="C141" s="573" t="s">
        <v>1646</v>
      </c>
      <c r="D141" s="573" t="s">
        <v>3</v>
      </c>
      <c r="E141" s="1276">
        <f t="shared" si="18"/>
        <v>0.38</v>
      </c>
      <c r="F141" s="626">
        <f t="shared" si="17"/>
        <v>12.181111111111111</v>
      </c>
      <c r="G141" s="1131"/>
      <c r="H141" s="1176" t="str">
        <f>IF(D141="operation",VLOOKUP(G141,'Generic Divertor Port Tasks'!C$4:D$223,2,FALSE),"N/A")</f>
        <v>N/A</v>
      </c>
      <c r="I141" s="1131"/>
      <c r="J141" s="573"/>
      <c r="K141" s="573"/>
      <c r="L141" s="853" t="str">
        <f>IFERROR(INDEX('Lower Cask Movement &amp; Logistics'!$I$13:$O$19,MATCH($J141,'Lower Cask Movement &amp; Logistics'!$H$13:$H$19,0),MATCH($K141,'Lower Cask Movement &amp; Logistics'!$H$13:$H$19,0)),"N/A")</f>
        <v>N/A</v>
      </c>
      <c r="M141" s="853" t="str">
        <f>IFERROR(VLOOKUP($I141,'Lower Cask Movement &amp; Logistics'!$H$4:$I$9,2,FALSE),"N/A")</f>
        <v>N/A</v>
      </c>
      <c r="N141" s="1176" t="str">
        <f t="shared" si="15"/>
        <v>N/A</v>
      </c>
      <c r="O141" s="1580" t="s">
        <v>1544</v>
      </c>
      <c r="P141" s="1176">
        <f>IF($D141="Logistics",VLOOKUP($O141,'Lower Cask Movement &amp; Logistics'!$C$4:$D$54,2,FALSE),"N/A")</f>
        <v>0.38</v>
      </c>
      <c r="Q141" s="1580"/>
      <c r="R141" s="1176" t="str">
        <f>IFERROR(VLOOKUP($Q141,'Lower Cask Dependencies'!$C$5:$F$277,4,FALSE),"N/A")</f>
        <v>N/A</v>
      </c>
      <c r="S141" s="1176" t="str">
        <f t="shared" si="16"/>
        <v>N/A</v>
      </c>
    </row>
    <row r="142" spans="2:19" x14ac:dyDescent="0.35">
      <c r="B142" s="3786"/>
      <c r="C142" s="573" t="s">
        <v>145</v>
      </c>
      <c r="D142" s="573" t="s">
        <v>251</v>
      </c>
      <c r="E142" s="1276">
        <f t="shared" si="18"/>
        <v>7.6666666666666661</v>
      </c>
      <c r="F142" s="626">
        <f t="shared" si="17"/>
        <v>19.847777777777779</v>
      </c>
      <c r="G142" s="1131" t="s">
        <v>255</v>
      </c>
      <c r="H142" s="1176">
        <f>IF(D142="operation",VLOOKUP(G142,'Generic Divertor Port Tasks'!C$4:D$223,2,FALSE),"N/A")</f>
        <v>7.6666666666666661</v>
      </c>
      <c r="I142" s="1131"/>
      <c r="J142" s="573"/>
      <c r="K142" s="573"/>
      <c r="L142" s="853" t="str">
        <f>IFERROR(INDEX('Lower Cask Movement &amp; Logistics'!$I$13:$O$19,MATCH($J142,'Lower Cask Movement &amp; Logistics'!$H$13:$H$19,0),MATCH($K142,'Lower Cask Movement &amp; Logistics'!$H$13:$H$19,0)),"N/A")</f>
        <v>N/A</v>
      </c>
      <c r="M142" s="853" t="str">
        <f>IFERROR(VLOOKUP($I142,'Lower Cask Movement &amp; Logistics'!$H$4:$I$9,2,FALSE),"N/A")</f>
        <v>N/A</v>
      </c>
      <c r="N142" s="1176" t="str">
        <f t="shared" si="15"/>
        <v>N/A</v>
      </c>
      <c r="O142" s="1580"/>
      <c r="P142" s="1176" t="str">
        <f>IF($D142="Logistics",VLOOKUP($O142,'Lower Cask Movement &amp; Logistics'!$C$4:$D$54,2,FALSE),"N/A")</f>
        <v>N/A</v>
      </c>
      <c r="Q142" s="1580"/>
      <c r="R142" s="1176" t="str">
        <f>IFERROR(VLOOKUP($Q142,'Lower Cask Dependencies'!$C$5:$F$277,4,FALSE),"N/A")</f>
        <v>N/A</v>
      </c>
      <c r="S142" s="1176" t="str">
        <f t="shared" si="16"/>
        <v>N/A</v>
      </c>
    </row>
    <row r="143" spans="2:19" x14ac:dyDescent="0.35">
      <c r="B143" s="3786"/>
      <c r="C143" s="573" t="s">
        <v>1647</v>
      </c>
      <c r="D143" s="573" t="s">
        <v>3</v>
      </c>
      <c r="E143" s="1276">
        <f t="shared" si="18"/>
        <v>0.38</v>
      </c>
      <c r="F143" s="626">
        <f t="shared" si="17"/>
        <v>20.227777777777778</v>
      </c>
      <c r="G143" s="1131"/>
      <c r="H143" s="1176" t="str">
        <f>IF(D143="operation",VLOOKUP(G143,'Generic Divertor Port Tasks'!C$4:D$223,2,FALSE),"N/A")</f>
        <v>N/A</v>
      </c>
      <c r="I143" s="1131"/>
      <c r="J143" s="573"/>
      <c r="K143" s="573"/>
      <c r="L143" s="853" t="str">
        <f>IFERROR(INDEX('Lower Cask Movement &amp; Logistics'!$I$13:$O$19,MATCH($J143,'Lower Cask Movement &amp; Logistics'!$H$13:$H$19,0),MATCH($K143,'Lower Cask Movement &amp; Logistics'!$H$13:$H$19,0)),"N/A")</f>
        <v>N/A</v>
      </c>
      <c r="M143" s="853" t="str">
        <f>IFERROR(VLOOKUP($I143,'Lower Cask Movement &amp; Logistics'!$H$4:$I$9,2,FALSE),"N/A")</f>
        <v>N/A</v>
      </c>
      <c r="N143" s="1176" t="str">
        <f t="shared" si="15"/>
        <v>N/A</v>
      </c>
      <c r="O143" s="1580" t="s">
        <v>1546</v>
      </c>
      <c r="P143" s="1176">
        <f>IF($D143="Logistics",VLOOKUP($O143,'Lower Cask Movement &amp; Logistics'!$C$4:$D$54,2,FALSE),"N/A")</f>
        <v>0.38</v>
      </c>
      <c r="Q143" s="1580"/>
      <c r="R143" s="1176" t="str">
        <f>IFERROR(VLOOKUP($Q143,'Lower Cask Dependencies'!$C$5:$F$277,4,FALSE),"N/A")</f>
        <v>N/A</v>
      </c>
      <c r="S143" s="1176" t="str">
        <f t="shared" si="16"/>
        <v>N/A</v>
      </c>
    </row>
    <row r="144" spans="2:19" ht="13.3" thickBot="1" x14ac:dyDescent="0.4">
      <c r="B144" s="3786"/>
      <c r="C144" s="582" t="s">
        <v>1648</v>
      </c>
      <c r="D144" s="582" t="s">
        <v>3</v>
      </c>
      <c r="E144" s="1640">
        <f t="shared" si="18"/>
        <v>2.3000000000000003</v>
      </c>
      <c r="F144" s="626">
        <f t="shared" si="17"/>
        <v>22.527777777777779</v>
      </c>
      <c r="G144" s="1579"/>
      <c r="H144" s="1183" t="str">
        <f>IF(D144="operation",VLOOKUP(G144,'Generic Divertor Port Tasks'!C$4:D$223,2,FALSE),"N/A")</f>
        <v>N/A</v>
      </c>
      <c r="I144" s="1579"/>
      <c r="J144" s="582"/>
      <c r="K144" s="582"/>
      <c r="L144" s="1478" t="str">
        <f>IFERROR(INDEX('Lower Cask Movement &amp; Logistics'!$I$13:$O$19,MATCH($J144,'Lower Cask Movement &amp; Logistics'!$H$13:$H$19,0),MATCH($K144,'Lower Cask Movement &amp; Logistics'!$H$13:$H$19,0)),"N/A")</f>
        <v>N/A</v>
      </c>
      <c r="M144" s="1478" t="str">
        <f>IFERROR(VLOOKUP($I144,'Lower Cask Movement &amp; Logistics'!$H$4:$I$9,2,FALSE),"N/A")</f>
        <v>N/A</v>
      </c>
      <c r="N144" s="1183" t="str">
        <f t="shared" si="15"/>
        <v>N/A</v>
      </c>
      <c r="O144" s="1578" t="s">
        <v>1552</v>
      </c>
      <c r="P144" s="1183">
        <f>IF($D144="Logistics",VLOOKUP($O144,'Lower Cask Movement &amp; Logistics'!$C$4:$D$54,2,FALSE),"N/A")</f>
        <v>2.3000000000000003</v>
      </c>
      <c r="Q144" s="1578"/>
      <c r="R144" s="1183" t="str">
        <f>IFERROR(VLOOKUP($Q144,'Lower Cask Dependencies'!$C$5:$F$277,4,FALSE),"N/A")</f>
        <v>N/A</v>
      </c>
      <c r="S144" s="1183" t="str">
        <f t="shared" si="16"/>
        <v>N/A</v>
      </c>
    </row>
    <row r="145" spans="2:19" x14ac:dyDescent="0.35">
      <c r="B145" s="3783" t="s">
        <v>1649</v>
      </c>
      <c r="C145" s="1660" t="s">
        <v>1619</v>
      </c>
      <c r="D145" s="1661" t="s">
        <v>3</v>
      </c>
      <c r="E145" s="1634">
        <f t="shared" si="18"/>
        <v>1.9</v>
      </c>
      <c r="F145" s="1634">
        <f t="shared" si="17"/>
        <v>24.427777777777777</v>
      </c>
      <c r="G145" s="1660"/>
      <c r="H145" s="1636" t="str">
        <f>IF(D145="operation",VLOOKUP(G145,'Generic Divertor Port Tasks'!C$4:D$223,2,FALSE),"N/A")</f>
        <v>N/A</v>
      </c>
      <c r="I145" s="1660"/>
      <c r="J145" s="1662"/>
      <c r="K145" s="1662"/>
      <c r="L145" s="1635" t="str">
        <f>IFERROR(INDEX('Lower Cask Movement &amp; Logistics'!$I$13:$O$19,MATCH($J145,'Lower Cask Movement &amp; Logistics'!$H$13:$H$19,0),MATCH($K145,'Lower Cask Movement &amp; Logistics'!$H$13:$H$19,0)),"N/A")</f>
        <v>N/A</v>
      </c>
      <c r="M145" s="1635" t="str">
        <f>IFERROR(VLOOKUP($I145,'Lower Cask Movement &amp; Logistics'!$H$4:$I$9,2,FALSE),"N/A")</f>
        <v>N/A</v>
      </c>
      <c r="N145" s="1636" t="str">
        <f t="shared" si="15"/>
        <v>N/A</v>
      </c>
      <c r="O145" s="1663" t="s">
        <v>1541</v>
      </c>
      <c r="P145" s="1636">
        <f>IF($D145="Logistics",VLOOKUP($O145,'Lower Cask Movement &amp; Logistics'!$C$4:$D$54,2,FALSE),"N/A")</f>
        <v>1.9</v>
      </c>
      <c r="Q145" s="1663" t="s">
        <v>1650</v>
      </c>
      <c r="R145" s="1636">
        <f>IFERROR(VLOOKUP($Q145,'Lower Cask Dependencies'!$C$5:$F$277,4,FALSE),"N/A")</f>
        <v>1.4744444444444444</v>
      </c>
      <c r="S145" s="1636">
        <f t="shared" si="16"/>
        <v>21.053333333333335</v>
      </c>
    </row>
    <row r="146" spans="2:19" x14ac:dyDescent="0.35">
      <c r="B146" s="3784"/>
      <c r="C146" s="1597" t="s">
        <v>1247</v>
      </c>
      <c r="D146" s="1598" t="s">
        <v>3</v>
      </c>
      <c r="E146" s="1599">
        <f t="shared" si="18"/>
        <v>0.38</v>
      </c>
      <c r="F146" s="1599">
        <f t="shared" si="17"/>
        <v>24.807777777777776</v>
      </c>
      <c r="G146" s="1597"/>
      <c r="H146" s="1600" t="str">
        <f>IF(D146="operation",VLOOKUP(G146,'Generic Divertor Port Tasks'!C$4:D$223,2,FALSE),"N/A")</f>
        <v>N/A</v>
      </c>
      <c r="I146" s="1597"/>
      <c r="J146" s="1601"/>
      <c r="K146" s="1601"/>
      <c r="L146" s="1602" t="str">
        <f>IFERROR(INDEX('Lower Cask Movement &amp; Logistics'!$I$13:$O$19,MATCH($J146,'Lower Cask Movement &amp; Logistics'!$H$13:$H$19,0),MATCH($K146,'Lower Cask Movement &amp; Logistics'!$H$13:$H$19,0)),"N/A")</f>
        <v>N/A</v>
      </c>
      <c r="M146" s="1602" t="str">
        <f>IFERROR(VLOOKUP($I146,'Lower Cask Movement &amp; Logistics'!$H$4:$I$9,2,FALSE),"N/A")</f>
        <v>N/A</v>
      </c>
      <c r="N146" s="1600" t="str">
        <f t="shared" si="15"/>
        <v>N/A</v>
      </c>
      <c r="O146" s="1603" t="s">
        <v>1544</v>
      </c>
      <c r="P146" s="1600">
        <f>IF($D146="Logistics",VLOOKUP($O146,'Lower Cask Movement &amp; Logistics'!$C$4:$D$54,2,FALSE),"N/A")</f>
        <v>0.38</v>
      </c>
      <c r="Q146" s="1603"/>
      <c r="R146" s="1600" t="str">
        <f>IFERROR(VLOOKUP($Q146,'Lower Cask Dependencies'!$C$5:$F$277,4,FALSE),"N/A")</f>
        <v>N/A</v>
      </c>
      <c r="S146" s="1600" t="str">
        <f t="shared" si="16"/>
        <v>N/A</v>
      </c>
    </row>
    <row r="147" spans="2:19" x14ac:dyDescent="0.35">
      <c r="B147" s="3784"/>
      <c r="C147" s="1597" t="s">
        <v>117</v>
      </c>
      <c r="D147" s="1598" t="s">
        <v>251</v>
      </c>
      <c r="E147" s="1599">
        <f t="shared" si="18"/>
        <v>53.784637313778319</v>
      </c>
      <c r="F147" s="1599">
        <f t="shared" si="17"/>
        <v>78.592415091556092</v>
      </c>
      <c r="G147" s="1597" t="s">
        <v>556</v>
      </c>
      <c r="H147" s="1600">
        <f>IF(D147="operation",VLOOKUP(G147,'Generic Divertor Port Tasks'!C$4:D$223,2,FALSE),"N/A")</f>
        <v>53.784637313778319</v>
      </c>
      <c r="I147" s="1597"/>
      <c r="J147" s="1601"/>
      <c r="K147" s="1601"/>
      <c r="L147" s="1602" t="str">
        <f>IFERROR(INDEX('Lower Cask Movement &amp; Logistics'!$I$13:$O$19,MATCH($J147,'Lower Cask Movement &amp; Logistics'!$H$13:$H$19,0),MATCH($K147,'Lower Cask Movement &amp; Logistics'!$H$13:$H$19,0)),"N/A")</f>
        <v>N/A</v>
      </c>
      <c r="M147" s="1602" t="str">
        <f>IFERROR(VLOOKUP($I147,'Lower Cask Movement &amp; Logistics'!$H$4:$I$9,2,FALSE),"N/A")</f>
        <v>N/A</v>
      </c>
      <c r="N147" s="1600" t="str">
        <f t="shared" si="15"/>
        <v>N/A</v>
      </c>
      <c r="O147" s="1603" t="s">
        <v>1546</v>
      </c>
      <c r="P147" s="1600" t="str">
        <f>IF($D147="Logistics",VLOOKUP($O147,'Lower Cask Movement &amp; Logistics'!$C$4:$D$54,2,FALSE),"N/A")</f>
        <v>N/A</v>
      </c>
      <c r="Q147" s="1603" t="s">
        <v>1651</v>
      </c>
      <c r="R147" s="1600">
        <f>IFERROR(VLOOKUP($Q147,'Lower Cask Dependencies'!$C$5:$F$277,4,FALSE),"N/A")</f>
        <v>23.868333333333332</v>
      </c>
      <c r="S147" s="1600">
        <f t="shared" si="16"/>
        <v>0.93944444444444386</v>
      </c>
    </row>
    <row r="148" spans="2:19" x14ac:dyDescent="0.35">
      <c r="B148" s="3784"/>
      <c r="C148" s="1597" t="s">
        <v>2521</v>
      </c>
      <c r="D148" s="1598" t="s">
        <v>3</v>
      </c>
      <c r="E148" s="1599">
        <f t="shared" si="18"/>
        <v>0.38</v>
      </c>
      <c r="F148" s="1599">
        <f t="shared" si="17"/>
        <v>78.972415091556087</v>
      </c>
      <c r="G148" s="1597"/>
      <c r="H148" s="1600" t="str">
        <f>IF(D148="operation",VLOOKUP(G148,'Generic Divertor Port Tasks'!C$4:D$223,2,FALSE),"N/A")</f>
        <v>N/A</v>
      </c>
      <c r="I148" s="1597"/>
      <c r="J148" s="1601"/>
      <c r="K148" s="1601"/>
      <c r="L148" s="1602" t="str">
        <f>IFERROR(INDEX('Lower Cask Movement &amp; Logistics'!$I$13:$O$19,MATCH($J148,'Lower Cask Movement &amp; Logistics'!$H$13:$H$19,0),MATCH($K148,'Lower Cask Movement &amp; Logistics'!$H$13:$H$19,0)),"N/A")</f>
        <v>N/A</v>
      </c>
      <c r="M148" s="1602" t="str">
        <f>IFERROR(VLOOKUP($I148,'Lower Cask Movement &amp; Logistics'!$H$4:$I$9,2,FALSE),"N/A")</f>
        <v>N/A</v>
      </c>
      <c r="N148" s="1600" t="str">
        <f t="shared" si="15"/>
        <v>N/A</v>
      </c>
      <c r="O148" s="1603" t="s">
        <v>1544</v>
      </c>
      <c r="P148" s="1600">
        <f>IF($D148="Logistics",VLOOKUP($O148,'Lower Cask Movement &amp; Logistics'!$C$4:$D$54,2,FALSE),"N/A")</f>
        <v>0.38</v>
      </c>
      <c r="Q148" s="1603"/>
      <c r="R148" s="1600" t="str">
        <f>IFERROR(VLOOKUP($Q148,'Lower Cask Dependencies'!$C$5:$F$277,4,FALSE),"N/A")</f>
        <v>N/A</v>
      </c>
      <c r="S148" s="1600" t="str">
        <f t="shared" si="16"/>
        <v>N/A</v>
      </c>
    </row>
    <row r="149" spans="2:19" x14ac:dyDescent="0.35">
      <c r="B149" s="3784"/>
      <c r="C149" s="1597" t="s">
        <v>1653</v>
      </c>
      <c r="D149" s="1598" t="s">
        <v>251</v>
      </c>
      <c r="E149" s="1599">
        <f t="shared" si="18"/>
        <v>53.784637313778319</v>
      </c>
      <c r="F149" s="1599">
        <f t="shared" si="17"/>
        <v>132.75705240533441</v>
      </c>
      <c r="G149" s="1597" t="s">
        <v>1654</v>
      </c>
      <c r="H149" s="1600">
        <f>IF(D149="operation",VLOOKUP(G149,'Generic Divertor Port Tasks'!C$4:D$223,2,FALSE),"N/A")</f>
        <v>53.784637313778319</v>
      </c>
      <c r="I149" s="1597"/>
      <c r="J149" s="1601"/>
      <c r="K149" s="1601"/>
      <c r="L149" s="1602" t="str">
        <f>IFERROR(INDEX('Lower Cask Movement &amp; Logistics'!$I$13:$O$19,MATCH($J149,'Lower Cask Movement &amp; Logistics'!$H$13:$H$19,0),MATCH($K149,'Lower Cask Movement &amp; Logistics'!$H$13:$H$19,0)),"N/A")</f>
        <v>N/A</v>
      </c>
      <c r="M149" s="1602" t="str">
        <f>IFERROR(VLOOKUP($I149,'Lower Cask Movement &amp; Logistics'!$H$4:$I$9,2,FALSE),"N/A")</f>
        <v>N/A</v>
      </c>
      <c r="N149" s="1600" t="str">
        <f t="shared" si="15"/>
        <v>N/A</v>
      </c>
      <c r="O149" s="1603"/>
      <c r="P149" s="1600" t="str">
        <f>IF($D149="Logistics",VLOOKUP($O149,'Lower Cask Movement &amp; Logistics'!$C$4:$D$54,2,FALSE),"N/A")</f>
        <v>N/A</v>
      </c>
      <c r="Q149" s="1603" t="s">
        <v>1655</v>
      </c>
      <c r="R149" s="1600">
        <f>IFERROR(VLOOKUP($Q149,'Lower Cask Dependencies'!$C$5:$F$277,4,FALSE),"N/A")</f>
        <v>28.892777777777773</v>
      </c>
      <c r="S149" s="1600">
        <f t="shared" si="16"/>
        <v>50.079637313778314</v>
      </c>
    </row>
    <row r="150" spans="2:19" x14ac:dyDescent="0.35">
      <c r="B150" s="3784"/>
      <c r="C150" s="1597" t="s">
        <v>1599</v>
      </c>
      <c r="D150" s="1598" t="s">
        <v>3</v>
      </c>
      <c r="E150" s="1599">
        <f t="shared" si="18"/>
        <v>0.38</v>
      </c>
      <c r="F150" s="1599">
        <f t="shared" si="17"/>
        <v>133.1370524053344</v>
      </c>
      <c r="G150" s="1597"/>
      <c r="H150" s="1600" t="str">
        <f>IF(D150="operation",VLOOKUP(G150,'Generic Divertor Port Tasks'!C$4:D$223,2,FALSE),"N/A")</f>
        <v>N/A</v>
      </c>
      <c r="I150" s="1597"/>
      <c r="J150" s="1601"/>
      <c r="K150" s="1601"/>
      <c r="L150" s="1602" t="str">
        <f>IFERROR(INDEX('Lower Cask Movement &amp; Logistics'!$I$13:$O$19,MATCH($J150,'Lower Cask Movement &amp; Logistics'!$H$13:$H$19,0),MATCH($K150,'Lower Cask Movement &amp; Logistics'!$H$13:$H$19,0)),"N/A")</f>
        <v>N/A</v>
      </c>
      <c r="M150" s="1602" t="str">
        <f>IFERROR(VLOOKUP($I150,'Lower Cask Movement &amp; Logistics'!$H$4:$I$9,2,FALSE),"N/A")</f>
        <v>N/A</v>
      </c>
      <c r="N150" s="1600" t="str">
        <f t="shared" si="15"/>
        <v>N/A</v>
      </c>
      <c r="O150" s="1603" t="s">
        <v>1546</v>
      </c>
      <c r="P150" s="1600">
        <f>IF($D150="Logistics",VLOOKUP($O150,'Lower Cask Movement &amp; Logistics'!$C$4:$D$54,2,FALSE),"N/A")</f>
        <v>0.38</v>
      </c>
      <c r="Q150" s="1603"/>
      <c r="R150" s="1600" t="str">
        <f>IFERROR(VLOOKUP($Q150,'Lower Cask Dependencies'!$C$5:$F$277,4,FALSE),"N/A")</f>
        <v>N/A</v>
      </c>
      <c r="S150" s="1600" t="str">
        <f t="shared" si="16"/>
        <v>N/A</v>
      </c>
    </row>
    <row r="151" spans="2:19" ht="13.3" thickBot="1" x14ac:dyDescent="0.4">
      <c r="B151" s="3785"/>
      <c r="C151" s="1604" t="s">
        <v>1656</v>
      </c>
      <c r="D151" s="1605" t="s">
        <v>3</v>
      </c>
      <c r="E151" s="1606">
        <f t="shared" si="18"/>
        <v>2.3000000000000003</v>
      </c>
      <c r="F151" s="1606">
        <f t="shared" si="17"/>
        <v>135.43705240533441</v>
      </c>
      <c r="G151" s="1604"/>
      <c r="H151" s="1607" t="str">
        <f>IF(D151="operation",VLOOKUP(G151,'Generic Divertor Port Tasks'!C$4:D$223,2,FALSE),"N/A")</f>
        <v>N/A</v>
      </c>
      <c r="I151" s="1604"/>
      <c r="J151" s="1608"/>
      <c r="K151" s="1608"/>
      <c r="L151" s="1609" t="str">
        <f>IFERROR(INDEX('Lower Cask Movement &amp; Logistics'!$I$13:$O$19,MATCH($J151,'Lower Cask Movement &amp; Logistics'!$H$13:$H$19,0),MATCH($K151,'Lower Cask Movement &amp; Logistics'!$H$13:$H$19,0)),"N/A")</f>
        <v>N/A</v>
      </c>
      <c r="M151" s="1609" t="str">
        <f>IFERROR(VLOOKUP($I151,'Lower Cask Movement &amp; Logistics'!$H$4:$I$9,2,FALSE),"N/A")</f>
        <v>N/A</v>
      </c>
      <c r="N151" s="1607" t="str">
        <f t="shared" si="15"/>
        <v>N/A</v>
      </c>
      <c r="O151" s="1610" t="s">
        <v>1552</v>
      </c>
      <c r="P151" s="1607">
        <f>IF($D151="Logistics",VLOOKUP($O151,'Lower Cask Movement &amp; Logistics'!$C$4:$D$54,2,FALSE),"N/A")</f>
        <v>2.3000000000000003</v>
      </c>
      <c r="Q151" s="1610"/>
      <c r="R151" s="1607" t="str">
        <f>IFERROR(VLOOKUP($Q151,'Lower Cask Dependencies'!$C$5:$F$277,4,FALSE),"N/A")</f>
        <v>N/A</v>
      </c>
      <c r="S151" s="1607" t="str">
        <f t="shared" si="16"/>
        <v>N/A</v>
      </c>
    </row>
    <row r="152" spans="2:19" x14ac:dyDescent="0.35">
      <c r="B152" s="3786" t="s">
        <v>1657</v>
      </c>
      <c r="C152" s="1638" t="s">
        <v>1619</v>
      </c>
      <c r="D152" s="1639" t="s">
        <v>3</v>
      </c>
      <c r="E152" s="1640">
        <f t="shared" si="18"/>
        <v>1.9</v>
      </c>
      <c r="F152" s="1640">
        <f t="shared" si="17"/>
        <v>137.33705240533442</v>
      </c>
      <c r="G152" s="1638"/>
      <c r="H152" s="1641" t="str">
        <f>IF(D152="operation",VLOOKUP(G152,'Generic Divertor Port Tasks'!C$4:D$223,2,FALSE),"N/A")</f>
        <v>N/A</v>
      </c>
      <c r="I152" s="1638"/>
      <c r="J152" s="1642"/>
      <c r="K152" s="1642"/>
      <c r="L152" s="1643" t="str">
        <f>IFERROR(INDEX('Lower Cask Movement &amp; Logistics'!$I$13:$O$19,MATCH($J152,'Lower Cask Movement &amp; Logistics'!$H$13:$H$19,0),MATCH($K152,'Lower Cask Movement &amp; Logistics'!$H$13:$H$19,0)),"N/A")</f>
        <v>N/A</v>
      </c>
      <c r="M152" s="1643" t="str">
        <f>IFERROR(VLOOKUP($I152,'Lower Cask Movement &amp; Logistics'!$H$4:$I$9,2,FALSE),"N/A")</f>
        <v>N/A</v>
      </c>
      <c r="N152" s="1641" t="str">
        <f t="shared" si="15"/>
        <v>N/A</v>
      </c>
      <c r="O152" s="1644" t="s">
        <v>1541</v>
      </c>
      <c r="P152" s="1641">
        <f>IF($D152="Logistics",VLOOKUP($O152,'Lower Cask Movement &amp; Logistics'!$C$4:$D$54,2,FALSE),"N/A")</f>
        <v>1.9</v>
      </c>
      <c r="Q152" s="1644" t="s">
        <v>1658</v>
      </c>
      <c r="R152" s="1641">
        <f>IFERROR(VLOOKUP($Q152,'Lower Cask Dependencies'!$C$5:$F$277,4,FALSE),"N/A")</f>
        <v>24.094814814814814</v>
      </c>
      <c r="S152" s="1641">
        <f t="shared" si="16"/>
        <v>111.3422375905196</v>
      </c>
    </row>
    <row r="153" spans="2:19" x14ac:dyDescent="0.35">
      <c r="B153" s="3786"/>
      <c r="C153" s="1579" t="s">
        <v>1247</v>
      </c>
      <c r="D153" s="1611" t="s">
        <v>3</v>
      </c>
      <c r="E153" s="626">
        <f t="shared" si="18"/>
        <v>0.38</v>
      </c>
      <c r="F153" s="626">
        <f t="shared" si="17"/>
        <v>137.71705240533441</v>
      </c>
      <c r="G153" s="1579"/>
      <c r="H153" s="1183" t="str">
        <f>IF(D153="operation",VLOOKUP(G153,'Generic Divertor Port Tasks'!C$4:D$223,2,FALSE),"N/A")</f>
        <v>N/A</v>
      </c>
      <c r="I153" s="1579"/>
      <c r="J153" s="582"/>
      <c r="K153" s="582"/>
      <c r="L153" s="1478" t="str">
        <f>IFERROR(INDEX('Lower Cask Movement &amp; Logistics'!$I$13:$O$19,MATCH($J153,'Lower Cask Movement &amp; Logistics'!$H$13:$H$19,0),MATCH($K153,'Lower Cask Movement &amp; Logistics'!$H$13:$H$19,0)),"N/A")</f>
        <v>N/A</v>
      </c>
      <c r="M153" s="1478" t="str">
        <f>IFERROR(VLOOKUP($I153,'Lower Cask Movement &amp; Logistics'!$H$4:$I$9,2,FALSE),"N/A")</f>
        <v>N/A</v>
      </c>
      <c r="N153" s="1183" t="str">
        <f t="shared" si="15"/>
        <v>N/A</v>
      </c>
      <c r="O153" s="1578" t="s">
        <v>1544</v>
      </c>
      <c r="P153" s="1183">
        <f>IF($D153="Logistics",VLOOKUP($O153,'Lower Cask Movement &amp; Logistics'!$C$4:$D$54,2,FALSE),"N/A")</f>
        <v>0.38</v>
      </c>
      <c r="Q153" s="1578"/>
      <c r="R153" s="1183" t="str">
        <f>IFERROR(VLOOKUP($Q153,'Lower Cask Dependencies'!$C$5:$F$277,4,FALSE),"N/A")</f>
        <v>N/A</v>
      </c>
      <c r="S153" s="1183" t="str">
        <f t="shared" si="16"/>
        <v>N/A</v>
      </c>
    </row>
    <row r="154" spans="2:19" x14ac:dyDescent="0.35">
      <c r="B154" s="3786"/>
      <c r="C154" s="1579" t="s">
        <v>1659</v>
      </c>
      <c r="D154" s="1611" t="s">
        <v>3</v>
      </c>
      <c r="E154" s="626">
        <f t="shared" si="18"/>
        <v>0.38</v>
      </c>
      <c r="F154" s="626">
        <f t="shared" si="17"/>
        <v>138.09705240533441</v>
      </c>
      <c r="G154" s="1579"/>
      <c r="H154" s="1183" t="str">
        <f>IF(D154="operation",VLOOKUP(G154,'Generic Divertor Port Tasks'!C$4:D$223,2,FALSE),"N/A")</f>
        <v>N/A</v>
      </c>
      <c r="I154" s="1579"/>
      <c r="J154" s="582"/>
      <c r="K154" s="582"/>
      <c r="L154" s="1478" t="str">
        <f>IFERROR(INDEX('Lower Cask Movement &amp; Logistics'!$I$13:$O$19,MATCH($J154,'Lower Cask Movement &amp; Logistics'!$H$13:$H$19,0),MATCH($K154,'Lower Cask Movement &amp; Logistics'!$H$13:$H$19,0)),"N/A")</f>
        <v>N/A</v>
      </c>
      <c r="M154" s="1478" t="str">
        <f>IFERROR(VLOOKUP($I154,'Lower Cask Movement &amp; Logistics'!$H$4:$I$9,2,FALSE),"N/A")</f>
        <v>N/A</v>
      </c>
      <c r="N154" s="1183" t="str">
        <f t="shared" si="15"/>
        <v>N/A</v>
      </c>
      <c r="O154" s="1578" t="s">
        <v>1544</v>
      </c>
      <c r="P154" s="1183">
        <f>IF($D154="Logistics",VLOOKUP($O154,'Lower Cask Movement &amp; Logistics'!$C$4:$D$54,2,FALSE),"N/A")</f>
        <v>0.38</v>
      </c>
      <c r="Q154" s="1578"/>
      <c r="R154" s="1183" t="str">
        <f>IFERROR(VLOOKUP($Q154,'Lower Cask Dependencies'!$C$5:$F$277,4,FALSE),"N/A")</f>
        <v>N/A</v>
      </c>
      <c r="S154" s="1183" t="str">
        <f t="shared" si="16"/>
        <v>N/A</v>
      </c>
    </row>
    <row r="155" spans="2:19" x14ac:dyDescent="0.35">
      <c r="B155" s="3786"/>
      <c r="C155" s="1579" t="s">
        <v>1660</v>
      </c>
      <c r="D155" s="1611" t="s">
        <v>251</v>
      </c>
      <c r="E155" s="626">
        <f t="shared" si="18"/>
        <v>26.773271037841543</v>
      </c>
      <c r="F155" s="626">
        <f t="shared" si="17"/>
        <v>164.87032344317595</v>
      </c>
      <c r="G155" s="1579" t="s">
        <v>450</v>
      </c>
      <c r="H155" s="1183">
        <f>IF(D155="operation",VLOOKUP(G155,'Generic Divertor Port Tasks'!C$4:D$223,2,FALSE),"N/A")</f>
        <v>26.773271037841543</v>
      </c>
      <c r="I155" s="1579"/>
      <c r="J155" s="582"/>
      <c r="K155" s="582"/>
      <c r="L155" s="1478" t="str">
        <f>IFERROR(INDEX('Lower Cask Movement &amp; Logistics'!$I$13:$O$19,MATCH($J155,'Lower Cask Movement &amp; Logistics'!$H$13:$H$19,0),MATCH($K155,'Lower Cask Movement &amp; Logistics'!$H$13:$H$19,0)),"N/A")</f>
        <v>N/A</v>
      </c>
      <c r="M155" s="1478" t="str">
        <f>IFERROR(VLOOKUP($I155,'Lower Cask Movement &amp; Logistics'!$H$4:$I$9,2,FALSE),"N/A")</f>
        <v>N/A</v>
      </c>
      <c r="N155" s="1183" t="str">
        <f t="shared" si="15"/>
        <v>N/A</v>
      </c>
      <c r="O155" s="1578"/>
      <c r="P155" s="1183" t="str">
        <f>IF($D155="Logistics",VLOOKUP($O155,'Lower Cask Movement &amp; Logistics'!$C$4:$D$54,2,FALSE),"N/A")</f>
        <v>N/A</v>
      </c>
      <c r="Q155" s="1578"/>
      <c r="R155" s="1183" t="str">
        <f>IFERROR(VLOOKUP($Q155,'Lower Cask Dependencies'!$C$5:$F$277,4,FALSE),"N/A")</f>
        <v>N/A</v>
      </c>
      <c r="S155" s="1183" t="str">
        <f t="shared" si="16"/>
        <v>N/A</v>
      </c>
    </row>
    <row r="156" spans="2:19" x14ac:dyDescent="0.35">
      <c r="B156" s="3786"/>
      <c r="C156" s="1579" t="s">
        <v>1593</v>
      </c>
      <c r="D156" s="1611" t="s">
        <v>3</v>
      </c>
      <c r="E156" s="626">
        <f t="shared" si="18"/>
        <v>0.53</v>
      </c>
      <c r="F156" s="626">
        <f t="shared" si="17"/>
        <v>165.40032344317595</v>
      </c>
      <c r="G156" s="1579"/>
      <c r="H156" s="1183" t="str">
        <f>IF(D156="operation",VLOOKUP(G156,'Generic Divertor Port Tasks'!C$4:D$223,2,FALSE),"N/A")</f>
        <v>N/A</v>
      </c>
      <c r="I156" s="1579"/>
      <c r="J156" s="582"/>
      <c r="K156" s="582"/>
      <c r="L156" s="1478" t="str">
        <f>IFERROR(INDEX('Lower Cask Movement &amp; Logistics'!$I$13:$O$19,MATCH($J156,'Lower Cask Movement &amp; Logistics'!$H$13:$H$19,0),MATCH($K156,'Lower Cask Movement &amp; Logistics'!$H$13:$H$19,0)),"N/A")</f>
        <v>N/A</v>
      </c>
      <c r="M156" s="1478" t="str">
        <f>IFERROR(VLOOKUP($I156,'Lower Cask Movement &amp; Logistics'!$H$4:$I$9,2,FALSE),"N/A")</f>
        <v>N/A</v>
      </c>
      <c r="N156" s="1183" t="str">
        <f t="shared" si="15"/>
        <v>N/A</v>
      </c>
      <c r="O156" s="1578" t="s">
        <v>1558</v>
      </c>
      <c r="P156" s="1183">
        <f>IF($D156="Logistics",VLOOKUP($O156,'Lower Cask Movement &amp; Logistics'!$C$4:$D$54,2,FALSE),"N/A")</f>
        <v>0.53</v>
      </c>
      <c r="Q156" s="1578"/>
      <c r="R156" s="1183" t="str">
        <f>IFERROR(VLOOKUP($Q156,'Lower Cask Dependencies'!$C$5:$F$277,4,FALSE),"N/A")</f>
        <v>N/A</v>
      </c>
      <c r="S156" s="1183" t="str">
        <f t="shared" si="16"/>
        <v>N/A</v>
      </c>
    </row>
    <row r="157" spans="2:19" x14ac:dyDescent="0.35">
      <c r="B157" s="3786"/>
      <c r="C157" s="1579" t="s">
        <v>1661</v>
      </c>
      <c r="D157" s="1611" t="s">
        <v>3</v>
      </c>
      <c r="E157" s="626">
        <f t="shared" si="18"/>
        <v>0.38</v>
      </c>
      <c r="F157" s="626">
        <f t="shared" si="17"/>
        <v>165.78032344317594</v>
      </c>
      <c r="G157" s="1579"/>
      <c r="H157" s="1183" t="str">
        <f>IF(D157="operation",VLOOKUP(G157,'Generic Divertor Port Tasks'!C$4:D$223,2,FALSE),"N/A")</f>
        <v>N/A</v>
      </c>
      <c r="I157" s="1579"/>
      <c r="J157" s="582"/>
      <c r="K157" s="582"/>
      <c r="L157" s="1478" t="str">
        <f>IFERROR(INDEX('Lower Cask Movement &amp; Logistics'!$I$13:$O$19,MATCH($J157,'Lower Cask Movement &amp; Logistics'!$H$13:$H$19,0),MATCH($K157,'Lower Cask Movement &amp; Logistics'!$H$13:$H$19,0)),"N/A")</f>
        <v>N/A</v>
      </c>
      <c r="M157" s="1478" t="str">
        <f>IFERROR(VLOOKUP($I157,'Lower Cask Movement &amp; Logistics'!$H$4:$I$9,2,FALSE),"N/A")</f>
        <v>N/A</v>
      </c>
      <c r="N157" s="1183" t="str">
        <f t="shared" si="15"/>
        <v>N/A</v>
      </c>
      <c r="O157" s="1578" t="s">
        <v>1544</v>
      </c>
      <c r="P157" s="1183">
        <f>IF($D157="Logistics",VLOOKUP($O157,'Lower Cask Movement &amp; Logistics'!$C$4:$D$54,2,FALSE),"N/A")</f>
        <v>0.38</v>
      </c>
      <c r="Q157" s="1578"/>
      <c r="R157" s="1183" t="str">
        <f>IFERROR(VLOOKUP($Q157,'Lower Cask Dependencies'!$C$5:$F$277,4,FALSE),"N/A")</f>
        <v>N/A</v>
      </c>
      <c r="S157" s="1183" t="str">
        <f t="shared" si="16"/>
        <v>N/A</v>
      </c>
    </row>
    <row r="158" spans="2:19" x14ac:dyDescent="0.35">
      <c r="B158" s="3786"/>
      <c r="C158" s="1579" t="s">
        <v>1662</v>
      </c>
      <c r="D158" s="1611" t="s">
        <v>251</v>
      </c>
      <c r="E158" s="626">
        <f t="shared" si="18"/>
        <v>26.773271037841543</v>
      </c>
      <c r="F158" s="626">
        <f t="shared" si="17"/>
        <v>192.55359448101748</v>
      </c>
      <c r="G158" s="1579" t="s">
        <v>450</v>
      </c>
      <c r="H158" s="1183">
        <f>IF(D158="operation",VLOOKUP(G158,'Generic Divertor Port Tasks'!C$4:D$223,2,FALSE),"N/A")</f>
        <v>26.773271037841543</v>
      </c>
      <c r="I158" s="1579"/>
      <c r="J158" s="582"/>
      <c r="K158" s="582"/>
      <c r="L158" s="1478" t="str">
        <f>IFERROR(INDEX('Lower Cask Movement &amp; Logistics'!$I$13:$O$19,MATCH($J158,'Lower Cask Movement &amp; Logistics'!$H$13:$H$19,0),MATCH($K158,'Lower Cask Movement &amp; Logistics'!$H$13:$H$19,0)),"N/A")</f>
        <v>N/A</v>
      </c>
      <c r="M158" s="1478" t="str">
        <f>IFERROR(VLOOKUP($I158,'Lower Cask Movement &amp; Logistics'!$H$4:$I$9,2,FALSE),"N/A")</f>
        <v>N/A</v>
      </c>
      <c r="N158" s="1183" t="str">
        <f t="shared" si="15"/>
        <v>N/A</v>
      </c>
      <c r="O158" s="1578"/>
      <c r="P158" s="1183" t="str">
        <f>IF($D158="Logistics",VLOOKUP($O158,'Lower Cask Movement &amp; Logistics'!$C$4:$D$54,2,FALSE),"N/A")</f>
        <v>N/A</v>
      </c>
      <c r="Q158" s="1578"/>
      <c r="R158" s="1183" t="str">
        <f>IFERROR(VLOOKUP($Q158,'Lower Cask Dependencies'!$C$5:$F$277,4,FALSE),"N/A")</f>
        <v>N/A</v>
      </c>
      <c r="S158" s="1183" t="str">
        <f t="shared" si="16"/>
        <v>N/A</v>
      </c>
    </row>
    <row r="159" spans="2:19" x14ac:dyDescent="0.35">
      <c r="B159" s="3786"/>
      <c r="C159" s="1579" t="s">
        <v>1599</v>
      </c>
      <c r="D159" s="1611" t="s">
        <v>3</v>
      </c>
      <c r="E159" s="626">
        <f t="shared" si="18"/>
        <v>0.38</v>
      </c>
      <c r="F159" s="626">
        <f t="shared" si="17"/>
        <v>192.93359448101748</v>
      </c>
      <c r="G159" s="1579"/>
      <c r="H159" s="1183" t="str">
        <f>IF(D159="operation",VLOOKUP(G159,'Generic Divertor Port Tasks'!C$4:D$223,2,FALSE),"N/A")</f>
        <v>N/A</v>
      </c>
      <c r="I159" s="1579"/>
      <c r="J159" s="582"/>
      <c r="K159" s="582"/>
      <c r="L159" s="1478" t="str">
        <f>IFERROR(INDEX('Lower Cask Movement &amp; Logistics'!$I$13:$O$19,MATCH($J159,'Lower Cask Movement &amp; Logistics'!$H$13:$H$19,0),MATCH($K159,'Lower Cask Movement &amp; Logistics'!$H$13:$H$19,0)),"N/A")</f>
        <v>N/A</v>
      </c>
      <c r="M159" s="1478" t="str">
        <f>IFERROR(VLOOKUP($I159,'Lower Cask Movement &amp; Logistics'!$H$4:$I$9,2,FALSE),"N/A")</f>
        <v>N/A</v>
      </c>
      <c r="N159" s="1183" t="str">
        <f t="shared" si="15"/>
        <v>N/A</v>
      </c>
      <c r="O159" s="1578" t="s">
        <v>1546</v>
      </c>
      <c r="P159" s="1183">
        <f>IF($D159="Logistics",VLOOKUP($O159,'Lower Cask Movement &amp; Logistics'!$C$4:$D$54,2,FALSE),"N/A")</f>
        <v>0.38</v>
      </c>
      <c r="Q159" s="1578"/>
      <c r="R159" s="1183" t="str">
        <f>IFERROR(VLOOKUP($Q159,'Lower Cask Dependencies'!$C$5:$F$277,4,FALSE),"N/A")</f>
        <v>N/A</v>
      </c>
      <c r="S159" s="1183" t="str">
        <f t="shared" si="16"/>
        <v>N/A</v>
      </c>
    </row>
    <row r="160" spans="2:19" x14ac:dyDescent="0.35">
      <c r="B160" s="3786"/>
      <c r="C160" s="1579" t="s">
        <v>1590</v>
      </c>
      <c r="D160" s="1611" t="s">
        <v>3</v>
      </c>
      <c r="E160" s="626">
        <f t="shared" si="18"/>
        <v>0.38</v>
      </c>
      <c r="F160" s="626">
        <f t="shared" si="17"/>
        <v>193.31359448101747</v>
      </c>
      <c r="G160" s="1579"/>
      <c r="H160" s="1183" t="str">
        <f>IF(D160="operation",VLOOKUP(G160,'Generic Divertor Port Tasks'!C$4:D$223,2,FALSE),"N/A")</f>
        <v>N/A</v>
      </c>
      <c r="I160" s="1579"/>
      <c r="J160" s="582"/>
      <c r="K160" s="582"/>
      <c r="L160" s="1478" t="str">
        <f>IFERROR(INDEX('Lower Cask Movement &amp; Logistics'!$I$13:$O$19,MATCH($J160,'Lower Cask Movement &amp; Logistics'!$H$13:$H$19,0),MATCH($K160,'Lower Cask Movement &amp; Logistics'!$H$13:$H$19,0)),"N/A")</f>
        <v>N/A</v>
      </c>
      <c r="M160" s="1478" t="str">
        <f>IFERROR(VLOOKUP($I160,'Lower Cask Movement &amp; Logistics'!$H$4:$I$9,2,FALSE),"N/A")</f>
        <v>N/A</v>
      </c>
      <c r="N160" s="1183" t="str">
        <f t="shared" si="15"/>
        <v>N/A</v>
      </c>
      <c r="O160" s="1578" t="s">
        <v>1546</v>
      </c>
      <c r="P160" s="1183">
        <f>IF($D160="Logistics",VLOOKUP($O160,'Lower Cask Movement &amp; Logistics'!$C$4:$D$54,2,FALSE),"N/A")</f>
        <v>0.38</v>
      </c>
      <c r="Q160" s="1578"/>
      <c r="R160" s="1183" t="str">
        <f>IFERROR(VLOOKUP($Q160,'Lower Cask Dependencies'!$C$5:$F$277,4,FALSE),"N/A")</f>
        <v>N/A</v>
      </c>
      <c r="S160" s="1183" t="str">
        <f t="shared" si="16"/>
        <v>N/A</v>
      </c>
    </row>
    <row r="161" spans="2:19" ht="13.3" thickBot="1" x14ac:dyDescent="0.4">
      <c r="B161" s="3786"/>
      <c r="C161" s="1579" t="s">
        <v>1663</v>
      </c>
      <c r="D161" s="1611" t="s">
        <v>3</v>
      </c>
      <c r="E161" s="626">
        <f>MAX($P161,$N161,$H161)</f>
        <v>2.3000000000000003</v>
      </c>
      <c r="F161" s="626">
        <f t="shared" si="17"/>
        <v>195.61359448101749</v>
      </c>
      <c r="G161" s="1579"/>
      <c r="H161" s="1183" t="str">
        <f>IF(D161="operation",VLOOKUP(G161,'Generic Divertor Port Tasks'!C$4:D$223,2,FALSE),"N/A")</f>
        <v>N/A</v>
      </c>
      <c r="I161" s="1579"/>
      <c r="J161" s="582"/>
      <c r="K161" s="582"/>
      <c r="L161" s="1478" t="str">
        <f>IFERROR(INDEX('Lower Cask Movement &amp; Logistics'!$I$13:$O$19,MATCH($J161,'Lower Cask Movement &amp; Logistics'!$H$13:$H$19,0),MATCH($K161,'Lower Cask Movement &amp; Logistics'!$H$13:$H$19,0)),"N/A")</f>
        <v>N/A</v>
      </c>
      <c r="M161" s="1478" t="str">
        <f>IFERROR(VLOOKUP($I161,'Lower Cask Movement &amp; Logistics'!$H$4:$I$9,2,FALSE),"N/A")</f>
        <v>N/A</v>
      </c>
      <c r="N161" s="1183" t="str">
        <f t="shared" si="15"/>
        <v>N/A</v>
      </c>
      <c r="O161" s="1578" t="s">
        <v>1552</v>
      </c>
      <c r="P161" s="1183">
        <f>IF($D161="Logistics",VLOOKUP($O161,'Lower Cask Movement &amp; Logistics'!$C$4:$D$54,2,FALSE),"N/A")</f>
        <v>2.3000000000000003</v>
      </c>
      <c r="Q161" s="1578"/>
      <c r="R161" s="1183" t="str">
        <f>IFERROR(VLOOKUP($Q161,'Lower Cask Dependencies'!$C$5:$F$277,4,FALSE),"N/A")</f>
        <v>N/A</v>
      </c>
      <c r="S161" s="1183" t="str">
        <f t="shared" si="16"/>
        <v>N/A</v>
      </c>
    </row>
    <row r="162" spans="2:19" x14ac:dyDescent="0.35">
      <c r="B162" s="3783" t="s">
        <v>1664</v>
      </c>
      <c r="C162" s="1660" t="s">
        <v>1619</v>
      </c>
      <c r="D162" s="1661" t="s">
        <v>3</v>
      </c>
      <c r="E162" s="1634">
        <f t="shared" ref="E162:E251" si="19">MAX($P162,$N162,$H162)</f>
        <v>1.9</v>
      </c>
      <c r="F162" s="1634">
        <f t="shared" si="17"/>
        <v>197.51359448101749</v>
      </c>
      <c r="G162" s="1660"/>
      <c r="H162" s="1636" t="str">
        <f>IF(D162="operation",VLOOKUP(G162,'Generic Divertor Port Tasks'!C$4:D$223,2,FALSE),"N/A")</f>
        <v>N/A</v>
      </c>
      <c r="I162" s="1660"/>
      <c r="J162" s="1662"/>
      <c r="K162" s="1662"/>
      <c r="L162" s="1635" t="str">
        <f>IFERROR(INDEX('Lower Cask Movement &amp; Logistics'!$I$13:$O$19,MATCH($J162,'Lower Cask Movement &amp; Logistics'!$H$13:$H$19,0),MATCH($K162,'Lower Cask Movement &amp; Logistics'!$H$13:$H$19,0)),"N/A")</f>
        <v>N/A</v>
      </c>
      <c r="M162" s="1635" t="str">
        <f>IFERROR(VLOOKUP($I162,'Lower Cask Movement &amp; Logistics'!$H$4:$I$9,2,FALSE),"N/A")</f>
        <v>N/A</v>
      </c>
      <c r="N162" s="1636" t="str">
        <f t="shared" si="15"/>
        <v>N/A</v>
      </c>
      <c r="O162" s="1663" t="s">
        <v>1541</v>
      </c>
      <c r="P162" s="1636">
        <f>IF($D162="Logistics",VLOOKUP($O162,'Lower Cask Movement &amp; Logistics'!$C$4:$D$54,2,FALSE),"N/A")</f>
        <v>1.9</v>
      </c>
      <c r="Q162" s="1663" t="s">
        <v>1665</v>
      </c>
      <c r="R162" s="1636">
        <f>IFERROR(VLOOKUP($Q162,'Lower Cask Dependencies'!$C$5:$F$277,4,FALSE),"N/A")</f>
        <v>137.75075610903815</v>
      </c>
      <c r="S162" s="1636">
        <f t="shared" si="16"/>
        <v>57.862838371979336</v>
      </c>
    </row>
    <row r="163" spans="2:19" x14ac:dyDescent="0.35">
      <c r="B163" s="3784"/>
      <c r="C163" s="1597" t="s">
        <v>1247</v>
      </c>
      <c r="D163" s="1598" t="s">
        <v>3</v>
      </c>
      <c r="E163" s="1599">
        <f t="shared" si="19"/>
        <v>0.38</v>
      </c>
      <c r="F163" s="1599">
        <f t="shared" si="17"/>
        <v>197.89359448101749</v>
      </c>
      <c r="G163" s="1597"/>
      <c r="H163" s="1600" t="str">
        <f>IF(D163="operation",VLOOKUP(G163,'Generic Divertor Port Tasks'!C$4:D$223,2,FALSE),"N/A")</f>
        <v>N/A</v>
      </c>
      <c r="I163" s="1597"/>
      <c r="J163" s="1601"/>
      <c r="K163" s="1601"/>
      <c r="L163" s="1602" t="str">
        <f>IFERROR(INDEX('Lower Cask Movement &amp; Logistics'!$I$13:$O$19,MATCH($J163,'Lower Cask Movement &amp; Logistics'!$H$13:$H$19,0),MATCH($K163,'Lower Cask Movement &amp; Logistics'!$H$13:$H$19,0)),"N/A")</f>
        <v>N/A</v>
      </c>
      <c r="M163" s="1602" t="str">
        <f>IFERROR(VLOOKUP($I163,'Lower Cask Movement &amp; Logistics'!$H$4:$I$9,2,FALSE),"N/A")</f>
        <v>N/A</v>
      </c>
      <c r="N163" s="1600" t="str">
        <f t="shared" si="15"/>
        <v>N/A</v>
      </c>
      <c r="O163" s="1603" t="s">
        <v>1544</v>
      </c>
      <c r="P163" s="1600">
        <f>IF($D163="Logistics",VLOOKUP($O163,'Lower Cask Movement &amp; Logistics'!$C$4:$D$54,2,FALSE),"N/A")</f>
        <v>0.38</v>
      </c>
      <c r="Q163" s="1603"/>
      <c r="R163" s="1600" t="str">
        <f>IFERROR(VLOOKUP($Q163,'Lower Cask Dependencies'!$C$5:$F$277,4,FALSE),"N/A")</f>
        <v>N/A</v>
      </c>
      <c r="S163" s="1600" t="str">
        <f t="shared" si="16"/>
        <v>N/A</v>
      </c>
    </row>
    <row r="164" spans="2:19" x14ac:dyDescent="0.35">
      <c r="B164" s="3784"/>
      <c r="C164" s="1597" t="s">
        <v>1666</v>
      </c>
      <c r="D164" s="1598" t="s">
        <v>3</v>
      </c>
      <c r="E164" s="1599">
        <f t="shared" si="19"/>
        <v>0.38</v>
      </c>
      <c r="F164" s="1599">
        <f t="shared" si="17"/>
        <v>198.27359448101748</v>
      </c>
      <c r="G164" s="1597"/>
      <c r="H164" s="1600" t="str">
        <f>IF(D164="operation",VLOOKUP(G164,'Generic Divertor Port Tasks'!C$4:D$223,2,FALSE),"N/A")</f>
        <v>N/A</v>
      </c>
      <c r="I164" s="1597"/>
      <c r="J164" s="1601"/>
      <c r="K164" s="1601"/>
      <c r="L164" s="1602" t="str">
        <f>IFERROR(INDEX('Lower Cask Movement &amp; Logistics'!$I$13:$O$19,MATCH($J164,'Lower Cask Movement &amp; Logistics'!$H$13:$H$19,0),MATCH($K164,'Lower Cask Movement &amp; Logistics'!$H$13:$H$19,0)),"N/A")</f>
        <v>N/A</v>
      </c>
      <c r="M164" s="1602" t="str">
        <f>IFERROR(VLOOKUP($I164,'Lower Cask Movement &amp; Logistics'!$H$4:$I$9,2,FALSE),"N/A")</f>
        <v>N/A</v>
      </c>
      <c r="N164" s="1600" t="str">
        <f t="shared" si="15"/>
        <v>N/A</v>
      </c>
      <c r="O164" s="1603" t="s">
        <v>1544</v>
      </c>
      <c r="P164" s="1600">
        <f>IF($D164="Logistics",VLOOKUP($O164,'Lower Cask Movement &amp; Logistics'!$C$4:$D$54,2,FALSE),"N/A")</f>
        <v>0.38</v>
      </c>
      <c r="Q164" s="1603"/>
      <c r="R164" s="1600" t="str">
        <f>IFERROR(VLOOKUP($Q164,'Lower Cask Dependencies'!$C$5:$F$277,4,FALSE),"N/A")</f>
        <v>N/A</v>
      </c>
      <c r="S164" s="1600" t="str">
        <f t="shared" si="16"/>
        <v>N/A</v>
      </c>
    </row>
    <row r="165" spans="2:19" x14ac:dyDescent="0.35">
      <c r="B165" s="3784"/>
      <c r="C165" s="1597" t="s">
        <v>1667</v>
      </c>
      <c r="D165" s="1598" t="s">
        <v>251</v>
      </c>
      <c r="E165" s="1599">
        <f t="shared" si="19"/>
        <v>26.773271037841543</v>
      </c>
      <c r="F165" s="1599">
        <f t="shared" si="17"/>
        <v>225.04686551885902</v>
      </c>
      <c r="G165" s="1597" t="s">
        <v>450</v>
      </c>
      <c r="H165" s="1600">
        <f>IF(D165="operation",VLOOKUP(G165,'Generic Divertor Port Tasks'!C$4:D$223,2,FALSE),"N/A")</f>
        <v>26.773271037841543</v>
      </c>
      <c r="I165" s="1597"/>
      <c r="J165" s="1601"/>
      <c r="K165" s="1601"/>
      <c r="L165" s="1602" t="str">
        <f>IFERROR(INDEX('Lower Cask Movement &amp; Logistics'!$I$13:$O$19,MATCH($J165,'Lower Cask Movement &amp; Logistics'!$H$13:$H$19,0),MATCH($K165,'Lower Cask Movement &amp; Logistics'!$H$13:$H$19,0)),"N/A")</f>
        <v>N/A</v>
      </c>
      <c r="M165" s="1602" t="str">
        <f>IFERROR(VLOOKUP($I165,'Lower Cask Movement &amp; Logistics'!$H$4:$I$9,2,FALSE),"N/A")</f>
        <v>N/A</v>
      </c>
      <c r="N165" s="1600" t="str">
        <f t="shared" si="15"/>
        <v>N/A</v>
      </c>
      <c r="O165" s="1603"/>
      <c r="P165" s="1600" t="str">
        <f>IF($D165="Logistics",VLOOKUP($O165,'Lower Cask Movement &amp; Logistics'!$C$4:$D$54,2,FALSE),"N/A")</f>
        <v>N/A</v>
      </c>
      <c r="Q165" s="1603" t="s">
        <v>1668</v>
      </c>
      <c r="R165" s="1600">
        <f>IFERROR(VLOOKUP($Q165,'Lower Cask Dependencies'!$C$5:$F$277,4,FALSE),"N/A")</f>
        <v>33.917222222222215</v>
      </c>
      <c r="S165" s="1600">
        <f t="shared" si="16"/>
        <v>164.35637225879526</v>
      </c>
    </row>
    <row r="166" spans="2:19" x14ac:dyDescent="0.35">
      <c r="B166" s="3784"/>
      <c r="C166" s="1597" t="s">
        <v>1669</v>
      </c>
      <c r="D166" s="1598" t="s">
        <v>3</v>
      </c>
      <c r="E166" s="1599">
        <f t="shared" si="19"/>
        <v>0.38</v>
      </c>
      <c r="F166" s="1599">
        <f t="shared" si="17"/>
        <v>225.42686551885902</v>
      </c>
      <c r="G166" s="1597"/>
      <c r="H166" s="1600" t="str">
        <f>IF(D166="operation",VLOOKUP(G166,'Generic Divertor Port Tasks'!C$4:D$223,2,FALSE),"N/A")</f>
        <v>N/A</v>
      </c>
      <c r="I166" s="1597"/>
      <c r="J166" s="1601"/>
      <c r="K166" s="1601"/>
      <c r="L166" s="1602" t="str">
        <f>IFERROR(INDEX('Lower Cask Movement &amp; Logistics'!$I$13:$O$19,MATCH($J166,'Lower Cask Movement &amp; Logistics'!$H$13:$H$19,0),MATCH($K166,'Lower Cask Movement &amp; Logistics'!$H$13:$H$19,0)),"N/A")</f>
        <v>N/A</v>
      </c>
      <c r="M166" s="1602" t="str">
        <f>IFERROR(VLOOKUP($I166,'Lower Cask Movement &amp; Logistics'!$H$4:$I$9,2,FALSE),"N/A")</f>
        <v>N/A</v>
      </c>
      <c r="N166" s="1600" t="str">
        <f t="shared" si="15"/>
        <v>N/A</v>
      </c>
      <c r="O166" s="1603" t="s">
        <v>1544</v>
      </c>
      <c r="P166" s="1600">
        <f>IF($D166="Logistics",VLOOKUP($O166,'Lower Cask Movement &amp; Logistics'!$C$4:$D$54,2,FALSE),"N/A")</f>
        <v>0.38</v>
      </c>
      <c r="Q166" s="1603"/>
      <c r="R166" s="1600" t="str">
        <f>IFERROR(VLOOKUP($Q166,'Lower Cask Dependencies'!$C$5:$F$277,4,FALSE),"N/A")</f>
        <v>N/A</v>
      </c>
      <c r="S166" s="1600" t="str">
        <f t="shared" si="16"/>
        <v>N/A</v>
      </c>
    </row>
    <row r="167" spans="2:19" x14ac:dyDescent="0.35">
      <c r="B167" s="3784"/>
      <c r="C167" s="1597" t="s">
        <v>1670</v>
      </c>
      <c r="D167" s="1598" t="s">
        <v>3</v>
      </c>
      <c r="E167" s="1599">
        <f t="shared" si="19"/>
        <v>0.53</v>
      </c>
      <c r="F167" s="1599">
        <f t="shared" si="17"/>
        <v>225.95686551885902</v>
      </c>
      <c r="G167" s="1597"/>
      <c r="H167" s="1600" t="str">
        <f>IF(D167="operation",VLOOKUP(G167,'Generic Divertor Port Tasks'!C$4:D$223,2,FALSE),"N/A")</f>
        <v>N/A</v>
      </c>
      <c r="I167" s="1597"/>
      <c r="J167" s="1601"/>
      <c r="K167" s="1601"/>
      <c r="L167" s="1602" t="str">
        <f>IFERROR(INDEX('Lower Cask Movement &amp; Logistics'!$I$13:$O$19,MATCH($J167,'Lower Cask Movement &amp; Logistics'!$H$13:$H$19,0),MATCH($K167,'Lower Cask Movement &amp; Logistics'!$H$13:$H$19,0)),"N/A")</f>
        <v>N/A</v>
      </c>
      <c r="M167" s="1602" t="str">
        <f>IFERROR(VLOOKUP($I167,'Lower Cask Movement &amp; Logistics'!$H$4:$I$9,2,FALSE),"N/A")</f>
        <v>N/A</v>
      </c>
      <c r="N167" s="1600" t="str">
        <f t="shared" si="15"/>
        <v>N/A</v>
      </c>
      <c r="O167" s="1603" t="s">
        <v>1558</v>
      </c>
      <c r="P167" s="1600">
        <f>IF($D167="Logistics",VLOOKUP($O167,'Lower Cask Movement &amp; Logistics'!$C$4:$D$54,2,FALSE),"N/A")</f>
        <v>0.53</v>
      </c>
      <c r="Q167" s="1603"/>
      <c r="R167" s="1600" t="str">
        <f>IFERROR(VLOOKUP($Q167,'Lower Cask Dependencies'!$C$5:$F$277,4,FALSE),"N/A")</f>
        <v>N/A</v>
      </c>
      <c r="S167" s="1600" t="str">
        <f t="shared" si="16"/>
        <v>N/A</v>
      </c>
    </row>
    <row r="168" spans="2:19" x14ac:dyDescent="0.35">
      <c r="B168" s="3784"/>
      <c r="C168" s="1597" t="s">
        <v>1186</v>
      </c>
      <c r="D168" s="1598" t="s">
        <v>251</v>
      </c>
      <c r="E168" s="1599">
        <f t="shared" si="19"/>
        <v>26.773271037841543</v>
      </c>
      <c r="F168" s="1599">
        <f t="shared" si="17"/>
        <v>252.73013655670056</v>
      </c>
      <c r="G168" s="1597" t="s">
        <v>450</v>
      </c>
      <c r="H168" s="1600">
        <f>IF(D168="operation",VLOOKUP(G168,'Generic Divertor Port Tasks'!C$4:D$223,2,FALSE),"N/A")</f>
        <v>26.773271037841543</v>
      </c>
      <c r="I168" s="1597"/>
      <c r="J168" s="1601"/>
      <c r="K168" s="1601"/>
      <c r="L168" s="1602" t="str">
        <f>IFERROR(INDEX('Lower Cask Movement &amp; Logistics'!$I$13:$O$19,MATCH($J168,'Lower Cask Movement &amp; Logistics'!$H$13:$H$19,0),MATCH($K168,'Lower Cask Movement &amp; Logistics'!$H$13:$H$19,0)),"N/A")</f>
        <v>N/A</v>
      </c>
      <c r="M168" s="1602" t="str">
        <f>IFERROR(VLOOKUP($I168,'Lower Cask Movement &amp; Logistics'!$H$4:$I$9,2,FALSE),"N/A")</f>
        <v>N/A</v>
      </c>
      <c r="N168" s="1600" t="str">
        <f t="shared" si="15"/>
        <v>N/A</v>
      </c>
      <c r="O168" s="1603"/>
      <c r="P168" s="1600" t="str">
        <f>IF($D168="Logistics",VLOOKUP($O168,'Lower Cask Movement &amp; Logistics'!$C$4:$D$54,2,FALSE),"N/A")</f>
        <v>N/A</v>
      </c>
      <c r="Q168" s="1603" t="s">
        <v>1671</v>
      </c>
      <c r="R168" s="1600">
        <f>IFERROR(VLOOKUP($Q168,'Lower Cask Dependencies'!$C$5:$F$277,4,FALSE),"N/A")</f>
        <v>38.941666666666656</v>
      </c>
      <c r="S168" s="1600">
        <f t="shared" si="16"/>
        <v>187.01519885219236</v>
      </c>
    </row>
    <row r="169" spans="2:19" x14ac:dyDescent="0.35">
      <c r="B169" s="3784"/>
      <c r="C169" s="1597" t="s">
        <v>1599</v>
      </c>
      <c r="D169" s="1598" t="s">
        <v>3</v>
      </c>
      <c r="E169" s="1599">
        <f t="shared" si="19"/>
        <v>0.38</v>
      </c>
      <c r="F169" s="1599">
        <f t="shared" si="17"/>
        <v>253.11013655670055</v>
      </c>
      <c r="G169" s="1597"/>
      <c r="H169" s="1600" t="str">
        <f>IF(D169="operation",VLOOKUP(G169,'Generic Divertor Port Tasks'!C$4:D$223,2,FALSE),"N/A")</f>
        <v>N/A</v>
      </c>
      <c r="I169" s="1597"/>
      <c r="J169" s="1601"/>
      <c r="K169" s="1601"/>
      <c r="L169" s="1602" t="str">
        <f>IFERROR(INDEX('Lower Cask Movement &amp; Logistics'!$I$13:$O$19,MATCH($J169,'Lower Cask Movement &amp; Logistics'!$H$13:$H$19,0),MATCH($K169,'Lower Cask Movement &amp; Logistics'!$H$13:$H$19,0)),"N/A")</f>
        <v>N/A</v>
      </c>
      <c r="M169" s="1602" t="str">
        <f>IFERROR(VLOOKUP($I169,'Lower Cask Movement &amp; Logistics'!$H$4:$I$9,2,FALSE),"N/A")</f>
        <v>N/A</v>
      </c>
      <c r="N169" s="1600" t="str">
        <f t="shared" si="15"/>
        <v>N/A</v>
      </c>
      <c r="O169" s="1603" t="s">
        <v>1546</v>
      </c>
      <c r="P169" s="1600">
        <f>IF($D169="Logistics",VLOOKUP($O169,'Lower Cask Movement &amp; Logistics'!$C$4:$D$54,2,FALSE),"N/A")</f>
        <v>0.38</v>
      </c>
      <c r="Q169" s="1603"/>
      <c r="R169" s="1600" t="str">
        <f>IFERROR(VLOOKUP($Q169,'Lower Cask Dependencies'!$C$5:$F$277,4,FALSE),"N/A")</f>
        <v>N/A</v>
      </c>
      <c r="S169" s="1600" t="str">
        <f t="shared" si="16"/>
        <v>N/A</v>
      </c>
    </row>
    <row r="170" spans="2:19" x14ac:dyDescent="0.35">
      <c r="B170" s="3784"/>
      <c r="C170" s="1597" t="s">
        <v>1252</v>
      </c>
      <c r="D170" s="1598" t="s">
        <v>3</v>
      </c>
      <c r="E170" s="1599">
        <f t="shared" si="19"/>
        <v>0.38</v>
      </c>
      <c r="F170" s="1599">
        <f t="shared" si="17"/>
        <v>253.49013655670055</v>
      </c>
      <c r="G170" s="1597"/>
      <c r="H170" s="1600" t="str">
        <f>IF(D170="operation",VLOOKUP(G170,'Generic Divertor Port Tasks'!C$4:D$223,2,FALSE),"N/A")</f>
        <v>N/A</v>
      </c>
      <c r="I170" s="1597"/>
      <c r="J170" s="1601"/>
      <c r="K170" s="1601"/>
      <c r="L170" s="1602" t="str">
        <f>IFERROR(INDEX('Lower Cask Movement &amp; Logistics'!$I$13:$O$19,MATCH($J170,'Lower Cask Movement &amp; Logistics'!$H$13:$H$19,0),MATCH($K170,'Lower Cask Movement &amp; Logistics'!$H$13:$H$19,0)),"N/A")</f>
        <v>N/A</v>
      </c>
      <c r="M170" s="1602" t="str">
        <f>IFERROR(VLOOKUP($I170,'Lower Cask Movement &amp; Logistics'!$H$4:$I$9,2,FALSE),"N/A")</f>
        <v>N/A</v>
      </c>
      <c r="N170" s="1600" t="str">
        <f t="shared" si="15"/>
        <v>N/A</v>
      </c>
      <c r="O170" s="1603" t="s">
        <v>1544</v>
      </c>
      <c r="P170" s="1600">
        <f>IF($D170="Logistics",VLOOKUP($O170,'Lower Cask Movement &amp; Logistics'!$C$4:$D$54,2,FALSE),"N/A")</f>
        <v>0.38</v>
      </c>
      <c r="Q170" s="1603"/>
      <c r="R170" s="1600" t="str">
        <f>IFERROR(VLOOKUP($Q170,'Lower Cask Dependencies'!$C$5:$F$277,4,FALSE),"N/A")</f>
        <v>N/A</v>
      </c>
      <c r="S170" s="1600" t="str">
        <f t="shared" si="16"/>
        <v>N/A</v>
      </c>
    </row>
    <row r="171" spans="2:19" x14ac:dyDescent="0.35">
      <c r="B171" s="3784"/>
      <c r="C171" s="1597" t="s">
        <v>1672</v>
      </c>
      <c r="D171" s="1598" t="s">
        <v>251</v>
      </c>
      <c r="E171" s="1599">
        <f t="shared" si="19"/>
        <v>5.16</v>
      </c>
      <c r="F171" s="1599">
        <f t="shared" si="17"/>
        <v>258.65013655670055</v>
      </c>
      <c r="G171" s="1597" t="s">
        <v>273</v>
      </c>
      <c r="H171" s="1600">
        <f>IF(D171="operation",VLOOKUP(G171,'Generic Divertor Port Tasks'!C$4:D$223,2,FALSE),"N/A")</f>
        <v>5.16</v>
      </c>
      <c r="I171" s="1597"/>
      <c r="J171" s="1601"/>
      <c r="K171" s="1601"/>
      <c r="L171" s="1602" t="str">
        <f>IFERROR(INDEX('Lower Cask Movement &amp; Logistics'!$I$13:$O$19,MATCH($J171,'Lower Cask Movement &amp; Logistics'!$H$13:$H$19,0),MATCH($K171,'Lower Cask Movement &amp; Logistics'!$H$13:$H$19,0)),"N/A")</f>
        <v>N/A</v>
      </c>
      <c r="M171" s="1602" t="str">
        <f>IFERROR(VLOOKUP($I171,'Lower Cask Movement &amp; Logistics'!$H$4:$I$9,2,FALSE),"N/A")</f>
        <v>N/A</v>
      </c>
      <c r="N171" s="1600" t="str">
        <f t="shared" si="15"/>
        <v>N/A</v>
      </c>
      <c r="O171" s="1603"/>
      <c r="P171" s="1600" t="str">
        <f>IF($D171="Logistics",VLOOKUP($O171,'Lower Cask Movement &amp; Logistics'!$C$4:$D$54,2,FALSE),"N/A")</f>
        <v>N/A</v>
      </c>
      <c r="Q171" s="1603"/>
      <c r="R171" s="1600" t="str">
        <f>IFERROR(VLOOKUP($Q171,'Lower Cask Dependencies'!$C$5:$F$277,4,FALSE),"N/A")</f>
        <v>N/A</v>
      </c>
      <c r="S171" s="1600" t="str">
        <f t="shared" si="16"/>
        <v>N/A</v>
      </c>
    </row>
    <row r="172" spans="2:19" x14ac:dyDescent="0.35">
      <c r="B172" s="3784"/>
      <c r="C172" s="1597" t="s">
        <v>1673</v>
      </c>
      <c r="D172" s="1598" t="s">
        <v>251</v>
      </c>
      <c r="E172" s="1599">
        <f t="shared" si="19"/>
        <v>5.16</v>
      </c>
      <c r="F172" s="1599">
        <f t="shared" si="17"/>
        <v>263.81013655670057</v>
      </c>
      <c r="G172" s="1597" t="s">
        <v>273</v>
      </c>
      <c r="H172" s="1600">
        <f>IF(D172="operation",VLOOKUP(G172,'Generic Divertor Port Tasks'!C$4:D$223,2,FALSE),"N/A")</f>
        <v>5.16</v>
      </c>
      <c r="I172" s="1597"/>
      <c r="J172" s="1601"/>
      <c r="K172" s="1601"/>
      <c r="L172" s="1602" t="str">
        <f>IFERROR(INDEX('Lower Cask Movement &amp; Logistics'!$I$13:$O$19,MATCH($J172,'Lower Cask Movement &amp; Logistics'!$H$13:$H$19,0),MATCH($K172,'Lower Cask Movement &amp; Logistics'!$H$13:$H$19,0)),"N/A")</f>
        <v>N/A</v>
      </c>
      <c r="M172" s="1602" t="str">
        <f>IFERROR(VLOOKUP($I172,'Lower Cask Movement &amp; Logistics'!$H$4:$I$9,2,FALSE),"N/A")</f>
        <v>N/A</v>
      </c>
      <c r="N172" s="1600" t="str">
        <f t="shared" si="15"/>
        <v>N/A</v>
      </c>
      <c r="O172" s="1603"/>
      <c r="P172" s="1600" t="str">
        <f>IF($D172="Logistics",VLOOKUP($O172,'Lower Cask Movement &amp; Logistics'!$C$4:$D$54,2,FALSE),"N/A")</f>
        <v>N/A</v>
      </c>
      <c r="Q172" s="1603"/>
      <c r="R172" s="1600" t="str">
        <f>IFERROR(VLOOKUP($Q172,'Lower Cask Dependencies'!$C$5:$F$277,4,FALSE),"N/A")</f>
        <v>N/A</v>
      </c>
      <c r="S172" s="1600" t="str">
        <f t="shared" si="16"/>
        <v>N/A</v>
      </c>
    </row>
    <row r="173" spans="2:19" x14ac:dyDescent="0.35">
      <c r="B173" s="3784"/>
      <c r="C173" s="1597" t="s">
        <v>1590</v>
      </c>
      <c r="D173" s="1598" t="s">
        <v>3</v>
      </c>
      <c r="E173" s="1599">
        <f t="shared" si="19"/>
        <v>0.38</v>
      </c>
      <c r="F173" s="1599">
        <f t="shared" si="17"/>
        <v>264.19013655670057</v>
      </c>
      <c r="G173" s="1597"/>
      <c r="H173" s="1600" t="str">
        <f>IF(D173="operation",VLOOKUP(G173,'Generic Divertor Port Tasks'!C$4:D$223,2,FALSE),"N/A")</f>
        <v>N/A</v>
      </c>
      <c r="I173" s="1597"/>
      <c r="J173" s="1601"/>
      <c r="K173" s="1601"/>
      <c r="L173" s="1602" t="str">
        <f>IFERROR(INDEX('Lower Cask Movement &amp; Logistics'!$I$13:$O$19,MATCH($J173,'Lower Cask Movement &amp; Logistics'!$H$13:$H$19,0),MATCH($K173,'Lower Cask Movement &amp; Logistics'!$H$13:$H$19,0)),"N/A")</f>
        <v>N/A</v>
      </c>
      <c r="M173" s="1602" t="str">
        <f>IFERROR(VLOOKUP($I173,'Lower Cask Movement &amp; Logistics'!$H$4:$I$9,2,FALSE),"N/A")</f>
        <v>N/A</v>
      </c>
      <c r="N173" s="1600" t="str">
        <f t="shared" si="15"/>
        <v>N/A</v>
      </c>
      <c r="O173" s="1603" t="s">
        <v>1546</v>
      </c>
      <c r="P173" s="1600">
        <f>IF($D173="Logistics",VLOOKUP($O173,'Lower Cask Movement &amp; Logistics'!$C$4:$D$54,2,FALSE),"N/A")</f>
        <v>0.38</v>
      </c>
      <c r="Q173" s="1603"/>
      <c r="R173" s="1600" t="str">
        <f>IFERROR(VLOOKUP($Q173,'Lower Cask Dependencies'!$C$5:$F$277,4,FALSE),"N/A")</f>
        <v>N/A</v>
      </c>
      <c r="S173" s="1600" t="str">
        <f t="shared" si="16"/>
        <v>N/A</v>
      </c>
    </row>
    <row r="174" spans="2:19" x14ac:dyDescent="0.35">
      <c r="B174" s="3784"/>
      <c r="C174" s="1597" t="s">
        <v>1247</v>
      </c>
      <c r="D174" s="1598" t="s">
        <v>3</v>
      </c>
      <c r="E174" s="1599">
        <f t="shared" si="19"/>
        <v>0.38</v>
      </c>
      <c r="F174" s="1599">
        <f t="shared" si="17"/>
        <v>264.57013655670056</v>
      </c>
      <c r="G174" s="1597"/>
      <c r="H174" s="1600" t="str">
        <f>IF(D174="operation",VLOOKUP(G174,'Generic Divertor Port Tasks'!C$4:D$223,2,FALSE),"N/A")</f>
        <v>N/A</v>
      </c>
      <c r="I174" s="1597"/>
      <c r="J174" s="1601"/>
      <c r="K174" s="1601"/>
      <c r="L174" s="1602" t="str">
        <f>IFERROR(INDEX('Lower Cask Movement &amp; Logistics'!$I$13:$O$19,MATCH($J174,'Lower Cask Movement &amp; Logistics'!$H$13:$H$19,0),MATCH($K174,'Lower Cask Movement &amp; Logistics'!$H$13:$H$19,0)),"N/A")</f>
        <v>N/A</v>
      </c>
      <c r="M174" s="1602" t="str">
        <f>IFERROR(VLOOKUP($I174,'Lower Cask Movement &amp; Logistics'!$H$4:$I$9,2,FALSE),"N/A")</f>
        <v>N/A</v>
      </c>
      <c r="N174" s="1600" t="str">
        <f t="shared" si="15"/>
        <v>N/A</v>
      </c>
      <c r="O174" s="1603" t="s">
        <v>1544</v>
      </c>
      <c r="P174" s="1600">
        <f>IF($D174="Logistics",VLOOKUP($O174,'Lower Cask Movement &amp; Logistics'!$C$4:$D$54,2,FALSE),"N/A")</f>
        <v>0.38</v>
      </c>
      <c r="Q174" s="1603"/>
      <c r="R174" s="1600" t="str">
        <f>IFERROR(VLOOKUP($Q174,'Lower Cask Dependencies'!$C$5:$F$277,4,FALSE),"N/A")</f>
        <v>N/A</v>
      </c>
      <c r="S174" s="1600" t="str">
        <f t="shared" si="16"/>
        <v>N/A</v>
      </c>
    </row>
    <row r="175" spans="2:19" x14ac:dyDescent="0.35">
      <c r="B175" s="3784"/>
      <c r="C175" s="1597" t="s">
        <v>1674</v>
      </c>
      <c r="D175" s="1598" t="s">
        <v>3</v>
      </c>
      <c r="E175" s="1599">
        <f t="shared" si="19"/>
        <v>0.38</v>
      </c>
      <c r="F175" s="1599">
        <f t="shared" si="17"/>
        <v>264.95013655670056</v>
      </c>
      <c r="G175" s="1597"/>
      <c r="H175" s="1600" t="str">
        <f>IF(D175="operation",VLOOKUP(G175,'Generic Divertor Port Tasks'!C$4:D$223,2,FALSE),"N/A")</f>
        <v>N/A</v>
      </c>
      <c r="I175" s="1597"/>
      <c r="J175" s="1601"/>
      <c r="K175" s="1601"/>
      <c r="L175" s="1602" t="str">
        <f>IFERROR(INDEX('Lower Cask Movement &amp; Logistics'!$I$13:$O$19,MATCH($J175,'Lower Cask Movement &amp; Logistics'!$H$13:$H$19,0),MATCH($K175,'Lower Cask Movement &amp; Logistics'!$H$13:$H$19,0)),"N/A")</f>
        <v>N/A</v>
      </c>
      <c r="M175" s="1602" t="str">
        <f>IFERROR(VLOOKUP($I175,'Lower Cask Movement &amp; Logistics'!$H$4:$I$9,2,FALSE),"N/A")</f>
        <v>N/A</v>
      </c>
      <c r="N175" s="1600" t="str">
        <f t="shared" si="15"/>
        <v>N/A</v>
      </c>
      <c r="O175" s="1603" t="s">
        <v>1544</v>
      </c>
      <c r="P175" s="1600">
        <f>IF($D175="Logistics",VLOOKUP($O175,'Lower Cask Movement &amp; Logistics'!$C$4:$D$54,2,FALSE),"N/A")</f>
        <v>0.38</v>
      </c>
      <c r="Q175" s="1603"/>
      <c r="R175" s="1600" t="str">
        <f>IFERROR(VLOOKUP($Q175,'Lower Cask Dependencies'!$C$5:$F$277,4,FALSE),"N/A")</f>
        <v>N/A</v>
      </c>
      <c r="S175" s="1600" t="str">
        <f t="shared" si="16"/>
        <v>N/A</v>
      </c>
    </row>
    <row r="176" spans="2:19" x14ac:dyDescent="0.35">
      <c r="B176" s="3784"/>
      <c r="C176" s="1597" t="s">
        <v>1596</v>
      </c>
      <c r="D176" s="1598" t="s">
        <v>3</v>
      </c>
      <c r="E176" s="1599">
        <f t="shared" si="19"/>
        <v>0.53</v>
      </c>
      <c r="F176" s="1599">
        <f t="shared" si="17"/>
        <v>265.48013655670053</v>
      </c>
      <c r="G176" s="1597"/>
      <c r="H176" s="1600" t="str">
        <f>IF(D176="operation",VLOOKUP(G176,'Generic Divertor Port Tasks'!C$4:D$223,2,FALSE),"N/A")</f>
        <v>N/A</v>
      </c>
      <c r="I176" s="1597"/>
      <c r="J176" s="1601"/>
      <c r="K176" s="1601"/>
      <c r="L176" s="1602" t="str">
        <f>IFERROR(INDEX('Lower Cask Movement &amp; Logistics'!$I$13:$O$19,MATCH($J176,'Lower Cask Movement &amp; Logistics'!$H$13:$H$19,0),MATCH($K176,'Lower Cask Movement &amp; Logistics'!$H$13:$H$19,0)),"N/A")</f>
        <v>N/A</v>
      </c>
      <c r="M176" s="1602" t="str">
        <f>IFERROR(VLOOKUP($I176,'Lower Cask Movement &amp; Logistics'!$H$4:$I$9,2,FALSE),"N/A")</f>
        <v>N/A</v>
      </c>
      <c r="N176" s="1600" t="str">
        <f t="shared" si="15"/>
        <v>N/A</v>
      </c>
      <c r="O176" s="1603" t="s">
        <v>1558</v>
      </c>
      <c r="P176" s="1600">
        <f>IF($D176="Logistics",VLOOKUP($O176,'Lower Cask Movement &amp; Logistics'!$C$4:$D$54,2,FALSE),"N/A")</f>
        <v>0.53</v>
      </c>
      <c r="Q176" s="1603"/>
      <c r="R176" s="1600" t="str">
        <f>IFERROR(VLOOKUP($Q176,'Lower Cask Dependencies'!$C$5:$F$277,4,FALSE),"N/A")</f>
        <v>N/A</v>
      </c>
      <c r="S176" s="1600" t="str">
        <f t="shared" si="16"/>
        <v>N/A</v>
      </c>
    </row>
    <row r="177" spans="2:19" x14ac:dyDescent="0.35">
      <c r="B177" s="3784"/>
      <c r="C177" s="1597" t="s">
        <v>1187</v>
      </c>
      <c r="D177" s="1598" t="s">
        <v>251</v>
      </c>
      <c r="E177" s="1599">
        <f t="shared" si="19"/>
        <v>26.773271037841543</v>
      </c>
      <c r="F177" s="1599">
        <f t="shared" si="17"/>
        <v>292.25340759454207</v>
      </c>
      <c r="G177" s="1597" t="s">
        <v>450</v>
      </c>
      <c r="H177" s="1600">
        <f>IF(D177="operation",VLOOKUP(G177,'Generic Divertor Port Tasks'!C$4:D$223,2,FALSE),"N/A")</f>
        <v>26.773271037841543</v>
      </c>
      <c r="I177" s="1597"/>
      <c r="J177" s="1601"/>
      <c r="K177" s="1601"/>
      <c r="L177" s="1602" t="str">
        <f>IFERROR(INDEX('Lower Cask Movement &amp; Logistics'!$I$13:$O$19,MATCH($J177,'Lower Cask Movement &amp; Logistics'!$H$13:$H$19,0),MATCH($K177,'Lower Cask Movement &amp; Logistics'!$H$13:$H$19,0)),"N/A")</f>
        <v>N/A</v>
      </c>
      <c r="M177" s="1602" t="str">
        <f>IFERROR(VLOOKUP($I177,'Lower Cask Movement &amp; Logistics'!$H$4:$I$9,2,FALSE),"N/A")</f>
        <v>N/A</v>
      </c>
      <c r="N177" s="1600" t="str">
        <f t="shared" si="15"/>
        <v>N/A</v>
      </c>
      <c r="O177" s="1603"/>
      <c r="P177" s="1600" t="str">
        <f>IF($D177="Logistics",VLOOKUP($O177,'Lower Cask Movement &amp; Logistics'!$C$4:$D$54,2,FALSE),"N/A")</f>
        <v>N/A</v>
      </c>
      <c r="Q177" s="1603" t="s">
        <v>1675</v>
      </c>
      <c r="R177" s="1600">
        <f>IFERROR(VLOOKUP($Q177,'Lower Cask Dependencies'!$C$5:$F$277,4,FALSE),"N/A")</f>
        <v>43.966111111111097</v>
      </c>
      <c r="S177" s="1600">
        <f t="shared" si="16"/>
        <v>221.51402544558943</v>
      </c>
    </row>
    <row r="178" spans="2:19" x14ac:dyDescent="0.35">
      <c r="B178" s="3784"/>
      <c r="C178" s="1597" t="s">
        <v>1599</v>
      </c>
      <c r="D178" s="1598" t="s">
        <v>3</v>
      </c>
      <c r="E178" s="1599">
        <f t="shared" si="19"/>
        <v>0.38</v>
      </c>
      <c r="F178" s="1599">
        <f t="shared" si="17"/>
        <v>292.63340759454206</v>
      </c>
      <c r="G178" s="1597"/>
      <c r="H178" s="1600" t="str">
        <f>IF(D178="operation",VLOOKUP(G178,'Generic Divertor Port Tasks'!C$4:D$223,2,FALSE),"N/A")</f>
        <v>N/A</v>
      </c>
      <c r="I178" s="1597"/>
      <c r="J178" s="1601"/>
      <c r="K178" s="1601"/>
      <c r="L178" s="1602" t="str">
        <f>IFERROR(INDEX('Lower Cask Movement &amp; Logistics'!$I$13:$O$19,MATCH($J178,'Lower Cask Movement &amp; Logistics'!$H$13:$H$19,0),MATCH($K178,'Lower Cask Movement &amp; Logistics'!$H$13:$H$19,0)),"N/A")</f>
        <v>N/A</v>
      </c>
      <c r="M178" s="1602" t="str">
        <f>IFERROR(VLOOKUP($I178,'Lower Cask Movement &amp; Logistics'!$H$4:$I$9,2,FALSE),"N/A")</f>
        <v>N/A</v>
      </c>
      <c r="N178" s="1600" t="str">
        <f t="shared" si="15"/>
        <v>N/A</v>
      </c>
      <c r="O178" s="1603" t="s">
        <v>1546</v>
      </c>
      <c r="P178" s="1600">
        <f>IF($D178="Logistics",VLOOKUP($O178,'Lower Cask Movement &amp; Logistics'!$C$4:$D$54,2,FALSE),"N/A")</f>
        <v>0.38</v>
      </c>
      <c r="Q178" s="1603"/>
      <c r="R178" s="1600" t="str">
        <f>IFERROR(VLOOKUP($Q178,'Lower Cask Dependencies'!$C$5:$F$277,4,FALSE),"N/A")</f>
        <v>N/A</v>
      </c>
      <c r="S178" s="1600" t="str">
        <f t="shared" si="16"/>
        <v>N/A</v>
      </c>
    </row>
    <row r="179" spans="2:19" x14ac:dyDescent="0.35">
      <c r="B179" s="3784"/>
      <c r="C179" s="1597" t="s">
        <v>1252</v>
      </c>
      <c r="D179" s="1598" t="s">
        <v>3</v>
      </c>
      <c r="E179" s="1599">
        <f t="shared" si="19"/>
        <v>0.38</v>
      </c>
      <c r="F179" s="1599">
        <f t="shared" si="17"/>
        <v>293.01340759454206</v>
      </c>
      <c r="G179" s="1597"/>
      <c r="H179" s="1600" t="str">
        <f>IF(D179="operation",VLOOKUP(G179,'Generic Divertor Port Tasks'!C$4:D$223,2,FALSE),"N/A")</f>
        <v>N/A</v>
      </c>
      <c r="I179" s="1597"/>
      <c r="J179" s="1601"/>
      <c r="K179" s="1601"/>
      <c r="L179" s="1602" t="str">
        <f>IFERROR(INDEX('Lower Cask Movement &amp; Logistics'!$I$13:$O$19,MATCH($J179,'Lower Cask Movement &amp; Logistics'!$H$13:$H$19,0),MATCH($K179,'Lower Cask Movement &amp; Logistics'!$H$13:$H$19,0)),"N/A")</f>
        <v>N/A</v>
      </c>
      <c r="M179" s="1602" t="str">
        <f>IFERROR(VLOOKUP($I179,'Lower Cask Movement &amp; Logistics'!$H$4:$I$9,2,FALSE),"N/A")</f>
        <v>N/A</v>
      </c>
      <c r="N179" s="1600" t="str">
        <f t="shared" si="15"/>
        <v>N/A</v>
      </c>
      <c r="O179" s="1603" t="s">
        <v>1544</v>
      </c>
      <c r="P179" s="1600">
        <f>IF($D179="Logistics",VLOOKUP($O179,'Lower Cask Movement &amp; Logistics'!$C$4:$D$54,2,FALSE),"N/A")</f>
        <v>0.38</v>
      </c>
      <c r="Q179" s="1603"/>
      <c r="R179" s="1600" t="str">
        <f>IFERROR(VLOOKUP($Q179,'Lower Cask Dependencies'!$C$5:$F$277,4,FALSE),"N/A")</f>
        <v>N/A</v>
      </c>
      <c r="S179" s="1600" t="str">
        <f t="shared" si="16"/>
        <v>N/A</v>
      </c>
    </row>
    <row r="180" spans="2:19" x14ac:dyDescent="0.35">
      <c r="B180" s="3784"/>
      <c r="C180" s="1597" t="s">
        <v>1676</v>
      </c>
      <c r="D180" s="1598" t="s">
        <v>251</v>
      </c>
      <c r="E180" s="1599">
        <f t="shared" si="19"/>
        <v>5.16</v>
      </c>
      <c r="F180" s="1599">
        <f t="shared" si="17"/>
        <v>298.17340759454208</v>
      </c>
      <c r="G180" s="1597" t="s">
        <v>273</v>
      </c>
      <c r="H180" s="1600">
        <f>IF(D180="operation",VLOOKUP(G180,'Generic Divertor Port Tasks'!C$4:D$223,2,FALSE),"N/A")</f>
        <v>5.16</v>
      </c>
      <c r="I180" s="1597"/>
      <c r="J180" s="1601"/>
      <c r="K180" s="1601"/>
      <c r="L180" s="1602" t="str">
        <f>IFERROR(INDEX('Lower Cask Movement &amp; Logistics'!$I$13:$O$19,MATCH($J180,'Lower Cask Movement &amp; Logistics'!$H$13:$H$19,0),MATCH($K180,'Lower Cask Movement &amp; Logistics'!$H$13:$H$19,0)),"N/A")</f>
        <v>N/A</v>
      </c>
      <c r="M180" s="1602" t="str">
        <f>IFERROR(VLOOKUP($I180,'Lower Cask Movement &amp; Logistics'!$H$4:$I$9,2,FALSE),"N/A")</f>
        <v>N/A</v>
      </c>
      <c r="N180" s="1600" t="str">
        <f t="shared" si="15"/>
        <v>N/A</v>
      </c>
      <c r="O180" s="1603"/>
      <c r="P180" s="1600" t="str">
        <f>IF($D180="Logistics",VLOOKUP($O180,'Lower Cask Movement &amp; Logistics'!$C$4:$D$54,2,FALSE),"N/A")</f>
        <v>N/A</v>
      </c>
      <c r="Q180" s="1603"/>
      <c r="R180" s="1600" t="str">
        <f>IFERROR(VLOOKUP($Q180,'Lower Cask Dependencies'!$C$5:$F$277,4,FALSE),"N/A")</f>
        <v>N/A</v>
      </c>
      <c r="S180" s="1600" t="str">
        <f t="shared" si="16"/>
        <v>N/A</v>
      </c>
    </row>
    <row r="181" spans="2:19" x14ac:dyDescent="0.35">
      <c r="B181" s="3784"/>
      <c r="C181" s="1597" t="s">
        <v>1590</v>
      </c>
      <c r="D181" s="1598" t="s">
        <v>3</v>
      </c>
      <c r="E181" s="1599">
        <f t="shared" si="19"/>
        <v>0.38</v>
      </c>
      <c r="F181" s="1599">
        <f t="shared" si="17"/>
        <v>298.55340759454208</v>
      </c>
      <c r="G181" s="1597"/>
      <c r="H181" s="1600" t="str">
        <f>IF(D181="operation",VLOOKUP(G181,'Generic Divertor Port Tasks'!C$4:D$223,2,FALSE),"N/A")</f>
        <v>N/A</v>
      </c>
      <c r="I181" s="1597"/>
      <c r="J181" s="1601"/>
      <c r="K181" s="1601"/>
      <c r="L181" s="1602" t="str">
        <f>IFERROR(INDEX('Lower Cask Movement &amp; Logistics'!$I$13:$O$19,MATCH($J181,'Lower Cask Movement &amp; Logistics'!$H$13:$H$19,0),MATCH($K181,'Lower Cask Movement &amp; Logistics'!$H$13:$H$19,0)),"N/A")</f>
        <v>N/A</v>
      </c>
      <c r="M181" s="1602" t="str">
        <f>IFERROR(VLOOKUP($I181,'Lower Cask Movement &amp; Logistics'!$H$4:$I$9,2,FALSE),"N/A")</f>
        <v>N/A</v>
      </c>
      <c r="N181" s="1600" t="str">
        <f t="shared" si="15"/>
        <v>N/A</v>
      </c>
      <c r="O181" s="1603" t="s">
        <v>1546</v>
      </c>
      <c r="P181" s="1600">
        <f>IF($D181="Logistics",VLOOKUP($O181,'Lower Cask Movement &amp; Logistics'!$C$4:$D$54,2,FALSE),"N/A")</f>
        <v>0.38</v>
      </c>
      <c r="Q181" s="1603"/>
      <c r="R181" s="1600" t="str">
        <f>IFERROR(VLOOKUP($Q181,'Lower Cask Dependencies'!$C$5:$F$277,4,FALSE),"N/A")</f>
        <v>N/A</v>
      </c>
      <c r="S181" s="1600" t="str">
        <f t="shared" si="16"/>
        <v>N/A</v>
      </c>
    </row>
    <row r="182" spans="2:19" ht="13.3" thickBot="1" x14ac:dyDescent="0.4">
      <c r="B182" s="3785"/>
      <c r="C182" s="1604" t="s">
        <v>1677</v>
      </c>
      <c r="D182" s="1605" t="s">
        <v>3</v>
      </c>
      <c r="E182" s="1606">
        <f t="shared" si="19"/>
        <v>2.3000000000000003</v>
      </c>
      <c r="F182" s="1606">
        <f t="shared" si="17"/>
        <v>300.85340759454209</v>
      </c>
      <c r="G182" s="1604"/>
      <c r="H182" s="1607" t="str">
        <f>IF(D182="operation",VLOOKUP(G182,'Generic Divertor Port Tasks'!C$4:D$223,2,FALSE),"N/A")</f>
        <v>N/A</v>
      </c>
      <c r="I182" s="1604"/>
      <c r="J182" s="1608"/>
      <c r="K182" s="1608"/>
      <c r="L182" s="1609" t="str">
        <f>IFERROR(INDEX('Lower Cask Movement &amp; Logistics'!$I$13:$O$19,MATCH($J182,'Lower Cask Movement &amp; Logistics'!$H$13:$H$19,0),MATCH($K182,'Lower Cask Movement &amp; Logistics'!$H$13:$H$19,0)),"N/A")</f>
        <v>N/A</v>
      </c>
      <c r="M182" s="1609" t="str">
        <f>IFERROR(VLOOKUP($I182,'Lower Cask Movement &amp; Logistics'!$H$4:$I$9,2,FALSE),"N/A")</f>
        <v>N/A</v>
      </c>
      <c r="N182" s="1607" t="str">
        <f t="shared" si="15"/>
        <v>N/A</v>
      </c>
      <c r="O182" s="1610" t="s">
        <v>1552</v>
      </c>
      <c r="P182" s="1607">
        <f>IF($D182="Logistics",VLOOKUP($O182,'Lower Cask Movement &amp; Logistics'!$C$4:$D$54,2,FALSE),"N/A")</f>
        <v>2.3000000000000003</v>
      </c>
      <c r="Q182" s="1610"/>
      <c r="R182" s="1607" t="str">
        <f>IFERROR(VLOOKUP($Q182,'Lower Cask Dependencies'!$C$5:$F$277,4,FALSE),"N/A")</f>
        <v>N/A</v>
      </c>
      <c r="S182" s="1607" t="str">
        <f t="shared" si="16"/>
        <v>N/A</v>
      </c>
    </row>
    <row r="183" spans="2:19" x14ac:dyDescent="0.35">
      <c r="B183" s="3786" t="s">
        <v>1678</v>
      </c>
      <c r="C183" s="880" t="s">
        <v>1679</v>
      </c>
      <c r="D183" s="880" t="s">
        <v>3</v>
      </c>
      <c r="E183" s="1640">
        <f>MAX($P183,$N183,$H183)</f>
        <v>1.9</v>
      </c>
      <c r="F183" s="1640">
        <f t="shared" si="17"/>
        <v>302.75340759454207</v>
      </c>
      <c r="G183" s="854"/>
      <c r="H183" s="1645" t="str">
        <f>IF(D183="operation",VLOOKUP(G183,'Generic Divertor Port Tasks'!C$4:D$223,2,FALSE),"N/A")</f>
        <v>N/A</v>
      </c>
      <c r="I183" s="854"/>
      <c r="J183" s="880"/>
      <c r="K183" s="880"/>
      <c r="L183" s="1459" t="str">
        <f>IFERROR(INDEX('Lower Cask Movement &amp; Logistics'!$I$13:$O$19,MATCH($J183,'Lower Cask Movement &amp; Logistics'!$H$13:$H$19,0),MATCH($K183,'Lower Cask Movement &amp; Logistics'!$H$13:$H$19,0)),"N/A")</f>
        <v>N/A</v>
      </c>
      <c r="M183" s="1459" t="str">
        <f>IFERROR(VLOOKUP($I183,'Lower Cask Movement &amp; Logistics'!$H$4:$I$9,2,FALSE),"N/A")</f>
        <v>N/A</v>
      </c>
      <c r="N183" s="1645" t="str">
        <f t="shared" si="15"/>
        <v>N/A</v>
      </c>
      <c r="O183" s="1646" t="s">
        <v>1541</v>
      </c>
      <c r="P183" s="1645">
        <f>IF($D183="Logistics",VLOOKUP($O183,'Lower Cask Movement &amp; Logistics'!$C$4:$D$54,2,FALSE),"N/A")</f>
        <v>1.9</v>
      </c>
      <c r="Q183" s="1646" t="s">
        <v>1680</v>
      </c>
      <c r="R183" s="1645">
        <f>IFERROR(VLOOKUP($Q183,'Lower Cask Dependencies'!$C$5:$F$277,4,FALSE),"N/A")</f>
        <v>198.02729818472122</v>
      </c>
      <c r="S183" s="1645">
        <f t="shared" si="16"/>
        <v>102.82610940982087</v>
      </c>
    </row>
    <row r="184" spans="2:19" x14ac:dyDescent="0.35">
      <c r="B184" s="3786"/>
      <c r="C184" s="573" t="s">
        <v>1606</v>
      </c>
      <c r="D184" s="573" t="s">
        <v>3</v>
      </c>
      <c r="E184" s="626">
        <f>MAX($P184,$N184,$H184)</f>
        <v>0.38</v>
      </c>
      <c r="F184" s="626">
        <f t="shared" si="17"/>
        <v>303.13340759454206</v>
      </c>
      <c r="G184" s="1131"/>
      <c r="H184" s="1176" t="str">
        <f>IF(D184="operation",VLOOKUP(G184,'Generic Divertor Port Tasks'!C$4:D$223,2,FALSE),"N/A")</f>
        <v>N/A</v>
      </c>
      <c r="I184" s="1131"/>
      <c r="J184" s="573"/>
      <c r="K184" s="573"/>
      <c r="L184" s="853" t="str">
        <f>IFERROR(INDEX('Lower Cask Movement &amp; Logistics'!$I$13:$O$19,MATCH($J184,'Lower Cask Movement &amp; Logistics'!$H$13:$H$19,0),MATCH($K184,'Lower Cask Movement &amp; Logistics'!$H$13:$H$19,0)),"N/A")</f>
        <v>N/A</v>
      </c>
      <c r="M184" s="853" t="str">
        <f>IFERROR(VLOOKUP($I184,'Lower Cask Movement &amp; Logistics'!$H$4:$I$9,2,FALSE),"N/A")</f>
        <v>N/A</v>
      </c>
      <c r="N184" s="1176" t="str">
        <f t="shared" si="15"/>
        <v>N/A</v>
      </c>
      <c r="O184" s="1580" t="s">
        <v>1544</v>
      </c>
      <c r="P184" s="1176">
        <f>IF($D184="Logistics",VLOOKUP($O184,'Lower Cask Movement &amp; Logistics'!$C$4:$D$54,2,FALSE),"N/A")</f>
        <v>0.38</v>
      </c>
      <c r="Q184" s="1580"/>
      <c r="R184" s="1176" t="str">
        <f>IFERROR(VLOOKUP($Q184,'Lower Cask Dependencies'!$C$5:$F$277,4,FALSE),"N/A")</f>
        <v>N/A</v>
      </c>
      <c r="S184" s="1176" t="str">
        <f t="shared" si="16"/>
        <v>N/A</v>
      </c>
    </row>
    <row r="185" spans="2:19" x14ac:dyDescent="0.35">
      <c r="B185" s="3786"/>
      <c r="C185" s="573" t="s">
        <v>1681</v>
      </c>
      <c r="D185" s="573" t="s">
        <v>251</v>
      </c>
      <c r="E185" s="626">
        <f>MAX($P185,$N185,$H185)</f>
        <v>0.95000000000000007</v>
      </c>
      <c r="F185" s="626">
        <f t="shared" si="17"/>
        <v>304.08340759454205</v>
      </c>
      <c r="G185" s="1131" t="s">
        <v>274</v>
      </c>
      <c r="H185" s="1176">
        <f>IF(D185="operation",VLOOKUP(G185,'Generic Divertor Port Tasks'!C$4:D$223,2,FALSE),"N/A")</f>
        <v>0.95000000000000007</v>
      </c>
      <c r="I185" s="1131"/>
      <c r="J185" s="573"/>
      <c r="K185" s="573"/>
      <c r="L185" s="853" t="str">
        <f>IFERROR(INDEX('Lower Cask Movement &amp; Logistics'!$I$13:$O$19,MATCH($J185,'Lower Cask Movement &amp; Logistics'!$H$13:$H$19,0),MATCH($K185,'Lower Cask Movement &amp; Logistics'!$H$13:$H$19,0)),"N/A")</f>
        <v>N/A</v>
      </c>
      <c r="M185" s="853" t="str">
        <f>IFERROR(VLOOKUP($I185,'Lower Cask Movement &amp; Logistics'!$H$4:$I$9,2,FALSE),"N/A")</f>
        <v>N/A</v>
      </c>
      <c r="N185" s="1176" t="str">
        <f t="shared" si="15"/>
        <v>N/A</v>
      </c>
      <c r="O185" s="1580"/>
      <c r="P185" s="1176" t="str">
        <f>IF($D185="Logistics",VLOOKUP($O185,'Lower Cask Movement &amp; Logistics'!$C$4:$D$54,2,FALSE),"N/A")</f>
        <v>N/A</v>
      </c>
      <c r="Q185" s="1580"/>
      <c r="R185" s="1176" t="str">
        <f>IFERROR(VLOOKUP($Q185,'Lower Cask Dependencies'!$C$5:$F$277,4,FALSE),"N/A")</f>
        <v>N/A</v>
      </c>
      <c r="S185" s="1176" t="str">
        <f t="shared" si="16"/>
        <v>N/A</v>
      </c>
    </row>
    <row r="186" spans="2:19" x14ac:dyDescent="0.35">
      <c r="B186" s="3786"/>
      <c r="C186" s="582" t="s">
        <v>1575</v>
      </c>
      <c r="D186" s="582" t="s">
        <v>3</v>
      </c>
      <c r="E186" s="626">
        <v>0.38</v>
      </c>
      <c r="F186" s="626">
        <f t="shared" si="17"/>
        <v>304.46340759454205</v>
      </c>
      <c r="G186" s="1579"/>
      <c r="H186" s="1183" t="str">
        <f>IF(D186="operation",VLOOKUP(G186,'Generic Divertor Port Tasks'!C$4:D$223,2,FALSE),"N/A")</f>
        <v>N/A</v>
      </c>
      <c r="I186" s="1579"/>
      <c r="J186" s="582"/>
      <c r="K186" s="582"/>
      <c r="L186" s="1478" t="s">
        <v>263</v>
      </c>
      <c r="M186" s="1478" t="s">
        <v>263</v>
      </c>
      <c r="N186" s="1183" t="s">
        <v>263</v>
      </c>
      <c r="O186" s="1578" t="s">
        <v>1546</v>
      </c>
      <c r="P186" s="1183">
        <v>0.38</v>
      </c>
      <c r="Q186" s="1578"/>
      <c r="R186" s="1183" t="s">
        <v>263</v>
      </c>
      <c r="S186" s="1183" t="str">
        <f t="shared" si="16"/>
        <v>N/A</v>
      </c>
    </row>
    <row r="187" spans="2:19" ht="13.3" thickBot="1" x14ac:dyDescent="0.4">
      <c r="B187" s="3786"/>
      <c r="C187" s="582" t="s">
        <v>1682</v>
      </c>
      <c r="D187" s="582" t="s">
        <v>3</v>
      </c>
      <c r="E187" s="626">
        <f>MAX($P187,$N187,$H187)</f>
        <v>2.3000000000000003</v>
      </c>
      <c r="F187" s="626">
        <f t="shared" si="17"/>
        <v>306.76340759454206</v>
      </c>
      <c r="G187" s="1579"/>
      <c r="H187" s="1183" t="str">
        <f>IF(D187="operation",VLOOKUP(G187,'Generic Divertor Port Tasks'!C$4:D$223,2,FALSE),"N/A")</f>
        <v>N/A</v>
      </c>
      <c r="I187" s="1579"/>
      <c r="J187" s="582"/>
      <c r="K187" s="582"/>
      <c r="L187" s="1478" t="str">
        <f>IFERROR(INDEX('Lower Cask Movement &amp; Logistics'!$I$13:$O$19,MATCH($J187,'Lower Cask Movement &amp; Logistics'!$H$13:$H$19,0),MATCH($K187,'Lower Cask Movement &amp; Logistics'!$H$13:$H$19,0)),"N/A")</f>
        <v>N/A</v>
      </c>
      <c r="M187" s="1478" t="str">
        <f>IFERROR(VLOOKUP($I187,'Lower Cask Movement &amp; Logistics'!$H$4:$I$9,2,FALSE),"N/A")</f>
        <v>N/A</v>
      </c>
      <c r="N187" s="1183" t="str">
        <f>IF(D187="Movement",IFERROR((L187/M187)/(60*60),"Error"),"N/A")</f>
        <v>N/A</v>
      </c>
      <c r="O187" s="1578" t="s">
        <v>1552</v>
      </c>
      <c r="P187" s="1183">
        <f>IF($D187="Logistics",VLOOKUP($O187,'Lower Cask Movement &amp; Logistics'!$C$4:$D$54,2,FALSE),"N/A")</f>
        <v>2.3000000000000003</v>
      </c>
      <c r="Q187" s="1578"/>
      <c r="R187" s="1183" t="str">
        <f>IFERROR(VLOOKUP($Q187,'Lower Cask Dependencies'!$C$5:$F$277,4,FALSE),"N/A")</f>
        <v>N/A</v>
      </c>
      <c r="S187" s="1183" t="str">
        <f t="shared" si="16"/>
        <v>N/A</v>
      </c>
    </row>
    <row r="188" spans="2:19" x14ac:dyDescent="0.35">
      <c r="B188" s="3783" t="s">
        <v>1683</v>
      </c>
      <c r="C188" s="1612" t="s">
        <v>1602</v>
      </c>
      <c r="D188" s="1612" t="s">
        <v>3</v>
      </c>
      <c r="E188" s="1614">
        <f>MAX($P188,$N188,$H188)</f>
        <v>1.9</v>
      </c>
      <c r="F188" s="1634">
        <f t="shared" si="17"/>
        <v>308.66340759454204</v>
      </c>
      <c r="G188" s="1615"/>
      <c r="H188" s="1616" t="str">
        <f>IF(D188="operation",VLOOKUP(G188,'Generic Divertor Port Tasks'!C$4:D$223,2,FALSE),"N/A")</f>
        <v>N/A</v>
      </c>
      <c r="I188" s="1615"/>
      <c r="J188" s="1612"/>
      <c r="K188" s="1612"/>
      <c r="L188" s="1635" t="str">
        <f>IFERROR(INDEX('Lower Cask Movement &amp; Logistics'!$I$13:$O$19,MATCH($J188,'Lower Cask Movement &amp; Logistics'!$H$13:$H$19,0),MATCH($K188,'Lower Cask Movement &amp; Logistics'!$H$13:$H$19,0)),"N/A")</f>
        <v>N/A</v>
      </c>
      <c r="M188" s="1635" t="str">
        <f>IFERROR(VLOOKUP($I188,'Lower Cask Movement &amp; Logistics'!$H$4:$I$9,2,FALSE),"N/A")</f>
        <v>N/A</v>
      </c>
      <c r="N188" s="1636" t="str">
        <f>IF(D188="Movement",IFERROR((L188/M188)/(60*60),"Error"),"N/A")</f>
        <v>N/A</v>
      </c>
      <c r="O188" s="1618" t="s">
        <v>1541</v>
      </c>
      <c r="P188" s="1616">
        <f>IF($D188="Logistics",VLOOKUP($O188,'Lower Cask Movement &amp; Logistics'!$C$4:$D$54,2,FALSE),"N/A")</f>
        <v>1.9</v>
      </c>
      <c r="Q188" s="1618" t="s">
        <v>1684</v>
      </c>
      <c r="R188" s="1616">
        <f>IFERROR(VLOOKUP($Q188,'Lower Cask Dependencies'!$C$5:$F$277,4,FALSE),"N/A")</f>
        <v>302.44488907602351</v>
      </c>
      <c r="S188" s="1616">
        <f t="shared" si="16"/>
        <v>4.3185185185185446</v>
      </c>
    </row>
    <row r="189" spans="2:19" x14ac:dyDescent="0.35">
      <c r="B189" s="3784"/>
      <c r="C189" s="1590" t="s">
        <v>1606</v>
      </c>
      <c r="D189" s="1590" t="s">
        <v>3</v>
      </c>
      <c r="E189" s="1626">
        <f>MAX($P189,$N189,$H189)</f>
        <v>0.38</v>
      </c>
      <c r="F189" s="1599">
        <f t="shared" si="17"/>
        <v>309.04340759454203</v>
      </c>
      <c r="G189" s="1593"/>
      <c r="H189" s="1594" t="str">
        <f>IF(D189="operation",VLOOKUP(G189,'Generic Divertor Port Tasks'!C$4:D$223,2,FALSE),"N/A")</f>
        <v>N/A</v>
      </c>
      <c r="I189" s="1593"/>
      <c r="J189" s="1590"/>
      <c r="K189" s="1590"/>
      <c r="L189" s="1595" t="str">
        <f>IFERROR(INDEX('Lower Cask Movement &amp; Logistics'!$I$13:$O$19,MATCH($J189,'Lower Cask Movement &amp; Logistics'!$H$13:$H$19,0),MATCH($K189,'Lower Cask Movement &amp; Logistics'!$H$13:$H$19,0)),"N/A")</f>
        <v>N/A</v>
      </c>
      <c r="M189" s="1595" t="str">
        <f>IFERROR(VLOOKUP($I189,'Lower Cask Movement &amp; Logistics'!$H$4:$I$9,2,FALSE),"N/A")</f>
        <v>N/A</v>
      </c>
      <c r="N189" s="1594" t="str">
        <f>IF(D189="Movement",IFERROR((L189/M189)/(60*60),"Error"),"N/A")</f>
        <v>N/A</v>
      </c>
      <c r="O189" s="1596" t="s">
        <v>1544</v>
      </c>
      <c r="P189" s="1594">
        <f>IF($D189="Logistics",VLOOKUP($O189,'Lower Cask Movement &amp; Logistics'!$C$4:$D$54,2,FALSE),"N/A")</f>
        <v>0.38</v>
      </c>
      <c r="Q189" s="1596"/>
      <c r="R189" s="1594" t="str">
        <f>IFERROR(VLOOKUP($Q189,'Lower Cask Dependencies'!$C$5:$F$277,4,FALSE),"N/A")</f>
        <v>N/A</v>
      </c>
      <c r="S189" s="1594" t="str">
        <f t="shared" si="16"/>
        <v>N/A</v>
      </c>
    </row>
    <row r="190" spans="2:19" x14ac:dyDescent="0.35">
      <c r="B190" s="3784"/>
      <c r="C190" s="1590" t="s">
        <v>1685</v>
      </c>
      <c r="D190" s="1590" t="s">
        <v>251</v>
      </c>
      <c r="E190" s="1626">
        <f>MAX($P190,$N190,$H190)</f>
        <v>0.95000000000000007</v>
      </c>
      <c r="F190" s="1599">
        <f t="shared" si="17"/>
        <v>309.99340759454202</v>
      </c>
      <c r="G190" s="1593" t="s">
        <v>274</v>
      </c>
      <c r="H190" s="1594">
        <f>IF(D190="operation",VLOOKUP(G190,'Generic Divertor Port Tasks'!C$4:D$223,2,FALSE),"N/A")</f>
        <v>0.95000000000000007</v>
      </c>
      <c r="I190" s="1593"/>
      <c r="J190" s="1590"/>
      <c r="K190" s="1590"/>
      <c r="L190" s="1595" t="str">
        <f>IFERROR(INDEX('Lower Cask Movement &amp; Logistics'!$I$13:$O$19,MATCH($J190,'Lower Cask Movement &amp; Logistics'!$H$13:$H$19,0),MATCH($K190,'Lower Cask Movement &amp; Logistics'!$H$13:$H$19,0)),"N/A")</f>
        <v>N/A</v>
      </c>
      <c r="M190" s="1595" t="str">
        <f>IFERROR(VLOOKUP($I190,'Lower Cask Movement &amp; Logistics'!$H$4:$I$9,2,FALSE),"N/A")</f>
        <v>N/A</v>
      </c>
      <c r="N190" s="1594" t="str">
        <f>IF(D190="Movement",IFERROR((L190/M190)/(60*60),"Error"),"N/A")</f>
        <v>N/A</v>
      </c>
      <c r="O190" s="1596"/>
      <c r="P190" s="1594" t="str">
        <f>IF($D190="Logistics",VLOOKUP($O190,'Lower Cask Movement &amp; Logistics'!$C$4:$D$54,2,FALSE),"N/A")</f>
        <v>N/A</v>
      </c>
      <c r="Q190" s="1596"/>
      <c r="R190" s="1594" t="str">
        <f>IFERROR(VLOOKUP($Q190,'Lower Cask Dependencies'!$C$5:$F$277,4,FALSE),"N/A")</f>
        <v>N/A</v>
      </c>
      <c r="S190" s="1594" t="str">
        <f t="shared" si="16"/>
        <v>N/A</v>
      </c>
    </row>
    <row r="191" spans="2:19" x14ac:dyDescent="0.35">
      <c r="B191" s="3784"/>
      <c r="C191" s="1601" t="s">
        <v>1575</v>
      </c>
      <c r="D191" s="1601" t="s">
        <v>3</v>
      </c>
      <c r="E191" s="1585">
        <v>0.38</v>
      </c>
      <c r="F191" s="1599">
        <f t="shared" si="17"/>
        <v>310.37340759454202</v>
      </c>
      <c r="G191" s="1597"/>
      <c r="H191" s="1600" t="str">
        <f>IF(D191="operation",VLOOKUP(G191,'Generic Divertor Port Tasks'!C$4:D$223,2,FALSE),"N/A")</f>
        <v>N/A</v>
      </c>
      <c r="I191" s="1597"/>
      <c r="J191" s="1601"/>
      <c r="K191" s="1601"/>
      <c r="L191" s="1602" t="s">
        <v>263</v>
      </c>
      <c r="M191" s="1602" t="s">
        <v>263</v>
      </c>
      <c r="N191" s="1600" t="s">
        <v>263</v>
      </c>
      <c r="O191" s="1603" t="s">
        <v>1546</v>
      </c>
      <c r="P191" s="1600">
        <v>0.38</v>
      </c>
      <c r="Q191" s="1603"/>
      <c r="R191" s="1600" t="s">
        <v>263</v>
      </c>
      <c r="S191" s="1600" t="str">
        <f t="shared" si="16"/>
        <v>N/A</v>
      </c>
    </row>
    <row r="192" spans="2:19" ht="13.3" thickBot="1" x14ac:dyDescent="0.4">
      <c r="B192" s="3785"/>
      <c r="C192" s="1608" t="s">
        <v>1686</v>
      </c>
      <c r="D192" s="1608" t="s">
        <v>3</v>
      </c>
      <c r="E192" s="1637">
        <f>MAX($P192,$N192,$H192)</f>
        <v>2.3000000000000003</v>
      </c>
      <c r="F192" s="1606">
        <f t="shared" si="17"/>
        <v>312.67340759454203</v>
      </c>
      <c r="G192" s="1604"/>
      <c r="H192" s="1607" t="str">
        <f>IF(D192="operation",VLOOKUP(G192,'Generic Divertor Port Tasks'!C$4:D$223,2,FALSE),"N/A")</f>
        <v>N/A</v>
      </c>
      <c r="I192" s="1604"/>
      <c r="J192" s="1608"/>
      <c r="K192" s="1608"/>
      <c r="L192" s="1609" t="str">
        <f>IFERROR(INDEX('Lower Cask Movement &amp; Logistics'!$I$13:$O$19,MATCH($J192,'Lower Cask Movement &amp; Logistics'!$H$13:$H$19,0),MATCH($K192,'Lower Cask Movement &amp; Logistics'!$H$13:$H$19,0)),"N/A")</f>
        <v>N/A</v>
      </c>
      <c r="M192" s="1609" t="str">
        <f>IFERROR(VLOOKUP($I192,'Lower Cask Movement &amp; Logistics'!$H$4:$I$9,2,FALSE),"N/A")</f>
        <v>N/A</v>
      </c>
      <c r="N192" s="1607" t="str">
        <f>IF(D192="Movement",IFERROR((L192/M192)/(60*60),"Error"),"N/A")</f>
        <v>N/A</v>
      </c>
      <c r="O192" s="1610" t="s">
        <v>1552</v>
      </c>
      <c r="P192" s="1607">
        <f>IF($D192="Logistics",VLOOKUP($O192,'Lower Cask Movement &amp; Logistics'!$C$4:$D$54,2,FALSE),"N/A")</f>
        <v>2.3000000000000003</v>
      </c>
      <c r="Q192" s="1610"/>
      <c r="R192" s="1607" t="str">
        <f>IFERROR(VLOOKUP($Q192,'Lower Cask Dependencies'!$C$5:$F$277,4,FALSE),"N/A")</f>
        <v>N/A</v>
      </c>
      <c r="S192" s="1607" t="str">
        <f t="shared" si="16"/>
        <v>N/A</v>
      </c>
    </row>
    <row r="193" spans="2:19" x14ac:dyDescent="0.35">
      <c r="B193" s="3786" t="s">
        <v>275</v>
      </c>
      <c r="C193" s="880" t="s">
        <v>1602</v>
      </c>
      <c r="D193" s="880" t="s">
        <v>3</v>
      </c>
      <c r="E193" s="1276">
        <f>MAX($P193,$N193,$H193)</f>
        <v>1.9</v>
      </c>
      <c r="F193" s="1640">
        <f t="shared" si="17"/>
        <v>314.573407594542</v>
      </c>
      <c r="G193" s="854"/>
      <c r="H193" s="1645" t="str">
        <f>IF(D193="operation",VLOOKUP(G193,'Generic Divertor Port Tasks'!C$4:D$223,2,FALSE),"N/A")</f>
        <v>N/A</v>
      </c>
      <c r="I193" s="854"/>
      <c r="J193" s="880"/>
      <c r="K193" s="880"/>
      <c r="L193" s="1643" t="str">
        <f>IFERROR(INDEX('Lower Cask Movement &amp; Logistics'!$I$13:$O$19,MATCH($J193,'Lower Cask Movement &amp; Logistics'!$H$13:$H$19,0),MATCH($K193,'Lower Cask Movement &amp; Logistics'!$H$13:$H$19,0)),"N/A")</f>
        <v>N/A</v>
      </c>
      <c r="M193" s="1643" t="str">
        <f>IFERROR(VLOOKUP($I193,'Lower Cask Movement &amp; Logistics'!$H$4:$I$9,2,FALSE),"N/A")</f>
        <v>N/A</v>
      </c>
      <c r="N193" s="1641" t="str">
        <f>IF(D193="Movement",IFERROR((L193/M193)/(60*60),"Error"),"N/A")</f>
        <v>N/A</v>
      </c>
      <c r="O193" s="1646" t="s">
        <v>1541</v>
      </c>
      <c r="P193" s="1645">
        <f>IF($D193="Logistics",VLOOKUP($O193,'Lower Cask Movement &amp; Logistics'!$C$4:$D$54,2,FALSE),"N/A")</f>
        <v>1.9</v>
      </c>
      <c r="Q193" s="1644" t="s">
        <v>1687</v>
      </c>
      <c r="R193" s="1645">
        <f>IFERROR(VLOOKUP($Q193,'Lower Cask Dependencies'!$C$5:$F$277,4,FALSE),"N/A")</f>
        <v>312.39155574269017</v>
      </c>
      <c r="S193" s="1645">
        <f t="shared" si="16"/>
        <v>0.28185185185185446</v>
      </c>
    </row>
    <row r="194" spans="2:19" x14ac:dyDescent="0.35">
      <c r="B194" s="3786"/>
      <c r="C194" s="573" t="s">
        <v>1606</v>
      </c>
      <c r="D194" s="573" t="s">
        <v>3</v>
      </c>
      <c r="E194" s="1276">
        <f>MAX($P194,$N194,$H194)</f>
        <v>0.38</v>
      </c>
      <c r="F194" s="626">
        <f t="shared" si="17"/>
        <v>314.953407594542</v>
      </c>
      <c r="G194" s="1131"/>
      <c r="H194" s="1176" t="str">
        <f>IF(D194="operation",VLOOKUP(G194,'Generic Divertor Port Tasks'!C$4:D$223,2,FALSE),"N/A")</f>
        <v>N/A</v>
      </c>
      <c r="I194" s="1131"/>
      <c r="J194" s="573"/>
      <c r="K194" s="573"/>
      <c r="L194" s="853" t="str">
        <f>IFERROR(INDEX('Lower Cask Movement &amp; Logistics'!$I$13:$O$19,MATCH($J194,'Lower Cask Movement &amp; Logistics'!$H$13:$H$19,0),MATCH($K194,'Lower Cask Movement &amp; Logistics'!$H$13:$H$19,0)),"N/A")</f>
        <v>N/A</v>
      </c>
      <c r="M194" s="853" t="str">
        <f>IFERROR(VLOOKUP($I194,'Lower Cask Movement &amp; Logistics'!$H$4:$I$9,2,FALSE),"N/A")</f>
        <v>N/A</v>
      </c>
      <c r="N194" s="1176" t="str">
        <f>IF(D194="Movement",IFERROR((L194/M194)/(60*60),"Error"),"N/A")</f>
        <v>N/A</v>
      </c>
      <c r="O194" s="1580" t="s">
        <v>1544</v>
      </c>
      <c r="P194" s="1176">
        <f>IF($D194="Logistics",VLOOKUP($O194,'Lower Cask Movement &amp; Logistics'!$C$4:$D$54,2,FALSE),"N/A")</f>
        <v>0.38</v>
      </c>
      <c r="Q194" s="1580"/>
      <c r="R194" s="1176" t="str">
        <f>IFERROR(VLOOKUP($Q194,'Lower Cask Dependencies'!$C$5:$F$277,4,FALSE),"N/A")</f>
        <v>N/A</v>
      </c>
      <c r="S194" s="1176" t="str">
        <f t="shared" si="16"/>
        <v>N/A</v>
      </c>
    </row>
    <row r="195" spans="2:19" x14ac:dyDescent="0.35">
      <c r="B195" s="3786"/>
      <c r="C195" s="573" t="s">
        <v>1681</v>
      </c>
      <c r="D195" s="573" t="s">
        <v>251</v>
      </c>
      <c r="E195" s="1276">
        <f>MAX($P195,$N195,$H195)</f>
        <v>0.95000000000000007</v>
      </c>
      <c r="F195" s="626">
        <f t="shared" si="17"/>
        <v>315.90340759454199</v>
      </c>
      <c r="G195" s="1131" t="s">
        <v>275</v>
      </c>
      <c r="H195" s="1176">
        <f>IF(D195="operation",VLOOKUP(G195,'Generic Divertor Port Tasks'!C$4:D$223,2,FALSE),"N/A")</f>
        <v>0.95000000000000007</v>
      </c>
      <c r="I195" s="1131"/>
      <c r="J195" s="573"/>
      <c r="K195" s="573"/>
      <c r="L195" s="853" t="str">
        <f>IFERROR(INDEX('Lower Cask Movement &amp; Logistics'!$I$13:$O$19,MATCH($J195,'Lower Cask Movement &amp; Logistics'!$H$13:$H$19,0),MATCH($K195,'Lower Cask Movement &amp; Logistics'!$H$13:$H$19,0)),"N/A")</f>
        <v>N/A</v>
      </c>
      <c r="M195" s="853" t="str">
        <f>IFERROR(VLOOKUP($I195,'Lower Cask Movement &amp; Logistics'!$H$4:$I$9,2,FALSE),"N/A")</f>
        <v>N/A</v>
      </c>
      <c r="N195" s="1176" t="str">
        <f>IF(D195="Movement",IFERROR((L195/M195)/(60*60),"Error"),"N/A")</f>
        <v>N/A</v>
      </c>
      <c r="O195" s="1580"/>
      <c r="P195" s="1176" t="str">
        <f>IF($D195="Logistics",VLOOKUP($O195,'Lower Cask Movement &amp; Logistics'!$C$4:$D$54,2,FALSE),"N/A")</f>
        <v>N/A</v>
      </c>
      <c r="Q195" s="1580"/>
      <c r="R195" s="1176" t="str">
        <f>IFERROR(VLOOKUP($Q195,'Lower Cask Dependencies'!$C$5:$F$277,4,FALSE),"N/A")</f>
        <v>N/A</v>
      </c>
      <c r="S195" s="1176" t="str">
        <f t="shared" si="16"/>
        <v>N/A</v>
      </c>
    </row>
    <row r="196" spans="2:19" x14ac:dyDescent="0.35">
      <c r="B196" s="3786"/>
      <c r="C196" s="573" t="s">
        <v>1575</v>
      </c>
      <c r="D196" s="573" t="s">
        <v>3</v>
      </c>
      <c r="E196" s="1276">
        <v>0.38</v>
      </c>
      <c r="F196" s="626">
        <f t="shared" si="17"/>
        <v>316.28340759454198</v>
      </c>
      <c r="G196" s="1131"/>
      <c r="H196" s="1176" t="str">
        <f>IF(D196="operation",VLOOKUP(G196,'Generic Divertor Port Tasks'!C$4:D$223,2,FALSE),"N/A")</f>
        <v>N/A</v>
      </c>
      <c r="I196" s="1131"/>
      <c r="J196" s="573"/>
      <c r="K196" s="573"/>
      <c r="L196" s="853" t="s">
        <v>263</v>
      </c>
      <c r="M196" s="853" t="s">
        <v>263</v>
      </c>
      <c r="N196" s="1176" t="s">
        <v>263</v>
      </c>
      <c r="O196" s="1580" t="s">
        <v>1546</v>
      </c>
      <c r="P196" s="1176">
        <v>0.38</v>
      </c>
      <c r="Q196" s="1580"/>
      <c r="R196" s="1176" t="s">
        <v>263</v>
      </c>
      <c r="S196" s="1176" t="str">
        <f t="shared" si="16"/>
        <v>N/A</v>
      </c>
    </row>
    <row r="197" spans="2:19" ht="13.3" thickBot="1" x14ac:dyDescent="0.4">
      <c r="B197" s="3786"/>
      <c r="C197" s="582" t="s">
        <v>1688</v>
      </c>
      <c r="D197" s="582" t="s">
        <v>3</v>
      </c>
      <c r="E197" s="1640">
        <f>MAX($P197,$N197,$H197)</f>
        <v>2.3000000000000003</v>
      </c>
      <c r="F197" s="626">
        <f t="shared" si="17"/>
        <v>318.583407594542</v>
      </c>
      <c r="G197" s="1579"/>
      <c r="H197" s="1183" t="str">
        <f>IF(D197="operation",VLOOKUP(G197,'Generic Divertor Port Tasks'!C$4:D$223,2,FALSE),"N/A")</f>
        <v>N/A</v>
      </c>
      <c r="I197" s="1579"/>
      <c r="J197" s="582"/>
      <c r="K197" s="582"/>
      <c r="L197" s="1478" t="str">
        <f>IFERROR(INDEX('Lower Cask Movement &amp; Logistics'!$I$13:$O$19,MATCH($J197,'Lower Cask Movement &amp; Logistics'!$H$13:$H$19,0),MATCH($K197,'Lower Cask Movement &amp; Logistics'!$H$13:$H$19,0)),"N/A")</f>
        <v>N/A</v>
      </c>
      <c r="M197" s="1478" t="str">
        <f>IFERROR(VLOOKUP($I197,'Lower Cask Movement &amp; Logistics'!$H$4:$I$9,2,FALSE),"N/A")</f>
        <v>N/A</v>
      </c>
      <c r="N197" s="1183" t="str">
        <f t="shared" ref="N197:N251" si="20">IF(D197="Movement",IFERROR((L197/M197)/(60*60),"Error"),"N/A")</f>
        <v>N/A</v>
      </c>
      <c r="O197" s="1578" t="s">
        <v>1552</v>
      </c>
      <c r="P197" s="1183">
        <f>IF($D197="Logistics",VLOOKUP($O197,'Lower Cask Movement &amp; Logistics'!$C$4:$D$54,2,FALSE),"N/A")</f>
        <v>2.3000000000000003</v>
      </c>
      <c r="Q197" s="1578"/>
      <c r="R197" s="1183" t="str">
        <f>IFERROR(VLOOKUP($Q197,'Lower Cask Dependencies'!$C$5:$F$277,4,FALSE),"N/A")</f>
        <v>N/A</v>
      </c>
      <c r="S197" s="1183" t="str">
        <f t="shared" si="16"/>
        <v>N/A</v>
      </c>
    </row>
    <row r="198" spans="2:19" x14ac:dyDescent="0.35">
      <c r="B198" s="3783" t="s">
        <v>1689</v>
      </c>
      <c r="C198" s="1660" t="s">
        <v>1619</v>
      </c>
      <c r="D198" s="1661" t="s">
        <v>3</v>
      </c>
      <c r="E198" s="1634">
        <f t="shared" si="19"/>
        <v>1.9</v>
      </c>
      <c r="F198" s="1634">
        <f t="shared" si="17"/>
        <v>320.48340759454197</v>
      </c>
      <c r="G198" s="1660"/>
      <c r="H198" s="1636" t="str">
        <f>IF(D198="operation",VLOOKUP(G198,'Generic Divertor Port Tasks'!C$4:D$223,2,FALSE),"N/A")</f>
        <v>N/A</v>
      </c>
      <c r="I198" s="1660"/>
      <c r="J198" s="1662"/>
      <c r="K198" s="1662"/>
      <c r="L198" s="1635" t="str">
        <f>IFERROR(INDEX('Lower Cask Movement &amp; Logistics'!$I$13:$O$19,MATCH($J198,'Lower Cask Movement &amp; Logistics'!$H$13:$H$19,0),MATCH($K198,'Lower Cask Movement &amp; Logistics'!$H$13:$H$19,0)),"N/A")</f>
        <v>N/A</v>
      </c>
      <c r="M198" s="1635" t="str">
        <f>IFERROR(VLOOKUP($I198,'Lower Cask Movement &amp; Logistics'!$H$4:$I$9,2,FALSE),"N/A")</f>
        <v>N/A</v>
      </c>
      <c r="N198" s="1636" t="str">
        <f t="shared" si="20"/>
        <v>N/A</v>
      </c>
      <c r="O198" s="1663" t="s">
        <v>1541</v>
      </c>
      <c r="P198" s="1636">
        <f>IF($D198="Logistics",VLOOKUP($O198,'Lower Cask Movement &amp; Logistics'!$C$4:$D$54,2,FALSE),"N/A")</f>
        <v>1.9</v>
      </c>
      <c r="Q198" s="1663" t="s">
        <v>1690</v>
      </c>
      <c r="R198" s="1636">
        <f>IFERROR(VLOOKUP($Q198,'Lower Cask Dependencies'!$C$5:$F$277,4,FALSE),"N/A")</f>
        <v>314.98711129824568</v>
      </c>
      <c r="S198" s="1636">
        <f t="shared" si="16"/>
        <v>3.5962962962963161</v>
      </c>
    </row>
    <row r="199" spans="2:19" x14ac:dyDescent="0.35">
      <c r="B199" s="3784"/>
      <c r="C199" s="1597" t="s">
        <v>1247</v>
      </c>
      <c r="D199" s="1598" t="s">
        <v>3</v>
      </c>
      <c r="E199" s="1599">
        <f t="shared" si="19"/>
        <v>0.38</v>
      </c>
      <c r="F199" s="1599">
        <f t="shared" si="17"/>
        <v>320.86340759454197</v>
      </c>
      <c r="G199" s="1597"/>
      <c r="H199" s="1600" t="str">
        <f>IF(D199="operation",VLOOKUP(G199,'Generic Divertor Port Tasks'!C$4:D$223,2,FALSE),"N/A")</f>
        <v>N/A</v>
      </c>
      <c r="I199" s="1597"/>
      <c r="J199" s="1601"/>
      <c r="K199" s="1601"/>
      <c r="L199" s="1602" t="str">
        <f>IFERROR(INDEX('Lower Cask Movement &amp; Logistics'!$I$13:$O$19,MATCH($J199,'Lower Cask Movement &amp; Logistics'!$H$13:$H$19,0),MATCH($K199,'Lower Cask Movement &amp; Logistics'!$H$13:$H$19,0)),"N/A")</f>
        <v>N/A</v>
      </c>
      <c r="M199" s="1602" t="str">
        <f>IFERROR(VLOOKUP($I199,'Lower Cask Movement &amp; Logistics'!$H$4:$I$9,2,FALSE),"N/A")</f>
        <v>N/A</v>
      </c>
      <c r="N199" s="1600" t="str">
        <f t="shared" si="20"/>
        <v>N/A</v>
      </c>
      <c r="O199" s="1603" t="s">
        <v>1544</v>
      </c>
      <c r="P199" s="1600">
        <f>IF($D199="Logistics",VLOOKUP($O199,'Lower Cask Movement &amp; Logistics'!$C$4:$D$54,2,FALSE),"N/A")</f>
        <v>0.38</v>
      </c>
      <c r="Q199" s="1603"/>
      <c r="R199" s="1600" t="str">
        <f>IFERROR(VLOOKUP($Q199,'Lower Cask Dependencies'!$C$5:$F$277,4,FALSE),"N/A")</f>
        <v>N/A</v>
      </c>
      <c r="S199" s="1600" t="str">
        <f t="shared" si="16"/>
        <v>N/A</v>
      </c>
    </row>
    <row r="200" spans="2:19" x14ac:dyDescent="0.35">
      <c r="B200" s="3784"/>
      <c r="C200" s="1597" t="s">
        <v>1691</v>
      </c>
      <c r="D200" s="1598" t="s">
        <v>3</v>
      </c>
      <c r="E200" s="1599">
        <f t="shared" si="19"/>
        <v>0.38</v>
      </c>
      <c r="F200" s="1599">
        <f t="shared" si="17"/>
        <v>321.24340759454196</v>
      </c>
      <c r="G200" s="1597"/>
      <c r="H200" s="1600" t="str">
        <f>IF(D200="operation",VLOOKUP(G200,'Generic Divertor Port Tasks'!C$4:D$223,2,FALSE),"N/A")</f>
        <v>N/A</v>
      </c>
      <c r="I200" s="1597"/>
      <c r="J200" s="1601"/>
      <c r="K200" s="1601"/>
      <c r="L200" s="1602" t="str">
        <f>IFERROR(INDEX('Lower Cask Movement &amp; Logistics'!$I$13:$O$19,MATCH($J200,'Lower Cask Movement &amp; Logistics'!$H$13:$H$19,0),MATCH($K200,'Lower Cask Movement &amp; Logistics'!$H$13:$H$19,0)),"N/A")</f>
        <v>N/A</v>
      </c>
      <c r="M200" s="1602" t="str">
        <f>IFERROR(VLOOKUP($I200,'Lower Cask Movement &amp; Logistics'!$H$4:$I$9,2,FALSE),"N/A")</f>
        <v>N/A</v>
      </c>
      <c r="N200" s="1600" t="str">
        <f t="shared" si="20"/>
        <v>N/A</v>
      </c>
      <c r="O200" s="1603" t="s">
        <v>1544</v>
      </c>
      <c r="P200" s="1600">
        <f>IF($D200="Logistics",VLOOKUP($O200,'Lower Cask Movement &amp; Logistics'!$C$4:$D$54,2,FALSE),"N/A")</f>
        <v>0.38</v>
      </c>
      <c r="Q200" s="1603"/>
      <c r="R200" s="1600" t="str">
        <f>IFERROR(VLOOKUP($Q200,'Lower Cask Dependencies'!$C$5:$F$277,4,FALSE),"N/A")</f>
        <v>N/A</v>
      </c>
      <c r="S200" s="1600" t="str">
        <f t="shared" si="16"/>
        <v>N/A</v>
      </c>
    </row>
    <row r="201" spans="2:19" x14ac:dyDescent="0.35">
      <c r="B201" s="3784"/>
      <c r="C201" s="1597" t="s">
        <v>1692</v>
      </c>
      <c r="D201" s="1598" t="s">
        <v>251</v>
      </c>
      <c r="E201" s="1599">
        <f t="shared" si="19"/>
        <v>16.965057309144747</v>
      </c>
      <c r="F201" s="1599">
        <f t="shared" si="17"/>
        <v>338.20846490368672</v>
      </c>
      <c r="G201" s="1597" t="s">
        <v>449</v>
      </c>
      <c r="H201" s="1600">
        <f>IF(D201="operation",VLOOKUP(G201,'Generic Divertor Port Tasks'!C$4:D$223,2,FALSE),"N/A")</f>
        <v>16.965057309144747</v>
      </c>
      <c r="I201" s="1597"/>
      <c r="J201" s="1601"/>
      <c r="K201" s="1601"/>
      <c r="L201" s="1602" t="str">
        <f>IFERROR(INDEX('Lower Cask Movement &amp; Logistics'!$I$13:$O$19,MATCH($J201,'Lower Cask Movement &amp; Logistics'!$H$13:$H$19,0),MATCH($K201,'Lower Cask Movement &amp; Logistics'!$H$13:$H$19,0)),"N/A")</f>
        <v>N/A</v>
      </c>
      <c r="M201" s="1602" t="str">
        <f>IFERROR(VLOOKUP($I201,'Lower Cask Movement &amp; Logistics'!$H$4:$I$9,2,FALSE),"N/A")</f>
        <v>N/A</v>
      </c>
      <c r="N201" s="1600" t="str">
        <f t="shared" si="20"/>
        <v>N/A</v>
      </c>
      <c r="O201" s="1603"/>
      <c r="P201" s="1600" t="str">
        <f>IF($D201="Logistics",VLOOKUP($O201,'Lower Cask Movement &amp; Logistics'!$C$4:$D$54,2,FALSE),"N/A")</f>
        <v>N/A</v>
      </c>
      <c r="Q201" s="1603"/>
      <c r="R201" s="1600" t="str">
        <f>IFERROR(VLOOKUP($Q201,'Lower Cask Dependencies'!$C$5:$F$277,4,FALSE),"N/A")</f>
        <v>N/A</v>
      </c>
      <c r="S201" s="1600" t="str">
        <f t="shared" ref="S201:S251" si="21">IFERROR(F200-R201,"N/A")</f>
        <v>N/A</v>
      </c>
    </row>
    <row r="202" spans="2:19" x14ac:dyDescent="0.35">
      <c r="B202" s="3784"/>
      <c r="C202" s="1597" t="s">
        <v>1693</v>
      </c>
      <c r="D202" s="1598" t="s">
        <v>3</v>
      </c>
      <c r="E202" s="1599">
        <f t="shared" si="19"/>
        <v>0.38</v>
      </c>
      <c r="F202" s="1599">
        <f t="shared" ref="F202:F251" si="22">IF(S202&lt;0,E202+F201+(-S202),E202+F201)</f>
        <v>338.58846490368671</v>
      </c>
      <c r="G202" s="1597"/>
      <c r="H202" s="1600" t="str">
        <f>IF(D202="operation",VLOOKUP(G202,'Generic Divertor Port Tasks'!C$4:D$223,2,FALSE),"N/A")</f>
        <v>N/A</v>
      </c>
      <c r="I202" s="1597"/>
      <c r="J202" s="1601"/>
      <c r="K202" s="1601"/>
      <c r="L202" s="1602" t="str">
        <f>IFERROR(INDEX('Lower Cask Movement &amp; Logistics'!$I$13:$O$19,MATCH($J202,'Lower Cask Movement &amp; Logistics'!$H$13:$H$19,0),MATCH($K202,'Lower Cask Movement &amp; Logistics'!$H$13:$H$19,0)),"N/A")</f>
        <v>N/A</v>
      </c>
      <c r="M202" s="1602" t="str">
        <f>IFERROR(VLOOKUP($I202,'Lower Cask Movement &amp; Logistics'!$H$4:$I$9,2,FALSE),"N/A")</f>
        <v>N/A</v>
      </c>
      <c r="N202" s="1600" t="str">
        <f t="shared" si="20"/>
        <v>N/A</v>
      </c>
      <c r="O202" s="1603" t="s">
        <v>1544</v>
      </c>
      <c r="P202" s="1600">
        <f>IF($D202="Logistics",VLOOKUP($O202,'Lower Cask Movement &amp; Logistics'!$C$4:$D$54,2,FALSE),"N/A")</f>
        <v>0.38</v>
      </c>
      <c r="Q202" s="1603"/>
      <c r="R202" s="1600" t="str">
        <f>IFERROR(VLOOKUP($Q202,'Lower Cask Dependencies'!$C$5:$F$277,4,FALSE),"N/A")</f>
        <v>N/A</v>
      </c>
      <c r="S202" s="1600" t="str">
        <f t="shared" si="21"/>
        <v>N/A</v>
      </c>
    </row>
    <row r="203" spans="2:19" x14ac:dyDescent="0.35">
      <c r="B203" s="3784"/>
      <c r="C203" s="1597" t="s">
        <v>1694</v>
      </c>
      <c r="D203" s="1598" t="s">
        <v>3</v>
      </c>
      <c r="E203" s="1599">
        <f t="shared" si="19"/>
        <v>0.53</v>
      </c>
      <c r="F203" s="1599">
        <f t="shared" si="22"/>
        <v>339.11846490368669</v>
      </c>
      <c r="G203" s="1597"/>
      <c r="H203" s="1600" t="str">
        <f>IF(D203="operation",VLOOKUP(G203,'Generic Divertor Port Tasks'!C$4:D$223,2,FALSE),"N/A")</f>
        <v>N/A</v>
      </c>
      <c r="I203" s="1597"/>
      <c r="J203" s="1601"/>
      <c r="K203" s="1601"/>
      <c r="L203" s="1602" t="str">
        <f>IFERROR(INDEX('Lower Cask Movement &amp; Logistics'!$I$13:$O$19,MATCH($J203,'Lower Cask Movement &amp; Logistics'!$H$13:$H$19,0),MATCH($K203,'Lower Cask Movement &amp; Logistics'!$H$13:$H$19,0)),"N/A")</f>
        <v>N/A</v>
      </c>
      <c r="M203" s="1602" t="str">
        <f>IFERROR(VLOOKUP($I203,'Lower Cask Movement &amp; Logistics'!$H$4:$I$9,2,FALSE),"N/A")</f>
        <v>N/A</v>
      </c>
      <c r="N203" s="1600" t="str">
        <f t="shared" si="20"/>
        <v>N/A</v>
      </c>
      <c r="O203" s="1603" t="s">
        <v>1558</v>
      </c>
      <c r="P203" s="1600">
        <f>IF($D203="Logistics",VLOOKUP($O203,'Lower Cask Movement &amp; Logistics'!$C$4:$D$54,2,FALSE),"N/A")</f>
        <v>0.53</v>
      </c>
      <c r="Q203" s="1603"/>
      <c r="R203" s="1600" t="str">
        <f>IFERROR(VLOOKUP($Q203,'Lower Cask Dependencies'!$C$5:$F$277,4,FALSE),"N/A")</f>
        <v>N/A</v>
      </c>
      <c r="S203" s="1600" t="str">
        <f t="shared" si="21"/>
        <v>N/A</v>
      </c>
    </row>
    <row r="204" spans="2:19" x14ac:dyDescent="0.35">
      <c r="B204" s="3784"/>
      <c r="C204" s="1597" t="s">
        <v>1186</v>
      </c>
      <c r="D204" s="1598" t="s">
        <v>251</v>
      </c>
      <c r="E204" s="1599">
        <f t="shared" si="19"/>
        <v>16.965057309144747</v>
      </c>
      <c r="F204" s="1599">
        <f t="shared" si="22"/>
        <v>356.08352221283144</v>
      </c>
      <c r="G204" s="1597" t="s">
        <v>449</v>
      </c>
      <c r="H204" s="1600">
        <f>IF(D204="operation",VLOOKUP(G204,'Generic Divertor Port Tasks'!C$4:D$223,2,FALSE),"N/A")</f>
        <v>16.965057309144747</v>
      </c>
      <c r="I204" s="1597"/>
      <c r="J204" s="1601"/>
      <c r="K204" s="1601"/>
      <c r="L204" s="1602" t="str">
        <f>IFERROR(INDEX('Lower Cask Movement &amp; Logistics'!$I$13:$O$19,MATCH($J204,'Lower Cask Movement &amp; Logistics'!$H$13:$H$19,0),MATCH($K204,'Lower Cask Movement &amp; Logistics'!$H$13:$H$19,0)),"N/A")</f>
        <v>N/A</v>
      </c>
      <c r="M204" s="1602" t="str">
        <f>IFERROR(VLOOKUP($I204,'Lower Cask Movement &amp; Logistics'!$H$4:$I$9,2,FALSE),"N/A")</f>
        <v>N/A</v>
      </c>
      <c r="N204" s="1600" t="str">
        <f t="shared" si="20"/>
        <v>N/A</v>
      </c>
      <c r="O204" s="1603"/>
      <c r="P204" s="1600" t="str">
        <f>IF($D204="Logistics",VLOOKUP($O204,'Lower Cask Movement &amp; Logistics'!$C$4:$D$54,2,FALSE),"N/A")</f>
        <v>N/A</v>
      </c>
      <c r="Q204" s="1603"/>
      <c r="R204" s="1600" t="str">
        <f>IFERROR(VLOOKUP($Q204,'Lower Cask Dependencies'!$C$5:$F$277,4,FALSE),"N/A")</f>
        <v>N/A</v>
      </c>
      <c r="S204" s="1600" t="str">
        <f t="shared" si="21"/>
        <v>N/A</v>
      </c>
    </row>
    <row r="205" spans="2:19" x14ac:dyDescent="0.35">
      <c r="B205" s="3784"/>
      <c r="C205" s="1597" t="s">
        <v>1695</v>
      </c>
      <c r="D205" s="1598" t="s">
        <v>3</v>
      </c>
      <c r="E205" s="1599">
        <f t="shared" si="19"/>
        <v>0.38</v>
      </c>
      <c r="F205" s="1599">
        <f t="shared" si="22"/>
        <v>356.46352221283144</v>
      </c>
      <c r="G205" s="1597"/>
      <c r="H205" s="1600" t="str">
        <f>IF(D205="operation",VLOOKUP(G205,'Generic Divertor Port Tasks'!C$4:D$223,2,FALSE),"N/A")</f>
        <v>N/A</v>
      </c>
      <c r="I205" s="1597"/>
      <c r="J205" s="1601"/>
      <c r="K205" s="1601"/>
      <c r="L205" s="1602" t="str">
        <f>IFERROR(INDEX('Lower Cask Movement &amp; Logistics'!$I$13:$O$19,MATCH($J205,'Lower Cask Movement &amp; Logistics'!$H$13:$H$19,0),MATCH($K205,'Lower Cask Movement &amp; Logistics'!$H$13:$H$19,0)),"N/A")</f>
        <v>N/A</v>
      </c>
      <c r="M205" s="1602" t="str">
        <f>IFERROR(VLOOKUP($I205,'Lower Cask Movement &amp; Logistics'!$H$4:$I$9,2,FALSE),"N/A")</f>
        <v>N/A</v>
      </c>
      <c r="N205" s="1600" t="str">
        <f t="shared" si="20"/>
        <v>N/A</v>
      </c>
      <c r="O205" s="1603" t="s">
        <v>1544</v>
      </c>
      <c r="P205" s="1600">
        <f>IF($D205="Logistics",VLOOKUP($O205,'Lower Cask Movement &amp; Logistics'!$C$4:$D$54,2,FALSE),"N/A")</f>
        <v>0.38</v>
      </c>
      <c r="Q205" s="1603"/>
      <c r="R205" s="1600" t="str">
        <f>IFERROR(VLOOKUP($Q205,'Lower Cask Dependencies'!$C$5:$F$277,4,FALSE),"N/A")</f>
        <v>N/A</v>
      </c>
      <c r="S205" s="1600" t="str">
        <f t="shared" si="21"/>
        <v>N/A</v>
      </c>
    </row>
    <row r="206" spans="2:19" x14ac:dyDescent="0.35">
      <c r="B206" s="3784"/>
      <c r="C206" s="1597" t="s">
        <v>1596</v>
      </c>
      <c r="D206" s="1598" t="s">
        <v>3</v>
      </c>
      <c r="E206" s="1599">
        <f t="shared" si="19"/>
        <v>0.53</v>
      </c>
      <c r="F206" s="1599">
        <f t="shared" si="22"/>
        <v>356.99352221283141</v>
      </c>
      <c r="G206" s="1597"/>
      <c r="H206" s="1600" t="str">
        <f>IF(D206="operation",VLOOKUP(G206,'Generic Divertor Port Tasks'!C$4:D$223,2,FALSE),"N/A")</f>
        <v>N/A</v>
      </c>
      <c r="I206" s="1597"/>
      <c r="J206" s="1601"/>
      <c r="K206" s="1601"/>
      <c r="L206" s="1602" t="str">
        <f>IFERROR(INDEX('Lower Cask Movement &amp; Logistics'!$I$13:$O$19,MATCH($J206,'Lower Cask Movement &amp; Logistics'!$H$13:$H$19,0),MATCH($K206,'Lower Cask Movement &amp; Logistics'!$H$13:$H$19,0)),"N/A")</f>
        <v>N/A</v>
      </c>
      <c r="M206" s="1602" t="str">
        <f>IFERROR(VLOOKUP($I206,'Lower Cask Movement &amp; Logistics'!$H$4:$I$9,2,FALSE),"N/A")</f>
        <v>N/A</v>
      </c>
      <c r="N206" s="1600" t="str">
        <f t="shared" si="20"/>
        <v>N/A</v>
      </c>
      <c r="O206" s="1603" t="s">
        <v>1558</v>
      </c>
      <c r="P206" s="1600">
        <f>IF($D206="Logistics",VLOOKUP($O206,'Lower Cask Movement &amp; Logistics'!$C$4:$D$54,2,FALSE),"N/A")</f>
        <v>0.53</v>
      </c>
      <c r="Q206" s="1603"/>
      <c r="R206" s="1600" t="str">
        <f>IFERROR(VLOOKUP($Q206,'Lower Cask Dependencies'!$C$5:$F$277,4,FALSE),"N/A")</f>
        <v>N/A</v>
      </c>
      <c r="S206" s="1600" t="str">
        <f t="shared" si="21"/>
        <v>N/A</v>
      </c>
    </row>
    <row r="207" spans="2:19" x14ac:dyDescent="0.35">
      <c r="B207" s="3784"/>
      <c r="C207" s="1597" t="s">
        <v>1185</v>
      </c>
      <c r="D207" s="1598" t="s">
        <v>251</v>
      </c>
      <c r="E207" s="1599">
        <f t="shared" si="19"/>
        <v>16.965057309144747</v>
      </c>
      <c r="F207" s="1599">
        <f t="shared" si="22"/>
        <v>373.95857952197616</v>
      </c>
      <c r="G207" s="1597" t="s">
        <v>449</v>
      </c>
      <c r="H207" s="1600">
        <f>IF(D207="operation",VLOOKUP(G207,'Generic Divertor Port Tasks'!C$4:D$223,2,FALSE),"N/A")</f>
        <v>16.965057309144747</v>
      </c>
      <c r="I207" s="1597"/>
      <c r="J207" s="1601"/>
      <c r="K207" s="1601"/>
      <c r="L207" s="1602" t="str">
        <f>IFERROR(INDEX('Lower Cask Movement &amp; Logistics'!$I$13:$O$19,MATCH($J207,'Lower Cask Movement &amp; Logistics'!$H$13:$H$19,0),MATCH($K207,'Lower Cask Movement &amp; Logistics'!$H$13:$H$19,0)),"N/A")</f>
        <v>N/A</v>
      </c>
      <c r="M207" s="1602" t="str">
        <f>IFERROR(VLOOKUP($I207,'Lower Cask Movement &amp; Logistics'!$H$4:$I$9,2,FALSE),"N/A")</f>
        <v>N/A</v>
      </c>
      <c r="N207" s="1600" t="str">
        <f t="shared" si="20"/>
        <v>N/A</v>
      </c>
      <c r="O207" s="1603"/>
      <c r="P207" s="1600" t="str">
        <f>IF($D207="Logistics",VLOOKUP($O207,'Lower Cask Movement &amp; Logistics'!$C$4:$D$54,2,FALSE),"N/A")</f>
        <v>N/A</v>
      </c>
      <c r="Q207" s="1603"/>
      <c r="R207" s="1600" t="str">
        <f>IFERROR(VLOOKUP($Q207,'Lower Cask Dependencies'!$C$5:$F$277,4,FALSE),"N/A")</f>
        <v>N/A</v>
      </c>
      <c r="S207" s="1600" t="str">
        <f t="shared" si="21"/>
        <v>N/A</v>
      </c>
    </row>
    <row r="208" spans="2:19" x14ac:dyDescent="0.35">
      <c r="B208" s="3784"/>
      <c r="C208" s="1597" t="s">
        <v>1599</v>
      </c>
      <c r="D208" s="1598" t="s">
        <v>3</v>
      </c>
      <c r="E208" s="1599">
        <f t="shared" si="19"/>
        <v>0.38</v>
      </c>
      <c r="F208" s="1599">
        <f t="shared" si="22"/>
        <v>374.33857952197616</v>
      </c>
      <c r="G208" s="1597"/>
      <c r="H208" s="1600" t="str">
        <f>IF(D208="operation",VLOOKUP(G208,'Generic Divertor Port Tasks'!C$4:D$223,2,FALSE),"N/A")</f>
        <v>N/A</v>
      </c>
      <c r="I208" s="1597"/>
      <c r="J208" s="1601"/>
      <c r="K208" s="1601"/>
      <c r="L208" s="1602" t="str">
        <f>IFERROR(INDEX('Lower Cask Movement &amp; Logistics'!$I$13:$O$19,MATCH($J208,'Lower Cask Movement &amp; Logistics'!$H$13:$H$19,0),MATCH($K208,'Lower Cask Movement &amp; Logistics'!$H$13:$H$19,0)),"N/A")</f>
        <v>N/A</v>
      </c>
      <c r="M208" s="1602" t="str">
        <f>IFERROR(VLOOKUP($I208,'Lower Cask Movement &amp; Logistics'!$H$4:$I$9,2,FALSE),"N/A")</f>
        <v>N/A</v>
      </c>
      <c r="N208" s="1600" t="str">
        <f t="shared" si="20"/>
        <v>N/A</v>
      </c>
      <c r="O208" s="1603" t="s">
        <v>1546</v>
      </c>
      <c r="P208" s="1600">
        <f>IF($D208="Logistics",VLOOKUP($O208,'Lower Cask Movement &amp; Logistics'!$C$4:$D$54,2,FALSE),"N/A")</f>
        <v>0.38</v>
      </c>
      <c r="Q208" s="1603"/>
      <c r="R208" s="1600" t="str">
        <f>IFERROR(VLOOKUP($Q208,'Lower Cask Dependencies'!$C$5:$F$277,4,FALSE),"N/A")</f>
        <v>N/A</v>
      </c>
      <c r="S208" s="1600" t="str">
        <f t="shared" si="21"/>
        <v>N/A</v>
      </c>
    </row>
    <row r="209" spans="2:19" x14ac:dyDescent="0.35">
      <c r="B209" s="3784"/>
      <c r="C209" s="1597" t="s">
        <v>1252</v>
      </c>
      <c r="D209" s="1598" t="s">
        <v>3</v>
      </c>
      <c r="E209" s="1599">
        <f t="shared" si="19"/>
        <v>0.38</v>
      </c>
      <c r="F209" s="1599">
        <f t="shared" si="22"/>
        <v>374.71857952197615</v>
      </c>
      <c r="G209" s="1597"/>
      <c r="H209" s="1600" t="str">
        <f>IF(D209="operation",VLOOKUP(G209,'Generic Divertor Port Tasks'!C$4:D$223,2,FALSE),"N/A")</f>
        <v>N/A</v>
      </c>
      <c r="I209" s="1597"/>
      <c r="J209" s="1601"/>
      <c r="K209" s="1601"/>
      <c r="L209" s="1602" t="str">
        <f>IFERROR(INDEX('Lower Cask Movement &amp; Logistics'!$I$13:$O$19,MATCH($J209,'Lower Cask Movement &amp; Logistics'!$H$13:$H$19,0),MATCH($K209,'Lower Cask Movement &amp; Logistics'!$H$13:$H$19,0)),"N/A")</f>
        <v>N/A</v>
      </c>
      <c r="M209" s="1602" t="str">
        <f>IFERROR(VLOOKUP($I209,'Lower Cask Movement &amp; Logistics'!$H$4:$I$9,2,FALSE),"N/A")</f>
        <v>N/A</v>
      </c>
      <c r="N209" s="1600" t="str">
        <f t="shared" si="20"/>
        <v>N/A</v>
      </c>
      <c r="O209" s="1603" t="s">
        <v>1544</v>
      </c>
      <c r="P209" s="1600">
        <f>IF($D209="Logistics",VLOOKUP($O209,'Lower Cask Movement &amp; Logistics'!$C$4:$D$54,2,FALSE),"N/A")</f>
        <v>0.38</v>
      </c>
      <c r="Q209" s="1603"/>
      <c r="R209" s="1600" t="str">
        <f>IFERROR(VLOOKUP($Q209,'Lower Cask Dependencies'!$C$5:$F$277,4,FALSE),"N/A")</f>
        <v>N/A</v>
      </c>
      <c r="S209" s="1600" t="str">
        <f t="shared" si="21"/>
        <v>N/A</v>
      </c>
    </row>
    <row r="210" spans="2:19" x14ac:dyDescent="0.35">
      <c r="B210" s="3784"/>
      <c r="C210" s="1597" t="s">
        <v>1696</v>
      </c>
      <c r="D210" s="1598" t="s">
        <v>251</v>
      </c>
      <c r="E210" s="1599">
        <f t="shared" si="19"/>
        <v>5.16</v>
      </c>
      <c r="F210" s="1599">
        <f t="shared" si="22"/>
        <v>379.87857952197618</v>
      </c>
      <c r="G210" s="1597" t="s">
        <v>273</v>
      </c>
      <c r="H210" s="1600">
        <f>IF(D210="operation",VLOOKUP(G210,'Generic Divertor Port Tasks'!C$4:D$223,2,FALSE),"N/A")</f>
        <v>5.16</v>
      </c>
      <c r="I210" s="1597"/>
      <c r="J210" s="1601"/>
      <c r="K210" s="1601"/>
      <c r="L210" s="1602" t="str">
        <f>IFERROR(INDEX('Lower Cask Movement &amp; Logistics'!$I$13:$O$19,MATCH($J210,'Lower Cask Movement &amp; Logistics'!$H$13:$H$19,0),MATCH($K210,'Lower Cask Movement &amp; Logistics'!$H$13:$H$19,0)),"N/A")</f>
        <v>N/A</v>
      </c>
      <c r="M210" s="1602" t="str">
        <f>IFERROR(VLOOKUP($I210,'Lower Cask Movement &amp; Logistics'!$H$4:$I$9,2,FALSE),"N/A")</f>
        <v>N/A</v>
      </c>
      <c r="N210" s="1600" t="str">
        <f t="shared" si="20"/>
        <v>N/A</v>
      </c>
      <c r="O210" s="1603"/>
      <c r="P210" s="1600" t="str">
        <f>IF($D210="Logistics",VLOOKUP($O210,'Lower Cask Movement &amp; Logistics'!$C$4:$D$54,2,FALSE),"N/A")</f>
        <v>N/A</v>
      </c>
      <c r="Q210" s="1603"/>
      <c r="R210" s="1600" t="str">
        <f>IFERROR(VLOOKUP($Q210,'Lower Cask Dependencies'!$C$5:$F$277,4,FALSE),"N/A")</f>
        <v>N/A</v>
      </c>
      <c r="S210" s="1600" t="str">
        <f t="shared" si="21"/>
        <v>N/A</v>
      </c>
    </row>
    <row r="211" spans="2:19" x14ac:dyDescent="0.35">
      <c r="B211" s="3784"/>
      <c r="C211" s="1597" t="s">
        <v>1697</v>
      </c>
      <c r="D211" s="1598" t="s">
        <v>251</v>
      </c>
      <c r="E211" s="1599">
        <f t="shared" si="19"/>
        <v>5.16</v>
      </c>
      <c r="F211" s="1599">
        <f t="shared" si="22"/>
        <v>385.0385795219762</v>
      </c>
      <c r="G211" s="1597" t="s">
        <v>273</v>
      </c>
      <c r="H211" s="1600">
        <f>IF(D211="operation",VLOOKUP(G211,'Generic Divertor Port Tasks'!C$4:D$223,2,FALSE),"N/A")</f>
        <v>5.16</v>
      </c>
      <c r="I211" s="1597"/>
      <c r="J211" s="1601"/>
      <c r="K211" s="1601"/>
      <c r="L211" s="1602" t="str">
        <f>IFERROR(INDEX('Lower Cask Movement &amp; Logistics'!$I$13:$O$19,MATCH($J211,'Lower Cask Movement &amp; Logistics'!$H$13:$H$19,0),MATCH($K211,'Lower Cask Movement &amp; Logistics'!$H$13:$H$19,0)),"N/A")</f>
        <v>N/A</v>
      </c>
      <c r="M211" s="1602" t="str">
        <f>IFERROR(VLOOKUP($I211,'Lower Cask Movement &amp; Logistics'!$H$4:$I$9,2,FALSE),"N/A")</f>
        <v>N/A</v>
      </c>
      <c r="N211" s="1600" t="str">
        <f t="shared" si="20"/>
        <v>N/A</v>
      </c>
      <c r="O211" s="1603"/>
      <c r="P211" s="1600" t="str">
        <f>IF($D211="Logistics",VLOOKUP($O211,'Lower Cask Movement &amp; Logistics'!$C$4:$D$54,2,FALSE),"N/A")</f>
        <v>N/A</v>
      </c>
      <c r="Q211" s="1603"/>
      <c r="R211" s="1600" t="str">
        <f>IFERROR(VLOOKUP($Q211,'Lower Cask Dependencies'!$C$5:$F$277,4,FALSE),"N/A")</f>
        <v>N/A</v>
      </c>
      <c r="S211" s="1600" t="str">
        <f t="shared" si="21"/>
        <v>N/A</v>
      </c>
    </row>
    <row r="212" spans="2:19" x14ac:dyDescent="0.35">
      <c r="B212" s="3784"/>
      <c r="C212" s="1597" t="s">
        <v>1698</v>
      </c>
      <c r="D212" s="1598" t="s">
        <v>251</v>
      </c>
      <c r="E212" s="1599">
        <f t="shared" si="19"/>
        <v>5.16</v>
      </c>
      <c r="F212" s="1599">
        <f t="shared" si="22"/>
        <v>390.19857952197623</v>
      </c>
      <c r="G212" s="1597" t="s">
        <v>273</v>
      </c>
      <c r="H212" s="1600">
        <f>IF(D212="operation",VLOOKUP(G212,'Generic Divertor Port Tasks'!C$4:D$223,2,FALSE),"N/A")</f>
        <v>5.16</v>
      </c>
      <c r="I212" s="1597"/>
      <c r="J212" s="1601"/>
      <c r="K212" s="1601"/>
      <c r="L212" s="1602" t="str">
        <f>IFERROR(INDEX('Lower Cask Movement &amp; Logistics'!$I$13:$O$19,MATCH($J212,'Lower Cask Movement &amp; Logistics'!$H$13:$H$19,0),MATCH($K212,'Lower Cask Movement &amp; Logistics'!$H$13:$H$19,0)),"N/A")</f>
        <v>N/A</v>
      </c>
      <c r="M212" s="1602" t="str">
        <f>IFERROR(VLOOKUP($I212,'Lower Cask Movement &amp; Logistics'!$H$4:$I$9,2,FALSE),"N/A")</f>
        <v>N/A</v>
      </c>
      <c r="N212" s="1600" t="str">
        <f t="shared" si="20"/>
        <v>N/A</v>
      </c>
      <c r="O212" s="1603"/>
      <c r="P212" s="1600" t="str">
        <f>IF($D212="Logistics",VLOOKUP($O212,'Lower Cask Movement &amp; Logistics'!$C$4:$D$54,2,FALSE),"N/A")</f>
        <v>N/A</v>
      </c>
      <c r="Q212" s="1603"/>
      <c r="R212" s="1600" t="str">
        <f>IFERROR(VLOOKUP($Q212,'Lower Cask Dependencies'!$C$5:$F$277,4,FALSE),"N/A")</f>
        <v>N/A</v>
      </c>
      <c r="S212" s="1600" t="str">
        <f t="shared" si="21"/>
        <v>N/A</v>
      </c>
    </row>
    <row r="213" spans="2:19" x14ac:dyDescent="0.35">
      <c r="B213" s="3784"/>
      <c r="C213" s="1597" t="s">
        <v>1590</v>
      </c>
      <c r="D213" s="1598" t="s">
        <v>3</v>
      </c>
      <c r="E213" s="1599">
        <f t="shared" si="19"/>
        <v>0.38</v>
      </c>
      <c r="F213" s="1599">
        <f t="shared" si="22"/>
        <v>390.57857952197622</v>
      </c>
      <c r="G213" s="1597"/>
      <c r="H213" s="1600" t="str">
        <f>IF(D213="operation",VLOOKUP(G213,'Generic Divertor Port Tasks'!C$4:D$223,2,FALSE),"N/A")</f>
        <v>N/A</v>
      </c>
      <c r="I213" s="1597"/>
      <c r="J213" s="1601"/>
      <c r="K213" s="1601"/>
      <c r="L213" s="1602" t="str">
        <f>IFERROR(INDEX('Lower Cask Movement &amp; Logistics'!$I$13:$O$19,MATCH($J213,'Lower Cask Movement &amp; Logistics'!$H$13:$H$19,0),MATCH($K213,'Lower Cask Movement &amp; Logistics'!$H$13:$H$19,0)),"N/A")</f>
        <v>N/A</v>
      </c>
      <c r="M213" s="1602" t="str">
        <f>IFERROR(VLOOKUP($I213,'Lower Cask Movement &amp; Logistics'!$H$4:$I$9,2,FALSE),"N/A")</f>
        <v>N/A</v>
      </c>
      <c r="N213" s="1600" t="str">
        <f t="shared" si="20"/>
        <v>N/A</v>
      </c>
      <c r="O213" s="1603" t="s">
        <v>1546</v>
      </c>
      <c r="P213" s="1600">
        <f>IF($D213="Logistics",VLOOKUP($O213,'Lower Cask Movement &amp; Logistics'!$C$4:$D$54,2,FALSE),"N/A")</f>
        <v>0.38</v>
      </c>
      <c r="Q213" s="1603"/>
      <c r="R213" s="1600" t="str">
        <f>IFERROR(VLOOKUP($Q213,'Lower Cask Dependencies'!$C$5:$F$277,4,FALSE),"N/A")</f>
        <v>N/A</v>
      </c>
      <c r="S213" s="1600" t="str">
        <f t="shared" si="21"/>
        <v>N/A</v>
      </c>
    </row>
    <row r="214" spans="2:19" ht="13.3" thickBot="1" x14ac:dyDescent="0.4">
      <c r="B214" s="3785"/>
      <c r="C214" s="1604" t="s">
        <v>1699</v>
      </c>
      <c r="D214" s="1605" t="s">
        <v>3</v>
      </c>
      <c r="E214" s="1606">
        <f t="shared" si="19"/>
        <v>2.3000000000000003</v>
      </c>
      <c r="F214" s="1606">
        <f t="shared" si="22"/>
        <v>392.87857952197623</v>
      </c>
      <c r="G214" s="1604"/>
      <c r="H214" s="1607" t="str">
        <f>IF(D214="operation",VLOOKUP(G214,'Generic Divertor Port Tasks'!C$4:D$223,2,FALSE),"N/A")</f>
        <v>N/A</v>
      </c>
      <c r="I214" s="1604"/>
      <c r="J214" s="1608"/>
      <c r="K214" s="1608"/>
      <c r="L214" s="1609" t="str">
        <f>IFERROR(INDEX('Lower Cask Movement &amp; Logistics'!$I$13:$O$19,MATCH($J214,'Lower Cask Movement &amp; Logistics'!$H$13:$H$19,0),MATCH($K214,'Lower Cask Movement &amp; Logistics'!$H$13:$H$19,0)),"N/A")</f>
        <v>N/A</v>
      </c>
      <c r="M214" s="1609" t="str">
        <f>IFERROR(VLOOKUP($I214,'Lower Cask Movement &amp; Logistics'!$H$4:$I$9,2,FALSE),"N/A")</f>
        <v>N/A</v>
      </c>
      <c r="N214" s="1607" t="str">
        <f t="shared" si="20"/>
        <v>N/A</v>
      </c>
      <c r="O214" s="1610" t="s">
        <v>1552</v>
      </c>
      <c r="P214" s="1607">
        <f>IF($D214="Logistics",VLOOKUP($O214,'Lower Cask Movement &amp; Logistics'!$C$4:$D$54,2,FALSE),"N/A")</f>
        <v>2.3000000000000003</v>
      </c>
      <c r="Q214" s="1610"/>
      <c r="R214" s="1607" t="str">
        <f>IFERROR(VLOOKUP($Q214,'Lower Cask Dependencies'!$C$5:$F$277,4,FALSE),"N/A")</f>
        <v>N/A</v>
      </c>
      <c r="S214" s="1607" t="str">
        <f t="shared" si="21"/>
        <v>N/A</v>
      </c>
    </row>
    <row r="215" spans="2:19" x14ac:dyDescent="0.35">
      <c r="B215" s="3787" t="s">
        <v>1700</v>
      </c>
      <c r="C215" s="566" t="s">
        <v>1579</v>
      </c>
      <c r="D215" s="566" t="s">
        <v>3</v>
      </c>
      <c r="E215" s="567">
        <f t="shared" si="19"/>
        <v>1.9</v>
      </c>
      <c r="F215" s="1621">
        <f t="shared" si="22"/>
        <v>394.77857952197621</v>
      </c>
      <c r="G215" s="803"/>
      <c r="H215" s="1175" t="str">
        <f>IF(D215="operation",VLOOKUP(G215,'Generic Divertor Port Tasks'!C$4:D$223,2,FALSE),"N/A")</f>
        <v>N/A</v>
      </c>
      <c r="I215" s="803"/>
      <c r="J215" s="566"/>
      <c r="K215" s="566"/>
      <c r="L215" s="1623" t="str">
        <f>IFERROR(INDEX('Lower Cask Movement &amp; Logistics'!$I$13:$O$19,MATCH($J215,'Lower Cask Movement &amp; Logistics'!$H$13:$H$19,0),MATCH($K215,'Lower Cask Movement &amp; Logistics'!$H$13:$H$19,0)),"N/A")</f>
        <v>N/A</v>
      </c>
      <c r="M215" s="1623" t="str">
        <f>IFERROR(VLOOKUP($I215,'Lower Cask Movement &amp; Logistics'!$H$4:$I$9,2,FALSE),"N/A")</f>
        <v>N/A</v>
      </c>
      <c r="N215" s="1575" t="str">
        <f t="shared" si="20"/>
        <v>N/A</v>
      </c>
      <c r="O215" s="1664" t="s">
        <v>1541</v>
      </c>
      <c r="P215" s="1175">
        <f>IF($D215="Logistics",VLOOKUP($O215,'Lower Cask Movement &amp; Logistics'!$C$4:$D$54,2,FALSE),"N/A")</f>
        <v>1.9</v>
      </c>
      <c r="Q215" s="1664" t="s">
        <v>1701</v>
      </c>
      <c r="R215" s="1175">
        <f>IFERROR(VLOOKUP($Q215,'Lower Cask Dependencies'!$C$5:$F$277,4,FALSE),"N/A")</f>
        <v>320.41933352046789</v>
      </c>
      <c r="S215" s="1175">
        <f t="shared" si="21"/>
        <v>72.459246001508347</v>
      </c>
    </row>
    <row r="216" spans="2:19" x14ac:dyDescent="0.35">
      <c r="B216" s="3786"/>
      <c r="C216" s="573" t="s">
        <v>1581</v>
      </c>
      <c r="D216" s="573" t="s">
        <v>3</v>
      </c>
      <c r="E216" s="1276">
        <f t="shared" si="19"/>
        <v>0.38</v>
      </c>
      <c r="F216" s="626">
        <f t="shared" si="22"/>
        <v>395.15857952197621</v>
      </c>
      <c r="G216" s="1131"/>
      <c r="H216" s="1176" t="str">
        <f>IF(D216="operation",VLOOKUP(G216,'Generic Divertor Port Tasks'!C$4:D$223,2,FALSE),"N/A")</f>
        <v>N/A</v>
      </c>
      <c r="I216" s="1131"/>
      <c r="J216" s="573"/>
      <c r="K216" s="573"/>
      <c r="L216" s="853" t="str">
        <f>IFERROR(INDEX('Lower Cask Movement &amp; Logistics'!$I$13:$O$19,MATCH($J216,'Lower Cask Movement &amp; Logistics'!$H$13:$H$19,0),MATCH($K216,'Lower Cask Movement &amp; Logistics'!$H$13:$H$19,0)),"N/A")</f>
        <v>N/A</v>
      </c>
      <c r="M216" s="853" t="str">
        <f>IFERROR(VLOOKUP($I216,'Lower Cask Movement &amp; Logistics'!$H$4:$I$9,2,FALSE),"N/A")</f>
        <v>N/A</v>
      </c>
      <c r="N216" s="1176" t="str">
        <f t="shared" si="20"/>
        <v>N/A</v>
      </c>
      <c r="O216" s="1580" t="s">
        <v>1544</v>
      </c>
      <c r="P216" s="1176">
        <f>IF($D216="Logistics",VLOOKUP($O216,'Lower Cask Movement &amp; Logistics'!$C$4:$D$54,2,FALSE),"N/A")</f>
        <v>0.38</v>
      </c>
      <c r="Q216" s="1580"/>
      <c r="R216" s="1176" t="str">
        <f>IFERROR(VLOOKUP($Q216,'Lower Cask Dependencies'!$C$5:$F$277,4,FALSE),"N/A")</f>
        <v>N/A</v>
      </c>
      <c r="S216" s="1176" t="str">
        <f t="shared" si="21"/>
        <v>N/A</v>
      </c>
    </row>
    <row r="217" spans="2:19" x14ac:dyDescent="0.35">
      <c r="B217" s="3786"/>
      <c r="C217" s="573" t="s">
        <v>1702</v>
      </c>
      <c r="D217" s="573" t="s">
        <v>251</v>
      </c>
      <c r="E217" s="1276">
        <f t="shared" si="19"/>
        <v>4.3500000000000005</v>
      </c>
      <c r="F217" s="626">
        <f t="shared" si="22"/>
        <v>399.50857952197623</v>
      </c>
      <c r="G217" s="1131" t="s">
        <v>694</v>
      </c>
      <c r="H217" s="1176">
        <f>IF(D217="operation",VLOOKUP(G217,'Generic Divertor Port Tasks'!C$4:D$223,2,FALSE),"N/A")</f>
        <v>4.3500000000000005</v>
      </c>
      <c r="I217" s="1131"/>
      <c r="J217" s="573"/>
      <c r="K217" s="573"/>
      <c r="L217" s="853" t="str">
        <f>IFERROR(INDEX('Lower Cask Movement &amp; Logistics'!$I$13:$O$19,MATCH($J217,'Lower Cask Movement &amp; Logistics'!$H$13:$H$19,0),MATCH($K217,'Lower Cask Movement &amp; Logistics'!$H$13:$H$19,0)),"N/A")</f>
        <v>N/A</v>
      </c>
      <c r="M217" s="853" t="str">
        <f>IFERROR(VLOOKUP($I217,'Lower Cask Movement &amp; Logistics'!$H$4:$I$9,2,FALSE),"N/A")</f>
        <v>N/A</v>
      </c>
      <c r="N217" s="1176" t="str">
        <f t="shared" si="20"/>
        <v>N/A</v>
      </c>
      <c r="O217" s="1580"/>
      <c r="P217" s="1176" t="str">
        <f>IF($D217="Logistics",VLOOKUP($O217,'Lower Cask Movement &amp; Logistics'!$C$4:$D$54,2,FALSE),"N/A")</f>
        <v>N/A</v>
      </c>
      <c r="Q217" s="1580"/>
      <c r="R217" s="1176" t="str">
        <f>IFERROR(VLOOKUP($Q217,'Lower Cask Dependencies'!$C$5:$F$277,4,FALSE),"N/A")</f>
        <v>N/A</v>
      </c>
      <c r="S217" s="1176" t="str">
        <f t="shared" si="21"/>
        <v>N/A</v>
      </c>
    </row>
    <row r="218" spans="2:19" x14ac:dyDescent="0.35">
      <c r="B218" s="3786"/>
      <c r="C218" s="573" t="s">
        <v>1703</v>
      </c>
      <c r="D218" s="573" t="s">
        <v>3</v>
      </c>
      <c r="E218" s="1276">
        <v>0.38</v>
      </c>
      <c r="F218" s="626">
        <f t="shared" si="22"/>
        <v>399.88857952197623</v>
      </c>
      <c r="G218" s="1131"/>
      <c r="H218" s="1176" t="str">
        <f>IF(D218="operation",VLOOKUP(G218,'Generic Divertor Port Tasks'!C$4:D$223,2,FALSE),"N/A")</f>
        <v>N/A</v>
      </c>
      <c r="I218" s="1131"/>
      <c r="J218" s="573"/>
      <c r="K218" s="573"/>
      <c r="L218" s="853" t="s">
        <v>263</v>
      </c>
      <c r="M218" s="853" t="s">
        <v>263</v>
      </c>
      <c r="N218" s="1176" t="s">
        <v>263</v>
      </c>
      <c r="O218" s="1580" t="s">
        <v>1546</v>
      </c>
      <c r="P218" s="1176">
        <v>0.38</v>
      </c>
      <c r="Q218" s="1580"/>
      <c r="R218" s="1176" t="str">
        <f>IFERROR(VLOOKUP($Q218,'Lower Cask Dependencies'!$C$5:$F$277,4,FALSE),"N/A")</f>
        <v>N/A</v>
      </c>
      <c r="S218" s="1176" t="str">
        <f t="shared" si="21"/>
        <v>N/A</v>
      </c>
    </row>
    <row r="219" spans="2:19" ht="13.3" thickBot="1" x14ac:dyDescent="0.4">
      <c r="B219" s="3788"/>
      <c r="C219" s="584" t="s">
        <v>1704</v>
      </c>
      <c r="D219" s="584" t="s">
        <v>3</v>
      </c>
      <c r="E219" s="1632">
        <f t="shared" ref="E219:E230" si="23">MAX($P219,$N219,$H219)</f>
        <v>2.3000000000000003</v>
      </c>
      <c r="F219" s="585">
        <f t="shared" si="22"/>
        <v>402.18857952197624</v>
      </c>
      <c r="G219" s="1136"/>
      <c r="H219" s="1179" t="str">
        <f>IF(D219="operation",VLOOKUP(G219,'Generic Divertor Port Tasks'!C$4:D$223,2,FALSE),"N/A")</f>
        <v>N/A</v>
      </c>
      <c r="I219" s="1136"/>
      <c r="J219" s="584"/>
      <c r="K219" s="584"/>
      <c r="L219" s="814" t="str">
        <f>IFERROR(INDEX('Lower Cask Movement &amp; Logistics'!$I$13:$O$19,MATCH($J219,'Lower Cask Movement &amp; Logistics'!$H$13:$H$19,0),MATCH($K219,'Lower Cask Movement &amp; Logistics'!$H$13:$H$19,0)),"N/A")</f>
        <v>N/A</v>
      </c>
      <c r="M219" s="814" t="str">
        <f>IFERROR(VLOOKUP($I219,'Lower Cask Movement &amp; Logistics'!$H$4:$I$9,2,FALSE),"N/A")</f>
        <v>N/A</v>
      </c>
      <c r="N219" s="1179" t="str">
        <f t="shared" ref="N219:N230" si="24">IF(D219="Movement",IFERROR((L219/M219)/(60*60),"Error"),"N/A")</f>
        <v>N/A</v>
      </c>
      <c r="O219" s="1582" t="s">
        <v>1552</v>
      </c>
      <c r="P219" s="1179">
        <f>IF($D219="Logistics",VLOOKUP($O219,'Lower Cask Movement &amp; Logistics'!$C$4:$D$54,2,FALSE),"N/A")</f>
        <v>2.3000000000000003</v>
      </c>
      <c r="Q219" s="1582"/>
      <c r="R219" s="1179" t="str">
        <f>IFERROR(VLOOKUP($Q219,'Lower Cask Dependencies'!$C$5:$F$277,4,FALSE),"N/A")</f>
        <v>N/A</v>
      </c>
      <c r="S219" s="1179" t="str">
        <f t="shared" si="21"/>
        <v>N/A</v>
      </c>
    </row>
    <row r="220" spans="2:19" ht="15.75" customHeight="1" x14ac:dyDescent="0.35">
      <c r="B220" s="3783" t="s">
        <v>1705</v>
      </c>
      <c r="C220" s="1662" t="s">
        <v>1571</v>
      </c>
      <c r="D220" s="1662" t="s">
        <v>3</v>
      </c>
      <c r="E220" s="1634">
        <f t="shared" si="23"/>
        <v>1.9</v>
      </c>
      <c r="F220" s="1634">
        <f t="shared" si="22"/>
        <v>404.08857952197621</v>
      </c>
      <c r="G220" s="1660"/>
      <c r="H220" s="1636" t="str">
        <f>IF(D220="operation",VLOOKUP(G220,'Generic Divertor Port Tasks'!C$4:D$223,2,FALSE),"N/A")</f>
        <v>N/A</v>
      </c>
      <c r="I220" s="1660"/>
      <c r="J220" s="1662"/>
      <c r="K220" s="1665"/>
      <c r="L220" s="1666" t="str">
        <f>IFERROR(INDEX('Lower Hot Cell Logistics'!$I$13:$O$19,MATCH($J220,'Lower Hot Cell Logistics'!$H$13:$H$19,0),MATCH($K220,'Lower Hot Cell Logistics'!$H$13:$H$19,0)),"N/A")</f>
        <v>N/A</v>
      </c>
      <c r="M220" s="1635" t="str">
        <f>IFERROR(VLOOKUP($I220,'Lower Hot Cell Logistics'!$H$4:$I$9,2,FALSE),"N/A")</f>
        <v>N/A</v>
      </c>
      <c r="N220" s="1636" t="str">
        <f t="shared" si="24"/>
        <v>N/A</v>
      </c>
      <c r="O220" s="1663" t="s">
        <v>1541</v>
      </c>
      <c r="P220" s="1636">
        <f>IF($D220="Logistics",VLOOKUP($O220,'Lower Cask Movement &amp; Logistics'!$C$4:$D$54,2,FALSE),"N/A")</f>
        <v>1.9</v>
      </c>
      <c r="Q220" s="1663" t="s">
        <v>2683</v>
      </c>
      <c r="R220" s="1636" t="str">
        <f>IFERROR(VLOOKUP($Q220,'Lower Cask Dependencies'!$C$5:$F$277,4,FALSE),"N/A")</f>
        <v>N/A</v>
      </c>
      <c r="S220" s="1636" t="str">
        <f t="shared" si="21"/>
        <v>N/A</v>
      </c>
    </row>
    <row r="221" spans="2:19" ht="15" customHeight="1" x14ac:dyDescent="0.35">
      <c r="B221" s="3784"/>
      <c r="C221" s="1590" t="s">
        <v>1707</v>
      </c>
      <c r="D221" s="1590" t="s">
        <v>3</v>
      </c>
      <c r="E221" s="1592">
        <f t="shared" si="23"/>
        <v>0.38</v>
      </c>
      <c r="F221" s="1599">
        <f t="shared" si="22"/>
        <v>404.46857952197621</v>
      </c>
      <c r="G221" s="1593"/>
      <c r="H221" s="1594" t="str">
        <f>IF(D221="operation",VLOOKUP(G221,'Generic Divertor Port Tasks'!C$4:D$223,2,FALSE),"N/A")</f>
        <v>N/A</v>
      </c>
      <c r="I221" s="1593"/>
      <c r="J221" s="1590"/>
      <c r="K221" s="1667"/>
      <c r="L221" s="1668" t="str">
        <f>IFERROR(INDEX('Lower Hot Cell Logistics'!$I$13:$O$19,MATCH($J221,'Lower Hot Cell Logistics'!$H$13:$H$19,0),MATCH($K221,'Lower Hot Cell Logistics'!$H$13:$H$19,0)),"N/A")</f>
        <v>N/A</v>
      </c>
      <c r="M221" s="1595" t="str">
        <f>IFERROR(VLOOKUP($I221,'Lower Hot Cell Logistics'!$H$4:$I$9,2,FALSE),"N/A")</f>
        <v>N/A</v>
      </c>
      <c r="N221" s="1594" t="str">
        <f t="shared" si="24"/>
        <v>N/A</v>
      </c>
      <c r="O221" s="1596" t="s">
        <v>1544</v>
      </c>
      <c r="P221" s="1594">
        <f>IF($D221="Logistics",VLOOKUP($O221,'Lower Cask Movement &amp; Logistics'!$C$4:$D$54,2,FALSE),"N/A")</f>
        <v>0.38</v>
      </c>
      <c r="Q221" s="1596"/>
      <c r="R221" s="1594" t="str">
        <f>IFERROR(VLOOKUP($Q221,'Lower Cask Dependencies'!$C$5:$F$277,4,FALSE),"N/A")</f>
        <v>N/A</v>
      </c>
      <c r="S221" s="1594" t="str">
        <f t="shared" si="21"/>
        <v>N/A</v>
      </c>
    </row>
    <row r="222" spans="2:19" x14ac:dyDescent="0.35">
      <c r="B222" s="3784"/>
      <c r="C222" s="1590" t="s">
        <v>1708</v>
      </c>
      <c r="D222" s="1590" t="s">
        <v>251</v>
      </c>
      <c r="E222" s="1626">
        <f t="shared" si="23"/>
        <v>4.5</v>
      </c>
      <c r="F222" s="1599">
        <f t="shared" si="22"/>
        <v>408.96857952197621</v>
      </c>
      <c r="G222" s="1593" t="s">
        <v>443</v>
      </c>
      <c r="H222" s="1594">
        <f>IF(D222="operation",VLOOKUP(G222,'Generic Divertor Port Tasks'!C$4:D$223,2,FALSE),"N/A")</f>
        <v>4.5</v>
      </c>
      <c r="I222" s="1593"/>
      <c r="J222" s="1590"/>
      <c r="K222" s="1667"/>
      <c r="L222" s="1668" t="str">
        <f>IFERROR(INDEX('Lower Hot Cell Logistics'!$I$13:$O$19,MATCH($J222,'Lower Hot Cell Logistics'!$H$13:$H$19,0),MATCH($K222,'Lower Hot Cell Logistics'!$H$13:$H$19,0)),"N/A")</f>
        <v>N/A</v>
      </c>
      <c r="M222" s="1595" t="str">
        <f>IFERROR(VLOOKUP($I222,'Lower Hot Cell Logistics'!$H$4:$I$9,2,FALSE),"N/A")</f>
        <v>N/A</v>
      </c>
      <c r="N222" s="1594" t="str">
        <f t="shared" si="24"/>
        <v>N/A</v>
      </c>
      <c r="O222" s="1596"/>
      <c r="P222" s="1594" t="str">
        <f>IF($D222="Logistics",VLOOKUP($O222,'Lower Cask Movement &amp; Logistics'!$C$4:$D$54,2,FALSE),"N/A")</f>
        <v>N/A</v>
      </c>
      <c r="Q222" s="1596"/>
      <c r="R222" s="1594" t="str">
        <f>IFERROR(VLOOKUP($Q222,'Lower Cask Dependencies'!$C$5:$F$277,4,FALSE),"N/A")</f>
        <v>N/A</v>
      </c>
      <c r="S222" s="1594" t="str">
        <f t="shared" si="21"/>
        <v>N/A</v>
      </c>
    </row>
    <row r="223" spans="2:19" x14ac:dyDescent="0.35">
      <c r="B223" s="3784"/>
      <c r="C223" s="1590" t="s">
        <v>1709</v>
      </c>
      <c r="D223" s="1590" t="s">
        <v>3</v>
      </c>
      <c r="E223" s="1626">
        <f t="shared" si="23"/>
        <v>0.38</v>
      </c>
      <c r="F223" s="1599">
        <f t="shared" si="22"/>
        <v>409.34857952197621</v>
      </c>
      <c r="G223" s="1593"/>
      <c r="H223" s="1594" t="str">
        <f>IF(D223="operation",VLOOKUP(G223,'Generic Divertor Port Tasks'!C$4:D$223,2,FALSE),"N/A")</f>
        <v>N/A</v>
      </c>
      <c r="I223" s="1593"/>
      <c r="J223" s="1590"/>
      <c r="K223" s="1667"/>
      <c r="L223" s="1668" t="str">
        <f>IFERROR(INDEX('Lower Hot Cell Logistics'!$I$13:$O$19,MATCH($J223,'Lower Hot Cell Logistics'!$H$13:$H$19,0),MATCH($K223,'Lower Hot Cell Logistics'!$H$13:$H$19,0)),"N/A")</f>
        <v>N/A</v>
      </c>
      <c r="M223" s="1595" t="str">
        <f>IFERROR(VLOOKUP($I223,'Lower Hot Cell Logistics'!$H$4:$I$9,2,FALSE),"N/A")</f>
        <v>N/A</v>
      </c>
      <c r="N223" s="1594" t="str">
        <f t="shared" si="24"/>
        <v>N/A</v>
      </c>
      <c r="O223" s="1596" t="s">
        <v>1546</v>
      </c>
      <c r="P223" s="1594">
        <f>IF($D223="Logistics",VLOOKUP($O223,'Lower Cask Movement &amp; Logistics'!$C$4:$D$54,2,FALSE),"N/A")</f>
        <v>0.38</v>
      </c>
      <c r="Q223" s="1596"/>
      <c r="R223" s="1594" t="str">
        <f>IFERROR(VLOOKUP($Q223,'Lower Cask Dependencies'!$C$5:$F$277,4,FALSE),"N/A")</f>
        <v>N/A</v>
      </c>
      <c r="S223" s="1594" t="str">
        <f t="shared" si="21"/>
        <v>N/A</v>
      </c>
    </row>
    <row r="224" spans="2:19" x14ac:dyDescent="0.35">
      <c r="B224" s="3784"/>
      <c r="C224" s="1590" t="s">
        <v>1252</v>
      </c>
      <c r="D224" s="1590" t="s">
        <v>3</v>
      </c>
      <c r="E224" s="1626">
        <f t="shared" si="23"/>
        <v>0.38</v>
      </c>
      <c r="F224" s="1599">
        <f t="shared" si="22"/>
        <v>409.7285795219762</v>
      </c>
      <c r="G224" s="1593"/>
      <c r="H224" s="1594" t="str">
        <f>IF(D224="operation",VLOOKUP(G224,'Generic Divertor Port Tasks'!C$4:D$223,2,FALSE),"N/A")</f>
        <v>N/A</v>
      </c>
      <c r="I224" s="1593"/>
      <c r="J224" s="1590"/>
      <c r="K224" s="1667"/>
      <c r="L224" s="1668" t="str">
        <f>IFERROR(INDEX('Lower Hot Cell Logistics'!$I$13:$O$19,MATCH($J224,'Lower Hot Cell Logistics'!$H$13:$H$19,0),MATCH($K224,'Lower Hot Cell Logistics'!$H$13:$H$19,0)),"N/A")</f>
        <v>N/A</v>
      </c>
      <c r="M224" s="1595" t="str">
        <f>IFERROR(VLOOKUP($I224,'Lower Hot Cell Logistics'!$H$4:$I$9,2,FALSE),"N/A")</f>
        <v>N/A</v>
      </c>
      <c r="N224" s="1594" t="str">
        <f t="shared" si="24"/>
        <v>N/A</v>
      </c>
      <c r="O224" s="1596" t="s">
        <v>1544</v>
      </c>
      <c r="P224" s="1594">
        <f>IF($D224="Logistics",VLOOKUP($O224,'Lower Cask Movement &amp; Logistics'!$C$4:$D$54,2,FALSE),"N/A")</f>
        <v>0.38</v>
      </c>
      <c r="Q224" s="1596"/>
      <c r="R224" s="1594" t="str">
        <f>IFERROR(VLOOKUP($Q224,'Lower Cask Dependencies'!$C$5:$F$277,4,FALSE),"N/A")</f>
        <v>N/A</v>
      </c>
      <c r="S224" s="1594" t="str">
        <f t="shared" si="21"/>
        <v>N/A</v>
      </c>
    </row>
    <row r="225" spans="2:19" x14ac:dyDescent="0.35">
      <c r="B225" s="3784"/>
      <c r="C225" s="1590" t="s">
        <v>2519</v>
      </c>
      <c r="D225" s="1590" t="s">
        <v>251</v>
      </c>
      <c r="E225" s="1626">
        <f t="shared" si="23"/>
        <v>6.9944444444444454</v>
      </c>
      <c r="F225" s="1599">
        <f t="shared" si="22"/>
        <v>416.72302396642067</v>
      </c>
      <c r="G225" s="1593" t="s">
        <v>1710</v>
      </c>
      <c r="H225" s="1594">
        <f>IF(D225="operation",VLOOKUP(G225,'Generic Divertor Port Tasks'!C$4:D$223,2,FALSE),"N/A")</f>
        <v>6.9944444444444454</v>
      </c>
      <c r="I225" s="1593"/>
      <c r="J225" s="1590"/>
      <c r="K225" s="1667"/>
      <c r="L225" s="1668" t="str">
        <f>IFERROR(INDEX('Lower Hot Cell Logistics'!$I$13:$O$19,MATCH($J225,'Lower Hot Cell Logistics'!$H$13:$H$19,0),MATCH($K225,'Lower Hot Cell Logistics'!$H$13:$H$19,0)),"N/A")</f>
        <v>N/A</v>
      </c>
      <c r="M225" s="1595" t="str">
        <f>IFERROR(VLOOKUP($I225,'Lower Hot Cell Logistics'!$H$4:$I$9,2,FALSE),"N/A")</f>
        <v>N/A</v>
      </c>
      <c r="N225" s="1594" t="str">
        <f t="shared" si="24"/>
        <v>N/A</v>
      </c>
      <c r="O225" s="1596"/>
      <c r="P225" s="1594" t="str">
        <f>IF($D225="Logistics",VLOOKUP($O225,'Lower Cask Movement &amp; Logistics'!$C$4:$D$54,2,FALSE),"N/A")</f>
        <v>N/A</v>
      </c>
      <c r="Q225" s="1596"/>
      <c r="R225" s="1594" t="str">
        <f>IFERROR(VLOOKUP($Q225,'Lower Cask Dependencies'!$C$5:$F$277,4,FALSE),"N/A")</f>
        <v>N/A</v>
      </c>
      <c r="S225" s="1594" t="str">
        <f t="shared" si="21"/>
        <v>N/A</v>
      </c>
    </row>
    <row r="226" spans="2:19" x14ac:dyDescent="0.35">
      <c r="B226" s="3797"/>
      <c r="C226" s="1590" t="s">
        <v>1590</v>
      </c>
      <c r="D226" s="1590" t="s">
        <v>3</v>
      </c>
      <c r="E226" s="1626">
        <f t="shared" si="23"/>
        <v>0.38</v>
      </c>
      <c r="F226" s="1599">
        <f t="shared" si="22"/>
        <v>417.10302396642066</v>
      </c>
      <c r="G226" s="1593"/>
      <c r="H226" s="1594" t="str">
        <f>IF(D226="operation",VLOOKUP(G226,'Generic Divertor Port Tasks'!C$4:D$223,2,FALSE),"N/A")</f>
        <v>N/A</v>
      </c>
      <c r="I226" s="1593"/>
      <c r="J226" s="1590"/>
      <c r="K226" s="1667"/>
      <c r="L226" s="1668" t="str">
        <f>IFERROR(INDEX('Lower Hot Cell Logistics'!$I$13:$O$19,MATCH($J226,'Lower Hot Cell Logistics'!$H$13:$H$19,0),MATCH($K226,'Lower Hot Cell Logistics'!$H$13:$H$19,0)),"N/A")</f>
        <v>N/A</v>
      </c>
      <c r="M226" s="1595" t="str">
        <f>IFERROR(VLOOKUP($I226,'Lower Hot Cell Logistics'!$H$4:$I$9,2,FALSE),"N/A")</f>
        <v>N/A</v>
      </c>
      <c r="N226" s="1594" t="str">
        <f t="shared" si="24"/>
        <v>N/A</v>
      </c>
      <c r="O226" s="1596" t="s">
        <v>1546</v>
      </c>
      <c r="P226" s="1594">
        <f>IF($D226="Logistics",VLOOKUP($O226,'Lower Cask Movement &amp; Logistics'!$C$4:$D$54,2,FALSE),"N/A")</f>
        <v>0.38</v>
      </c>
      <c r="Q226" s="1596"/>
      <c r="R226" s="1594" t="str">
        <f>IFERROR(VLOOKUP($Q226,'Lower Cask Dependencies'!$C$5:$F$277,4,FALSE),"N/A")</f>
        <v>N/A</v>
      </c>
      <c r="S226" s="1594" t="str">
        <f t="shared" si="21"/>
        <v>N/A</v>
      </c>
    </row>
    <row r="227" spans="2:19" ht="13.3" thickBot="1" x14ac:dyDescent="0.4">
      <c r="B227" s="3798"/>
      <c r="C227" s="1608" t="s">
        <v>1576</v>
      </c>
      <c r="D227" s="1608" t="s">
        <v>3</v>
      </c>
      <c r="E227" s="1637">
        <f t="shared" si="23"/>
        <v>2.3000000000000003</v>
      </c>
      <c r="F227" s="1606">
        <f t="shared" si="22"/>
        <v>419.40302396642068</v>
      </c>
      <c r="G227" s="1604"/>
      <c r="H227" s="1607" t="str">
        <f>IF(D227="operation",VLOOKUP(G227,'Generic Divertor Port Tasks'!C$4:D$223,2,FALSE),"N/A")</f>
        <v>N/A</v>
      </c>
      <c r="I227" s="1604"/>
      <c r="J227" s="1608"/>
      <c r="K227" s="1669"/>
      <c r="L227" s="1670" t="str">
        <f>IFERROR(INDEX('Lower Hot Cell Logistics'!$I$13:$O$19,MATCH($J227,'Lower Hot Cell Logistics'!$H$13:$H$19,0),MATCH($K227,'Lower Hot Cell Logistics'!$H$13:$H$19,0)),"N/A")</f>
        <v>N/A</v>
      </c>
      <c r="M227" s="1609" t="str">
        <f>IFERROR(VLOOKUP($I227,'Lower Hot Cell Logistics'!$H$4:$I$9,2,FALSE),"N/A")</f>
        <v>N/A</v>
      </c>
      <c r="N227" s="1607" t="str">
        <f t="shared" si="24"/>
        <v>N/A</v>
      </c>
      <c r="O227" s="1610" t="s">
        <v>1577</v>
      </c>
      <c r="P227" s="1607">
        <f>IF($D227="Logistics",VLOOKUP($O227,'Lower Cask Movement &amp; Logistics'!$C$4:$D$54,2,FALSE),"N/A")</f>
        <v>2.3000000000000003</v>
      </c>
      <c r="Q227" s="1610"/>
      <c r="R227" s="1607" t="str">
        <f>IFERROR(VLOOKUP($Q227,'Lower Cask Dependencies'!$C$5:$F$277,4,FALSE),"N/A")</f>
        <v>N/A</v>
      </c>
      <c r="S227" s="1607" t="str">
        <f t="shared" si="21"/>
        <v>N/A</v>
      </c>
    </row>
    <row r="228" spans="2:19" x14ac:dyDescent="0.35">
      <c r="B228" s="3787" t="s">
        <v>1711</v>
      </c>
      <c r="C228" s="566" t="s">
        <v>1564</v>
      </c>
      <c r="D228" s="566" t="s">
        <v>3</v>
      </c>
      <c r="E228" s="567">
        <f t="shared" si="23"/>
        <v>1.9</v>
      </c>
      <c r="F228" s="1621">
        <f t="shared" si="22"/>
        <v>421.30302396642065</v>
      </c>
      <c r="G228" s="803"/>
      <c r="H228" s="1175" t="str">
        <f>IF(D228="operation",VLOOKUP(G228,'Generic Divertor Port Tasks'!C$4:D$223,2,FALSE),"N/A")</f>
        <v>N/A</v>
      </c>
      <c r="I228" s="803"/>
      <c r="J228" s="566"/>
      <c r="K228" s="566"/>
      <c r="L228" s="1623" t="str">
        <f>IFERROR(INDEX('Lower Cask Movement &amp; Logistics'!$I$13:$O$19,MATCH($J228,'Lower Cask Movement &amp; Logistics'!$H$13:$H$19,0),MATCH($K228,'Lower Cask Movement &amp; Logistics'!$H$13:$H$19,0)),"N/A")</f>
        <v>N/A</v>
      </c>
      <c r="M228" s="1623" t="str">
        <f>IFERROR(VLOOKUP($I228,'Lower Cask Movement &amp; Logistics'!$H$4:$I$9,2,FALSE),"N/A")</f>
        <v>N/A</v>
      </c>
      <c r="N228" s="1575" t="str">
        <f t="shared" si="24"/>
        <v>N/A</v>
      </c>
      <c r="O228" s="1664" t="s">
        <v>1541</v>
      </c>
      <c r="P228" s="1175">
        <f>IF($D228="Logistics",VLOOKUP($O228,'Lower Cask Movement &amp; Logistics'!$C$4:$D$54,2,FALSE),"N/A")</f>
        <v>1.9</v>
      </c>
      <c r="Q228" s="1664" t="s">
        <v>1712</v>
      </c>
      <c r="R228" s="1175">
        <f>IFERROR(VLOOKUP($Q228,'Lower Cask Dependencies'!$C$5:$F$277,4,FALSE),"N/A")</f>
        <v>404.02450544790213</v>
      </c>
      <c r="S228" s="1175">
        <f t="shared" si="21"/>
        <v>15.378518518518547</v>
      </c>
    </row>
    <row r="229" spans="2:19" x14ac:dyDescent="0.35">
      <c r="B229" s="3786"/>
      <c r="C229" s="573" t="s">
        <v>1566</v>
      </c>
      <c r="D229" s="573" t="s">
        <v>3</v>
      </c>
      <c r="E229" s="1276">
        <f t="shared" si="23"/>
        <v>0.38</v>
      </c>
      <c r="F229" s="626">
        <f t="shared" si="22"/>
        <v>421.68302396642065</v>
      </c>
      <c r="G229" s="1131"/>
      <c r="H229" s="1176" t="str">
        <f>IF(D229="operation",VLOOKUP(G229,'Generic Divertor Port Tasks'!C$4:D$223,2,FALSE),"N/A")</f>
        <v>N/A</v>
      </c>
      <c r="I229" s="1131"/>
      <c r="J229" s="573"/>
      <c r="K229" s="573"/>
      <c r="L229" s="853" t="str">
        <f>IFERROR(INDEX('Lower Cask Movement &amp; Logistics'!$I$13:$O$19,MATCH($J229,'Lower Cask Movement &amp; Logistics'!$H$13:$H$19,0),MATCH($K229,'Lower Cask Movement &amp; Logistics'!$H$13:$H$19,0)),"N/A")</f>
        <v>N/A</v>
      </c>
      <c r="M229" s="853" t="str">
        <f>IFERROR(VLOOKUP($I229,'Lower Cask Movement &amp; Logistics'!$H$4:$I$9,2,FALSE),"N/A")</f>
        <v>N/A</v>
      </c>
      <c r="N229" s="1176" t="str">
        <f t="shared" si="24"/>
        <v>N/A</v>
      </c>
      <c r="O229" s="1580" t="s">
        <v>1544</v>
      </c>
      <c r="P229" s="1176">
        <f>IF($D229="Logistics",VLOOKUP($O229,'Lower Cask Movement &amp; Logistics'!$C$4:$D$54,2,FALSE),"N/A")</f>
        <v>0.38</v>
      </c>
      <c r="Q229" s="1580"/>
      <c r="R229" s="1176" t="str">
        <f>IFERROR(VLOOKUP($Q229,'Lower Cask Dependencies'!$C$5:$F$277,4,FALSE),"N/A")</f>
        <v>N/A</v>
      </c>
      <c r="S229" s="1176" t="str">
        <f t="shared" si="21"/>
        <v>N/A</v>
      </c>
    </row>
    <row r="230" spans="2:19" x14ac:dyDescent="0.35">
      <c r="B230" s="3786"/>
      <c r="C230" s="573" t="s">
        <v>1713</v>
      </c>
      <c r="D230" s="573" t="s">
        <v>251</v>
      </c>
      <c r="E230" s="1276">
        <f t="shared" si="23"/>
        <v>8.81388888888889</v>
      </c>
      <c r="F230" s="626">
        <f t="shared" si="22"/>
        <v>430.49691285530952</v>
      </c>
      <c r="G230" s="1131" t="s">
        <v>695</v>
      </c>
      <c r="H230" s="1176">
        <f>IF(D230="operation",VLOOKUP(G230,'Generic Divertor Port Tasks'!C$4:D$223,2,FALSE),"N/A")</f>
        <v>8.81388888888889</v>
      </c>
      <c r="I230" s="1131"/>
      <c r="J230" s="573"/>
      <c r="K230" s="573"/>
      <c r="L230" s="853" t="str">
        <f>IFERROR(INDEX('Lower Cask Movement &amp; Logistics'!$I$13:$O$19,MATCH($J230,'Lower Cask Movement &amp; Logistics'!$H$13:$H$19,0),MATCH($K230,'Lower Cask Movement &amp; Logistics'!$H$13:$H$19,0)),"N/A")</f>
        <v>N/A</v>
      </c>
      <c r="M230" s="853" t="str">
        <f>IFERROR(VLOOKUP($I230,'Lower Cask Movement &amp; Logistics'!$H$4:$I$9,2,FALSE),"N/A")</f>
        <v>N/A</v>
      </c>
      <c r="N230" s="1176" t="str">
        <f t="shared" si="24"/>
        <v>N/A</v>
      </c>
      <c r="O230" s="1580"/>
      <c r="P230" s="1176" t="str">
        <f>IF($D230="Logistics",VLOOKUP($O230,'Lower Cask Movement &amp; Logistics'!$C$4:$D$54,2,FALSE),"N/A")</f>
        <v>N/A</v>
      </c>
      <c r="Q230" s="1580"/>
      <c r="R230" s="1176" t="str">
        <f>IFERROR(VLOOKUP($Q230,'Lower Cask Dependencies'!$C$5:$F$277,4,FALSE),"N/A")</f>
        <v>N/A</v>
      </c>
      <c r="S230" s="1176" t="str">
        <f t="shared" si="21"/>
        <v>N/A</v>
      </c>
    </row>
    <row r="231" spans="2:19" x14ac:dyDescent="0.35">
      <c r="B231" s="3786"/>
      <c r="C231" s="573" t="s">
        <v>1714</v>
      </c>
      <c r="D231" s="573" t="s">
        <v>3</v>
      </c>
      <c r="E231" s="1276">
        <v>0.38</v>
      </c>
      <c r="F231" s="626">
        <f t="shared" si="22"/>
        <v>430.87691285530951</v>
      </c>
      <c r="G231" s="1131"/>
      <c r="H231" s="1176" t="str">
        <f>IF(D231="operation",VLOOKUP(G231,'Generic Divertor Port Tasks'!C$4:D$223,2,FALSE),"N/A")</f>
        <v>N/A</v>
      </c>
      <c r="I231" s="1131"/>
      <c r="J231" s="573"/>
      <c r="K231" s="573"/>
      <c r="L231" s="853" t="s">
        <v>263</v>
      </c>
      <c r="M231" s="853" t="s">
        <v>263</v>
      </c>
      <c r="N231" s="1176" t="s">
        <v>263</v>
      </c>
      <c r="O231" s="1580" t="s">
        <v>1546</v>
      </c>
      <c r="P231" s="1176">
        <v>0.38</v>
      </c>
      <c r="Q231" s="1580"/>
      <c r="R231" s="1176" t="str">
        <f>IFERROR(VLOOKUP($Q231,'Lower Cask Dependencies'!$C$5:$F$277,4,FALSE),"N/A")</f>
        <v>N/A</v>
      </c>
      <c r="S231" s="1176" t="str">
        <f t="shared" si="21"/>
        <v>N/A</v>
      </c>
    </row>
    <row r="232" spans="2:19" ht="13.3" thickBot="1" x14ac:dyDescent="0.4">
      <c r="B232" s="3788"/>
      <c r="C232" s="584" t="s">
        <v>1569</v>
      </c>
      <c r="D232" s="584" t="s">
        <v>3</v>
      </c>
      <c r="E232" s="1632">
        <f>MAX($P232,$N232,$H232)</f>
        <v>2.3000000000000003</v>
      </c>
      <c r="F232" s="585">
        <f t="shared" si="22"/>
        <v>433.17691285530952</v>
      </c>
      <c r="G232" s="1136"/>
      <c r="H232" s="1179" t="str">
        <f>IF(D232="operation",VLOOKUP(G232,'Generic Divertor Port Tasks'!C$4:D$223,2,FALSE),"N/A")</f>
        <v>N/A</v>
      </c>
      <c r="I232" s="1136"/>
      <c r="J232" s="584"/>
      <c r="K232" s="584"/>
      <c r="L232" s="814" t="str">
        <f>IFERROR(INDEX('Lower Cask Movement &amp; Logistics'!$I$13:$O$19,MATCH($J232,'Lower Cask Movement &amp; Logistics'!$H$13:$H$19,0),MATCH($K232,'Lower Cask Movement &amp; Logistics'!$H$13:$H$19,0)),"N/A")</f>
        <v>N/A</v>
      </c>
      <c r="M232" s="814" t="str">
        <f>IFERROR(VLOOKUP($I232,'Lower Cask Movement &amp; Logistics'!$H$4:$I$9,2,FALSE),"N/A")</f>
        <v>N/A</v>
      </c>
      <c r="N232" s="1179" t="str">
        <f>IF(D232="Movement",IFERROR((L232/M232)/(60*60),"Error"),"N/A")</f>
        <v>N/A</v>
      </c>
      <c r="O232" s="1582" t="s">
        <v>1552</v>
      </c>
      <c r="P232" s="1179">
        <f>IF($D232="Logistics",VLOOKUP($O232,'Lower Cask Movement &amp; Logistics'!$C$4:$D$54,2,FALSE),"N/A")</f>
        <v>2.3000000000000003</v>
      </c>
      <c r="Q232" s="1582"/>
      <c r="R232" s="1179" t="str">
        <f>IFERROR(VLOOKUP($Q232,'Lower Cask Dependencies'!$C$5:$F$277,4,FALSE),"N/A")</f>
        <v>N/A</v>
      </c>
      <c r="S232" s="1179" t="str">
        <f t="shared" si="21"/>
        <v>N/A</v>
      </c>
    </row>
    <row r="233" spans="2:19" x14ac:dyDescent="0.35">
      <c r="B233" s="3783" t="s">
        <v>2409</v>
      </c>
      <c r="C233" s="1662" t="s">
        <v>1554</v>
      </c>
      <c r="D233" s="1661" t="s">
        <v>3</v>
      </c>
      <c r="E233" s="1634">
        <f t="shared" ref="E233:E239" si="25">MAX($P233,$N233,$H233)</f>
        <v>1.9</v>
      </c>
      <c r="F233" s="1634">
        <f t="shared" si="22"/>
        <v>435.0769128553095</v>
      </c>
      <c r="G233" s="1660"/>
      <c r="H233" s="1636" t="str">
        <f>IF(D233="operation",VLOOKUP(G233,'Generic Divertor Port Tasks'!C$4:D$223,2,FALSE),"N/A")</f>
        <v>N/A</v>
      </c>
      <c r="I233" s="1660"/>
      <c r="J233" s="1662"/>
      <c r="K233" s="1661"/>
      <c r="L233" s="1666" t="str">
        <f>IFERROR(INDEX('Lower Cask Movement &amp; Logistics'!$I$13:$O$19,MATCH($J233,'Lower Cask Movement &amp; Logistics'!$H$13:$H$19,0),MATCH($K233,'Lower Cask Movement &amp; Logistics'!$H$13:$H$19,0)),"N/A")</f>
        <v>N/A</v>
      </c>
      <c r="M233" s="1635" t="str">
        <f>IFERROR(VLOOKUP($I233,'Lower Cask Movement &amp; Logistics'!$H$4:$I$9,2,FALSE),"N/A")</f>
        <v>N/A</v>
      </c>
      <c r="N233" s="1636" t="str">
        <f t="shared" ref="N233:N239" si="26">IF(D233="Movement",IFERROR((L233/M233)/(60*60),"Error"),"N/A")</f>
        <v>N/A</v>
      </c>
      <c r="O233" s="1663" t="s">
        <v>1541</v>
      </c>
      <c r="P233" s="1636">
        <f>IF($D233="Logistics",VLOOKUP($O233,'Lower Cask Movement &amp; Logistics'!$C$4:$D$54,2,FALSE),"N/A")</f>
        <v>1.9</v>
      </c>
      <c r="Q233" s="1663" t="s">
        <v>1715</v>
      </c>
      <c r="R233" s="1636" t="str">
        <f>IFERROR(VLOOKUP($Q233,'Lower Cask Dependencies'!$C$5:$F$277,4,FALSE),"N/A")</f>
        <v>N/A</v>
      </c>
      <c r="S233" s="1636" t="str">
        <f t="shared" si="21"/>
        <v>N/A</v>
      </c>
    </row>
    <row r="234" spans="2:19" x14ac:dyDescent="0.35">
      <c r="B234" s="3784"/>
      <c r="C234" s="1601" t="s">
        <v>1252</v>
      </c>
      <c r="D234" s="1598" t="s">
        <v>3</v>
      </c>
      <c r="E234" s="1599">
        <f t="shared" si="25"/>
        <v>0.38</v>
      </c>
      <c r="F234" s="1599">
        <f t="shared" si="22"/>
        <v>435.4569128553095</v>
      </c>
      <c r="G234" s="1597"/>
      <c r="H234" s="1600" t="str">
        <f>IF(D234="operation",VLOOKUP(G234,'Generic Divertor Port Tasks'!C$4:D$223,2,FALSE),"N/A")</f>
        <v>N/A</v>
      </c>
      <c r="I234" s="1597"/>
      <c r="J234" s="1601"/>
      <c r="K234" s="1598"/>
      <c r="L234" s="1671" t="str">
        <f>IFERROR(INDEX('Lower Cask Movement &amp; Logistics'!$I$13:$O$19,MATCH($J234,'Lower Cask Movement &amp; Logistics'!$H$13:$H$19,0),MATCH($K234,'Lower Cask Movement &amp; Logistics'!$H$13:$H$19,0)),"N/A")</f>
        <v>N/A</v>
      </c>
      <c r="M234" s="1602" t="str">
        <f>IFERROR(VLOOKUP($I234,'Lower Cask Movement &amp; Logistics'!$H$4:$I$9,2,FALSE),"N/A")</f>
        <v>N/A</v>
      </c>
      <c r="N234" s="1600" t="str">
        <f t="shared" si="26"/>
        <v>N/A</v>
      </c>
      <c r="O234" s="1603" t="s">
        <v>1544</v>
      </c>
      <c r="P234" s="1600">
        <f>IF($D234="Logistics",VLOOKUP($O234,'Lower Cask Movement &amp; Logistics'!$C$4:$D$54,2,FALSE),"N/A")</f>
        <v>0.38</v>
      </c>
      <c r="Q234" s="1603"/>
      <c r="R234" s="1600" t="str">
        <f>IFERROR(VLOOKUP($Q234,'Lower Cask Dependencies'!$C$5:$F$277,4,FALSE),"N/A")</f>
        <v>N/A</v>
      </c>
      <c r="S234" s="1600" t="str">
        <f t="shared" si="21"/>
        <v>N/A</v>
      </c>
    </row>
    <row r="235" spans="2:19" x14ac:dyDescent="0.35">
      <c r="B235" s="3784"/>
      <c r="C235" s="1601" t="s">
        <v>2520</v>
      </c>
      <c r="D235" s="1598" t="s">
        <v>251</v>
      </c>
      <c r="E235" s="1599">
        <f t="shared" si="25"/>
        <v>8.1138888888888889</v>
      </c>
      <c r="F235" s="1599">
        <f t="shared" si="22"/>
        <v>443.57080174419838</v>
      </c>
      <c r="G235" s="1597" t="s">
        <v>697</v>
      </c>
      <c r="H235" s="1600">
        <f>IF(D235="operation",VLOOKUP(G235,'Generic Divertor Port Tasks'!C$4:D$223,2,FALSE),"N/A")</f>
        <v>8.1138888888888889</v>
      </c>
      <c r="I235" s="1597"/>
      <c r="J235" s="1601"/>
      <c r="K235" s="1598"/>
      <c r="L235" s="1671" t="str">
        <f>IFERROR(INDEX('Lower Cask Movement &amp; Logistics'!$I$13:$O$19,MATCH($J235,'Lower Cask Movement &amp; Logistics'!$H$13:$H$19,0),MATCH($K235,'Lower Cask Movement &amp; Logistics'!$H$13:$H$19,0)),"N/A")</f>
        <v>N/A</v>
      </c>
      <c r="M235" s="1602" t="str">
        <f>IFERROR(VLOOKUP($I235,'Lower Cask Movement &amp; Logistics'!$H$4:$I$9,2,FALSE),"N/A")</f>
        <v>N/A</v>
      </c>
      <c r="N235" s="1600" t="str">
        <f t="shared" si="26"/>
        <v>N/A</v>
      </c>
      <c r="O235" s="1603"/>
      <c r="P235" s="1600" t="str">
        <f>IF($D235="Logistics",VLOOKUP($O235,'Lower Cask Movement &amp; Logistics'!$C$4:$D$54,2,FALSE),"N/A")</f>
        <v>N/A</v>
      </c>
      <c r="Q235" s="1603"/>
      <c r="R235" s="1600" t="str">
        <f>IFERROR(VLOOKUP($Q235,'Lower Cask Dependencies'!$C$5:$F$277,4,FALSE),"N/A")</f>
        <v>N/A</v>
      </c>
      <c r="S235" s="1600" t="str">
        <f t="shared" si="21"/>
        <v>N/A</v>
      </c>
    </row>
    <row r="236" spans="2:19" x14ac:dyDescent="0.35">
      <c r="B236" s="3784"/>
      <c r="C236" s="1601" t="s">
        <v>1716</v>
      </c>
      <c r="D236" s="1598" t="s">
        <v>3</v>
      </c>
      <c r="E236" s="1599">
        <f t="shared" si="25"/>
        <v>0.38</v>
      </c>
      <c r="F236" s="1599">
        <f t="shared" si="22"/>
        <v>443.95080174419837</v>
      </c>
      <c r="G236" s="1597"/>
      <c r="H236" s="1600" t="str">
        <f>IF(D236="operation",VLOOKUP(G236,'Generic Divertor Port Tasks'!C$4:D$223,2,FALSE),"N/A")</f>
        <v>N/A</v>
      </c>
      <c r="I236" s="1597"/>
      <c r="J236" s="1601"/>
      <c r="K236" s="1598"/>
      <c r="L236" s="1671" t="str">
        <f>IFERROR(INDEX('Lower Cask Movement &amp; Logistics'!$I$13:$O$19,MATCH($J236,'Lower Cask Movement &amp; Logistics'!$H$13:$H$19,0),MATCH($K236,'Lower Cask Movement &amp; Logistics'!$H$13:$H$19,0)),"N/A")</f>
        <v>N/A</v>
      </c>
      <c r="M236" s="1602" t="str">
        <f>IFERROR(VLOOKUP($I236,'Lower Cask Movement &amp; Logistics'!$H$4:$I$9,2,FALSE),"N/A")</f>
        <v>N/A</v>
      </c>
      <c r="N236" s="1600" t="str">
        <f t="shared" si="26"/>
        <v>N/A</v>
      </c>
      <c r="O236" s="1603" t="s">
        <v>1546</v>
      </c>
      <c r="P236" s="1600">
        <f>IF($D236="Logistics",VLOOKUP($O236,'Lower Cask Movement &amp; Logistics'!$C$4:$D$54,2,FALSE),"N/A")</f>
        <v>0.38</v>
      </c>
      <c r="Q236" s="1603"/>
      <c r="R236" s="1600" t="str">
        <f>IFERROR(VLOOKUP($Q236,'Lower Cask Dependencies'!$C$5:$F$277,4,FALSE),"N/A")</f>
        <v>N/A</v>
      </c>
      <c r="S236" s="1600" t="str">
        <f t="shared" si="21"/>
        <v>N/A</v>
      </c>
    </row>
    <row r="237" spans="2:19" x14ac:dyDescent="0.35">
      <c r="B237" s="3784"/>
      <c r="C237" s="1590" t="s">
        <v>1717</v>
      </c>
      <c r="D237" s="1591" t="s">
        <v>3</v>
      </c>
      <c r="E237" s="1592">
        <f t="shared" si="25"/>
        <v>0.38</v>
      </c>
      <c r="F237" s="1592">
        <f t="shared" si="22"/>
        <v>444.33080174419837</v>
      </c>
      <c r="G237" s="1593"/>
      <c r="H237" s="1594" t="str">
        <f>IF(D237="operation",VLOOKUP(G237,'Generic Divertor Port Tasks'!C$4:D$223,2,FALSE),"N/A")</f>
        <v>N/A</v>
      </c>
      <c r="I237" s="1593"/>
      <c r="J237" s="1590"/>
      <c r="K237" s="1591"/>
      <c r="L237" s="1668" t="str">
        <f>IFERROR(INDEX('Lower Cask Movement &amp; Logistics'!$I$13:$O$19,MATCH($J237,'Lower Cask Movement &amp; Logistics'!$H$13:$H$19,0),MATCH($K237,'Lower Cask Movement &amp; Logistics'!$H$13:$H$19,0)),"N/A")</f>
        <v>N/A</v>
      </c>
      <c r="M237" s="1595" t="str">
        <f>IFERROR(VLOOKUP($I237,'Lower Cask Movement &amp; Logistics'!$H$4:$I$9,2,FALSE),"N/A")</f>
        <v>N/A</v>
      </c>
      <c r="N237" s="1594" t="str">
        <f t="shared" si="26"/>
        <v>N/A</v>
      </c>
      <c r="O237" s="1596" t="s">
        <v>1544</v>
      </c>
      <c r="P237" s="1594">
        <f>IF($D237="Logistics",VLOOKUP($O237,'Lower Cask Movement &amp; Logistics'!$C$4:$D$54,2,FALSE),"N/A")</f>
        <v>0.38</v>
      </c>
      <c r="Q237" s="1596"/>
      <c r="R237" s="1594" t="str">
        <f>IFERROR(VLOOKUP($Q237,'Lower Cask Dependencies'!$C$5:$F$277,4,FALSE),"N/A")</f>
        <v>N/A</v>
      </c>
      <c r="S237" s="1594" t="str">
        <f t="shared" si="21"/>
        <v>N/A</v>
      </c>
    </row>
    <row r="238" spans="2:19" x14ac:dyDescent="0.35">
      <c r="B238" s="3784"/>
      <c r="C238" s="1590" t="s">
        <v>2684</v>
      </c>
      <c r="D238" s="1591" t="s">
        <v>3</v>
      </c>
      <c r="E238" s="1592">
        <f t="shared" si="25"/>
        <v>0.38</v>
      </c>
      <c r="F238" s="1592">
        <f t="shared" si="22"/>
        <v>444.71080174419836</v>
      </c>
      <c r="G238" s="1593"/>
      <c r="H238" s="1594" t="str">
        <f>IF(D238="operation",VLOOKUP(G238,'Generic Divertor Port Tasks'!C$4:D$223,2,FALSE),"N/A")</f>
        <v>N/A</v>
      </c>
      <c r="I238" s="1593"/>
      <c r="J238" s="1590"/>
      <c r="K238" s="1591"/>
      <c r="L238" s="1668" t="str">
        <f>IFERROR(INDEX('Lower Cask Movement &amp; Logistics'!$I$13:$O$19,MATCH($J238,'Lower Cask Movement &amp; Logistics'!$H$13:$H$19,0),MATCH($K238,'Lower Cask Movement &amp; Logistics'!$H$13:$H$19,0)),"N/A")</f>
        <v>N/A</v>
      </c>
      <c r="M238" s="1595" t="str">
        <f>IFERROR(VLOOKUP($I238,'Lower Cask Movement &amp; Logistics'!$H$4:$I$9,2,FALSE),"N/A")</f>
        <v>N/A</v>
      </c>
      <c r="N238" s="1594" t="str">
        <f t="shared" si="26"/>
        <v>N/A</v>
      </c>
      <c r="O238" s="1596" t="s">
        <v>1546</v>
      </c>
      <c r="P238" s="1594">
        <f>IF($D238="Logistics",VLOOKUP($O238,'Lower Cask Movement &amp; Logistics'!$C$4:$D$54,2,FALSE),"N/A")</f>
        <v>0.38</v>
      </c>
      <c r="Q238" s="1596"/>
      <c r="R238" s="1594" t="str">
        <f>IFERROR(VLOOKUP($Q238,'Lower Cask Dependencies'!$C$5:$F$277,4,FALSE),"N/A")</f>
        <v>N/A</v>
      </c>
      <c r="S238" s="1594" t="str">
        <f t="shared" si="21"/>
        <v>N/A</v>
      </c>
    </row>
    <row r="239" spans="2:19" ht="13.3" thickBot="1" x14ac:dyDescent="0.4">
      <c r="B239" s="3785"/>
      <c r="C239" s="1608" t="s">
        <v>1562</v>
      </c>
      <c r="D239" s="1605" t="s">
        <v>3</v>
      </c>
      <c r="E239" s="1606">
        <f t="shared" si="25"/>
        <v>2.3000000000000003</v>
      </c>
      <c r="F239" s="1606">
        <f t="shared" si="22"/>
        <v>447.01080174419837</v>
      </c>
      <c r="G239" s="1604"/>
      <c r="H239" s="1607" t="str">
        <f>IF(D239="operation",VLOOKUP(G239,'Generic Divertor Port Tasks'!C$4:D$223,2,FALSE),"N/A")</f>
        <v>N/A</v>
      </c>
      <c r="I239" s="1604"/>
      <c r="J239" s="1608"/>
      <c r="K239" s="1605"/>
      <c r="L239" s="1670" t="str">
        <f>IFERROR(INDEX('Lower Cask Movement &amp; Logistics'!$I$13:$O$19,MATCH($J239,'Lower Cask Movement &amp; Logistics'!$H$13:$H$19,0),MATCH($K239,'Lower Cask Movement &amp; Logistics'!$H$13:$H$19,0)),"N/A")</f>
        <v>N/A</v>
      </c>
      <c r="M239" s="1609" t="str">
        <f>IFERROR(VLOOKUP($I239,'Lower Cask Movement &amp; Logistics'!$H$4:$I$9,2,FALSE),"N/A")</f>
        <v>N/A</v>
      </c>
      <c r="N239" s="1607" t="str">
        <f t="shared" si="26"/>
        <v>N/A</v>
      </c>
      <c r="O239" s="1610" t="s">
        <v>1552</v>
      </c>
      <c r="P239" s="1607">
        <f>IF($D239="Logistics",VLOOKUP($O239,'Lower Cask Movement &amp; Logistics'!$C$4:$D$54,2,FALSE),"N/A")</f>
        <v>2.3000000000000003</v>
      </c>
      <c r="Q239" s="1610"/>
      <c r="R239" s="1607" t="str">
        <f>IFERROR(VLOOKUP($Q239,'Lower Cask Dependencies'!$C$5:$F$277,4,FALSE),"N/A")</f>
        <v>N/A</v>
      </c>
      <c r="S239" s="1607" t="str">
        <f t="shared" si="21"/>
        <v>N/A</v>
      </c>
    </row>
    <row r="240" spans="2:19" s="623" customFormat="1" x14ac:dyDescent="0.35">
      <c r="B240" s="3786" t="s">
        <v>1718</v>
      </c>
      <c r="C240" s="1638" t="s">
        <v>1719</v>
      </c>
      <c r="D240" s="1639" t="s">
        <v>3</v>
      </c>
      <c r="E240" s="1640">
        <f t="shared" si="19"/>
        <v>1.9</v>
      </c>
      <c r="F240" s="1640">
        <f t="shared" si="22"/>
        <v>448.91080174419835</v>
      </c>
      <c r="G240" s="1638"/>
      <c r="H240" s="1641" t="str">
        <f>IF(D240="operation",VLOOKUP(G240,'Generic Divertor Port Tasks'!C$4:D$223,2,FALSE),"N/A")</f>
        <v>N/A</v>
      </c>
      <c r="I240" s="1638"/>
      <c r="J240" s="1642"/>
      <c r="K240" s="1642"/>
      <c r="L240" s="1643" t="str">
        <f>IFERROR(INDEX('Lower Cask Movement &amp; Logistics'!$I$13:$O$19,MATCH($J240,'Lower Cask Movement &amp; Logistics'!$H$13:$H$19,0),MATCH($K240,'Lower Cask Movement &amp; Logistics'!$H$13:$H$19,0)),"N/A")</f>
        <v>N/A</v>
      </c>
      <c r="M240" s="1643" t="str">
        <f>IFERROR(VLOOKUP($I240,'Lower Cask Movement &amp; Logistics'!$H$4:$I$9,2,FALSE),"N/A")</f>
        <v>N/A</v>
      </c>
      <c r="N240" s="1641" t="str">
        <f t="shared" si="20"/>
        <v>N/A</v>
      </c>
      <c r="O240" s="1644" t="s">
        <v>1541</v>
      </c>
      <c r="P240" s="1641">
        <f>IF($D240="Logistics",VLOOKUP($O240,'Lower Cask Movement &amp; Logistics'!$C$4:$D$54,2,FALSE),"N/A")</f>
        <v>1.9</v>
      </c>
      <c r="Q240" s="1644" t="s">
        <v>2685</v>
      </c>
      <c r="R240" s="1641" t="str">
        <f>IFERROR(VLOOKUP($Q240,'Lower Cask Dependencies'!$C$5:$F$277,4,FALSE),"N/A")</f>
        <v>N/A</v>
      </c>
      <c r="S240" s="1641" t="str">
        <f t="shared" si="21"/>
        <v>N/A</v>
      </c>
    </row>
    <row r="241" spans="2:19" s="623" customFormat="1" x14ac:dyDescent="0.35">
      <c r="B241" s="3786"/>
      <c r="C241" s="1579" t="s">
        <v>1547</v>
      </c>
      <c r="D241" s="1611" t="s">
        <v>3</v>
      </c>
      <c r="E241" s="626">
        <f t="shared" si="19"/>
        <v>0.38</v>
      </c>
      <c r="F241" s="574">
        <f t="shared" si="22"/>
        <v>449.29080174419835</v>
      </c>
      <c r="G241" s="1579"/>
      <c r="H241" s="1183" t="str">
        <f>IF(D241="operation",VLOOKUP(G241,'Generic Divertor Port Tasks'!C$4:D$223,2,FALSE),"N/A")</f>
        <v>N/A</v>
      </c>
      <c r="I241" s="1579"/>
      <c r="J241" s="582"/>
      <c r="K241" s="582"/>
      <c r="L241" s="1478" t="str">
        <f>IFERROR(INDEX('Lower Cask Movement &amp; Logistics'!$I$13:$O$19,MATCH($J241,'Lower Cask Movement &amp; Logistics'!$H$13:$H$19,0),MATCH($K241,'Lower Cask Movement &amp; Logistics'!$H$13:$H$19,0)),"N/A")</f>
        <v>N/A</v>
      </c>
      <c r="M241" s="1478" t="str">
        <f>IFERROR(VLOOKUP($I241,'Lower Cask Movement &amp; Logistics'!$H$4:$I$9,2,FALSE),"N/A")</f>
        <v>N/A</v>
      </c>
      <c r="N241" s="1183" t="str">
        <f t="shared" si="20"/>
        <v>N/A</v>
      </c>
      <c r="O241" s="1578" t="s">
        <v>1544</v>
      </c>
      <c r="P241" s="1183">
        <f>IF($D241="Logistics",VLOOKUP($O241,'Lower Cask Movement &amp; Logistics'!$C$4:$D$54,2,FALSE),"N/A")</f>
        <v>0.38</v>
      </c>
      <c r="Q241" s="1578"/>
      <c r="R241" s="1183" t="str">
        <f>IFERROR(VLOOKUP($Q241,'Lower Cask Dependencies'!$C$5:$F$277,4,FALSE),"N/A")</f>
        <v>N/A</v>
      </c>
      <c r="S241" s="1183" t="str">
        <f t="shared" si="21"/>
        <v>N/A</v>
      </c>
    </row>
    <row r="242" spans="2:19" s="623" customFormat="1" x14ac:dyDescent="0.35">
      <c r="B242" s="3786"/>
      <c r="C242" s="1579" t="s">
        <v>702</v>
      </c>
      <c r="D242" s="1611" t="s">
        <v>251</v>
      </c>
      <c r="E242" s="626">
        <f t="shared" si="19"/>
        <v>1.2166666666666666</v>
      </c>
      <c r="F242" s="574">
        <f t="shared" si="22"/>
        <v>450.50746841086499</v>
      </c>
      <c r="G242" s="1579" t="s">
        <v>701</v>
      </c>
      <c r="H242" s="1183">
        <f>IF(D242="operation",VLOOKUP(G242,'Generic Divertor Port Tasks'!C$4:D$223,2,FALSE),"N/A")</f>
        <v>1.2166666666666666</v>
      </c>
      <c r="I242" s="1579"/>
      <c r="J242" s="582"/>
      <c r="K242" s="582"/>
      <c r="L242" s="1478" t="str">
        <f>IFERROR(INDEX('Lower Cask Movement &amp; Logistics'!$I$13:$O$19,MATCH($J242,'Lower Cask Movement &amp; Logistics'!$H$13:$H$19,0),MATCH($K242,'Lower Cask Movement &amp; Logistics'!$H$13:$H$19,0)),"N/A")</f>
        <v>N/A</v>
      </c>
      <c r="M242" s="1478" t="str">
        <f>IFERROR(VLOOKUP($I242,'Lower Cask Movement &amp; Logistics'!$H$4:$I$9,2,FALSE),"N/A")</f>
        <v>N/A</v>
      </c>
      <c r="N242" s="1183" t="str">
        <f t="shared" si="20"/>
        <v>N/A</v>
      </c>
      <c r="O242" s="1578" t="s">
        <v>1544</v>
      </c>
      <c r="P242" s="1183" t="str">
        <f>IF($D242="Logistics",VLOOKUP($O242,'Lower Cask Movement &amp; Logistics'!$C$4:$D$54,2,FALSE),"N/A")</f>
        <v>N/A</v>
      </c>
      <c r="Q242" s="1578"/>
      <c r="R242" s="1183" t="str">
        <f>IFERROR(VLOOKUP($Q242,'Lower Cask Dependencies'!$C$5:$F$277,4,FALSE),"N/A")</f>
        <v>N/A</v>
      </c>
      <c r="S242" s="1183" t="str">
        <f t="shared" si="21"/>
        <v>N/A</v>
      </c>
    </row>
    <row r="243" spans="2:19" s="623" customFormat="1" x14ac:dyDescent="0.35">
      <c r="B243" s="3786"/>
      <c r="C243" s="1579" t="s">
        <v>1721</v>
      </c>
      <c r="D243" s="1611" t="s">
        <v>251</v>
      </c>
      <c r="E243" s="626">
        <f t="shared" si="19"/>
        <v>8.0666666666666682</v>
      </c>
      <c r="F243" s="574">
        <f t="shared" si="22"/>
        <v>458.57413507753165</v>
      </c>
      <c r="G243" s="1579" t="s">
        <v>702</v>
      </c>
      <c r="H243" s="1183">
        <f>IF(D243="operation",VLOOKUP(G243,'Generic Divertor Port Tasks'!C$4:D$223,2,FALSE),"N/A")</f>
        <v>8.0666666666666682</v>
      </c>
      <c r="I243" s="1579"/>
      <c r="J243" s="582"/>
      <c r="K243" s="582"/>
      <c r="L243" s="1478" t="str">
        <f>IFERROR(INDEX('Lower Cask Movement &amp; Logistics'!$I$13:$O$19,MATCH($J243,'Lower Cask Movement &amp; Logistics'!$H$13:$H$19,0),MATCH($K243,'Lower Cask Movement &amp; Logistics'!$H$13:$H$19,0)),"N/A")</f>
        <v>N/A</v>
      </c>
      <c r="M243" s="1478" t="str">
        <f>IFERROR(VLOOKUP($I243,'Lower Cask Movement &amp; Logistics'!$H$4:$I$9,2,FALSE),"N/A")</f>
        <v>N/A</v>
      </c>
      <c r="N243" s="1183" t="str">
        <f t="shared" si="20"/>
        <v>N/A</v>
      </c>
      <c r="O243" s="1578"/>
      <c r="P243" s="1183" t="str">
        <f>IF($D243="Logistics",VLOOKUP($O243,'Lower Cask Movement &amp; Logistics'!$C$4:$D$54,2,FALSE),"N/A")</f>
        <v>N/A</v>
      </c>
      <c r="Q243" s="1578"/>
      <c r="R243" s="1183" t="str">
        <f>IFERROR(VLOOKUP($Q243,'Lower Cask Dependencies'!$C$5:$F$277,4,FALSE),"N/A")</f>
        <v>N/A</v>
      </c>
      <c r="S243" s="1183" t="str">
        <f t="shared" si="21"/>
        <v>N/A</v>
      </c>
    </row>
    <row r="244" spans="2:19" s="623" customFormat="1" ht="13.3" thickBot="1" x14ac:dyDescent="0.4">
      <c r="B244" s="3786"/>
      <c r="C244" s="1579" t="s">
        <v>1549</v>
      </c>
      <c r="D244" s="1611" t="s">
        <v>3</v>
      </c>
      <c r="E244" s="626">
        <f t="shared" si="19"/>
        <v>0.38</v>
      </c>
      <c r="F244" s="574">
        <f t="shared" si="22"/>
        <v>458.95413507753165</v>
      </c>
      <c r="G244" s="1579"/>
      <c r="H244" s="1183" t="str">
        <f>IF(D244="operation",VLOOKUP(G244,'Generic Divertor Port Tasks'!C$4:D$223,2,FALSE),"N/A")</f>
        <v>N/A</v>
      </c>
      <c r="I244" s="1579"/>
      <c r="J244" s="582"/>
      <c r="K244" s="582"/>
      <c r="L244" s="1478" t="str">
        <f>IFERROR(INDEX('Lower Cask Movement &amp; Logistics'!$I$13:$O$19,MATCH($J244,'Lower Cask Movement &amp; Logistics'!$H$13:$H$19,0),MATCH($K244,'Lower Cask Movement &amp; Logistics'!$H$13:$H$19,0)),"N/A")</f>
        <v>N/A</v>
      </c>
      <c r="M244" s="1478" t="str">
        <f>IFERROR(VLOOKUP($I244,'Lower Cask Movement &amp; Logistics'!$H$4:$I$9,2,FALSE),"N/A")</f>
        <v>N/A</v>
      </c>
      <c r="N244" s="1183" t="str">
        <f t="shared" si="20"/>
        <v>N/A</v>
      </c>
      <c r="O244" s="1578" t="s">
        <v>1546</v>
      </c>
      <c r="P244" s="1183">
        <f>IF($D244="Logistics",VLOOKUP($O244,'Lower Cask Movement &amp; Logistics'!$C$4:$D$54,2,FALSE),"N/A")</f>
        <v>0.38</v>
      </c>
      <c r="Q244" s="1578"/>
      <c r="R244" s="1183" t="str">
        <f>IFERROR(VLOOKUP($Q244,'Lower Cask Dependencies'!$C$5:$F$277,4,FALSE),"N/A")</f>
        <v>N/A</v>
      </c>
      <c r="S244" s="1183" t="str">
        <f t="shared" si="21"/>
        <v>N/A</v>
      </c>
    </row>
    <row r="245" spans="2:19" ht="15" customHeight="1" x14ac:dyDescent="0.35">
      <c r="B245" s="3783" t="s">
        <v>1540</v>
      </c>
      <c r="C245" s="1612" t="s">
        <v>1543</v>
      </c>
      <c r="D245" s="1613" t="s">
        <v>3</v>
      </c>
      <c r="E245" s="1614">
        <f t="shared" si="19"/>
        <v>0.38</v>
      </c>
      <c r="F245" s="1614">
        <f t="shared" si="22"/>
        <v>459.33413507753164</v>
      </c>
      <c r="G245" s="1615"/>
      <c r="H245" s="1616" t="str">
        <f>IF(D245="operation",VLOOKUP(G245,'Generic Divertor Port Tasks'!C$4:D$223,2,FALSE),"N/A")</f>
        <v>N/A</v>
      </c>
      <c r="I245" s="1615"/>
      <c r="J245" s="1612"/>
      <c r="K245" s="1612"/>
      <c r="L245" s="1617" t="str">
        <f>IFERROR(INDEX('Lower Cask Movement &amp; Logistics'!$I$13:$O$19,MATCH($J245,'Lower Cask Movement &amp; Logistics'!$H$13:$H$19,0),MATCH($K245,'Lower Cask Movement &amp; Logistics'!$H$13:$H$19,0)),"N/A")</f>
        <v>N/A</v>
      </c>
      <c r="M245" s="1617" t="str">
        <f>IFERROR(VLOOKUP($I245,'Lower Cask Movement &amp; Logistics'!$H$4:$I$9,2,FALSE),"N/A")</f>
        <v>N/A</v>
      </c>
      <c r="N245" s="1616" t="str">
        <f t="shared" si="20"/>
        <v>N/A</v>
      </c>
      <c r="O245" s="1618" t="s">
        <v>1544</v>
      </c>
      <c r="P245" s="1616">
        <f>IF($D245="Logistics",VLOOKUP($O245,'Lower Cask Movement &amp; Logistics'!$C$4:$D$54,2,FALSE),"N/A")</f>
        <v>0.38</v>
      </c>
      <c r="Q245" s="1618" t="s">
        <v>1722</v>
      </c>
      <c r="R245" s="1616">
        <f>IFERROR(VLOOKUP($Q245,'Lower Cask Dependencies'!$C$5:$F$277,4,FALSE),"N/A")</f>
        <v>395.52598692938358</v>
      </c>
      <c r="S245" s="1616">
        <f t="shared" si="21"/>
        <v>63.428148148148068</v>
      </c>
    </row>
    <row r="246" spans="2:19" x14ac:dyDescent="0.35">
      <c r="B246" s="3784"/>
      <c r="C246" s="1597" t="s">
        <v>2412</v>
      </c>
      <c r="D246" s="1598" t="s">
        <v>251</v>
      </c>
      <c r="E246" s="1599">
        <f t="shared" si="19"/>
        <v>6.7722222222222221</v>
      </c>
      <c r="F246" s="1592">
        <f t="shared" si="22"/>
        <v>466.10635729975388</v>
      </c>
      <c r="G246" s="1597" t="s">
        <v>596</v>
      </c>
      <c r="H246" s="1600">
        <f>IF(D246="operation",VLOOKUP(G246,'Generic Divertor Port Tasks'!C$4:D$223,2,FALSE),"N/A")</f>
        <v>6.7722222222222221</v>
      </c>
      <c r="I246" s="1597"/>
      <c r="J246" s="1601"/>
      <c r="K246" s="1601"/>
      <c r="L246" s="1602" t="str">
        <f>IFERROR(INDEX('Lower Cask Movement &amp; Logistics'!$I$13:$O$19,MATCH($J246,'Lower Cask Movement &amp; Logistics'!$H$13:$H$19,0),MATCH($K246,'Lower Cask Movement &amp; Logistics'!$H$13:$H$19,0)),"N/A")</f>
        <v>N/A</v>
      </c>
      <c r="M246" s="1602" t="str">
        <f>IFERROR(VLOOKUP($I246,'Lower Cask Movement &amp; Logistics'!$H$4:$I$9,2,FALSE),"N/A")</f>
        <v>N/A</v>
      </c>
      <c r="N246" s="1600" t="str">
        <f t="shared" si="20"/>
        <v>N/A</v>
      </c>
      <c r="O246" s="1603"/>
      <c r="P246" s="1600" t="str">
        <f>IF($D246="Logistics",VLOOKUP($O246,'Lower Cask Movement &amp; Logistics'!$C$4:$D$54,2,FALSE),"N/A")</f>
        <v>N/A</v>
      </c>
      <c r="Q246" s="1603"/>
      <c r="R246" s="1600" t="str">
        <f>IFERROR(VLOOKUP($Q246,'Lower Cask Dependencies'!$C$5:$F$277,4,FALSE),"N/A")</f>
        <v>N/A</v>
      </c>
      <c r="S246" s="1600" t="str">
        <f t="shared" si="21"/>
        <v>N/A</v>
      </c>
    </row>
    <row r="247" spans="2:19" x14ac:dyDescent="0.35">
      <c r="B247" s="3784"/>
      <c r="C247" s="1597" t="s">
        <v>1545</v>
      </c>
      <c r="D247" s="1598" t="s">
        <v>3</v>
      </c>
      <c r="E247" s="1599">
        <f t="shared" si="19"/>
        <v>0.38</v>
      </c>
      <c r="F247" s="1599">
        <f t="shared" si="22"/>
        <v>466.48635729975388</v>
      </c>
      <c r="G247" s="1597"/>
      <c r="H247" s="1600" t="str">
        <f>IF(D247="operation",VLOOKUP(G247,'Generic Divertor Port Tasks'!C$4:D$223,2,FALSE),"N/A")</f>
        <v>N/A</v>
      </c>
      <c r="I247" s="1597"/>
      <c r="J247" s="1601"/>
      <c r="K247" s="1601"/>
      <c r="L247" s="1602" t="str">
        <f>IFERROR(INDEX('Lower Cask Movement &amp; Logistics'!$I$13:$O$19,MATCH($J247,'Lower Cask Movement &amp; Logistics'!$H$13:$H$19,0),MATCH($K247,'Lower Cask Movement &amp; Logistics'!$H$13:$H$19,0)),"N/A")</f>
        <v>N/A</v>
      </c>
      <c r="M247" s="1602" t="str">
        <f>IFERROR(VLOOKUP($I247,'Lower Cask Movement &amp; Logistics'!$H$4:$I$9,2,FALSE),"N/A")</f>
        <v>N/A</v>
      </c>
      <c r="N247" s="1600" t="str">
        <f t="shared" si="20"/>
        <v>N/A</v>
      </c>
      <c r="O247" s="1603" t="s">
        <v>1546</v>
      </c>
      <c r="P247" s="1600">
        <f>IF($D247="Logistics",VLOOKUP($O247,'Lower Cask Movement &amp; Logistics'!$C$4:$D$54,2,FALSE),"N/A")</f>
        <v>0.38</v>
      </c>
      <c r="Q247" s="1603"/>
      <c r="R247" s="1600" t="str">
        <f>IFERROR(VLOOKUP($Q247,'Lower Cask Dependencies'!$C$5:$F$277,4,FALSE),"N/A")</f>
        <v>N/A</v>
      </c>
      <c r="S247" s="1600" t="str">
        <f t="shared" si="21"/>
        <v>N/A</v>
      </c>
    </row>
    <row r="248" spans="2:19" ht="13.3" thickBot="1" x14ac:dyDescent="0.4">
      <c r="B248" s="3785"/>
      <c r="C248" s="1608" t="s">
        <v>1551</v>
      </c>
      <c r="D248" s="1605" t="s">
        <v>3</v>
      </c>
      <c r="E248" s="1606">
        <f t="shared" si="19"/>
        <v>2.3000000000000003</v>
      </c>
      <c r="F248" s="1606">
        <f t="shared" si="22"/>
        <v>468.78635729975389</v>
      </c>
      <c r="G248" s="1604"/>
      <c r="H248" s="1607" t="str">
        <f>IF(D248="operation",VLOOKUP(G248,'Generic Divertor Port Tasks'!C$4:D$223,2,FALSE),"N/A")</f>
        <v>N/A</v>
      </c>
      <c r="I248" s="1604"/>
      <c r="J248" s="1608"/>
      <c r="K248" s="1608"/>
      <c r="L248" s="1609" t="str">
        <f>IFERROR(INDEX('Lower Cask Movement &amp; Logistics'!$I$13:$O$19,MATCH($J248,'Lower Cask Movement &amp; Logistics'!$H$13:$H$19,0),MATCH($K248,'Lower Cask Movement &amp; Logistics'!$H$13:$H$19,0)),"N/A")</f>
        <v>N/A</v>
      </c>
      <c r="M248" s="1609" t="str">
        <f>IFERROR(VLOOKUP($I248,'Lower Cask Movement &amp; Logistics'!$H$4:$I$9,2,FALSE),"N/A")</f>
        <v>N/A</v>
      </c>
      <c r="N248" s="1607" t="str">
        <f t="shared" si="20"/>
        <v>N/A</v>
      </c>
      <c r="O248" s="1610" t="s">
        <v>1552</v>
      </c>
      <c r="P248" s="1607">
        <f>IF($D248="Logistics",VLOOKUP($O248,'Lower Cask Movement &amp; Logistics'!$C$4:$D$54,2,FALSE),"N/A")</f>
        <v>2.3000000000000003</v>
      </c>
      <c r="Q248" s="1610"/>
      <c r="R248" s="1607" t="str">
        <f>IFERROR(VLOOKUP($Q248,'Lower Cask Dependencies'!$C$5:$F$277,4,FALSE),"N/A")</f>
        <v>N/A</v>
      </c>
      <c r="S248" s="1607" t="str">
        <f t="shared" si="21"/>
        <v>N/A</v>
      </c>
    </row>
    <row r="249" spans="2:19" x14ac:dyDescent="0.35">
      <c r="B249" s="3787" t="s">
        <v>276</v>
      </c>
      <c r="C249" s="803" t="s">
        <v>1534</v>
      </c>
      <c r="D249" s="1574" t="s">
        <v>3</v>
      </c>
      <c r="E249" s="567">
        <f t="shared" si="19"/>
        <v>0.58000000000000007</v>
      </c>
      <c r="F249" s="1621">
        <f t="shared" si="22"/>
        <v>469.36635729975387</v>
      </c>
      <c r="G249" s="803"/>
      <c r="H249" s="1575" t="str">
        <f>IF(D249="operation",VLOOKUP(G249,'Generic Divertor Port Tasks'!C$4:D$223,2,FALSE),"N/A")</f>
        <v>N/A</v>
      </c>
      <c r="I249" s="803"/>
      <c r="J249" s="566"/>
      <c r="K249" s="566"/>
      <c r="L249" s="570" t="str">
        <f>IFERROR(INDEX('Lower Cask Movement &amp; Logistics'!$I$13:$O$19,MATCH($J249,'Lower Cask Movement &amp; Logistics'!$H$13:$H$19,0),MATCH($K249,'Lower Cask Movement &amp; Logistics'!$H$13:$H$19,0)),"N/A")</f>
        <v>N/A</v>
      </c>
      <c r="M249" s="570" t="str">
        <f>IFERROR(VLOOKUP($I249,'Lower Cask Movement &amp; Logistics'!$H$4:$I$9,2,FALSE),"N/A")</f>
        <v>N/A</v>
      </c>
      <c r="N249" s="1575" t="str">
        <f t="shared" si="20"/>
        <v>N/A</v>
      </c>
      <c r="O249" s="1576" t="s">
        <v>796</v>
      </c>
      <c r="P249" s="1575">
        <f>IF($D249="Logistics",VLOOKUP($O249,'Lower Cask Movement &amp; Logistics'!$C$4:$D$54,2,FALSE),"N/A")</f>
        <v>0.58000000000000007</v>
      </c>
      <c r="Q249" s="1576"/>
      <c r="R249" s="1575" t="str">
        <f>IFERROR(VLOOKUP($Q249,'Lower Cask Dependencies'!$C$5:$F$277,4,FALSE),"N/A")</f>
        <v>N/A</v>
      </c>
      <c r="S249" s="1575" t="str">
        <f t="shared" si="21"/>
        <v>N/A</v>
      </c>
    </row>
    <row r="250" spans="2:19" x14ac:dyDescent="0.35">
      <c r="B250" s="3786"/>
      <c r="C250" s="1131" t="s">
        <v>1535</v>
      </c>
      <c r="D250" s="1577" t="s">
        <v>778</v>
      </c>
      <c r="E250" s="626">
        <f t="shared" si="19"/>
        <v>0.23148148148148148</v>
      </c>
      <c r="F250" s="626">
        <f t="shared" si="22"/>
        <v>469.59783878123534</v>
      </c>
      <c r="G250" s="1579"/>
      <c r="H250" s="1183" t="str">
        <f>IF(D250="operation",VLOOKUP(G250,'Generic Divertor Port Tasks'!C$4:D$223,2,FALSE),"N/A")</f>
        <v>N/A</v>
      </c>
      <c r="I250" s="1579" t="s">
        <v>1536</v>
      </c>
      <c r="J250" s="582" t="s">
        <v>799</v>
      </c>
      <c r="K250" s="582" t="s">
        <v>1203</v>
      </c>
      <c r="L250" s="1478">
        <f>IFERROR(INDEX('Lower Cask Movement &amp; Logistics'!$I$13:$O$19,MATCH($J250,'Lower Cask Movement &amp; Logistics'!$H$13:$H$19,0),MATCH($K250,'Lower Cask Movement &amp; Logistics'!$H$13:$H$19,0)),"N/A")</f>
        <v>50</v>
      </c>
      <c r="M250" s="1478">
        <f>IFERROR(VLOOKUP($I250,'Lower Cask Movement &amp; Logistics'!$H$4:$I$9,2,FALSE),"N/A")</f>
        <v>0.06</v>
      </c>
      <c r="N250" s="1183">
        <f t="shared" si="20"/>
        <v>0.23148148148148148</v>
      </c>
      <c r="O250" s="1578"/>
      <c r="P250" s="1183" t="str">
        <f>IF($D250="Logistics",VLOOKUP($O250,'Lower Cask Movement &amp; Logistics'!$C$4:$D$54,2,FALSE),"N/A")</f>
        <v>N/A</v>
      </c>
      <c r="Q250" s="1578"/>
      <c r="R250" s="1183" t="str">
        <f>IFERROR(VLOOKUP($Q250,'Lower Cask Dependencies'!$C$5:$F$277,4,FALSE),"N/A")</f>
        <v>N/A</v>
      </c>
      <c r="S250" s="1183" t="str">
        <f t="shared" si="21"/>
        <v>N/A</v>
      </c>
    </row>
    <row r="251" spans="2:19" ht="13.3" thickBot="1" x14ac:dyDescent="0.4">
      <c r="B251" s="3788"/>
      <c r="C251" s="1136" t="s">
        <v>1723</v>
      </c>
      <c r="D251" s="1581" t="s">
        <v>251</v>
      </c>
      <c r="E251" s="585">
        <f t="shared" si="19"/>
        <v>0.89999999999999991</v>
      </c>
      <c r="F251" s="585">
        <f t="shared" si="22"/>
        <v>470.49783878123532</v>
      </c>
      <c r="G251" s="1136" t="s">
        <v>276</v>
      </c>
      <c r="H251" s="1179">
        <f>IF(D251="operation",VLOOKUP(G251,'Generic Divertor Port Tasks'!C$4:D$223,2,FALSE),"N/A")</f>
        <v>0.89999999999999991</v>
      </c>
      <c r="I251" s="1136"/>
      <c r="J251" s="584"/>
      <c r="K251" s="584"/>
      <c r="L251" s="814" t="str">
        <f>IFERROR(INDEX('Lower Cask Movement &amp; Logistics'!$I$13:$O$19,MATCH($J251,'Lower Cask Movement &amp; Logistics'!$H$13:$H$19,0),MATCH($K251,'Lower Cask Movement &amp; Logistics'!$H$13:$H$19,0)),"N/A")</f>
        <v>N/A</v>
      </c>
      <c r="M251" s="814" t="str">
        <f>IFERROR(VLOOKUP($I251,'Lower Cask Movement &amp; Logistics'!$H$4:$I$9,2,FALSE),"N/A")</f>
        <v>N/A</v>
      </c>
      <c r="N251" s="1179" t="str">
        <f t="shared" si="20"/>
        <v>N/A</v>
      </c>
      <c r="O251" s="1582"/>
      <c r="P251" s="1179" t="str">
        <f>IF($D251="Logistics",VLOOKUP($O251,'Lower Cask Movement &amp; Logistics'!$C$4:$D$54,2,FALSE),"N/A")</f>
        <v>N/A</v>
      </c>
      <c r="Q251" s="1582"/>
      <c r="R251" s="1179" t="str">
        <f>IFERROR(VLOOKUP($Q251,'Lower Cask Dependencies'!$C$5:$F$277,4,FALSE),"N/A")</f>
        <v>N/A</v>
      </c>
      <c r="S251" s="1179" t="str">
        <f t="shared" si="21"/>
        <v>N/A</v>
      </c>
    </row>
    <row r="252" spans="2:19" x14ac:dyDescent="0.35">
      <c r="B252" s="3799" t="s">
        <v>1724</v>
      </c>
      <c r="C252" s="3634" t="s">
        <v>850</v>
      </c>
      <c r="D252" s="3634"/>
      <c r="E252" s="3634"/>
      <c r="F252" s="3635">
        <f>(F251-F182)+F144</f>
        <v>192.172208964471</v>
      </c>
      <c r="G252" s="2206"/>
      <c r="H252" s="2206"/>
      <c r="I252" s="2206"/>
      <c r="J252" s="2206"/>
      <c r="K252" s="2206"/>
      <c r="L252" s="2206"/>
      <c r="M252" s="2206"/>
      <c r="N252" s="2206"/>
      <c r="O252" s="2206"/>
      <c r="P252" s="2207"/>
      <c r="Q252" s="1672"/>
      <c r="R252" s="1672"/>
      <c r="S252" s="3636"/>
    </row>
    <row r="253" spans="2:19" x14ac:dyDescent="0.35">
      <c r="B253" s="3800"/>
      <c r="C253" s="1649" t="s">
        <v>851</v>
      </c>
      <c r="D253" s="1649"/>
      <c r="E253" s="1649"/>
      <c r="F253" s="1652">
        <f>SUMIF($D$183:$D$251,"Operation",$E$183:$E$251)+SUMIF($D$136:$D$144,"Operation",$E$136:$E$144)</f>
        <v>134.28628303854535</v>
      </c>
      <c r="G253" s="1653">
        <f>F253/F252</f>
        <v>0.69878097234846448</v>
      </c>
      <c r="H253" s="1653"/>
      <c r="I253" s="1647"/>
      <c r="J253" s="1647"/>
      <c r="K253" s="1647"/>
      <c r="L253" s="1647"/>
      <c r="M253" s="1647"/>
      <c r="N253" s="1647"/>
      <c r="O253" s="1647"/>
      <c r="P253" s="1654"/>
      <c r="Q253" s="1651"/>
      <c r="R253" s="1651"/>
      <c r="S253" s="3637"/>
    </row>
    <row r="254" spans="2:19" x14ac:dyDescent="0.35">
      <c r="B254" s="3800"/>
      <c r="C254" s="1649" t="s">
        <v>852</v>
      </c>
      <c r="D254" s="1649"/>
      <c r="E254" s="1649"/>
      <c r="F254" s="1652">
        <f>SUMIF($D$183:$D$251,"Logistics",$E$183:$E$251)+SUMIF($D$136:$D$144,"Logistics",$E$136:$E$144)</f>
        <v>56.18</v>
      </c>
      <c r="G254" s="1653">
        <f>F254/F252</f>
        <v>0.29234195882291503</v>
      </c>
      <c r="H254" s="1653"/>
      <c r="I254" s="1649"/>
      <c r="J254" s="1649"/>
      <c r="K254" s="1649"/>
      <c r="L254" s="1649"/>
      <c r="M254" s="1649"/>
      <c r="N254" s="1649"/>
      <c r="O254" s="1649"/>
      <c r="P254" s="1650"/>
      <c r="Q254" s="1651"/>
      <c r="R254" s="1651"/>
      <c r="S254" s="3637"/>
    </row>
    <row r="255" spans="2:19" ht="13.3" thickBot="1" x14ac:dyDescent="0.4">
      <c r="B255" s="3801"/>
      <c r="C255" s="1673" t="s">
        <v>853</v>
      </c>
      <c r="D255" s="1673"/>
      <c r="E255" s="1673"/>
      <c r="F255" s="1674">
        <f>SUMIF($D$183:$D$251,"Movement",$E$183:$E$251)+SUMIF($D$136:$D$144,"Movement",$E$136:$E$144)</f>
        <v>0.23148148148148148</v>
      </c>
      <c r="G255" s="1675">
        <f>F255/F252</f>
        <v>1.2045523269406662E-3</v>
      </c>
      <c r="H255" s="1675"/>
      <c r="I255" s="1673"/>
      <c r="J255" s="1673"/>
      <c r="K255" s="1673"/>
      <c r="L255" s="1673"/>
      <c r="M255" s="1673"/>
      <c r="N255" s="1673"/>
      <c r="O255" s="1673"/>
      <c r="P255" s="1676"/>
      <c r="Q255" s="1677"/>
      <c r="R255" s="1677"/>
      <c r="S255" s="3638"/>
    </row>
    <row r="256" spans="2:19" x14ac:dyDescent="0.35">
      <c r="B256" s="3805" t="s">
        <v>1725</v>
      </c>
      <c r="C256" s="3639" t="s">
        <v>850</v>
      </c>
      <c r="D256" s="3639"/>
      <c r="E256" s="3639"/>
      <c r="F256" s="3640">
        <f>F251</f>
        <v>470.49783878123532</v>
      </c>
      <c r="G256" s="3641"/>
      <c r="H256" s="3641"/>
      <c r="I256" s="3641"/>
      <c r="J256" s="3641"/>
      <c r="K256" s="3641"/>
      <c r="L256" s="3641"/>
      <c r="M256" s="3641"/>
      <c r="N256" s="3641"/>
      <c r="O256" s="3641"/>
      <c r="P256" s="3642"/>
      <c r="Q256" s="1370"/>
      <c r="R256" s="1370"/>
      <c r="S256" s="1371"/>
    </row>
    <row r="257" spans="2:19" x14ac:dyDescent="0.35">
      <c r="B257" s="3806"/>
      <c r="C257" s="1298" t="s">
        <v>851</v>
      </c>
      <c r="D257" s="1298"/>
      <c r="E257" s="1298"/>
      <c r="F257" s="1299">
        <f>SUMIF(D136:D251,"Operation",E136:E251)</f>
        <v>391.20191285530979</v>
      </c>
      <c r="G257" s="1300">
        <f>F257/F256</f>
        <v>0.83146378284896794</v>
      </c>
      <c r="H257" s="1300"/>
      <c r="I257" s="1296"/>
      <c r="J257" s="1296"/>
      <c r="K257" s="1296"/>
      <c r="L257" s="1296"/>
      <c r="M257" s="1296"/>
      <c r="N257" s="1296"/>
      <c r="O257" s="1296"/>
      <c r="P257" s="1679"/>
      <c r="Q257" s="1373"/>
      <c r="R257" s="1373"/>
      <c r="S257" s="1374"/>
    </row>
    <row r="258" spans="2:19" x14ac:dyDescent="0.35">
      <c r="B258" s="3806"/>
      <c r="C258" s="1298" t="s">
        <v>852</v>
      </c>
      <c r="D258" s="1298"/>
      <c r="E258" s="1298"/>
      <c r="F258" s="1299">
        <f>SUMIF(D136:D251,"Logistics",E136:E251)</f>
        <v>77.589999999999989</v>
      </c>
      <c r="G258" s="1300">
        <f>F258/F256</f>
        <v>0.16491042807122558</v>
      </c>
      <c r="H258" s="1300"/>
      <c r="I258" s="1298"/>
      <c r="J258" s="1298"/>
      <c r="K258" s="1298"/>
      <c r="L258" s="1298"/>
      <c r="M258" s="1298"/>
      <c r="N258" s="1298"/>
      <c r="O258" s="1298"/>
      <c r="P258" s="1678"/>
      <c r="Q258" s="1373"/>
      <c r="R258" s="1373"/>
      <c r="S258" s="1374"/>
    </row>
    <row r="259" spans="2:19" ht="13.3" thickBot="1" x14ac:dyDescent="0.4">
      <c r="B259" s="3807"/>
      <c r="C259" s="3643" t="s">
        <v>853</v>
      </c>
      <c r="D259" s="3643"/>
      <c r="E259" s="3643"/>
      <c r="F259" s="3644">
        <f>SUMIF(D136:D251,"Movement",E136:E251)</f>
        <v>0.23148148148148148</v>
      </c>
      <c r="G259" s="3645">
        <f>F259/F256</f>
        <v>4.9199265629169472E-4</v>
      </c>
      <c r="H259" s="3645"/>
      <c r="I259" s="3643"/>
      <c r="J259" s="3643"/>
      <c r="K259" s="3643"/>
      <c r="L259" s="3643"/>
      <c r="M259" s="3643"/>
      <c r="N259" s="3643"/>
      <c r="O259" s="3643"/>
      <c r="P259" s="3646"/>
      <c r="Q259" s="1376"/>
      <c r="R259" s="1376"/>
      <c r="S259" s="1377"/>
    </row>
    <row r="260" spans="2:19" x14ac:dyDescent="0.35">
      <c r="B260" s="3808" t="s">
        <v>1726</v>
      </c>
      <c r="C260" s="1680" t="s">
        <v>850</v>
      </c>
      <c r="D260" s="1680"/>
      <c r="E260" s="1680"/>
      <c r="F260" s="1681">
        <f>F252+F92</f>
        <v>358.09264508374383</v>
      </c>
      <c r="G260" s="1682"/>
      <c r="H260" s="1683"/>
      <c r="I260" s="1682"/>
      <c r="J260" s="1682"/>
      <c r="K260" s="1682"/>
      <c r="L260" s="1682"/>
      <c r="M260" s="1682"/>
      <c r="N260" s="1682"/>
      <c r="O260" s="1682"/>
      <c r="P260" s="1684"/>
      <c r="Q260" s="1685"/>
      <c r="R260" s="1685"/>
      <c r="S260" s="3647"/>
    </row>
    <row r="261" spans="2:19" x14ac:dyDescent="0.35">
      <c r="B261" s="3809"/>
      <c r="C261" s="1686" t="s">
        <v>851</v>
      </c>
      <c r="D261" s="1686"/>
      <c r="E261" s="1686"/>
      <c r="F261" s="1687">
        <f>F253+F93</f>
        <v>238.87857100967003</v>
      </c>
      <c r="G261" s="1688">
        <f>F261/F260</f>
        <v>0.66708594630254325</v>
      </c>
      <c r="H261" s="1689"/>
      <c r="I261" s="1690"/>
      <c r="J261" s="1690"/>
      <c r="K261" s="1690"/>
      <c r="L261" s="1690"/>
      <c r="M261" s="1690"/>
      <c r="N261" s="1690"/>
      <c r="O261" s="1690"/>
      <c r="P261" s="1691"/>
      <c r="Q261" s="1692"/>
      <c r="R261" s="1692"/>
      <c r="S261" s="3648"/>
    </row>
    <row r="262" spans="2:19" x14ac:dyDescent="0.35">
      <c r="B262" s="3809"/>
      <c r="C262" s="1686" t="s">
        <v>852</v>
      </c>
      <c r="D262" s="1686"/>
      <c r="E262" s="1686"/>
      <c r="F262" s="1687">
        <f>F254+F94</f>
        <v>110.79000000000002</v>
      </c>
      <c r="G262" s="1688">
        <f>F262/F260</f>
        <v>0.30938920841027212</v>
      </c>
      <c r="H262" s="1689"/>
      <c r="I262" s="1686"/>
      <c r="J262" s="1686"/>
      <c r="K262" s="1686"/>
      <c r="L262" s="1686"/>
      <c r="M262" s="1686"/>
      <c r="N262" s="1686"/>
      <c r="O262" s="1686"/>
      <c r="P262" s="1693"/>
      <c r="Q262" s="1692"/>
      <c r="R262" s="1692"/>
      <c r="S262" s="3648"/>
    </row>
    <row r="263" spans="2:19" ht="13.3" thickBot="1" x14ac:dyDescent="0.4">
      <c r="B263" s="3810"/>
      <c r="C263" s="1694" t="s">
        <v>853</v>
      </c>
      <c r="D263" s="1694"/>
      <c r="E263" s="1694"/>
      <c r="F263" s="1695">
        <f>F255+F95</f>
        <v>0.87962962962962965</v>
      </c>
      <c r="G263" s="1696">
        <f>F263/F260</f>
        <v>2.4564303168637231E-3</v>
      </c>
      <c r="H263" s="1696"/>
      <c r="I263" s="1697"/>
      <c r="J263" s="1694"/>
      <c r="K263" s="1694"/>
      <c r="L263" s="1694"/>
      <c r="M263" s="1694"/>
      <c r="N263" s="1694"/>
      <c r="O263" s="1694"/>
      <c r="P263" s="1698"/>
      <c r="Q263" s="1699"/>
      <c r="R263" s="1699"/>
      <c r="S263" s="3649"/>
    </row>
    <row r="264" spans="2:19" x14ac:dyDescent="0.35">
      <c r="B264" s="3811" t="s">
        <v>1727</v>
      </c>
      <c r="C264" s="1700" t="s">
        <v>850</v>
      </c>
      <c r="D264" s="1700"/>
      <c r="E264" s="1700"/>
      <c r="F264" s="1701">
        <f>F256+F132</f>
        <v>676.0524530637274</v>
      </c>
      <c r="G264" s="1702"/>
      <c r="H264" s="1703"/>
      <c r="I264" s="1702"/>
      <c r="J264" s="1702"/>
      <c r="K264" s="1702"/>
      <c r="L264" s="1702"/>
      <c r="M264" s="1702"/>
      <c r="N264" s="1702"/>
      <c r="O264" s="1702"/>
      <c r="P264" s="1704"/>
      <c r="Q264" s="1705"/>
      <c r="R264" s="1705"/>
      <c r="S264" s="3650"/>
    </row>
    <row r="265" spans="2:19" x14ac:dyDescent="0.35">
      <c r="B265" s="3812"/>
      <c r="C265" s="1706" t="s">
        <v>851</v>
      </c>
      <c r="D265" s="1706"/>
      <c r="E265" s="1706"/>
      <c r="F265" s="1707">
        <f>F257+F133</f>
        <v>514.6283789896537</v>
      </c>
      <c r="G265" s="1708">
        <f>F265/F264</f>
        <v>0.76122551831217566</v>
      </c>
      <c r="H265" s="1709"/>
      <c r="I265" s="1710"/>
      <c r="J265" s="1710"/>
      <c r="K265" s="1710"/>
      <c r="L265" s="1710"/>
      <c r="M265" s="1710"/>
      <c r="N265" s="1710"/>
      <c r="O265" s="1710"/>
      <c r="P265" s="1711"/>
      <c r="Q265" s="1712"/>
      <c r="R265" s="1712"/>
      <c r="S265" s="3651"/>
    </row>
    <row r="266" spans="2:19" x14ac:dyDescent="0.35">
      <c r="B266" s="3812"/>
      <c r="C266" s="1706" t="s">
        <v>852</v>
      </c>
      <c r="D266" s="1706"/>
      <c r="E266" s="1706"/>
      <c r="F266" s="1707">
        <f>F258+F134</f>
        <v>153</v>
      </c>
      <c r="G266" s="1708">
        <f>F266/F264</f>
        <v>0.2263138005144959</v>
      </c>
      <c r="H266" s="1709"/>
      <c r="I266" s="1706"/>
      <c r="J266" s="1706"/>
      <c r="K266" s="1706"/>
      <c r="L266" s="1706"/>
      <c r="M266" s="1706"/>
      <c r="N266" s="1706"/>
      <c r="O266" s="1706"/>
      <c r="P266" s="1713"/>
      <c r="Q266" s="1712"/>
      <c r="R266" s="1712"/>
      <c r="S266" s="3651"/>
    </row>
    <row r="267" spans="2:19" ht="13.3" thickBot="1" x14ac:dyDescent="0.4">
      <c r="B267" s="3813"/>
      <c r="C267" s="1714" t="s">
        <v>853</v>
      </c>
      <c r="D267" s="1714"/>
      <c r="E267" s="1714"/>
      <c r="F267" s="1715">
        <f>F259+F135</f>
        <v>0.87962962962962965</v>
      </c>
      <c r="G267" s="1716">
        <f>F267/F264</f>
        <v>1.3011263040956856E-3</v>
      </c>
      <c r="H267" s="1716"/>
      <c r="I267" s="1715"/>
      <c r="J267" s="1714"/>
      <c r="K267" s="1714"/>
      <c r="L267" s="1714"/>
      <c r="M267" s="1714"/>
      <c r="N267" s="1714"/>
      <c r="O267" s="1714"/>
      <c r="P267" s="1717"/>
      <c r="Q267" s="1718"/>
      <c r="R267" s="1718"/>
      <c r="S267" s="3652"/>
    </row>
    <row r="269" spans="2:19" x14ac:dyDescent="0.35">
      <c r="P269" s="88"/>
    </row>
    <row r="270" spans="2:19" x14ac:dyDescent="0.35">
      <c r="F270" s="555"/>
      <c r="G270" s="555"/>
      <c r="P270" s="88"/>
    </row>
    <row r="272" spans="2:19" x14ac:dyDescent="0.35">
      <c r="F272" s="555"/>
      <c r="O272" s="1719"/>
    </row>
    <row r="273" spans="7:15" x14ac:dyDescent="0.35">
      <c r="G273" s="555"/>
      <c r="O273" s="1719"/>
    </row>
  </sheetData>
  <autoFilter ref="C6:P267"/>
  <customSheetViews>
    <customSheetView guid="{9C0AA20B-B2A2-4A2C-B279-4A5988F4E71A}" scale="70" showAutoFilter="1" hiddenColumns="1" state="hidden">
      <selection activeCell="K2" sqref="K2:M4"/>
      <pageMargins left="0.7" right="0.7" top="0.75" bottom="0.75" header="0.3" footer="0.3"/>
      <pageSetup paperSize="9" orientation="portrait" verticalDpi="0" r:id="rId1"/>
      <autoFilter ref="C6:P122"/>
    </customSheetView>
  </customSheetViews>
  <mergeCells count="40">
    <mergeCell ref="B249:B251"/>
    <mergeCell ref="B252:B255"/>
    <mergeCell ref="B256:B259"/>
    <mergeCell ref="B260:B263"/>
    <mergeCell ref="B264:B267"/>
    <mergeCell ref="B245:B248"/>
    <mergeCell ref="B152:B161"/>
    <mergeCell ref="B162:B182"/>
    <mergeCell ref="B183:B187"/>
    <mergeCell ref="B188:B192"/>
    <mergeCell ref="B193:B197"/>
    <mergeCell ref="B198:B214"/>
    <mergeCell ref="B215:B219"/>
    <mergeCell ref="B220:B227"/>
    <mergeCell ref="B228:B232"/>
    <mergeCell ref="B233:B239"/>
    <mergeCell ref="B240:B244"/>
    <mergeCell ref="B145:B151"/>
    <mergeCell ref="B50:B57"/>
    <mergeCell ref="B58:B74"/>
    <mergeCell ref="B75:B82"/>
    <mergeCell ref="B83:B87"/>
    <mergeCell ref="B88:B91"/>
    <mergeCell ref="B92:B95"/>
    <mergeCell ref="B96:B113"/>
    <mergeCell ref="B114:B122"/>
    <mergeCell ref="B123:B131"/>
    <mergeCell ref="B132:B135"/>
    <mergeCell ref="B136:B144"/>
    <mergeCell ref="B42:B49"/>
    <mergeCell ref="G5:H5"/>
    <mergeCell ref="I5:N5"/>
    <mergeCell ref="O5:P5"/>
    <mergeCell ref="B37:B41"/>
    <mergeCell ref="Q5:S5"/>
    <mergeCell ref="B13:B19"/>
    <mergeCell ref="B20:B22"/>
    <mergeCell ref="B23:B29"/>
    <mergeCell ref="B30:B36"/>
    <mergeCell ref="B7:B12"/>
  </mergeCells>
  <conditionalFormatting sqref="G1:S1048576">
    <cfRule type="cellIs" dxfId="5025" priority="7" stopIfTrue="1" operator="equal">
      <formula>"N/A"</formula>
    </cfRule>
  </conditionalFormatting>
  <conditionalFormatting sqref="Q1:S1048576">
    <cfRule type="cellIs" dxfId="5024" priority="3" stopIfTrue="1" operator="lessThan">
      <formula>0</formula>
    </cfRule>
  </conditionalFormatting>
  <pageMargins left="0.7" right="0.7" top="0.75" bottom="0.75" header="0.3" footer="0.3"/>
  <pageSetup paperSize="9" orientation="portrait"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39997558519241921"/>
  </sheetPr>
  <dimension ref="A3:S224"/>
  <sheetViews>
    <sheetView workbookViewId="0">
      <selection activeCell="C256" sqref="C256"/>
    </sheetView>
  </sheetViews>
  <sheetFormatPr defaultRowHeight="14.6" outlineLevelCol="1" x14ac:dyDescent="0.4"/>
  <cols>
    <col min="1" max="1" width="9.15234375" style="89" customWidth="1"/>
    <col min="2" max="2" width="31.15234375" style="1233" customWidth="1"/>
    <col min="3" max="3" width="61.53515625" style="89" customWidth="1"/>
    <col min="4" max="4" width="12.3828125" style="89" customWidth="1"/>
    <col min="5" max="5" width="8.3828125" style="104" customWidth="1"/>
    <col min="6" max="6" width="11.3828125" style="104" customWidth="1"/>
    <col min="7" max="7" width="25.3046875" style="89" customWidth="1" outlineLevel="1"/>
    <col min="8" max="8" width="10.69140625" style="89"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44.15234375" style="89" customWidth="1" outlineLevel="1"/>
    <col min="16" max="16" width="10.3828125" style="89" customWidth="1"/>
    <col min="17" max="17" width="9.15234375" style="89"/>
  </cols>
  <sheetData>
    <row r="3" spans="1:19" ht="15" thickBot="1" x14ac:dyDescent="0.45">
      <c r="A3" s="88"/>
      <c r="C3" s="88"/>
      <c r="D3" s="88"/>
      <c r="E3" s="555"/>
      <c r="F3" s="555"/>
      <c r="G3" s="88"/>
      <c r="H3" s="88"/>
      <c r="I3" s="88"/>
      <c r="J3" s="88"/>
      <c r="K3" s="88"/>
      <c r="L3" s="88"/>
      <c r="M3" s="88"/>
      <c r="N3" s="88"/>
      <c r="O3" s="88"/>
      <c r="P3" s="88"/>
    </row>
    <row r="4" spans="1:19" ht="15" thickBot="1" x14ac:dyDescent="0.45">
      <c r="A4" s="88"/>
      <c r="C4" s="88"/>
      <c r="D4" s="88"/>
      <c r="E4" s="555"/>
      <c r="F4" s="555"/>
      <c r="G4" s="3791" t="s">
        <v>18</v>
      </c>
      <c r="H4" s="3792"/>
      <c r="I4" s="3794" t="s">
        <v>778</v>
      </c>
      <c r="J4" s="3794"/>
      <c r="K4" s="3794"/>
      <c r="L4" s="3794"/>
      <c r="M4" s="3794"/>
      <c r="N4" s="3794"/>
      <c r="O4" s="3793" t="s">
        <v>3</v>
      </c>
      <c r="P4" s="3795"/>
    </row>
    <row r="5" spans="1:19" ht="15" thickBot="1" x14ac:dyDescent="0.45">
      <c r="A5" s="88"/>
      <c r="B5" s="1301" t="s">
        <v>780</v>
      </c>
      <c r="C5" s="558" t="s">
        <v>781</v>
      </c>
      <c r="D5" s="558" t="s">
        <v>782</v>
      </c>
      <c r="E5" s="1164" t="s">
        <v>783</v>
      </c>
      <c r="F5" s="1165" t="s">
        <v>769</v>
      </c>
      <c r="G5" s="560" t="s">
        <v>785</v>
      </c>
      <c r="H5" s="561" t="s">
        <v>783</v>
      </c>
      <c r="I5" s="940" t="s">
        <v>786</v>
      </c>
      <c r="J5" s="563" t="s">
        <v>787</v>
      </c>
      <c r="K5" s="563" t="s">
        <v>788</v>
      </c>
      <c r="L5" s="563" t="s">
        <v>789</v>
      </c>
      <c r="M5" s="563" t="s">
        <v>790</v>
      </c>
      <c r="N5" s="564" t="s">
        <v>783</v>
      </c>
      <c r="O5" s="565" t="s">
        <v>785</v>
      </c>
      <c r="P5" s="561" t="s">
        <v>783</v>
      </c>
    </row>
    <row r="6" spans="1:19" s="89" customFormat="1" x14ac:dyDescent="0.4">
      <c r="B6" s="3787" t="s">
        <v>1542</v>
      </c>
      <c r="C6" s="617" t="s">
        <v>267</v>
      </c>
      <c r="D6" s="617" t="s">
        <v>907</v>
      </c>
      <c r="E6" s="567">
        <f>MAX($P6,$N6,$H6)</f>
        <v>0</v>
      </c>
      <c r="F6" s="567">
        <f>IF($D6="Trigger",VLOOKUP($C6,'Lower Cask Critical Path'!$C$6:$F$427,4,FALSE),E6+F5)</f>
        <v>0</v>
      </c>
      <c r="G6" s="568"/>
      <c r="H6" s="569" t="s">
        <v>263</v>
      </c>
      <c r="I6" s="1270"/>
      <c r="J6" s="617"/>
      <c r="K6" s="617"/>
      <c r="L6" s="618" t="str">
        <f>IFERROR(INDEX('Lower Cask Movement &amp; Logistics'!$I$13:$O$19,MATCH($J6,'Lower Cask Movement &amp; Logistics'!$H$13:$H$19,0),MATCH($K6,'Lower Cask Movement &amp; Logistics'!$H$13:$H$19,0)),"N/A")</f>
        <v>N/A</v>
      </c>
      <c r="M6" s="618" t="str">
        <f>IFERROR(VLOOKUP($I6,'Lower Cask Movement &amp; Logistics'!$H$4:$I$8,2,FALSE),"N/A")</f>
        <v>N/A</v>
      </c>
      <c r="N6" s="619" t="str">
        <f t="shared" ref="N6:N56" si="0">IF(D6="Movement",IFERROR((L6/M6)/(60*60),"Error"),"N/A")</f>
        <v>N/A</v>
      </c>
      <c r="O6" s="620"/>
      <c r="P6" s="621" t="str">
        <f>IF($D6="Logistics",VLOOKUP($O6,'Lower Cask Movement &amp; Logistics'!$C$4:$D$54,2,FALSE),"N/A")</f>
        <v>N/A</v>
      </c>
      <c r="R6"/>
      <c r="S6"/>
    </row>
    <row r="7" spans="1:19" s="89" customFormat="1" x14ac:dyDescent="0.4">
      <c r="B7" s="3786"/>
      <c r="C7" s="572" t="s">
        <v>1729</v>
      </c>
      <c r="D7" s="572" t="s">
        <v>3</v>
      </c>
      <c r="E7" s="574">
        <f>MAX($P7,$N7,$H7)</f>
        <v>0.88000000000000012</v>
      </c>
      <c r="F7" s="574">
        <f>IF($D7="Trigger",VLOOKUP($C7,'Lower Cask Critical Path'!$C$6:$F$427,4,FALSE),E7+F6)</f>
        <v>0.88000000000000012</v>
      </c>
      <c r="G7" s="575"/>
      <c r="H7" s="576" t="s">
        <v>263</v>
      </c>
      <c r="I7" s="1281"/>
      <c r="J7" s="572"/>
      <c r="K7" s="572"/>
      <c r="L7" s="577" t="str">
        <f>IFERROR(INDEX('Lower Cask Movement &amp; Logistics'!$I$13:$O$19,MATCH($J7,'Lower Cask Movement &amp; Logistics'!$H$13:$H$19,0),MATCH($K7,'Lower Cask Movement &amp; Logistics'!$H$13:$H$19,0)),"N/A")</f>
        <v>N/A</v>
      </c>
      <c r="M7" s="577" t="str">
        <f>IFERROR(VLOOKUP($I7,'Lower Cask Movement &amp; Logistics'!$H$4:$I$8,2,FALSE),"N/A")</f>
        <v>N/A</v>
      </c>
      <c r="N7" s="578" t="str">
        <f t="shared" si="0"/>
        <v>N/A</v>
      </c>
      <c r="O7" s="579" t="s">
        <v>1730</v>
      </c>
      <c r="P7" s="580">
        <f>IF($D7="Logistics",VLOOKUP($O7,'Lower Cask Movement &amp; Logistics'!$C$4:$D$54,2,FALSE),"N/A")</f>
        <v>0.88000000000000012</v>
      </c>
      <c r="R7"/>
      <c r="S7"/>
    </row>
    <row r="8" spans="1:19" s="89" customFormat="1" x14ac:dyDescent="0.4">
      <c r="B8" s="3786"/>
      <c r="C8" s="572" t="s">
        <v>1562</v>
      </c>
      <c r="D8" s="572" t="s">
        <v>3</v>
      </c>
      <c r="E8" s="574">
        <f>MAX($P8,$N8,$H8)</f>
        <v>2.3000000000000003</v>
      </c>
      <c r="F8" s="574">
        <f>IF($D8="Trigger",VLOOKUP($C8,'Lower Cask Critical Path'!$C$6:$F$427,4,FALSE),E8+F7)</f>
        <v>3.1800000000000006</v>
      </c>
      <c r="G8" s="575"/>
      <c r="H8" s="576" t="s">
        <v>263</v>
      </c>
      <c r="I8" s="1281"/>
      <c r="J8" s="572"/>
      <c r="K8" s="572"/>
      <c r="L8" s="577" t="str">
        <f>IFERROR(INDEX('Lower Cask Movement &amp; Logistics'!$I$13:$O$19,MATCH($J8,'Lower Cask Movement &amp; Logistics'!$H$13:$H$19,0),MATCH($K8,'Lower Cask Movement &amp; Logistics'!$H$13:$H$19,0)),"N/A")</f>
        <v>N/A</v>
      </c>
      <c r="M8" s="577" t="str">
        <f>IFERROR(VLOOKUP($I8,'Lower Cask Movement &amp; Logistics'!$H$4:$I$8,2,FALSE),"N/A")</f>
        <v>N/A</v>
      </c>
      <c r="N8" s="578" t="str">
        <f t="shared" si="0"/>
        <v>N/A</v>
      </c>
      <c r="O8" s="579" t="s">
        <v>1562</v>
      </c>
      <c r="P8" s="580">
        <f>IF($D8="Logistics",VLOOKUP($O8,'Lower Cask Movement &amp; Logistics'!$C$4:$D$54,2,FALSE),"N/A")</f>
        <v>2.3000000000000003</v>
      </c>
      <c r="R8"/>
      <c r="S8"/>
    </row>
    <row r="9" spans="1:19" s="89" customFormat="1" x14ac:dyDescent="0.4">
      <c r="B9" s="3786"/>
      <c r="C9" s="572" t="s">
        <v>1731</v>
      </c>
      <c r="D9" s="572" t="s">
        <v>778</v>
      </c>
      <c r="E9" s="574">
        <f>MAX($P9,$N9,$H9)</f>
        <v>0.69444444444444442</v>
      </c>
      <c r="F9" s="574">
        <f>IF($D9="Trigger",VLOOKUP($C9,'Lower Cask Critical Path'!$C$6:$F$427,4,FALSE),E9+F8)</f>
        <v>3.8744444444444452</v>
      </c>
      <c r="G9" s="575"/>
      <c r="H9" s="576" t="s">
        <v>263</v>
      </c>
      <c r="I9" s="1281" t="s">
        <v>1538</v>
      </c>
      <c r="J9" s="572" t="s">
        <v>799</v>
      </c>
      <c r="K9" s="572" t="s">
        <v>1203</v>
      </c>
      <c r="L9" s="577">
        <f>IFERROR(INDEX('Lower Cask Movement &amp; Logistics'!$I$13:$O$19,MATCH($J9,'Lower Cask Movement &amp; Logistics'!$H$13:$H$19,0),MATCH($K9,'Lower Cask Movement &amp; Logistics'!$H$13:$H$19,0)),"N/A")</f>
        <v>50</v>
      </c>
      <c r="M9" s="577">
        <f>IFERROR(VLOOKUP($I9,'Lower Cask Movement &amp; Logistics'!$H$4:$I$8,2,FALSE),"N/A")</f>
        <v>0.02</v>
      </c>
      <c r="N9" s="578">
        <f>IF(D9="Movement",IFERROR((L9/M9)/(60*60),"Error"),"N/A")</f>
        <v>0.69444444444444442</v>
      </c>
      <c r="O9" s="579"/>
      <c r="P9" s="580" t="str">
        <f>IF($D9="Logistics",VLOOKUP($O9,'Lower Cask Movement &amp; Logistics'!$C$4:$D$54,2,FALSE),"N/A")</f>
        <v>N/A</v>
      </c>
      <c r="R9"/>
      <c r="S9"/>
    </row>
    <row r="10" spans="1:19" s="89" customFormat="1" ht="15" thickBot="1" x14ac:dyDescent="0.45">
      <c r="B10" s="3788"/>
      <c r="C10" s="583" t="str">
        <f>B6</f>
        <v>Vacuum Closure Cask Prepared; Port Plate Equipment Cask Moved to Lower Port</v>
      </c>
      <c r="D10" s="583" t="s">
        <v>11</v>
      </c>
      <c r="E10" s="585">
        <f t="shared" ref="E10:E59" si="1">MAX($P10,$N10,$H10)</f>
        <v>0</v>
      </c>
      <c r="F10" s="585">
        <f>IF($D10="Trigger",VLOOKUP($C10,'Lower Cask Critical Path'!$C$6:$F$427,4,FALSE),E10+F9)</f>
        <v>3.8744444444444452</v>
      </c>
      <c r="G10" s="586"/>
      <c r="H10" s="587" t="s">
        <v>263</v>
      </c>
      <c r="I10" s="1720"/>
      <c r="J10" s="583"/>
      <c r="K10" s="583"/>
      <c r="L10" s="588" t="str">
        <f>IFERROR(INDEX('Lower Cask Movement &amp; Logistics'!$I$13:$O$19,MATCH($J10,'Lower Cask Movement &amp; Logistics'!$H$13:$H$19,0),MATCH($K10,'Lower Cask Movement &amp; Logistics'!$H$13:$H$19,0)),"N/A")</f>
        <v>N/A</v>
      </c>
      <c r="M10" s="588" t="str">
        <f>IFERROR(VLOOKUP($I10,'Lower Cask Movement &amp; Logistics'!$H$4:$I$8,2,FALSE),"N/A")</f>
        <v>N/A</v>
      </c>
      <c r="N10" s="589" t="str">
        <f t="shared" si="0"/>
        <v>N/A</v>
      </c>
      <c r="O10" s="590"/>
      <c r="P10" s="591" t="str">
        <f>IF($D10="Logistics",VLOOKUP($O10,'Lower Cask Movement &amp; Logistics'!$C$4:$D$54,2,FALSE),"N/A")</f>
        <v>N/A</v>
      </c>
      <c r="R10"/>
      <c r="S10"/>
    </row>
    <row r="11" spans="1:19" s="89" customFormat="1" ht="15" customHeight="1" x14ac:dyDescent="0.4">
      <c r="B11" s="3814" t="s">
        <v>1555</v>
      </c>
      <c r="C11" s="1324" t="s">
        <v>912</v>
      </c>
      <c r="D11" s="1324" t="s">
        <v>907</v>
      </c>
      <c r="E11" s="1291">
        <f t="shared" si="1"/>
        <v>0</v>
      </c>
      <c r="F11" s="1291">
        <f>IF($D11="Trigger",VLOOKUP($C11,'Lower Cask Critical Path'!$C$6:$F$427,4,FALSE),E11+F10)</f>
        <v>2.708148148148148</v>
      </c>
      <c r="G11" s="825"/>
      <c r="H11" s="1323" t="s">
        <v>263</v>
      </c>
      <c r="I11" s="1721"/>
      <c r="J11" s="1324"/>
      <c r="K11" s="1324"/>
      <c r="L11" s="1325" t="str">
        <f>IFERROR(INDEX('Lower Cask Movement &amp; Logistics'!$I$13:$O$19,MATCH($J11,'Lower Cask Movement &amp; Logistics'!$H$13:$H$19,0),MATCH($K11,'Lower Cask Movement &amp; Logistics'!$H$13:$H$19,0)),"N/A")</f>
        <v>N/A</v>
      </c>
      <c r="M11" s="1325" t="str">
        <f>IFERROR(VLOOKUP($I11,'Lower Cask Movement &amp; Logistics'!$H$4:$I$8,2,FALSE),"N/A")</f>
        <v>N/A</v>
      </c>
      <c r="N11" s="1326" t="str">
        <f t="shared" si="0"/>
        <v>N/A</v>
      </c>
      <c r="O11" s="1327"/>
      <c r="P11" s="824" t="str">
        <f>IF($D11="Logistics",VLOOKUP($O11,'Lower Cask Movement &amp; Logistics'!$C$4:$D$54,2,FALSE),"N/A")</f>
        <v>N/A</v>
      </c>
      <c r="R11"/>
      <c r="S11"/>
    </row>
    <row r="12" spans="1:19" s="89" customFormat="1" ht="15" customHeight="1" x14ac:dyDescent="0.4">
      <c r="B12" s="3815"/>
      <c r="C12" s="1362" t="s">
        <v>1732</v>
      </c>
      <c r="D12" s="1294" t="s">
        <v>778</v>
      </c>
      <c r="E12" s="1330">
        <f t="shared" si="1"/>
        <v>0.23148148148148148</v>
      </c>
      <c r="F12" s="1330">
        <f>IF($D12="Trigger",VLOOKUP($C12,'Lower Cask Critical Path'!$C$6:$F$427,4,FALSE),E12+F11)</f>
        <v>2.9396296296296294</v>
      </c>
      <c r="G12" s="1722"/>
      <c r="H12" s="1723" t="s">
        <v>263</v>
      </c>
      <c r="I12" s="1724" t="s">
        <v>1536</v>
      </c>
      <c r="J12" s="1294" t="s">
        <v>1203</v>
      </c>
      <c r="K12" s="1294" t="s">
        <v>914</v>
      </c>
      <c r="L12" s="1292">
        <f>IFERROR(INDEX('Lower Cask Movement &amp; Logistics'!$I$13:$O$19,MATCH($J12,'Lower Cask Movement &amp; Logistics'!$H$13:$H$19,0),MATCH($K12,'Lower Cask Movement &amp; Logistics'!$H$13:$H$19,0)),"N/A")</f>
        <v>50</v>
      </c>
      <c r="M12" s="1725">
        <f>IFERROR(VLOOKUP($I12,'Lower Cask Movement &amp; Logistics'!$H$4:$I$8,2,FALSE),"N/A")</f>
        <v>0.06</v>
      </c>
      <c r="N12" s="1332">
        <f t="shared" si="0"/>
        <v>0.23148148148148148</v>
      </c>
      <c r="O12" s="1352"/>
      <c r="P12" s="1353" t="str">
        <f>IF($D12="Logistics",VLOOKUP($O12,'Lower Cask Movement &amp; Logistics'!$C$4:$D$54,2,FALSE),"N/A")</f>
        <v>N/A</v>
      </c>
      <c r="R12"/>
      <c r="S12"/>
    </row>
    <row r="13" spans="1:19" s="89" customFormat="1" ht="15" customHeight="1" x14ac:dyDescent="0.4">
      <c r="B13" s="3815"/>
      <c r="C13" s="1362" t="s">
        <v>1733</v>
      </c>
      <c r="D13" s="1362" t="s">
        <v>3</v>
      </c>
      <c r="E13" s="1292">
        <f t="shared" si="1"/>
        <v>1.9</v>
      </c>
      <c r="F13" s="1292">
        <f>IF($D13="Trigger",VLOOKUP($C13,'Lower Cask Critical Path'!$C$6:$F$427,4,FALSE),E13+F12)</f>
        <v>4.8396296296296288</v>
      </c>
      <c r="G13" s="862"/>
      <c r="H13" s="1328" t="s">
        <v>263</v>
      </c>
      <c r="I13" s="1724"/>
      <c r="J13" s="1294"/>
      <c r="K13" s="1294"/>
      <c r="L13" s="1329" t="str">
        <f>IFERROR(INDEX('Lower Cask Movement &amp; Logistics'!$I$13:$O$19,MATCH($J13,'Lower Cask Movement &amp; Logistics'!$H$13:$H$19,0),MATCH($K13,'Lower Cask Movement &amp; Logistics'!$H$13:$H$19,0)),"N/A")</f>
        <v>N/A</v>
      </c>
      <c r="M13" s="1726" t="str">
        <f>IFERROR(VLOOKUP($I13,'Lower Cask Movement &amp; Logistics'!$H$4:$I$8,2,FALSE),"N/A")</f>
        <v>N/A</v>
      </c>
      <c r="N13" s="1330" t="str">
        <f t="shared" si="0"/>
        <v>N/A</v>
      </c>
      <c r="O13" s="1331" t="s">
        <v>1734</v>
      </c>
      <c r="P13" s="1332">
        <f>IF($D13="Logistics",VLOOKUP($O13,'Lower Cask Movement &amp; Logistics'!$C$4:$D$54,2,FALSE),"N/A")</f>
        <v>1.9</v>
      </c>
      <c r="R13"/>
      <c r="S13"/>
    </row>
    <row r="14" spans="1:19" s="89" customFormat="1" ht="15" customHeight="1" x14ac:dyDescent="0.4">
      <c r="B14" s="3815"/>
      <c r="C14" s="1362" t="s">
        <v>1735</v>
      </c>
      <c r="D14" s="1294" t="s">
        <v>3</v>
      </c>
      <c r="E14" s="1330">
        <f t="shared" si="1"/>
        <v>0.88000000000000012</v>
      </c>
      <c r="F14" s="1330">
        <f>IF($D14="Trigger",VLOOKUP($C14,'Lower Cask Critical Path'!$C$6:$F$427,4,FALSE),E14+F13)</f>
        <v>5.7196296296296287</v>
      </c>
      <c r="G14" s="1722"/>
      <c r="H14" s="1723" t="s">
        <v>263</v>
      </c>
      <c r="I14" s="1724"/>
      <c r="J14" s="1294"/>
      <c r="K14" s="1294"/>
      <c r="L14" s="1292" t="str">
        <f>IFERROR(INDEX('Lower Cask Movement &amp; Logistics'!$I$13:$O$19,MATCH($J14,'Lower Cask Movement &amp; Logistics'!$H$13:$H$19,0),MATCH($K14,'Lower Cask Movement &amp; Logistics'!$H$13:$H$19,0)),"N/A")</f>
        <v>N/A</v>
      </c>
      <c r="M14" s="1725" t="str">
        <f>IFERROR(VLOOKUP($I14,'Lower Cask Movement &amp; Logistics'!$H$4:$I$8,2,FALSE),"N/A")</f>
        <v>N/A</v>
      </c>
      <c r="N14" s="1332" t="str">
        <f t="shared" si="0"/>
        <v>N/A</v>
      </c>
      <c r="O14" s="1352" t="s">
        <v>1736</v>
      </c>
      <c r="P14" s="1353">
        <f>IF($D14="Logistics",VLOOKUP($O14,'Lower Cask Movement &amp; Logistics'!$C$4:$D$54,2,FALSE),"N/A")</f>
        <v>0.88000000000000012</v>
      </c>
      <c r="R14"/>
      <c r="S14"/>
    </row>
    <row r="15" spans="1:19" s="89" customFormat="1" ht="15" customHeight="1" x14ac:dyDescent="0.4">
      <c r="B15" s="3815"/>
      <c r="C15" s="1294" t="s">
        <v>1562</v>
      </c>
      <c r="D15" s="1294" t="s">
        <v>3</v>
      </c>
      <c r="E15" s="1292">
        <f t="shared" si="1"/>
        <v>2.3000000000000003</v>
      </c>
      <c r="F15" s="1292">
        <f>IF($D15="Trigger",VLOOKUP($C15,'Lower Cask Critical Path'!$C$6:$F$427,4,FALSE),E15+F14)</f>
        <v>8.0196296296296286</v>
      </c>
      <c r="G15" s="862"/>
      <c r="H15" s="1328" t="s">
        <v>263</v>
      </c>
      <c r="I15" s="1724"/>
      <c r="J15" s="1294"/>
      <c r="K15" s="1294"/>
      <c r="L15" s="1329" t="str">
        <f>IFERROR(INDEX('Lower Cask Movement &amp; Logistics'!$I$13:$O$19,MATCH($J15,'Lower Cask Movement &amp; Logistics'!$H$13:$H$19,0),MATCH($K15,'Lower Cask Movement &amp; Logistics'!$H$13:$H$19,0)),"N/A")</f>
        <v>N/A</v>
      </c>
      <c r="M15" s="1726" t="str">
        <f>IFERROR(VLOOKUP($I15,'Lower Cask Movement &amp; Logistics'!$H$4:$I$8,2,FALSE),"N/A")</f>
        <v>N/A</v>
      </c>
      <c r="N15" s="1330" t="str">
        <f t="shared" si="0"/>
        <v>N/A</v>
      </c>
      <c r="O15" s="1331" t="s">
        <v>1562</v>
      </c>
      <c r="P15" s="1332">
        <f>IF($D15="Logistics",VLOOKUP($O15,'Lower Cask Movement &amp; Logistics'!$C$4:$D$54,2,FALSE),"N/A")</f>
        <v>2.3000000000000003</v>
      </c>
      <c r="R15"/>
      <c r="S15"/>
    </row>
    <row r="16" spans="1:19" s="89" customFormat="1" ht="15" customHeight="1" x14ac:dyDescent="0.4">
      <c r="B16" s="3815"/>
      <c r="C16" s="1362" t="s">
        <v>1737</v>
      </c>
      <c r="D16" s="1294" t="s">
        <v>778</v>
      </c>
      <c r="E16" s="1330">
        <f t="shared" si="1"/>
        <v>2.7777777777777776E-2</v>
      </c>
      <c r="F16" s="1330">
        <f>IF($D16="Trigger",VLOOKUP($C16,'Lower Cask Critical Path'!$C$6:$F$427,4,FALSE),E16+F15)</f>
        <v>8.0474074074074071</v>
      </c>
      <c r="G16" s="1722"/>
      <c r="H16" s="1723" t="s">
        <v>263</v>
      </c>
      <c r="I16" s="1724" t="s">
        <v>1738</v>
      </c>
      <c r="J16" s="1294" t="s">
        <v>914</v>
      </c>
      <c r="K16" s="1294" t="s">
        <v>799</v>
      </c>
      <c r="L16" s="1292">
        <f>IFERROR(INDEX('Lower Cask Movement &amp; Logistics'!$I$13:$O$19,MATCH($J16,'Lower Cask Movement &amp; Logistics'!$H$13:$H$19,0),MATCH($K16,'Lower Cask Movement &amp; Logistics'!$H$13:$H$19,0)),"N/A")</f>
        <v>20</v>
      </c>
      <c r="M16" s="1725">
        <f>IFERROR(VLOOKUP($I16,'Lower Cask Movement &amp; Logistics'!$H$4:$I$8,2,FALSE),"N/A")</f>
        <v>0.2</v>
      </c>
      <c r="N16" s="1332">
        <f t="shared" si="0"/>
        <v>2.7777777777777776E-2</v>
      </c>
      <c r="O16" s="1352"/>
      <c r="P16" s="1353" t="str">
        <f>IF($D16="Logistics",VLOOKUP($O16,'Lower Cask Movement &amp; Logistics'!$C$4:$D$54,2,FALSE),"N/A")</f>
        <v>N/A</v>
      </c>
      <c r="R16"/>
      <c r="S16"/>
    </row>
    <row r="17" spans="2:19" s="89" customFormat="1" ht="15" customHeight="1" x14ac:dyDescent="0.4">
      <c r="B17" s="3815"/>
      <c r="C17" s="1362" t="s">
        <v>1733</v>
      </c>
      <c r="D17" s="1294" t="s">
        <v>3</v>
      </c>
      <c r="E17" s="1292">
        <f t="shared" si="1"/>
        <v>1.9</v>
      </c>
      <c r="F17" s="1292">
        <f>IF($D17="Trigger",VLOOKUP($C17,'Lower Cask Critical Path'!$C$6:$F$427,4,FALSE),E17+F16)</f>
        <v>9.9474074074074075</v>
      </c>
      <c r="G17" s="862"/>
      <c r="H17" s="1328" t="s">
        <v>263</v>
      </c>
      <c r="I17" s="1724"/>
      <c r="J17" s="1294"/>
      <c r="K17" s="1294"/>
      <c r="L17" s="1329" t="str">
        <f>IFERROR(INDEX('Lower Cask Movement &amp; Logistics'!$I$13:$O$19,MATCH($J17,'Lower Cask Movement &amp; Logistics'!$H$13:$H$19,0),MATCH($K17,'Lower Cask Movement &amp; Logistics'!$H$13:$H$19,0)),"N/A")</f>
        <v>N/A</v>
      </c>
      <c r="M17" s="1329" t="str">
        <f>IFERROR(VLOOKUP($I17,'Lower Cask Movement &amp; Logistics'!$H$4:$I$8,2,FALSE),"N/A")</f>
        <v>N/A</v>
      </c>
      <c r="N17" s="1330" t="str">
        <f t="shared" si="0"/>
        <v>N/A</v>
      </c>
      <c r="O17" s="1331" t="s">
        <v>1734</v>
      </c>
      <c r="P17" s="1332">
        <f>IF($D17="Logistics",VLOOKUP($O17,'Lower Cask Movement &amp; Logistics'!$C$4:$D$54,2,FALSE),"N/A")</f>
        <v>1.9</v>
      </c>
      <c r="R17"/>
      <c r="S17"/>
    </row>
    <row r="18" spans="2:19" s="89" customFormat="1" x14ac:dyDescent="0.4">
      <c r="B18" s="3815"/>
      <c r="C18" s="1294" t="s">
        <v>1739</v>
      </c>
      <c r="D18" s="1294" t="s">
        <v>3</v>
      </c>
      <c r="E18" s="1292">
        <f t="shared" si="1"/>
        <v>0.78</v>
      </c>
      <c r="F18" s="1292">
        <f>IF($D18="Trigger",VLOOKUP($C18,'Lower Cask Critical Path'!$C$6:$F$427,4,FALSE),E18+F17)</f>
        <v>10.727407407407407</v>
      </c>
      <c r="G18" s="862"/>
      <c r="H18" s="1328" t="s">
        <v>263</v>
      </c>
      <c r="I18" s="1724"/>
      <c r="J18" s="1294"/>
      <c r="K18" s="1294"/>
      <c r="L18" s="1329" t="str">
        <f>IFERROR(INDEX('Lower Cask Movement &amp; Logistics'!$I$13:$O$19,MATCH($J18,'Lower Cask Movement &amp; Logistics'!$H$13:$H$19,0),MATCH($K18,'Lower Cask Movement &amp; Logistics'!$H$13:$H$19,0)),"N/A")</f>
        <v>N/A</v>
      </c>
      <c r="M18" s="1329" t="str">
        <f>IFERROR(VLOOKUP($I18,'Lower Cask Movement &amp; Logistics'!$H$4:$I$8,2,FALSE),"N/A")</f>
        <v>N/A</v>
      </c>
      <c r="N18" s="1330" t="str">
        <f t="shared" si="0"/>
        <v>N/A</v>
      </c>
      <c r="O18" s="1331" t="s">
        <v>1740</v>
      </c>
      <c r="P18" s="1332">
        <f>IF($D18="Logistics",VLOOKUP($O18,'Lower Cask Movement &amp; Logistics'!$C$4:$D$54,2,FALSE),"N/A")</f>
        <v>0.78</v>
      </c>
      <c r="R18"/>
      <c r="S18"/>
    </row>
    <row r="19" spans="2:19" s="89" customFormat="1" x14ac:dyDescent="0.4">
      <c r="B19" s="3815"/>
      <c r="C19" s="1294" t="s">
        <v>1562</v>
      </c>
      <c r="D19" s="1294" t="s">
        <v>3</v>
      </c>
      <c r="E19" s="1292">
        <f t="shared" si="1"/>
        <v>2.3000000000000003</v>
      </c>
      <c r="F19" s="1292">
        <f>IF($D19="Trigger",VLOOKUP($C19,'Lower Cask Critical Path'!$C$6:$F$427,4,FALSE),E19+F18)</f>
        <v>13.027407407407408</v>
      </c>
      <c r="G19" s="862"/>
      <c r="H19" s="1328" t="s">
        <v>263</v>
      </c>
      <c r="I19" s="1724"/>
      <c r="J19" s="1294"/>
      <c r="K19" s="1294"/>
      <c r="L19" s="1329" t="str">
        <f>IFERROR(INDEX('Lower Cask Movement &amp; Logistics'!$I$13:$O$19,MATCH($J19,'Lower Cask Movement &amp; Logistics'!$H$13:$H$19,0),MATCH($K19,'Lower Cask Movement &amp; Logistics'!$H$13:$H$19,0)),"N/A")</f>
        <v>N/A</v>
      </c>
      <c r="M19" s="1329" t="str">
        <f>IFERROR(VLOOKUP($I19,'Lower Cask Movement &amp; Logistics'!$H$4:$I$8,2,FALSE),"N/A")</f>
        <v>N/A</v>
      </c>
      <c r="N19" s="1330" t="str">
        <f t="shared" si="0"/>
        <v>N/A</v>
      </c>
      <c r="O19" s="1331" t="s">
        <v>1562</v>
      </c>
      <c r="P19" s="1332">
        <f>IF($D19="Logistics",VLOOKUP($O19,'Lower Cask Movement &amp; Logistics'!$C$4:$D$54,2,FALSE),"N/A")</f>
        <v>2.3000000000000003</v>
      </c>
      <c r="R19"/>
      <c r="S19"/>
    </row>
    <row r="20" spans="2:19" s="89" customFormat="1" x14ac:dyDescent="0.4">
      <c r="B20" s="3815"/>
      <c r="C20" s="1294" t="s">
        <v>1741</v>
      </c>
      <c r="D20" s="1294" t="s">
        <v>778</v>
      </c>
      <c r="E20" s="1292">
        <f t="shared" si="1"/>
        <v>0.69444444444444442</v>
      </c>
      <c r="F20" s="1292">
        <f>IF($D20="Trigger",VLOOKUP($C20,'Lower Cask Critical Path'!$C$6:$F$427,4,FALSE),E20+F19)</f>
        <v>13.721851851851852</v>
      </c>
      <c r="G20" s="862"/>
      <c r="H20" s="1328" t="s">
        <v>263</v>
      </c>
      <c r="I20" s="1724" t="s">
        <v>1538</v>
      </c>
      <c r="J20" s="1294" t="s">
        <v>799</v>
      </c>
      <c r="K20" s="1294" t="s">
        <v>1203</v>
      </c>
      <c r="L20" s="1329">
        <f>IFERROR(INDEX('Lower Cask Movement &amp; Logistics'!$I$13:$O$19,MATCH($J20,'Lower Cask Movement &amp; Logistics'!$H$13:$H$19,0),MATCH($K20,'Lower Cask Movement &amp; Logistics'!$H$13:$H$19,0)),"N/A")</f>
        <v>50</v>
      </c>
      <c r="M20" s="1329">
        <f>IFERROR(VLOOKUP($I20,'Lower Cask Movement &amp; Logistics'!$H$4:$I$8,2,FALSE),"N/A")</f>
        <v>0.02</v>
      </c>
      <c r="N20" s="1330">
        <f t="shared" si="0"/>
        <v>0.69444444444444442</v>
      </c>
      <c r="O20" s="1331"/>
      <c r="P20" s="1332" t="str">
        <f>IF($D20="Logistics",VLOOKUP($O20,'Lower Cask Movement &amp; Logistics'!$C$4:$D$54,2,FALSE),"N/A")</f>
        <v>N/A</v>
      </c>
      <c r="R20"/>
      <c r="S20"/>
    </row>
    <row r="21" spans="2:19" s="89" customFormat="1" ht="26.6" thickBot="1" x14ac:dyDescent="0.45">
      <c r="B21" s="3816"/>
      <c r="C21" s="1340" t="str">
        <f>B11</f>
        <v>Bioshield interface hardware Stored; Port Threshold Cask collected; Port Threshold Cask Moved to Lower Port</v>
      </c>
      <c r="D21" s="1340" t="s">
        <v>11</v>
      </c>
      <c r="E21" s="1295">
        <f t="shared" si="1"/>
        <v>0</v>
      </c>
      <c r="F21" s="1295">
        <f>IF($D21="Trigger",VLOOKUP($C21,'Lower Cask Critical Path'!$C$6:$F$427,4,FALSE),E21+F20)</f>
        <v>13.721851851851852</v>
      </c>
      <c r="G21" s="839"/>
      <c r="H21" s="1341" t="s">
        <v>263</v>
      </c>
      <c r="I21" s="1727"/>
      <c r="J21" s="1340"/>
      <c r="K21" s="1340"/>
      <c r="L21" s="1342" t="str">
        <f>IFERROR(INDEX('Lower Cask Movement &amp; Logistics'!$I$13:$O$19,MATCH($J21,'Lower Cask Movement &amp; Logistics'!$H$13:$H$19,0),MATCH($K21,'Lower Cask Movement &amp; Logistics'!$H$13:$H$19,0)),"N/A")</f>
        <v>N/A</v>
      </c>
      <c r="M21" s="1342" t="str">
        <f>IFERROR(VLOOKUP($I21,'Lower Cask Movement &amp; Logistics'!$H$4:$I$8,2,FALSE),"N/A")</f>
        <v>N/A</v>
      </c>
      <c r="N21" s="1343" t="str">
        <f t="shared" si="0"/>
        <v>N/A</v>
      </c>
      <c r="O21" s="1344"/>
      <c r="P21" s="1345" t="str">
        <f>IF($D21="Logistics",VLOOKUP($O21,'Lower Cask Movement &amp; Logistics'!$C$4:$D$54,2,FALSE),"N/A")</f>
        <v>N/A</v>
      </c>
      <c r="R21"/>
      <c r="S21"/>
    </row>
    <row r="22" spans="2:19" s="89" customFormat="1" x14ac:dyDescent="0.4">
      <c r="B22" s="3787" t="s">
        <v>1565</v>
      </c>
      <c r="C22" s="617" t="s">
        <v>1551</v>
      </c>
      <c r="D22" s="617" t="s">
        <v>907</v>
      </c>
      <c r="E22" s="567">
        <f t="shared" si="1"/>
        <v>0</v>
      </c>
      <c r="F22" s="567">
        <f>IF($D22="Trigger",VLOOKUP($C22,'Lower Cask Critical Path'!$C$6:$F$427,4,FALSE),E22+F21)</f>
        <v>58.463333333333345</v>
      </c>
      <c r="G22" s="568"/>
      <c r="H22" s="569" t="s">
        <v>263</v>
      </c>
      <c r="I22" s="1270"/>
      <c r="J22" s="617"/>
      <c r="K22" s="617"/>
      <c r="L22" s="618" t="str">
        <f>IFERROR(INDEX('Lower Cask Movement &amp; Logistics'!$I$13:$O$19,MATCH($J22,'Lower Cask Movement &amp; Logistics'!$H$13:$H$19,0),MATCH($K22,'Lower Cask Movement &amp; Logistics'!$H$13:$H$19,0)),"N/A")</f>
        <v>N/A</v>
      </c>
      <c r="M22" s="1728" t="str">
        <f>IFERROR(VLOOKUP($I22,'Lower Cask Movement &amp; Logistics'!$H$4:$I$8,2,FALSE),"N/A")</f>
        <v>N/A</v>
      </c>
      <c r="N22" s="619" t="str">
        <f t="shared" si="0"/>
        <v>N/A</v>
      </c>
      <c r="O22" s="620"/>
      <c r="P22" s="621" t="str">
        <f>IF($D22="Logistics",VLOOKUP($O22,'Lower Cask Movement &amp; Logistics'!$C$4:$D$54,2,FALSE),"N/A")</f>
        <v>N/A</v>
      </c>
      <c r="R22"/>
      <c r="S22"/>
    </row>
    <row r="23" spans="2:19" s="89" customFormat="1" x14ac:dyDescent="0.4">
      <c r="B23" s="3786"/>
      <c r="C23" s="1275" t="s">
        <v>1732</v>
      </c>
      <c r="D23" s="572" t="s">
        <v>778</v>
      </c>
      <c r="E23" s="578">
        <f t="shared" si="1"/>
        <v>0.23148148148148148</v>
      </c>
      <c r="F23" s="578">
        <f>IF($D23="Trigger",VLOOKUP($C23,'Lower Cask Critical Path'!$C$6:$F$427,4,FALSE),E23+F22)</f>
        <v>58.694814814814826</v>
      </c>
      <c r="G23" s="872"/>
      <c r="H23" s="1729" t="s">
        <v>263</v>
      </c>
      <c r="I23" s="1281" t="s">
        <v>1536</v>
      </c>
      <c r="J23" s="572" t="s">
        <v>1203</v>
      </c>
      <c r="K23" s="572" t="s">
        <v>914</v>
      </c>
      <c r="L23" s="574">
        <f>IFERROR(INDEX('Lower Cask Movement &amp; Logistics'!$I$13:$O$19,MATCH($J23,'Lower Cask Movement &amp; Logistics'!$H$13:$H$19,0),MATCH($K23,'Lower Cask Movement &amp; Logistics'!$H$13:$H$19,0)),"N/A")</f>
        <v>50</v>
      </c>
      <c r="M23" s="1580">
        <f>IFERROR(VLOOKUP($I23,'Lower Cask Movement &amp; Logistics'!$H$4:$I$8,2,FALSE),"N/A")</f>
        <v>0.06</v>
      </c>
      <c r="N23" s="580">
        <f t="shared" si="0"/>
        <v>0.23148148148148148</v>
      </c>
      <c r="O23" s="631"/>
      <c r="P23" s="632" t="str">
        <f>IF($D23="Logistics",VLOOKUP($O23,'Lower Cask Movement &amp; Logistics'!$C$4:$D$54,2,FALSE),"N/A")</f>
        <v>N/A</v>
      </c>
      <c r="R23"/>
      <c r="S23"/>
    </row>
    <row r="24" spans="2:19" s="89" customFormat="1" x14ac:dyDescent="0.4">
      <c r="B24" s="3786"/>
      <c r="C24" s="1275" t="s">
        <v>1742</v>
      </c>
      <c r="D24" s="572" t="s">
        <v>3</v>
      </c>
      <c r="E24" s="578">
        <f t="shared" si="1"/>
        <v>0.58000000000000007</v>
      </c>
      <c r="F24" s="578">
        <f>IF($D24="Trigger",VLOOKUP($C24,'Lower Cask Critical Path'!$C$6:$F$427,4,FALSE),E24+F23)</f>
        <v>59.274814814814825</v>
      </c>
      <c r="G24" s="872"/>
      <c r="H24" s="1729" t="s">
        <v>263</v>
      </c>
      <c r="I24" s="1281"/>
      <c r="J24" s="572"/>
      <c r="K24" s="572"/>
      <c r="L24" s="574" t="str">
        <f>IFERROR(INDEX('Lower Cask Movement &amp; Logistics'!$I$13:$O$19,MATCH($J24,'Lower Cask Movement &amp; Logistics'!$H$13:$H$19,0),MATCH($K24,'Lower Cask Movement &amp; Logistics'!$H$13:$H$19,0)),"N/A")</f>
        <v>N/A</v>
      </c>
      <c r="M24" s="1580" t="str">
        <f>IFERROR(VLOOKUP($I24,'Lower Cask Movement &amp; Logistics'!$H$4:$I$8,2,FALSE),"N/A")</f>
        <v>N/A</v>
      </c>
      <c r="N24" s="580" t="str">
        <f t="shared" si="0"/>
        <v>N/A</v>
      </c>
      <c r="O24" s="631" t="s">
        <v>1539</v>
      </c>
      <c r="P24" s="632">
        <f>IF($D24="Logistics",VLOOKUP($O24,'Lower Cask Movement &amp; Logistics'!$C$4:$D$54,2,FALSE),"N/A")</f>
        <v>0.58000000000000007</v>
      </c>
      <c r="R24"/>
      <c r="S24"/>
    </row>
    <row r="25" spans="2:19" s="89" customFormat="1" x14ac:dyDescent="0.4">
      <c r="B25" s="3786"/>
      <c r="C25" s="1275" t="s">
        <v>1737</v>
      </c>
      <c r="D25" s="572" t="s">
        <v>778</v>
      </c>
      <c r="E25" s="578">
        <f t="shared" si="1"/>
        <v>2.7777777777777776E-2</v>
      </c>
      <c r="F25" s="578">
        <f>IF($D25="Trigger",VLOOKUP($C25,'Lower Cask Critical Path'!$C$6:$F$427,4,FALSE),E25+F24)</f>
        <v>59.302592592592603</v>
      </c>
      <c r="G25" s="872"/>
      <c r="H25" s="1729" t="s">
        <v>263</v>
      </c>
      <c r="I25" s="1281" t="s">
        <v>1738</v>
      </c>
      <c r="J25" s="572" t="s">
        <v>914</v>
      </c>
      <c r="K25" s="572" t="s">
        <v>799</v>
      </c>
      <c r="L25" s="574">
        <f>IFERROR(INDEX('Lower Cask Movement &amp; Logistics'!$I$13:$O$19,MATCH($J25,'Lower Cask Movement &amp; Logistics'!$H$13:$H$19,0),MATCH($K25,'Lower Cask Movement &amp; Logistics'!$H$13:$H$19,0)),"N/A")</f>
        <v>20</v>
      </c>
      <c r="M25" s="1580">
        <f>IFERROR(VLOOKUP($I25,'Lower Cask Movement &amp; Logistics'!$H$4:$I$8,2,FALSE),"N/A")</f>
        <v>0.2</v>
      </c>
      <c r="N25" s="580">
        <f t="shared" si="0"/>
        <v>2.7777777777777776E-2</v>
      </c>
      <c r="O25" s="631"/>
      <c r="P25" s="632" t="str">
        <f>IF($D25="Logistics",VLOOKUP($O25,'Lower Cask Movement &amp; Logistics'!$C$4:$D$54,2,FALSE),"N/A")</f>
        <v>N/A</v>
      </c>
      <c r="R25"/>
      <c r="S25"/>
    </row>
    <row r="26" spans="2:19" s="89" customFormat="1" x14ac:dyDescent="0.4">
      <c r="B26" s="3786"/>
      <c r="C26" s="572" t="s">
        <v>1743</v>
      </c>
      <c r="D26" s="572" t="s">
        <v>3</v>
      </c>
      <c r="E26" s="574">
        <f t="shared" si="1"/>
        <v>0.78</v>
      </c>
      <c r="F26" s="574">
        <f>IF($D26="Trigger",VLOOKUP($C26,'Lower Cask Critical Path'!$C$6:$F$427,4,FALSE),E26+F25)</f>
        <v>60.082592592592604</v>
      </c>
      <c r="G26" s="575"/>
      <c r="H26" s="576" t="s">
        <v>263</v>
      </c>
      <c r="I26" s="1281"/>
      <c r="J26" s="572"/>
      <c r="K26" s="572"/>
      <c r="L26" s="577" t="str">
        <f>IFERROR(INDEX('Lower Cask Movement &amp; Logistics'!$I$13:$O$19,MATCH($J26,'Lower Cask Movement &amp; Logistics'!$H$13:$H$19,0),MATCH($K26,'Lower Cask Movement &amp; Logistics'!$H$13:$H$19,0)),"N/A")</f>
        <v>N/A</v>
      </c>
      <c r="M26" s="577" t="str">
        <f>IFERROR(VLOOKUP($I26,'Lower Cask Movement &amp; Logistics'!$H$4:$I$8,2,FALSE),"N/A")</f>
        <v>N/A</v>
      </c>
      <c r="N26" s="578" t="str">
        <f t="shared" si="0"/>
        <v>N/A</v>
      </c>
      <c r="O26" s="579" t="s">
        <v>1740</v>
      </c>
      <c r="P26" s="580">
        <f>IF($D26="Logistics",VLOOKUP($O26,'Lower Cask Movement &amp; Logistics'!$C$4:$D$54,2,FALSE),"N/A")</f>
        <v>0.78</v>
      </c>
      <c r="R26"/>
      <c r="S26"/>
    </row>
    <row r="27" spans="2:19" s="89" customFormat="1" x14ac:dyDescent="0.4">
      <c r="B27" s="3786"/>
      <c r="C27" s="572" t="s">
        <v>1744</v>
      </c>
      <c r="D27" s="572" t="s">
        <v>778</v>
      </c>
      <c r="E27" s="574">
        <f t="shared" si="1"/>
        <v>0.69444444444444442</v>
      </c>
      <c r="F27" s="574">
        <f>IF($D27="Trigger",VLOOKUP($C27,'Lower Cask Critical Path'!$C$6:$F$427,4,FALSE),E27+F26)</f>
        <v>60.777037037037047</v>
      </c>
      <c r="G27" s="575"/>
      <c r="H27" s="576" t="s">
        <v>263</v>
      </c>
      <c r="I27" s="1281" t="s">
        <v>1538</v>
      </c>
      <c r="J27" s="572" t="s">
        <v>799</v>
      </c>
      <c r="K27" s="572" t="s">
        <v>1203</v>
      </c>
      <c r="L27" s="577">
        <f>IFERROR(INDEX('Lower Cask Movement &amp; Logistics'!$I$13:$O$19,MATCH($J27,'Lower Cask Movement &amp; Logistics'!$H$13:$H$19,0),MATCH($K27,'Lower Cask Movement &amp; Logistics'!$H$13:$H$19,0)),"N/A")</f>
        <v>50</v>
      </c>
      <c r="M27" s="577">
        <f>IFERROR(VLOOKUP($I27,'Lower Cask Movement &amp; Logistics'!$H$4:$I$8,2,FALSE),"N/A")</f>
        <v>0.02</v>
      </c>
      <c r="N27" s="578">
        <f t="shared" si="0"/>
        <v>0.69444444444444442</v>
      </c>
      <c r="O27" s="579"/>
      <c r="P27" s="580" t="str">
        <f>IF($D27="Logistics",VLOOKUP($O27,'Lower Cask Movement &amp; Logistics'!$C$4:$D$54,2,FALSE),"N/A")</f>
        <v>N/A</v>
      </c>
      <c r="R27"/>
      <c r="S27"/>
    </row>
    <row r="28" spans="2:19" s="89" customFormat="1" ht="26.6" thickBot="1" x14ac:dyDescent="0.45">
      <c r="B28" s="3788"/>
      <c r="C28" s="583" t="str">
        <f>B22</f>
        <v>Vacuum Closure Cask Stored; Diagnostic Maintenance Cask Collected; Diagnostic Maintenance Cask moved to Lower Port</v>
      </c>
      <c r="D28" s="583" t="s">
        <v>11</v>
      </c>
      <c r="E28" s="585">
        <f t="shared" si="1"/>
        <v>0</v>
      </c>
      <c r="F28" s="585">
        <f>IF($D28="Trigger",VLOOKUP($C28,'Lower Cask Critical Path'!$C$6:$F$427,4,FALSE),E28+F27)</f>
        <v>60.777037037037047</v>
      </c>
      <c r="G28" s="586"/>
      <c r="H28" s="587" t="s">
        <v>263</v>
      </c>
      <c r="I28" s="1720"/>
      <c r="J28" s="583"/>
      <c r="K28" s="583"/>
      <c r="L28" s="588" t="str">
        <f>IFERROR(INDEX('Lower Cask Movement &amp; Logistics'!$I$13:$O$19,MATCH($J28,'Lower Cask Movement &amp; Logistics'!$H$13:$H$19,0),MATCH($K28,'Lower Cask Movement &amp; Logistics'!$H$13:$H$19,0)),"N/A")</f>
        <v>N/A</v>
      </c>
      <c r="M28" s="588" t="str">
        <f>IFERROR(VLOOKUP($I28,'Lower Cask Movement &amp; Logistics'!$H$4:$I$8,2,FALSE),"N/A")</f>
        <v>N/A</v>
      </c>
      <c r="N28" s="589" t="str">
        <f t="shared" si="0"/>
        <v>N/A</v>
      </c>
      <c r="O28" s="590"/>
      <c r="P28" s="591" t="str">
        <f>IF($D28="Logistics",VLOOKUP($O28,'Lower Cask Movement &amp; Logistics'!$C$4:$D$54,2,FALSE),"N/A")</f>
        <v>N/A</v>
      </c>
      <c r="R28"/>
      <c r="S28"/>
    </row>
    <row r="29" spans="2:19" s="89" customFormat="1" ht="15" customHeight="1" x14ac:dyDescent="0.4">
      <c r="B29" s="3814" t="s">
        <v>1745</v>
      </c>
      <c r="C29" s="1324" t="s">
        <v>267</v>
      </c>
      <c r="D29" s="1324" t="s">
        <v>907</v>
      </c>
      <c r="E29" s="1291">
        <f>MAX($P29,$N29,$H29)</f>
        <v>0</v>
      </c>
      <c r="F29" s="1291">
        <f>IF($D29="Trigger",VLOOKUP($C29,'Lower Cask Critical Path'!$C$6:$F$427,4,FALSE),E29+F28)</f>
        <v>0</v>
      </c>
      <c r="G29" s="825"/>
      <c r="H29" s="1323" t="s">
        <v>263</v>
      </c>
      <c r="I29" s="1721"/>
      <c r="J29" s="1324"/>
      <c r="K29" s="1324"/>
      <c r="L29" s="1325" t="str">
        <f>IFERROR(INDEX('Lower Cask Movement &amp; Logistics'!$I$13:$O$19,MATCH($J29,'Lower Cask Movement &amp; Logistics'!$H$13:$H$19,0),MATCH($K29,'Lower Cask Movement &amp; Logistics'!$H$13:$H$19,0)),"N/A")</f>
        <v>N/A</v>
      </c>
      <c r="M29" s="1325" t="str">
        <f>IFERROR(VLOOKUP($I29,'Lower Cask Movement &amp; Logistics'!$H$4:$I$8,2,FALSE),"N/A")</f>
        <v>N/A</v>
      </c>
      <c r="N29" s="1326" t="str">
        <f t="shared" ref="N29:N47" si="2">IF(D29="Movement",IFERROR((L29/M29)/(60*60),"Error"),"N/A")</f>
        <v>N/A</v>
      </c>
      <c r="O29" s="1327"/>
      <c r="P29" s="824" t="str">
        <f>IF($D29="Logistics",VLOOKUP($O29,'Lower Cask Movement &amp; Logistics'!$C$4:$D$54,2,FALSE),"N/A")</f>
        <v>N/A</v>
      </c>
      <c r="R29"/>
      <c r="S29"/>
    </row>
    <row r="30" spans="2:19" s="89" customFormat="1" x14ac:dyDescent="0.4">
      <c r="B30" s="3815"/>
      <c r="C30" s="1362" t="s">
        <v>1732</v>
      </c>
      <c r="D30" s="1294" t="s">
        <v>778</v>
      </c>
      <c r="E30" s="1330">
        <f t="shared" si="1"/>
        <v>0.23148148148148148</v>
      </c>
      <c r="F30" s="1330">
        <f>IF($D30="Trigger",VLOOKUP($C30,'Lower Cask Critical Path'!$C$6:$F$427,4,FALSE),E30+F29)</f>
        <v>0.23148148148148148</v>
      </c>
      <c r="G30" s="1722"/>
      <c r="H30" s="1723" t="s">
        <v>263</v>
      </c>
      <c r="I30" s="1724" t="s">
        <v>1536</v>
      </c>
      <c r="J30" s="1294" t="s">
        <v>1203</v>
      </c>
      <c r="K30" s="1294" t="s">
        <v>914</v>
      </c>
      <c r="L30" s="1292">
        <f>IFERROR(INDEX('Lower Cask Movement &amp; Logistics'!$I$13:$O$19,MATCH($J30,'Lower Cask Movement &amp; Logistics'!$H$13:$H$19,0),MATCH($K30,'Lower Cask Movement &amp; Logistics'!$H$13:$H$19,0)),"N/A")</f>
        <v>50</v>
      </c>
      <c r="M30" s="1725">
        <f>IFERROR(VLOOKUP($I30,'Lower Cask Movement &amp; Logistics'!$H$4:$I$8,2,FALSE),"N/A")</f>
        <v>0.06</v>
      </c>
      <c r="N30" s="1332">
        <f t="shared" si="2"/>
        <v>0.23148148148148148</v>
      </c>
      <c r="O30" s="1352"/>
      <c r="P30" s="1353" t="str">
        <f>IF($D30="Logistics",VLOOKUP($O30,'Lower Cask Movement &amp; Logistics'!$C$4:$D$54,2,FALSE),"N/A")</f>
        <v>N/A</v>
      </c>
      <c r="R30"/>
      <c r="S30"/>
    </row>
    <row r="31" spans="2:19" s="89" customFormat="1" x14ac:dyDescent="0.4">
      <c r="B31" s="3815"/>
      <c r="C31" s="1362" t="s">
        <v>1746</v>
      </c>
      <c r="D31" s="1294" t="s">
        <v>3</v>
      </c>
      <c r="E31" s="1330">
        <f t="shared" si="1"/>
        <v>0.58000000000000007</v>
      </c>
      <c r="F31" s="1330">
        <f>IF($D31="Trigger",VLOOKUP($C31,'Lower Cask Critical Path'!$C$6:$F$427,4,FALSE),E31+F30)</f>
        <v>0.81148148148148158</v>
      </c>
      <c r="G31" s="1722"/>
      <c r="H31" s="1723" t="s">
        <v>263</v>
      </c>
      <c r="I31" s="1724"/>
      <c r="J31" s="1294"/>
      <c r="K31" s="1294"/>
      <c r="L31" s="1292" t="str">
        <f>IFERROR(INDEX('Lower Cask Movement &amp; Logistics'!$I$13:$O$19,MATCH($J31,'Lower Cask Movement &amp; Logistics'!$H$13:$H$19,0),MATCH($K31,'Lower Cask Movement &amp; Logistics'!$H$13:$H$19,0)),"N/A")</f>
        <v>N/A</v>
      </c>
      <c r="M31" s="1725" t="str">
        <f>IFERROR(VLOOKUP($I31,'Lower Cask Movement &amp; Logistics'!$H$4:$I$8,2,FALSE),"N/A")</f>
        <v>N/A</v>
      </c>
      <c r="N31" s="1332" t="str">
        <f t="shared" si="2"/>
        <v>N/A</v>
      </c>
      <c r="O31" s="1352" t="s">
        <v>1539</v>
      </c>
      <c r="P31" s="1353">
        <f>IF($D31="Logistics",VLOOKUP($O31,'Lower Cask Movement &amp; Logistics'!$C$4:$D$54,2,FALSE),"N/A")</f>
        <v>0.58000000000000007</v>
      </c>
      <c r="R31"/>
      <c r="S31"/>
    </row>
    <row r="32" spans="2:19" s="89" customFormat="1" x14ac:dyDescent="0.4">
      <c r="B32" s="3815"/>
      <c r="C32" s="1362" t="s">
        <v>1737</v>
      </c>
      <c r="D32" s="1294" t="s">
        <v>778</v>
      </c>
      <c r="E32" s="1330">
        <f t="shared" si="1"/>
        <v>2.7777777777777776E-2</v>
      </c>
      <c r="F32" s="1330">
        <f>IF($D32="Trigger",VLOOKUP($C32,'Lower Cask Critical Path'!$C$6:$F$427,4,FALSE),E32+F31)</f>
        <v>0.83925925925925937</v>
      </c>
      <c r="G32" s="1722"/>
      <c r="H32" s="1723" t="s">
        <v>263</v>
      </c>
      <c r="I32" s="1724" t="s">
        <v>1738</v>
      </c>
      <c r="J32" s="1294" t="s">
        <v>914</v>
      </c>
      <c r="K32" s="1294" t="s">
        <v>799</v>
      </c>
      <c r="L32" s="1292">
        <f>IFERROR(INDEX('Lower Cask Movement &amp; Logistics'!$I$13:$O$19,MATCH($J32,'Lower Cask Movement &amp; Logistics'!$H$13:$H$19,0),MATCH($K32,'Lower Cask Movement &amp; Logistics'!$H$13:$H$19,0)),"N/A")</f>
        <v>20</v>
      </c>
      <c r="M32" s="1725">
        <f>IFERROR(VLOOKUP($I32,'Lower Cask Movement &amp; Logistics'!$H$4:$I$8,2,FALSE),"N/A")</f>
        <v>0.2</v>
      </c>
      <c r="N32" s="1332">
        <f t="shared" si="2"/>
        <v>2.7777777777777776E-2</v>
      </c>
      <c r="O32" s="1352"/>
      <c r="P32" s="1353" t="str">
        <f>IF($D32="Logistics",VLOOKUP($O32,'Lower Cask Movement &amp; Logistics'!$C$4:$D$54,2,FALSE),"N/A")</f>
        <v>N/A</v>
      </c>
      <c r="R32"/>
      <c r="S32"/>
    </row>
    <row r="33" spans="2:19" s="89" customFormat="1" ht="15" customHeight="1" x14ac:dyDescent="0.4">
      <c r="B33" s="3815"/>
      <c r="C33" s="1362" t="s">
        <v>1733</v>
      </c>
      <c r="D33" s="1294" t="s">
        <v>3</v>
      </c>
      <c r="E33" s="1292">
        <f t="shared" si="1"/>
        <v>1.9</v>
      </c>
      <c r="F33" s="1292">
        <f>IF($D33="Trigger",VLOOKUP($C33,'Lower Cask Critical Path'!$C$6:$F$427,4,FALSE),E33+F32)</f>
        <v>2.7392592592592591</v>
      </c>
      <c r="G33" s="862"/>
      <c r="H33" s="1328" t="s">
        <v>263</v>
      </c>
      <c r="I33" s="1724"/>
      <c r="J33" s="1294"/>
      <c r="K33" s="1294"/>
      <c r="L33" s="1329" t="str">
        <f>IFERROR(INDEX('Lower Cask Movement &amp; Logistics'!$I$13:$O$19,MATCH($J33,'Lower Cask Movement &amp; Logistics'!$H$13:$H$19,0),MATCH($K33,'Lower Cask Movement &amp; Logistics'!$H$13:$H$19,0)),"N/A")</f>
        <v>N/A</v>
      </c>
      <c r="M33" s="1329" t="str">
        <f>IFERROR(VLOOKUP($I33,'Lower Cask Movement &amp; Logistics'!$H$4:$I$8,2,FALSE),"N/A")</f>
        <v>N/A</v>
      </c>
      <c r="N33" s="1330" t="str">
        <f t="shared" si="2"/>
        <v>N/A</v>
      </c>
      <c r="O33" s="1331" t="s">
        <v>1734</v>
      </c>
      <c r="P33" s="1332">
        <f>IF($D33="Logistics",VLOOKUP($O33,'Lower Cask Movement &amp; Logistics'!$C$4:$D$54,2,FALSE),"N/A")</f>
        <v>1.9</v>
      </c>
      <c r="R33"/>
      <c r="S33"/>
    </row>
    <row r="34" spans="2:19" s="89" customFormat="1" x14ac:dyDescent="0.4">
      <c r="B34" s="3815"/>
      <c r="C34" s="1294" t="s">
        <v>1747</v>
      </c>
      <c r="D34" s="1294" t="s">
        <v>3</v>
      </c>
      <c r="E34" s="1292">
        <f t="shared" si="1"/>
        <v>0.78</v>
      </c>
      <c r="F34" s="1292">
        <f>IF($D34="Trigger",VLOOKUP($C34,'Lower Cask Critical Path'!$C$6:$F$427,4,FALSE),E34+F33)</f>
        <v>3.5192592592592593</v>
      </c>
      <c r="G34" s="862"/>
      <c r="H34" s="1328" t="s">
        <v>263</v>
      </c>
      <c r="I34" s="1724"/>
      <c r="J34" s="1294"/>
      <c r="K34" s="1294"/>
      <c r="L34" s="1329" t="str">
        <f>IFERROR(INDEX('Lower Cask Movement &amp; Logistics'!$I$13:$O$19,MATCH($J34,'Lower Cask Movement &amp; Logistics'!$H$13:$H$19,0),MATCH($K34,'Lower Cask Movement &amp; Logistics'!$H$13:$H$19,0)),"N/A")</f>
        <v>N/A</v>
      </c>
      <c r="M34" s="1329" t="str">
        <f>IFERROR(VLOOKUP($I34,'Lower Cask Movement &amp; Logistics'!$H$4:$I$8,2,FALSE),"N/A")</f>
        <v>N/A</v>
      </c>
      <c r="N34" s="1330" t="str">
        <f t="shared" si="2"/>
        <v>N/A</v>
      </c>
      <c r="O34" s="1331" t="s">
        <v>1740</v>
      </c>
      <c r="P34" s="1332">
        <f>IF($D34="Logistics",VLOOKUP($O34,'Lower Cask Movement &amp; Logistics'!$C$4:$D$54,2,FALSE),"N/A")</f>
        <v>0.78</v>
      </c>
      <c r="R34"/>
      <c r="S34"/>
    </row>
    <row r="35" spans="2:19" s="89" customFormat="1" x14ac:dyDescent="0.4">
      <c r="B35" s="3815"/>
      <c r="C35" s="1294" t="s">
        <v>1562</v>
      </c>
      <c r="D35" s="1294" t="s">
        <v>3</v>
      </c>
      <c r="E35" s="1292">
        <f t="shared" si="1"/>
        <v>2.3000000000000003</v>
      </c>
      <c r="F35" s="1292">
        <f>IF($D35="Trigger",VLOOKUP($C35,'Lower Cask Critical Path'!$C$6:$F$427,4,FALSE),E35+F34)</f>
        <v>5.81925925925926</v>
      </c>
      <c r="G35" s="862"/>
      <c r="H35" s="1328" t="s">
        <v>263</v>
      </c>
      <c r="I35" s="1724"/>
      <c r="J35" s="1294"/>
      <c r="K35" s="1294"/>
      <c r="L35" s="1329" t="str">
        <f>IFERROR(INDEX('Lower Cask Movement &amp; Logistics'!$I$13:$O$19,MATCH($J35,'Lower Cask Movement &amp; Logistics'!$H$13:$H$19,0),MATCH($K35,'Lower Cask Movement &amp; Logistics'!$H$13:$H$19,0)),"N/A")</f>
        <v>N/A</v>
      </c>
      <c r="M35" s="1329" t="str">
        <f>IFERROR(VLOOKUP($I35,'Lower Cask Movement &amp; Logistics'!$H$4:$I$8,2,FALSE),"N/A")</f>
        <v>N/A</v>
      </c>
      <c r="N35" s="1330" t="str">
        <f t="shared" si="2"/>
        <v>N/A</v>
      </c>
      <c r="O35" s="1331" t="s">
        <v>1562</v>
      </c>
      <c r="P35" s="1332">
        <f>IF($D35="Logistics",VLOOKUP($O35,'Lower Cask Movement &amp; Logistics'!$C$4:$D$54,2,FALSE),"N/A")</f>
        <v>2.3000000000000003</v>
      </c>
      <c r="R35"/>
      <c r="S35"/>
    </row>
    <row r="36" spans="2:19" s="89" customFormat="1" x14ac:dyDescent="0.4">
      <c r="B36" s="3815"/>
      <c r="C36" s="1294" t="s">
        <v>1748</v>
      </c>
      <c r="D36" s="1294" t="s">
        <v>778</v>
      </c>
      <c r="E36" s="1292">
        <f t="shared" si="1"/>
        <v>0.69444444444444442</v>
      </c>
      <c r="F36" s="1292">
        <f>IF($D36="Trigger",VLOOKUP($C36,'Lower Cask Critical Path'!$C$6:$F$427,4,FALSE),E36+F35)</f>
        <v>6.5137037037037047</v>
      </c>
      <c r="G36" s="862"/>
      <c r="H36" s="1328" t="s">
        <v>263</v>
      </c>
      <c r="I36" s="1724" t="s">
        <v>1538</v>
      </c>
      <c r="J36" s="1294" t="s">
        <v>799</v>
      </c>
      <c r="K36" s="1294" t="s">
        <v>1203</v>
      </c>
      <c r="L36" s="1329">
        <f>IFERROR(INDEX('Lower Cask Movement &amp; Logistics'!$I$13:$O$19,MATCH($J36,'Lower Cask Movement &amp; Logistics'!$H$13:$H$19,0),MATCH($K36,'Lower Cask Movement &amp; Logistics'!$H$13:$H$19,0)),"N/A")</f>
        <v>50</v>
      </c>
      <c r="M36" s="1329">
        <f>IFERROR(VLOOKUP($I36,'Lower Cask Movement &amp; Logistics'!$H$4:$I$8,2,FALSE),"N/A")</f>
        <v>0.02</v>
      </c>
      <c r="N36" s="1330">
        <f t="shared" si="2"/>
        <v>0.69444444444444442</v>
      </c>
      <c r="O36" s="1331"/>
      <c r="P36" s="1332" t="str">
        <f>IF($D36="Logistics",VLOOKUP($O36,'Lower Cask Movement &amp; Logistics'!$C$4:$D$54,2,FALSE),"N/A")</f>
        <v>N/A</v>
      </c>
      <c r="R36"/>
      <c r="S36"/>
    </row>
    <row r="37" spans="2:19" s="89" customFormat="1" ht="26.6" thickBot="1" x14ac:dyDescent="0.45">
      <c r="B37" s="3816"/>
      <c r="C37" s="1340" t="str">
        <f>B29</f>
        <v>Port Threshold Cask Stored; Vacuum pumping cask prepared; vacuum pumping cask Moved to Lower Port</v>
      </c>
      <c r="D37" s="1340" t="s">
        <v>11</v>
      </c>
      <c r="E37" s="1295">
        <f t="shared" si="1"/>
        <v>0</v>
      </c>
      <c r="F37" s="1295">
        <f>IF($D37="Trigger",VLOOKUP($C37,'Lower Cask Critical Path'!$C$6:$F$427,4,FALSE),E37+F36)</f>
        <v>6.5137037037037047</v>
      </c>
      <c r="G37" s="839"/>
      <c r="H37" s="1341" t="s">
        <v>263</v>
      </c>
      <c r="I37" s="1727"/>
      <c r="J37" s="1340"/>
      <c r="K37" s="1340"/>
      <c r="L37" s="1342" t="str">
        <f>IFERROR(INDEX('Lower Cask Movement &amp; Logistics'!$I$13:$O$19,MATCH($J37,'Lower Cask Movement &amp; Logistics'!$H$13:$H$19,0),MATCH($K37,'Lower Cask Movement &amp; Logistics'!$H$13:$H$19,0)),"N/A")</f>
        <v>N/A</v>
      </c>
      <c r="M37" s="1342" t="str">
        <f>IFERROR(VLOOKUP($I37,'Lower Cask Movement &amp; Logistics'!$H$4:$I$8,2,FALSE),"N/A")</f>
        <v>N/A</v>
      </c>
      <c r="N37" s="1343" t="str">
        <f t="shared" si="2"/>
        <v>N/A</v>
      </c>
      <c r="O37" s="1344"/>
      <c r="P37" s="1345" t="str">
        <f>IF($D37="Logistics",VLOOKUP($O37,'Lower Cask Movement &amp; Logistics'!$C$4:$D$54,2,FALSE),"N/A")</f>
        <v>N/A</v>
      </c>
      <c r="R37"/>
      <c r="S37"/>
    </row>
    <row r="38" spans="2:19" s="89" customFormat="1" ht="15" customHeight="1" x14ac:dyDescent="0.4">
      <c r="B38" s="3787" t="s">
        <v>1580</v>
      </c>
      <c r="C38" s="617" t="s">
        <v>1749</v>
      </c>
      <c r="D38" s="617" t="s">
        <v>907</v>
      </c>
      <c r="E38" s="567">
        <f t="shared" si="1"/>
        <v>0</v>
      </c>
      <c r="F38" s="567">
        <f>IF($D38="Trigger",VLOOKUP($C38,'Lower Cask Critical Path'!$C$6:$F$427,4,FALSE),E38+F37)</f>
        <v>80.646944444444443</v>
      </c>
      <c r="G38" s="568"/>
      <c r="H38" s="569" t="s">
        <v>263</v>
      </c>
      <c r="I38" s="1270"/>
      <c r="J38" s="617"/>
      <c r="K38" s="617"/>
      <c r="L38" s="618" t="str">
        <f>IFERROR(INDEX('Lower Cask Movement &amp; Logistics'!$I$13:$O$19,MATCH($J38,'Lower Cask Movement &amp; Logistics'!$H$13:$H$19,0),MATCH($K38,'Lower Cask Movement &amp; Logistics'!$H$13:$H$19,0)),"N/A")</f>
        <v>N/A</v>
      </c>
      <c r="M38" s="618" t="str">
        <f>IFERROR(VLOOKUP($I38,'Lower Cask Movement &amp; Logistics'!$H$4:$I$8,2,FALSE),"N/A")</f>
        <v>N/A</v>
      </c>
      <c r="N38" s="619" t="str">
        <f t="shared" si="2"/>
        <v>N/A</v>
      </c>
      <c r="O38" s="620"/>
      <c r="P38" s="621" t="str">
        <f>IF($D38="Logistics",VLOOKUP($O38,'Lower Cask Movement &amp; Logistics'!$C$4:$D$54,2,FALSE),"N/A")</f>
        <v>N/A</v>
      </c>
      <c r="R38"/>
      <c r="S38"/>
    </row>
    <row r="39" spans="2:19" s="89" customFormat="1" ht="15" customHeight="1" x14ac:dyDescent="0.4">
      <c r="B39" s="3786"/>
      <c r="C39" s="1275" t="s">
        <v>1732</v>
      </c>
      <c r="D39" s="572" t="s">
        <v>778</v>
      </c>
      <c r="E39" s="578">
        <f t="shared" si="1"/>
        <v>0.23148148148148148</v>
      </c>
      <c r="F39" s="578">
        <f>IF($D39="Trigger",VLOOKUP($C39,'Lower Cask Critical Path'!$C$6:$F$427,4,FALSE),E39+F38)</f>
        <v>80.878425925925924</v>
      </c>
      <c r="G39" s="872"/>
      <c r="H39" s="1729" t="s">
        <v>263</v>
      </c>
      <c r="I39" s="1281" t="s">
        <v>1536</v>
      </c>
      <c r="J39" s="572" t="s">
        <v>1203</v>
      </c>
      <c r="K39" s="572" t="s">
        <v>914</v>
      </c>
      <c r="L39" s="574">
        <f>IFERROR(INDEX('Lower Cask Movement &amp; Logistics'!$I$13:$O$19,MATCH($J39,'Lower Cask Movement &amp; Logistics'!$H$13:$H$19,0),MATCH($K39,'Lower Cask Movement &amp; Logistics'!$H$13:$H$19,0)),"N/A")</f>
        <v>50</v>
      </c>
      <c r="M39" s="1580">
        <f>IFERROR(VLOOKUP($I39,'Lower Cask Movement &amp; Logistics'!$H$4:$I$8,2,FALSE),"N/A")</f>
        <v>0.06</v>
      </c>
      <c r="N39" s="580">
        <f t="shared" si="2"/>
        <v>0.23148148148148148</v>
      </c>
      <c r="O39" s="631"/>
      <c r="P39" s="632" t="str">
        <f>IF($D39="Logistics",VLOOKUP($O39,'Lower Cask Movement &amp; Logistics'!$C$4:$D$54,2,FALSE),"N/A")</f>
        <v>N/A</v>
      </c>
      <c r="R39"/>
      <c r="S39"/>
    </row>
    <row r="40" spans="2:19" s="89" customFormat="1" ht="15" customHeight="1" x14ac:dyDescent="0.4">
      <c r="B40" s="3786"/>
      <c r="C40" s="1275" t="s">
        <v>1733</v>
      </c>
      <c r="D40" s="572" t="s">
        <v>3</v>
      </c>
      <c r="E40" s="578">
        <f t="shared" si="1"/>
        <v>1.9</v>
      </c>
      <c r="F40" s="578">
        <f>IF($D40="Trigger",VLOOKUP($C40,'Lower Cask Critical Path'!$C$6:$F$427,4,FALSE),E40+F39)</f>
        <v>82.77842592592593</v>
      </c>
      <c r="G40" s="872"/>
      <c r="H40" s="1729" t="s">
        <v>263</v>
      </c>
      <c r="I40" s="1281"/>
      <c r="J40" s="572"/>
      <c r="K40" s="572"/>
      <c r="L40" s="574" t="str">
        <f>IFERROR(INDEX('Lower Cask Movement &amp; Logistics'!$I$13:$O$19,MATCH($J40,'Lower Cask Movement &amp; Logistics'!$H$13:$H$19,0),MATCH($K40,'Lower Cask Movement &amp; Logistics'!$H$13:$H$19,0)),"N/A")</f>
        <v>N/A</v>
      </c>
      <c r="M40" s="1580" t="str">
        <f>IFERROR(VLOOKUP($I40,'Lower Cask Movement &amp; Logistics'!$H$4:$I$8,2,FALSE),"N/A")</f>
        <v>N/A</v>
      </c>
      <c r="N40" s="580" t="str">
        <f t="shared" si="2"/>
        <v>N/A</v>
      </c>
      <c r="O40" s="631" t="s">
        <v>1734</v>
      </c>
      <c r="P40" s="632">
        <f>IF($D40="Logistics",VLOOKUP($O40,'Lower Cask Movement &amp; Logistics'!$C$4:$D$54,2,FALSE),"N/A")</f>
        <v>1.9</v>
      </c>
      <c r="R40"/>
      <c r="S40"/>
    </row>
    <row r="41" spans="2:19" s="89" customFormat="1" ht="15" customHeight="1" x14ac:dyDescent="0.4">
      <c r="B41" s="3786"/>
      <c r="C41" s="1275" t="s">
        <v>1750</v>
      </c>
      <c r="D41" s="572" t="s">
        <v>3</v>
      </c>
      <c r="E41" s="578">
        <f t="shared" si="1"/>
        <v>0.88000000000000012</v>
      </c>
      <c r="F41" s="578">
        <f>IF($D41="Trigger",VLOOKUP($C41,'Lower Cask Critical Path'!$C$6:$F$427,4,FALSE),E41+F40)</f>
        <v>83.658425925925926</v>
      </c>
      <c r="G41" s="872"/>
      <c r="H41" s="1729" t="s">
        <v>263</v>
      </c>
      <c r="I41" s="1281"/>
      <c r="J41" s="572"/>
      <c r="K41" s="572"/>
      <c r="L41" s="574" t="str">
        <f>IFERROR(INDEX('Lower Cask Movement &amp; Logistics'!$I$13:$O$19,MATCH($J41,'Lower Cask Movement &amp; Logistics'!$H$13:$H$19,0),MATCH($K41,'Lower Cask Movement &amp; Logistics'!$H$13:$H$19,0)),"N/A")</f>
        <v>N/A</v>
      </c>
      <c r="M41" s="1580" t="str">
        <f>IFERROR(VLOOKUP($I41,'Lower Cask Movement &amp; Logistics'!$H$4:$I$8,2,FALSE),"N/A")</f>
        <v>N/A</v>
      </c>
      <c r="N41" s="580" t="str">
        <f t="shared" si="2"/>
        <v>N/A</v>
      </c>
      <c r="O41" s="631" t="s">
        <v>1736</v>
      </c>
      <c r="P41" s="632">
        <f>IF($D41="Logistics",VLOOKUP($O41,'Lower Cask Movement &amp; Logistics'!$C$4:$D$54,2,FALSE),"N/A")</f>
        <v>0.88000000000000012</v>
      </c>
      <c r="R41"/>
      <c r="S41"/>
    </row>
    <row r="42" spans="2:19" s="89" customFormat="1" ht="15" customHeight="1" x14ac:dyDescent="0.4">
      <c r="B42" s="3786"/>
      <c r="C42" s="1275" t="s">
        <v>1562</v>
      </c>
      <c r="D42" s="572" t="s">
        <v>3</v>
      </c>
      <c r="E42" s="578">
        <f t="shared" si="1"/>
        <v>2.3000000000000003</v>
      </c>
      <c r="F42" s="578">
        <f>IF($D42="Trigger",VLOOKUP($C42,'Lower Cask Critical Path'!$C$6:$F$427,4,FALSE),E42+F41)</f>
        <v>85.958425925925923</v>
      </c>
      <c r="G42" s="872"/>
      <c r="H42" s="1729" t="s">
        <v>263</v>
      </c>
      <c r="I42" s="1281"/>
      <c r="J42" s="572"/>
      <c r="K42" s="572"/>
      <c r="L42" s="574" t="str">
        <f>IFERROR(INDEX('Lower Cask Movement &amp; Logistics'!$I$13:$O$19,MATCH($J42,'Lower Cask Movement &amp; Logistics'!$H$13:$H$19,0),MATCH($K42,'Lower Cask Movement &amp; Logistics'!$H$13:$H$19,0)),"N/A")</f>
        <v>N/A</v>
      </c>
      <c r="M42" s="1580" t="str">
        <f>IFERROR(VLOOKUP($I42,'Lower Cask Movement &amp; Logistics'!$H$4:$I$8,2,FALSE),"N/A")</f>
        <v>N/A</v>
      </c>
      <c r="N42" s="580" t="str">
        <f t="shared" si="2"/>
        <v>N/A</v>
      </c>
      <c r="O42" s="631" t="s">
        <v>1562</v>
      </c>
      <c r="P42" s="632">
        <f>IF($D42="Logistics",VLOOKUP($O42,'Lower Cask Movement &amp; Logistics'!$C$4:$D$54,2,FALSE),"N/A")</f>
        <v>2.3000000000000003</v>
      </c>
      <c r="R42"/>
      <c r="S42"/>
    </row>
    <row r="43" spans="2:19" s="89" customFormat="1" ht="15" customHeight="1" x14ac:dyDescent="0.4">
      <c r="B43" s="3786"/>
      <c r="C43" s="1275" t="s">
        <v>1751</v>
      </c>
      <c r="D43" s="572" t="s">
        <v>3</v>
      </c>
      <c r="E43" s="578">
        <f t="shared" si="1"/>
        <v>0.58000000000000007</v>
      </c>
      <c r="F43" s="578">
        <f>IF($D43="Trigger",VLOOKUP($C43,'Lower Cask Critical Path'!$C$6:$F$427,4,FALSE),E43+F42)</f>
        <v>86.538425925925921</v>
      </c>
      <c r="G43" s="872"/>
      <c r="H43" s="1729" t="s">
        <v>263</v>
      </c>
      <c r="I43" s="1281"/>
      <c r="J43" s="572"/>
      <c r="K43" s="572"/>
      <c r="L43" s="574" t="str">
        <f>IFERROR(INDEX('Lower Cask Movement &amp; Logistics'!$I$13:$O$19,MATCH($J43,'Lower Cask Movement &amp; Logistics'!$H$13:$H$19,0),MATCH($K43,'Lower Cask Movement &amp; Logistics'!$H$13:$H$19,0)),"N/A")</f>
        <v>N/A</v>
      </c>
      <c r="M43" s="1580" t="str">
        <f>IFERROR(VLOOKUP($I43,'Lower Cask Movement &amp; Logistics'!$H$4:$I$8,2,FALSE),"N/A")</f>
        <v>N/A</v>
      </c>
      <c r="N43" s="580" t="str">
        <f t="shared" si="2"/>
        <v>N/A</v>
      </c>
      <c r="O43" s="631" t="s">
        <v>1539</v>
      </c>
      <c r="P43" s="632">
        <f>IF($D43="Logistics",VLOOKUP($O43,'Lower Cask Movement &amp; Logistics'!$C$4:$D$54,2,FALSE),"N/A")</f>
        <v>0.58000000000000007</v>
      </c>
      <c r="R43"/>
      <c r="S43"/>
    </row>
    <row r="44" spans="2:19" s="89" customFormat="1" ht="15" customHeight="1" x14ac:dyDescent="0.4">
      <c r="B44" s="3786"/>
      <c r="C44" s="1275" t="s">
        <v>1737</v>
      </c>
      <c r="D44" s="572" t="s">
        <v>778</v>
      </c>
      <c r="E44" s="578">
        <f t="shared" si="1"/>
        <v>2.7777777777777776E-2</v>
      </c>
      <c r="F44" s="578">
        <f>IF($D44="Trigger",VLOOKUP($C44,'Lower Cask Critical Path'!$C$6:$F$427,4,FALSE),E44+F43)</f>
        <v>86.566203703703692</v>
      </c>
      <c r="G44" s="872"/>
      <c r="H44" s="1729" t="s">
        <v>263</v>
      </c>
      <c r="I44" s="1281" t="s">
        <v>1738</v>
      </c>
      <c r="J44" s="572" t="s">
        <v>914</v>
      </c>
      <c r="K44" s="572" t="s">
        <v>799</v>
      </c>
      <c r="L44" s="574">
        <f>IFERROR(INDEX('Lower Cask Movement &amp; Logistics'!$I$13:$O$19,MATCH($J44,'Lower Cask Movement &amp; Logistics'!$H$13:$H$19,0),MATCH($K44,'Lower Cask Movement &amp; Logistics'!$H$13:$H$19,0)),"N/A")</f>
        <v>20</v>
      </c>
      <c r="M44" s="1580">
        <f>IFERROR(VLOOKUP($I44,'Lower Cask Movement &amp; Logistics'!$H$4:$I$8,2,FALSE),"N/A")</f>
        <v>0.2</v>
      </c>
      <c r="N44" s="580">
        <f t="shared" si="2"/>
        <v>2.7777777777777776E-2</v>
      </c>
      <c r="O44" s="631"/>
      <c r="P44" s="632" t="str">
        <f>IF($D44="Logistics",VLOOKUP($O44,'Lower Cask Movement &amp; Logistics'!$C$4:$D$54,2,FALSE),"N/A")</f>
        <v>N/A</v>
      </c>
      <c r="R44"/>
      <c r="S44"/>
    </row>
    <row r="45" spans="2:19" s="89" customFormat="1" x14ac:dyDescent="0.4">
      <c r="B45" s="3786"/>
      <c r="C45" s="572" t="s">
        <v>1752</v>
      </c>
      <c r="D45" s="572" t="s">
        <v>3</v>
      </c>
      <c r="E45" s="578">
        <f t="shared" si="1"/>
        <v>0.88000000000000012</v>
      </c>
      <c r="F45" s="578">
        <f>IF($D45="Trigger",VLOOKUP($C45,'Lower Cask Critical Path'!$C$6:$F$427,4,FALSE),E45+F44)</f>
        <v>87.446203703703688</v>
      </c>
      <c r="G45" s="575"/>
      <c r="H45" s="1729" t="s">
        <v>263</v>
      </c>
      <c r="I45" s="1281"/>
      <c r="J45" s="572"/>
      <c r="K45" s="572"/>
      <c r="L45" s="574" t="str">
        <f>IFERROR(INDEX('Lower Cask Movement &amp; Logistics'!$I$13:$O$19,MATCH($J45,'Lower Cask Movement &amp; Logistics'!$H$13:$H$19,0),MATCH($K45,'Lower Cask Movement &amp; Logistics'!$H$13:$H$19,0)),"N/A")</f>
        <v>N/A</v>
      </c>
      <c r="M45" s="1580" t="str">
        <f>IFERROR(VLOOKUP($I45,'Lower Cask Movement &amp; Logistics'!$H$4:$I$8,2,FALSE),"N/A")</f>
        <v>N/A</v>
      </c>
      <c r="N45" s="580" t="str">
        <f t="shared" si="2"/>
        <v>N/A</v>
      </c>
      <c r="O45" s="579" t="s">
        <v>1730</v>
      </c>
      <c r="P45" s="632">
        <f>IF($D45="Logistics",VLOOKUP($O45,'Lower Cask Movement &amp; Logistics'!$C$4:$D$54,2,FALSE),"N/A")</f>
        <v>0.88000000000000012</v>
      </c>
      <c r="R45"/>
      <c r="S45"/>
    </row>
    <row r="46" spans="2:19" s="89" customFormat="1" x14ac:dyDescent="0.4">
      <c r="B46" s="3786"/>
      <c r="C46" s="572" t="s">
        <v>1753</v>
      </c>
      <c r="D46" s="572" t="s">
        <v>778</v>
      </c>
      <c r="E46" s="578">
        <f t="shared" si="1"/>
        <v>0.69444444444444442</v>
      </c>
      <c r="F46" s="578">
        <f>IF($D46="Trigger",VLOOKUP($C46,'Lower Cask Critical Path'!$C$6:$F$427,4,FALSE),E46+F45)</f>
        <v>88.140648148148131</v>
      </c>
      <c r="G46" s="575"/>
      <c r="H46" s="1729" t="s">
        <v>263</v>
      </c>
      <c r="I46" s="1281" t="s">
        <v>1538</v>
      </c>
      <c r="J46" s="572" t="s">
        <v>799</v>
      </c>
      <c r="K46" s="572" t="s">
        <v>1203</v>
      </c>
      <c r="L46" s="574">
        <f>IFERROR(INDEX('Lower Cask Movement &amp; Logistics'!$I$13:$O$19,MATCH($J46,'Lower Cask Movement &amp; Logistics'!$H$13:$H$19,0),MATCH($K46,'Lower Cask Movement &amp; Logistics'!$H$13:$H$19,0)),"N/A")</f>
        <v>50</v>
      </c>
      <c r="M46" s="1580">
        <f>IFERROR(VLOOKUP($I46,'Lower Cask Movement &amp; Logistics'!$H$4:$I$8,2,FALSE),"N/A")</f>
        <v>0.02</v>
      </c>
      <c r="N46" s="580">
        <f t="shared" si="2"/>
        <v>0.69444444444444442</v>
      </c>
      <c r="O46" s="579"/>
      <c r="P46" s="632" t="str">
        <f>IF($D46="Logistics",VLOOKUP($O46,'Lower Cask Movement &amp; Logistics'!$C$4:$D$54,2,FALSE),"N/A")</f>
        <v>N/A</v>
      </c>
      <c r="R46"/>
      <c r="S46"/>
    </row>
    <row r="47" spans="2:19" s="89" customFormat="1" ht="26.6" thickBot="1" x14ac:dyDescent="0.45">
      <c r="B47" s="3788"/>
      <c r="C47" s="583" t="str">
        <f>B38</f>
        <v>Diagnostic Maintenance Cask Stored;  shielding module cask collected; shielding module cask moved to Lower Port</v>
      </c>
      <c r="D47" s="583" t="s">
        <v>11</v>
      </c>
      <c r="E47" s="585">
        <f>MAX($P47,$N47,$H47)</f>
        <v>0</v>
      </c>
      <c r="F47" s="585">
        <f>IF($D47="Trigger",VLOOKUP($C47,'Lower Cask Critical Path'!$C$6:$F$427,4,FALSE),E47+F46)</f>
        <v>88.140648148148131</v>
      </c>
      <c r="G47" s="586"/>
      <c r="H47" s="587" t="s">
        <v>263</v>
      </c>
      <c r="I47" s="1720"/>
      <c r="J47" s="583"/>
      <c r="K47" s="583"/>
      <c r="L47" s="588" t="str">
        <f>IFERROR(INDEX('Lower Cask Movement &amp; Logistics'!$I$13:$O$19,MATCH($J47,'Lower Cask Movement &amp; Logistics'!$H$13:$H$19,0),MATCH($K47,'Lower Cask Movement &amp; Logistics'!$H$13:$H$19,0)),"N/A")</f>
        <v>N/A</v>
      </c>
      <c r="M47" s="588" t="str">
        <f>IFERROR(VLOOKUP($I47,'Lower Cask Movement &amp; Logistics'!$H$4:$I$8,2,FALSE),"N/A")</f>
        <v>N/A</v>
      </c>
      <c r="N47" s="589" t="str">
        <f t="shared" si="2"/>
        <v>N/A</v>
      </c>
      <c r="O47" s="590"/>
      <c r="P47" s="1345" t="str">
        <f>IF($D47="Logistics",VLOOKUP($O47,'Lower Cask Movement &amp; Logistics'!$C$4:$D$54,2,FALSE),"N/A")</f>
        <v>N/A</v>
      </c>
      <c r="R47"/>
      <c r="S47"/>
    </row>
    <row r="48" spans="2:19" s="89" customFormat="1" ht="15" customHeight="1" x14ac:dyDescent="0.4">
      <c r="B48" s="3814" t="s">
        <v>1586</v>
      </c>
      <c r="C48" s="1324" t="s">
        <v>1576</v>
      </c>
      <c r="D48" s="1324" t="s">
        <v>907</v>
      </c>
      <c r="E48" s="1291">
        <f t="shared" si="1"/>
        <v>0</v>
      </c>
      <c r="F48" s="1291">
        <f>IF($D48="Trigger",VLOOKUP($C48,'Lower Cask Critical Path'!$C$6:$F$427,4,FALSE),E48+F47)</f>
        <v>98.211388888888877</v>
      </c>
      <c r="G48" s="825"/>
      <c r="H48" s="1323" t="s">
        <v>263</v>
      </c>
      <c r="I48" s="1721"/>
      <c r="J48" s="1324"/>
      <c r="K48" s="1324"/>
      <c r="L48" s="1325" t="str">
        <f>IFERROR(INDEX('Lower Cask Movement &amp; Logistics'!$I$13:$O$19,MATCH($J48,'Lower Cask Movement &amp; Logistics'!$H$13:$H$19,0),MATCH($K48,'Lower Cask Movement &amp; Logistics'!$H$13:$H$19,0)),"N/A")</f>
        <v>N/A</v>
      </c>
      <c r="M48" s="1325" t="str">
        <f>IFERROR(VLOOKUP($I48,'Lower Cask Movement &amp; Logistics'!$H$4:$I$8,2,FALSE),"N/A")</f>
        <v>N/A</v>
      </c>
      <c r="N48" s="1326" t="str">
        <f t="shared" si="0"/>
        <v>N/A</v>
      </c>
      <c r="O48" s="1327"/>
      <c r="P48" s="824" t="str">
        <f>IF($D48="Logistics",VLOOKUP($O48,'Lower Cask Movement &amp; Logistics'!$C$4:$D$54,2,FALSE),"N/A")</f>
        <v>N/A</v>
      </c>
      <c r="R48"/>
      <c r="S48"/>
    </row>
    <row r="49" spans="2:19" s="89" customFormat="1" ht="15" customHeight="1" x14ac:dyDescent="0.4">
      <c r="B49" s="3815"/>
      <c r="C49" s="1362" t="s">
        <v>1732</v>
      </c>
      <c r="D49" s="1294" t="s">
        <v>778</v>
      </c>
      <c r="E49" s="1330">
        <f t="shared" si="1"/>
        <v>0.23148148148148148</v>
      </c>
      <c r="F49" s="1330">
        <f>IF($D49="Trigger",VLOOKUP($C49,'Lower Cask Critical Path'!$C$6:$F$427,4,FALSE),E49+F48)</f>
        <v>98.442870370370358</v>
      </c>
      <c r="G49" s="1722"/>
      <c r="H49" s="1723" t="s">
        <v>263</v>
      </c>
      <c r="I49" s="1724" t="s">
        <v>1536</v>
      </c>
      <c r="J49" s="1294" t="s">
        <v>1203</v>
      </c>
      <c r="K49" s="1294" t="s">
        <v>914</v>
      </c>
      <c r="L49" s="1292">
        <f>IFERROR(INDEX('Lower Cask Movement &amp; Logistics'!$I$13:$O$19,MATCH($J49,'Lower Cask Movement &amp; Logistics'!$H$13:$H$19,0),MATCH($K49,'Lower Cask Movement &amp; Logistics'!$H$13:$H$19,0)),"N/A")</f>
        <v>50</v>
      </c>
      <c r="M49" s="1725">
        <f>IFERROR(VLOOKUP($I49,'Lower Cask Movement &amp; Logistics'!$H$4:$I$8,2,FALSE),"N/A")</f>
        <v>0.06</v>
      </c>
      <c r="N49" s="1332">
        <f t="shared" si="0"/>
        <v>0.23148148148148148</v>
      </c>
      <c r="O49" s="1352"/>
      <c r="P49" s="1353" t="str">
        <f>IF($D49="Logistics",VLOOKUP($O49,'Lower Cask Movement &amp; Logistics'!$C$4:$D$54,2,FALSE),"N/A")</f>
        <v>N/A</v>
      </c>
      <c r="R49"/>
      <c r="S49"/>
    </row>
    <row r="50" spans="2:19" s="89" customFormat="1" ht="15" customHeight="1" x14ac:dyDescent="0.4">
      <c r="B50" s="3815"/>
      <c r="C50" s="1362" t="s">
        <v>1733</v>
      </c>
      <c r="D50" s="1362" t="s">
        <v>3</v>
      </c>
      <c r="E50" s="1292">
        <f t="shared" si="1"/>
        <v>1.9</v>
      </c>
      <c r="F50" s="1292">
        <f>IF($D50="Trigger",VLOOKUP($C50,'Lower Cask Critical Path'!$C$6:$F$427,4,FALSE),E50+F49)</f>
        <v>100.34287037037036</v>
      </c>
      <c r="G50" s="862"/>
      <c r="H50" s="1328" t="s">
        <v>263</v>
      </c>
      <c r="I50" s="1724"/>
      <c r="J50" s="1294"/>
      <c r="K50" s="1294"/>
      <c r="L50" s="1329" t="str">
        <f>IFERROR(INDEX('Lower Cask Movement &amp; Logistics'!$I$13:$O$19,MATCH($J50,'Lower Cask Movement &amp; Logistics'!$H$13:$H$19,0),MATCH($K50,'Lower Cask Movement &amp; Logistics'!$H$13:$H$19,0)),"N/A")</f>
        <v>N/A</v>
      </c>
      <c r="M50" s="1726" t="str">
        <f>IFERROR(VLOOKUP($I50,'Lower Cask Movement &amp; Logistics'!$H$4:$I$8,2,FALSE),"N/A")</f>
        <v>N/A</v>
      </c>
      <c r="N50" s="1330" t="str">
        <f>IF(D50="Movement",IFERROR((L50/M50)/(60*60),"Error"),"N/A")</f>
        <v>N/A</v>
      </c>
      <c r="O50" s="1331" t="s">
        <v>1734</v>
      </c>
      <c r="P50" s="1332">
        <f>IF($D50="Logistics",VLOOKUP($O50,'Lower Cask Movement &amp; Logistics'!$C$4:$D$54,2,FALSE),"N/A")</f>
        <v>1.9</v>
      </c>
      <c r="R50"/>
      <c r="S50"/>
    </row>
    <row r="51" spans="2:19" s="89" customFormat="1" ht="15" customHeight="1" x14ac:dyDescent="0.4">
      <c r="B51" s="3815"/>
      <c r="C51" s="1362" t="s">
        <v>1735</v>
      </c>
      <c r="D51" s="1294" t="s">
        <v>3</v>
      </c>
      <c r="E51" s="1330">
        <f t="shared" si="1"/>
        <v>0.88000000000000012</v>
      </c>
      <c r="F51" s="1330">
        <f>IF($D51="Trigger",VLOOKUP($C51,'Lower Cask Critical Path'!$C$6:$F$427,4,FALSE),E51+F50)</f>
        <v>101.22287037037036</v>
      </c>
      <c r="G51" s="1722"/>
      <c r="H51" s="1723" t="s">
        <v>263</v>
      </c>
      <c r="I51" s="1724"/>
      <c r="J51" s="1294"/>
      <c r="K51" s="1294"/>
      <c r="L51" s="1292" t="str">
        <f>IFERROR(INDEX('Lower Cask Movement &amp; Logistics'!$I$13:$O$19,MATCH($J51,'Lower Cask Movement &amp; Logistics'!$H$13:$H$19,0),MATCH($K51,'Lower Cask Movement &amp; Logistics'!$H$13:$H$19,0)),"N/A")</f>
        <v>N/A</v>
      </c>
      <c r="M51" s="1725" t="str">
        <f>IFERROR(VLOOKUP($I51,'Lower Cask Movement &amp; Logistics'!$H$4:$I$8,2,FALSE),"N/A")</f>
        <v>N/A</v>
      </c>
      <c r="N51" s="1332" t="str">
        <f t="shared" si="0"/>
        <v>N/A</v>
      </c>
      <c r="O51" s="1352" t="s">
        <v>1736</v>
      </c>
      <c r="P51" s="1353">
        <f>IF($D51="Logistics",VLOOKUP($O51,'Lower Cask Movement &amp; Logistics'!$C$4:$D$54,2,FALSE),"N/A")</f>
        <v>0.88000000000000012</v>
      </c>
      <c r="R51"/>
      <c r="S51"/>
    </row>
    <row r="52" spans="2:19" s="89" customFormat="1" ht="15" customHeight="1" x14ac:dyDescent="0.4">
      <c r="B52" s="3815"/>
      <c r="C52" s="1294" t="s">
        <v>1562</v>
      </c>
      <c r="D52" s="1294" t="s">
        <v>3</v>
      </c>
      <c r="E52" s="1292">
        <f t="shared" si="1"/>
        <v>2.3000000000000003</v>
      </c>
      <c r="F52" s="1292">
        <f>IF($D52="Trigger",VLOOKUP($C52,'Lower Cask Critical Path'!$C$6:$F$427,4,FALSE),E52+F51)</f>
        <v>103.52287037037036</v>
      </c>
      <c r="G52" s="862"/>
      <c r="H52" s="1328" t="s">
        <v>263</v>
      </c>
      <c r="I52" s="1724"/>
      <c r="J52" s="1294"/>
      <c r="K52" s="1294"/>
      <c r="L52" s="1329" t="str">
        <f>IFERROR(INDEX('Lower Cask Movement &amp; Logistics'!$I$13:$O$19,MATCH($J52,'Lower Cask Movement &amp; Logistics'!$H$13:$H$19,0),MATCH($K52,'Lower Cask Movement &amp; Logistics'!$H$13:$H$19,0)),"N/A")</f>
        <v>N/A</v>
      </c>
      <c r="M52" s="1726" t="str">
        <f>IFERROR(VLOOKUP($I52,'Lower Cask Movement &amp; Logistics'!$H$4:$I$8,2,FALSE),"N/A")</f>
        <v>N/A</v>
      </c>
      <c r="N52" s="1330" t="str">
        <f t="shared" si="0"/>
        <v>N/A</v>
      </c>
      <c r="O52" s="1331" t="s">
        <v>1562</v>
      </c>
      <c r="P52" s="1332">
        <f>IF($D52="Logistics",VLOOKUP($O52,'Lower Cask Movement &amp; Logistics'!$C$4:$D$54,2,FALSE),"N/A")</f>
        <v>2.3000000000000003</v>
      </c>
      <c r="R52"/>
      <c r="S52"/>
    </row>
    <row r="53" spans="2:19" s="89" customFormat="1" ht="15" customHeight="1" x14ac:dyDescent="0.4">
      <c r="B53" s="3815"/>
      <c r="C53" s="1362" t="s">
        <v>1737</v>
      </c>
      <c r="D53" s="1294" t="s">
        <v>778</v>
      </c>
      <c r="E53" s="1330">
        <f t="shared" si="1"/>
        <v>2.7777777777777776E-2</v>
      </c>
      <c r="F53" s="1330">
        <f>IF($D53="Trigger",VLOOKUP($C53,'Lower Cask Critical Path'!$C$6:$F$427,4,FALSE),E53+F52)</f>
        <v>103.55064814814813</v>
      </c>
      <c r="G53" s="1722"/>
      <c r="H53" s="1723" t="s">
        <v>263</v>
      </c>
      <c r="I53" s="1724" t="s">
        <v>1738</v>
      </c>
      <c r="J53" s="1294" t="s">
        <v>914</v>
      </c>
      <c r="K53" s="1294" t="s">
        <v>799</v>
      </c>
      <c r="L53" s="1292">
        <f>IFERROR(INDEX('Lower Cask Movement &amp; Logistics'!$I$13:$O$19,MATCH($J53,'Lower Cask Movement &amp; Logistics'!$H$13:$H$19,0),MATCH($K53,'Lower Cask Movement &amp; Logistics'!$H$13:$H$19,0)),"N/A")</f>
        <v>20</v>
      </c>
      <c r="M53" s="1725">
        <f>IFERROR(VLOOKUP($I53,'Lower Cask Movement &amp; Logistics'!$H$4:$I$8,2,FALSE),"N/A")</f>
        <v>0.2</v>
      </c>
      <c r="N53" s="1332">
        <f t="shared" si="0"/>
        <v>2.7777777777777776E-2</v>
      </c>
      <c r="O53" s="1352"/>
      <c r="P53" s="1353" t="str">
        <f>IF($D53="Logistics",VLOOKUP($O53,'Lower Cask Movement &amp; Logistics'!$C$4:$D$54,2,FALSE),"N/A")</f>
        <v>N/A</v>
      </c>
      <c r="R53"/>
      <c r="S53"/>
    </row>
    <row r="54" spans="2:19" s="89" customFormat="1" ht="15" customHeight="1" x14ac:dyDescent="0.4">
      <c r="B54" s="3815"/>
      <c r="C54" s="1294" t="s">
        <v>1754</v>
      </c>
      <c r="D54" s="1294" t="s">
        <v>3</v>
      </c>
      <c r="E54" s="1292">
        <f t="shared" si="1"/>
        <v>0.58000000000000007</v>
      </c>
      <c r="F54" s="1292">
        <f>IF($D54="Trigger",VLOOKUP($C54,'Lower Cask Critical Path'!$C$6:$F$427,4,FALSE),E54+F53)</f>
        <v>104.13064814814813</v>
      </c>
      <c r="G54" s="862"/>
      <c r="H54" s="1328" t="s">
        <v>263</v>
      </c>
      <c r="I54" s="1724"/>
      <c r="J54" s="1294"/>
      <c r="K54" s="1294"/>
      <c r="L54" s="1329" t="str">
        <f>IFERROR(INDEX('Lower Cask Movement &amp; Logistics'!$I$13:$O$19,MATCH($J54,'Lower Cask Movement &amp; Logistics'!$H$13:$H$19,0),MATCH($K54,'Lower Cask Movement &amp; Logistics'!$H$13:$H$19,0)),"N/A")</f>
        <v>N/A</v>
      </c>
      <c r="M54" s="1726" t="str">
        <f>IFERROR(VLOOKUP($I54,'Lower Cask Movement &amp; Logistics'!$H$4:$I$8,2,FALSE),"N/A")</f>
        <v>N/A</v>
      </c>
      <c r="N54" s="1330" t="str">
        <f>IF(D54="Movement",IFERROR((L54/M54)/(60*60),"Error"),"N/A")</f>
        <v>N/A</v>
      </c>
      <c r="O54" s="1331" t="s">
        <v>1539</v>
      </c>
      <c r="P54" s="1332">
        <f>IF($D54="Logistics",VLOOKUP($O54,'Lower Cask Movement &amp; Logistics'!$C$4:$D$54,2,FALSE),"N/A")</f>
        <v>0.58000000000000007</v>
      </c>
      <c r="R54"/>
      <c r="S54"/>
    </row>
    <row r="55" spans="2:19" s="89" customFormat="1" x14ac:dyDescent="0.4">
      <c r="B55" s="3815"/>
      <c r="C55" s="1294" t="s">
        <v>1755</v>
      </c>
      <c r="D55" s="1294" t="s">
        <v>3</v>
      </c>
      <c r="E55" s="1292">
        <f t="shared" si="1"/>
        <v>0.78</v>
      </c>
      <c r="F55" s="1292">
        <f>IF($D55="Trigger",VLOOKUP($C55,'Lower Cask Critical Path'!$C$6:$F$427,4,FALSE),E55+F54)</f>
        <v>104.91064814814813</v>
      </c>
      <c r="G55" s="862"/>
      <c r="H55" s="1328" t="s">
        <v>263</v>
      </c>
      <c r="I55" s="1724"/>
      <c r="J55" s="1294"/>
      <c r="K55" s="1294"/>
      <c r="L55" s="1329" t="str">
        <f>IFERROR(INDEX('Lower Cask Movement &amp; Logistics'!$I$13:$O$19,MATCH($J55,'Lower Cask Movement &amp; Logistics'!$H$13:$H$19,0),MATCH($K55,'Lower Cask Movement &amp; Logistics'!$H$13:$H$19,0)),"N/A")</f>
        <v>N/A</v>
      </c>
      <c r="M55" s="1726" t="str">
        <f>IFERROR(VLOOKUP($I55,'Lower Cask Movement &amp; Logistics'!$H$4:$I$8,2,FALSE),"N/A")</f>
        <v>N/A</v>
      </c>
      <c r="N55" s="1330" t="str">
        <f t="shared" si="0"/>
        <v>N/A</v>
      </c>
      <c r="O55" s="1331" t="s">
        <v>1740</v>
      </c>
      <c r="P55" s="1332">
        <f>IF($D55="Logistics",VLOOKUP($O55,'Lower Cask Movement &amp; Logistics'!$C$4:$D$54,2,FALSE),"N/A")</f>
        <v>0.78</v>
      </c>
      <c r="R55"/>
      <c r="S55"/>
    </row>
    <row r="56" spans="2:19" s="89" customFormat="1" x14ac:dyDescent="0.4">
      <c r="B56" s="3815"/>
      <c r="C56" s="1294" t="s">
        <v>1756</v>
      </c>
      <c r="D56" s="1294" t="s">
        <v>778</v>
      </c>
      <c r="E56" s="1292">
        <f t="shared" si="1"/>
        <v>0.69444444444444442</v>
      </c>
      <c r="F56" s="1292">
        <f>IF($D56="Trigger",VLOOKUP($C56,'Lower Cask Critical Path'!$C$6:$F$427,4,FALSE),E56+F55)</f>
        <v>105.60509259259257</v>
      </c>
      <c r="G56" s="862"/>
      <c r="H56" s="1328" t="s">
        <v>263</v>
      </c>
      <c r="I56" s="1724" t="s">
        <v>1538</v>
      </c>
      <c r="J56" s="1294" t="s">
        <v>799</v>
      </c>
      <c r="K56" s="1294" t="s">
        <v>1203</v>
      </c>
      <c r="L56" s="1329">
        <f>IFERROR(INDEX('Lower Cask Movement &amp; Logistics'!$I$13:$O$19,MATCH($J56,'Lower Cask Movement &amp; Logistics'!$H$13:$H$19,0),MATCH($K56,'Lower Cask Movement &amp; Logistics'!$H$13:$H$19,0)),"N/A")</f>
        <v>50</v>
      </c>
      <c r="M56" s="1329">
        <f>IFERROR(VLOOKUP($I56,'Lower Cask Movement &amp; Logistics'!$H$4:$I$8,2,FALSE),"N/A")</f>
        <v>0.02</v>
      </c>
      <c r="N56" s="1330">
        <f t="shared" si="0"/>
        <v>0.69444444444444442</v>
      </c>
      <c r="O56" s="1331"/>
      <c r="P56" s="1332" t="str">
        <f>IF($D56="Logistics",VLOOKUP($O56,'Lower Cask Movement &amp; Logistics'!$C$4:$D$54,2,FALSE),"N/A")</f>
        <v>N/A</v>
      </c>
      <c r="R56"/>
      <c r="S56"/>
    </row>
    <row r="57" spans="2:19" s="89" customFormat="1" ht="26.6" thickBot="1" x14ac:dyDescent="0.45">
      <c r="B57" s="3816"/>
      <c r="C57" s="1340" t="str">
        <f>B48</f>
        <v>Vaccum Pumping  Cask Stored;  Divertor Pipework Cask Prepared; Divertor Pipework Cask Moved to Lower Port</v>
      </c>
      <c r="D57" s="1340" t="s">
        <v>11</v>
      </c>
      <c r="E57" s="1295">
        <f t="shared" si="1"/>
        <v>0</v>
      </c>
      <c r="F57" s="1295">
        <f>IF($D57="Trigger",VLOOKUP($C57,'Lower Cask Critical Path'!$C$6:$F$427,4,FALSE),E57+F56)</f>
        <v>105.60509259259257</v>
      </c>
      <c r="G57" s="839"/>
      <c r="H57" s="1341" t="s">
        <v>263</v>
      </c>
      <c r="I57" s="1727"/>
      <c r="J57" s="1340"/>
      <c r="K57" s="1340"/>
      <c r="L57" s="1342" t="str">
        <f>IFERROR(INDEX('Lower Cask Movement &amp; Logistics'!$I$13:$O$19,MATCH($J57,'Lower Cask Movement &amp; Logistics'!$H$13:$H$19,0),MATCH($K57,'Lower Cask Movement &amp; Logistics'!$H$13:$H$19,0)),"N/A")</f>
        <v>N/A</v>
      </c>
      <c r="M57" s="1342" t="str">
        <f>IFERROR(VLOOKUP($I57,'Lower Cask Movement &amp; Logistics'!$H$4:$I$8,2,FALSE),"N/A")</f>
        <v>N/A</v>
      </c>
      <c r="N57" s="1343" t="str">
        <f>IF(D57="Movement",IFERROR((L57/M57)/(60*60),"Error"),"N/A")</f>
        <v>N/A</v>
      </c>
      <c r="O57" s="1344"/>
      <c r="P57" s="1345" t="str">
        <f>IF($D57="Logistics",VLOOKUP($O57,'Lower Cask Movement &amp; Logistics'!$C$4:$D$54,2,FALSE),"N/A")</f>
        <v>N/A</v>
      </c>
      <c r="R57"/>
      <c r="S57"/>
    </row>
    <row r="58" spans="2:19" s="89" customFormat="1" ht="15" customHeight="1" x14ac:dyDescent="0.4">
      <c r="B58" s="3787" t="s">
        <v>1610</v>
      </c>
      <c r="C58" s="617" t="s">
        <v>1600</v>
      </c>
      <c r="D58" s="617" t="s">
        <v>907</v>
      </c>
      <c r="E58" s="567">
        <f t="shared" si="1"/>
        <v>0</v>
      </c>
      <c r="F58" s="567">
        <f>IF($D58="Trigger",VLOOKUP($C58,'Lower Cask Critical Path'!$C$6:$F$427,4,FALSE),E58+F57)</f>
        <v>135.54006574890244</v>
      </c>
      <c r="G58" s="568"/>
      <c r="H58" s="569" t="s">
        <v>263</v>
      </c>
      <c r="I58" s="1270"/>
      <c r="J58" s="617"/>
      <c r="K58" s="617"/>
      <c r="L58" s="618" t="str">
        <f>IFERROR(INDEX('Lower Cask Movement &amp; Logistics'!$I$13:$O$19,MATCH($J58,'Lower Cask Movement &amp; Logistics'!$H$13:$H$19,0),MATCH($K58,'Lower Cask Movement &amp; Logistics'!$H$13:$H$19,0)),"N/A")</f>
        <v>N/A</v>
      </c>
      <c r="M58" s="1728" t="str">
        <f>IFERROR(VLOOKUP($I58,'Lower Cask Movement &amp; Logistics'!$H$4:$I$8,2,FALSE),"N/A")</f>
        <v>N/A</v>
      </c>
      <c r="N58" s="619" t="str">
        <f t="shared" ref="N58:N66" si="3">IF(D58="Movement",IFERROR((L58/M58)/(60*60),"Error"),"N/A")</f>
        <v>N/A</v>
      </c>
      <c r="O58" s="620"/>
      <c r="P58" s="621" t="str">
        <f>IF($D58="Logistics",VLOOKUP($O58,'Lower Cask Movement &amp; Logistics'!$C$4:$D$54,2,FALSE),"N/A")</f>
        <v>N/A</v>
      </c>
      <c r="R58"/>
      <c r="S58"/>
    </row>
    <row r="59" spans="2:19" s="89" customFormat="1" ht="15" customHeight="1" x14ac:dyDescent="0.4">
      <c r="B59" s="3786"/>
      <c r="C59" s="1275" t="s">
        <v>1732</v>
      </c>
      <c r="D59" s="572" t="s">
        <v>778</v>
      </c>
      <c r="E59" s="578">
        <f t="shared" si="1"/>
        <v>0.23148148148148148</v>
      </c>
      <c r="F59" s="578">
        <f>IF($D59="Trigger",VLOOKUP($C59,'Lower Cask Critical Path'!$C$6:$F$427,4,FALSE),E59+F58)</f>
        <v>135.77154723038393</v>
      </c>
      <c r="G59" s="872"/>
      <c r="H59" s="1729" t="s">
        <v>263</v>
      </c>
      <c r="I59" s="1281" t="s">
        <v>1536</v>
      </c>
      <c r="J59" s="572" t="s">
        <v>1203</v>
      </c>
      <c r="K59" s="572" t="s">
        <v>914</v>
      </c>
      <c r="L59" s="574">
        <f>IFERROR(INDEX('Lower Cask Movement &amp; Logistics'!$I$13:$O$19,MATCH($J59,'Lower Cask Movement &amp; Logistics'!$H$13:$H$19,0),MATCH($K59,'Lower Cask Movement &amp; Logistics'!$H$13:$H$19,0)),"N/A")</f>
        <v>50</v>
      </c>
      <c r="M59" s="1580">
        <f>IFERROR(VLOOKUP($I59,'Lower Cask Movement &amp; Logistics'!$H$4:$I$8,2,FALSE),"N/A")</f>
        <v>0.06</v>
      </c>
      <c r="N59" s="580">
        <f t="shared" si="3"/>
        <v>0.23148148148148148</v>
      </c>
      <c r="O59" s="631"/>
      <c r="P59" s="632" t="str">
        <f>IF($D59="Logistics",VLOOKUP($O59,'Lower Cask Movement &amp; Logistics'!$C$4:$D$54,2,FALSE),"N/A")</f>
        <v>N/A</v>
      </c>
      <c r="R59"/>
      <c r="S59"/>
    </row>
    <row r="60" spans="2:19" s="89" customFormat="1" ht="15" customHeight="1" x14ac:dyDescent="0.4">
      <c r="B60" s="3786"/>
      <c r="C60" s="1275" t="s">
        <v>1733</v>
      </c>
      <c r="D60" s="572" t="s">
        <v>3</v>
      </c>
      <c r="E60" s="578">
        <v>1.9000000000000001</v>
      </c>
      <c r="F60" s="578">
        <f>IF($D60="Trigger",VLOOKUP($C60,'Lower Cask Critical Path'!$C$6:$F$427,4,FALSE),E60+F59)</f>
        <v>137.67154723038394</v>
      </c>
      <c r="G60" s="872"/>
      <c r="H60" s="1729" t="s">
        <v>263</v>
      </c>
      <c r="I60" s="1281"/>
      <c r="J60" s="572"/>
      <c r="K60" s="572"/>
      <c r="L60" s="574" t="s">
        <v>263</v>
      </c>
      <c r="M60" s="1580" t="s">
        <v>263</v>
      </c>
      <c r="N60" s="580" t="s">
        <v>263</v>
      </c>
      <c r="O60" s="631" t="s">
        <v>1734</v>
      </c>
      <c r="P60" s="632">
        <v>1.9000000000000001</v>
      </c>
      <c r="R60"/>
      <c r="S60"/>
    </row>
    <row r="61" spans="2:19" s="89" customFormat="1" ht="15" customHeight="1" x14ac:dyDescent="0.4">
      <c r="B61" s="3786"/>
      <c r="C61" s="1275" t="s">
        <v>1757</v>
      </c>
      <c r="D61" s="572" t="s">
        <v>3</v>
      </c>
      <c r="E61" s="578">
        <f t="shared" ref="E61:E93" si="4">MAX($P61,$N61,$H61)</f>
        <v>0.88000000000000012</v>
      </c>
      <c r="F61" s="578">
        <f>IF($D61="Trigger",VLOOKUP($C61,'Lower Cask Critical Path'!$C$6:$F$427,4,FALSE),E61+F60)</f>
        <v>138.55154723038393</v>
      </c>
      <c r="G61" s="872"/>
      <c r="H61" s="1729" t="s">
        <v>263</v>
      </c>
      <c r="I61" s="1281"/>
      <c r="J61" s="572"/>
      <c r="K61" s="572"/>
      <c r="L61" s="574" t="str">
        <f>IFERROR(INDEX('Lower Cask Movement &amp; Logistics'!$I$13:$O$19,MATCH($J61,'Lower Cask Movement &amp; Logistics'!$H$13:$H$19,0),MATCH($K61,'Lower Cask Movement &amp; Logistics'!$H$13:$H$19,0)),"N/A")</f>
        <v>N/A</v>
      </c>
      <c r="M61" s="1580" t="str">
        <f>IFERROR(VLOOKUP($I61,'Lower Cask Movement &amp; Logistics'!$H$4:$I$8,2,FALSE),"N/A")</f>
        <v>N/A</v>
      </c>
      <c r="N61" s="580" t="str">
        <f t="shared" si="3"/>
        <v>N/A</v>
      </c>
      <c r="O61" s="631" t="s">
        <v>1736</v>
      </c>
      <c r="P61" s="632">
        <f>IF($D61="Logistics",VLOOKUP($O61,'Lower Cask Movement &amp; Logistics'!$C$4:$D$54,2,FALSE),"N/A")</f>
        <v>0.88000000000000012</v>
      </c>
      <c r="R61"/>
      <c r="S61"/>
    </row>
    <row r="62" spans="2:19" s="89" customFormat="1" ht="15" customHeight="1" x14ac:dyDescent="0.4">
      <c r="B62" s="3786"/>
      <c r="C62" s="572" t="s">
        <v>1562</v>
      </c>
      <c r="D62" s="572" t="s">
        <v>3</v>
      </c>
      <c r="E62" s="578">
        <f t="shared" si="4"/>
        <v>2.3000000000000003</v>
      </c>
      <c r="F62" s="578">
        <f>IF($D62="Trigger",VLOOKUP($C62,'Lower Cask Critical Path'!$C$6:$F$427,4,FALSE),E62+F61)</f>
        <v>140.85154723038394</v>
      </c>
      <c r="G62" s="872"/>
      <c r="H62" s="1729" t="s">
        <v>263</v>
      </c>
      <c r="I62" s="1281"/>
      <c r="J62" s="572"/>
      <c r="K62" s="572"/>
      <c r="L62" s="574" t="str">
        <f>IFERROR(INDEX('Lower Cask Movement &amp; Logistics'!$I$13:$O$19,MATCH($J62,'Lower Cask Movement &amp; Logistics'!$H$13:$H$19,0),MATCH($K62,'Lower Cask Movement &amp; Logistics'!$H$13:$H$19,0)),"N/A")</f>
        <v>N/A</v>
      </c>
      <c r="M62" s="1580" t="str">
        <f>IFERROR(VLOOKUP($I62,'Lower Cask Movement &amp; Logistics'!$H$4:$I$8,2,FALSE),"N/A")</f>
        <v>N/A</v>
      </c>
      <c r="N62" s="580" t="str">
        <f>IF(D62="Movement",IFERROR((L62/M62)/(60*60),"Error"),"N/A")</f>
        <v>N/A</v>
      </c>
      <c r="O62" s="631" t="s">
        <v>1562</v>
      </c>
      <c r="P62" s="632">
        <f>IF($D62="Logistics",VLOOKUP($O62,'Lower Cask Movement &amp; Logistics'!$C$4:$D$54,2,FALSE),"N/A")</f>
        <v>2.3000000000000003</v>
      </c>
      <c r="R62"/>
      <c r="S62"/>
    </row>
    <row r="63" spans="2:19" s="89" customFormat="1" ht="15" customHeight="1" x14ac:dyDescent="0.4">
      <c r="B63" s="3786"/>
      <c r="C63" s="1275" t="s">
        <v>1737</v>
      </c>
      <c r="D63" s="572" t="s">
        <v>778</v>
      </c>
      <c r="E63" s="578">
        <f t="shared" si="4"/>
        <v>2.7777777777777776E-2</v>
      </c>
      <c r="F63" s="578">
        <f>IF($D63="Trigger",VLOOKUP($C63,'Lower Cask Critical Path'!$C$6:$F$427,4,FALSE),E63+F62)</f>
        <v>140.87932500816171</v>
      </c>
      <c r="G63" s="872"/>
      <c r="H63" s="1729" t="s">
        <v>263</v>
      </c>
      <c r="I63" s="1281" t="s">
        <v>1738</v>
      </c>
      <c r="J63" s="572" t="s">
        <v>914</v>
      </c>
      <c r="K63" s="572" t="s">
        <v>799</v>
      </c>
      <c r="L63" s="574">
        <f>IFERROR(INDEX('Lower Cask Movement &amp; Logistics'!$I$13:$O$19,MATCH($J63,'Lower Cask Movement &amp; Logistics'!$H$13:$H$19,0),MATCH($K63,'Lower Cask Movement &amp; Logistics'!$H$13:$H$19,0)),"N/A")</f>
        <v>20</v>
      </c>
      <c r="M63" s="1580">
        <f>IFERROR(VLOOKUP($I63,'Lower Cask Movement &amp; Logistics'!$H$4:$I$8,2,FALSE),"N/A")</f>
        <v>0.2</v>
      </c>
      <c r="N63" s="580">
        <f t="shared" si="3"/>
        <v>2.7777777777777776E-2</v>
      </c>
      <c r="O63" s="631"/>
      <c r="P63" s="632" t="str">
        <f>IF($D63="Logistics",VLOOKUP($O63,'Lower Cask Movement &amp; Logistics'!$C$4:$D$54,2,FALSE),"N/A")</f>
        <v>N/A</v>
      </c>
      <c r="R63"/>
      <c r="S63"/>
    </row>
    <row r="64" spans="2:19" s="89" customFormat="1" ht="15" customHeight="1" x14ac:dyDescent="0.4">
      <c r="B64" s="3786"/>
      <c r="C64" s="1275" t="s">
        <v>1330</v>
      </c>
      <c r="D64" s="572" t="s">
        <v>3</v>
      </c>
      <c r="E64" s="578">
        <f t="shared" si="4"/>
        <v>0.58000000000000007</v>
      </c>
      <c r="F64" s="578">
        <f>IF($D64="Trigger",VLOOKUP($C64,'Lower Cask Critical Path'!$C$6:$F$427,4,FALSE),E64+F63)</f>
        <v>141.45932500816173</v>
      </c>
      <c r="G64" s="872"/>
      <c r="H64" s="1729" t="s">
        <v>263</v>
      </c>
      <c r="I64" s="1281"/>
      <c r="J64" s="572"/>
      <c r="K64" s="572"/>
      <c r="L64" s="574" t="str">
        <f>IFERROR(INDEX('Lower Cask Movement &amp; Logistics'!$I$13:$O$19,MATCH($J64,'Lower Cask Movement &amp; Logistics'!$H$13:$H$19,0),MATCH($K64,'Lower Cask Movement &amp; Logistics'!$H$13:$H$19,0)),"N/A")</f>
        <v>N/A</v>
      </c>
      <c r="M64" s="1580" t="str">
        <f>IFERROR(VLOOKUP($I64,'Lower Cask Movement &amp; Logistics'!$H$4:$I$8,2,FALSE),"N/A")</f>
        <v>N/A</v>
      </c>
      <c r="N64" s="580" t="str">
        <f>IF(D64="Movement",IFERROR((L64/M64)/(60*60),"Error"),"N/A")</f>
        <v>N/A</v>
      </c>
      <c r="O64" s="631" t="s">
        <v>1539</v>
      </c>
      <c r="P64" s="632">
        <f>IF($D64="Logistics",VLOOKUP($O64,'Lower Cask Movement &amp; Logistics'!$C$4:$D$54,2,FALSE),"N/A")</f>
        <v>0.58000000000000007</v>
      </c>
      <c r="R64"/>
      <c r="S64"/>
    </row>
    <row r="65" spans="2:19" s="89" customFormat="1" x14ac:dyDescent="0.4">
      <c r="B65" s="3786"/>
      <c r="C65" s="572" t="s">
        <v>1755</v>
      </c>
      <c r="D65" s="572" t="s">
        <v>3</v>
      </c>
      <c r="E65" s="574">
        <f t="shared" si="4"/>
        <v>0.78</v>
      </c>
      <c r="F65" s="574">
        <f>IF($D65="Trigger",VLOOKUP($C65,'Lower Cask Critical Path'!$C$6:$F$427,4,FALSE),E65+F64)</f>
        <v>142.23932500816173</v>
      </c>
      <c r="G65" s="575"/>
      <c r="H65" s="576" t="s">
        <v>263</v>
      </c>
      <c r="I65" s="1281"/>
      <c r="J65" s="572"/>
      <c r="K65" s="572"/>
      <c r="L65" s="577" t="str">
        <f>IFERROR(INDEX('Lower Cask Movement &amp; Logistics'!$I$13:$O$19,MATCH($J65,'Lower Cask Movement &amp; Logistics'!$H$13:$H$19,0),MATCH($K65,'Lower Cask Movement &amp; Logistics'!$H$13:$H$19,0)),"N/A")</f>
        <v>N/A</v>
      </c>
      <c r="M65" s="1730" t="str">
        <f>IFERROR(VLOOKUP($I65,'Lower Cask Movement &amp; Logistics'!$H$4:$I$8,2,FALSE),"N/A")</f>
        <v>N/A</v>
      </c>
      <c r="N65" s="578" t="str">
        <f t="shared" si="3"/>
        <v>N/A</v>
      </c>
      <c r="O65" s="579" t="s">
        <v>1740</v>
      </c>
      <c r="P65" s="580">
        <f>IF($D65="Logistics",VLOOKUP($O65,'Lower Cask Movement &amp; Logistics'!$C$4:$D$54,2,FALSE),"N/A")</f>
        <v>0.78</v>
      </c>
      <c r="R65"/>
      <c r="S65"/>
    </row>
    <row r="66" spans="2:19" s="89" customFormat="1" x14ac:dyDescent="0.4">
      <c r="B66" s="3786"/>
      <c r="C66" s="572" t="s">
        <v>1756</v>
      </c>
      <c r="D66" s="572" t="s">
        <v>778</v>
      </c>
      <c r="E66" s="574">
        <f t="shared" si="4"/>
        <v>0.69444444444444442</v>
      </c>
      <c r="F66" s="574">
        <f>IF($D66="Trigger",VLOOKUP($C66,'Lower Cask Critical Path'!$C$6:$F$427,4,FALSE),E66+F65)</f>
        <v>142.93376945260619</v>
      </c>
      <c r="G66" s="575"/>
      <c r="H66" s="576" t="s">
        <v>263</v>
      </c>
      <c r="I66" s="1281" t="s">
        <v>1538</v>
      </c>
      <c r="J66" s="572" t="s">
        <v>799</v>
      </c>
      <c r="K66" s="572" t="s">
        <v>1203</v>
      </c>
      <c r="L66" s="577">
        <f>IFERROR(INDEX('Lower Cask Movement &amp; Logistics'!$I$13:$O$19,MATCH($J66,'Lower Cask Movement &amp; Logistics'!$H$13:$H$19,0),MATCH($K66,'Lower Cask Movement &amp; Logistics'!$H$13:$H$19,0)),"N/A")</f>
        <v>50</v>
      </c>
      <c r="M66" s="577">
        <f>IFERROR(VLOOKUP($I66,'Lower Cask Movement &amp; Logistics'!$H$4:$I$8,2,FALSE),"N/A")</f>
        <v>0.02</v>
      </c>
      <c r="N66" s="578">
        <f t="shared" si="3"/>
        <v>0.69444444444444442</v>
      </c>
      <c r="O66" s="579"/>
      <c r="P66" s="580" t="str">
        <f>IF($D66="Logistics",VLOOKUP($O66,'Lower Cask Movement &amp; Logistics'!$C$4:$D$54,2,FALSE),"N/A")</f>
        <v>N/A</v>
      </c>
      <c r="R66"/>
      <c r="S66"/>
    </row>
    <row r="67" spans="2:19" s="89" customFormat="1" ht="26.6" thickBot="1" x14ac:dyDescent="0.45">
      <c r="B67" s="3788"/>
      <c r="C67" s="583" t="s">
        <v>1610</v>
      </c>
      <c r="D67" s="583" t="s">
        <v>11</v>
      </c>
      <c r="E67" s="585">
        <f t="shared" si="4"/>
        <v>0</v>
      </c>
      <c r="F67" s="585">
        <f>IF($D67="Trigger",VLOOKUP($C67,'Lower Cask Critical Path'!$C$6:$F$427,4,FALSE),E67+F66)</f>
        <v>142.93376945260619</v>
      </c>
      <c r="G67" s="586"/>
      <c r="H67" s="587" t="s">
        <v>263</v>
      </c>
      <c r="I67" s="1720"/>
      <c r="J67" s="583"/>
      <c r="K67" s="583"/>
      <c r="L67" s="588" t="str">
        <f>IFERROR(INDEX('Lower Cask Movement &amp; Logistics'!$I$13:$O$19,MATCH($J67,'Lower Cask Movement &amp; Logistics'!$H$13:$H$19,0),MATCH($K67,'Lower Cask Movement &amp; Logistics'!$H$13:$H$19,0)),"N/A")</f>
        <v>N/A</v>
      </c>
      <c r="M67" s="588" t="str">
        <f>IFERROR(VLOOKUP($I67,'Lower Cask Movement &amp; Logistics'!$H$4:$I$8,2,FALSE),"N/A")</f>
        <v>N/A</v>
      </c>
      <c r="N67" s="589" t="str">
        <f>IF(D67="Movement",IFERROR((L67/M67)/(60*60),"Error"),"N/A")</f>
        <v>N/A</v>
      </c>
      <c r="O67" s="590"/>
      <c r="P67" s="591" t="str">
        <f>IF($D67="Logistics",VLOOKUP($O67,'Lower Cask Movement &amp; Logistics'!$C$4:$D$54,2,FALSE),"N/A")</f>
        <v>N/A</v>
      </c>
      <c r="R67"/>
      <c r="S67"/>
    </row>
    <row r="68" spans="2:19" s="89" customFormat="1" ht="25.5" customHeight="1" x14ac:dyDescent="0.4">
      <c r="B68" s="3814" t="s">
        <v>1614</v>
      </c>
      <c r="C68" s="1324" t="s">
        <v>1608</v>
      </c>
      <c r="D68" s="1324" t="s">
        <v>907</v>
      </c>
      <c r="E68" s="1291">
        <f t="shared" si="4"/>
        <v>0</v>
      </c>
      <c r="F68" s="1291">
        <f>IF($D68="Trigger",VLOOKUP($C68,'Lower Cask Critical Path'!$C$6:$F$427,4,FALSE),E68+F67)</f>
        <v>149.77673241556909</v>
      </c>
      <c r="G68" s="825"/>
      <c r="H68" s="1323" t="s">
        <v>263</v>
      </c>
      <c r="I68" s="1721"/>
      <c r="J68" s="1324"/>
      <c r="K68" s="1324"/>
      <c r="L68" s="1325" t="str">
        <f>IFERROR(INDEX('Lower Cask Movement &amp; Logistics'!$I$13:$O$19,MATCH($J68,'Lower Cask Movement &amp; Logistics'!$H$13:$H$19,0),MATCH($K68,'Lower Cask Movement &amp; Logistics'!$H$13:$H$19,0)),"N/A")</f>
        <v>N/A</v>
      </c>
      <c r="M68" s="1731" t="str">
        <f>IFERROR(VLOOKUP($I68,'Lower Cask Movement &amp; Logistics'!$H$4:$I$8,2,FALSE),"N/A")</f>
        <v>N/A</v>
      </c>
      <c r="N68" s="1326" t="str">
        <f>IF(D68="Movement",IFERROR((L68/M68)/(60*60),"Error"),"N/A")</f>
        <v>N/A</v>
      </c>
      <c r="O68" s="1327"/>
      <c r="P68" s="824" t="str">
        <f>IF($D68="Logistics",VLOOKUP($O68,'Lower Cask Movement &amp; Logistics'!$C$4:$D$54,2,FALSE),"N/A")</f>
        <v>N/A</v>
      </c>
      <c r="R68"/>
      <c r="S68"/>
    </row>
    <row r="69" spans="2:19" s="89" customFormat="1" x14ac:dyDescent="0.4">
      <c r="B69" s="3815"/>
      <c r="C69" s="1362" t="s">
        <v>1732</v>
      </c>
      <c r="D69" s="1294" t="s">
        <v>778</v>
      </c>
      <c r="E69" s="1330">
        <f t="shared" si="4"/>
        <v>0.69444444444444442</v>
      </c>
      <c r="F69" s="1330">
        <f>IF($D69="Trigger",VLOOKUP($C69,'Lower Cask Critical Path'!$C$6:$F$427,4,FALSE),E69+F68)</f>
        <v>150.47117686001354</v>
      </c>
      <c r="G69" s="1722"/>
      <c r="H69" s="1723" t="s">
        <v>263</v>
      </c>
      <c r="I69" s="1724" t="s">
        <v>1538</v>
      </c>
      <c r="J69" s="1294" t="s">
        <v>1203</v>
      </c>
      <c r="K69" s="1294" t="s">
        <v>914</v>
      </c>
      <c r="L69" s="1292">
        <f>IFERROR(INDEX('Lower Cask Movement &amp; Logistics'!$I$13:$O$19,MATCH($J69,'Lower Cask Movement &amp; Logistics'!$H$13:$H$19,0),MATCH($K69,'Lower Cask Movement &amp; Logistics'!$H$13:$H$19,0)),"N/A")</f>
        <v>50</v>
      </c>
      <c r="M69" s="1725">
        <f>IFERROR(VLOOKUP($I69,'Lower Cask Movement &amp; Logistics'!$H$4:$I$8,2,FALSE),"N/A")</f>
        <v>0.02</v>
      </c>
      <c r="N69" s="1332">
        <f>IF(D69="Movement",IFERROR((L69/M69)/(60*60),"Error"),"N/A")</f>
        <v>0.69444444444444442</v>
      </c>
      <c r="O69" s="1352"/>
      <c r="P69" s="1353" t="str">
        <f>IF($D69="Logistics",VLOOKUP($O69,'Lower Cask Movement &amp; Logistics'!$C$4:$D$54,2,FALSE),"N/A")</f>
        <v>N/A</v>
      </c>
      <c r="R69"/>
      <c r="S69"/>
    </row>
    <row r="70" spans="2:19" s="89" customFormat="1" x14ac:dyDescent="0.4">
      <c r="B70" s="3815"/>
      <c r="C70" s="1362" t="s">
        <v>1733</v>
      </c>
      <c r="D70" s="1294" t="s">
        <v>3</v>
      </c>
      <c r="E70" s="1330">
        <f t="shared" si="4"/>
        <v>1.9</v>
      </c>
      <c r="F70" s="1330">
        <f>IF($D70="Trigger",VLOOKUP($C70,'Lower Cask Critical Path'!$C$6:$F$427,4,FALSE),E70+F69)</f>
        <v>152.37117686001355</v>
      </c>
      <c r="G70" s="1722"/>
      <c r="H70" s="1723" t="s">
        <v>263</v>
      </c>
      <c r="I70" s="1724"/>
      <c r="J70" s="1294"/>
      <c r="K70" s="1294"/>
      <c r="L70" s="1292" t="str">
        <f>IFERROR(INDEX('Lower Cask Movement &amp; Logistics'!$I$13:$O$19,MATCH($J70,'Lower Cask Movement &amp; Logistics'!$H$13:$H$19,0),MATCH($K70,'Lower Cask Movement &amp; Logistics'!$H$13:$H$19,0)),"N/A")</f>
        <v>N/A</v>
      </c>
      <c r="M70" s="1725" t="str">
        <f>IFERROR(VLOOKUP($I70,'Lower Cask Movement &amp; Logistics'!$H$4:$I$8,2,FALSE),"N/A")</f>
        <v>N/A</v>
      </c>
      <c r="N70" s="1332" t="str">
        <f t="shared" ref="N70:N77" si="5">IF(D70="Movement",IFERROR((L70/M70)/(60*60),"Error"),"N/A")</f>
        <v>N/A</v>
      </c>
      <c r="O70" s="1352" t="s">
        <v>1734</v>
      </c>
      <c r="P70" s="1353">
        <f>IF($D70="Logistics",VLOOKUP($O70,'Lower Cask Movement &amp; Logistics'!$C$4:$D$54,2,FALSE),"N/A")</f>
        <v>1.9</v>
      </c>
      <c r="R70"/>
      <c r="S70"/>
    </row>
    <row r="71" spans="2:19" s="89" customFormat="1" ht="15.75" customHeight="1" x14ac:dyDescent="0.4">
      <c r="B71" s="3815"/>
      <c r="C71" s="1294" t="s">
        <v>1758</v>
      </c>
      <c r="D71" s="1294" t="s">
        <v>3</v>
      </c>
      <c r="E71" s="1330">
        <f t="shared" si="4"/>
        <v>0.58000000000000007</v>
      </c>
      <c r="F71" s="1330">
        <f>IF($D71="Trigger",VLOOKUP($C71,'Lower Cask Critical Path'!$C$6:$F$427,4,FALSE),E71+F70)</f>
        <v>152.95117686001356</v>
      </c>
      <c r="G71" s="862"/>
      <c r="H71" s="1723" t="s">
        <v>263</v>
      </c>
      <c r="I71" s="1724"/>
      <c r="J71" s="1294"/>
      <c r="K71" s="1294"/>
      <c r="L71" s="1292" t="str">
        <f>IFERROR(INDEX('Lower Cask Movement &amp; Logistics'!$I$13:$O$19,MATCH($J71,'Lower Cask Movement &amp; Logistics'!$H$13:$H$19,0),MATCH($K71,'Lower Cask Movement &amp; Logistics'!$H$13:$H$19,0)),"N/A")</f>
        <v>N/A</v>
      </c>
      <c r="M71" s="1725" t="str">
        <f>IFERROR(VLOOKUP($I71,'Lower Cask Movement &amp; Logistics'!$H$4:$I$8,2,FALSE),"N/A")</f>
        <v>N/A</v>
      </c>
      <c r="N71" s="1332" t="str">
        <f t="shared" si="5"/>
        <v>N/A</v>
      </c>
      <c r="O71" s="1331" t="s">
        <v>1539</v>
      </c>
      <c r="P71" s="1353">
        <f>IF($D71="Logistics",VLOOKUP($O71,'Lower Cask Movement &amp; Logistics'!$C$4:$D$54,2,FALSE),"N/A")</f>
        <v>0.58000000000000007</v>
      </c>
      <c r="R71"/>
      <c r="S71"/>
    </row>
    <row r="72" spans="2:19" s="89" customFormat="1" ht="15.75" customHeight="1" x14ac:dyDescent="0.4">
      <c r="B72" s="3815"/>
      <c r="C72" s="1294" t="s">
        <v>1562</v>
      </c>
      <c r="D72" s="1294" t="s">
        <v>3</v>
      </c>
      <c r="E72" s="1330">
        <f t="shared" si="4"/>
        <v>2.3000000000000003</v>
      </c>
      <c r="F72" s="1330">
        <f>IF($D72="Trigger",VLOOKUP($C72,'Lower Cask Critical Path'!$C$6:$F$427,4,FALSE),E72+F71)</f>
        <v>155.25117686001357</v>
      </c>
      <c r="G72" s="862"/>
      <c r="H72" s="1723" t="s">
        <v>263</v>
      </c>
      <c r="I72" s="1724"/>
      <c r="J72" s="1294"/>
      <c r="K72" s="1294"/>
      <c r="L72" s="1292" t="str">
        <f>IFERROR(INDEX('Lower Cask Movement &amp; Logistics'!$I$13:$O$19,MATCH($J72,'Lower Cask Movement &amp; Logistics'!$H$13:$H$19,0),MATCH($K72,'Lower Cask Movement &amp; Logistics'!$H$13:$H$19,0)),"N/A")</f>
        <v>N/A</v>
      </c>
      <c r="M72" s="1725" t="str">
        <f>IFERROR(VLOOKUP($I72,'Lower Cask Movement &amp; Logistics'!$H$4:$I$8,2,FALSE),"N/A")</f>
        <v>N/A</v>
      </c>
      <c r="N72" s="1332" t="str">
        <f t="shared" si="5"/>
        <v>N/A</v>
      </c>
      <c r="O72" s="1331" t="s">
        <v>1562</v>
      </c>
      <c r="P72" s="1353">
        <f>IF($D72="Logistics",VLOOKUP($O72,'Lower Cask Movement &amp; Logistics'!$C$4:$D$54,2,FALSE),"N/A")</f>
        <v>2.3000000000000003</v>
      </c>
      <c r="R72"/>
      <c r="S72"/>
    </row>
    <row r="73" spans="2:19" s="89" customFormat="1" ht="15.75" customHeight="1" x14ac:dyDescent="0.4">
      <c r="B73" s="3815"/>
      <c r="C73" s="1294" t="s">
        <v>1737</v>
      </c>
      <c r="D73" s="1294" t="s">
        <v>778</v>
      </c>
      <c r="E73" s="1330">
        <f t="shared" si="4"/>
        <v>2.7777777777777776E-2</v>
      </c>
      <c r="F73" s="1330">
        <f>IF($D73="Trigger",VLOOKUP($C73,'Lower Cask Critical Path'!$C$6:$F$427,4,FALSE),E73+F72)</f>
        <v>155.27895463779134</v>
      </c>
      <c r="G73" s="862"/>
      <c r="H73" s="1723" t="s">
        <v>263</v>
      </c>
      <c r="I73" s="1724" t="s">
        <v>1738</v>
      </c>
      <c r="J73" s="1294" t="s">
        <v>914</v>
      </c>
      <c r="K73" s="1294" t="s">
        <v>799</v>
      </c>
      <c r="L73" s="1292">
        <f>IFERROR(INDEX('Lower Cask Movement &amp; Logistics'!$I$13:$O$19,MATCH($J73,'Lower Cask Movement &amp; Logistics'!$H$13:$H$19,0),MATCH($K73,'Lower Cask Movement &amp; Logistics'!$H$13:$H$19,0)),"N/A")</f>
        <v>20</v>
      </c>
      <c r="M73" s="1725">
        <f>IFERROR(VLOOKUP($I73,'Lower Cask Movement &amp; Logistics'!$H$4:$I$8,2,FALSE),"N/A")</f>
        <v>0.2</v>
      </c>
      <c r="N73" s="1332">
        <f t="shared" si="5"/>
        <v>2.7777777777777776E-2</v>
      </c>
      <c r="O73" s="1331"/>
      <c r="P73" s="1353" t="str">
        <f>IF($D73="Logistics",VLOOKUP($O73,'Lower Cask Movement &amp; Logistics'!$C$4:$D$54,2,FALSE),"N/A")</f>
        <v>N/A</v>
      </c>
      <c r="R73"/>
      <c r="S73"/>
    </row>
    <row r="74" spans="2:19" s="89" customFormat="1" ht="15.75" customHeight="1" x14ac:dyDescent="0.4">
      <c r="B74" s="3815"/>
      <c r="C74" s="1294" t="s">
        <v>1733</v>
      </c>
      <c r="D74" s="1294" t="s">
        <v>3</v>
      </c>
      <c r="E74" s="1330">
        <f t="shared" si="4"/>
        <v>1.9</v>
      </c>
      <c r="F74" s="1330">
        <f>IF($D74="Trigger",VLOOKUP($C74,'Lower Cask Critical Path'!$C$6:$F$427,4,FALSE),E74+F73)</f>
        <v>157.17895463779135</v>
      </c>
      <c r="G74" s="862"/>
      <c r="H74" s="1723" t="s">
        <v>263</v>
      </c>
      <c r="I74" s="1724"/>
      <c r="J74" s="1294"/>
      <c r="K74" s="1294"/>
      <c r="L74" s="1292" t="str">
        <f>IFERROR(INDEX('Lower Cask Movement &amp; Logistics'!$I$13:$O$19,MATCH($J74,'Lower Cask Movement &amp; Logistics'!$H$13:$H$19,0),MATCH($K74,'Lower Cask Movement &amp; Logistics'!$H$13:$H$19,0)),"N/A")</f>
        <v>N/A</v>
      </c>
      <c r="M74" s="1725" t="str">
        <f>IFERROR(VLOOKUP($I74,'Lower Cask Movement &amp; Logistics'!$H$4:$I$8,2,FALSE),"N/A")</f>
        <v>N/A</v>
      </c>
      <c r="N74" s="1332" t="str">
        <f t="shared" si="5"/>
        <v>N/A</v>
      </c>
      <c r="O74" s="1331" t="s">
        <v>1734</v>
      </c>
      <c r="P74" s="1353">
        <f>IF($D74="Logistics",VLOOKUP($O74,'Lower Cask Movement &amp; Logistics'!$C$4:$D$54,2,FALSE),"N/A")</f>
        <v>1.9</v>
      </c>
      <c r="R74"/>
      <c r="S74"/>
    </row>
    <row r="75" spans="2:19" s="89" customFormat="1" ht="15.75" customHeight="1" x14ac:dyDescent="0.4">
      <c r="B75" s="3815"/>
      <c r="C75" s="1294" t="s">
        <v>1755</v>
      </c>
      <c r="D75" s="1294" t="s">
        <v>3</v>
      </c>
      <c r="E75" s="1330">
        <f t="shared" si="4"/>
        <v>0.78</v>
      </c>
      <c r="F75" s="1330">
        <f>IF($D75="Trigger",VLOOKUP($C75,'Lower Cask Critical Path'!$C$6:$F$427,4,FALSE),E75+F74)</f>
        <v>157.95895463779135</v>
      </c>
      <c r="G75" s="862"/>
      <c r="H75" s="1723" t="s">
        <v>263</v>
      </c>
      <c r="I75" s="1724"/>
      <c r="J75" s="1294"/>
      <c r="K75" s="1294"/>
      <c r="L75" s="1292" t="str">
        <f>IFERROR(INDEX('Lower Cask Movement &amp; Logistics'!$I$13:$O$19,MATCH($J75,'Lower Cask Movement &amp; Logistics'!$H$13:$H$19,0),MATCH($K75,'Lower Cask Movement &amp; Logistics'!$H$13:$H$19,0)),"N/A")</f>
        <v>N/A</v>
      </c>
      <c r="M75" s="1725" t="str">
        <f>IFERROR(VLOOKUP($I75,'Lower Cask Movement &amp; Logistics'!$H$4:$I$8,2,FALSE),"N/A")</f>
        <v>N/A</v>
      </c>
      <c r="N75" s="1332" t="str">
        <f t="shared" si="5"/>
        <v>N/A</v>
      </c>
      <c r="O75" s="1331" t="s">
        <v>1740</v>
      </c>
      <c r="P75" s="1353">
        <f>IF($D75="Logistics",VLOOKUP($O75,'Lower Cask Movement &amp; Logistics'!$C$4:$D$54,2,FALSE),"N/A")</f>
        <v>0.78</v>
      </c>
      <c r="R75"/>
      <c r="S75"/>
    </row>
    <row r="76" spans="2:19" s="89" customFormat="1" ht="15.75" customHeight="1" x14ac:dyDescent="0.4">
      <c r="B76" s="3815"/>
      <c r="C76" s="1294" t="s">
        <v>1562</v>
      </c>
      <c r="D76" s="1294" t="s">
        <v>3</v>
      </c>
      <c r="E76" s="1330">
        <f t="shared" si="4"/>
        <v>2.3000000000000003</v>
      </c>
      <c r="F76" s="1330">
        <f>IF($D76="Trigger",VLOOKUP($C76,'Lower Cask Critical Path'!$C$6:$F$427,4,FALSE),E76+F75)</f>
        <v>160.25895463779136</v>
      </c>
      <c r="G76" s="862"/>
      <c r="H76" s="1723" t="s">
        <v>263</v>
      </c>
      <c r="I76" s="1724"/>
      <c r="J76" s="1294"/>
      <c r="K76" s="1294"/>
      <c r="L76" s="1292" t="str">
        <f>IFERROR(INDEX('Lower Cask Movement &amp; Logistics'!$I$13:$O$19,MATCH($J76,'Lower Cask Movement &amp; Logistics'!$H$13:$H$19,0),MATCH($K76,'Lower Cask Movement &amp; Logistics'!$H$13:$H$19,0)),"N/A")</f>
        <v>N/A</v>
      </c>
      <c r="M76" s="1725" t="str">
        <f>IFERROR(VLOOKUP($I76,'Lower Cask Movement &amp; Logistics'!$H$4:$I$8,2,FALSE),"N/A")</f>
        <v>N/A</v>
      </c>
      <c r="N76" s="1332" t="str">
        <f t="shared" si="5"/>
        <v>N/A</v>
      </c>
      <c r="O76" s="1331" t="s">
        <v>1562</v>
      </c>
      <c r="P76" s="1353">
        <f>IF($D76="Logistics",VLOOKUP($O76,'Lower Cask Movement &amp; Logistics'!$C$4:$D$54,2,FALSE),"N/A")</f>
        <v>2.3000000000000003</v>
      </c>
      <c r="R76"/>
      <c r="S76"/>
    </row>
    <row r="77" spans="2:19" s="89" customFormat="1" ht="15" customHeight="1" x14ac:dyDescent="0.4">
      <c r="B77" s="3815"/>
      <c r="C77" s="1294" t="s">
        <v>1756</v>
      </c>
      <c r="D77" s="1294" t="s">
        <v>778</v>
      </c>
      <c r="E77" s="1330">
        <f t="shared" si="4"/>
        <v>0.23148148148148148</v>
      </c>
      <c r="F77" s="1330">
        <f>IF($D77="Trigger",VLOOKUP($C77,'Lower Cask Critical Path'!$C$6:$F$427,4,FALSE),E77+F76)</f>
        <v>160.49043611927286</v>
      </c>
      <c r="G77" s="862"/>
      <c r="H77" s="1328" t="s">
        <v>263</v>
      </c>
      <c r="I77" s="1724" t="s">
        <v>1536</v>
      </c>
      <c r="J77" s="1294" t="s">
        <v>799</v>
      </c>
      <c r="K77" s="1294" t="s">
        <v>1203</v>
      </c>
      <c r="L77" s="1292">
        <f>IFERROR(INDEX('Lower Cask Movement &amp; Logistics'!$I$13:$O$19,MATCH($J77,'Lower Cask Movement &amp; Logistics'!$H$13:$H$19,0),MATCH($K77,'Lower Cask Movement &amp; Logistics'!$H$13:$H$19,0)),"N/A")</f>
        <v>50</v>
      </c>
      <c r="M77" s="1725">
        <f>IFERROR(VLOOKUP($I77,'Lower Cask Movement &amp; Logistics'!$H$4:$I$8,2,FALSE),"N/A")</f>
        <v>0.06</v>
      </c>
      <c r="N77" s="1332">
        <f t="shared" si="5"/>
        <v>0.23148148148148148</v>
      </c>
      <c r="O77" s="1331"/>
      <c r="P77" s="1353" t="str">
        <f>IF($D77="Logistics",VLOOKUP($O77,'Lower Cask Movement &amp; Logistics'!$C$4:$D$54,2,FALSE),"N/A")</f>
        <v>N/A</v>
      </c>
      <c r="R77"/>
      <c r="S77"/>
    </row>
    <row r="78" spans="2:19" s="89" customFormat="1" ht="15" thickBot="1" x14ac:dyDescent="0.45">
      <c r="B78" s="3816"/>
      <c r="C78" s="1340" t="s">
        <v>1614</v>
      </c>
      <c r="D78" s="1340" t="s">
        <v>11</v>
      </c>
      <c r="E78" s="1295">
        <f t="shared" si="4"/>
        <v>0</v>
      </c>
      <c r="F78" s="1295">
        <f>IF($D78="Trigger",VLOOKUP($C78,'Lower Cask Critical Path'!$C$6:$F$427,4,FALSE),E78+F77)</f>
        <v>160.49043611927286</v>
      </c>
      <c r="G78" s="839"/>
      <c r="H78" s="1341" t="s">
        <v>263</v>
      </c>
      <c r="I78" s="1727"/>
      <c r="J78" s="1340"/>
      <c r="K78" s="1340"/>
      <c r="L78" s="1342" t="str">
        <f>IFERROR(INDEX('Lower Cask Movement &amp; Logistics'!$I$13:$O$19,MATCH($J78,'Lower Cask Movement &amp; Logistics'!$H$13:$H$19,0),MATCH($K78,'Lower Cask Movement &amp; Logistics'!$H$13:$H$19,0)),"N/A")</f>
        <v>N/A</v>
      </c>
      <c r="M78" s="1342" t="str">
        <f>IFERROR(VLOOKUP($I78,'Lower Cask Movement &amp; Logistics'!$H$4:$I$8,2,FALSE),"N/A")</f>
        <v>N/A</v>
      </c>
      <c r="N78" s="1343" t="str">
        <f>IF(D78="Movement",IFERROR((L78/M78)/(60*60),"Error"),"N/A")</f>
        <v>N/A</v>
      </c>
      <c r="O78" s="1344"/>
      <c r="P78" s="1345" t="str">
        <f>IF($D78="Logistics",VLOOKUP($O78,'Lower Cask Movement &amp; Logistics'!$C$4:$D$54,2,FALSE),"N/A")</f>
        <v>N/A</v>
      </c>
      <c r="R78"/>
      <c r="S78"/>
    </row>
    <row r="79" spans="2:19" s="89" customFormat="1" x14ac:dyDescent="0.4">
      <c r="B79" s="3787" t="s">
        <v>1620</v>
      </c>
      <c r="C79" s="617" t="s">
        <v>1612</v>
      </c>
      <c r="D79" s="617" t="s">
        <v>907</v>
      </c>
      <c r="E79" s="567">
        <f t="shared" si="4"/>
        <v>0</v>
      </c>
      <c r="F79" s="567">
        <f>IF($D79="Trigger",VLOOKUP($C79,'Lower Cask Critical Path'!$C$6:$F$427,4,FALSE),E79+F78)</f>
        <v>155.58673241556909</v>
      </c>
      <c r="G79" s="568"/>
      <c r="H79" s="569" t="s">
        <v>263</v>
      </c>
      <c r="I79" s="1270"/>
      <c r="J79" s="617"/>
      <c r="K79" s="617"/>
      <c r="L79" s="618" t="str">
        <f>IFERROR(INDEX('Lower Cask Movement &amp; Logistics'!$I$13:$O$19,MATCH($J79,'Lower Cask Movement &amp; Logistics'!$H$13:$H$19,0),MATCH($K79,'Lower Cask Movement &amp; Logistics'!$H$13:$H$19,0)),"N/A")</f>
        <v>N/A</v>
      </c>
      <c r="M79" s="1728" t="str">
        <f>IFERROR(VLOOKUP($I79,'Lower Cask Movement &amp; Logistics'!$H$4:$I$8,2,FALSE),"N/A")</f>
        <v>N/A</v>
      </c>
      <c r="N79" s="619" t="str">
        <f t="shared" ref="N79:N102" si="6">IF(D79="Movement",IFERROR((L79/M79)/(60*60),"Error"),"N/A")</f>
        <v>N/A</v>
      </c>
      <c r="O79" s="620"/>
      <c r="P79" s="621" t="str">
        <f>IF($D79="Logistics",VLOOKUP($O79,'Lower Cask Movement &amp; Logistics'!$C$4:$D$54,2,FALSE),"N/A")</f>
        <v>N/A</v>
      </c>
      <c r="R79"/>
      <c r="S79"/>
    </row>
    <row r="80" spans="2:19" s="89" customFormat="1" x14ac:dyDescent="0.4">
      <c r="B80" s="3786"/>
      <c r="C80" s="1275" t="s">
        <v>1732</v>
      </c>
      <c r="D80" s="572" t="s">
        <v>778</v>
      </c>
      <c r="E80" s="578">
        <f t="shared" si="4"/>
        <v>0.23148148148148148</v>
      </c>
      <c r="F80" s="578">
        <f>IF($D80="Trigger",VLOOKUP($C80,'Lower Cask Critical Path'!$C$6:$F$427,4,FALSE),E80+F79)</f>
        <v>155.81821389705058</v>
      </c>
      <c r="G80" s="872"/>
      <c r="H80" s="1729" t="s">
        <v>263</v>
      </c>
      <c r="I80" s="1281" t="s">
        <v>1536</v>
      </c>
      <c r="J80" s="572" t="s">
        <v>1203</v>
      </c>
      <c r="K80" s="572" t="s">
        <v>914</v>
      </c>
      <c r="L80" s="574">
        <f>IFERROR(INDEX('Lower Cask Movement &amp; Logistics'!$I$13:$O$19,MATCH($J80,'Lower Cask Movement &amp; Logistics'!$H$13:$H$19,0),MATCH($K80,'Lower Cask Movement &amp; Logistics'!$H$13:$H$19,0)),"N/A")</f>
        <v>50</v>
      </c>
      <c r="M80" s="1580">
        <f>IFERROR(VLOOKUP($I80,'Lower Cask Movement &amp; Logistics'!$H$4:$I$8,2,FALSE),"N/A")</f>
        <v>0.06</v>
      </c>
      <c r="N80" s="580">
        <f t="shared" si="6"/>
        <v>0.23148148148148148</v>
      </c>
      <c r="O80" s="631"/>
      <c r="P80" s="632" t="str">
        <f>IF($D80="Logistics",VLOOKUP($O80,'Lower Cask Movement &amp; Logistics'!$C$4:$D$54,2,FALSE),"N/A")</f>
        <v>N/A</v>
      </c>
      <c r="R80"/>
      <c r="S80"/>
    </row>
    <row r="81" spans="2:19" s="89" customFormat="1" x14ac:dyDescent="0.4">
      <c r="B81" s="3786"/>
      <c r="C81" s="1275" t="s">
        <v>1742</v>
      </c>
      <c r="D81" s="572" t="s">
        <v>3</v>
      </c>
      <c r="E81" s="578">
        <f t="shared" si="4"/>
        <v>0.58000000000000007</v>
      </c>
      <c r="F81" s="578">
        <f>IF($D81="Trigger",VLOOKUP($C81,'Lower Cask Critical Path'!$C$6:$F$427,4,FALSE),E81+F80)</f>
        <v>156.3982138970506</v>
      </c>
      <c r="G81" s="872"/>
      <c r="H81" s="1729" t="s">
        <v>263</v>
      </c>
      <c r="I81" s="1281"/>
      <c r="J81" s="572"/>
      <c r="K81" s="572"/>
      <c r="L81" s="574" t="str">
        <f>IFERROR(INDEX('Lower Cask Movement &amp; Logistics'!$I$13:$O$19,MATCH($J81,'Lower Cask Movement &amp; Logistics'!$H$13:$H$19,0),MATCH($K81,'Lower Cask Movement &amp; Logistics'!$H$13:$H$19,0)),"N/A")</f>
        <v>N/A</v>
      </c>
      <c r="M81" s="1580" t="str">
        <f>IFERROR(VLOOKUP($I81,'Lower Cask Movement &amp; Logistics'!$H$4:$I$8,2,FALSE),"N/A")</f>
        <v>N/A</v>
      </c>
      <c r="N81" s="580" t="str">
        <f t="shared" si="6"/>
        <v>N/A</v>
      </c>
      <c r="O81" s="631" t="s">
        <v>1539</v>
      </c>
      <c r="P81" s="632">
        <f>IF($D81="Logistics",VLOOKUP($O81,'Lower Cask Movement &amp; Logistics'!$C$4:$D$54,2,FALSE),"N/A")</f>
        <v>0.58000000000000007</v>
      </c>
      <c r="R81"/>
      <c r="S81"/>
    </row>
    <row r="82" spans="2:19" s="89" customFormat="1" x14ac:dyDescent="0.4">
      <c r="B82" s="3786"/>
      <c r="C82" s="1275" t="s">
        <v>1737</v>
      </c>
      <c r="D82" s="572" t="s">
        <v>778</v>
      </c>
      <c r="E82" s="578">
        <f t="shared" si="4"/>
        <v>2.7777777777777776E-2</v>
      </c>
      <c r="F82" s="578">
        <f>IF($D82="Trigger",VLOOKUP($C82,'Lower Cask Critical Path'!$C$6:$F$427,4,FALSE),E82+F81)</f>
        <v>156.42599167482837</v>
      </c>
      <c r="G82" s="872"/>
      <c r="H82" s="1729" t="s">
        <v>263</v>
      </c>
      <c r="I82" s="1281" t="s">
        <v>1738</v>
      </c>
      <c r="J82" s="572" t="s">
        <v>914</v>
      </c>
      <c r="K82" s="572" t="s">
        <v>799</v>
      </c>
      <c r="L82" s="574">
        <f>IFERROR(INDEX('Lower Cask Movement &amp; Logistics'!$I$13:$O$19,MATCH($J82,'Lower Cask Movement &amp; Logistics'!$H$13:$H$19,0),MATCH($K82,'Lower Cask Movement &amp; Logistics'!$H$13:$H$19,0)),"N/A")</f>
        <v>20</v>
      </c>
      <c r="M82" s="1580">
        <f>IFERROR(VLOOKUP($I82,'Lower Cask Movement &amp; Logistics'!$H$4:$I$8,2,FALSE),"N/A")</f>
        <v>0.2</v>
      </c>
      <c r="N82" s="580">
        <f t="shared" si="6"/>
        <v>2.7777777777777776E-2</v>
      </c>
      <c r="O82" s="631"/>
      <c r="P82" s="632" t="str">
        <f>IF($D82="Logistics",VLOOKUP($O82,'Lower Cask Movement &amp; Logistics'!$C$4:$D$54,2,FALSE),"N/A")</f>
        <v>N/A</v>
      </c>
      <c r="R82"/>
      <c r="S82"/>
    </row>
    <row r="83" spans="2:19" s="89" customFormat="1" x14ac:dyDescent="0.4">
      <c r="B83" s="3786"/>
      <c r="C83" s="572" t="s">
        <v>1743</v>
      </c>
      <c r="D83" s="572" t="s">
        <v>3</v>
      </c>
      <c r="E83" s="574">
        <f t="shared" si="4"/>
        <v>0.78</v>
      </c>
      <c r="F83" s="574">
        <f>IF($D83="Trigger",VLOOKUP($C83,'Lower Cask Critical Path'!$C$6:$F$427,4,FALSE),E83+F82)</f>
        <v>157.20599167482837</v>
      </c>
      <c r="G83" s="575"/>
      <c r="H83" s="576" t="s">
        <v>263</v>
      </c>
      <c r="I83" s="1281"/>
      <c r="J83" s="572"/>
      <c r="K83" s="572"/>
      <c r="L83" s="577" t="str">
        <f>IFERROR(INDEX('Lower Cask Movement &amp; Logistics'!$I$13:$O$19,MATCH($J83,'Lower Cask Movement &amp; Logistics'!$H$13:$H$19,0),MATCH($K83,'Lower Cask Movement &amp; Logistics'!$H$13:$H$19,0)),"N/A")</f>
        <v>N/A</v>
      </c>
      <c r="M83" s="577" t="str">
        <f>IFERROR(VLOOKUP($I83,'Lower Cask Movement &amp; Logistics'!$H$4:$I$8,2,FALSE),"N/A")</f>
        <v>N/A</v>
      </c>
      <c r="N83" s="578" t="str">
        <f t="shared" si="6"/>
        <v>N/A</v>
      </c>
      <c r="O83" s="579" t="s">
        <v>1740</v>
      </c>
      <c r="P83" s="580">
        <f>IF($D83="Logistics",VLOOKUP($O83,'Lower Cask Movement &amp; Logistics'!$C$4:$D$54,2,FALSE),"N/A")</f>
        <v>0.78</v>
      </c>
      <c r="R83"/>
      <c r="S83"/>
    </row>
    <row r="84" spans="2:19" s="89" customFormat="1" x14ac:dyDescent="0.4">
      <c r="B84" s="3786"/>
      <c r="C84" s="572" t="s">
        <v>1744</v>
      </c>
      <c r="D84" s="572" t="s">
        <v>778</v>
      </c>
      <c r="E84" s="574">
        <f t="shared" si="4"/>
        <v>0.69444444444444442</v>
      </c>
      <c r="F84" s="574">
        <f>IF($D84="Trigger",VLOOKUP($C84,'Lower Cask Critical Path'!$C$6:$F$427,4,FALSE),E84+F83)</f>
        <v>157.90043611927283</v>
      </c>
      <c r="G84" s="575"/>
      <c r="H84" s="576" t="s">
        <v>263</v>
      </c>
      <c r="I84" s="1281" t="s">
        <v>1538</v>
      </c>
      <c r="J84" s="572" t="s">
        <v>799</v>
      </c>
      <c r="K84" s="572" t="s">
        <v>1203</v>
      </c>
      <c r="L84" s="577">
        <f>IFERROR(INDEX('Lower Cask Movement &amp; Logistics'!$I$13:$O$19,MATCH($J84,'Lower Cask Movement &amp; Logistics'!$H$13:$H$19,0),MATCH($K84,'Lower Cask Movement &amp; Logistics'!$H$13:$H$19,0)),"N/A")</f>
        <v>50</v>
      </c>
      <c r="M84" s="577">
        <f>IFERROR(VLOOKUP($I84,'Lower Cask Movement &amp; Logistics'!$H$4:$I$8,2,FALSE),"N/A")</f>
        <v>0.02</v>
      </c>
      <c r="N84" s="578">
        <f t="shared" si="6"/>
        <v>0.69444444444444442</v>
      </c>
      <c r="O84" s="579"/>
      <c r="P84" s="580" t="str">
        <f>IF($D84="Logistics",VLOOKUP($O84,'Lower Cask Movement &amp; Logistics'!$C$4:$D$54,2,FALSE),"N/A")</f>
        <v>N/A</v>
      </c>
      <c r="R84"/>
      <c r="S84"/>
    </row>
    <row r="85" spans="2:19" s="89" customFormat="1" ht="26.6" thickBot="1" x14ac:dyDescent="0.45">
      <c r="B85" s="3788"/>
      <c r="C85" s="583" t="s">
        <v>1620</v>
      </c>
      <c r="D85" s="583" t="s">
        <v>11</v>
      </c>
      <c r="E85" s="585">
        <f t="shared" si="4"/>
        <v>0</v>
      </c>
      <c r="F85" s="585">
        <f>IF($D85="Trigger",VLOOKUP($C85,'Lower Cask Critical Path'!$C$6:$F$427,4,FALSE),E85+F84)</f>
        <v>157.90043611927283</v>
      </c>
      <c r="G85" s="586"/>
      <c r="H85" s="587" t="s">
        <v>263</v>
      </c>
      <c r="I85" s="1720"/>
      <c r="J85" s="583"/>
      <c r="K85" s="583"/>
      <c r="L85" s="588" t="str">
        <f>IFERROR(INDEX('Lower Cask Movement &amp; Logistics'!$I$13:$O$19,MATCH($J85,'Lower Cask Movement &amp; Logistics'!$H$13:$H$19,0),MATCH($K85,'Lower Cask Movement &amp; Logistics'!$H$13:$H$19,0)),"N/A")</f>
        <v>N/A</v>
      </c>
      <c r="M85" s="588" t="str">
        <f>IFERROR(VLOOKUP($I85,'Lower Cask Movement &amp; Logistics'!$H$4:$I$8,2,FALSE),"N/A")</f>
        <v>N/A</v>
      </c>
      <c r="N85" s="589" t="str">
        <f t="shared" si="6"/>
        <v>N/A</v>
      </c>
      <c r="O85" s="590"/>
      <c r="P85" s="591" t="str">
        <f>IF($D85="Logistics",VLOOKUP($O85,'Lower Cask Movement &amp; Logistics'!$C$4:$D$54,2,FALSE),"N/A")</f>
        <v>N/A</v>
      </c>
      <c r="R85"/>
      <c r="S85"/>
    </row>
    <row r="86" spans="2:19" s="89" customFormat="1" x14ac:dyDescent="0.4">
      <c r="B86" s="3814" t="s">
        <v>1631</v>
      </c>
      <c r="C86" s="1324" t="s">
        <v>1616</v>
      </c>
      <c r="D86" s="1324" t="s">
        <v>907</v>
      </c>
      <c r="E86" s="1291">
        <f t="shared" si="4"/>
        <v>0</v>
      </c>
      <c r="F86" s="1291">
        <f>IF($D86="Trigger",VLOOKUP($C86,'Lower Cask Critical Path'!$C$6:$F$427,4,FALSE),E86+F85)</f>
        <v>165.92043611927286</v>
      </c>
      <c r="G86" s="825"/>
      <c r="H86" s="1323" t="s">
        <v>263</v>
      </c>
      <c r="I86" s="1721"/>
      <c r="J86" s="1324"/>
      <c r="K86" s="1324"/>
      <c r="L86" s="1325" t="str">
        <f>IFERROR(INDEX('Lower Cask Movement &amp; Logistics'!$I$13:$O$19,MATCH($J86,'Lower Cask Movement &amp; Logistics'!$H$13:$H$19,0),MATCH($K86,'Lower Cask Movement &amp; Logistics'!$H$13:$H$19,0)),"N/A")</f>
        <v>N/A</v>
      </c>
      <c r="M86" s="1325" t="str">
        <f>IFERROR(VLOOKUP($I86,'Lower Cask Movement &amp; Logistics'!$H$4:$I$8,2,FALSE),"N/A")</f>
        <v>N/A</v>
      </c>
      <c r="N86" s="1326" t="str">
        <f t="shared" si="6"/>
        <v>N/A</v>
      </c>
      <c r="O86" s="1327"/>
      <c r="P86" s="824" t="str">
        <f>IF($D86="Logistics",VLOOKUP($O86,'Lower Cask Movement &amp; Logistics'!$C$4:$D$54,2,FALSE),"N/A")</f>
        <v>N/A</v>
      </c>
      <c r="R86"/>
      <c r="S86"/>
    </row>
    <row r="87" spans="2:19" s="89" customFormat="1" x14ac:dyDescent="0.4">
      <c r="B87" s="3815"/>
      <c r="C87" s="1362" t="s">
        <v>1732</v>
      </c>
      <c r="D87" s="1294" t="s">
        <v>778</v>
      </c>
      <c r="E87" s="1330">
        <f t="shared" si="4"/>
        <v>0.23148148148148148</v>
      </c>
      <c r="F87" s="1330">
        <f>IF($D87="Trigger",VLOOKUP($C87,'Lower Cask Critical Path'!$C$6:$F$427,4,FALSE),E87+F86)</f>
        <v>166.15191760075436</v>
      </c>
      <c r="G87" s="1722"/>
      <c r="H87" s="1723" t="s">
        <v>263</v>
      </c>
      <c r="I87" s="1724" t="s">
        <v>1536</v>
      </c>
      <c r="J87" s="1294" t="s">
        <v>1203</v>
      </c>
      <c r="K87" s="1294" t="s">
        <v>914</v>
      </c>
      <c r="L87" s="1292">
        <f>IFERROR(INDEX('Lower Cask Movement &amp; Logistics'!$I$13:$O$19,MATCH($J87,'Lower Cask Movement &amp; Logistics'!$H$13:$H$19,0),MATCH($K87,'Lower Cask Movement &amp; Logistics'!$H$13:$H$19,0)),"N/A")</f>
        <v>50</v>
      </c>
      <c r="M87" s="1725">
        <f>IFERROR(VLOOKUP($I87,'Lower Cask Movement &amp; Logistics'!$H$4:$I$8,2,FALSE),"N/A")</f>
        <v>0.06</v>
      </c>
      <c r="N87" s="1332">
        <f t="shared" si="6"/>
        <v>0.23148148148148148</v>
      </c>
      <c r="O87" s="1352"/>
      <c r="P87" s="1353" t="str">
        <f>IF($D87="Logistics",VLOOKUP($O87,'Lower Cask Movement &amp; Logistics'!$C$4:$D$54,2,FALSE),"N/A")</f>
        <v>N/A</v>
      </c>
      <c r="R87"/>
      <c r="S87"/>
    </row>
    <row r="88" spans="2:19" s="89" customFormat="1" x14ac:dyDescent="0.4">
      <c r="B88" s="3815"/>
      <c r="C88" s="1362" t="s">
        <v>1733</v>
      </c>
      <c r="D88" s="1294" t="s">
        <v>3</v>
      </c>
      <c r="E88" s="1330">
        <f t="shared" si="4"/>
        <v>1.9</v>
      </c>
      <c r="F88" s="1330">
        <f>IF($D88="Trigger",VLOOKUP($C88,'Lower Cask Critical Path'!$C$6:$F$427,4,FALSE),E88+F87)</f>
        <v>168.05191760075436</v>
      </c>
      <c r="G88" s="1722"/>
      <c r="H88" s="1723" t="s">
        <v>263</v>
      </c>
      <c r="I88" s="1724"/>
      <c r="J88" s="1294"/>
      <c r="K88" s="1294"/>
      <c r="L88" s="1292" t="str">
        <f>IFERROR(INDEX('Lower Cask Movement &amp; Logistics'!$I$13:$O$19,MATCH($J88,'Lower Cask Movement &amp; Logistics'!$H$13:$H$19,0),MATCH($K88,'Lower Cask Movement &amp; Logistics'!$H$13:$H$19,0)),"N/A")</f>
        <v>N/A</v>
      </c>
      <c r="M88" s="1725" t="str">
        <f>IFERROR(VLOOKUP($I88,'Lower Cask Movement &amp; Logistics'!$H$4:$I$8,2,FALSE),"N/A")</f>
        <v>N/A</v>
      </c>
      <c r="N88" s="1332" t="str">
        <f t="shared" si="6"/>
        <v>N/A</v>
      </c>
      <c r="O88" s="1352" t="s">
        <v>1734</v>
      </c>
      <c r="P88" s="1353">
        <f>IF($D88="Logistics",VLOOKUP($O88,'Lower Cask Movement &amp; Logistics'!$C$4:$D$54,2,FALSE),"N/A")</f>
        <v>1.9</v>
      </c>
      <c r="R88"/>
      <c r="S88"/>
    </row>
    <row r="89" spans="2:19" s="89" customFormat="1" x14ac:dyDescent="0.4">
      <c r="B89" s="3815"/>
      <c r="C89" s="1362" t="s">
        <v>1742</v>
      </c>
      <c r="D89" s="1294" t="s">
        <v>3</v>
      </c>
      <c r="E89" s="1330">
        <f t="shared" si="4"/>
        <v>0.58000000000000007</v>
      </c>
      <c r="F89" s="1330">
        <f>IF($D89="Trigger",VLOOKUP($C89,'Lower Cask Critical Path'!$C$6:$F$427,4,FALSE),E89+F88)</f>
        <v>168.63191760075438</v>
      </c>
      <c r="G89" s="1722"/>
      <c r="H89" s="1723" t="s">
        <v>263</v>
      </c>
      <c r="I89" s="1724"/>
      <c r="J89" s="1294"/>
      <c r="K89" s="1294"/>
      <c r="L89" s="1292" t="str">
        <f>IFERROR(INDEX('Lower Cask Movement &amp; Logistics'!$I$13:$O$19,MATCH($J89,'Lower Cask Movement &amp; Logistics'!$H$13:$H$19,0),MATCH($K89,'Lower Cask Movement &amp; Logistics'!$H$13:$H$19,0)),"N/A")</f>
        <v>N/A</v>
      </c>
      <c r="M89" s="1725" t="str">
        <f>IFERROR(VLOOKUP($I89,'Lower Cask Movement &amp; Logistics'!$H$4:$I$8,2,FALSE),"N/A")</f>
        <v>N/A</v>
      </c>
      <c r="N89" s="1332" t="str">
        <f t="shared" si="6"/>
        <v>N/A</v>
      </c>
      <c r="O89" s="1352" t="s">
        <v>1539</v>
      </c>
      <c r="P89" s="1353">
        <f>IF($D89="Logistics",VLOOKUP($O89,'Lower Cask Movement &amp; Logistics'!$C$4:$D$54,2,FALSE),"N/A")</f>
        <v>0.58000000000000007</v>
      </c>
      <c r="R89"/>
      <c r="S89"/>
    </row>
    <row r="90" spans="2:19" s="89" customFormat="1" x14ac:dyDescent="0.4">
      <c r="B90" s="3815"/>
      <c r="C90" s="1362" t="s">
        <v>1737</v>
      </c>
      <c r="D90" s="1294" t="s">
        <v>778</v>
      </c>
      <c r="E90" s="1330">
        <f t="shared" si="4"/>
        <v>2.7777777777777776E-2</v>
      </c>
      <c r="F90" s="1330">
        <f>IF($D90="Trigger",VLOOKUP($C90,'Lower Cask Critical Path'!$C$6:$F$427,4,FALSE),E90+F89)</f>
        <v>168.65969537853215</v>
      </c>
      <c r="G90" s="1722"/>
      <c r="H90" s="1723" t="s">
        <v>263</v>
      </c>
      <c r="I90" s="1724" t="s">
        <v>1738</v>
      </c>
      <c r="J90" s="1294" t="s">
        <v>914</v>
      </c>
      <c r="K90" s="1294" t="s">
        <v>799</v>
      </c>
      <c r="L90" s="1292">
        <f>IFERROR(INDEX('Lower Cask Movement &amp; Logistics'!$I$13:$O$19,MATCH($J90,'Lower Cask Movement &amp; Logistics'!$H$13:$H$19,0),MATCH($K90,'Lower Cask Movement &amp; Logistics'!$H$13:$H$19,0)),"N/A")</f>
        <v>20</v>
      </c>
      <c r="M90" s="1725">
        <f>IFERROR(VLOOKUP($I90,'Lower Cask Movement &amp; Logistics'!$H$4:$I$8,2,FALSE),"N/A")</f>
        <v>0.2</v>
      </c>
      <c r="N90" s="1332">
        <f t="shared" si="6"/>
        <v>2.7777777777777776E-2</v>
      </c>
      <c r="O90" s="1352"/>
      <c r="P90" s="1353" t="str">
        <f>IF($D90="Logistics",VLOOKUP($O90,'Lower Cask Movement &amp; Logistics'!$C$4:$D$54,2,FALSE),"N/A")</f>
        <v>N/A</v>
      </c>
      <c r="R90"/>
      <c r="S90"/>
    </row>
    <row r="91" spans="2:19" s="89" customFormat="1" x14ac:dyDescent="0.4">
      <c r="B91" s="3815"/>
      <c r="C91" s="1294" t="s">
        <v>1759</v>
      </c>
      <c r="D91" s="1294" t="s">
        <v>3</v>
      </c>
      <c r="E91" s="1330">
        <f t="shared" si="4"/>
        <v>0.78</v>
      </c>
      <c r="F91" s="1330">
        <f>IF($D91="Trigger",VLOOKUP($C91,'Lower Cask Critical Path'!$C$6:$F$427,4,FALSE),E91+F90)</f>
        <v>169.43969537853215</v>
      </c>
      <c r="G91" s="862"/>
      <c r="H91" s="1723" t="s">
        <v>263</v>
      </c>
      <c r="I91" s="1724"/>
      <c r="J91" s="1294"/>
      <c r="K91" s="1294"/>
      <c r="L91" s="1292" t="str">
        <f>IFERROR(INDEX('Lower Cask Movement &amp; Logistics'!$I$13:$O$19,MATCH($J91,'Lower Cask Movement &amp; Logistics'!$H$13:$H$19,0),MATCH($K91,'Lower Cask Movement &amp; Logistics'!$H$13:$H$19,0)),"N/A")</f>
        <v>N/A</v>
      </c>
      <c r="M91" s="1725" t="str">
        <f>IFERROR(VLOOKUP($I91,'Lower Cask Movement &amp; Logistics'!$H$4:$I$8,2,FALSE),"N/A")</f>
        <v>N/A</v>
      </c>
      <c r="N91" s="1332" t="str">
        <f t="shared" si="6"/>
        <v>N/A</v>
      </c>
      <c r="O91" s="1331" t="s">
        <v>1740</v>
      </c>
      <c r="P91" s="1353">
        <f>IF($D91="Logistics",VLOOKUP($O91,'Lower Cask Movement &amp; Logistics'!$C$4:$D$54,2,FALSE),"N/A")</f>
        <v>0.78</v>
      </c>
      <c r="R91"/>
      <c r="S91"/>
    </row>
    <row r="92" spans="2:19" s="89" customFormat="1" x14ac:dyDescent="0.4">
      <c r="B92" s="3815"/>
      <c r="C92" s="1294" t="s">
        <v>1760</v>
      </c>
      <c r="D92" s="1294" t="s">
        <v>778</v>
      </c>
      <c r="E92" s="1330">
        <f t="shared" si="4"/>
        <v>0.69444444444444442</v>
      </c>
      <c r="F92" s="1330">
        <f>IF($D92="Trigger",VLOOKUP($C92,'Lower Cask Critical Path'!$C$6:$F$427,4,FALSE),E92+F91)</f>
        <v>170.13413982297661</v>
      </c>
      <c r="G92" s="862"/>
      <c r="H92" s="1723" t="s">
        <v>263</v>
      </c>
      <c r="I92" s="1724" t="s">
        <v>1538</v>
      </c>
      <c r="J92" s="1294" t="s">
        <v>799</v>
      </c>
      <c r="K92" s="1294" t="s">
        <v>1203</v>
      </c>
      <c r="L92" s="1292">
        <f>IFERROR(INDEX('Lower Cask Movement &amp; Logistics'!$I$13:$O$19,MATCH($J92,'Lower Cask Movement &amp; Logistics'!$H$13:$H$19,0),MATCH($K92,'Lower Cask Movement &amp; Logistics'!$H$13:$H$19,0)),"N/A")</f>
        <v>50</v>
      </c>
      <c r="M92" s="1725">
        <f>IFERROR(VLOOKUP($I92,'Lower Cask Movement &amp; Logistics'!$H$4:$I$8,2,FALSE),"N/A")</f>
        <v>0.02</v>
      </c>
      <c r="N92" s="1332">
        <f t="shared" si="6"/>
        <v>0.69444444444444442</v>
      </c>
      <c r="O92" s="1331"/>
      <c r="P92" s="1353" t="str">
        <f>IF($D92="Logistics",VLOOKUP($O92,'Lower Cask Movement &amp; Logistics'!$C$4:$D$54,2,FALSE),"N/A")</f>
        <v>N/A</v>
      </c>
      <c r="R92"/>
      <c r="S92"/>
    </row>
    <row r="93" spans="2:19" s="89" customFormat="1" ht="26.6" thickBot="1" x14ac:dyDescent="0.45">
      <c r="B93" s="3816"/>
      <c r="C93" s="1340" t="s">
        <v>1631</v>
      </c>
      <c r="D93" s="1340" t="s">
        <v>11</v>
      </c>
      <c r="E93" s="1295">
        <f t="shared" si="4"/>
        <v>0</v>
      </c>
      <c r="F93" s="1295">
        <f>IF($D93="Trigger",VLOOKUP($C93,'Lower Cask Critical Path'!$C$6:$F$427,4,FALSE),E93+F92)</f>
        <v>170.13413982297661</v>
      </c>
      <c r="G93" s="839"/>
      <c r="H93" s="1341" t="s">
        <v>263</v>
      </c>
      <c r="I93" s="1727"/>
      <c r="J93" s="1340"/>
      <c r="K93" s="1340"/>
      <c r="L93" s="1342" t="str">
        <f>IFERROR(INDEX('Lower Cask Movement &amp; Logistics'!$I$13:$O$19,MATCH($J93,'Lower Cask Movement &amp; Logistics'!$H$13:$H$19,0),MATCH($K93,'Lower Cask Movement &amp; Logistics'!$H$13:$H$19,0)),"N/A")</f>
        <v>N/A</v>
      </c>
      <c r="M93" s="1342" t="str">
        <f>IFERROR(VLOOKUP($I93,'Lower Cask Movement &amp; Logistics'!$H$4:$I$8,2,FALSE),"N/A")</f>
        <v>N/A</v>
      </c>
      <c r="N93" s="1343" t="str">
        <f t="shared" si="6"/>
        <v>N/A</v>
      </c>
      <c r="O93" s="1344"/>
      <c r="P93" s="1345" t="str">
        <f>IF($D93="Logistics",VLOOKUP($O93,'Lower Cask Movement &amp; Logistics'!$C$4:$D$54,2,FALSE),"N/A")</f>
        <v>N/A</v>
      </c>
      <c r="R93"/>
      <c r="S93"/>
    </row>
    <row r="94" spans="2:19" s="89" customFormat="1" ht="15" customHeight="1" x14ac:dyDescent="0.4">
      <c r="B94" s="3787" t="s">
        <v>1636</v>
      </c>
      <c r="C94" s="617" t="s">
        <v>1628</v>
      </c>
      <c r="D94" s="617" t="s">
        <v>907</v>
      </c>
      <c r="E94" s="567">
        <f>MAX($P94,$N94,$H94)</f>
        <v>0</v>
      </c>
      <c r="F94" s="567">
        <f>IF($D94="Trigger",VLOOKUP($C94,'Lower Cask Critical Path'!$C$6:$F$427,4,FALSE),E94+F93)</f>
        <v>187.99049550701264</v>
      </c>
      <c r="G94" s="568"/>
      <c r="H94" s="569" t="s">
        <v>263</v>
      </c>
      <c r="I94" s="1270"/>
      <c r="J94" s="617"/>
      <c r="K94" s="617"/>
      <c r="L94" s="618" t="str">
        <f>IFERROR(INDEX('Lower Cask Movement &amp; Logistics'!$I$13:$O$19,MATCH($J94,'Lower Cask Movement &amp; Logistics'!$H$13:$H$19,0),MATCH($K94,'Lower Cask Movement &amp; Logistics'!$H$13:$H$19,0)),"N/A")</f>
        <v>N/A</v>
      </c>
      <c r="M94" s="618" t="str">
        <f>IFERROR(VLOOKUP($I94,'Lower Cask Movement &amp; Logistics'!$H$4:$I$8,2,FALSE),"N/A")</f>
        <v>N/A</v>
      </c>
      <c r="N94" s="619" t="str">
        <f t="shared" si="6"/>
        <v>N/A</v>
      </c>
      <c r="O94" s="620"/>
      <c r="P94" s="621" t="str">
        <f>IF($D94="Logistics",VLOOKUP($O94,'Lower Cask Movement &amp; Logistics'!$C$4:$D$54,2,FALSE),"N/A")</f>
        <v>N/A</v>
      </c>
      <c r="R94"/>
      <c r="S94"/>
    </row>
    <row r="95" spans="2:19" s="89" customFormat="1" ht="15" customHeight="1" x14ac:dyDescent="0.4">
      <c r="B95" s="3786"/>
      <c r="C95" s="1275" t="s">
        <v>1732</v>
      </c>
      <c r="D95" s="572" t="s">
        <v>778</v>
      </c>
      <c r="E95" s="578">
        <f>MAX($P95,$N95,$H95)</f>
        <v>0.23148148148148148</v>
      </c>
      <c r="F95" s="578">
        <f>IF($D95="Trigger",VLOOKUP($C95,'Lower Cask Critical Path'!$C$6:$F$427,4,FALSE),E95+F94)</f>
        <v>188.22197698849413</v>
      </c>
      <c r="G95" s="872"/>
      <c r="H95" s="1729" t="s">
        <v>263</v>
      </c>
      <c r="I95" s="1281" t="s">
        <v>1536</v>
      </c>
      <c r="J95" s="572" t="s">
        <v>1203</v>
      </c>
      <c r="K95" s="572" t="s">
        <v>914</v>
      </c>
      <c r="L95" s="574">
        <f>IFERROR(INDEX('Lower Cask Movement &amp; Logistics'!$I$13:$O$19,MATCH($J95,'Lower Cask Movement &amp; Logistics'!$H$13:$H$19,0),MATCH($K95,'Lower Cask Movement &amp; Logistics'!$H$13:$H$19,0)),"N/A")</f>
        <v>50</v>
      </c>
      <c r="M95" s="1580">
        <f>IFERROR(VLOOKUP($I95,'Lower Cask Movement &amp; Logistics'!$H$4:$I$8,2,FALSE),"N/A")</f>
        <v>0.06</v>
      </c>
      <c r="N95" s="580">
        <f t="shared" si="6"/>
        <v>0.23148148148148148</v>
      </c>
      <c r="O95" s="631"/>
      <c r="P95" s="632" t="str">
        <f>IF($D95="Logistics",VLOOKUP($O95,'Lower Cask Movement &amp; Logistics'!$C$4:$D$54,2,FALSE),"N/A")</f>
        <v>N/A</v>
      </c>
      <c r="R95"/>
      <c r="S95"/>
    </row>
    <row r="96" spans="2:19" s="89" customFormat="1" ht="15" customHeight="1" x14ac:dyDescent="0.4">
      <c r="B96" s="3786"/>
      <c r="C96" s="1275" t="s">
        <v>1733</v>
      </c>
      <c r="D96" s="572" t="s">
        <v>3</v>
      </c>
      <c r="E96" s="578">
        <f t="shared" ref="E96:E102" si="7">MAX($P96,$N96,$H96)</f>
        <v>1.9</v>
      </c>
      <c r="F96" s="578">
        <f>IF($D96="Trigger",VLOOKUP($C96,'Lower Cask Critical Path'!$C$6:$F$427,4,FALSE),E96+F95)</f>
        <v>190.12197698849414</v>
      </c>
      <c r="G96" s="872"/>
      <c r="H96" s="1729" t="s">
        <v>263</v>
      </c>
      <c r="I96" s="1281"/>
      <c r="J96" s="572"/>
      <c r="K96" s="572"/>
      <c r="L96" s="574" t="str">
        <f>IFERROR(INDEX('Lower Cask Movement &amp; Logistics'!$I$13:$O$19,MATCH($J96,'Lower Cask Movement &amp; Logistics'!$H$13:$H$19,0),MATCH($K96,'Lower Cask Movement &amp; Logistics'!$H$13:$H$19,0)),"N/A")</f>
        <v>N/A</v>
      </c>
      <c r="M96" s="1580" t="str">
        <f>IFERROR(VLOOKUP($I96,'Lower Cask Movement &amp; Logistics'!$H$4:$I$8,2,FALSE),"N/A")</f>
        <v>N/A</v>
      </c>
      <c r="N96" s="580" t="str">
        <f t="shared" si="6"/>
        <v>N/A</v>
      </c>
      <c r="O96" s="631" t="s">
        <v>1734</v>
      </c>
      <c r="P96" s="632">
        <f>IF($D96="Logistics",VLOOKUP($O96,'Lower Cask Movement &amp; Logistics'!$C$4:$D$54,2,FALSE),"N/A")</f>
        <v>1.9</v>
      </c>
      <c r="R96"/>
      <c r="S96"/>
    </row>
    <row r="97" spans="1:19" s="89" customFormat="1" ht="15" customHeight="1" x14ac:dyDescent="0.4">
      <c r="B97" s="3786"/>
      <c r="C97" s="1275" t="s">
        <v>1761</v>
      </c>
      <c r="D97" s="572" t="s">
        <v>3</v>
      </c>
      <c r="E97" s="578">
        <f t="shared" si="7"/>
        <v>0.88000000000000012</v>
      </c>
      <c r="F97" s="578">
        <f>IF($D97="Trigger",VLOOKUP($C97,'Lower Cask Critical Path'!$C$6:$F$427,4,FALSE),E97+F96)</f>
        <v>191.00197698849414</v>
      </c>
      <c r="G97" s="872"/>
      <c r="H97" s="1729" t="s">
        <v>263</v>
      </c>
      <c r="I97" s="1281"/>
      <c r="J97" s="572"/>
      <c r="K97" s="572"/>
      <c r="L97" s="574" t="str">
        <f>IFERROR(INDEX('Lower Cask Movement &amp; Logistics'!$I$13:$O$19,MATCH($J97,'Lower Cask Movement &amp; Logistics'!$H$13:$H$19,0),MATCH($K97,'Lower Cask Movement &amp; Logistics'!$H$13:$H$19,0)),"N/A")</f>
        <v>N/A</v>
      </c>
      <c r="M97" s="1580" t="str">
        <f>IFERROR(VLOOKUP($I97,'Lower Cask Movement &amp; Logistics'!$H$4:$I$8,2,FALSE),"N/A")</f>
        <v>N/A</v>
      </c>
      <c r="N97" s="580" t="str">
        <f t="shared" si="6"/>
        <v>N/A</v>
      </c>
      <c r="O97" s="631" t="s">
        <v>1736</v>
      </c>
      <c r="P97" s="632">
        <f>IF($D97="Logistics",VLOOKUP($O97,'Lower Cask Movement &amp; Logistics'!$C$4:$D$54,2,FALSE),"N/A")</f>
        <v>0.88000000000000012</v>
      </c>
      <c r="R97"/>
      <c r="S97"/>
    </row>
    <row r="98" spans="1:19" s="89" customFormat="1" ht="15" customHeight="1" x14ac:dyDescent="0.4">
      <c r="B98" s="3786"/>
      <c r="C98" s="1275" t="s">
        <v>1562</v>
      </c>
      <c r="D98" s="572" t="s">
        <v>3</v>
      </c>
      <c r="E98" s="578">
        <f t="shared" si="7"/>
        <v>2.3000000000000003</v>
      </c>
      <c r="F98" s="578">
        <f>IF($D98="Trigger",VLOOKUP($C98,'Lower Cask Critical Path'!$C$6:$F$427,4,FALSE),E98+F97)</f>
        <v>193.30197698849415</v>
      </c>
      <c r="G98" s="872"/>
      <c r="H98" s="1729" t="s">
        <v>263</v>
      </c>
      <c r="I98" s="1281"/>
      <c r="J98" s="572"/>
      <c r="K98" s="572"/>
      <c r="L98" s="574" t="str">
        <f>IFERROR(INDEX('Lower Cask Movement &amp; Logistics'!$I$13:$O$19,MATCH($J98,'Lower Cask Movement &amp; Logistics'!$H$13:$H$19,0),MATCH($K98,'Lower Cask Movement &amp; Logistics'!$H$13:$H$19,0)),"N/A")</f>
        <v>N/A</v>
      </c>
      <c r="M98" s="1580" t="str">
        <f>IFERROR(VLOOKUP($I98,'Lower Cask Movement &amp; Logistics'!$H$4:$I$8,2,FALSE),"N/A")</f>
        <v>N/A</v>
      </c>
      <c r="N98" s="580" t="str">
        <f t="shared" si="6"/>
        <v>N/A</v>
      </c>
      <c r="O98" s="631" t="s">
        <v>1562</v>
      </c>
      <c r="P98" s="632">
        <f>IF($D98="Logistics",VLOOKUP($O98,'Lower Cask Movement &amp; Logistics'!$C$4:$D$54,2,FALSE),"N/A")</f>
        <v>2.3000000000000003</v>
      </c>
      <c r="R98"/>
      <c r="S98"/>
    </row>
    <row r="99" spans="1:19" s="89" customFormat="1" ht="15" customHeight="1" x14ac:dyDescent="0.4">
      <c r="B99" s="3786"/>
      <c r="C99" s="1275" t="s">
        <v>1751</v>
      </c>
      <c r="D99" s="572" t="s">
        <v>3</v>
      </c>
      <c r="E99" s="578">
        <f t="shared" si="7"/>
        <v>0.58000000000000007</v>
      </c>
      <c r="F99" s="578">
        <f>IF($D99="Trigger",VLOOKUP($C99,'Lower Cask Critical Path'!$C$6:$F$427,4,FALSE),E99+F98)</f>
        <v>193.88197698849416</v>
      </c>
      <c r="G99" s="872"/>
      <c r="H99" s="1729" t="s">
        <v>263</v>
      </c>
      <c r="I99" s="1281"/>
      <c r="J99" s="572"/>
      <c r="K99" s="572"/>
      <c r="L99" s="574" t="str">
        <f>IFERROR(INDEX('Lower Cask Movement &amp; Logistics'!$I$13:$O$19,MATCH($J99,'Lower Cask Movement &amp; Logistics'!$H$13:$H$19,0),MATCH($K99,'Lower Cask Movement &amp; Logistics'!$H$13:$H$19,0)),"N/A")</f>
        <v>N/A</v>
      </c>
      <c r="M99" s="1580" t="str">
        <f>IFERROR(VLOOKUP($I99,'Lower Cask Movement &amp; Logistics'!$H$4:$I$8,2,FALSE),"N/A")</f>
        <v>N/A</v>
      </c>
      <c r="N99" s="580" t="str">
        <f>IF(D99="Movement",IFERROR((L99/M99)/(60*60),"Error"),"N/A")</f>
        <v>N/A</v>
      </c>
      <c r="O99" s="631" t="s">
        <v>1539</v>
      </c>
      <c r="P99" s="632">
        <f>IF($D99="Logistics",VLOOKUP($O99,'Lower Cask Movement &amp; Logistics'!$C$4:$D$54,2,FALSE),"N/A")</f>
        <v>0.58000000000000007</v>
      </c>
      <c r="R99"/>
      <c r="S99"/>
    </row>
    <row r="100" spans="1:19" s="89" customFormat="1" ht="15" customHeight="1" x14ac:dyDescent="0.4">
      <c r="B100" s="3786"/>
      <c r="C100" s="1275" t="s">
        <v>1737</v>
      </c>
      <c r="D100" s="572" t="s">
        <v>778</v>
      </c>
      <c r="E100" s="578">
        <f t="shared" si="7"/>
        <v>2.7777777777777776E-2</v>
      </c>
      <c r="F100" s="578">
        <f>IF($D100="Trigger",VLOOKUP($C100,'Lower Cask Critical Path'!$C$6:$F$427,4,FALSE),E100+F99)</f>
        <v>193.90975476627193</v>
      </c>
      <c r="G100" s="872"/>
      <c r="H100" s="1729" t="s">
        <v>263</v>
      </c>
      <c r="I100" s="1281" t="s">
        <v>1738</v>
      </c>
      <c r="J100" s="572" t="s">
        <v>914</v>
      </c>
      <c r="K100" s="572" t="s">
        <v>799</v>
      </c>
      <c r="L100" s="574">
        <f>IFERROR(INDEX('Lower Cask Movement &amp; Logistics'!$I$13:$O$19,MATCH($J100,'Lower Cask Movement &amp; Logistics'!$H$13:$H$19,0),MATCH($K100,'Lower Cask Movement &amp; Logistics'!$H$13:$H$19,0)),"N/A")</f>
        <v>20</v>
      </c>
      <c r="M100" s="1580">
        <f>IFERROR(VLOOKUP($I100,'Lower Cask Movement &amp; Logistics'!$H$4:$I$8,2,FALSE),"N/A")</f>
        <v>0.2</v>
      </c>
      <c r="N100" s="580">
        <f t="shared" si="6"/>
        <v>2.7777777777777776E-2</v>
      </c>
      <c r="O100" s="631"/>
      <c r="P100" s="632" t="str">
        <f>IF($D100="Logistics",VLOOKUP($O100,'Lower Cask Movement &amp; Logistics'!$C$4:$D$54,2,FALSE),"N/A")</f>
        <v>N/A</v>
      </c>
      <c r="R100"/>
      <c r="S100"/>
    </row>
    <row r="101" spans="1:19" s="89" customFormat="1" x14ac:dyDescent="0.4">
      <c r="B101" s="3786"/>
      <c r="C101" s="572" t="s">
        <v>1762</v>
      </c>
      <c r="D101" s="572" t="s">
        <v>3</v>
      </c>
      <c r="E101" s="578">
        <f t="shared" si="7"/>
        <v>0.88000000000000012</v>
      </c>
      <c r="F101" s="578">
        <f>IF($D101="Trigger",VLOOKUP($C101,'Lower Cask Critical Path'!$C$6:$F$427,4,FALSE),E101+F100)</f>
        <v>194.78975476627193</v>
      </c>
      <c r="G101" s="575"/>
      <c r="H101" s="1729" t="s">
        <v>263</v>
      </c>
      <c r="I101" s="1281"/>
      <c r="J101" s="572"/>
      <c r="K101" s="572"/>
      <c r="L101" s="574" t="str">
        <f>IFERROR(INDEX('Lower Cask Movement &amp; Logistics'!$I$13:$O$19,MATCH($J101,'Lower Cask Movement &amp; Logistics'!$H$13:$H$19,0),MATCH($K101,'Lower Cask Movement &amp; Logistics'!$H$13:$H$19,0)),"N/A")</f>
        <v>N/A</v>
      </c>
      <c r="M101" s="1580" t="str">
        <f>IFERROR(VLOOKUP($I101,'Lower Cask Movement &amp; Logistics'!$H$4:$I$8,2,FALSE),"N/A")</f>
        <v>N/A</v>
      </c>
      <c r="N101" s="580" t="str">
        <f t="shared" si="6"/>
        <v>N/A</v>
      </c>
      <c r="O101" s="579" t="s">
        <v>1730</v>
      </c>
      <c r="P101" s="632">
        <f>IF($D101="Logistics",VLOOKUP($O101,'Lower Cask Movement &amp; Logistics'!$C$4:$D$54,2,FALSE),"N/A")</f>
        <v>0.88000000000000012</v>
      </c>
      <c r="R101"/>
      <c r="S101"/>
    </row>
    <row r="102" spans="1:19" s="89" customFormat="1" x14ac:dyDescent="0.4">
      <c r="B102" s="3786"/>
      <c r="C102" s="572" t="s">
        <v>1763</v>
      </c>
      <c r="D102" s="572" t="s">
        <v>778</v>
      </c>
      <c r="E102" s="578">
        <f t="shared" si="7"/>
        <v>0.69444444444444442</v>
      </c>
      <c r="F102" s="578">
        <f>IF($D102="Trigger",VLOOKUP($C102,'Lower Cask Critical Path'!$C$6:$F$427,4,FALSE),E102+F101)</f>
        <v>195.48419921071638</v>
      </c>
      <c r="G102" s="575"/>
      <c r="H102" s="1729" t="s">
        <v>263</v>
      </c>
      <c r="I102" s="1281" t="s">
        <v>1538</v>
      </c>
      <c r="J102" s="572" t="s">
        <v>799</v>
      </c>
      <c r="K102" s="572" t="s">
        <v>1203</v>
      </c>
      <c r="L102" s="574">
        <f>IFERROR(INDEX('Lower Cask Movement &amp; Logistics'!$I$13:$O$19,MATCH($J102,'Lower Cask Movement &amp; Logistics'!$H$13:$H$19,0),MATCH($K102,'Lower Cask Movement &amp; Logistics'!$H$13:$H$19,0)),"N/A")</f>
        <v>50</v>
      </c>
      <c r="M102" s="1580">
        <f>IFERROR(VLOOKUP($I102,'Lower Cask Movement &amp; Logistics'!$H$4:$I$8,2,FALSE),"N/A")</f>
        <v>0.02</v>
      </c>
      <c r="N102" s="580">
        <f t="shared" si="6"/>
        <v>0.69444444444444442</v>
      </c>
      <c r="O102" s="579"/>
      <c r="P102" s="632" t="str">
        <f>IF($D102="Logistics",VLOOKUP($O102,'Lower Cask Movement &amp; Logistics'!$C$4:$D$54,2,FALSE),"N/A")</f>
        <v>N/A</v>
      </c>
      <c r="R102"/>
      <c r="S102"/>
    </row>
    <row r="103" spans="1:19" s="89" customFormat="1" ht="26.6" thickBot="1" x14ac:dyDescent="0.45">
      <c r="B103" s="3788"/>
      <c r="C103" s="583" t="s">
        <v>1636</v>
      </c>
      <c r="D103" s="583" t="s">
        <v>11</v>
      </c>
      <c r="E103" s="585">
        <f>MAX($P103,$N103,$H103)</f>
        <v>0</v>
      </c>
      <c r="F103" s="585">
        <f>IF($D103="Trigger",VLOOKUP($C103,'Lower Cask Critical Path'!$C$6:$F$427,4,FALSE),E103+F102)</f>
        <v>195.48419921071638</v>
      </c>
      <c r="G103" s="586"/>
      <c r="H103" s="587" t="s">
        <v>263</v>
      </c>
      <c r="I103" s="1720"/>
      <c r="J103" s="583"/>
      <c r="K103" s="583"/>
      <c r="L103" s="588" t="str">
        <f>IFERROR(INDEX('Lower Cask Movement &amp; Logistics'!$I$13:$O$19,MATCH($J103,'Lower Cask Movement &amp; Logistics'!$H$13:$H$19,0),MATCH($K103,'Lower Cask Movement &amp; Logistics'!$H$13:$H$19,0)),"N/A")</f>
        <v>N/A</v>
      </c>
      <c r="M103" s="588" t="str">
        <f>IFERROR(VLOOKUP($I103,'Lower Cask Movement &amp; Logistics'!$H$4:$I$8,2,FALSE),"N/A")</f>
        <v>N/A</v>
      </c>
      <c r="N103" s="589" t="str">
        <f>IF(D103="Movement",IFERROR((L103/M103)/(60*60),"Error"),"N/A")</f>
        <v>N/A</v>
      </c>
      <c r="O103" s="590"/>
      <c r="P103" s="1345" t="str">
        <f>IF($D103="Logistics",VLOOKUP($O103,'Lower Cask Movement &amp; Logistics'!$C$4:$D$54,2,FALSE),"N/A")</f>
        <v>N/A</v>
      </c>
      <c r="R103"/>
      <c r="S103"/>
    </row>
    <row r="104" spans="1:19" s="89" customFormat="1" x14ac:dyDescent="0.4">
      <c r="B104" s="3817"/>
      <c r="C104" s="520"/>
      <c r="D104" s="520"/>
      <c r="E104" s="521"/>
      <c r="F104" s="521"/>
      <c r="G104" s="523"/>
      <c r="H104" s="523"/>
      <c r="I104" s="523"/>
      <c r="J104" s="523"/>
      <c r="K104" s="523"/>
      <c r="L104" s="523"/>
      <c r="M104" s="523"/>
      <c r="N104" s="523"/>
      <c r="O104" s="523"/>
      <c r="P104" s="1732" t="str">
        <f>IF($D104="Logistics",VLOOKUP($O104,'Lower Cask Movement &amp; Logistics'!$C$4:$D$54,2,FALSE),"N/A")</f>
        <v>N/A</v>
      </c>
      <c r="R104"/>
      <c r="S104"/>
    </row>
    <row r="105" spans="1:19" s="89" customFormat="1" x14ac:dyDescent="0.4">
      <c r="B105" s="3818"/>
      <c r="C105" s="1733"/>
      <c r="D105" s="1734"/>
      <c r="E105" s="528"/>
      <c r="F105" s="1735"/>
      <c r="G105" s="530"/>
      <c r="H105" s="530"/>
      <c r="I105" s="530"/>
      <c r="J105" s="530"/>
      <c r="K105" s="530"/>
      <c r="L105" s="530"/>
      <c r="M105" s="530"/>
      <c r="N105" s="530"/>
      <c r="O105" s="530"/>
      <c r="P105" s="1736" t="str">
        <f>IF($D105="Logistics",VLOOKUP($O105,'Lower Cask Movement &amp; Logistics'!$C$4:$D$54,2,FALSE),"N/A")</f>
        <v>N/A</v>
      </c>
      <c r="R105"/>
      <c r="S105"/>
    </row>
    <row r="106" spans="1:19" s="89" customFormat="1" x14ac:dyDescent="0.4">
      <c r="B106" s="3818"/>
      <c r="C106" s="1733"/>
      <c r="D106" s="1734"/>
      <c r="E106" s="528"/>
      <c r="F106" s="1735"/>
      <c r="G106" s="527"/>
      <c r="H106" s="527"/>
      <c r="I106" s="527"/>
      <c r="J106" s="527"/>
      <c r="K106" s="527"/>
      <c r="L106" s="527"/>
      <c r="M106" s="527"/>
      <c r="N106" s="527"/>
      <c r="O106" s="527"/>
      <c r="P106" s="1736" t="str">
        <f>IF($D106="Logistics",VLOOKUP($O106,'Lower Cask Movement &amp; Logistics'!$C$4:$D$54,2,FALSE),"N/A")</f>
        <v>N/A</v>
      </c>
      <c r="R106"/>
      <c r="S106"/>
    </row>
    <row r="107" spans="1:19" s="89" customFormat="1" ht="15" thickBot="1" x14ac:dyDescent="0.45">
      <c r="B107" s="3819"/>
      <c r="C107" s="633"/>
      <c r="D107" s="633"/>
      <c r="E107" s="1737"/>
      <c r="F107" s="1737"/>
      <c r="G107" s="633"/>
      <c r="H107" s="633"/>
      <c r="I107" s="633"/>
      <c r="J107" s="633"/>
      <c r="K107" s="633"/>
      <c r="L107" s="633"/>
      <c r="M107" s="633"/>
      <c r="N107" s="633"/>
      <c r="O107" s="633"/>
      <c r="P107" s="1738" t="str">
        <f>IF($D107="Logistics",VLOOKUP($O107,'Lower Cask Movement &amp; Logistics'!$C$4:$D$54,2,FALSE),"N/A")</f>
        <v>N/A</v>
      </c>
      <c r="R107"/>
      <c r="S107"/>
    </row>
    <row r="108" spans="1:19" s="8" customFormat="1" x14ac:dyDescent="0.4">
      <c r="A108" s="624"/>
      <c r="B108" s="3787" t="s">
        <v>1644</v>
      </c>
      <c r="C108" s="617" t="s">
        <v>272</v>
      </c>
      <c r="D108" s="617" t="s">
        <v>907</v>
      </c>
      <c r="E108" s="567">
        <f t="shared" ref="E108:E126" si="8">MAX($P108,$N108,$H108)</f>
        <v>0</v>
      </c>
      <c r="F108" s="1621">
        <f>IF($D108="Trigger",VLOOKUP($C108,'Lower Cask Critical Path'!$C$6:$F$427,4,FALSE),E108+F107)</f>
        <v>0</v>
      </c>
      <c r="G108" s="568"/>
      <c r="H108" s="569" t="s">
        <v>263</v>
      </c>
      <c r="I108" s="1270"/>
      <c r="J108" s="617"/>
      <c r="K108" s="617"/>
      <c r="L108" s="618" t="str">
        <f>IFERROR(INDEX('Lower Cask Movement &amp; Logistics'!$I$13:$O$19,MATCH($J108,'Lower Cask Movement &amp; Logistics'!$H$13:$H$19,0),MATCH($K108,'Lower Cask Movement &amp; Logistics'!$H$13:$H$19,0)),"N/A")</f>
        <v>N/A</v>
      </c>
      <c r="M108" s="618" t="str">
        <f>IFERROR(VLOOKUP($I108,'Lower Cask Movement &amp; Logistics'!$H$4:$I$8,2,FALSE),"N/A")</f>
        <v>N/A</v>
      </c>
      <c r="N108" s="619" t="str">
        <f>IF(D108="Movement",IFERROR((L108/M108)/(60*60),"Error"),"N/A")</f>
        <v>N/A</v>
      </c>
      <c r="O108" s="620"/>
      <c r="P108" s="621" t="str">
        <f>IF($D108="Logistics",VLOOKUP($O108,'Lower Cask Movement &amp; Logistics'!$C$4:$D$54,2,FALSE),"N/A")</f>
        <v>N/A</v>
      </c>
      <c r="Q108" s="624"/>
    </row>
    <row r="109" spans="1:19" s="8" customFormat="1" x14ac:dyDescent="0.4">
      <c r="A109" s="624"/>
      <c r="B109" s="3786"/>
      <c r="C109" s="572" t="s">
        <v>1764</v>
      </c>
      <c r="D109" s="572" t="s">
        <v>3</v>
      </c>
      <c r="E109" s="574">
        <f t="shared" si="8"/>
        <v>0.78</v>
      </c>
      <c r="F109" s="1284">
        <f>IF($D109="Trigger",VLOOKUP($C109,'Lower Cask Critical Path'!$C$6:$F$427,4,FALSE),E109+F108)</f>
        <v>0.78</v>
      </c>
      <c r="G109" s="575"/>
      <c r="H109" s="576" t="s">
        <v>263</v>
      </c>
      <c r="I109" s="1281"/>
      <c r="J109" s="572"/>
      <c r="K109" s="572"/>
      <c r="L109" s="577" t="str">
        <f>IFERROR(INDEX('Lower Cask Movement &amp; Logistics'!$I$13:$O$19,MATCH($J109,'Lower Cask Movement &amp; Logistics'!$H$13:$H$19,0),MATCH($K109,'Lower Cask Movement &amp; Logistics'!$H$13:$H$19,0)),"N/A")</f>
        <v>N/A</v>
      </c>
      <c r="M109" s="577" t="str">
        <f>IFERROR(VLOOKUP($I109,'Lower Cask Movement &amp; Logistics'!$H$4:$I$8,2,FALSE),"N/A")</f>
        <v>N/A</v>
      </c>
      <c r="N109" s="578" t="str">
        <f>IF(D109="Movement",IFERROR((L109/M109)/(60*60),"Error"),"N/A")</f>
        <v>N/A</v>
      </c>
      <c r="O109" s="579" t="s">
        <v>1740</v>
      </c>
      <c r="P109" s="580">
        <f>IF($D109="Logistics",VLOOKUP($O109,'Lower Cask Movement &amp; Logistics'!$C$4:$D$54,2,FALSE),"N/A")</f>
        <v>0.78</v>
      </c>
      <c r="Q109" s="624"/>
    </row>
    <row r="110" spans="1:19" s="8" customFormat="1" x14ac:dyDescent="0.4">
      <c r="A110" s="624"/>
      <c r="B110" s="3786"/>
      <c r="C110" s="572" t="s">
        <v>1765</v>
      </c>
      <c r="D110" s="572" t="s">
        <v>778</v>
      </c>
      <c r="E110" s="574">
        <f t="shared" si="8"/>
        <v>0.69444444444444442</v>
      </c>
      <c r="F110" s="574">
        <f>IF($D110="Trigger",VLOOKUP($C110,'Lower Cask Critical Path'!$C$6:$F$427,4,FALSE),E110+F109)</f>
        <v>1.4744444444444444</v>
      </c>
      <c r="G110" s="575"/>
      <c r="H110" s="576" t="s">
        <v>263</v>
      </c>
      <c r="I110" s="1281" t="s">
        <v>1538</v>
      </c>
      <c r="J110" s="572" t="s">
        <v>799</v>
      </c>
      <c r="K110" s="572" t="s">
        <v>1203</v>
      </c>
      <c r="L110" s="577">
        <f>IFERROR(INDEX('Lower Cask Movement &amp; Logistics'!$I$13:$O$19,MATCH($J110,'Lower Cask Movement &amp; Logistics'!$H$13:$H$19,0),MATCH($K110,'Lower Cask Movement &amp; Logistics'!$H$13:$H$19,0)),"N/A")</f>
        <v>50</v>
      </c>
      <c r="M110" s="577">
        <f>IFERROR(VLOOKUP($I110,'Lower Cask Movement &amp; Logistics'!$H$4:$I$8,2,FALSE),"N/A")</f>
        <v>0.02</v>
      </c>
      <c r="N110" s="578">
        <f>IF(D110="Movement",IFERROR((L110/M110)/(60*60),"Error"),"N/A")</f>
        <v>0.69444444444444442</v>
      </c>
      <c r="O110" s="579"/>
      <c r="P110" s="580" t="str">
        <f>IF($D110="Logistics",VLOOKUP($O110,'Lower Cask Movement &amp; Logistics'!$C$4:$D$54,2,FALSE),"N/A")</f>
        <v>N/A</v>
      </c>
      <c r="Q110" s="624"/>
    </row>
    <row r="111" spans="1:19" s="8" customFormat="1" ht="15" thickBot="1" x14ac:dyDescent="0.45">
      <c r="A111" s="624"/>
      <c r="B111" s="3788"/>
      <c r="C111" s="583" t="s">
        <v>1644</v>
      </c>
      <c r="D111" s="583" t="s">
        <v>11</v>
      </c>
      <c r="E111" s="585">
        <f t="shared" si="8"/>
        <v>0</v>
      </c>
      <c r="F111" s="585">
        <f>IF($D111="Trigger",VLOOKUP($C111,'Lower Cask Critical Path'!$C$6:$F$427,4,FALSE),E111+F110)</f>
        <v>1.4744444444444444</v>
      </c>
      <c r="G111" s="586"/>
      <c r="H111" s="587" t="s">
        <v>263</v>
      </c>
      <c r="I111" s="1720"/>
      <c r="J111" s="583"/>
      <c r="K111" s="583"/>
      <c r="L111" s="588" t="str">
        <f>IFERROR(INDEX('Lower Cask Movement &amp; Logistics'!$I$13:$O$19,MATCH($J111,'Lower Cask Movement &amp; Logistics'!$H$13:$H$19,0),MATCH($K111,'Lower Cask Movement &amp; Logistics'!$H$13:$H$19,0)),"N/A")</f>
        <v>N/A</v>
      </c>
      <c r="M111" s="588" t="str">
        <f>IFERROR(VLOOKUP($I111,'Lower Cask Movement &amp; Logistics'!$H$4:$I$8,2,FALSE),"N/A")</f>
        <v>N/A</v>
      </c>
      <c r="N111" s="589" t="str">
        <f>IF(D111="Movement",IFERROR((L111/M111)/(60*60),"Error"),"N/A")</f>
        <v>N/A</v>
      </c>
      <c r="O111" s="590"/>
      <c r="P111" s="591" t="str">
        <f>IF($D111="Logistics",VLOOKUP($O111,'Lower Cask Movement &amp; Logistics'!$C$4:$D$54,2,FALSE),"N/A")</f>
        <v>N/A</v>
      </c>
      <c r="Q111" s="624"/>
    </row>
    <row r="112" spans="1:19" x14ac:dyDescent="0.4">
      <c r="A112" s="88"/>
      <c r="B112" s="3820" t="s">
        <v>1675</v>
      </c>
      <c r="C112" s="596" t="s">
        <v>272</v>
      </c>
      <c r="D112" s="596" t="s">
        <v>907</v>
      </c>
      <c r="E112" s="593">
        <f t="shared" si="8"/>
        <v>0</v>
      </c>
      <c r="F112" s="593">
        <f>IF($D112="Trigger",VLOOKUP($C112,'Lower Cask Critical Path'!$C$6:$F$427,4,FALSE),E112+F111)</f>
        <v>0</v>
      </c>
      <c r="G112" s="594"/>
      <c r="H112" s="595" t="s">
        <v>263</v>
      </c>
      <c r="I112" s="596"/>
      <c r="J112" s="596"/>
      <c r="K112" s="596"/>
      <c r="L112" s="597" t="s">
        <v>263</v>
      </c>
      <c r="M112" s="597" t="s">
        <v>263</v>
      </c>
      <c r="N112" s="598" t="str">
        <f t="shared" ref="N112:N126" si="9">IF(D112="Movement",IFERROR((L112/M112)/(60*60),"Error"),"N/A")</f>
        <v>N/A</v>
      </c>
      <c r="O112" s="599"/>
      <c r="P112" s="600" t="str">
        <f>IF($D112="Logistics",VLOOKUP($O112,'Lower Cask Movement &amp; Logistics'!$C$4:$D$54,2,FALSE),"N/A")</f>
        <v>N/A</v>
      </c>
    </row>
    <row r="113" spans="1:17" x14ac:dyDescent="0.4">
      <c r="A113" s="88"/>
      <c r="B113" s="3821"/>
      <c r="C113" s="622" t="s">
        <v>944</v>
      </c>
      <c r="D113" s="622" t="s">
        <v>251</v>
      </c>
      <c r="E113" s="602">
        <f t="shared" si="8"/>
        <v>43.966111111111097</v>
      </c>
      <c r="F113" s="602">
        <f>IF($D113="Trigger",VLOOKUP($C113,'Lower Cask Critical Path'!$C$6:$F$427,4,FALSE),E113+F112)</f>
        <v>43.966111111111097</v>
      </c>
      <c r="G113" s="603" t="s">
        <v>134</v>
      </c>
      <c r="H113" s="608">
        <f>VLOOKUP(G113, 'Upper Hot Cell Critical Path'!C:F, 4, FALSE)</f>
        <v>43.966111111111097</v>
      </c>
      <c r="I113" s="601"/>
      <c r="J113" s="601"/>
      <c r="K113" s="601"/>
      <c r="L113" s="605" t="s">
        <v>263</v>
      </c>
      <c r="M113" s="605" t="s">
        <v>263</v>
      </c>
      <c r="N113" s="606" t="str">
        <f t="shared" si="9"/>
        <v>N/A</v>
      </c>
      <c r="O113" s="607"/>
      <c r="P113" s="608" t="str">
        <f>IF($D113="Logistics",VLOOKUP($O113,'Lower Cask Movement &amp; Logistics'!$C$4:$D$54,2,FALSE),"N/A")</f>
        <v>N/A</v>
      </c>
    </row>
    <row r="114" spans="1:17" ht="15" thickBot="1" x14ac:dyDescent="0.45">
      <c r="A114" s="88"/>
      <c r="B114" s="3822"/>
      <c r="C114" s="609" t="s">
        <v>1675</v>
      </c>
      <c r="D114" s="609" t="s">
        <v>11</v>
      </c>
      <c r="E114" s="602">
        <f t="shared" si="8"/>
        <v>0</v>
      </c>
      <c r="F114" s="602">
        <f>IF($D114="Trigger",VLOOKUP($C114,'Lower Cask Critical Path'!$C$6:$F$427,4,FALSE),E114+F113)</f>
        <v>43.966111111111097</v>
      </c>
      <c r="G114" s="603"/>
      <c r="H114" s="604" t="s">
        <v>263</v>
      </c>
      <c r="I114" s="601"/>
      <c r="J114" s="601"/>
      <c r="K114" s="601"/>
      <c r="L114" s="605" t="s">
        <v>263</v>
      </c>
      <c r="M114" s="605" t="s">
        <v>263</v>
      </c>
      <c r="N114" s="606" t="str">
        <f t="shared" si="9"/>
        <v>N/A</v>
      </c>
      <c r="O114" s="607"/>
      <c r="P114" s="608" t="str">
        <f>IF($D114="Logistics",VLOOKUP($O114,'Lower Cask Movement &amp; Logistics'!$C$4:$D$54,2,FALSE),"N/A")</f>
        <v>N/A</v>
      </c>
    </row>
    <row r="115" spans="1:17" s="8" customFormat="1" x14ac:dyDescent="0.4">
      <c r="A115" s="623"/>
      <c r="B115" s="3787" t="s">
        <v>1671</v>
      </c>
      <c r="C115" s="596" t="s">
        <v>272</v>
      </c>
      <c r="D115" s="617" t="s">
        <v>907</v>
      </c>
      <c r="E115" s="567">
        <f t="shared" si="8"/>
        <v>0</v>
      </c>
      <c r="F115" s="567">
        <f>IF($D115="Trigger",VLOOKUP($C115,'Lower Cask Critical Path'!$C$6:$F$427,4,FALSE),E115+F114)</f>
        <v>0</v>
      </c>
      <c r="G115" s="568"/>
      <c r="H115" s="569" t="s">
        <v>263</v>
      </c>
      <c r="I115" s="617"/>
      <c r="J115" s="617"/>
      <c r="K115" s="617"/>
      <c r="L115" s="618" t="s">
        <v>263</v>
      </c>
      <c r="M115" s="618" t="s">
        <v>263</v>
      </c>
      <c r="N115" s="619" t="str">
        <f t="shared" si="9"/>
        <v>N/A</v>
      </c>
      <c r="O115" s="620"/>
      <c r="P115" s="621" t="str">
        <f>IF($D115="Logistics",VLOOKUP($O115,'Lower Cask Movement &amp; Logistics'!$C$4:$D$54,2,FALSE),"N/A")</f>
        <v>N/A</v>
      </c>
      <c r="Q115" s="624"/>
    </row>
    <row r="116" spans="1:17" s="8" customFormat="1" x14ac:dyDescent="0.4">
      <c r="A116" s="623"/>
      <c r="B116" s="3786"/>
      <c r="C116" s="625" t="s">
        <v>946</v>
      </c>
      <c r="D116" s="625" t="s">
        <v>251</v>
      </c>
      <c r="E116" s="574">
        <f t="shared" si="8"/>
        <v>38.941666666666656</v>
      </c>
      <c r="F116" s="574">
        <f>IF($D116="Trigger",VLOOKUP($C116,'Lower Cask Critical Path'!$C$6:$F$427,4,FALSE),E116+F115)</f>
        <v>38.941666666666656</v>
      </c>
      <c r="G116" s="575" t="s">
        <v>133</v>
      </c>
      <c r="H116" s="580">
        <f>VLOOKUP(G116, 'Upper Hot Cell Critical Path'!C:F, 4, FALSE)</f>
        <v>38.941666666666656</v>
      </c>
      <c r="I116" s="572"/>
      <c r="J116" s="572"/>
      <c r="K116" s="572"/>
      <c r="L116" s="577" t="s">
        <v>263</v>
      </c>
      <c r="M116" s="577" t="s">
        <v>263</v>
      </c>
      <c r="N116" s="578" t="str">
        <f t="shared" si="9"/>
        <v>N/A</v>
      </c>
      <c r="O116" s="579"/>
      <c r="P116" s="580" t="str">
        <f>IF($D116="Logistics",VLOOKUP($O116,'Lower Cask Movement &amp; Logistics'!$C$4:$D$54,2,FALSE),"N/A")</f>
        <v>N/A</v>
      </c>
      <c r="Q116" s="624"/>
    </row>
    <row r="117" spans="1:17" s="8" customFormat="1" ht="15" thickBot="1" x14ac:dyDescent="0.45">
      <c r="A117" s="623"/>
      <c r="B117" s="3788"/>
      <c r="C117" s="583" t="s">
        <v>1671</v>
      </c>
      <c r="D117" s="583" t="s">
        <v>11</v>
      </c>
      <c r="E117" s="574">
        <f t="shared" si="8"/>
        <v>0</v>
      </c>
      <c r="F117" s="574">
        <f>IF($D117="Trigger",VLOOKUP($C117,'Lower Cask Critical Path'!$C$6:$F$427,4,FALSE),E117+F116)</f>
        <v>38.941666666666656</v>
      </c>
      <c r="G117" s="575"/>
      <c r="H117" s="576" t="s">
        <v>263</v>
      </c>
      <c r="I117" s="572"/>
      <c r="J117" s="572"/>
      <c r="K117" s="572"/>
      <c r="L117" s="577" t="s">
        <v>263</v>
      </c>
      <c r="M117" s="577" t="s">
        <v>263</v>
      </c>
      <c r="N117" s="578" t="str">
        <f t="shared" si="9"/>
        <v>N/A</v>
      </c>
      <c r="O117" s="579"/>
      <c r="P117" s="580" t="str">
        <f>IF($D117="Logistics",VLOOKUP($O117,'Lower Cask Movement &amp; Logistics'!$C$4:$D$54,2,FALSE),"N/A")</f>
        <v>N/A</v>
      </c>
      <c r="Q117" s="624"/>
    </row>
    <row r="118" spans="1:17" x14ac:dyDescent="0.4">
      <c r="A118" s="88"/>
      <c r="B118" s="3820" t="s">
        <v>1668</v>
      </c>
      <c r="C118" s="596" t="s">
        <v>272</v>
      </c>
      <c r="D118" s="596" t="s">
        <v>907</v>
      </c>
      <c r="E118" s="593">
        <f t="shared" si="8"/>
        <v>0</v>
      </c>
      <c r="F118" s="593">
        <f>IF($D118="Trigger",VLOOKUP($C118,'Lower Cask Critical Path'!$C$6:$F$427,4,FALSE),E118+F117)</f>
        <v>0</v>
      </c>
      <c r="G118" s="594"/>
      <c r="H118" s="595" t="s">
        <v>263</v>
      </c>
      <c r="I118" s="596"/>
      <c r="J118" s="596"/>
      <c r="K118" s="596"/>
      <c r="L118" s="597" t="s">
        <v>263</v>
      </c>
      <c r="M118" s="597" t="s">
        <v>263</v>
      </c>
      <c r="N118" s="598" t="str">
        <f t="shared" si="9"/>
        <v>N/A</v>
      </c>
      <c r="O118" s="599"/>
      <c r="P118" s="600" t="str">
        <f>IF($D118="Logistics",VLOOKUP($O118,'Lower Cask Movement &amp; Logistics'!$C$4:$D$54,2,FALSE),"N/A")</f>
        <v>N/A</v>
      </c>
    </row>
    <row r="119" spans="1:17" x14ac:dyDescent="0.4">
      <c r="A119" s="88"/>
      <c r="B119" s="3821"/>
      <c r="C119" s="622" t="s">
        <v>948</v>
      </c>
      <c r="D119" s="622" t="s">
        <v>251</v>
      </c>
      <c r="E119" s="602">
        <f t="shared" si="8"/>
        <v>33.917222222222215</v>
      </c>
      <c r="F119" s="602">
        <f>IF($D119="Trigger",VLOOKUP($C119,'Lower Cask Critical Path'!$C$6:$F$427,4,FALSE),E119+F118)</f>
        <v>33.917222222222215</v>
      </c>
      <c r="G119" s="603" t="s">
        <v>137</v>
      </c>
      <c r="H119" s="608">
        <f>VLOOKUP(G119, 'Upper Hot Cell Critical Path'!C:F, 4, FALSE)</f>
        <v>33.917222222222215</v>
      </c>
      <c r="I119" s="601"/>
      <c r="J119" s="601"/>
      <c r="K119" s="601"/>
      <c r="L119" s="605" t="s">
        <v>263</v>
      </c>
      <c r="M119" s="605" t="s">
        <v>263</v>
      </c>
      <c r="N119" s="606" t="str">
        <f t="shared" si="9"/>
        <v>N/A</v>
      </c>
      <c r="O119" s="607"/>
      <c r="P119" s="608" t="str">
        <f>IF($D119="Logistics",VLOOKUP($O119,'Lower Cask Movement &amp; Logistics'!$C$4:$D$54,2,FALSE),"N/A")</f>
        <v>N/A</v>
      </c>
    </row>
    <row r="120" spans="1:17" ht="15" thickBot="1" x14ac:dyDescent="0.45">
      <c r="A120" s="88"/>
      <c r="B120" s="3822"/>
      <c r="C120" s="609" t="s">
        <v>1668</v>
      </c>
      <c r="D120" s="609" t="s">
        <v>11</v>
      </c>
      <c r="E120" s="602">
        <f t="shared" si="8"/>
        <v>0</v>
      </c>
      <c r="F120" s="602">
        <f>IF($D120="Trigger",VLOOKUP($C120,'Lower Cask Critical Path'!$C$6:$F$427,4,FALSE),E120+F119)</f>
        <v>33.917222222222215</v>
      </c>
      <c r="G120" s="603"/>
      <c r="H120" s="604" t="s">
        <v>263</v>
      </c>
      <c r="I120" s="601"/>
      <c r="J120" s="601"/>
      <c r="K120" s="601"/>
      <c r="L120" s="605" t="s">
        <v>263</v>
      </c>
      <c r="M120" s="605" t="s">
        <v>263</v>
      </c>
      <c r="N120" s="606" t="str">
        <f t="shared" si="9"/>
        <v>N/A</v>
      </c>
      <c r="O120" s="607"/>
      <c r="P120" s="608" t="str">
        <f>IF($D120="Logistics",VLOOKUP($O120,'Lower Cask Movement &amp; Logistics'!$C$4:$D$54,2,FALSE),"N/A")</f>
        <v>N/A</v>
      </c>
    </row>
    <row r="121" spans="1:17" s="8" customFormat="1" x14ac:dyDescent="0.4">
      <c r="A121" s="623"/>
      <c r="B121" s="3787" t="s">
        <v>1655</v>
      </c>
      <c r="C121" s="596" t="s">
        <v>272</v>
      </c>
      <c r="D121" s="617" t="s">
        <v>907</v>
      </c>
      <c r="E121" s="567">
        <f t="shared" si="8"/>
        <v>0</v>
      </c>
      <c r="F121" s="567">
        <f>IF($D121="Trigger",VLOOKUP($C121,'Lower Cask Critical Path'!$C$6:$F$427,4,FALSE),E121+F120)</f>
        <v>0</v>
      </c>
      <c r="G121" s="568"/>
      <c r="H121" s="569" t="s">
        <v>263</v>
      </c>
      <c r="I121" s="617"/>
      <c r="J121" s="617"/>
      <c r="K121" s="617"/>
      <c r="L121" s="618" t="s">
        <v>263</v>
      </c>
      <c r="M121" s="618" t="s">
        <v>263</v>
      </c>
      <c r="N121" s="619" t="str">
        <f t="shared" si="9"/>
        <v>N/A</v>
      </c>
      <c r="O121" s="620"/>
      <c r="P121" s="621" t="str">
        <f>IF($D121="Logistics",VLOOKUP($O121,'Lower Cask Movement &amp; Logistics'!$C$4:$D$54,2,FALSE),"N/A")</f>
        <v>N/A</v>
      </c>
      <c r="Q121" s="624"/>
    </row>
    <row r="122" spans="1:17" s="8" customFormat="1" x14ac:dyDescent="0.4">
      <c r="A122" s="623"/>
      <c r="B122" s="3786"/>
      <c r="C122" s="625" t="s">
        <v>950</v>
      </c>
      <c r="D122" s="625" t="s">
        <v>251</v>
      </c>
      <c r="E122" s="574">
        <f t="shared" si="8"/>
        <v>28.892777777777773</v>
      </c>
      <c r="F122" s="574">
        <f>IF($D122="Trigger",VLOOKUP($C122,'Lower Cask Critical Path'!$C$6:$F$427,4,FALSE),E122+F121)</f>
        <v>28.892777777777773</v>
      </c>
      <c r="G122" s="575" t="s">
        <v>139</v>
      </c>
      <c r="H122" s="580">
        <f>VLOOKUP(G122, 'Upper Hot Cell Critical Path'!C:F, 4, FALSE)</f>
        <v>28.892777777777773</v>
      </c>
      <c r="I122" s="572"/>
      <c r="J122" s="572"/>
      <c r="K122" s="572"/>
      <c r="L122" s="577" t="s">
        <v>263</v>
      </c>
      <c r="M122" s="577" t="s">
        <v>263</v>
      </c>
      <c r="N122" s="578" t="str">
        <f t="shared" si="9"/>
        <v>N/A</v>
      </c>
      <c r="O122" s="579"/>
      <c r="P122" s="580" t="str">
        <f>IF($D122="Logistics",VLOOKUP($O122,'Lower Cask Movement &amp; Logistics'!$C$4:$D$54,2,FALSE),"N/A")</f>
        <v>N/A</v>
      </c>
      <c r="Q122" s="624"/>
    </row>
    <row r="123" spans="1:17" s="8" customFormat="1" ht="15" thickBot="1" x14ac:dyDescent="0.45">
      <c r="A123" s="623"/>
      <c r="B123" s="3788"/>
      <c r="C123" s="583" t="s">
        <v>1655</v>
      </c>
      <c r="D123" s="583" t="s">
        <v>11</v>
      </c>
      <c r="E123" s="574">
        <f t="shared" si="8"/>
        <v>0</v>
      </c>
      <c r="F123" s="574">
        <f>IF($D123="Trigger",VLOOKUP($C123,'Lower Cask Critical Path'!$C$6:$F$427,4,FALSE),E123+F122)</f>
        <v>28.892777777777773</v>
      </c>
      <c r="G123" s="575"/>
      <c r="H123" s="576" t="s">
        <v>263</v>
      </c>
      <c r="I123" s="572"/>
      <c r="J123" s="572"/>
      <c r="K123" s="572"/>
      <c r="L123" s="577" t="s">
        <v>263</v>
      </c>
      <c r="M123" s="577" t="s">
        <v>263</v>
      </c>
      <c r="N123" s="578" t="str">
        <f t="shared" si="9"/>
        <v>N/A</v>
      </c>
      <c r="O123" s="579"/>
      <c r="P123" s="580" t="str">
        <f>IF($D123="Logistics",VLOOKUP($O123,'Lower Cask Movement &amp; Logistics'!$C$4:$D$54,2,FALSE),"N/A")</f>
        <v>N/A</v>
      </c>
      <c r="Q123" s="624"/>
    </row>
    <row r="124" spans="1:17" x14ac:dyDescent="0.4">
      <c r="A124" s="88"/>
      <c r="B124" s="3820" t="s">
        <v>1651</v>
      </c>
      <c r="C124" s="596" t="s">
        <v>272</v>
      </c>
      <c r="D124" s="596" t="s">
        <v>907</v>
      </c>
      <c r="E124" s="593">
        <f t="shared" si="8"/>
        <v>0</v>
      </c>
      <c r="F124" s="593">
        <f>IF($D124="Trigger",VLOOKUP($C124,'Lower Cask Critical Path'!$C$6:$F$427,4,FALSE),E124+F123)</f>
        <v>0</v>
      </c>
      <c r="G124" s="594"/>
      <c r="H124" s="595" t="s">
        <v>263</v>
      </c>
      <c r="I124" s="596"/>
      <c r="J124" s="596"/>
      <c r="K124" s="596"/>
      <c r="L124" s="597" t="s">
        <v>263</v>
      </c>
      <c r="M124" s="597" t="s">
        <v>263</v>
      </c>
      <c r="N124" s="598" t="str">
        <f t="shared" si="9"/>
        <v>N/A</v>
      </c>
      <c r="O124" s="599"/>
      <c r="P124" s="600" t="str">
        <f>IF($D124="Logistics",VLOOKUP($O124,'Lower Cask Movement &amp; Logistics'!$C$4:$D$54,2,FALSE),"N/A")</f>
        <v>N/A</v>
      </c>
    </row>
    <row r="125" spans="1:17" x14ac:dyDescent="0.4">
      <c r="A125" s="88"/>
      <c r="B125" s="3821"/>
      <c r="C125" s="622" t="s">
        <v>952</v>
      </c>
      <c r="D125" s="622" t="s">
        <v>251</v>
      </c>
      <c r="E125" s="602">
        <f t="shared" si="8"/>
        <v>23.868333333333332</v>
      </c>
      <c r="F125" s="602">
        <f>IF($D125="Trigger",VLOOKUP($C125,'Lower Cask Critical Path'!$C$6:$F$427,4,FALSE),E125+F124)</f>
        <v>23.868333333333332</v>
      </c>
      <c r="G125" s="603" t="s">
        <v>141</v>
      </c>
      <c r="H125" s="608">
        <f>VLOOKUP(G125, 'Upper Hot Cell Critical Path'!C:F, 4, FALSE)</f>
        <v>23.868333333333332</v>
      </c>
      <c r="I125" s="601"/>
      <c r="J125" s="601"/>
      <c r="K125" s="601"/>
      <c r="L125" s="605" t="s">
        <v>263</v>
      </c>
      <c r="M125" s="605" t="s">
        <v>263</v>
      </c>
      <c r="N125" s="606" t="str">
        <f t="shared" si="9"/>
        <v>N/A</v>
      </c>
      <c r="O125" s="607"/>
      <c r="P125" s="608" t="str">
        <f>IF($D125="Logistics",VLOOKUP($O125,'Lower Cask Movement &amp; Logistics'!$C$4:$D$54,2,FALSE),"N/A")</f>
        <v>N/A</v>
      </c>
    </row>
    <row r="126" spans="1:17" ht="15" thickBot="1" x14ac:dyDescent="0.45">
      <c r="A126" s="88"/>
      <c r="B126" s="3822"/>
      <c r="C126" s="609" t="s">
        <v>1651</v>
      </c>
      <c r="D126" s="609" t="s">
        <v>11</v>
      </c>
      <c r="E126" s="602">
        <f t="shared" si="8"/>
        <v>0</v>
      </c>
      <c r="F126" s="602">
        <f>IF($D126="Trigger",VLOOKUP($C126,'Lower Cask Critical Path'!$C$6:$F$427,4,FALSE),E126+F125)</f>
        <v>23.868333333333332</v>
      </c>
      <c r="G126" s="603"/>
      <c r="H126" s="604" t="s">
        <v>263</v>
      </c>
      <c r="I126" s="601"/>
      <c r="J126" s="601"/>
      <c r="K126" s="601"/>
      <c r="L126" s="605" t="s">
        <v>263</v>
      </c>
      <c r="M126" s="605" t="s">
        <v>263</v>
      </c>
      <c r="N126" s="606" t="str">
        <f t="shared" si="9"/>
        <v>N/A</v>
      </c>
      <c r="O126" s="607"/>
      <c r="P126" s="608" t="str">
        <f>IF($D126="Logistics",VLOOKUP($O126,'Lower Cask Movement &amp; Logistics'!$C$4:$D$54,2,FALSE),"N/A")</f>
        <v>N/A</v>
      </c>
    </row>
    <row r="127" spans="1:17" x14ac:dyDescent="0.4">
      <c r="B127" s="3814" t="s">
        <v>1650</v>
      </c>
      <c r="C127" s="1324" t="s">
        <v>272</v>
      </c>
      <c r="D127" s="1324" t="s">
        <v>907</v>
      </c>
      <c r="E127" s="1291">
        <f>MAX($P127,$N127,$H127)</f>
        <v>0</v>
      </c>
      <c r="F127" s="1739">
        <f>IF($D127="Trigger",VLOOKUP($C127,'Lower Cask Critical Path'!$C$6:$F$427,4,FALSE),E127+F126)</f>
        <v>0</v>
      </c>
      <c r="G127" s="825"/>
      <c r="H127" s="1323" t="s">
        <v>263</v>
      </c>
      <c r="I127" s="1721"/>
      <c r="J127" s="1324"/>
      <c r="K127" s="1324"/>
      <c r="L127" s="1325" t="str">
        <f>IFERROR(INDEX('Lower Cask Movement &amp; Logistics'!$I$13:$O$19,MATCH($J127,'Lower Cask Movement &amp; Logistics'!$H$13:$H$19,0),MATCH($K127,'Lower Cask Movement &amp; Logistics'!$H$13:$H$19,0)),"N/A")</f>
        <v>N/A</v>
      </c>
      <c r="M127" s="1325" t="str">
        <f>IFERROR(VLOOKUP($I127,'Lower Cask Movement &amp; Logistics'!$H$4:$I$8,2,FALSE),"N/A")</f>
        <v>N/A</v>
      </c>
      <c r="N127" s="1326" t="str">
        <f>IF(D127="Movement",IFERROR((L127/M127)/(60*60),"Error"),"N/A")</f>
        <v>N/A</v>
      </c>
      <c r="O127" s="1327"/>
      <c r="P127" s="824" t="str">
        <f>IF($D127="Logistics",VLOOKUP($O127,'Lower Cask Movement &amp; Logistics'!$C$4:$D$54,2,FALSE),"N/A")</f>
        <v>N/A</v>
      </c>
    </row>
    <row r="128" spans="1:17" x14ac:dyDescent="0.4">
      <c r="B128" s="3815"/>
      <c r="C128" s="1294" t="s">
        <v>1766</v>
      </c>
      <c r="D128" s="1294" t="s">
        <v>3</v>
      </c>
      <c r="E128" s="1292">
        <f>MAX($P128,$N128,$H128)</f>
        <v>0.78</v>
      </c>
      <c r="F128" s="1293">
        <f>IF($D128="Trigger",VLOOKUP($C128,'Lower Cask Critical Path'!$C$6:$F$427,4,FALSE),E128+F127)</f>
        <v>0.78</v>
      </c>
      <c r="G128" s="862"/>
      <c r="H128" s="1328" t="s">
        <v>263</v>
      </c>
      <c r="I128" s="1724"/>
      <c r="J128" s="1294"/>
      <c r="K128" s="1294"/>
      <c r="L128" s="1329" t="str">
        <f>IFERROR(INDEX('Lower Cask Movement &amp; Logistics'!$I$13:$O$19,MATCH($J128,'Lower Cask Movement &amp; Logistics'!$H$13:$H$19,0),MATCH($K128,'Lower Cask Movement &amp; Logistics'!$H$13:$H$19,0)),"N/A")</f>
        <v>N/A</v>
      </c>
      <c r="M128" s="1329" t="str">
        <f>IFERROR(VLOOKUP($I128,'Lower Cask Movement &amp; Logistics'!$H$4:$I$8,2,FALSE),"N/A")</f>
        <v>N/A</v>
      </c>
      <c r="N128" s="1330" t="str">
        <f>IF(D128="Movement",IFERROR((L128/M128)/(60*60),"Error"),"N/A")</f>
        <v>N/A</v>
      </c>
      <c r="O128" s="1331" t="s">
        <v>1740</v>
      </c>
      <c r="P128" s="1332">
        <f>IF($D128="Logistics",VLOOKUP($O128,'Lower Cask Movement &amp; Logistics'!$C$4:$D$54,2,FALSE),"N/A")</f>
        <v>0.78</v>
      </c>
    </row>
    <row r="129" spans="2:19" x14ac:dyDescent="0.4">
      <c r="B129" s="3815"/>
      <c r="C129" s="1294" t="s">
        <v>1767</v>
      </c>
      <c r="D129" s="1294" t="s">
        <v>778</v>
      </c>
      <c r="E129" s="1292">
        <f>MAX($P129,$N129,$H129)</f>
        <v>0.69444444444444442</v>
      </c>
      <c r="F129" s="1292">
        <f>IF($D129="Trigger",VLOOKUP($C129,'Lower Cask Critical Path'!$C$6:$F$427,4,FALSE),E129+F128)</f>
        <v>1.4744444444444444</v>
      </c>
      <c r="G129" s="862"/>
      <c r="H129" s="1328" t="s">
        <v>263</v>
      </c>
      <c r="I129" s="1724" t="s">
        <v>1538</v>
      </c>
      <c r="J129" s="1294" t="s">
        <v>799</v>
      </c>
      <c r="K129" s="1294" t="s">
        <v>1203</v>
      </c>
      <c r="L129" s="1329">
        <f>IFERROR(INDEX('Lower Cask Movement &amp; Logistics'!$I$13:$O$19,MATCH($J129,'Lower Cask Movement &amp; Logistics'!$H$13:$H$19,0),MATCH($K129,'Lower Cask Movement &amp; Logistics'!$H$13:$H$19,0)),"N/A")</f>
        <v>50</v>
      </c>
      <c r="M129" s="1329">
        <f>IFERROR(VLOOKUP($I129,'Lower Cask Movement &amp; Logistics'!$H$4:$I$8,2,FALSE),"N/A")</f>
        <v>0.02</v>
      </c>
      <c r="N129" s="1330">
        <f>IF(D129="Movement",IFERROR((L129/M129)/(60*60),"Error"),"N/A")</f>
        <v>0.69444444444444442</v>
      </c>
      <c r="O129" s="1331"/>
      <c r="P129" s="1332" t="str">
        <f>IF($D129="Logistics",VLOOKUP($O129,'Lower Cask Movement &amp; Logistics'!$C$4:$D$54,2,FALSE),"N/A")</f>
        <v>N/A</v>
      </c>
    </row>
    <row r="130" spans="2:19" ht="26.6" thickBot="1" x14ac:dyDescent="0.45">
      <c r="B130" s="3816"/>
      <c r="C130" s="1340" t="s">
        <v>1650</v>
      </c>
      <c r="D130" s="1340" t="s">
        <v>11</v>
      </c>
      <c r="E130" s="1295">
        <f>MAX($P130,$N130,$H130)</f>
        <v>0</v>
      </c>
      <c r="F130" s="1295">
        <f>IF($D130="Trigger",VLOOKUP($C130,'Lower Cask Critical Path'!$C$6:$F$427,4,FALSE),E130+F129)</f>
        <v>1.4744444444444444</v>
      </c>
      <c r="G130" s="839"/>
      <c r="H130" s="1341" t="s">
        <v>263</v>
      </c>
      <c r="I130" s="1727"/>
      <c r="J130" s="1340"/>
      <c r="K130" s="1340"/>
      <c r="L130" s="1342" t="str">
        <f>IFERROR(INDEX('Lower Cask Movement &amp; Logistics'!$I$13:$O$19,MATCH($J130,'Lower Cask Movement &amp; Logistics'!$H$13:$H$19,0),MATCH($K130,'Lower Cask Movement &amp; Logistics'!$H$13:$H$19,0)),"N/A")</f>
        <v>N/A</v>
      </c>
      <c r="M130" s="1342" t="str">
        <f>IFERROR(VLOOKUP($I130,'Lower Cask Movement &amp; Logistics'!$H$4:$I$8,2,FALSE),"N/A")</f>
        <v>N/A</v>
      </c>
      <c r="N130" s="1343" t="str">
        <f>IF(D130="Movement",IFERROR((L130/M130)/(60*60),"Error"),"N/A")</f>
        <v>N/A</v>
      </c>
      <c r="O130" s="1344"/>
      <c r="P130" s="1345" t="str">
        <f>IF($D130="Logistics",VLOOKUP($O130,'Lower Cask Movement &amp; Logistics'!$C$4:$D$54,2,FALSE),"N/A")</f>
        <v>N/A</v>
      </c>
    </row>
    <row r="131" spans="2:19" s="89" customFormat="1" x14ac:dyDescent="0.4">
      <c r="B131" s="3787" t="s">
        <v>1658</v>
      </c>
      <c r="C131" s="572" t="s">
        <v>1648</v>
      </c>
      <c r="D131" s="572" t="s">
        <v>907</v>
      </c>
      <c r="E131" s="574">
        <f t="shared" ref="E131:E158" si="10">MAX($P131,$N131,$H131)</f>
        <v>0</v>
      </c>
      <c r="F131" s="574">
        <f>IF($D131="Trigger",VLOOKUP($C131,'Lower Cask Critical Path'!$C$6:$F$427,4,FALSE),E131+F130)</f>
        <v>22.527777777777779</v>
      </c>
      <c r="G131" s="575"/>
      <c r="H131" s="576" t="s">
        <v>263</v>
      </c>
      <c r="I131" s="1281"/>
      <c r="J131" s="572"/>
      <c r="K131" s="572"/>
      <c r="L131" s="577" t="str">
        <f>IFERROR(INDEX('Lower Cask Movement &amp; Logistics'!$I$13:$O$19,MATCH($J131,'Lower Cask Movement &amp; Logistics'!$H$13:$H$19,0),MATCH($K131,'Lower Cask Movement &amp; Logistics'!$H$13:$H$19,0)),"N/A")</f>
        <v>N/A</v>
      </c>
      <c r="M131" s="577" t="str">
        <f>IFERROR(VLOOKUP($I131,'Lower Cask Movement &amp; Logistics'!$H$4:$I$8,2,FALSE),"N/A")</f>
        <v>N/A</v>
      </c>
      <c r="N131" s="578" t="str">
        <f t="shared" ref="N131:N136" si="11">IF(D131="Movement",IFERROR((L131/M131)/(60*60),"Error"),"N/A")</f>
        <v>N/A</v>
      </c>
      <c r="O131" s="579"/>
      <c r="P131" s="580" t="str">
        <f>IF($D131="Logistics",VLOOKUP($O131,'Lower Cask Movement &amp; Logistics'!$C$4:$D$54,2,FALSE),"N/A")</f>
        <v>N/A</v>
      </c>
      <c r="R131"/>
      <c r="S131"/>
    </row>
    <row r="132" spans="2:19" s="89" customFormat="1" x14ac:dyDescent="0.4">
      <c r="B132" s="3786"/>
      <c r="C132" s="572" t="s">
        <v>1768</v>
      </c>
      <c r="D132" s="572" t="s">
        <v>778</v>
      </c>
      <c r="E132" s="574">
        <f t="shared" si="10"/>
        <v>0.69444444444444442</v>
      </c>
      <c r="F132" s="574">
        <f>IF($D132="Trigger",VLOOKUP($C132,'Lower Cask Critical Path'!$C$6:$F$427,4,FALSE),E132+F129)</f>
        <v>2.1688888888888886</v>
      </c>
      <c r="G132" s="575"/>
      <c r="H132" s="576" t="s">
        <v>263</v>
      </c>
      <c r="I132" s="1281" t="s">
        <v>1538</v>
      </c>
      <c r="J132" s="572" t="s">
        <v>1203</v>
      </c>
      <c r="K132" s="572" t="s">
        <v>914</v>
      </c>
      <c r="L132" s="577">
        <f>IFERROR(INDEX('Lower Cask Movement &amp; Logistics'!$I$13:$O$19,MATCH($J132,'Lower Cask Movement &amp; Logistics'!$H$13:$H$19,0),MATCH($K132,'Lower Cask Movement &amp; Logistics'!$H$13:$H$19,0)),"N/A")</f>
        <v>50</v>
      </c>
      <c r="M132" s="577">
        <f>IFERROR(VLOOKUP($I132,'Lower Cask Movement &amp; Logistics'!$H$4:$I$8,2,FALSE),"N/A")</f>
        <v>0.02</v>
      </c>
      <c r="N132" s="578">
        <f>IF(D132="Movement",IFERROR((L132/M132)/(60*60),"Error"),"N/A")</f>
        <v>0.69444444444444442</v>
      </c>
      <c r="O132" s="579"/>
      <c r="P132" s="580" t="str">
        <f>IF($D132="Logistics",VLOOKUP($O132,'Lower Cask Movement &amp; Logistics'!$C$4:$D$54,2,FALSE),"N/A")</f>
        <v>N/A</v>
      </c>
      <c r="R132"/>
      <c r="S132"/>
    </row>
    <row r="133" spans="2:19" s="89" customFormat="1" x14ac:dyDescent="0.4">
      <c r="B133" s="3786"/>
      <c r="C133" s="572" t="s">
        <v>1769</v>
      </c>
      <c r="D133" s="572" t="s">
        <v>3</v>
      </c>
      <c r="E133" s="574">
        <f t="shared" si="10"/>
        <v>0.58000000000000007</v>
      </c>
      <c r="F133" s="574">
        <f>IF($D133="Trigger",VLOOKUP($C133,'Lower Cask Critical Path'!$C$6:$F$427,4,FALSE),E133+F130)</f>
        <v>2.0544444444444445</v>
      </c>
      <c r="G133" s="575"/>
      <c r="H133" s="576" t="s">
        <v>263</v>
      </c>
      <c r="I133" s="1281"/>
      <c r="J133" s="572"/>
      <c r="K133" s="572"/>
      <c r="L133" s="577" t="str">
        <f>IFERROR(INDEX('Lower Cask Movement &amp; Logistics'!$I$13:$O$19,MATCH($J133,'Lower Cask Movement &amp; Logistics'!$H$13:$H$19,0),MATCH($K133,'Lower Cask Movement &amp; Logistics'!$H$13:$H$19,0)),"N/A")</f>
        <v>N/A</v>
      </c>
      <c r="M133" s="577" t="str">
        <f>IFERROR(VLOOKUP($I133,'Lower Cask Movement &amp; Logistics'!$H$4:$I$8,2,FALSE),"N/A")</f>
        <v>N/A</v>
      </c>
      <c r="N133" s="578" t="str">
        <f>IF(D133="Movement",IFERROR((L133/M133)/(60*60),"Error"),"N/A")</f>
        <v>N/A</v>
      </c>
      <c r="O133" s="579" t="s">
        <v>1539</v>
      </c>
      <c r="P133" s="580">
        <f>IF($D133="Logistics",VLOOKUP($O133,'Lower Cask Movement &amp; Logistics'!$C$4:$D$54,2,FALSE),"N/A")</f>
        <v>0.58000000000000007</v>
      </c>
      <c r="R133"/>
      <c r="S133"/>
    </row>
    <row r="134" spans="2:19" s="89" customFormat="1" x14ac:dyDescent="0.4">
      <c r="B134" s="3786"/>
      <c r="C134" s="572" t="s">
        <v>1737</v>
      </c>
      <c r="D134" s="572" t="s">
        <v>778</v>
      </c>
      <c r="E134" s="574">
        <f t="shared" si="10"/>
        <v>9.2592592592592601E-2</v>
      </c>
      <c r="F134" s="574">
        <f>IF($D134="Trigger",VLOOKUP($C134,'Lower Cask Critical Path'!$C$6:$F$427,4,FALSE),E134+F131)</f>
        <v>22.62037037037037</v>
      </c>
      <c r="G134" s="575"/>
      <c r="H134" s="576" t="s">
        <v>263</v>
      </c>
      <c r="I134" s="1281" t="s">
        <v>1536</v>
      </c>
      <c r="J134" s="572" t="s">
        <v>914</v>
      </c>
      <c r="K134" s="572" t="s">
        <v>799</v>
      </c>
      <c r="L134" s="577">
        <f>IFERROR(INDEX('Lower Cask Movement &amp; Logistics'!$I$13:$O$19,MATCH($J134,'Lower Cask Movement &amp; Logistics'!$H$13:$H$19,0),MATCH($K134,'Lower Cask Movement &amp; Logistics'!$H$13:$H$19,0)),"N/A")</f>
        <v>20</v>
      </c>
      <c r="M134" s="577">
        <f>IFERROR(VLOOKUP($I134,'Lower Cask Movement &amp; Logistics'!$H$4:$I$8,2,FALSE),"N/A")</f>
        <v>0.06</v>
      </c>
      <c r="N134" s="578">
        <f t="shared" si="11"/>
        <v>9.2592592592592601E-2</v>
      </c>
      <c r="O134" s="579"/>
      <c r="P134" s="580" t="str">
        <f>IF($D134="Logistics",VLOOKUP($O134,'Lower Cask Movement &amp; Logistics'!$C$4:$D$54,2,FALSE),"N/A")</f>
        <v>N/A</v>
      </c>
      <c r="R134"/>
      <c r="S134"/>
    </row>
    <row r="135" spans="2:19" s="89" customFormat="1" x14ac:dyDescent="0.4">
      <c r="B135" s="3786"/>
      <c r="C135" s="572" t="s">
        <v>1770</v>
      </c>
      <c r="D135" s="572" t="s">
        <v>3</v>
      </c>
      <c r="E135" s="574">
        <f t="shared" si="10"/>
        <v>0.78</v>
      </c>
      <c r="F135" s="574">
        <f>IF($D135="Trigger",VLOOKUP($C135,'Lower Cask Critical Path'!$C$6:$F$427,4,FALSE),E135+F134)</f>
        <v>23.400370370370371</v>
      </c>
      <c r="G135" s="575"/>
      <c r="H135" s="576" t="s">
        <v>263</v>
      </c>
      <c r="I135" s="1281"/>
      <c r="J135" s="572"/>
      <c r="K135" s="572"/>
      <c r="L135" s="577" t="str">
        <f>IFERROR(INDEX('Lower Cask Movement &amp; Logistics'!$I$13:$O$19,MATCH($J135,'Lower Cask Movement &amp; Logistics'!$H$13:$H$19,0),MATCH($K135,'Lower Cask Movement &amp; Logistics'!$H$13:$H$19,0)),"N/A")</f>
        <v>N/A</v>
      </c>
      <c r="M135" s="577" t="str">
        <f>IFERROR(VLOOKUP($I135,'Lower Cask Movement &amp; Logistics'!$H$4:$I$8,2,FALSE),"N/A")</f>
        <v>N/A</v>
      </c>
      <c r="N135" s="578" t="str">
        <f t="shared" si="11"/>
        <v>N/A</v>
      </c>
      <c r="O135" s="579" t="s">
        <v>1740</v>
      </c>
      <c r="P135" s="580">
        <f>IF($D135="Logistics",VLOOKUP($O135,'Lower Cask Movement &amp; Logistics'!$C$4:$D$54,2,FALSE),"N/A")</f>
        <v>0.78</v>
      </c>
      <c r="R135"/>
      <c r="S135"/>
    </row>
    <row r="136" spans="2:19" s="89" customFormat="1" x14ac:dyDescent="0.4">
      <c r="B136" s="3786"/>
      <c r="C136" s="572" t="s">
        <v>1771</v>
      </c>
      <c r="D136" s="572" t="s">
        <v>778</v>
      </c>
      <c r="E136" s="574">
        <f t="shared" si="10"/>
        <v>0.69444444444444442</v>
      </c>
      <c r="F136" s="574">
        <f>IF($D136="Trigger",VLOOKUP($C136,'Lower Cask Critical Path'!$C$6:$F$427,4,FALSE),E136+F135)</f>
        <v>24.094814814814814</v>
      </c>
      <c r="G136" s="575"/>
      <c r="H136" s="576" t="s">
        <v>263</v>
      </c>
      <c r="I136" s="1281" t="s">
        <v>1538</v>
      </c>
      <c r="J136" s="572" t="s">
        <v>799</v>
      </c>
      <c r="K136" s="572" t="s">
        <v>1203</v>
      </c>
      <c r="L136" s="577">
        <f>IFERROR(INDEX('Lower Cask Movement &amp; Logistics'!$I$13:$O$19,MATCH($J136,'Lower Cask Movement &amp; Logistics'!$H$13:$H$19,0),MATCH($K136,'Lower Cask Movement &amp; Logistics'!$H$13:$H$19,0)),"N/A")</f>
        <v>50</v>
      </c>
      <c r="M136" s="577">
        <f>IFERROR(VLOOKUP($I136,'Lower Cask Movement &amp; Logistics'!$H$4:$I$8,2,FALSE),"N/A")</f>
        <v>0.02</v>
      </c>
      <c r="N136" s="578">
        <f t="shared" si="11"/>
        <v>0.69444444444444442</v>
      </c>
      <c r="O136" s="579"/>
      <c r="P136" s="580" t="str">
        <f>IF($D136="Logistics",VLOOKUP($O136,'Lower Cask Movement &amp; Logistics'!$C$4:$D$54,2,FALSE),"N/A")</f>
        <v>N/A</v>
      </c>
      <c r="R136"/>
      <c r="S136"/>
    </row>
    <row r="137" spans="2:19" s="89" customFormat="1" ht="26.6" thickBot="1" x14ac:dyDescent="0.45">
      <c r="B137" s="3786"/>
      <c r="C137" s="581" t="s">
        <v>1658</v>
      </c>
      <c r="D137" s="581" t="s">
        <v>11</v>
      </c>
      <c r="E137" s="626">
        <f>MAX($P137,$N137,$H137)</f>
        <v>0</v>
      </c>
      <c r="F137" s="626">
        <f>IF($D137="Trigger",VLOOKUP($C137,'Lower Cask Critical Path'!$C$6:$F$427,4,FALSE),E137+F136)</f>
        <v>24.094814814814814</v>
      </c>
      <c r="G137" s="627"/>
      <c r="H137" s="628" t="s">
        <v>263</v>
      </c>
      <c r="I137" s="1740"/>
      <c r="J137" s="581"/>
      <c r="K137" s="581"/>
      <c r="L137" s="629" t="str">
        <f>IFERROR(INDEX('Lower Cask Movement &amp; Logistics'!$I$13:$O$19,MATCH($J137,'Lower Cask Movement &amp; Logistics'!$H$13:$H$19,0),MATCH($K137,'Lower Cask Movement &amp; Logistics'!$H$13:$H$19,0)),"N/A")</f>
        <v>N/A</v>
      </c>
      <c r="M137" s="629" t="str">
        <f>IFERROR(VLOOKUP($I137,'Lower Cask Movement &amp; Logistics'!$H$4:$I$8,2,FALSE),"N/A")</f>
        <v>N/A</v>
      </c>
      <c r="N137" s="630" t="str">
        <f>IF(D137="Movement",IFERROR((L137/M137)/(60*60),"Error"),"N/A")</f>
        <v>N/A</v>
      </c>
      <c r="O137" s="631"/>
      <c r="P137" s="632" t="str">
        <f>IF($D137="Logistics",VLOOKUP($O137,'Lower Cask Movement &amp; Logistics'!$C$4:$D$54,2,FALSE),"N/A")</f>
        <v>N/A</v>
      </c>
      <c r="R137"/>
      <c r="S137"/>
    </row>
    <row r="138" spans="2:19" x14ac:dyDescent="0.4">
      <c r="B138" s="3814" t="s">
        <v>1665</v>
      </c>
      <c r="C138" s="1324" t="s">
        <v>1656</v>
      </c>
      <c r="D138" s="1324" t="s">
        <v>907</v>
      </c>
      <c r="E138" s="1292">
        <f t="shared" si="10"/>
        <v>0</v>
      </c>
      <c r="F138" s="1292">
        <f>IF($D138="Trigger",VLOOKUP($C138,'Lower Cask Critical Path'!$C$6:$F$427,4,FALSE),E138+F137)</f>
        <v>135.43705240533441</v>
      </c>
      <c r="G138" s="862"/>
      <c r="H138" s="1328" t="s">
        <v>263</v>
      </c>
      <c r="I138" s="1724"/>
      <c r="J138" s="1294"/>
      <c r="K138" s="1294"/>
      <c r="L138" s="1329" t="str">
        <f>IFERROR(INDEX('Lower Cask Movement &amp; Logistics'!$I$13:$O$19,MATCH($J138,'Lower Cask Movement &amp; Logistics'!$H$13:$H$19,0),MATCH($K138,'Lower Cask Movement &amp; Logistics'!$H$13:$H$19,0)),"N/A")</f>
        <v>N/A</v>
      </c>
      <c r="M138" s="1329" t="str">
        <f>IFERROR(VLOOKUP($I138,'Lower Cask Movement &amp; Logistics'!$H$4:$I$8,2,FALSE),"N/A")</f>
        <v>N/A</v>
      </c>
      <c r="N138" s="1330" t="str">
        <f t="shared" ref="N138:N165" si="12">IF(D138="Movement",IFERROR((L138/M138)/(60*60),"Error"),"N/A")</f>
        <v>N/A</v>
      </c>
      <c r="O138" s="1331"/>
      <c r="P138" s="1332" t="str">
        <f>IF($D138="Logistics",VLOOKUP($O138,'Lower Cask Movement &amp; Logistics'!$C$4:$D$54,2,FALSE),"N/A")</f>
        <v>N/A</v>
      </c>
    </row>
    <row r="139" spans="2:19" x14ac:dyDescent="0.4">
      <c r="B139" s="3815"/>
      <c r="C139" s="1362" t="s">
        <v>1772</v>
      </c>
      <c r="D139" s="1362" t="s">
        <v>778</v>
      </c>
      <c r="E139" s="1292">
        <f t="shared" si="10"/>
        <v>0.23148148148148148</v>
      </c>
      <c r="F139" s="1292">
        <f>IF($D139="Trigger",VLOOKUP($C139,'Lower Cask Critical Path'!$C$6:$F$427,4,FALSE),E139+F138)</f>
        <v>135.66853388681591</v>
      </c>
      <c r="G139" s="862"/>
      <c r="H139" s="1328" t="s">
        <v>263</v>
      </c>
      <c r="I139" s="1724" t="s">
        <v>1536</v>
      </c>
      <c r="J139" s="1294" t="s">
        <v>1203</v>
      </c>
      <c r="K139" s="1294" t="s">
        <v>914</v>
      </c>
      <c r="L139" s="1329">
        <f>IFERROR(INDEX('Lower Cask Movement &amp; Logistics'!$I$13:$O$19,MATCH($J139,'Lower Cask Movement &amp; Logistics'!$H$13:$H$19,0),MATCH($K139,'Lower Cask Movement &amp; Logistics'!$H$13:$H$19,0)),"N/A")</f>
        <v>50</v>
      </c>
      <c r="M139" s="1329">
        <f>IFERROR(VLOOKUP($I139,'Lower Cask Movement &amp; Logistics'!$H$4:$I$8,2,FALSE),"N/A")</f>
        <v>0.06</v>
      </c>
      <c r="N139" s="1330">
        <f>IF(D139="Movement",IFERROR((L139/M139)/(60*60),"Error"),"N/A")</f>
        <v>0.23148148148148148</v>
      </c>
      <c r="O139" s="1331"/>
      <c r="P139" s="1332" t="str">
        <f>IF($D139="Logistics",VLOOKUP($O139,'Lower Cask Movement &amp; Logistics'!$C$4:$D$54,2,FALSE),"N/A")</f>
        <v>N/A</v>
      </c>
    </row>
    <row r="140" spans="2:19" x14ac:dyDescent="0.4">
      <c r="B140" s="3815"/>
      <c r="C140" s="1362" t="s">
        <v>1773</v>
      </c>
      <c r="D140" s="1362" t="s">
        <v>3</v>
      </c>
      <c r="E140" s="1292">
        <f t="shared" si="10"/>
        <v>0.58000000000000007</v>
      </c>
      <c r="F140" s="1292">
        <f>IF($D140="Trigger",VLOOKUP($C140,'Lower Cask Critical Path'!$C$6:$F$427,4,FALSE),E140+F139)</f>
        <v>136.24853388681592</v>
      </c>
      <c r="G140" s="862"/>
      <c r="H140" s="1328" t="s">
        <v>263</v>
      </c>
      <c r="I140" s="1724"/>
      <c r="J140" s="1294"/>
      <c r="K140" s="1294"/>
      <c r="L140" s="1329" t="str">
        <f>IFERROR(INDEX('Lower Cask Movement &amp; Logistics'!$I$13:$O$19,MATCH($J140,'Lower Cask Movement &amp; Logistics'!$H$13:$H$19,0),MATCH($K140,'Lower Cask Movement &amp; Logistics'!$H$13:$H$19,0)),"N/A")</f>
        <v>N/A</v>
      </c>
      <c r="M140" s="1329" t="str">
        <f>IFERROR(VLOOKUP($I140,'Lower Cask Movement &amp; Logistics'!$H$4:$I$8,2,FALSE),"N/A")</f>
        <v>N/A</v>
      </c>
      <c r="N140" s="1330" t="str">
        <f>IF(D140="Movement",IFERROR((L140/M140)/(60*60),"Error"),"N/A")</f>
        <v>N/A</v>
      </c>
      <c r="O140" s="1331" t="s">
        <v>1539</v>
      </c>
      <c r="P140" s="1332">
        <f>IF($D140="Logistics",VLOOKUP($O140,'Lower Cask Movement &amp; Logistics'!$C$4:$D$54,2,FALSE),"N/A")</f>
        <v>0.58000000000000007</v>
      </c>
    </row>
    <row r="141" spans="2:19" x14ac:dyDescent="0.4">
      <c r="B141" s="3815"/>
      <c r="C141" s="1294" t="s">
        <v>1737</v>
      </c>
      <c r="D141" s="1294" t="s">
        <v>778</v>
      </c>
      <c r="E141" s="1292">
        <f t="shared" si="10"/>
        <v>2.7777777777777776E-2</v>
      </c>
      <c r="F141" s="1292">
        <f>IF($D141="Trigger",VLOOKUP($C141,'Lower Cask Critical Path'!$C$6:$F$427,4,FALSE),E141+F140)</f>
        <v>136.27631166459369</v>
      </c>
      <c r="G141" s="862"/>
      <c r="H141" s="1328" t="s">
        <v>263</v>
      </c>
      <c r="I141" s="1724" t="s">
        <v>1738</v>
      </c>
      <c r="J141" s="1294" t="s">
        <v>914</v>
      </c>
      <c r="K141" s="1294" t="s">
        <v>799</v>
      </c>
      <c r="L141" s="1329">
        <f>IFERROR(INDEX('Lower Cask Movement &amp; Logistics'!$I$13:$O$19,MATCH($J141,'Lower Cask Movement &amp; Logistics'!$H$13:$H$19,0),MATCH($K141,'Lower Cask Movement &amp; Logistics'!$H$13:$H$19,0)),"N/A")</f>
        <v>20</v>
      </c>
      <c r="M141" s="1329">
        <f>IFERROR(VLOOKUP($I141,'Lower Cask Movement &amp; Logistics'!$H$4:$I$8,2,FALSE),"N/A")</f>
        <v>0.2</v>
      </c>
      <c r="N141" s="1330">
        <f t="shared" si="12"/>
        <v>2.7777777777777776E-2</v>
      </c>
      <c r="O141" s="1331"/>
      <c r="P141" s="1332" t="str">
        <f>IF($D141="Logistics",VLOOKUP($O141,'Lower Cask Movement &amp; Logistics'!$C$4:$D$54,2,FALSE),"N/A")</f>
        <v>N/A</v>
      </c>
    </row>
    <row r="142" spans="2:19" x14ac:dyDescent="0.4">
      <c r="B142" s="3815"/>
      <c r="C142" s="1294" t="s">
        <v>1770</v>
      </c>
      <c r="D142" s="1294" t="s">
        <v>3</v>
      </c>
      <c r="E142" s="1292">
        <f t="shared" si="10"/>
        <v>0.78</v>
      </c>
      <c r="F142" s="1292">
        <f>IF($D142="Trigger",VLOOKUP($C142,'Lower Cask Critical Path'!$C$6:$F$427,4,FALSE),E142+F141)</f>
        <v>137.05631166459369</v>
      </c>
      <c r="G142" s="862"/>
      <c r="H142" s="1328" t="s">
        <v>263</v>
      </c>
      <c r="I142" s="1724"/>
      <c r="J142" s="1294"/>
      <c r="K142" s="1294"/>
      <c r="L142" s="1329" t="str">
        <f>IFERROR(INDEX('Lower Cask Movement &amp; Logistics'!$I$13:$O$19,MATCH($J142,'Lower Cask Movement &amp; Logistics'!$H$13:$H$19,0),MATCH($K142,'Lower Cask Movement &amp; Logistics'!$H$13:$H$19,0)),"N/A")</f>
        <v>N/A</v>
      </c>
      <c r="M142" s="1329" t="str">
        <f>IFERROR(VLOOKUP($I142,'Lower Cask Movement &amp; Logistics'!$H$4:$I$8,2,FALSE),"N/A")</f>
        <v>N/A</v>
      </c>
      <c r="N142" s="1330" t="str">
        <f t="shared" si="12"/>
        <v>N/A</v>
      </c>
      <c r="O142" s="1331" t="s">
        <v>1740</v>
      </c>
      <c r="P142" s="1332">
        <f>IF($D142="Logistics",VLOOKUP($O142,'Lower Cask Movement &amp; Logistics'!$C$4:$D$54,2,FALSE),"N/A")</f>
        <v>0.78</v>
      </c>
    </row>
    <row r="143" spans="2:19" x14ac:dyDescent="0.4">
      <c r="B143" s="3815"/>
      <c r="C143" s="1294" t="s">
        <v>1771</v>
      </c>
      <c r="D143" s="1294" t="s">
        <v>778</v>
      </c>
      <c r="E143" s="1292">
        <f t="shared" si="10"/>
        <v>0.69444444444444442</v>
      </c>
      <c r="F143" s="1292">
        <f>IF($D143="Trigger",VLOOKUP($C143,'Lower Cask Critical Path'!$C$6:$F$427,4,FALSE),E143+F142)</f>
        <v>137.75075610903815</v>
      </c>
      <c r="G143" s="862"/>
      <c r="H143" s="1328" t="s">
        <v>263</v>
      </c>
      <c r="I143" s="1724" t="s">
        <v>1538</v>
      </c>
      <c r="J143" s="1294" t="s">
        <v>799</v>
      </c>
      <c r="K143" s="1294" t="s">
        <v>1203</v>
      </c>
      <c r="L143" s="1329">
        <f>IFERROR(INDEX('Lower Cask Movement &amp; Logistics'!$I$13:$O$19,MATCH($J143,'Lower Cask Movement &amp; Logistics'!$H$13:$H$19,0),MATCH($K143,'Lower Cask Movement &amp; Logistics'!$H$13:$H$19,0)),"N/A")</f>
        <v>50</v>
      </c>
      <c r="M143" s="1329">
        <f>IFERROR(VLOOKUP($I143,'Lower Cask Movement &amp; Logistics'!$H$4:$I$8,2,FALSE),"N/A")</f>
        <v>0.02</v>
      </c>
      <c r="N143" s="1330">
        <f t="shared" si="12"/>
        <v>0.69444444444444442</v>
      </c>
      <c r="O143" s="1331"/>
      <c r="P143" s="1332" t="str">
        <f>IF($D143="Logistics",VLOOKUP($O143,'Lower Cask Movement &amp; Logistics'!$C$4:$D$54,2,FALSE),"N/A")</f>
        <v>N/A</v>
      </c>
    </row>
    <row r="144" spans="2:19" ht="26.6" thickBot="1" x14ac:dyDescent="0.45">
      <c r="B144" s="3816"/>
      <c r="C144" s="1340" t="s">
        <v>1665</v>
      </c>
      <c r="D144" s="1340" t="s">
        <v>11</v>
      </c>
      <c r="E144" s="1295">
        <f>MAX($P144,$N144,$H144)</f>
        <v>0</v>
      </c>
      <c r="F144" s="1295">
        <f>IF($D144="Trigger",VLOOKUP($C144,'Lower Cask Critical Path'!$C$6:$F$427,4,FALSE),E144+F143)</f>
        <v>137.75075610903815</v>
      </c>
      <c r="G144" s="839"/>
      <c r="H144" s="1341" t="s">
        <v>263</v>
      </c>
      <c r="I144" s="1727"/>
      <c r="J144" s="1340"/>
      <c r="K144" s="1340"/>
      <c r="L144" s="1342" t="str">
        <f>IFERROR(INDEX('Lower Cask Movement &amp; Logistics'!$I$13:$O$19,MATCH($J144,'Lower Cask Movement &amp; Logistics'!$H$13:$H$19,0),MATCH($K144,'Lower Cask Movement &amp; Logistics'!$H$13:$H$19,0)),"N/A")</f>
        <v>N/A</v>
      </c>
      <c r="M144" s="1342" t="str">
        <f>IFERROR(VLOOKUP($I144,'Lower Cask Movement &amp; Logistics'!$H$4:$I$8,2,FALSE),"N/A")</f>
        <v>N/A</v>
      </c>
      <c r="N144" s="1343" t="str">
        <f t="shared" si="12"/>
        <v>N/A</v>
      </c>
      <c r="O144" s="1344"/>
      <c r="P144" s="1345" t="str">
        <f>IF($D144="Logistics",VLOOKUP($O144,'Lower Cask Movement &amp; Logistics'!$C$4:$D$54,2,FALSE),"N/A")</f>
        <v>N/A</v>
      </c>
    </row>
    <row r="145" spans="2:16" x14ac:dyDescent="0.4">
      <c r="B145" s="3787" t="s">
        <v>1680</v>
      </c>
      <c r="C145" s="617" t="s">
        <v>1663</v>
      </c>
      <c r="D145" s="617" t="s">
        <v>907</v>
      </c>
      <c r="E145" s="567">
        <f t="shared" si="10"/>
        <v>0</v>
      </c>
      <c r="F145" s="567">
        <f>IF($D145="Trigger",VLOOKUP($C145,'Lower Cask Critical Path'!$C$6:$F$427,4,FALSE),E145+F144)</f>
        <v>195.61359448101749</v>
      </c>
      <c r="G145" s="568"/>
      <c r="H145" s="569" t="s">
        <v>263</v>
      </c>
      <c r="I145" s="1270"/>
      <c r="J145" s="617"/>
      <c r="K145" s="617"/>
      <c r="L145" s="618" t="str">
        <f>IFERROR(INDEX('Lower Cask Movement &amp; Logistics'!$I$13:$O$19,MATCH($J145,'Lower Cask Movement &amp; Logistics'!$H$13:$H$19,0),MATCH($K145,'Lower Cask Movement &amp; Logistics'!$H$13:$H$19,0)),"N/A")</f>
        <v>N/A</v>
      </c>
      <c r="M145" s="618" t="str">
        <f>IFERROR(VLOOKUP($I145,'Lower Cask Movement &amp; Logistics'!$H$4:$I$8,2,FALSE),"N/A")</f>
        <v>N/A</v>
      </c>
      <c r="N145" s="619" t="str">
        <f t="shared" si="12"/>
        <v>N/A</v>
      </c>
      <c r="O145" s="620"/>
      <c r="P145" s="621" t="str">
        <f>IF($D145="Logistics",VLOOKUP($O145,'Lower Cask Movement &amp; Logistics'!$C$4:$D$54,2,FALSE),"N/A")</f>
        <v>N/A</v>
      </c>
    </row>
    <row r="146" spans="2:16" x14ac:dyDescent="0.4">
      <c r="B146" s="3786"/>
      <c r="C146" s="572" t="s">
        <v>1774</v>
      </c>
      <c r="D146" s="572" t="s">
        <v>778</v>
      </c>
      <c r="E146" s="574">
        <f t="shared" si="10"/>
        <v>0.23148148148148148</v>
      </c>
      <c r="F146" s="574">
        <f>IF($D146="Trigger",VLOOKUP($C146,'Lower Cask Critical Path'!$C$6:$F$427,4,FALSE),E146+F145)</f>
        <v>195.84507596249898</v>
      </c>
      <c r="G146" s="575"/>
      <c r="H146" s="576" t="s">
        <v>263</v>
      </c>
      <c r="I146" s="1281" t="s">
        <v>1536</v>
      </c>
      <c r="J146" s="572" t="s">
        <v>1203</v>
      </c>
      <c r="K146" s="572" t="s">
        <v>799</v>
      </c>
      <c r="L146" s="577">
        <f>IFERROR(INDEX('Lower Cask Movement &amp; Logistics'!$I$13:$O$19,MATCH($J146,'Lower Cask Movement &amp; Logistics'!$H$13:$H$19,0),MATCH($K146,'Lower Cask Movement &amp; Logistics'!$H$13:$H$19,0)),"N/A")</f>
        <v>50</v>
      </c>
      <c r="M146" s="577">
        <f>IFERROR(VLOOKUP($I146,'Lower Cask Movement &amp; Logistics'!$H$4:$I$8,2,FALSE),"N/A")</f>
        <v>0.06</v>
      </c>
      <c r="N146" s="578">
        <f t="shared" si="12"/>
        <v>0.23148148148148148</v>
      </c>
      <c r="O146" s="579"/>
      <c r="P146" s="580" t="str">
        <f>IF($D146="Logistics",VLOOKUP($O146,'Lower Cask Movement &amp; Logistics'!$C$4:$D$54,2,FALSE),"N/A")</f>
        <v>N/A</v>
      </c>
    </row>
    <row r="147" spans="2:16" x14ac:dyDescent="0.4">
      <c r="B147" s="3786"/>
      <c r="C147" s="572" t="s">
        <v>1775</v>
      </c>
      <c r="D147" s="572" t="s">
        <v>3</v>
      </c>
      <c r="E147" s="574">
        <f t="shared" si="10"/>
        <v>0.58000000000000007</v>
      </c>
      <c r="F147" s="574">
        <f>IF($D147="Trigger",VLOOKUP($C147,'Lower Cask Critical Path'!$C$6:$F$427,4,FALSE),E147+F146)</f>
        <v>196.42507596249899</v>
      </c>
      <c r="G147" s="575"/>
      <c r="H147" s="576" t="s">
        <v>263</v>
      </c>
      <c r="I147" s="1281"/>
      <c r="J147" s="572"/>
      <c r="K147" s="572"/>
      <c r="L147" s="577" t="str">
        <f>IFERROR(INDEX('Lower Cask Movement &amp; Logistics'!$I$13:$O$19,MATCH($J147,'Lower Cask Movement &amp; Logistics'!$H$13:$H$19,0),MATCH($K147,'Lower Cask Movement &amp; Logistics'!$H$13:$H$19,0)),"N/A")</f>
        <v>N/A</v>
      </c>
      <c r="M147" s="577" t="str">
        <f>IFERROR(VLOOKUP($I147,'Lower Cask Movement &amp; Logistics'!$H$4:$I$8,2,FALSE),"N/A")</f>
        <v>N/A</v>
      </c>
      <c r="N147" s="578" t="str">
        <f t="shared" si="12"/>
        <v>N/A</v>
      </c>
      <c r="O147" s="579" t="s">
        <v>1539</v>
      </c>
      <c r="P147" s="580">
        <f>IF($D147="Logistics",VLOOKUP($O147,'Lower Cask Movement &amp; Logistics'!$C$4:$D$54,2,FALSE),"N/A")</f>
        <v>0.58000000000000007</v>
      </c>
    </row>
    <row r="148" spans="2:16" x14ac:dyDescent="0.4">
      <c r="B148" s="3786"/>
      <c r="C148" s="572" t="s">
        <v>1776</v>
      </c>
      <c r="D148" s="572" t="s">
        <v>778</v>
      </c>
      <c r="E148" s="574">
        <f t="shared" si="10"/>
        <v>2.7777777777777776E-2</v>
      </c>
      <c r="F148" s="574">
        <f>IF($D148="Trigger",VLOOKUP($C148,'Lower Cask Critical Path'!$C$6:$F$427,4,FALSE),E148+F147)</f>
        <v>196.45285374027677</v>
      </c>
      <c r="G148" s="575"/>
      <c r="H148" s="576" t="s">
        <v>263</v>
      </c>
      <c r="I148" s="1281" t="s">
        <v>1738</v>
      </c>
      <c r="J148" s="1281" t="s">
        <v>1777</v>
      </c>
      <c r="K148" s="572" t="s">
        <v>1778</v>
      </c>
      <c r="L148" s="577">
        <f>IFERROR(INDEX('Lower Cask Movement &amp; Logistics'!$I$13:$O$19,MATCH($J148,'Lower Cask Movement &amp; Logistics'!$H$13:$H$19,0),MATCH($K148,'Lower Cask Movement &amp; Logistics'!$H$13:$H$19,0)),"N/A")</f>
        <v>20</v>
      </c>
      <c r="M148" s="577">
        <f>IFERROR(VLOOKUP($I148,'Lower Cask Movement &amp; Logistics'!$H$4:$I$8,2,FALSE),"N/A")</f>
        <v>0.2</v>
      </c>
      <c r="N148" s="578">
        <f t="shared" si="12"/>
        <v>2.7777777777777776E-2</v>
      </c>
      <c r="O148" s="579"/>
      <c r="P148" s="580" t="str">
        <f>IF($D148="Logistics",VLOOKUP($O148,'Lower Cask Movement &amp; Logistics'!$C$4:$D$54,2,FALSE),"N/A")</f>
        <v>N/A</v>
      </c>
    </row>
    <row r="149" spans="2:16" x14ac:dyDescent="0.4">
      <c r="B149" s="3786"/>
      <c r="C149" s="572" t="s">
        <v>1733</v>
      </c>
      <c r="D149" s="572" t="s">
        <v>3</v>
      </c>
      <c r="E149" s="574">
        <f t="shared" si="10"/>
        <v>1.9</v>
      </c>
      <c r="F149" s="574">
        <f>IF($D149="Trigger",VLOOKUP($C149,'Lower Cask Critical Path'!$C$6:$F$427,4,FALSE),E149+F147)</f>
        <v>198.325075962499</v>
      </c>
      <c r="G149" s="575"/>
      <c r="H149" s="576" t="s">
        <v>263</v>
      </c>
      <c r="I149" s="1281"/>
      <c r="J149" s="1281"/>
      <c r="K149" s="572"/>
      <c r="L149" s="577" t="str">
        <f>IFERROR(INDEX('Lower Cask Movement &amp; Logistics'!$I$13:$O$19,MATCH($J149,'Lower Cask Movement &amp; Logistics'!$H$13:$H$19,0),MATCH($K149,'Lower Cask Movement &amp; Logistics'!$H$13:$H$19,0)),"N/A")</f>
        <v>N/A</v>
      </c>
      <c r="M149" s="577" t="str">
        <f>IFERROR(VLOOKUP($I149,'Lower Cask Movement &amp; Logistics'!$H$4:$I$8,2,FALSE),"N/A")</f>
        <v>N/A</v>
      </c>
      <c r="N149" s="578" t="str">
        <f t="shared" si="12"/>
        <v>N/A</v>
      </c>
      <c r="O149" s="579" t="s">
        <v>1734</v>
      </c>
      <c r="P149" s="580">
        <f>IF($D149="Logistics",VLOOKUP($O149,'Lower Cask Movement &amp; Logistics'!$C$4:$D$54,2,FALSE),"N/A")</f>
        <v>1.9</v>
      </c>
    </row>
    <row r="150" spans="2:16" x14ac:dyDescent="0.4">
      <c r="B150" s="3786"/>
      <c r="C150" s="572" t="s">
        <v>1770</v>
      </c>
      <c r="D150" s="572" t="s">
        <v>3</v>
      </c>
      <c r="E150" s="574">
        <f t="shared" si="10"/>
        <v>0.88000000000000012</v>
      </c>
      <c r="F150" s="574">
        <f>IF($D150="Trigger",VLOOKUP($C150,'Lower Cask Critical Path'!$C$6:$F$427,4,FALSE),E150+F148)</f>
        <v>197.33285374027676</v>
      </c>
      <c r="G150" s="575"/>
      <c r="H150" s="576" t="s">
        <v>263</v>
      </c>
      <c r="I150" s="1281"/>
      <c r="J150" s="572"/>
      <c r="K150" s="572"/>
      <c r="L150" s="577" t="str">
        <f>IFERROR(INDEX('Lower Cask Movement &amp; Logistics'!$I$13:$O$19,MATCH($J150,'Lower Cask Movement &amp; Logistics'!$H$13:$H$19,0),MATCH($K150,'Lower Cask Movement &amp; Logistics'!$H$13:$H$19,0)),"N/A")</f>
        <v>N/A</v>
      </c>
      <c r="M150" s="577" t="str">
        <f>IFERROR(VLOOKUP($I150,'Lower Cask Movement &amp; Logistics'!$H$4:$I$8,2,FALSE),"N/A")</f>
        <v>N/A</v>
      </c>
      <c r="N150" s="578" t="str">
        <f t="shared" si="12"/>
        <v>N/A</v>
      </c>
      <c r="O150" s="579" t="s">
        <v>1730</v>
      </c>
      <c r="P150" s="580">
        <f>IF($D150="Logistics",VLOOKUP($O150,'Lower Cask Movement &amp; Logistics'!$C$4:$D$54,2,FALSE),"N/A")</f>
        <v>0.88000000000000012</v>
      </c>
    </row>
    <row r="151" spans="2:16" x14ac:dyDescent="0.4">
      <c r="B151" s="3786"/>
      <c r="C151" s="572" t="s">
        <v>1562</v>
      </c>
      <c r="D151" s="572" t="s">
        <v>3</v>
      </c>
      <c r="E151" s="574">
        <f t="shared" si="10"/>
        <v>2.3000000000000003</v>
      </c>
      <c r="F151" s="574">
        <f>IF($D151="Trigger",VLOOKUP($C151,'Lower Cask Critical Path'!$C$6:$F$427,4,FALSE),E151+F149)</f>
        <v>200.62507596249901</v>
      </c>
      <c r="G151" s="575"/>
      <c r="H151" s="576" t="s">
        <v>263</v>
      </c>
      <c r="I151" s="1281"/>
      <c r="J151" s="572"/>
      <c r="K151" s="572"/>
      <c r="L151" s="577" t="str">
        <f>IFERROR(INDEX('Lower Cask Movement &amp; Logistics'!$I$13:$O$19,MATCH($J151,'Lower Cask Movement &amp; Logistics'!$H$13:$H$19,0),MATCH($K151,'Lower Cask Movement &amp; Logistics'!$H$13:$H$19,0)),"N/A")</f>
        <v>N/A</v>
      </c>
      <c r="M151" s="577" t="str">
        <f>IFERROR(VLOOKUP($I151,'Lower Cask Movement &amp; Logistics'!$H$4:$I$8,2,FALSE),"N/A")</f>
        <v>N/A</v>
      </c>
      <c r="N151" s="578" t="str">
        <f t="shared" si="12"/>
        <v>N/A</v>
      </c>
      <c r="O151" s="579" t="s">
        <v>1562</v>
      </c>
      <c r="P151" s="580">
        <f>IF($D151="Logistics",VLOOKUP($O151,'Lower Cask Movement &amp; Logistics'!$C$4:$D$54,2,FALSE),"N/A")</f>
        <v>2.3000000000000003</v>
      </c>
    </row>
    <row r="152" spans="2:16" x14ac:dyDescent="0.4">
      <c r="B152" s="3786"/>
      <c r="C152" s="572" t="s">
        <v>1771</v>
      </c>
      <c r="D152" s="572" t="s">
        <v>778</v>
      </c>
      <c r="E152" s="574">
        <f t="shared" si="10"/>
        <v>0.69444444444444442</v>
      </c>
      <c r="F152" s="574">
        <f>IF($D152="Trigger",VLOOKUP($C152,'Lower Cask Critical Path'!$C$6:$F$427,4,FALSE),E152+F150)</f>
        <v>198.02729818472122</v>
      </c>
      <c r="G152" s="575"/>
      <c r="H152" s="576" t="s">
        <v>263</v>
      </c>
      <c r="I152" s="1281" t="s">
        <v>1538</v>
      </c>
      <c r="J152" s="572" t="s">
        <v>799</v>
      </c>
      <c r="K152" s="572" t="s">
        <v>1203</v>
      </c>
      <c r="L152" s="577">
        <f>IFERROR(INDEX('Lower Cask Movement &amp; Logistics'!$I$13:$O$19,MATCH($J152,'Lower Cask Movement &amp; Logistics'!$H$13:$H$19,0),MATCH($K152,'Lower Cask Movement &amp; Logistics'!$H$13:$H$19,0)),"N/A")</f>
        <v>50</v>
      </c>
      <c r="M152" s="577">
        <f>IFERROR(VLOOKUP($I152,'Lower Cask Movement &amp; Logistics'!$H$4:$I$8,2,FALSE),"N/A")</f>
        <v>0.02</v>
      </c>
      <c r="N152" s="578">
        <f t="shared" si="12"/>
        <v>0.69444444444444442</v>
      </c>
      <c r="O152" s="579"/>
      <c r="P152" s="580" t="str">
        <f>IF($D152="Logistics",VLOOKUP($O152,'Lower Cask Movement &amp; Logistics'!$C$4:$D$54,2,FALSE),"N/A")</f>
        <v>N/A</v>
      </c>
    </row>
    <row r="153" spans="2:16" ht="26.6" thickBot="1" x14ac:dyDescent="0.45">
      <c r="B153" s="3788"/>
      <c r="C153" s="583" t="s">
        <v>1680</v>
      </c>
      <c r="D153" s="583" t="s">
        <v>11</v>
      </c>
      <c r="E153" s="585">
        <f>MAX($P153,$N153,$H153)</f>
        <v>0</v>
      </c>
      <c r="F153" s="585">
        <f>IF($D153="Trigger",VLOOKUP($C153,'Lower Cask Critical Path'!$C$6:$F$427,4,FALSE),E153+F152)</f>
        <v>198.02729818472122</v>
      </c>
      <c r="G153" s="586"/>
      <c r="H153" s="587" t="s">
        <v>263</v>
      </c>
      <c r="I153" s="1720"/>
      <c r="J153" s="583"/>
      <c r="K153" s="583"/>
      <c r="L153" s="588" t="str">
        <f>IFERROR(INDEX('Lower Cask Movement &amp; Logistics'!$I$13:$O$19,MATCH($J153,'Lower Cask Movement &amp; Logistics'!$H$13:$H$19,0),MATCH($K153,'Lower Cask Movement &amp; Logistics'!$H$13:$H$19,0)),"N/A")</f>
        <v>N/A</v>
      </c>
      <c r="M153" s="588" t="str">
        <f>IFERROR(VLOOKUP($I153,'Lower Cask Movement &amp; Logistics'!$H$4:$I$8,2,FALSE),"N/A")</f>
        <v>N/A</v>
      </c>
      <c r="N153" s="589" t="str">
        <f t="shared" si="12"/>
        <v>N/A</v>
      </c>
      <c r="O153" s="590"/>
      <c r="P153" s="591" t="str">
        <f>IF($D153="Logistics",VLOOKUP($O153,'Lower Cask Movement &amp; Logistics'!$C$4:$D$54,2,FALSE),"N/A")</f>
        <v>N/A</v>
      </c>
    </row>
    <row r="154" spans="2:16" x14ac:dyDescent="0.4">
      <c r="B154" s="3814" t="s">
        <v>1684</v>
      </c>
      <c r="C154" s="1324" t="s">
        <v>1677</v>
      </c>
      <c r="D154" s="1324" t="s">
        <v>907</v>
      </c>
      <c r="E154" s="1291">
        <f t="shared" si="10"/>
        <v>0</v>
      </c>
      <c r="F154" s="1291">
        <f>IF($D154="Trigger",VLOOKUP($C154,'Lower Cask Critical Path'!$C$6:$F$427,4,FALSE),E154+F153)</f>
        <v>300.85340759454209</v>
      </c>
      <c r="G154" s="825"/>
      <c r="H154" s="1323" t="s">
        <v>263</v>
      </c>
      <c r="I154" s="1721"/>
      <c r="J154" s="1324"/>
      <c r="K154" s="1324"/>
      <c r="L154" s="1325" t="str">
        <f>IFERROR(INDEX('Lower Cask Movement &amp; Logistics'!$I$13:$O$19,MATCH($J154,'Lower Cask Movement &amp; Logistics'!$H$13:$H$19,0),MATCH($K154,'Lower Cask Movement &amp; Logistics'!$H$13:$H$19,0)),"N/A")</f>
        <v>N/A</v>
      </c>
      <c r="M154" s="1325" t="str">
        <f>IFERROR(VLOOKUP($I154,'Lower Cask Movement &amp; Logistics'!$H$4:$I$8,2,FALSE),"N/A")</f>
        <v>N/A</v>
      </c>
      <c r="N154" s="1326" t="str">
        <f t="shared" si="12"/>
        <v>N/A</v>
      </c>
      <c r="O154" s="1327"/>
      <c r="P154" s="824" t="str">
        <f>IF($D154="Logistics",VLOOKUP($O154,'Lower Cask Movement &amp; Logistics'!$C$4:$D$54,2,FALSE),"N/A")</f>
        <v>N/A</v>
      </c>
    </row>
    <row r="155" spans="2:16" x14ac:dyDescent="0.4">
      <c r="B155" s="3815"/>
      <c r="C155" s="1294" t="s">
        <v>1774</v>
      </c>
      <c r="D155" s="1294" t="s">
        <v>778</v>
      </c>
      <c r="E155" s="1292">
        <f t="shared" si="10"/>
        <v>0.23148148148148148</v>
      </c>
      <c r="F155" s="1292">
        <f>IF($D155="Trigger",VLOOKUP($C155,'Lower Cask Critical Path'!$C$6:$F$427,4,FALSE),E155+F154)</f>
        <v>301.08488907602356</v>
      </c>
      <c r="G155" s="862"/>
      <c r="H155" s="1328" t="s">
        <v>263</v>
      </c>
      <c r="I155" s="1724" t="s">
        <v>1536</v>
      </c>
      <c r="J155" s="1294" t="s">
        <v>1203</v>
      </c>
      <c r="K155" s="1294" t="s">
        <v>799</v>
      </c>
      <c r="L155" s="1329">
        <f>IFERROR(INDEX('Lower Cask Movement &amp; Logistics'!$I$13:$O$19,MATCH($J155,'Lower Cask Movement &amp; Logistics'!$H$13:$H$19,0),MATCH($K155,'Lower Cask Movement &amp; Logistics'!$H$13:$H$19,0)),"N/A")</f>
        <v>50</v>
      </c>
      <c r="M155" s="1329">
        <f>IFERROR(VLOOKUP($I155,'Lower Cask Movement &amp; Logistics'!$H$4:$I$8,2,FALSE),"N/A")</f>
        <v>0.06</v>
      </c>
      <c r="N155" s="1330">
        <f t="shared" si="12"/>
        <v>0.23148148148148148</v>
      </c>
      <c r="O155" s="1331"/>
      <c r="P155" s="1332" t="str">
        <f>IF($D155="Logistics",VLOOKUP($O155,'Lower Cask Movement &amp; Logistics'!$C$4:$D$54,2,FALSE),"N/A")</f>
        <v>N/A</v>
      </c>
    </row>
    <row r="156" spans="2:16" x14ac:dyDescent="0.4">
      <c r="B156" s="3815"/>
      <c r="C156" s="1294" t="s">
        <v>1775</v>
      </c>
      <c r="D156" s="1294" t="s">
        <v>3</v>
      </c>
      <c r="E156" s="1292">
        <f t="shared" si="10"/>
        <v>0.58000000000000007</v>
      </c>
      <c r="F156" s="1292">
        <f>IF($D156="Trigger",VLOOKUP($C156,'Lower Cask Critical Path'!$C$6:$F$427,4,FALSE),E156+F155)</f>
        <v>301.66488907602354</v>
      </c>
      <c r="G156" s="862"/>
      <c r="H156" s="1328" t="s">
        <v>263</v>
      </c>
      <c r="I156" s="1724"/>
      <c r="J156" s="1294"/>
      <c r="K156" s="1294"/>
      <c r="L156" s="1329" t="str">
        <f>IFERROR(INDEX('Lower Cask Movement &amp; Logistics'!$I$13:$O$19,MATCH($J156,'Lower Cask Movement &amp; Logistics'!$H$13:$H$19,0),MATCH($K156,'Lower Cask Movement &amp; Logistics'!$H$13:$H$19,0)),"N/A")</f>
        <v>N/A</v>
      </c>
      <c r="M156" s="1329" t="str">
        <f>IFERROR(VLOOKUP($I156,'Lower Cask Movement &amp; Logistics'!$H$4:$I$8,2,FALSE),"N/A")</f>
        <v>N/A</v>
      </c>
      <c r="N156" s="1330" t="str">
        <f t="shared" si="12"/>
        <v>N/A</v>
      </c>
      <c r="O156" s="1331" t="s">
        <v>1539</v>
      </c>
      <c r="P156" s="1332">
        <f>IF($D156="Logistics",VLOOKUP($O156,'Lower Cask Movement &amp; Logistics'!$C$4:$D$54,2,FALSE),"N/A")</f>
        <v>0.58000000000000007</v>
      </c>
    </row>
    <row r="157" spans="2:16" x14ac:dyDescent="0.4">
      <c r="B157" s="3815"/>
      <c r="C157" s="1294" t="s">
        <v>1779</v>
      </c>
      <c r="D157" s="1294" t="s">
        <v>778</v>
      </c>
      <c r="E157" s="1292">
        <f t="shared" si="10"/>
        <v>0</v>
      </c>
      <c r="F157" s="1292">
        <f>IF($D157="Trigger",VLOOKUP($C157,'Lower Cask Critical Path'!$C$6:$F$427,4,FALSE),E157+F156)</f>
        <v>301.66488907602354</v>
      </c>
      <c r="G157" s="862"/>
      <c r="H157" s="1328" t="s">
        <v>263</v>
      </c>
      <c r="I157" s="1724" t="s">
        <v>1780</v>
      </c>
      <c r="J157" s="1724" t="s">
        <v>1777</v>
      </c>
      <c r="K157" s="1294" t="s">
        <v>1778</v>
      </c>
      <c r="L157" s="1329">
        <f>IFERROR(INDEX('Lower Cask Movement &amp; Logistics'!$I$13:$O$19,MATCH($J157,'Lower Cask Movement &amp; Logistics'!$H$13:$H$19,0),MATCH($K157,'Lower Cask Movement &amp; Logistics'!$H$13:$H$19,0)),"N/A")</f>
        <v>20</v>
      </c>
      <c r="M157" s="1329" t="str">
        <f>IFERROR(VLOOKUP($I157,'Lower Cask Movement &amp; Logistics'!$H$4:$I$8,2,FALSE),"N/A")</f>
        <v>N/A</v>
      </c>
      <c r="N157" s="1330" t="str">
        <f t="shared" si="12"/>
        <v>Error</v>
      </c>
      <c r="O157" s="1331"/>
      <c r="P157" s="1332" t="str">
        <f>IF($D157="Logistics",VLOOKUP($O157,'Lower Cask Movement &amp; Logistics'!$C$4:$D$54,2,FALSE),"N/A")</f>
        <v>N/A</v>
      </c>
    </row>
    <row r="158" spans="2:16" x14ac:dyDescent="0.4">
      <c r="B158" s="3815"/>
      <c r="C158" s="1294" t="s">
        <v>1781</v>
      </c>
      <c r="D158" s="1294" t="s">
        <v>3</v>
      </c>
      <c r="E158" s="1292">
        <f t="shared" si="10"/>
        <v>0.78</v>
      </c>
      <c r="F158" s="1292">
        <f>IF($D158="Trigger",VLOOKUP($C158,'Lower Cask Critical Path'!$C$6:$F$427,4,FALSE),E158+F157)</f>
        <v>302.44488907602351</v>
      </c>
      <c r="G158" s="862"/>
      <c r="H158" s="1328" t="s">
        <v>263</v>
      </c>
      <c r="I158" s="1724"/>
      <c r="J158" s="1294"/>
      <c r="K158" s="1294"/>
      <c r="L158" s="1329" t="str">
        <f>IFERROR(INDEX('Lower Cask Movement &amp; Logistics'!$I$13:$O$19,MATCH($J158,'Lower Cask Movement &amp; Logistics'!$H$13:$H$19,0),MATCH($K158,'Lower Cask Movement &amp; Logistics'!$H$13:$H$19,0)),"N/A")</f>
        <v>N/A</v>
      </c>
      <c r="M158" s="1329" t="str">
        <f>IFERROR(VLOOKUP($I158,'Lower Cask Movement &amp; Logistics'!$H$4:$I$8,2,FALSE),"N/A")</f>
        <v>N/A</v>
      </c>
      <c r="N158" s="1330" t="str">
        <f t="shared" si="12"/>
        <v>N/A</v>
      </c>
      <c r="O158" s="1331" t="s">
        <v>1740</v>
      </c>
      <c r="P158" s="1332">
        <f>IF($D158="Logistics",VLOOKUP($O158,'Lower Cask Movement &amp; Logistics'!$C$4:$D$54,2,FALSE),"N/A")</f>
        <v>0.78</v>
      </c>
    </row>
    <row r="159" spans="2:16" ht="26.6" thickBot="1" x14ac:dyDescent="0.45">
      <c r="B159" s="3816"/>
      <c r="C159" s="1340" t="s">
        <v>1684</v>
      </c>
      <c r="D159" s="1340" t="s">
        <v>11</v>
      </c>
      <c r="E159" s="1295">
        <f>MAX($P159,$N159,$H159)</f>
        <v>0</v>
      </c>
      <c r="F159" s="1292">
        <f>IF($D159="Trigger",VLOOKUP($C159,'Lower Cask Critical Path'!$C$6:$F$427,4,FALSE),E159+F158)</f>
        <v>302.44488907602351</v>
      </c>
      <c r="G159" s="839"/>
      <c r="H159" s="1341" t="s">
        <v>263</v>
      </c>
      <c r="I159" s="1727"/>
      <c r="J159" s="1340"/>
      <c r="K159" s="1340"/>
      <c r="L159" s="1342" t="str">
        <f>IFERROR(INDEX('Lower Cask Movement &amp; Logistics'!$I$13:$O$19,MATCH($J159,'Lower Cask Movement &amp; Logistics'!$H$13:$H$19,0),MATCH($K159,'Lower Cask Movement &amp; Logistics'!$H$13:$H$19,0)),"N/A")</f>
        <v>N/A</v>
      </c>
      <c r="M159" s="1342" t="str">
        <f>IFERROR(VLOOKUP($I159,'Lower Cask Movement &amp; Logistics'!$H$4:$I$8,2,FALSE),"N/A")</f>
        <v>N/A</v>
      </c>
      <c r="N159" s="1343" t="str">
        <f t="shared" si="12"/>
        <v>N/A</v>
      </c>
      <c r="O159" s="1344"/>
      <c r="P159" s="1345" t="str">
        <f>IF($D159="Logistics",VLOOKUP($O159,'Lower Cask Movement &amp; Logistics'!$C$4:$D$54,2,FALSE),"N/A")</f>
        <v>N/A</v>
      </c>
    </row>
    <row r="160" spans="2:16" x14ac:dyDescent="0.4">
      <c r="B160" s="3786" t="s">
        <v>1782</v>
      </c>
      <c r="C160" s="1275" t="s">
        <v>1686</v>
      </c>
      <c r="D160" s="1275" t="s">
        <v>907</v>
      </c>
      <c r="E160" s="1276">
        <f t="shared" ref="E160:E223" si="13">MAX($P160,$N160,$H160)</f>
        <v>0</v>
      </c>
      <c r="F160" s="1276">
        <f>IF($D160="Trigger",VLOOKUP($C160,'Lower Cask Critical Path'!$C$6:$F$427,4,FALSE),E160+F159)</f>
        <v>312.67340759454203</v>
      </c>
      <c r="G160" s="879"/>
      <c r="H160" s="1379" t="s">
        <v>263</v>
      </c>
      <c r="I160" s="1274"/>
      <c r="J160" s="1275"/>
      <c r="K160" s="1275"/>
      <c r="L160" s="1277" t="str">
        <f>IFERROR(INDEX('Lower Cask Movement &amp; Logistics'!$I$13:$O$19,MATCH($J160,'Lower Cask Movement &amp; Logistics'!$H$13:$H$19,0),MATCH($K160,'Lower Cask Movement &amp; Logistics'!$H$13:$H$19,0)),"N/A")</f>
        <v>N/A</v>
      </c>
      <c r="M160" s="1277" t="str">
        <f>IFERROR(VLOOKUP($I160,'Lower Cask Movement &amp; Logistics'!$H$4:$I$8,2,FALSE),"N/A")</f>
        <v>N/A</v>
      </c>
      <c r="N160" s="1380" t="str">
        <f t="shared" si="12"/>
        <v>N/A</v>
      </c>
      <c r="O160" s="1381"/>
      <c r="P160" s="850" t="str">
        <f>IF($D160="Logistics",VLOOKUP($O160,'Lower Cask Movement &amp; Logistics'!$C$4:$D$54,2,FALSE),"N/A")</f>
        <v>N/A</v>
      </c>
    </row>
    <row r="161" spans="2:16" x14ac:dyDescent="0.4">
      <c r="B161" s="3786"/>
      <c r="C161" s="572" t="s">
        <v>1783</v>
      </c>
      <c r="D161" s="572" t="s">
        <v>778</v>
      </c>
      <c r="E161" s="574">
        <f>MAX($P161,$N161,$H161)</f>
        <v>0.23148148148148148</v>
      </c>
      <c r="F161" s="574">
        <f>IF($D161="Trigger",VLOOKUP($C161,'Lower Cask Critical Path'!$C$6:$F$427,4,FALSE),E161+F160)</f>
        <v>312.90488907602349</v>
      </c>
      <c r="G161" s="575"/>
      <c r="H161" s="576" t="s">
        <v>263</v>
      </c>
      <c r="I161" s="1281" t="s">
        <v>1536</v>
      </c>
      <c r="J161" s="572" t="s">
        <v>1203</v>
      </c>
      <c r="K161" s="572" t="s">
        <v>914</v>
      </c>
      <c r="L161" s="577">
        <f>IFERROR(INDEX('Lower Cask Movement &amp; Logistics'!$I$13:$O$19,MATCH($J161,'Lower Cask Movement &amp; Logistics'!$H$13:$H$19,0),MATCH($K161,'Lower Cask Movement &amp; Logistics'!$H$13:$H$19,0)),"N/A")</f>
        <v>50</v>
      </c>
      <c r="M161" s="577">
        <f>IFERROR(VLOOKUP($I161,'Lower Cask Movement &amp; Logistics'!$H$4:$I$8,2,FALSE),"N/A")</f>
        <v>0.06</v>
      </c>
      <c r="N161" s="578">
        <f t="shared" si="12"/>
        <v>0.23148148148148148</v>
      </c>
      <c r="O161" s="579"/>
      <c r="P161" s="580" t="str">
        <f>IF($D161="Logistics",VLOOKUP($O161,'Lower Cask Movement &amp; Logistics'!$C$4:$D$54,2,FALSE),"N/A")</f>
        <v>N/A</v>
      </c>
    </row>
    <row r="162" spans="2:16" x14ac:dyDescent="0.4">
      <c r="B162" s="3786"/>
      <c r="C162" s="572" t="s">
        <v>1742</v>
      </c>
      <c r="D162" s="572" t="s">
        <v>3</v>
      </c>
      <c r="E162" s="574">
        <f>MAX($P162,$N162,$H162)</f>
        <v>0.58000000000000007</v>
      </c>
      <c r="F162" s="574">
        <f>IF($D162="Trigger",VLOOKUP($C162,'Lower Cask Critical Path'!$C$6:$F$427,4,FALSE),E162+F161)</f>
        <v>313.48488907602348</v>
      </c>
      <c r="G162" s="575"/>
      <c r="H162" s="576" t="s">
        <v>263</v>
      </c>
      <c r="I162" s="1281"/>
      <c r="J162" s="572"/>
      <c r="K162" s="572"/>
      <c r="L162" s="577" t="str">
        <f>IFERROR(INDEX('Lower Cask Movement &amp; Logistics'!$I$13:$O$19,MATCH($J162,'Lower Cask Movement &amp; Logistics'!$H$13:$H$19,0),MATCH($K162,'Lower Cask Movement &amp; Logistics'!$H$13:$H$19,0)),"N/A")</f>
        <v>N/A</v>
      </c>
      <c r="M162" s="577" t="str">
        <f>IFERROR(VLOOKUP($I162,'Lower Cask Movement &amp; Logistics'!$H$4:$I$8,2,FALSE),"N/A")</f>
        <v>N/A</v>
      </c>
      <c r="N162" s="578" t="str">
        <f t="shared" si="12"/>
        <v>N/A</v>
      </c>
      <c r="O162" s="579" t="s">
        <v>1539</v>
      </c>
      <c r="P162" s="580">
        <f>IF($D162="Logistics",VLOOKUP($O162,'Lower Cask Movement &amp; Logistics'!$C$4:$D$54,2,FALSE),"N/A")</f>
        <v>0.58000000000000007</v>
      </c>
    </row>
    <row r="163" spans="2:16" x14ac:dyDescent="0.4">
      <c r="B163" s="3786"/>
      <c r="C163" s="572" t="s">
        <v>1737</v>
      </c>
      <c r="D163" s="572" t="s">
        <v>778</v>
      </c>
      <c r="E163" s="574">
        <f t="shared" si="13"/>
        <v>2.7777777777777776E-2</v>
      </c>
      <c r="F163" s="574">
        <f>IF($D163="Trigger",VLOOKUP($C163,'Lower Cask Critical Path'!$C$6:$F$427,4,FALSE),E163+F162)</f>
        <v>313.51266685380125</v>
      </c>
      <c r="G163" s="575"/>
      <c r="H163" s="576" t="s">
        <v>263</v>
      </c>
      <c r="I163" s="1281" t="s">
        <v>1738</v>
      </c>
      <c r="J163" s="572" t="s">
        <v>914</v>
      </c>
      <c r="K163" s="572" t="s">
        <v>799</v>
      </c>
      <c r="L163" s="577">
        <f>IFERROR(INDEX('Lower Cask Movement &amp; Logistics'!$I$13:$O$19,MATCH($J163,'Lower Cask Movement &amp; Logistics'!$H$13:$H$19,0),MATCH($K163,'Lower Cask Movement &amp; Logistics'!$H$13:$H$19,0)),"N/A")</f>
        <v>20</v>
      </c>
      <c r="M163" s="577">
        <f>IFERROR(VLOOKUP($I163,'Lower Cask Movement &amp; Logistics'!$H$4:$I$8,2,FALSE),"N/A")</f>
        <v>0.2</v>
      </c>
      <c r="N163" s="578">
        <f t="shared" si="12"/>
        <v>2.7777777777777776E-2</v>
      </c>
      <c r="O163" s="579"/>
      <c r="P163" s="580" t="str">
        <f>IF($D163="Logistics",VLOOKUP($O163,'Lower Cask Movement &amp; Logistics'!$C$4:$D$54,2,FALSE),"N/A")</f>
        <v>N/A</v>
      </c>
    </row>
    <row r="164" spans="2:16" x14ac:dyDescent="0.4">
      <c r="B164" s="3786"/>
      <c r="C164" s="572" t="s">
        <v>1784</v>
      </c>
      <c r="D164" s="572" t="s">
        <v>3</v>
      </c>
      <c r="E164" s="574">
        <f t="shared" si="13"/>
        <v>0.78</v>
      </c>
      <c r="F164" s="574">
        <f>IF($D164="Trigger",VLOOKUP($C164,'Lower Cask Critical Path'!$C$6:$F$427,4,FALSE),E164+F163)</f>
        <v>314.29266685380122</v>
      </c>
      <c r="G164" s="575"/>
      <c r="H164" s="576" t="s">
        <v>263</v>
      </c>
      <c r="I164" s="1281"/>
      <c r="J164" s="572"/>
      <c r="K164" s="572"/>
      <c r="L164" s="577" t="str">
        <f>IFERROR(INDEX('Lower Cask Movement &amp; Logistics'!$I$13:$O$19,MATCH($J164,'Lower Cask Movement &amp; Logistics'!$H$13:$H$19,0),MATCH($K164,'Lower Cask Movement &amp; Logistics'!$H$13:$H$19,0)),"N/A")</f>
        <v>N/A</v>
      </c>
      <c r="M164" s="577" t="str">
        <f>IFERROR(VLOOKUP($I164,'Lower Cask Movement &amp; Logistics'!$H$4:$I$8,2,FALSE),"N/A")</f>
        <v>N/A</v>
      </c>
      <c r="N164" s="578" t="str">
        <f t="shared" si="12"/>
        <v>N/A</v>
      </c>
      <c r="O164" s="579" t="s">
        <v>1740</v>
      </c>
      <c r="P164" s="580">
        <f>IF($D164="Logistics",VLOOKUP($O164,'Lower Cask Movement &amp; Logistics'!$C$4:$D$54,2,FALSE),"N/A")</f>
        <v>0.78</v>
      </c>
    </row>
    <row r="165" spans="2:16" x14ac:dyDescent="0.4">
      <c r="B165" s="3786"/>
      <c r="C165" s="572" t="s">
        <v>1785</v>
      </c>
      <c r="D165" s="572" t="s">
        <v>778</v>
      </c>
      <c r="E165" s="574">
        <f t="shared" si="13"/>
        <v>0.69444444444444442</v>
      </c>
      <c r="F165" s="574">
        <f>IF($D165="Trigger",VLOOKUP($C165,'Lower Cask Critical Path'!$C$6:$F$427,4,FALSE),E165+F164)</f>
        <v>314.98711129824568</v>
      </c>
      <c r="G165" s="575"/>
      <c r="H165" s="576" t="s">
        <v>263</v>
      </c>
      <c r="I165" s="1281" t="s">
        <v>1538</v>
      </c>
      <c r="J165" s="572" t="s">
        <v>799</v>
      </c>
      <c r="K165" s="572" t="s">
        <v>1203</v>
      </c>
      <c r="L165" s="577">
        <f>IFERROR(INDEX('Lower Cask Movement &amp; Logistics'!$I$13:$O$19,MATCH($J165,'Lower Cask Movement &amp; Logistics'!$H$13:$H$19,0),MATCH($K165,'Lower Cask Movement &amp; Logistics'!$H$13:$H$19,0)),"N/A")</f>
        <v>50</v>
      </c>
      <c r="M165" s="577">
        <f>IFERROR(VLOOKUP($I165,'Lower Cask Movement &amp; Logistics'!$H$4:$I$8,2,FALSE),"N/A")</f>
        <v>0.02</v>
      </c>
      <c r="N165" s="578">
        <f t="shared" si="12"/>
        <v>0.69444444444444442</v>
      </c>
      <c r="O165" s="579"/>
      <c r="P165" s="580" t="str">
        <f>IF($D165="Logistics",VLOOKUP($O165,'Lower Cask Movement &amp; Logistics'!$C$4:$D$54,2,FALSE),"N/A")</f>
        <v>N/A</v>
      </c>
    </row>
    <row r="166" spans="2:16" ht="26.6" thickBot="1" x14ac:dyDescent="0.45">
      <c r="B166" s="3786"/>
      <c r="C166" s="581" t="s">
        <v>1782</v>
      </c>
      <c r="D166" s="581" t="s">
        <v>11</v>
      </c>
      <c r="E166" s="626">
        <f t="shared" si="13"/>
        <v>0</v>
      </c>
      <c r="F166" s="574">
        <f>IF($D166="Trigger",VLOOKUP($C166,'Lower Cask Critical Path'!$C$6:$F$427,4,FALSE),E166+F165)</f>
        <v>314.98711129824568</v>
      </c>
      <c r="G166" s="627"/>
      <c r="H166" s="628" t="s">
        <v>263</v>
      </c>
      <c r="I166" s="1740"/>
      <c r="J166" s="581"/>
      <c r="K166" s="581"/>
      <c r="L166" s="629" t="str">
        <f>IFERROR(INDEX('Lower Cask Movement &amp; Logistics'!$I$13:$O$19,MATCH($J166,'Lower Cask Movement &amp; Logistics'!$H$13:$H$19,0),MATCH($K166,'Lower Cask Movement &amp; Logistics'!$H$13:$H$19,0)),"N/A")</f>
        <v>N/A</v>
      </c>
      <c r="M166" s="629" t="str">
        <f>IFERROR(VLOOKUP($I166,'Lower Cask Movement &amp; Logistics'!$H$4:$I$8,2,FALSE),"N/A")</f>
        <v>N/A</v>
      </c>
      <c r="N166" s="630" t="str">
        <f>IF(D166="Movement",IFERROR((L166/M166)/(60*60),"Error"),"N/A")</f>
        <v>N/A</v>
      </c>
      <c r="O166" s="631"/>
      <c r="P166" s="632" t="str">
        <f>IF($D166="Logistics",VLOOKUP($O166,'Lower Cask Movement &amp; Logistics'!$C$4:$D$54,2,FALSE),"N/A")</f>
        <v>N/A</v>
      </c>
    </row>
    <row r="167" spans="2:16" x14ac:dyDescent="0.4">
      <c r="B167" s="3814" t="s">
        <v>1786</v>
      </c>
      <c r="C167" s="1275" t="s">
        <v>1663</v>
      </c>
      <c r="D167" s="1324" t="s">
        <v>907</v>
      </c>
      <c r="E167" s="1291">
        <f t="shared" si="13"/>
        <v>0</v>
      </c>
      <c r="F167" s="1291">
        <f>IF($D167="Trigger",VLOOKUP($C167,'Lower Cask Critical Path'!$C$6:$F$427,4,FALSE),E167+F166)</f>
        <v>195.61359448101749</v>
      </c>
      <c r="G167" s="825"/>
      <c r="H167" s="1323" t="s">
        <v>263</v>
      </c>
      <c r="I167" s="1721"/>
      <c r="J167" s="1324"/>
      <c r="K167" s="1324"/>
      <c r="L167" s="1325" t="str">
        <f>IFERROR(INDEX('Lower Cask Movement &amp; Logistics'!$I$13:$O$19,MATCH($J167,'Lower Cask Movement &amp; Logistics'!$H$13:$H$19,0),MATCH($K167,'Lower Cask Movement &amp; Logistics'!$H$13:$H$19,0)),"N/A")</f>
        <v>N/A</v>
      </c>
      <c r="M167" s="1325" t="str">
        <f>IFERROR(VLOOKUP($I167,'Lower Cask Movement &amp; Logistics'!$H$4:$I$8,2,FALSE),"N/A")</f>
        <v>N/A</v>
      </c>
      <c r="N167" s="1326" t="str">
        <f t="shared" ref="N167:N172" si="14">IF(D167="Movement",IFERROR((L167/M167)/(60*60),"Error"),"N/A")</f>
        <v>N/A</v>
      </c>
      <c r="O167" s="1327"/>
      <c r="P167" s="824" t="str">
        <f>IF($D167="Logistics",VLOOKUP($O167,'Lower Cask Movement &amp; Logistics'!$C$4:$D$54,2,FALSE),"N/A")</f>
        <v>N/A</v>
      </c>
    </row>
    <row r="168" spans="2:16" x14ac:dyDescent="0.4">
      <c r="B168" s="3815"/>
      <c r="C168" s="1294" t="s">
        <v>1783</v>
      </c>
      <c r="D168" s="1294" t="s">
        <v>778</v>
      </c>
      <c r="E168" s="1292">
        <f t="shared" si="13"/>
        <v>0.23148148148148148</v>
      </c>
      <c r="F168" s="1292">
        <f>IF($D168="Trigger",VLOOKUP($C168,'Lower Cask Critical Path'!$C$6:$F$427,4,FALSE),E168+F167)</f>
        <v>195.84507596249898</v>
      </c>
      <c r="G168" s="862"/>
      <c r="H168" s="1328" t="s">
        <v>263</v>
      </c>
      <c r="I168" s="1724" t="s">
        <v>1536</v>
      </c>
      <c r="J168" s="1294" t="s">
        <v>1203</v>
      </c>
      <c r="K168" s="1294" t="s">
        <v>914</v>
      </c>
      <c r="L168" s="1329">
        <f>IFERROR(INDEX('Lower Cask Movement &amp; Logistics'!$I$13:$O$19,MATCH($J168,'Lower Cask Movement &amp; Logistics'!$H$13:$H$19,0),MATCH($K168,'Lower Cask Movement &amp; Logistics'!$H$13:$H$19,0)),"N/A")</f>
        <v>50</v>
      </c>
      <c r="M168" s="1329">
        <f>IFERROR(VLOOKUP($I168,'Lower Cask Movement &amp; Logistics'!$H$4:$I$8,2,FALSE),"N/A")</f>
        <v>0.06</v>
      </c>
      <c r="N168" s="1330">
        <f t="shared" si="14"/>
        <v>0.23148148148148148</v>
      </c>
      <c r="O168" s="1331"/>
      <c r="P168" s="1332" t="str">
        <f>IF($D168="Logistics",VLOOKUP($O168,'Lower Cask Movement &amp; Logistics'!$C$4:$D$54,2,FALSE),"N/A")</f>
        <v>N/A</v>
      </c>
    </row>
    <row r="169" spans="2:16" x14ac:dyDescent="0.4">
      <c r="B169" s="3815"/>
      <c r="C169" s="1294" t="s">
        <v>1742</v>
      </c>
      <c r="D169" s="1294" t="s">
        <v>3</v>
      </c>
      <c r="E169" s="1292">
        <f t="shared" si="13"/>
        <v>0.58000000000000007</v>
      </c>
      <c r="F169" s="1292">
        <f>IF($D169="Trigger",VLOOKUP($C169,'Lower Cask Critical Path'!$C$6:$F$427,4,FALSE),E169+F168)</f>
        <v>196.42507596249899</v>
      </c>
      <c r="G169" s="862"/>
      <c r="H169" s="1328" t="s">
        <v>263</v>
      </c>
      <c r="I169" s="1724"/>
      <c r="J169" s="1294"/>
      <c r="K169" s="1294"/>
      <c r="L169" s="1329" t="str">
        <f>IFERROR(INDEX('Lower Cask Movement &amp; Logistics'!$I$13:$O$19,MATCH($J169,'Lower Cask Movement &amp; Logistics'!$H$13:$H$19,0),MATCH($K169,'Lower Cask Movement &amp; Logistics'!$H$13:$H$19,0)),"N/A")</f>
        <v>N/A</v>
      </c>
      <c r="M169" s="1329" t="str">
        <f>IFERROR(VLOOKUP($I169,'Lower Cask Movement &amp; Logistics'!$H$4:$I$8,2,FALSE),"N/A")</f>
        <v>N/A</v>
      </c>
      <c r="N169" s="1330" t="str">
        <f t="shared" si="14"/>
        <v>N/A</v>
      </c>
      <c r="O169" s="1331" t="s">
        <v>1539</v>
      </c>
      <c r="P169" s="1332">
        <f>IF($D169="Logistics",VLOOKUP($O169,'Lower Cask Movement &amp; Logistics'!$C$4:$D$54,2,FALSE),"N/A")</f>
        <v>0.58000000000000007</v>
      </c>
    </row>
    <row r="170" spans="2:16" x14ac:dyDescent="0.4">
      <c r="B170" s="3815"/>
      <c r="C170" s="1294" t="s">
        <v>1737</v>
      </c>
      <c r="D170" s="1294" t="s">
        <v>778</v>
      </c>
      <c r="E170" s="1292">
        <f t="shared" si="13"/>
        <v>2.7777777777777776E-2</v>
      </c>
      <c r="F170" s="1292">
        <f>IF($D170="Trigger",VLOOKUP($C170,'Lower Cask Critical Path'!$C$6:$F$427,4,FALSE),E170+F169)</f>
        <v>196.45285374027677</v>
      </c>
      <c r="G170" s="862"/>
      <c r="H170" s="1328" t="s">
        <v>263</v>
      </c>
      <c r="I170" s="1724" t="s">
        <v>1738</v>
      </c>
      <c r="J170" s="1294" t="s">
        <v>914</v>
      </c>
      <c r="K170" s="1294" t="s">
        <v>799</v>
      </c>
      <c r="L170" s="1329">
        <f>IFERROR(INDEX('Lower Cask Movement &amp; Logistics'!$I$13:$O$19,MATCH($J170,'Lower Cask Movement &amp; Logistics'!$H$13:$H$19,0),MATCH($K170,'Lower Cask Movement &amp; Logistics'!$H$13:$H$19,0)),"N/A")</f>
        <v>20</v>
      </c>
      <c r="M170" s="1329">
        <f>IFERROR(VLOOKUP($I170,'Lower Cask Movement &amp; Logistics'!$H$4:$I$8,2,FALSE),"N/A")</f>
        <v>0.2</v>
      </c>
      <c r="N170" s="1330">
        <f t="shared" si="14"/>
        <v>2.7777777777777776E-2</v>
      </c>
      <c r="O170" s="1331"/>
      <c r="P170" s="1332" t="str">
        <f>IF($D170="Logistics",VLOOKUP($O170,'Lower Cask Movement &amp; Logistics'!$C$4:$D$54,2,FALSE),"N/A")</f>
        <v>N/A</v>
      </c>
    </row>
    <row r="171" spans="2:16" x14ac:dyDescent="0.4">
      <c r="B171" s="3815"/>
      <c r="C171" s="1294" t="s">
        <v>1766</v>
      </c>
      <c r="D171" s="1294" t="s">
        <v>3</v>
      </c>
      <c r="E171" s="1292">
        <f t="shared" si="13"/>
        <v>0.78</v>
      </c>
      <c r="F171" s="1292">
        <f>IF($D171="Trigger",VLOOKUP($C171,'Lower Cask Critical Path'!$C$6:$F$427,4,FALSE),E171+F170)</f>
        <v>197.23285374027677</v>
      </c>
      <c r="G171" s="862"/>
      <c r="H171" s="1328" t="s">
        <v>263</v>
      </c>
      <c r="I171" s="1724"/>
      <c r="J171" s="1294"/>
      <c r="K171" s="1294"/>
      <c r="L171" s="1329" t="str">
        <f>IFERROR(INDEX('Lower Cask Movement &amp; Logistics'!$I$13:$O$19,MATCH($J171,'Lower Cask Movement &amp; Logistics'!$H$13:$H$19,0),MATCH($K171,'Lower Cask Movement &amp; Logistics'!$H$13:$H$19,0)),"N/A")</f>
        <v>N/A</v>
      </c>
      <c r="M171" s="1329" t="str">
        <f>IFERROR(VLOOKUP($I171,'Lower Cask Movement &amp; Logistics'!$H$4:$I$8,2,FALSE),"N/A")</f>
        <v>N/A</v>
      </c>
      <c r="N171" s="1330" t="str">
        <f t="shared" si="14"/>
        <v>N/A</v>
      </c>
      <c r="O171" s="1331" t="s">
        <v>1740</v>
      </c>
      <c r="P171" s="1332">
        <f>IF($D171="Logistics",VLOOKUP($O171,'Lower Cask Movement &amp; Logistics'!$C$4:$D$54,2,FALSE),"N/A")</f>
        <v>0.78</v>
      </c>
    </row>
    <row r="172" spans="2:16" x14ac:dyDescent="0.4">
      <c r="B172" s="3815"/>
      <c r="C172" s="1294" t="s">
        <v>1767</v>
      </c>
      <c r="D172" s="1294" t="s">
        <v>778</v>
      </c>
      <c r="E172" s="1292">
        <f t="shared" si="13"/>
        <v>0.69444444444444442</v>
      </c>
      <c r="F172" s="1292">
        <f>IF($D172="Trigger",VLOOKUP($C172,'Lower Cask Critical Path'!$C$6:$F$427,4,FALSE),E172+F171)</f>
        <v>197.92729818472122</v>
      </c>
      <c r="G172" s="862"/>
      <c r="H172" s="1328" t="s">
        <v>263</v>
      </c>
      <c r="I172" s="1724" t="s">
        <v>1538</v>
      </c>
      <c r="J172" s="1294" t="s">
        <v>799</v>
      </c>
      <c r="K172" s="1294" t="s">
        <v>1203</v>
      </c>
      <c r="L172" s="1329">
        <f>IFERROR(INDEX('Lower Cask Movement &amp; Logistics'!$I$13:$O$19,MATCH($J172,'Lower Cask Movement &amp; Logistics'!$H$13:$H$19,0),MATCH($K172,'Lower Cask Movement &amp; Logistics'!$H$13:$H$19,0)),"N/A")</f>
        <v>50</v>
      </c>
      <c r="M172" s="1329">
        <f>IFERROR(VLOOKUP($I172,'Lower Cask Movement &amp; Logistics'!$H$4:$I$8,2,FALSE),"N/A")</f>
        <v>0.02</v>
      </c>
      <c r="N172" s="1330">
        <f t="shared" si="14"/>
        <v>0.69444444444444442</v>
      </c>
      <c r="O172" s="1331"/>
      <c r="P172" s="1332" t="str">
        <f>IF($D172="Logistics",VLOOKUP($O172,'Lower Cask Movement &amp; Logistics'!$C$4:$D$54,2,FALSE),"N/A")</f>
        <v>N/A</v>
      </c>
    </row>
    <row r="173" spans="2:16" ht="26.6" thickBot="1" x14ac:dyDescent="0.45">
      <c r="B173" s="3816"/>
      <c r="C173" s="1340" t="s">
        <v>1786</v>
      </c>
      <c r="D173" s="1340" t="s">
        <v>11</v>
      </c>
      <c r="E173" s="1295">
        <f t="shared" si="13"/>
        <v>0</v>
      </c>
      <c r="F173" s="1295">
        <f>IF($D173="Trigger",VLOOKUP($C173,'Lower Cask Critical Path'!$C$6:$F$427,4,FALSE),E173+F172)</f>
        <v>197.92729818472122</v>
      </c>
      <c r="G173" s="839"/>
      <c r="H173" s="1341" t="s">
        <v>263</v>
      </c>
      <c r="I173" s="1727"/>
      <c r="J173" s="1340"/>
      <c r="K173" s="1340"/>
      <c r="L173" s="1342" t="str">
        <f>IFERROR(INDEX('Lower Cask Movement &amp; Logistics'!$I$13:$O$19,MATCH($J173,'Lower Cask Movement &amp; Logistics'!$H$13:$H$19,0),MATCH($K173,'Lower Cask Movement &amp; Logistics'!$H$13:$H$19,0)),"N/A")</f>
        <v>N/A</v>
      </c>
      <c r="M173" s="1342" t="str">
        <f>IFERROR(VLOOKUP($I173,'Lower Cask Movement &amp; Logistics'!$H$4:$I$8,2,FALSE),"N/A")</f>
        <v>N/A</v>
      </c>
      <c r="N173" s="1343" t="str">
        <f>IF(D173="Movement",IFERROR((L173/M173)/(60*60),"Error"),"N/A")</f>
        <v>N/A</v>
      </c>
      <c r="O173" s="1344"/>
      <c r="P173" s="1345" t="str">
        <f>IF($D173="Logistics",VLOOKUP($O173,'Lower Cask Movement &amp; Logistics'!$C$4:$D$54,2,FALSE),"N/A")</f>
        <v>N/A</v>
      </c>
    </row>
    <row r="174" spans="2:16" ht="15.75" customHeight="1" x14ac:dyDescent="0.4">
      <c r="B174" s="3787" t="s">
        <v>1687</v>
      </c>
      <c r="C174" s="617" t="s">
        <v>1682</v>
      </c>
      <c r="D174" s="617" t="s">
        <v>907</v>
      </c>
      <c r="E174" s="567">
        <f t="shared" si="13"/>
        <v>0</v>
      </c>
      <c r="F174" s="567">
        <f>IF($D174="Trigger",VLOOKUP($C174,'Lower Cask Critical Path'!$C$6:$F$427,4,FALSE),E174+F173)</f>
        <v>306.76340759454206</v>
      </c>
      <c r="G174" s="568"/>
      <c r="H174" s="569" t="s">
        <v>263</v>
      </c>
      <c r="I174" s="1270"/>
      <c r="J174" s="617"/>
      <c r="K174" s="617"/>
      <c r="L174" s="618" t="str">
        <f>IFERROR(INDEX('Lower Cask Movement &amp; Logistics'!$I$13:$O$19,MATCH($J174,'Lower Cask Movement &amp; Logistics'!$H$13:$H$19,0),MATCH($K174,'Lower Cask Movement &amp; Logistics'!$H$13:$H$19,0)),"N/A")</f>
        <v>N/A</v>
      </c>
      <c r="M174" s="618" t="str">
        <f>IFERROR(VLOOKUP($I174,'Lower Cask Movement &amp; Logistics'!$H$4:$I$8,2,FALSE),"N/A")</f>
        <v>N/A</v>
      </c>
      <c r="N174" s="619" t="str">
        <f t="shared" ref="N174:N224" si="15">IF(D174="Movement",IFERROR((L174/M174)/(60*60),"Error"),"N/A")</f>
        <v>N/A</v>
      </c>
      <c r="O174" s="620"/>
      <c r="P174" s="621" t="str">
        <f>IF($D174="Logistics",VLOOKUP($O174,'Lower Cask Movement &amp; Logistics'!$C$4:$D$54,2,FALSE),"N/A")</f>
        <v>N/A</v>
      </c>
    </row>
    <row r="175" spans="2:16" x14ac:dyDescent="0.4">
      <c r="B175" s="3786"/>
      <c r="C175" s="572" t="s">
        <v>1737</v>
      </c>
      <c r="D175" s="572" t="s">
        <v>778</v>
      </c>
      <c r="E175" s="574">
        <f t="shared" si="13"/>
        <v>0.23148148148148148</v>
      </c>
      <c r="F175" s="574">
        <f>IF($D175="Trigger",VLOOKUP($C175,'Lower Cask Critical Path'!$C$6:$F$427,4,FALSE),E175+F174)</f>
        <v>306.99488907602353</v>
      </c>
      <c r="G175" s="575"/>
      <c r="H175" s="576" t="s">
        <v>263</v>
      </c>
      <c r="I175" s="1281" t="s">
        <v>1536</v>
      </c>
      <c r="J175" s="572" t="s">
        <v>1203</v>
      </c>
      <c r="K175" s="572" t="s">
        <v>799</v>
      </c>
      <c r="L175" s="577">
        <f>IFERROR(INDEX('Lower Cask Movement &amp; Logistics'!$I$13:$O$19,MATCH($J175,'Lower Cask Movement &amp; Logistics'!$H$13:$H$19,0),MATCH($K175,'Lower Cask Movement &amp; Logistics'!$H$13:$H$19,0)),"N/A")</f>
        <v>50</v>
      </c>
      <c r="M175" s="577">
        <f>IFERROR(VLOOKUP($I175,'Lower Cask Movement &amp; Logistics'!$H$4:$I$8,2,FALSE),"N/A")</f>
        <v>0.06</v>
      </c>
      <c r="N175" s="578">
        <f t="shared" si="15"/>
        <v>0.23148148148148148</v>
      </c>
      <c r="O175" s="579"/>
      <c r="P175" s="580" t="str">
        <f>IF($D175="Logistics",VLOOKUP($O175,'Lower Cask Movement &amp; Logistics'!$C$4:$D$54,2,FALSE),"N/A")</f>
        <v>N/A</v>
      </c>
    </row>
    <row r="176" spans="2:16" x14ac:dyDescent="0.4">
      <c r="B176" s="3786"/>
      <c r="C176" s="572" t="s">
        <v>1733</v>
      </c>
      <c r="D176" s="572" t="s">
        <v>3</v>
      </c>
      <c r="E176" s="574">
        <f>MAX($P176,$N176,$H176)</f>
        <v>1.9</v>
      </c>
      <c r="F176" s="574">
        <f>IF($D176="Trigger",VLOOKUP($C176,'Lower Cask Critical Path'!$C$6:$F$427,4,FALSE),E176+F175)</f>
        <v>308.8948890760235</v>
      </c>
      <c r="G176" s="575"/>
      <c r="H176" s="576" t="s">
        <v>263</v>
      </c>
      <c r="I176" s="1281"/>
      <c r="J176" s="572"/>
      <c r="K176" s="572"/>
      <c r="L176" s="577" t="str">
        <f>IFERROR(INDEX('Lower Cask Movement &amp; Logistics'!$I$13:$O$19,MATCH($J176,'Lower Cask Movement &amp; Logistics'!$H$13:$H$19,0),MATCH($K176,'Lower Cask Movement &amp; Logistics'!$H$13:$H$19,0)),"N/A")</f>
        <v>N/A</v>
      </c>
      <c r="M176" s="577" t="str">
        <f>IFERROR(VLOOKUP($I176,'Lower Cask Movement &amp; Logistics'!$H$4:$I$8,2,FALSE),"N/A")</f>
        <v>N/A</v>
      </c>
      <c r="N176" s="578" t="str">
        <f>IF(D176="Movement",IFERROR((L176/M176)/(60*60),"Error"),"N/A")</f>
        <v>N/A</v>
      </c>
      <c r="O176" s="579" t="s">
        <v>1734</v>
      </c>
      <c r="P176" s="580">
        <f>IF($D176="Logistics",VLOOKUP($O176,'Lower Cask Movement &amp; Logistics'!$C$4:$D$54,2,FALSE),"N/A")</f>
        <v>1.9</v>
      </c>
    </row>
    <row r="177" spans="2:16" x14ac:dyDescent="0.4">
      <c r="B177" s="3786"/>
      <c r="C177" s="572" t="s">
        <v>1787</v>
      </c>
      <c r="D177" s="572" t="s">
        <v>3</v>
      </c>
      <c r="E177" s="574">
        <f t="shared" si="13"/>
        <v>0.78</v>
      </c>
      <c r="F177" s="574">
        <f>IF($D177="Trigger",VLOOKUP($C177,'Lower Cask Critical Path'!$C$6:$F$427,4,FALSE),E177+F176)</f>
        <v>309.67488907602348</v>
      </c>
      <c r="G177" s="575"/>
      <c r="H177" s="576" t="s">
        <v>263</v>
      </c>
      <c r="I177" s="1281"/>
      <c r="J177" s="572"/>
      <c r="K177" s="572"/>
      <c r="L177" s="577" t="str">
        <f>IFERROR(INDEX('Lower Cask Movement &amp; Logistics'!$I$13:$O$19,MATCH($J177,'Lower Cask Movement &amp; Logistics'!$H$13:$H$19,0),MATCH($K177,'Lower Cask Movement &amp; Logistics'!$H$13:$H$19,0)),"N/A")</f>
        <v>N/A</v>
      </c>
      <c r="M177" s="577" t="str">
        <f>IFERROR(VLOOKUP($I177,'Lower Cask Movement &amp; Logistics'!$H$4:$I$8,2,FALSE),"N/A")</f>
        <v>N/A</v>
      </c>
      <c r="N177" s="578" t="str">
        <f t="shared" si="15"/>
        <v>N/A</v>
      </c>
      <c r="O177" s="579" t="s">
        <v>1740</v>
      </c>
      <c r="P177" s="580">
        <f>IF($D177="Logistics",VLOOKUP($O177,'Lower Cask Movement &amp; Logistics'!$C$4:$D$54,2,FALSE),"N/A")</f>
        <v>0.78</v>
      </c>
    </row>
    <row r="178" spans="2:16" x14ac:dyDescent="0.4">
      <c r="B178" s="3786"/>
      <c r="C178" s="572" t="s">
        <v>1562</v>
      </c>
      <c r="D178" s="572" t="s">
        <v>3</v>
      </c>
      <c r="E178" s="574">
        <f t="shared" si="13"/>
        <v>2.3000000000000003</v>
      </c>
      <c r="F178" s="574">
        <f>IF($D178="Trigger",VLOOKUP($C178,'Lower Cask Critical Path'!$C$6:$F$427,4,FALSE),E178+F177)</f>
        <v>311.97488907602349</v>
      </c>
      <c r="G178" s="575"/>
      <c r="H178" s="576" t="s">
        <v>263</v>
      </c>
      <c r="I178" s="1281"/>
      <c r="J178" s="572"/>
      <c r="K178" s="572"/>
      <c r="L178" s="577" t="str">
        <f>IFERROR(INDEX('Lower Cask Movement &amp; Logistics'!$I$13:$O$19,MATCH($J178,'Lower Cask Movement &amp; Logistics'!$H$13:$H$19,0),MATCH($K178,'Lower Cask Movement &amp; Logistics'!$H$13:$H$19,0)),"N/A")</f>
        <v>N/A</v>
      </c>
      <c r="M178" s="577" t="str">
        <f>IFERROR(VLOOKUP($I178,'Lower Cask Movement &amp; Logistics'!$H$4:$I$8,2,FALSE),"N/A")</f>
        <v>N/A</v>
      </c>
      <c r="N178" s="578" t="str">
        <f>IF(D178="Movement",IFERROR((L178/M178)/(60*60),"Error"),"N/A")</f>
        <v>N/A</v>
      </c>
      <c r="O178" s="579" t="s">
        <v>1562</v>
      </c>
      <c r="P178" s="580">
        <f>IF($D178="Logistics",VLOOKUP($O178,'Lower Cask Movement &amp; Logistics'!$C$4:$D$54,2,FALSE),"N/A")</f>
        <v>2.3000000000000003</v>
      </c>
    </row>
    <row r="179" spans="2:16" x14ac:dyDescent="0.4">
      <c r="B179" s="3786"/>
      <c r="C179" s="572" t="s">
        <v>1788</v>
      </c>
      <c r="D179" s="572" t="s">
        <v>778</v>
      </c>
      <c r="E179" s="574">
        <f t="shared" si="13"/>
        <v>0.41666666666666669</v>
      </c>
      <c r="F179" s="574">
        <f>IF($D179="Trigger",VLOOKUP($C179,'Lower Cask Critical Path'!$C$6:$F$427,4,FALSE),E179+F178)</f>
        <v>312.39155574269017</v>
      </c>
      <c r="G179" s="575"/>
      <c r="H179" s="576" t="s">
        <v>263</v>
      </c>
      <c r="I179" s="1281" t="s">
        <v>1789</v>
      </c>
      <c r="J179" s="572" t="s">
        <v>901</v>
      </c>
      <c r="K179" s="572" t="s">
        <v>1203</v>
      </c>
      <c r="L179" s="577">
        <f>IFERROR(INDEX('Lower Cask Movement &amp; Logistics'!$I$13:$O$19,MATCH($J179,'Lower Cask Movement &amp; Logistics'!$H$13:$H$19,0),MATCH($K179,'Lower Cask Movement &amp; Logistics'!$H$13:$H$19,0)),"N/A")</f>
        <v>30</v>
      </c>
      <c r="M179" s="577">
        <f>IFERROR(VLOOKUP($I179,'Lower Cask Movement &amp; Logistics'!$H$4:$I$8,2,FALSE),"N/A")</f>
        <v>0.02</v>
      </c>
      <c r="N179" s="578">
        <f t="shared" si="15"/>
        <v>0.41666666666666669</v>
      </c>
      <c r="O179" s="579"/>
      <c r="P179" s="580" t="str">
        <f>IF($D179="Logistics",VLOOKUP($O179,'Lower Cask Movement &amp; Logistics'!$C$4:$D$54,2,FALSE),"N/A")</f>
        <v>N/A</v>
      </c>
    </row>
    <row r="180" spans="2:16" ht="26.6" thickBot="1" x14ac:dyDescent="0.45">
      <c r="B180" s="3788"/>
      <c r="C180" s="583" t="s">
        <v>1687</v>
      </c>
      <c r="D180" s="583" t="s">
        <v>11</v>
      </c>
      <c r="E180" s="585">
        <f t="shared" si="13"/>
        <v>0</v>
      </c>
      <c r="F180" s="585">
        <f>IF($D180="Trigger",VLOOKUP($C180,'Lower Cask Critical Path'!$C$6:$F$427,4,FALSE),E180+F179)</f>
        <v>312.39155574269017</v>
      </c>
      <c r="G180" s="586"/>
      <c r="H180" s="587" t="s">
        <v>263</v>
      </c>
      <c r="I180" s="1720"/>
      <c r="J180" s="583"/>
      <c r="K180" s="583"/>
      <c r="L180" s="588" t="str">
        <f>IFERROR(INDEX('Lower Cask Movement &amp; Logistics'!$I$13:$O$19,MATCH($J180,'Lower Cask Movement &amp; Logistics'!$H$13:$H$19,0),MATCH($K180,'Lower Cask Movement &amp; Logistics'!$H$13:$H$19,0)),"N/A")</f>
        <v>N/A</v>
      </c>
      <c r="M180" s="588" t="str">
        <f>IFERROR(VLOOKUP($I180,'Lower Cask Movement &amp; Logistics'!$H$4:$I$8,2,FALSE),"N/A")</f>
        <v>N/A</v>
      </c>
      <c r="N180" s="589" t="str">
        <f t="shared" si="15"/>
        <v>N/A</v>
      </c>
      <c r="O180" s="590"/>
      <c r="P180" s="591" t="str">
        <f>IF($D180="Logistics",VLOOKUP($O180,'Lower Cask Movement &amp; Logistics'!$C$4:$D$54,2,FALSE),"N/A")</f>
        <v>N/A</v>
      </c>
    </row>
    <row r="181" spans="2:16" x14ac:dyDescent="0.4">
      <c r="B181" s="3814" t="s">
        <v>1690</v>
      </c>
      <c r="C181" s="1324" t="s">
        <v>1686</v>
      </c>
      <c r="D181" s="1324" t="s">
        <v>907</v>
      </c>
      <c r="E181" s="1291">
        <f t="shared" si="13"/>
        <v>0</v>
      </c>
      <c r="F181" s="1291">
        <f>IF($D181="Trigger",VLOOKUP($C181,'Lower Cask Critical Path'!$C$6:$F$427,4,FALSE),E181+F180)</f>
        <v>312.67340759454203</v>
      </c>
      <c r="G181" s="825"/>
      <c r="H181" s="1323" t="s">
        <v>263</v>
      </c>
      <c r="I181" s="1721"/>
      <c r="J181" s="1324"/>
      <c r="K181" s="1324"/>
      <c r="L181" s="1325" t="str">
        <f>IFERROR(INDEX('Lower Cask Movement &amp; Logistics'!$I$13:$O$19,MATCH($J181,'Lower Cask Movement &amp; Logistics'!$H$13:$H$19,0),MATCH($K181,'Lower Cask Movement &amp; Logistics'!$H$13:$H$19,0)),"N/A")</f>
        <v>N/A</v>
      </c>
      <c r="M181" s="1325" t="str">
        <f>IFERROR(VLOOKUP($I181,'Lower Cask Movement &amp; Logistics'!$H$4:$I$8,2,FALSE),"N/A")</f>
        <v>N/A</v>
      </c>
      <c r="N181" s="1326" t="str">
        <f t="shared" si="15"/>
        <v>N/A</v>
      </c>
      <c r="O181" s="1327"/>
      <c r="P181" s="824" t="str">
        <f>IF($D181="Logistics",VLOOKUP($O181,'Lower Cask Movement &amp; Logistics'!$C$4:$D$54,2,FALSE),"N/A")</f>
        <v>N/A</v>
      </c>
    </row>
    <row r="182" spans="2:16" x14ac:dyDescent="0.4">
      <c r="B182" s="3815"/>
      <c r="C182" s="1294" t="s">
        <v>1783</v>
      </c>
      <c r="D182" s="1294" t="s">
        <v>778</v>
      </c>
      <c r="E182" s="1292">
        <f t="shared" si="13"/>
        <v>0.23148148148148148</v>
      </c>
      <c r="F182" s="1292">
        <f>IF($D182="Trigger",VLOOKUP($C182,'Lower Cask Critical Path'!$C$6:$F$427,4,FALSE),E182+F181)</f>
        <v>312.90488907602349</v>
      </c>
      <c r="G182" s="862"/>
      <c r="H182" s="1328" t="s">
        <v>263</v>
      </c>
      <c r="I182" s="1724" t="s">
        <v>1536</v>
      </c>
      <c r="J182" s="1294" t="s">
        <v>1203</v>
      </c>
      <c r="K182" s="1294" t="s">
        <v>914</v>
      </c>
      <c r="L182" s="1329">
        <f>IFERROR(INDEX('Lower Cask Movement &amp; Logistics'!$I$13:$O$19,MATCH($J182,'Lower Cask Movement &amp; Logistics'!$H$13:$H$19,0),MATCH($K182,'Lower Cask Movement &amp; Logistics'!$H$13:$H$19,0)),"N/A")</f>
        <v>50</v>
      </c>
      <c r="M182" s="1329">
        <f>IFERROR(VLOOKUP($I182,'Lower Cask Movement &amp; Logistics'!$H$4:$I$8,2,FALSE),"N/A")</f>
        <v>0.06</v>
      </c>
      <c r="N182" s="1330">
        <f t="shared" si="15"/>
        <v>0.23148148148148148</v>
      </c>
      <c r="O182" s="1331"/>
      <c r="P182" s="1332" t="str">
        <f>IF($D182="Logistics",VLOOKUP($O182,'Lower Cask Movement &amp; Logistics'!$C$4:$D$54,2,FALSE),"N/A")</f>
        <v>N/A</v>
      </c>
    </row>
    <row r="183" spans="2:16" x14ac:dyDescent="0.4">
      <c r="B183" s="3815"/>
      <c r="C183" s="1294" t="s">
        <v>1742</v>
      </c>
      <c r="D183" s="1294" t="s">
        <v>3</v>
      </c>
      <c r="E183" s="1292">
        <f t="shared" si="13"/>
        <v>0.58000000000000007</v>
      </c>
      <c r="F183" s="1292">
        <f>IF($D183="Trigger",VLOOKUP($C183,'Lower Cask Critical Path'!$C$6:$F$427,4,FALSE),E183+F182)</f>
        <v>313.48488907602348</v>
      </c>
      <c r="G183" s="862"/>
      <c r="H183" s="1328" t="s">
        <v>263</v>
      </c>
      <c r="I183" s="1724"/>
      <c r="J183" s="1294"/>
      <c r="K183" s="1294"/>
      <c r="L183" s="1329" t="str">
        <f>IFERROR(INDEX('Lower Cask Movement &amp; Logistics'!$I$13:$O$19,MATCH($J183,'Lower Cask Movement &amp; Logistics'!$H$13:$H$19,0),MATCH($K183,'Lower Cask Movement &amp; Logistics'!$H$13:$H$19,0)),"N/A")</f>
        <v>N/A</v>
      </c>
      <c r="M183" s="1329" t="str">
        <f>IFERROR(VLOOKUP($I183,'Lower Cask Movement &amp; Logistics'!$H$4:$I$8,2,FALSE),"N/A")</f>
        <v>N/A</v>
      </c>
      <c r="N183" s="1330" t="str">
        <f t="shared" si="15"/>
        <v>N/A</v>
      </c>
      <c r="O183" s="1331" t="s">
        <v>1539</v>
      </c>
      <c r="P183" s="1332">
        <f>IF($D183="Logistics",VLOOKUP($O183,'Lower Cask Movement &amp; Logistics'!$C$4:$D$54,2,FALSE),"N/A")</f>
        <v>0.58000000000000007</v>
      </c>
    </row>
    <row r="184" spans="2:16" x14ac:dyDescent="0.4">
      <c r="B184" s="3815"/>
      <c r="C184" s="1294" t="s">
        <v>1737</v>
      </c>
      <c r="D184" s="1294" t="s">
        <v>778</v>
      </c>
      <c r="E184" s="1292">
        <f t="shared" si="13"/>
        <v>2.7777777777777776E-2</v>
      </c>
      <c r="F184" s="1292">
        <f>IF($D184="Trigger",VLOOKUP($C184,'Lower Cask Critical Path'!$C$6:$F$427,4,FALSE),E184+F183)</f>
        <v>313.51266685380125</v>
      </c>
      <c r="G184" s="862"/>
      <c r="H184" s="1328" t="s">
        <v>263</v>
      </c>
      <c r="I184" s="1724" t="s">
        <v>1738</v>
      </c>
      <c r="J184" s="1294" t="s">
        <v>914</v>
      </c>
      <c r="K184" s="1294" t="s">
        <v>799</v>
      </c>
      <c r="L184" s="1329">
        <f>IFERROR(INDEX('Lower Cask Movement &amp; Logistics'!$I$13:$O$19,MATCH($J184,'Lower Cask Movement &amp; Logistics'!$H$13:$H$19,0),MATCH($K184,'Lower Cask Movement &amp; Logistics'!$H$13:$H$19,0)),"N/A")</f>
        <v>20</v>
      </c>
      <c r="M184" s="1329">
        <f>IFERROR(VLOOKUP($I184,'Lower Cask Movement &amp; Logistics'!$H$4:$I$8,2,FALSE),"N/A")</f>
        <v>0.2</v>
      </c>
      <c r="N184" s="1330">
        <f t="shared" si="15"/>
        <v>2.7777777777777776E-2</v>
      </c>
      <c r="O184" s="1331"/>
      <c r="P184" s="1332" t="str">
        <f>IF($D184="Logistics",VLOOKUP($O184,'Lower Cask Movement &amp; Logistics'!$C$4:$D$54,2,FALSE),"N/A")</f>
        <v>N/A</v>
      </c>
    </row>
    <row r="185" spans="2:16" x14ac:dyDescent="0.4">
      <c r="B185" s="3815"/>
      <c r="C185" s="1294" t="s">
        <v>1790</v>
      </c>
      <c r="D185" s="1294" t="s">
        <v>3</v>
      </c>
      <c r="E185" s="1292">
        <f t="shared" si="13"/>
        <v>0.78</v>
      </c>
      <c r="F185" s="1292">
        <f>IF($D185="Trigger",VLOOKUP($C185,'Lower Cask Critical Path'!$C$6:$F$427,4,FALSE),E185+F184)</f>
        <v>314.29266685380122</v>
      </c>
      <c r="G185" s="862"/>
      <c r="H185" s="1328" t="s">
        <v>263</v>
      </c>
      <c r="I185" s="1724"/>
      <c r="J185" s="1294"/>
      <c r="K185" s="1294"/>
      <c r="L185" s="1329" t="str">
        <f>IFERROR(INDEX('Lower Cask Movement &amp; Logistics'!$I$13:$O$19,MATCH($J185,'Lower Cask Movement &amp; Logistics'!$H$13:$H$19,0),MATCH($K185,'Lower Cask Movement &amp; Logistics'!$H$13:$H$19,0)),"N/A")</f>
        <v>N/A</v>
      </c>
      <c r="M185" s="1329" t="str">
        <f>IFERROR(VLOOKUP($I185,'Lower Cask Movement &amp; Logistics'!$H$4:$I$8,2,FALSE),"N/A")</f>
        <v>N/A</v>
      </c>
      <c r="N185" s="1330" t="str">
        <f t="shared" si="15"/>
        <v>N/A</v>
      </c>
      <c r="O185" s="1331" t="s">
        <v>1740</v>
      </c>
      <c r="P185" s="1332">
        <f>IF($D185="Logistics",VLOOKUP($O185,'Lower Cask Movement &amp; Logistics'!$C$4:$D$54,2,FALSE),"N/A")</f>
        <v>0.78</v>
      </c>
    </row>
    <row r="186" spans="2:16" x14ac:dyDescent="0.4">
      <c r="B186" s="3815"/>
      <c r="C186" s="1294" t="s">
        <v>1767</v>
      </c>
      <c r="D186" s="1294" t="s">
        <v>778</v>
      </c>
      <c r="E186" s="1292">
        <f t="shared" si="13"/>
        <v>0.69444444444444442</v>
      </c>
      <c r="F186" s="1292">
        <f>IF($D186="Trigger",VLOOKUP($C186,'Lower Cask Critical Path'!$C$6:$F$427,4,FALSE),E186+F185)</f>
        <v>314.98711129824568</v>
      </c>
      <c r="G186" s="862"/>
      <c r="H186" s="1328" t="s">
        <v>263</v>
      </c>
      <c r="I186" s="1724" t="s">
        <v>1538</v>
      </c>
      <c r="J186" s="1294" t="s">
        <v>799</v>
      </c>
      <c r="K186" s="1294" t="s">
        <v>1203</v>
      </c>
      <c r="L186" s="1329">
        <f>IFERROR(INDEX('Lower Cask Movement &amp; Logistics'!$I$13:$O$19,MATCH($J186,'Lower Cask Movement &amp; Logistics'!$H$13:$H$19,0),MATCH($K186,'Lower Cask Movement &amp; Logistics'!$H$13:$H$19,0)),"N/A")</f>
        <v>50</v>
      </c>
      <c r="M186" s="1329">
        <f>IFERROR(VLOOKUP($I186,'Lower Cask Movement &amp; Logistics'!$H$4:$I$8,2,FALSE),"N/A")</f>
        <v>0.02</v>
      </c>
      <c r="N186" s="1330">
        <f t="shared" si="15"/>
        <v>0.69444444444444442</v>
      </c>
      <c r="O186" s="1331"/>
      <c r="P186" s="1332" t="str">
        <f>IF($D186="Logistics",VLOOKUP($O186,'Lower Cask Movement &amp; Logistics'!$C$4:$D$54,2,FALSE),"N/A")</f>
        <v>N/A</v>
      </c>
    </row>
    <row r="187" spans="2:16" ht="26.6" thickBot="1" x14ac:dyDescent="0.45">
      <c r="B187" s="3816"/>
      <c r="C187" s="1340" t="s">
        <v>1690</v>
      </c>
      <c r="D187" s="1340" t="s">
        <v>11</v>
      </c>
      <c r="E187" s="1295">
        <f t="shared" si="13"/>
        <v>0</v>
      </c>
      <c r="F187" s="1295">
        <f>IF($D187="Trigger",VLOOKUP($C187,'Lower Cask Critical Path'!$C$6:$F$427,4,FALSE),E187+F186)</f>
        <v>314.98711129824568</v>
      </c>
      <c r="G187" s="839"/>
      <c r="H187" s="1341" t="s">
        <v>263</v>
      </c>
      <c r="I187" s="1727"/>
      <c r="J187" s="1340"/>
      <c r="K187" s="1340"/>
      <c r="L187" s="1342" t="str">
        <f>IFERROR(INDEX('Lower Cask Movement &amp; Logistics'!$I$13:$O$19,MATCH($J187,'Lower Cask Movement &amp; Logistics'!$H$13:$H$19,0),MATCH($K187,'Lower Cask Movement &amp; Logistics'!$H$13:$H$19,0)),"N/A")</f>
        <v>N/A</v>
      </c>
      <c r="M187" s="1342" t="str">
        <f>IFERROR(VLOOKUP($I187,'Lower Cask Movement &amp; Logistics'!$H$4:$I$8,2,FALSE),"N/A")</f>
        <v>N/A</v>
      </c>
      <c r="N187" s="1343" t="str">
        <f t="shared" si="15"/>
        <v>N/A</v>
      </c>
      <c r="O187" s="1344"/>
      <c r="P187" s="1345" t="str">
        <f>IF($D187="Logistics",VLOOKUP($O187,'Lower Cask Movement &amp; Logistics'!$C$4:$D$54,2,FALSE),"N/A")</f>
        <v>N/A</v>
      </c>
    </row>
    <row r="188" spans="2:16" ht="15.75" customHeight="1" x14ac:dyDescent="0.4">
      <c r="B188" s="3787" t="s">
        <v>1701</v>
      </c>
      <c r="C188" s="617" t="s">
        <v>1688</v>
      </c>
      <c r="D188" s="617" t="s">
        <v>907</v>
      </c>
      <c r="E188" s="567">
        <f t="shared" si="13"/>
        <v>0</v>
      </c>
      <c r="F188" s="567">
        <f>IF($D188="Trigger",VLOOKUP($C188,'Lower Cask Critical Path'!$C$6:$F$427,4,FALSE),E188+F187)</f>
        <v>318.583407594542</v>
      </c>
      <c r="G188" s="568"/>
      <c r="H188" s="569" t="s">
        <v>263</v>
      </c>
      <c r="I188" s="1270"/>
      <c r="J188" s="617"/>
      <c r="K188" s="617"/>
      <c r="L188" s="618" t="str">
        <f>IFERROR(INDEX('Lower Cask Movement &amp; Logistics'!$I$13:$O$19,MATCH($J188,'Lower Cask Movement &amp; Logistics'!$H$13:$H$19,0),MATCH($K188,'Lower Cask Movement &amp; Logistics'!$H$13:$H$19,0)),"N/A")</f>
        <v>N/A</v>
      </c>
      <c r="M188" s="618" t="str">
        <f>IFERROR(VLOOKUP($I188,'Lower Cask Movement &amp; Logistics'!$H$4:$I$8,2,FALSE),"N/A")</f>
        <v>N/A</v>
      </c>
      <c r="N188" s="619" t="str">
        <f t="shared" si="15"/>
        <v>N/A</v>
      </c>
      <c r="O188" s="620"/>
      <c r="P188" s="621" t="str">
        <f>IF($D188="Logistics",VLOOKUP($O188,'Lower Cask Movement &amp; Logistics'!$C$4:$D$54,2,FALSE),"N/A")</f>
        <v>N/A</v>
      </c>
    </row>
    <row r="189" spans="2:16" x14ac:dyDescent="0.4">
      <c r="B189" s="3786"/>
      <c r="C189" s="572" t="s">
        <v>1783</v>
      </c>
      <c r="D189" s="572" t="s">
        <v>778</v>
      </c>
      <c r="E189" s="574">
        <f t="shared" si="13"/>
        <v>0.23148148148148148</v>
      </c>
      <c r="F189" s="574">
        <f>IF($D189="Trigger",VLOOKUP($C189,'Lower Cask Critical Path'!$C$6:$F$427,4,FALSE),E189+F188)</f>
        <v>318.81488907602346</v>
      </c>
      <c r="G189" s="575"/>
      <c r="H189" s="576" t="s">
        <v>263</v>
      </c>
      <c r="I189" s="1281" t="s">
        <v>1536</v>
      </c>
      <c r="J189" s="572" t="s">
        <v>1203</v>
      </c>
      <c r="K189" s="572" t="s">
        <v>914</v>
      </c>
      <c r="L189" s="577">
        <f>IFERROR(INDEX('Lower Cask Movement &amp; Logistics'!$I$13:$O$19,MATCH($J189,'Lower Cask Movement &amp; Logistics'!$H$13:$H$19,0),MATCH($K189,'Lower Cask Movement &amp; Logistics'!$H$13:$H$19,0)),"N/A")</f>
        <v>50</v>
      </c>
      <c r="M189" s="577">
        <f>IFERROR(VLOOKUP($I189,'Lower Cask Movement &amp; Logistics'!$H$4:$I$8,2,FALSE),"N/A")</f>
        <v>0.06</v>
      </c>
      <c r="N189" s="578">
        <f t="shared" si="15"/>
        <v>0.23148148148148148</v>
      </c>
      <c r="O189" s="579"/>
      <c r="P189" s="580" t="str">
        <f>IF($D189="Logistics",VLOOKUP($O189,'Lower Cask Movement &amp; Logistics'!$C$4:$D$54,2,FALSE),"N/A")</f>
        <v>N/A</v>
      </c>
    </row>
    <row r="190" spans="2:16" x14ac:dyDescent="0.4">
      <c r="B190" s="3786"/>
      <c r="C190" s="572" t="s">
        <v>1742</v>
      </c>
      <c r="D190" s="572" t="s">
        <v>3</v>
      </c>
      <c r="E190" s="574">
        <f t="shared" si="13"/>
        <v>0.58000000000000007</v>
      </c>
      <c r="F190" s="574">
        <f>IF($D190="Trigger",VLOOKUP($C190,'Lower Cask Critical Path'!$C$6:$F$427,4,FALSE),E190+F189)</f>
        <v>319.39488907602345</v>
      </c>
      <c r="G190" s="575"/>
      <c r="H190" s="576" t="s">
        <v>263</v>
      </c>
      <c r="I190" s="1281"/>
      <c r="J190" s="572"/>
      <c r="K190" s="572"/>
      <c r="L190" s="577" t="str">
        <f>IFERROR(INDEX('Lower Cask Movement &amp; Logistics'!$I$13:$O$19,MATCH($J190,'Lower Cask Movement &amp; Logistics'!$H$13:$H$19,0),MATCH($K190,'Lower Cask Movement &amp; Logistics'!$H$13:$H$19,0)),"N/A")</f>
        <v>N/A</v>
      </c>
      <c r="M190" s="577" t="str">
        <f>IFERROR(VLOOKUP($I190,'Lower Cask Movement &amp; Logistics'!$H$4:$I$8,2,FALSE),"N/A")</f>
        <v>N/A</v>
      </c>
      <c r="N190" s="578" t="str">
        <f t="shared" si="15"/>
        <v>N/A</v>
      </c>
      <c r="O190" s="579" t="s">
        <v>1539</v>
      </c>
      <c r="P190" s="580">
        <f>IF($D190="Logistics",VLOOKUP($O190,'Lower Cask Movement &amp; Logistics'!$C$4:$D$54,2,FALSE),"N/A")</f>
        <v>0.58000000000000007</v>
      </c>
    </row>
    <row r="191" spans="2:16" x14ac:dyDescent="0.4">
      <c r="B191" s="3786"/>
      <c r="C191" s="572" t="s">
        <v>1737</v>
      </c>
      <c r="D191" s="572" t="s">
        <v>778</v>
      </c>
      <c r="E191" s="574">
        <f t="shared" si="13"/>
        <v>2.7777777777777776E-2</v>
      </c>
      <c r="F191" s="574">
        <f>IF($D191="Trigger",VLOOKUP($C191,'Lower Cask Critical Path'!$C$6:$F$427,4,FALSE),E191+F190)</f>
        <v>319.42266685380122</v>
      </c>
      <c r="G191" s="575"/>
      <c r="H191" s="576" t="s">
        <v>263</v>
      </c>
      <c r="I191" s="1281" t="s">
        <v>1738</v>
      </c>
      <c r="J191" s="572" t="s">
        <v>914</v>
      </c>
      <c r="K191" s="572" t="s">
        <v>799</v>
      </c>
      <c r="L191" s="577">
        <f>IFERROR(INDEX('Lower Cask Movement &amp; Logistics'!$I$13:$O$19,MATCH($J191,'Lower Cask Movement &amp; Logistics'!$H$13:$H$19,0),MATCH($K191,'Lower Cask Movement &amp; Logistics'!$H$13:$H$19,0)),"N/A")</f>
        <v>20</v>
      </c>
      <c r="M191" s="577">
        <f>IFERROR(VLOOKUP($I191,'Lower Cask Movement &amp; Logistics'!$H$4:$I$8,2,FALSE),"N/A")</f>
        <v>0.2</v>
      </c>
      <c r="N191" s="578">
        <f t="shared" si="15"/>
        <v>2.7777777777777776E-2</v>
      </c>
      <c r="O191" s="579"/>
      <c r="P191" s="580" t="str">
        <f>IF($D191="Logistics",VLOOKUP($O191,'Lower Cask Movement &amp; Logistics'!$C$4:$D$54,2,FALSE),"N/A")</f>
        <v>N/A</v>
      </c>
    </row>
    <row r="192" spans="2:16" x14ac:dyDescent="0.4">
      <c r="B192" s="3786"/>
      <c r="C192" s="572" t="s">
        <v>1791</v>
      </c>
      <c r="D192" s="572" t="s">
        <v>3</v>
      </c>
      <c r="E192" s="574">
        <f t="shared" si="13"/>
        <v>0.58000000000000007</v>
      </c>
      <c r="F192" s="574">
        <f>IF($D192="Trigger",VLOOKUP($C192,'Lower Cask Critical Path'!$C$6:$F$427,4,FALSE),E192+F191)</f>
        <v>320.0026668538012</v>
      </c>
      <c r="G192" s="575"/>
      <c r="H192" s="576" t="s">
        <v>263</v>
      </c>
      <c r="I192" s="1281"/>
      <c r="J192" s="572"/>
      <c r="K192" s="572"/>
      <c r="L192" s="577" t="str">
        <f>IFERROR(INDEX('Lower Cask Movement &amp; Logistics'!$I$13:$O$19,MATCH($J192,'Lower Cask Movement &amp; Logistics'!$H$13:$H$19,0),MATCH($K192,'Lower Cask Movement &amp; Logistics'!$H$13:$H$19,0)),"N/A")</f>
        <v>N/A</v>
      </c>
      <c r="M192" s="577" t="str">
        <f>IFERROR(VLOOKUP($I192,'Lower Cask Movement &amp; Logistics'!$H$4:$I$8,2,FALSE),"N/A")</f>
        <v>N/A</v>
      </c>
      <c r="N192" s="578" t="str">
        <f t="shared" si="15"/>
        <v>N/A</v>
      </c>
      <c r="O192" s="579" t="s">
        <v>796</v>
      </c>
      <c r="P192" s="580">
        <f>IF($D192="Logistics",VLOOKUP($O192,'Lower Cask Movement &amp; Logistics'!$C$4:$D$54,2,FALSE),"N/A")</f>
        <v>0.58000000000000007</v>
      </c>
    </row>
    <row r="193" spans="2:16" x14ac:dyDescent="0.4">
      <c r="B193" s="3786"/>
      <c r="C193" s="572" t="s">
        <v>1792</v>
      </c>
      <c r="D193" s="572" t="s">
        <v>778</v>
      </c>
      <c r="E193" s="574">
        <f t="shared" si="13"/>
        <v>0.41666666666666669</v>
      </c>
      <c r="F193" s="574">
        <f>IF($D193="Trigger",VLOOKUP($C193,'Lower Cask Critical Path'!$C$6:$F$427,4,FALSE),E193+F192)</f>
        <v>320.41933352046789</v>
      </c>
      <c r="G193" s="575"/>
      <c r="H193" s="576" t="s">
        <v>263</v>
      </c>
      <c r="I193" s="1281" t="s">
        <v>1789</v>
      </c>
      <c r="J193" s="572" t="s">
        <v>901</v>
      </c>
      <c r="K193" s="572" t="s">
        <v>1203</v>
      </c>
      <c r="L193" s="577">
        <f>IFERROR(INDEX('Lower Cask Movement &amp; Logistics'!$I$13:$O$19,MATCH($J193,'Lower Cask Movement &amp; Logistics'!$H$13:$H$19,0),MATCH($K193,'Lower Cask Movement &amp; Logistics'!$H$13:$H$19,0)),"N/A")</f>
        <v>30</v>
      </c>
      <c r="M193" s="577">
        <f>IFERROR(VLOOKUP($I193,'Lower Cask Movement &amp; Logistics'!$H$4:$I$8,2,FALSE),"N/A")</f>
        <v>0.02</v>
      </c>
      <c r="N193" s="578">
        <f t="shared" si="15"/>
        <v>0.41666666666666669</v>
      </c>
      <c r="O193" s="579"/>
      <c r="P193" s="580" t="str">
        <f>IF($D193="Logistics",VLOOKUP($O193,'Lower Cask Movement &amp; Logistics'!$C$4:$D$54,2,FALSE),"N/A")</f>
        <v>N/A</v>
      </c>
    </row>
    <row r="194" spans="2:16" ht="26.6" thickBot="1" x14ac:dyDescent="0.45">
      <c r="B194" s="3788"/>
      <c r="C194" s="583" t="str">
        <f>B188</f>
        <v>Store Cassette Transport Cask; Collect shielding modules cask; Move shielding modules to Lower Port</v>
      </c>
      <c r="D194" s="583" t="s">
        <v>11</v>
      </c>
      <c r="E194" s="585">
        <f t="shared" si="13"/>
        <v>0</v>
      </c>
      <c r="F194" s="585">
        <f>IF($D194="Trigger",VLOOKUP($C194,'Lower Cask Critical Path'!$C$6:$F$427,4,FALSE),E194+F193)</f>
        <v>320.41933352046789</v>
      </c>
      <c r="G194" s="586"/>
      <c r="H194" s="587" t="s">
        <v>263</v>
      </c>
      <c r="I194" s="1720"/>
      <c r="J194" s="583"/>
      <c r="K194" s="583"/>
      <c r="L194" s="588" t="str">
        <f>IFERROR(INDEX('Lower Cask Movement &amp; Logistics'!$I$13:$O$19,MATCH($J194,'Lower Cask Movement &amp; Logistics'!$H$13:$H$19,0),MATCH($K194,'Lower Cask Movement &amp; Logistics'!$H$13:$H$19,0)),"N/A")</f>
        <v>N/A</v>
      </c>
      <c r="M194" s="588" t="str">
        <f>IFERROR(VLOOKUP($I194,'Lower Cask Movement &amp; Logistics'!$H$4:$I$8,2,FALSE),"N/A")</f>
        <v>N/A</v>
      </c>
      <c r="N194" s="589" t="str">
        <f t="shared" si="15"/>
        <v>N/A</v>
      </c>
      <c r="O194" s="590"/>
      <c r="P194" s="591" t="str">
        <f>IF($D194="Logistics",VLOOKUP($O194,'Lower Cask Movement &amp; Logistics'!$C$4:$D$54,2,FALSE),"N/A")</f>
        <v>N/A</v>
      </c>
    </row>
    <row r="195" spans="2:16" ht="15.75" customHeight="1" x14ac:dyDescent="0.4">
      <c r="B195" s="3814" t="s">
        <v>1706</v>
      </c>
      <c r="C195" s="1324" t="s">
        <v>1699</v>
      </c>
      <c r="D195" s="1324" t="s">
        <v>907</v>
      </c>
      <c r="E195" s="1291">
        <f t="shared" si="13"/>
        <v>0</v>
      </c>
      <c r="F195" s="1291">
        <f>IF($D195="Trigger",VLOOKUP($C195,'Lower Cask Critical Path'!$C$6:$F$427,4,FALSE),E195+F194)</f>
        <v>392.87857952197623</v>
      </c>
      <c r="G195" s="825"/>
      <c r="H195" s="1323" t="s">
        <v>263</v>
      </c>
      <c r="I195" s="1721"/>
      <c r="J195" s="1324"/>
      <c r="K195" s="1324"/>
      <c r="L195" s="1325" t="str">
        <f>IFERROR(INDEX('Lower Cask Movement &amp; Logistics'!$I$13:$O$19,MATCH($J195,'Lower Cask Movement &amp; Logistics'!$H$13:$H$19,0),MATCH($K195,'Lower Cask Movement &amp; Logistics'!$H$13:$H$19,0)),"N/A")</f>
        <v>N/A</v>
      </c>
      <c r="M195" s="1325" t="str">
        <f>IFERROR(VLOOKUP($I195,'Lower Cask Movement &amp; Logistics'!$H$4:$I$8,2,FALSE),"N/A")</f>
        <v>N/A</v>
      </c>
      <c r="N195" s="1326" t="str">
        <f t="shared" si="15"/>
        <v>N/A</v>
      </c>
      <c r="O195" s="1327"/>
      <c r="P195" s="824" t="str">
        <f>IF($D195="Logistics",VLOOKUP($O195,'Lower Cask Movement &amp; Logistics'!$C$4:$D$54,2,FALSE),"N/A")</f>
        <v>N/A</v>
      </c>
    </row>
    <row r="196" spans="2:16" x14ac:dyDescent="0.4">
      <c r="B196" s="3815"/>
      <c r="C196" s="1294" t="s">
        <v>1783</v>
      </c>
      <c r="D196" s="1294" t="s">
        <v>778</v>
      </c>
      <c r="E196" s="1292">
        <f t="shared" si="13"/>
        <v>0.23148148148148148</v>
      </c>
      <c r="F196" s="1292">
        <f>IF($D196="Trigger",VLOOKUP($C196,'Lower Cask Critical Path'!$C$6:$F$427,4,FALSE),E196+F195)</f>
        <v>393.1100610034577</v>
      </c>
      <c r="G196" s="862"/>
      <c r="H196" s="1328" t="s">
        <v>263</v>
      </c>
      <c r="I196" s="1724" t="s">
        <v>1536</v>
      </c>
      <c r="J196" s="1294" t="s">
        <v>1203</v>
      </c>
      <c r="K196" s="1294" t="s">
        <v>914</v>
      </c>
      <c r="L196" s="1329">
        <f>IFERROR(INDEX('Lower Cask Movement &amp; Logistics'!$I$13:$O$19,MATCH($J196,'Lower Cask Movement &amp; Logistics'!$H$13:$H$19,0),MATCH($K196,'Lower Cask Movement &amp; Logistics'!$H$13:$H$19,0)),"N/A")</f>
        <v>50</v>
      </c>
      <c r="M196" s="1329">
        <f>IFERROR(VLOOKUP($I196,'Lower Cask Movement &amp; Logistics'!$H$4:$I$8,2,FALSE),"N/A")</f>
        <v>0.06</v>
      </c>
      <c r="N196" s="1330">
        <f t="shared" si="15"/>
        <v>0.23148148148148148</v>
      </c>
      <c r="O196" s="1331"/>
      <c r="P196" s="1332" t="str">
        <f>IF($D196="Logistics",VLOOKUP($O196,'Lower Cask Movement &amp; Logistics'!$C$4:$D$54,2,FALSE),"N/A")</f>
        <v>N/A</v>
      </c>
    </row>
    <row r="197" spans="2:16" x14ac:dyDescent="0.4">
      <c r="B197" s="3815"/>
      <c r="C197" s="1294" t="s">
        <v>1793</v>
      </c>
      <c r="D197" s="1294" t="s">
        <v>3</v>
      </c>
      <c r="E197" s="1292">
        <f t="shared" si="13"/>
        <v>0.58000000000000007</v>
      </c>
      <c r="F197" s="1292">
        <f>IF($D197="Trigger",VLOOKUP($C197,'Lower Cask Critical Path'!$C$6:$F$427,4,FALSE),E197+F196)</f>
        <v>393.69006100345769</v>
      </c>
      <c r="G197" s="862"/>
      <c r="H197" s="1328" t="s">
        <v>263</v>
      </c>
      <c r="I197" s="1724"/>
      <c r="J197" s="1294"/>
      <c r="K197" s="1294"/>
      <c r="L197" s="1329" t="str">
        <f>IFERROR(INDEX('Lower Cask Movement &amp; Logistics'!$I$13:$O$19,MATCH($J197,'Lower Cask Movement &amp; Logistics'!$H$13:$H$19,0),MATCH($K197,'Lower Cask Movement &amp; Logistics'!$H$13:$H$19,0)),"N/A")</f>
        <v>N/A</v>
      </c>
      <c r="M197" s="1329" t="str">
        <f>IFERROR(VLOOKUP($I197,'Lower Cask Movement &amp; Logistics'!$H$4:$I$8,2,FALSE),"N/A")</f>
        <v>N/A</v>
      </c>
      <c r="N197" s="1330" t="str">
        <f t="shared" si="15"/>
        <v>N/A</v>
      </c>
      <c r="O197" s="1331" t="s">
        <v>1539</v>
      </c>
      <c r="P197" s="1332">
        <f>IF($D197="Logistics",VLOOKUP($O197,'Lower Cask Movement &amp; Logistics'!$C$4:$D$54,2,FALSE),"N/A")</f>
        <v>0.58000000000000007</v>
      </c>
    </row>
    <row r="198" spans="2:16" x14ac:dyDescent="0.4">
      <c r="B198" s="3815"/>
      <c r="C198" s="1294" t="s">
        <v>1737</v>
      </c>
      <c r="D198" s="1294" t="s">
        <v>778</v>
      </c>
      <c r="E198" s="1292">
        <f t="shared" si="13"/>
        <v>2.7777777777777776E-2</v>
      </c>
      <c r="F198" s="1292">
        <f>IF($D198="Trigger",VLOOKUP($C198,'Lower Cask Critical Path'!$C$6:$F$427,4,FALSE),E198+F197)</f>
        <v>393.71783878123546</v>
      </c>
      <c r="G198" s="862"/>
      <c r="H198" s="1328" t="s">
        <v>263</v>
      </c>
      <c r="I198" s="1724" t="s">
        <v>1738</v>
      </c>
      <c r="J198" s="1294" t="s">
        <v>914</v>
      </c>
      <c r="K198" s="1294" t="s">
        <v>799</v>
      </c>
      <c r="L198" s="1329">
        <f>IFERROR(INDEX('Lower Cask Movement &amp; Logistics'!$I$13:$O$19,MATCH($J198,'Lower Cask Movement &amp; Logistics'!$H$13:$H$19,0),MATCH($K198,'Lower Cask Movement &amp; Logistics'!$H$13:$H$19,0)),"N/A")</f>
        <v>20</v>
      </c>
      <c r="M198" s="1329">
        <f>IFERROR(VLOOKUP($I198,'Lower Cask Movement &amp; Logistics'!$H$4:$I$8,2,FALSE),"N/A")</f>
        <v>0.2</v>
      </c>
      <c r="N198" s="1330">
        <f t="shared" si="15"/>
        <v>2.7777777777777776E-2</v>
      </c>
      <c r="O198" s="1331"/>
      <c r="P198" s="1332" t="str">
        <f>IF($D198="Logistics",VLOOKUP($O198,'Lower Cask Movement &amp; Logistics'!$C$4:$D$54,2,FALSE),"N/A")</f>
        <v>N/A</v>
      </c>
    </row>
    <row r="199" spans="2:16" x14ac:dyDescent="0.4">
      <c r="B199" s="3815"/>
      <c r="C199" s="1294" t="s">
        <v>1794</v>
      </c>
      <c r="D199" s="1294" t="s">
        <v>3</v>
      </c>
      <c r="E199" s="1292">
        <f t="shared" si="13"/>
        <v>0.58000000000000007</v>
      </c>
      <c r="F199" s="1292">
        <f>IF($D199="Trigger",VLOOKUP($C199,'Lower Cask Critical Path'!$C$6:$F$427,4,FALSE),E199+F198)</f>
        <v>394.29783878123544</v>
      </c>
      <c r="G199" s="862"/>
      <c r="H199" s="1328" t="s">
        <v>263</v>
      </c>
      <c r="I199" s="1724"/>
      <c r="J199" s="1294"/>
      <c r="K199" s="1294"/>
      <c r="L199" s="1329" t="str">
        <f>IFERROR(INDEX('Lower Cask Movement &amp; Logistics'!$I$13:$O$19,MATCH($J199,'Lower Cask Movement &amp; Logistics'!$H$13:$H$19,0),MATCH($K199,'Lower Cask Movement &amp; Logistics'!$H$13:$H$19,0)),"N/A")</f>
        <v>N/A</v>
      </c>
      <c r="M199" s="1329" t="str">
        <f>IFERROR(VLOOKUP($I199,'Lower Cask Movement &amp; Logistics'!$H$4:$I$8,2,FALSE),"N/A")</f>
        <v>N/A</v>
      </c>
      <c r="N199" s="1330" t="str">
        <f t="shared" si="15"/>
        <v>N/A</v>
      </c>
      <c r="O199" s="1331" t="s">
        <v>796</v>
      </c>
      <c r="P199" s="1332">
        <f>IF($D199="Logistics",VLOOKUP($O199,'Lower Cask Movement &amp; Logistics'!$C$4:$D$54,2,FALSE),"N/A")</f>
        <v>0.58000000000000007</v>
      </c>
    </row>
    <row r="200" spans="2:16" x14ac:dyDescent="0.4">
      <c r="B200" s="3815"/>
      <c r="C200" s="1294" t="s">
        <v>1795</v>
      </c>
      <c r="D200" s="1294" t="s">
        <v>778</v>
      </c>
      <c r="E200" s="1292">
        <f t="shared" si="13"/>
        <v>0.41666666666666669</v>
      </c>
      <c r="F200" s="1292">
        <f>IF($D200="Trigger",VLOOKUP($C200,'Lower Cask Critical Path'!$C$6:$F$427,4,FALSE),E200+F199)</f>
        <v>394.71450544790213</v>
      </c>
      <c r="G200" s="862"/>
      <c r="H200" s="1328" t="s">
        <v>263</v>
      </c>
      <c r="I200" s="1724" t="s">
        <v>1789</v>
      </c>
      <c r="J200" s="1294" t="s">
        <v>901</v>
      </c>
      <c r="K200" s="1294" t="s">
        <v>1203</v>
      </c>
      <c r="L200" s="1329">
        <f>IFERROR(INDEX('Lower Cask Movement &amp; Logistics'!$I$13:$O$19,MATCH($J200,'Lower Cask Movement &amp; Logistics'!$H$13:$H$19,0),MATCH($K200,'Lower Cask Movement &amp; Logistics'!$H$13:$H$19,0)),"N/A")</f>
        <v>30</v>
      </c>
      <c r="M200" s="1329">
        <f>IFERROR(VLOOKUP($I200,'Lower Cask Movement &amp; Logistics'!$H$4:$I$8,2,FALSE),"N/A")</f>
        <v>0.02</v>
      </c>
      <c r="N200" s="1330">
        <f t="shared" si="15"/>
        <v>0.41666666666666669</v>
      </c>
      <c r="O200" s="1331"/>
      <c r="P200" s="1332" t="str">
        <f>IF($D200="Logistics",VLOOKUP($O200,'Lower Cask Movement &amp; Logistics'!$C$4:$D$54,2,FALSE),"N/A")</f>
        <v>N/A</v>
      </c>
    </row>
    <row r="201" spans="2:16" ht="26.6" thickBot="1" x14ac:dyDescent="0.45">
      <c r="B201" s="3816"/>
      <c r="C201" s="1340" t="str">
        <f>B195</f>
        <v>Store Divertor pipe work cask; Collect vaccum pumping cask; Move vacuum pumping cask to Lower Port</v>
      </c>
      <c r="D201" s="1340" t="s">
        <v>11</v>
      </c>
      <c r="E201" s="1295">
        <f t="shared" si="13"/>
        <v>0</v>
      </c>
      <c r="F201" s="1295">
        <f>IF($D201="Trigger",VLOOKUP($C201,'Lower Cask Critical Path'!$C$6:$F$427,4,FALSE),E201+F200)</f>
        <v>394.71450544790213</v>
      </c>
      <c r="G201" s="839"/>
      <c r="H201" s="1341" t="s">
        <v>263</v>
      </c>
      <c r="I201" s="1727"/>
      <c r="J201" s="1340"/>
      <c r="K201" s="1340"/>
      <c r="L201" s="1342" t="str">
        <f>IFERROR(INDEX('Lower Cask Movement &amp; Logistics'!$I$13:$O$19,MATCH($J201,'Lower Cask Movement &amp; Logistics'!$H$13:$H$19,0),MATCH($K201,'Lower Cask Movement &amp; Logistics'!$H$13:$H$19,0)),"N/A")</f>
        <v>N/A</v>
      </c>
      <c r="M201" s="1342" t="str">
        <f>IFERROR(VLOOKUP($I201,'Lower Cask Movement &amp; Logistics'!$H$4:$I$8,2,FALSE),"N/A")</f>
        <v>N/A</v>
      </c>
      <c r="N201" s="1343" t="str">
        <f t="shared" si="15"/>
        <v>N/A</v>
      </c>
      <c r="O201" s="1344"/>
      <c r="P201" s="1345" t="str">
        <f>IF($D201="Logistics",VLOOKUP($O201,'Lower Cask Movement &amp; Logistics'!$C$4:$D$54,2,FALSE),"N/A")</f>
        <v>N/A</v>
      </c>
    </row>
    <row r="202" spans="2:16" ht="15.75" customHeight="1" x14ac:dyDescent="0.4">
      <c r="B202" s="3787" t="s">
        <v>1712</v>
      </c>
      <c r="C202" s="617" t="s">
        <v>1704</v>
      </c>
      <c r="D202" s="617" t="s">
        <v>907</v>
      </c>
      <c r="E202" s="567">
        <f t="shared" si="13"/>
        <v>0</v>
      </c>
      <c r="F202" s="567">
        <f>IF($D202="Trigger",VLOOKUP($C202,'Lower Cask Critical Path'!$C$6:$F$427,4,FALSE),E202+F201)</f>
        <v>402.18857952197624</v>
      </c>
      <c r="G202" s="568"/>
      <c r="H202" s="569" t="s">
        <v>263</v>
      </c>
      <c r="I202" s="1270"/>
      <c r="J202" s="617"/>
      <c r="K202" s="617"/>
      <c r="L202" s="618" t="str">
        <f>IFERROR(INDEX('Lower Cask Movement &amp; Logistics'!$I$13:$O$19,MATCH($J202,'Lower Cask Movement &amp; Logistics'!$H$13:$H$19,0),MATCH($K202,'Lower Cask Movement &amp; Logistics'!$H$13:$H$19,0)),"N/A")</f>
        <v>N/A</v>
      </c>
      <c r="M202" s="618" t="str">
        <f>IFERROR(VLOOKUP($I202,'Lower Cask Movement &amp; Logistics'!$H$4:$I$8,2,FALSE),"N/A")</f>
        <v>N/A</v>
      </c>
      <c r="N202" s="619" t="str">
        <f t="shared" si="15"/>
        <v>N/A</v>
      </c>
      <c r="O202" s="620"/>
      <c r="P202" s="621" t="str">
        <f>IF($D202="Logistics",VLOOKUP($O202,'Lower Cask Movement &amp; Logistics'!$C$4:$D$54,2,FALSE),"N/A")</f>
        <v>N/A</v>
      </c>
    </row>
    <row r="203" spans="2:16" x14ac:dyDescent="0.4">
      <c r="B203" s="3786"/>
      <c r="C203" s="572" t="s">
        <v>1783</v>
      </c>
      <c r="D203" s="572" t="s">
        <v>778</v>
      </c>
      <c r="E203" s="574">
        <f t="shared" si="13"/>
        <v>0.23148148148148148</v>
      </c>
      <c r="F203" s="574">
        <f>IF($D203="Trigger",VLOOKUP($C203,'Lower Cask Critical Path'!$C$6:$F$427,4,FALSE),E203+F202)</f>
        <v>402.4200610034577</v>
      </c>
      <c r="G203" s="575"/>
      <c r="H203" s="576" t="s">
        <v>263</v>
      </c>
      <c r="I203" s="1281" t="s">
        <v>1536</v>
      </c>
      <c r="J203" s="572" t="s">
        <v>1203</v>
      </c>
      <c r="K203" s="572" t="s">
        <v>914</v>
      </c>
      <c r="L203" s="577">
        <f>IFERROR(INDEX('Lower Cask Movement &amp; Logistics'!$I$13:$O$19,MATCH($J203,'Lower Cask Movement &amp; Logistics'!$H$13:$H$19,0),MATCH($K203,'Lower Cask Movement &amp; Logistics'!$H$13:$H$19,0)),"N/A")</f>
        <v>50</v>
      </c>
      <c r="M203" s="577">
        <f>IFERROR(VLOOKUP($I203,'Lower Cask Movement &amp; Logistics'!$H$4:$I$8,2,FALSE),"N/A")</f>
        <v>0.06</v>
      </c>
      <c r="N203" s="578">
        <f t="shared" si="15"/>
        <v>0.23148148148148148</v>
      </c>
      <c r="O203" s="579"/>
      <c r="P203" s="580" t="str">
        <f>IF($D203="Logistics",VLOOKUP($O203,'Lower Cask Movement &amp; Logistics'!$C$4:$D$54,2,FALSE),"N/A")</f>
        <v>N/A</v>
      </c>
    </row>
    <row r="204" spans="2:16" x14ac:dyDescent="0.4">
      <c r="B204" s="3786"/>
      <c r="C204" s="572" t="s">
        <v>1796</v>
      </c>
      <c r="D204" s="572" t="s">
        <v>3</v>
      </c>
      <c r="E204" s="574">
        <f t="shared" si="13"/>
        <v>0.58000000000000007</v>
      </c>
      <c r="F204" s="574">
        <f>IF($D204="Trigger",VLOOKUP($C204,'Lower Cask Critical Path'!$C$6:$F$427,4,FALSE),E204+F203)</f>
        <v>403.00006100345769</v>
      </c>
      <c r="G204" s="575"/>
      <c r="H204" s="576" t="s">
        <v>263</v>
      </c>
      <c r="I204" s="1281"/>
      <c r="J204" s="572"/>
      <c r="K204" s="572"/>
      <c r="L204" s="577" t="str">
        <f>IFERROR(INDEX('Lower Cask Movement &amp; Logistics'!$I$13:$O$19,MATCH($J204,'Lower Cask Movement &amp; Logistics'!$H$13:$H$19,0),MATCH($K204,'Lower Cask Movement &amp; Logistics'!$H$13:$H$19,0)),"N/A")</f>
        <v>N/A</v>
      </c>
      <c r="M204" s="577" t="str">
        <f>IFERROR(VLOOKUP($I204,'Lower Cask Movement &amp; Logistics'!$H$4:$I$8,2,FALSE),"N/A")</f>
        <v>N/A</v>
      </c>
      <c r="N204" s="578" t="str">
        <f t="shared" si="15"/>
        <v>N/A</v>
      </c>
      <c r="O204" s="579" t="s">
        <v>1539</v>
      </c>
      <c r="P204" s="580">
        <f>IF($D204="Logistics",VLOOKUP($O204,'Lower Cask Movement &amp; Logistics'!$C$4:$D$54,2,FALSE),"N/A")</f>
        <v>0.58000000000000007</v>
      </c>
    </row>
    <row r="205" spans="2:16" x14ac:dyDescent="0.4">
      <c r="B205" s="3786"/>
      <c r="C205" s="572" t="s">
        <v>1737</v>
      </c>
      <c r="D205" s="572" t="s">
        <v>778</v>
      </c>
      <c r="E205" s="574">
        <f t="shared" si="13"/>
        <v>2.7777777777777776E-2</v>
      </c>
      <c r="F205" s="574">
        <f>IF($D205="Trigger",VLOOKUP($C205,'Lower Cask Critical Path'!$C$6:$F$427,4,FALSE),E205+F204)</f>
        <v>403.02783878123546</v>
      </c>
      <c r="G205" s="575"/>
      <c r="H205" s="576" t="s">
        <v>263</v>
      </c>
      <c r="I205" s="1281" t="s">
        <v>1738</v>
      </c>
      <c r="J205" s="572" t="s">
        <v>914</v>
      </c>
      <c r="K205" s="572" t="s">
        <v>799</v>
      </c>
      <c r="L205" s="577">
        <f>IFERROR(INDEX('Lower Cask Movement &amp; Logistics'!$I$13:$O$19,MATCH($J205,'Lower Cask Movement &amp; Logistics'!$H$13:$H$19,0),MATCH($K205,'Lower Cask Movement &amp; Logistics'!$H$13:$H$19,0)),"N/A")</f>
        <v>20</v>
      </c>
      <c r="M205" s="577">
        <f>IFERROR(VLOOKUP($I205,'Lower Cask Movement &amp; Logistics'!$H$4:$I$8,2,FALSE),"N/A")</f>
        <v>0.2</v>
      </c>
      <c r="N205" s="578">
        <f t="shared" si="15"/>
        <v>2.7777777777777776E-2</v>
      </c>
      <c r="O205" s="579"/>
      <c r="P205" s="580" t="str">
        <f>IF($D205="Logistics",VLOOKUP($O205,'Lower Cask Movement &amp; Logistics'!$C$4:$D$54,2,FALSE),"N/A")</f>
        <v>N/A</v>
      </c>
    </row>
    <row r="206" spans="2:16" x14ac:dyDescent="0.4">
      <c r="B206" s="3786"/>
      <c r="C206" s="572" t="s">
        <v>1797</v>
      </c>
      <c r="D206" s="572" t="s">
        <v>3</v>
      </c>
      <c r="E206" s="574">
        <f t="shared" si="13"/>
        <v>0.58000000000000007</v>
      </c>
      <c r="F206" s="574">
        <f>IF($D206="Trigger",VLOOKUP($C206,'Lower Cask Critical Path'!$C$6:$F$427,4,FALSE),E206+F205)</f>
        <v>403.60783878123544</v>
      </c>
      <c r="G206" s="575"/>
      <c r="H206" s="576" t="s">
        <v>263</v>
      </c>
      <c r="I206" s="1281"/>
      <c r="J206" s="572"/>
      <c r="K206" s="572"/>
      <c r="L206" s="577" t="str">
        <f>IFERROR(INDEX('Lower Cask Movement &amp; Logistics'!$I$13:$O$19,MATCH($J206,'Lower Cask Movement &amp; Logistics'!$H$13:$H$19,0),MATCH($K206,'Lower Cask Movement &amp; Logistics'!$H$13:$H$19,0)),"N/A")</f>
        <v>N/A</v>
      </c>
      <c r="M206" s="577" t="str">
        <f>IFERROR(VLOOKUP($I206,'Lower Cask Movement &amp; Logistics'!$H$4:$I$8,2,FALSE),"N/A")</f>
        <v>N/A</v>
      </c>
      <c r="N206" s="578" t="str">
        <f t="shared" si="15"/>
        <v>N/A</v>
      </c>
      <c r="O206" s="579" t="s">
        <v>796</v>
      </c>
      <c r="P206" s="580">
        <f>IF($D206="Logistics",VLOOKUP($O206,'Lower Cask Movement &amp; Logistics'!$C$4:$D$54,2,FALSE),"N/A")</f>
        <v>0.58000000000000007</v>
      </c>
    </row>
    <row r="207" spans="2:16" x14ac:dyDescent="0.4">
      <c r="B207" s="3786"/>
      <c r="C207" s="572" t="s">
        <v>1792</v>
      </c>
      <c r="D207" s="572" t="s">
        <v>778</v>
      </c>
      <c r="E207" s="574">
        <f t="shared" si="13"/>
        <v>0.41666666666666669</v>
      </c>
      <c r="F207" s="574">
        <f>IF($D207="Trigger",VLOOKUP($C207,'Lower Cask Critical Path'!$C$6:$F$427,4,FALSE),E207+F206)</f>
        <v>404.02450544790213</v>
      </c>
      <c r="G207" s="575"/>
      <c r="H207" s="576" t="s">
        <v>263</v>
      </c>
      <c r="I207" s="1281" t="s">
        <v>1789</v>
      </c>
      <c r="J207" s="572" t="s">
        <v>901</v>
      </c>
      <c r="K207" s="572" t="s">
        <v>1203</v>
      </c>
      <c r="L207" s="577">
        <f>IFERROR(INDEX('Lower Cask Movement &amp; Logistics'!$I$13:$O$19,MATCH($J207,'Lower Cask Movement &amp; Logistics'!$H$13:$H$19,0),MATCH($K207,'Lower Cask Movement &amp; Logistics'!$H$13:$H$19,0)),"N/A")</f>
        <v>30</v>
      </c>
      <c r="M207" s="577">
        <f>IFERROR(VLOOKUP($I207,'Lower Cask Movement &amp; Logistics'!$H$4:$I$8,2,FALSE),"N/A")</f>
        <v>0.02</v>
      </c>
      <c r="N207" s="578">
        <f t="shared" si="15"/>
        <v>0.41666666666666669</v>
      </c>
      <c r="O207" s="579"/>
      <c r="P207" s="580" t="str">
        <f>IF($D207="Logistics",VLOOKUP($O207,'Lower Cask Movement &amp; Logistics'!$C$4:$D$54,2,FALSE),"N/A")</f>
        <v>N/A</v>
      </c>
    </row>
    <row r="208" spans="2:16" ht="26.6" thickBot="1" x14ac:dyDescent="0.45">
      <c r="B208" s="3788"/>
      <c r="C208" s="583" t="str">
        <f>B202</f>
        <v>Store Shielding Module Cask; Collect diagnostic maintenance Cask; Move Threshold Rail Cask to Lower Port</v>
      </c>
      <c r="D208" s="583" t="s">
        <v>11</v>
      </c>
      <c r="E208" s="585">
        <f t="shared" si="13"/>
        <v>0</v>
      </c>
      <c r="F208" s="585">
        <f>IF($D208="Trigger",VLOOKUP($C208,'Lower Cask Critical Path'!$C$6:$F$427,4,FALSE),E208+F207)</f>
        <v>404.02450544790213</v>
      </c>
      <c r="G208" s="586"/>
      <c r="H208" s="587" t="s">
        <v>263</v>
      </c>
      <c r="I208" s="1720"/>
      <c r="J208" s="583"/>
      <c r="K208" s="583"/>
      <c r="L208" s="588" t="str">
        <f>IFERROR(INDEX('Lower Cask Movement &amp; Logistics'!$I$13:$O$19,MATCH($J208,'Lower Cask Movement &amp; Logistics'!$H$13:$H$19,0),MATCH($K208,'Lower Cask Movement &amp; Logistics'!$H$13:$H$19,0)),"N/A")</f>
        <v>N/A</v>
      </c>
      <c r="M208" s="588" t="str">
        <f>IFERROR(VLOOKUP($I208,'Lower Cask Movement &amp; Logistics'!$H$4:$I$8,2,FALSE),"N/A")</f>
        <v>N/A</v>
      </c>
      <c r="N208" s="589" t="str">
        <f t="shared" si="15"/>
        <v>N/A</v>
      </c>
      <c r="O208" s="590"/>
      <c r="P208" s="591" t="str">
        <f>IF($D208="Logistics",VLOOKUP($O208,'Lower Cask Movement &amp; Logistics'!$C$4:$D$54,2,FALSE),"N/A")</f>
        <v>N/A</v>
      </c>
    </row>
    <row r="209" spans="2:16" ht="15.75" customHeight="1" x14ac:dyDescent="0.4">
      <c r="B209" s="3814" t="s">
        <v>1720</v>
      </c>
      <c r="C209" s="1324" t="s">
        <v>1699</v>
      </c>
      <c r="D209" s="1324" t="s">
        <v>907</v>
      </c>
      <c r="E209" s="1291">
        <f t="shared" si="13"/>
        <v>0</v>
      </c>
      <c r="F209" s="1291">
        <f>IF($D209="Trigger",VLOOKUP($C209,'Lower Cask Critical Path'!$C$6:$F$427,4,FALSE),E209+F208)</f>
        <v>392.87857952197623</v>
      </c>
      <c r="G209" s="825"/>
      <c r="H209" s="1323" t="s">
        <v>263</v>
      </c>
      <c r="I209" s="1721"/>
      <c r="J209" s="1324"/>
      <c r="K209" s="1324"/>
      <c r="L209" s="1325" t="str">
        <f>IFERROR(INDEX('Lower Cask Movement &amp; Logistics'!$I$13:$O$19,MATCH($J209,'Lower Cask Movement &amp; Logistics'!$H$13:$H$19,0),MATCH($K209,'Lower Cask Movement &amp; Logistics'!$H$13:$H$19,0)),"N/A")</f>
        <v>N/A</v>
      </c>
      <c r="M209" s="1325" t="str">
        <f>IFERROR(VLOOKUP($I209,'Lower Cask Movement &amp; Logistics'!$H$4:$I$8,2,FALSE),"N/A")</f>
        <v>N/A</v>
      </c>
      <c r="N209" s="1326" t="str">
        <f t="shared" si="15"/>
        <v>N/A</v>
      </c>
      <c r="O209" s="1327"/>
      <c r="P209" s="824" t="str">
        <f>IF($D209="Logistics",VLOOKUP($O209,'Lower Cask Movement &amp; Logistics'!$C$4:$D$54,2,FALSE),"N/A")</f>
        <v>N/A</v>
      </c>
    </row>
    <row r="210" spans="2:16" x14ac:dyDescent="0.4">
      <c r="B210" s="3815"/>
      <c r="C210" s="1294" t="s">
        <v>1783</v>
      </c>
      <c r="D210" s="1294" t="s">
        <v>778</v>
      </c>
      <c r="E210" s="1292">
        <f t="shared" si="13"/>
        <v>0.23148148148148148</v>
      </c>
      <c r="F210" s="1292">
        <f>IF($D210="Trigger",VLOOKUP($C210,'Lower Cask Critical Path'!$C$6:$F$427,4,FALSE),E210+F209)</f>
        <v>393.1100610034577</v>
      </c>
      <c r="G210" s="862"/>
      <c r="H210" s="1328" t="s">
        <v>263</v>
      </c>
      <c r="I210" s="1724" t="s">
        <v>1536</v>
      </c>
      <c r="J210" s="1294" t="s">
        <v>1203</v>
      </c>
      <c r="K210" s="1294" t="s">
        <v>914</v>
      </c>
      <c r="L210" s="1329">
        <f>IFERROR(INDEX('Lower Cask Movement &amp; Logistics'!$I$13:$O$19,MATCH($J210,'Lower Cask Movement &amp; Logistics'!$H$13:$H$19,0),MATCH($K210,'Lower Cask Movement &amp; Logistics'!$H$13:$H$19,0)),"N/A")</f>
        <v>50</v>
      </c>
      <c r="M210" s="1329">
        <f>IFERROR(VLOOKUP($I210,'Lower Cask Movement &amp; Logistics'!$H$4:$I$8,2,FALSE),"N/A")</f>
        <v>0.06</v>
      </c>
      <c r="N210" s="1330">
        <f t="shared" si="15"/>
        <v>0.23148148148148148</v>
      </c>
      <c r="O210" s="1331"/>
      <c r="P210" s="1332" t="str">
        <f>IF($D210="Logistics",VLOOKUP($O210,'Lower Cask Movement &amp; Logistics'!$C$4:$D$54,2,FALSE),"N/A")</f>
        <v>N/A</v>
      </c>
    </row>
    <row r="211" spans="2:16" x14ac:dyDescent="0.4">
      <c r="B211" s="3815"/>
      <c r="C211" s="1294" t="s">
        <v>1793</v>
      </c>
      <c r="D211" s="1294" t="s">
        <v>3</v>
      </c>
      <c r="E211" s="1292">
        <f t="shared" si="13"/>
        <v>0.58000000000000007</v>
      </c>
      <c r="F211" s="1292">
        <f>IF($D211="Trigger",VLOOKUP($C211,'Lower Cask Critical Path'!$C$6:$F$427,4,FALSE),E211+F210)</f>
        <v>393.69006100345769</v>
      </c>
      <c r="G211" s="862"/>
      <c r="H211" s="1328" t="s">
        <v>263</v>
      </c>
      <c r="I211" s="1724"/>
      <c r="J211" s="1294"/>
      <c r="K211" s="1294"/>
      <c r="L211" s="1329" t="str">
        <f>IFERROR(INDEX('Lower Cask Movement &amp; Logistics'!$I$13:$O$19,MATCH($J211,'Lower Cask Movement &amp; Logistics'!$H$13:$H$19,0),MATCH($K211,'Lower Cask Movement &amp; Logistics'!$H$13:$H$19,0)),"N/A")</f>
        <v>N/A</v>
      </c>
      <c r="M211" s="1329" t="str">
        <f>IFERROR(VLOOKUP($I211,'Lower Cask Movement &amp; Logistics'!$H$4:$I$8,2,FALSE),"N/A")</f>
        <v>N/A</v>
      </c>
      <c r="N211" s="1330" t="str">
        <f t="shared" si="15"/>
        <v>N/A</v>
      </c>
      <c r="O211" s="1331" t="s">
        <v>1539</v>
      </c>
      <c r="P211" s="1332">
        <f>IF($D211="Logistics",VLOOKUP($O211,'Lower Cask Movement &amp; Logistics'!$C$4:$D$54,2,FALSE),"N/A")</f>
        <v>0.58000000000000007</v>
      </c>
    </row>
    <row r="212" spans="2:16" x14ac:dyDescent="0.4">
      <c r="B212" s="3815"/>
      <c r="C212" s="1294" t="s">
        <v>1737</v>
      </c>
      <c r="D212" s="1294" t="s">
        <v>778</v>
      </c>
      <c r="E212" s="1292">
        <f t="shared" si="13"/>
        <v>2.7777777777777776E-2</v>
      </c>
      <c r="F212" s="1292">
        <f>IF($D212="Trigger",VLOOKUP($C212,'Lower Cask Critical Path'!$C$6:$F$427,4,FALSE),E212+F211)</f>
        <v>393.71783878123546</v>
      </c>
      <c r="G212" s="862"/>
      <c r="H212" s="1328" t="s">
        <v>263</v>
      </c>
      <c r="I212" s="1724" t="s">
        <v>1738</v>
      </c>
      <c r="J212" s="1294" t="s">
        <v>914</v>
      </c>
      <c r="K212" s="1294" t="s">
        <v>799</v>
      </c>
      <c r="L212" s="1329">
        <f>IFERROR(INDEX('Lower Cask Movement &amp; Logistics'!$I$13:$O$19,MATCH($J212,'Lower Cask Movement &amp; Logistics'!$H$13:$H$19,0),MATCH($K212,'Lower Cask Movement &amp; Logistics'!$H$13:$H$19,0)),"N/A")</f>
        <v>20</v>
      </c>
      <c r="M212" s="1329">
        <f>IFERROR(VLOOKUP($I212,'Lower Cask Movement &amp; Logistics'!$H$4:$I$8,2,FALSE),"N/A")</f>
        <v>0.2</v>
      </c>
      <c r="N212" s="1330">
        <f t="shared" si="15"/>
        <v>2.7777777777777776E-2</v>
      </c>
      <c r="O212" s="1331"/>
      <c r="P212" s="1332" t="str">
        <f>IF($D212="Logistics",VLOOKUP($O212,'Lower Cask Movement &amp; Logistics'!$C$4:$D$54,2,FALSE),"N/A")</f>
        <v>N/A</v>
      </c>
    </row>
    <row r="213" spans="2:16" x14ac:dyDescent="0.4">
      <c r="B213" s="3815"/>
      <c r="C213" s="1294" t="s">
        <v>1794</v>
      </c>
      <c r="D213" s="1294" t="s">
        <v>3</v>
      </c>
      <c r="E213" s="1292">
        <f t="shared" si="13"/>
        <v>0.58000000000000007</v>
      </c>
      <c r="F213" s="1292">
        <f>IF($D213="Trigger",VLOOKUP($C213,'Lower Cask Critical Path'!$C$6:$F$427,4,FALSE),E213+F212)</f>
        <v>394.29783878123544</v>
      </c>
      <c r="G213" s="862"/>
      <c r="H213" s="1328" t="s">
        <v>263</v>
      </c>
      <c r="I213" s="1724"/>
      <c r="J213" s="1294"/>
      <c r="K213" s="1294"/>
      <c r="L213" s="1329" t="str">
        <f>IFERROR(INDEX('Lower Cask Movement &amp; Logistics'!$I$13:$O$19,MATCH($J213,'Lower Cask Movement &amp; Logistics'!$H$13:$H$19,0),MATCH($K213,'Lower Cask Movement &amp; Logistics'!$H$13:$H$19,0)),"N/A")</f>
        <v>N/A</v>
      </c>
      <c r="M213" s="1329" t="str">
        <f>IFERROR(VLOOKUP($I213,'Lower Cask Movement &amp; Logistics'!$H$4:$I$8,2,FALSE),"N/A")</f>
        <v>N/A</v>
      </c>
      <c r="N213" s="1330" t="str">
        <f t="shared" si="15"/>
        <v>N/A</v>
      </c>
      <c r="O213" s="1331" t="s">
        <v>796</v>
      </c>
      <c r="P213" s="1332">
        <f>IF($D213="Logistics",VLOOKUP($O213,'Lower Cask Movement &amp; Logistics'!$C$4:$D$54,2,FALSE),"N/A")</f>
        <v>0.58000000000000007</v>
      </c>
    </row>
    <row r="214" spans="2:16" x14ac:dyDescent="0.4">
      <c r="B214" s="3815"/>
      <c r="C214" s="1294" t="s">
        <v>1795</v>
      </c>
      <c r="D214" s="1294" t="s">
        <v>778</v>
      </c>
      <c r="E214" s="1292">
        <f t="shared" si="13"/>
        <v>0.41666666666666669</v>
      </c>
      <c r="F214" s="1292">
        <f>IF($D214="Trigger",VLOOKUP($C214,'Lower Cask Critical Path'!$C$6:$F$427,4,FALSE),E214+F213)</f>
        <v>394.71450544790213</v>
      </c>
      <c r="G214" s="862"/>
      <c r="H214" s="1328" t="s">
        <v>263</v>
      </c>
      <c r="I214" s="1724" t="s">
        <v>1789</v>
      </c>
      <c r="J214" s="1294" t="s">
        <v>901</v>
      </c>
      <c r="K214" s="1294" t="s">
        <v>1203</v>
      </c>
      <c r="L214" s="1329">
        <f>IFERROR(INDEX('Lower Cask Movement &amp; Logistics'!$I$13:$O$19,MATCH($J214,'Lower Cask Movement &amp; Logistics'!$H$13:$H$19,0),MATCH($K214,'Lower Cask Movement &amp; Logistics'!$H$13:$H$19,0)),"N/A")</f>
        <v>30</v>
      </c>
      <c r="M214" s="1329">
        <f>IFERROR(VLOOKUP($I214,'Lower Cask Movement &amp; Logistics'!$H$4:$I$8,2,FALSE),"N/A")</f>
        <v>0.02</v>
      </c>
      <c r="N214" s="1330">
        <f t="shared" si="15"/>
        <v>0.41666666666666669</v>
      </c>
      <c r="O214" s="1331"/>
      <c r="P214" s="1332" t="str">
        <f>IF($D214="Logistics",VLOOKUP($O214,'Lower Cask Movement &amp; Logistics'!$C$4:$D$54,2,FALSE),"N/A")</f>
        <v>N/A</v>
      </c>
    </row>
    <row r="215" spans="2:16" ht="26.6" thickBot="1" x14ac:dyDescent="0.45">
      <c r="B215" s="3816"/>
      <c r="C215" s="1340" t="str">
        <f>B209</f>
        <v>Store vacuum pumping cask; Collect vaccum closure plate cask; Move vacuum closure plate cask to Lower Port</v>
      </c>
      <c r="D215" s="1340" t="s">
        <v>11</v>
      </c>
      <c r="E215" s="1295">
        <f t="shared" si="13"/>
        <v>0</v>
      </c>
      <c r="F215" s="1295">
        <f>IF($D215="Trigger",VLOOKUP($C215,'Lower Cask Critical Path'!$C$6:$F$427,4,FALSE),E215+F214)</f>
        <v>394.71450544790213</v>
      </c>
      <c r="G215" s="839"/>
      <c r="H215" s="1341" t="s">
        <v>263</v>
      </c>
      <c r="I215" s="1727"/>
      <c r="J215" s="1340"/>
      <c r="K215" s="1340"/>
      <c r="L215" s="1342" t="str">
        <f>IFERROR(INDEX('Lower Cask Movement &amp; Logistics'!$I$13:$O$19,MATCH($J215,'Lower Cask Movement &amp; Logistics'!$H$13:$H$19,0),MATCH($K215,'Lower Cask Movement &amp; Logistics'!$H$13:$H$19,0)),"N/A")</f>
        <v>N/A</v>
      </c>
      <c r="M215" s="1342" t="str">
        <f>IFERROR(VLOOKUP($I215,'Lower Cask Movement &amp; Logistics'!$H$4:$I$8,2,FALSE),"N/A")</f>
        <v>N/A</v>
      </c>
      <c r="N215" s="1343" t="str">
        <f t="shared" si="15"/>
        <v>N/A</v>
      </c>
      <c r="O215" s="1344"/>
      <c r="P215" s="1345" t="str">
        <f>IF($D215="Logistics",VLOOKUP($O215,'Lower Cask Movement &amp; Logistics'!$C$4:$D$54,2,FALSE),"N/A")</f>
        <v>N/A</v>
      </c>
    </row>
    <row r="216" spans="2:16" ht="15.75" customHeight="1" x14ac:dyDescent="0.4">
      <c r="B216" s="3787" t="s">
        <v>1722</v>
      </c>
      <c r="C216" s="617" t="s">
        <v>1699</v>
      </c>
      <c r="D216" s="617" t="s">
        <v>907</v>
      </c>
      <c r="E216" s="567">
        <f t="shared" si="13"/>
        <v>0</v>
      </c>
      <c r="F216" s="567">
        <f>IF($D216="Trigger",VLOOKUP($C216,'Lower Cask Critical Path'!$C$6:$F$427,4,FALSE),E216+F215)</f>
        <v>392.87857952197623</v>
      </c>
      <c r="G216" s="568"/>
      <c r="H216" s="569" t="s">
        <v>263</v>
      </c>
      <c r="I216" s="1270"/>
      <c r="J216" s="617"/>
      <c r="K216" s="617"/>
      <c r="L216" s="618" t="str">
        <f>IFERROR(INDEX('Lower Cask Movement &amp; Logistics'!$I$13:$O$19,MATCH($J216,'Lower Cask Movement &amp; Logistics'!$H$13:$H$19,0),MATCH($K216,'Lower Cask Movement &amp; Logistics'!$H$13:$H$19,0)),"N/A")</f>
        <v>N/A</v>
      </c>
      <c r="M216" s="618" t="str">
        <f>IFERROR(VLOOKUP($I216,'Lower Cask Movement &amp; Logistics'!$H$4:$I$8,2,FALSE),"N/A")</f>
        <v>N/A</v>
      </c>
      <c r="N216" s="619" t="str">
        <f t="shared" si="15"/>
        <v>N/A</v>
      </c>
      <c r="O216" s="620"/>
      <c r="P216" s="621" t="str">
        <f>IF($D216="Logistics",VLOOKUP($O216,'Lower Cask Movement &amp; Logistics'!$C$4:$D$54,2,FALSE),"N/A")</f>
        <v>N/A</v>
      </c>
    </row>
    <row r="217" spans="2:16" x14ac:dyDescent="0.4">
      <c r="B217" s="3786"/>
      <c r="C217" s="572" t="s">
        <v>1783</v>
      </c>
      <c r="D217" s="572" t="s">
        <v>778</v>
      </c>
      <c r="E217" s="574">
        <f t="shared" si="13"/>
        <v>0.23148148148148148</v>
      </c>
      <c r="F217" s="574">
        <f>IF($D217="Trigger",VLOOKUP($C217,'Lower Cask Critical Path'!$C$6:$F$427,4,FALSE),E217+F216)</f>
        <v>393.1100610034577</v>
      </c>
      <c r="G217" s="575"/>
      <c r="H217" s="576" t="s">
        <v>263</v>
      </c>
      <c r="I217" s="1281" t="s">
        <v>1536</v>
      </c>
      <c r="J217" s="572" t="s">
        <v>1203</v>
      </c>
      <c r="K217" s="572" t="s">
        <v>914</v>
      </c>
      <c r="L217" s="577">
        <f>IFERROR(INDEX('Lower Cask Movement &amp; Logistics'!$I$13:$O$19,MATCH($J217,'Lower Cask Movement &amp; Logistics'!$H$13:$H$19,0),MATCH($K217,'Lower Cask Movement &amp; Logistics'!$H$13:$H$19,0)),"N/A")</f>
        <v>50</v>
      </c>
      <c r="M217" s="577">
        <f>IFERROR(VLOOKUP($I217,'Lower Cask Movement &amp; Logistics'!$H$4:$I$8,2,FALSE),"N/A")</f>
        <v>0.06</v>
      </c>
      <c r="N217" s="578">
        <f t="shared" si="15"/>
        <v>0.23148148148148148</v>
      </c>
      <c r="O217" s="579"/>
      <c r="P217" s="580" t="str">
        <f>IF($D217="Logistics",VLOOKUP($O217,'Lower Cask Movement &amp; Logistics'!$C$4:$D$54,2,FALSE),"N/A")</f>
        <v>N/A</v>
      </c>
    </row>
    <row r="218" spans="2:16" x14ac:dyDescent="0.4">
      <c r="B218" s="3786"/>
      <c r="C218" s="572" t="s">
        <v>1798</v>
      </c>
      <c r="D218" s="572" t="s">
        <v>3</v>
      </c>
      <c r="E218" s="574">
        <f t="shared" si="13"/>
        <v>0.58000000000000007</v>
      </c>
      <c r="F218" s="574">
        <f>IF($D218="Trigger",VLOOKUP($C218,'Lower Cask Critical Path'!$C$6:$F$427,4,FALSE),E218+F217)</f>
        <v>393.69006100345769</v>
      </c>
      <c r="G218" s="575"/>
      <c r="H218" s="576" t="s">
        <v>263</v>
      </c>
      <c r="I218" s="1281"/>
      <c r="J218" s="572"/>
      <c r="K218" s="572"/>
      <c r="L218" s="577" t="str">
        <f>IFERROR(INDEX('Lower Cask Movement &amp; Logistics'!$I$13:$O$19,MATCH($J218,'Lower Cask Movement &amp; Logistics'!$H$13:$H$19,0),MATCH($K218,'Lower Cask Movement &amp; Logistics'!$H$13:$H$19,0)),"N/A")</f>
        <v>N/A</v>
      </c>
      <c r="M218" s="577" t="str">
        <f>IFERROR(VLOOKUP($I218,'Lower Cask Movement &amp; Logistics'!$H$4:$I$8,2,FALSE),"N/A")</f>
        <v>N/A</v>
      </c>
      <c r="N218" s="578" t="str">
        <f t="shared" si="15"/>
        <v>N/A</v>
      </c>
      <c r="O218" s="579" t="s">
        <v>1539</v>
      </c>
      <c r="P218" s="580">
        <f>IF($D218="Logistics",VLOOKUP($O218,'Lower Cask Movement &amp; Logistics'!$C$4:$D$54,2,FALSE),"N/A")</f>
        <v>0.58000000000000007</v>
      </c>
    </row>
    <row r="219" spans="2:16" x14ac:dyDescent="0.4">
      <c r="B219" s="3786"/>
      <c r="C219" s="572" t="s">
        <v>1737</v>
      </c>
      <c r="D219" s="572" t="s">
        <v>778</v>
      </c>
      <c r="E219" s="574">
        <f t="shared" si="13"/>
        <v>2.7777777777777776E-2</v>
      </c>
      <c r="F219" s="574">
        <f>IF($D219="Trigger",VLOOKUP($C219,'Lower Cask Critical Path'!$C$6:$F$427,4,FALSE),E219+F218)</f>
        <v>393.71783878123546</v>
      </c>
      <c r="G219" s="575"/>
      <c r="H219" s="576" t="s">
        <v>263</v>
      </c>
      <c r="I219" s="1281" t="s">
        <v>1738</v>
      </c>
      <c r="J219" s="572" t="s">
        <v>914</v>
      </c>
      <c r="K219" s="572" t="s">
        <v>799</v>
      </c>
      <c r="L219" s="577">
        <f>IFERROR(INDEX('Lower Cask Movement &amp; Logistics'!$I$13:$O$19,MATCH($J219,'Lower Cask Movement &amp; Logistics'!$H$13:$H$19,0),MATCH($K219,'Lower Cask Movement &amp; Logistics'!$H$13:$H$19,0)),"N/A")</f>
        <v>20</v>
      </c>
      <c r="M219" s="577">
        <f>IFERROR(VLOOKUP($I219,'Lower Cask Movement &amp; Logistics'!$H$4:$I$8,2,FALSE),"N/A")</f>
        <v>0.2</v>
      </c>
      <c r="N219" s="578">
        <f t="shared" si="15"/>
        <v>2.7777777777777776E-2</v>
      </c>
      <c r="O219" s="579"/>
      <c r="P219" s="580" t="str">
        <f>IF($D219="Logistics",VLOOKUP($O219,'Lower Cask Movement &amp; Logistics'!$C$4:$D$54,2,FALSE),"N/A")</f>
        <v>N/A</v>
      </c>
    </row>
    <row r="220" spans="2:16" x14ac:dyDescent="0.4">
      <c r="B220" s="3786"/>
      <c r="C220" s="572" t="s">
        <v>795</v>
      </c>
      <c r="D220" s="572" t="s">
        <v>3</v>
      </c>
      <c r="E220" s="574">
        <f t="shared" si="13"/>
        <v>0.58000000000000007</v>
      </c>
      <c r="F220" s="574">
        <f>IF($D220="Trigger",VLOOKUP($C220,'Lower Cask Critical Path'!$C$6:$F$427,4,FALSE),E220+F219)</f>
        <v>394.29783878123544</v>
      </c>
      <c r="G220" s="575"/>
      <c r="H220" s="576" t="s">
        <v>263</v>
      </c>
      <c r="I220" s="1281"/>
      <c r="J220" s="572"/>
      <c r="K220" s="572"/>
      <c r="L220" s="577" t="str">
        <f>IFERROR(INDEX('Lower Cask Movement &amp; Logistics'!$I$13:$O$19,MATCH($J220,'Lower Cask Movement &amp; Logistics'!$H$13:$H$19,0),MATCH($K220,'Lower Cask Movement &amp; Logistics'!$H$13:$H$19,0)),"N/A")</f>
        <v>N/A</v>
      </c>
      <c r="M220" s="577" t="str">
        <f>IFERROR(VLOOKUP($I220,'Lower Cask Movement &amp; Logistics'!$H$4:$I$8,2,FALSE),"N/A")</f>
        <v>N/A</v>
      </c>
      <c r="N220" s="578" t="str">
        <f t="shared" si="15"/>
        <v>N/A</v>
      </c>
      <c r="O220" s="579" t="s">
        <v>796</v>
      </c>
      <c r="P220" s="580">
        <f>IF($D220="Logistics",VLOOKUP($O220,'Lower Cask Movement &amp; Logistics'!$C$4:$D$54,2,FALSE),"N/A")</f>
        <v>0.58000000000000007</v>
      </c>
    </row>
    <row r="221" spans="2:16" x14ac:dyDescent="0.4">
      <c r="B221" s="3786"/>
      <c r="C221" s="572" t="s">
        <v>1799</v>
      </c>
      <c r="D221" s="572" t="s">
        <v>778</v>
      </c>
      <c r="E221" s="574">
        <f t="shared" si="13"/>
        <v>0.23148148148148148</v>
      </c>
      <c r="F221" s="574">
        <f>IF($D221="Trigger",VLOOKUP($C221,'Lower Cask Critical Path'!$C$6:$F$427,4,FALSE),E221+F220)</f>
        <v>394.52932026271691</v>
      </c>
      <c r="G221" s="575"/>
      <c r="H221" s="576" t="s">
        <v>263</v>
      </c>
      <c r="I221" s="1281" t="s">
        <v>1536</v>
      </c>
      <c r="J221" s="572" t="s">
        <v>799</v>
      </c>
      <c r="K221" s="572" t="s">
        <v>901</v>
      </c>
      <c r="L221" s="577">
        <f>IFERROR(INDEX('Lower Cask Movement &amp; Logistics'!$I$13:$O$19,MATCH($J221,'Lower Cask Movement &amp; Logistics'!$H$13:$H$19,0),MATCH($K221,'Lower Cask Movement &amp; Logistics'!$H$13:$H$19,0)),"N/A")</f>
        <v>50</v>
      </c>
      <c r="M221" s="577">
        <f>IFERROR(VLOOKUP($I221,'Lower Cask Movement &amp; Logistics'!$H$4:$I$8,2,FALSE),"N/A")</f>
        <v>0.06</v>
      </c>
      <c r="N221" s="578">
        <f t="shared" si="15"/>
        <v>0.23148148148148148</v>
      </c>
      <c r="O221" s="579"/>
      <c r="P221" s="580" t="str">
        <f>IF($D221="Logistics",VLOOKUP($O221,'Lower Cask Movement &amp; Logistics'!$C$4:$D$54,2,FALSE),"N/A")</f>
        <v>N/A</v>
      </c>
    </row>
    <row r="222" spans="2:16" x14ac:dyDescent="0.4">
      <c r="B222" s="3786"/>
      <c r="C222" s="572" t="s">
        <v>1800</v>
      </c>
      <c r="D222" s="572" t="s">
        <v>3</v>
      </c>
      <c r="E222" s="574">
        <f t="shared" si="13"/>
        <v>0.58000000000000007</v>
      </c>
      <c r="F222" s="574">
        <f>IF($D222="Trigger",VLOOKUP($C222,'Lower Cask Critical Path'!$C$6:$F$427,4,FALSE),E222+F221)</f>
        <v>395.10932026271689</v>
      </c>
      <c r="G222" s="575"/>
      <c r="H222" s="576" t="s">
        <v>263</v>
      </c>
      <c r="I222" s="1281"/>
      <c r="J222" s="572"/>
      <c r="K222" s="572"/>
      <c r="L222" s="577" t="str">
        <f>IFERROR(INDEX('Lower Cask Movement &amp; Logistics'!$I$13:$O$19,MATCH($J222,'Lower Cask Movement &amp; Logistics'!$H$13:$H$19,0),MATCH($K222,'Lower Cask Movement &amp; Logistics'!$H$13:$H$19,0)),"N/A")</f>
        <v>N/A</v>
      </c>
      <c r="M222" s="577" t="str">
        <f>IFERROR(VLOOKUP($I222,'Lower Cask Movement &amp; Logistics'!$H$4:$I$8,2,FALSE),"N/A")</f>
        <v>N/A</v>
      </c>
      <c r="N222" s="578" t="str">
        <f t="shared" si="15"/>
        <v>N/A</v>
      </c>
      <c r="O222" s="579" t="s">
        <v>796</v>
      </c>
      <c r="P222" s="580">
        <f>IF($D222="Logistics",VLOOKUP($O222,'Lower Cask Movement &amp; Logistics'!$C$4:$D$54,2,FALSE),"N/A")</f>
        <v>0.58000000000000007</v>
      </c>
    </row>
    <row r="223" spans="2:16" x14ac:dyDescent="0.4">
      <c r="B223" s="3786"/>
      <c r="C223" s="572" t="s">
        <v>1801</v>
      </c>
      <c r="D223" s="572" t="s">
        <v>778</v>
      </c>
      <c r="E223" s="574">
        <f t="shared" si="13"/>
        <v>0.41666666666666669</v>
      </c>
      <c r="F223" s="574">
        <f>IF($D223="Trigger",VLOOKUP($C223,'Lower Cask Critical Path'!$C$6:$F$427,4,FALSE),E223+F222)</f>
        <v>395.52598692938358</v>
      </c>
      <c r="G223" s="575"/>
      <c r="H223" s="576" t="s">
        <v>263</v>
      </c>
      <c r="I223" s="1281" t="s">
        <v>1789</v>
      </c>
      <c r="J223" s="572" t="s">
        <v>901</v>
      </c>
      <c r="K223" s="572" t="s">
        <v>1203</v>
      </c>
      <c r="L223" s="577">
        <f>IFERROR(INDEX('Lower Cask Movement &amp; Logistics'!$I$13:$O$19,MATCH($J223,'Lower Cask Movement &amp; Logistics'!$H$13:$H$19,0),MATCH($K223,'Lower Cask Movement &amp; Logistics'!$H$13:$H$19,0)),"N/A")</f>
        <v>30</v>
      </c>
      <c r="M223" s="577">
        <f>IFERROR(VLOOKUP($I223,'Lower Cask Movement &amp; Logistics'!$H$4:$I$8,2,FALSE),"N/A")</f>
        <v>0.02</v>
      </c>
      <c r="N223" s="578">
        <f t="shared" si="15"/>
        <v>0.41666666666666669</v>
      </c>
      <c r="O223" s="579"/>
      <c r="P223" s="580" t="str">
        <f>IF($D223="Logistics",VLOOKUP($O223,'Lower Cask Movement &amp; Logistics'!$C$4:$D$54,2,FALSE),"N/A")</f>
        <v>N/A</v>
      </c>
    </row>
    <row r="224" spans="2:16" ht="15" thickBot="1" x14ac:dyDescent="0.45">
      <c r="B224" s="3788"/>
      <c r="C224" s="583" t="str">
        <f>B216</f>
        <v>Store Threshold rail cask; Collect Bioshield Plug interface hardware &amp; Bioshield Plug</v>
      </c>
      <c r="D224" s="583" t="s">
        <v>11</v>
      </c>
      <c r="E224" s="585">
        <f>MAX($P224,$N224,$H224)</f>
        <v>0</v>
      </c>
      <c r="F224" s="585">
        <f>IF($D224="Trigger",VLOOKUP($C224,'Lower Cask Critical Path'!$C$6:$F$427,4,FALSE),E224+F223)</f>
        <v>395.52598692938358</v>
      </c>
      <c r="G224" s="586"/>
      <c r="H224" s="587" t="s">
        <v>263</v>
      </c>
      <c r="I224" s="1720"/>
      <c r="J224" s="583"/>
      <c r="K224" s="583"/>
      <c r="L224" s="588" t="str">
        <f>IFERROR(INDEX('Lower Cask Movement &amp; Logistics'!$I$13:$O$19,MATCH($J224,'Lower Cask Movement &amp; Logistics'!$H$13:$H$19,0),MATCH($K224,'Lower Cask Movement &amp; Logistics'!$H$13:$H$19,0)),"N/A")</f>
        <v>N/A</v>
      </c>
      <c r="M224" s="588" t="str">
        <f>IFERROR(VLOOKUP($I224,'Lower Cask Movement &amp; Logistics'!$H$4:$I$8,2,FALSE),"N/A")</f>
        <v>N/A</v>
      </c>
      <c r="N224" s="589" t="str">
        <f t="shared" si="15"/>
        <v>N/A</v>
      </c>
      <c r="O224" s="590"/>
      <c r="P224" s="591" t="str">
        <f>IF($D224="Logistics",VLOOKUP($O224,'Lower Cask Movement &amp; Logistics'!$C$4:$D$54,2,FALSE),"N/A")</f>
        <v>N/A</v>
      </c>
    </row>
  </sheetData>
  <autoFilter ref="B5:P224"/>
  <customSheetViews>
    <customSheetView guid="{9C0AA20B-B2A2-4A2C-B279-4A5988F4E71A}" showAutoFilter="1" state="hidden">
      <selection activeCell="C256" sqref="C256"/>
      <pageMargins left="0.7" right="0.7" top="0.75" bottom="0.75" header="0.3" footer="0.3"/>
      <pageSetup paperSize="9" orientation="portrait" verticalDpi="0" r:id="rId1"/>
      <autoFilter ref="B5:P5"/>
    </customSheetView>
  </customSheetViews>
  <mergeCells count="35">
    <mergeCell ref="B188:B194"/>
    <mergeCell ref="B195:B201"/>
    <mergeCell ref="B202:B208"/>
    <mergeCell ref="B209:B215"/>
    <mergeCell ref="B216:B224"/>
    <mergeCell ref="B181:B187"/>
    <mergeCell ref="B118:B120"/>
    <mergeCell ref="B121:B123"/>
    <mergeCell ref="B124:B126"/>
    <mergeCell ref="B127:B130"/>
    <mergeCell ref="B131:B137"/>
    <mergeCell ref="B138:B144"/>
    <mergeCell ref="B145:B153"/>
    <mergeCell ref="B154:B159"/>
    <mergeCell ref="B160:B166"/>
    <mergeCell ref="B167:B173"/>
    <mergeCell ref="B174:B180"/>
    <mergeCell ref="B115:B117"/>
    <mergeCell ref="B29:B37"/>
    <mergeCell ref="B38:B47"/>
    <mergeCell ref="B48:B57"/>
    <mergeCell ref="B58:B67"/>
    <mergeCell ref="B68:B78"/>
    <mergeCell ref="B79:B85"/>
    <mergeCell ref="B86:B93"/>
    <mergeCell ref="B94:B103"/>
    <mergeCell ref="B104:B107"/>
    <mergeCell ref="B108:B111"/>
    <mergeCell ref="B112:B114"/>
    <mergeCell ref="B22:B28"/>
    <mergeCell ref="G4:H4"/>
    <mergeCell ref="I4:N4"/>
    <mergeCell ref="O4:P4"/>
    <mergeCell ref="B6:B10"/>
    <mergeCell ref="B11:B21"/>
  </mergeCells>
  <conditionalFormatting sqref="I103:P103 I93:P93 E85:P85 I78:P78 E78:F78 I67:P67 I57:P57 E57:F57 I37:P37 E37:F37 I10:P10 E10:F10 G6:P8 E6:E8 F7 E50:P50 G65:P66 E65:F67 I91:K92 G91:G92 O91:O92 P88:P92 H88:H92 L87:N92 E87:F93 I101:K102 G101:G102 O101:O102 P95:P102 H100:H102 L95:N102 E95:F103 E127:P175 E177:O177 O176 E180:P194 O178 E179:O179 P176:P179">
    <cfRule type="cellIs" dxfId="5023" priority="1211" stopIfTrue="1" operator="equal">
      <formula>"Operation"</formula>
    </cfRule>
  </conditionalFormatting>
  <conditionalFormatting sqref="D37 D1:D8 D50 D56:D175 D177 D179:D194 D216:D1048576 D10 D29">
    <cfRule type="cellIs" dxfId="5022" priority="1210" stopIfTrue="1" operator="equal">
      <formula>"Total"</formula>
    </cfRule>
  </conditionalFormatting>
  <conditionalFormatting sqref="H85:P85 E57:F57 E37:F37 E10:F10 H6:P8 H50:P50 E6:E8 F7 E50:F50 H65:P66 E65:F67 I91:K92 O91:O92 P88:P92 H88:H92 L87:N92 E87:F92 I101:K102 O101:O102 P95:P103 H100:H102 L95:N102 E95:F103 E127:F175 H127:P175 H177:O177 O176 E177:F177 E179:F194 H180:P194 O178 H179:O179 P176:P179">
    <cfRule type="cellIs" dxfId="5021" priority="1208" stopIfTrue="1" operator="equal">
      <formula>"N/A"</formula>
    </cfRule>
  </conditionalFormatting>
  <conditionalFormatting sqref="I29:J29 L29:N29 L34:N34 I34:J34 I36:J36 L36:N36">
    <cfRule type="cellIs" dxfId="5020" priority="1206" stopIfTrue="1" operator="equal">
      <formula>"Operation"</formula>
    </cfRule>
  </conditionalFormatting>
  <conditionalFormatting sqref="K29 K34 K36">
    <cfRule type="cellIs" dxfId="5019" priority="1205" stopIfTrue="1" operator="equal">
      <formula>"Operation"</formula>
    </cfRule>
  </conditionalFormatting>
  <conditionalFormatting sqref="G29:H29 G34:H34 G36:H36">
    <cfRule type="cellIs" dxfId="5018" priority="1204" stopIfTrue="1" operator="equal">
      <formula>"Operation"</formula>
    </cfRule>
  </conditionalFormatting>
  <conditionalFormatting sqref="H29:P29 H34:P34 H36:P36">
    <cfRule type="cellIs" dxfId="5017" priority="1202" stopIfTrue="1" operator="equal">
      <formula>"N/A"</formula>
    </cfRule>
  </conditionalFormatting>
  <conditionalFormatting sqref="O29:P29 O34:P34 O36:P36">
    <cfRule type="cellIs" dxfId="5016" priority="1207" stopIfTrue="1" operator="equal">
      <formula>"Operation"</formula>
    </cfRule>
  </conditionalFormatting>
  <conditionalFormatting sqref="D29 D34 D36">
    <cfRule type="cellIs" dxfId="5015" priority="1203" stopIfTrue="1" operator="equal">
      <formula>"Total"</formula>
    </cfRule>
  </conditionalFormatting>
  <conditionalFormatting sqref="D104 D107">
    <cfRule type="cellIs" dxfId="5014" priority="1201" stopIfTrue="1" operator="equal">
      <formula>"Total"</formula>
    </cfRule>
  </conditionalFormatting>
  <conditionalFormatting sqref="G37:H37">
    <cfRule type="cellIs" dxfId="5013" priority="1200" stopIfTrue="1" operator="equal">
      <formula>"Operation"</formula>
    </cfRule>
  </conditionalFormatting>
  <conditionalFormatting sqref="H37:P37">
    <cfRule type="cellIs" dxfId="5012" priority="1199" stopIfTrue="1" operator="equal">
      <formula>"N/A"</formula>
    </cfRule>
  </conditionalFormatting>
  <conditionalFormatting sqref="G10:H10">
    <cfRule type="cellIs" dxfId="5011" priority="1196" stopIfTrue="1" operator="equal">
      <formula>"Operation"</formula>
    </cfRule>
  </conditionalFormatting>
  <conditionalFormatting sqref="H10:P10">
    <cfRule type="cellIs" dxfId="5010" priority="1195" stopIfTrue="1" operator="equal">
      <formula>"N/A"</formula>
    </cfRule>
  </conditionalFormatting>
  <conditionalFormatting sqref="P94">
    <cfRule type="cellIs" dxfId="5009" priority="1193" stopIfTrue="1" operator="equal">
      <formula>"N/A"</formula>
    </cfRule>
  </conditionalFormatting>
  <conditionalFormatting sqref="P94">
    <cfRule type="cellIs" dxfId="5008" priority="1194" stopIfTrue="1" operator="equal">
      <formula>"Operation"</formula>
    </cfRule>
  </conditionalFormatting>
  <conditionalFormatting sqref="L79:N79 I79:J79 I83:J84 L83:N84">
    <cfRule type="cellIs" dxfId="5007" priority="1191" stopIfTrue="1" operator="equal">
      <formula>"Operation"</formula>
    </cfRule>
  </conditionalFormatting>
  <conditionalFormatting sqref="K79 K83:K84">
    <cfRule type="cellIs" dxfId="5006" priority="1190" stopIfTrue="1" operator="equal">
      <formula>"Operation"</formula>
    </cfRule>
  </conditionalFormatting>
  <conditionalFormatting sqref="G79:H79 G83:H84">
    <cfRule type="cellIs" dxfId="5005" priority="1189" stopIfTrue="1" operator="equal">
      <formula>"Operation"</formula>
    </cfRule>
  </conditionalFormatting>
  <conditionalFormatting sqref="H79:P79 H83:P84">
    <cfRule type="cellIs" dxfId="5004" priority="1187" stopIfTrue="1" operator="equal">
      <formula>"N/A"</formula>
    </cfRule>
  </conditionalFormatting>
  <conditionalFormatting sqref="O79:P79 O83:P84">
    <cfRule type="cellIs" dxfId="5003" priority="1192" stopIfTrue="1" operator="equal">
      <formula>"Operation"</formula>
    </cfRule>
  </conditionalFormatting>
  <conditionalFormatting sqref="D79 D83:D84">
    <cfRule type="cellIs" dxfId="5002" priority="1188" stopIfTrue="1" operator="equal">
      <formula>"Total"</formula>
    </cfRule>
  </conditionalFormatting>
  <conditionalFormatting sqref="E79 E83:E84">
    <cfRule type="cellIs" dxfId="5001" priority="1183" stopIfTrue="1" operator="equal">
      <formula>"Operation"</formula>
    </cfRule>
  </conditionalFormatting>
  <conditionalFormatting sqref="J69:J70">
    <cfRule type="cellIs" dxfId="5000" priority="1165" stopIfTrue="1" operator="equal">
      <formula>"Operation"</formula>
    </cfRule>
  </conditionalFormatting>
  <conditionalFormatting sqref="M69:N77">
    <cfRule type="cellIs" dxfId="4999" priority="1170" stopIfTrue="1" operator="equal">
      <formula>"Operation"</formula>
    </cfRule>
  </conditionalFormatting>
  <conditionalFormatting sqref="G69:H69 G70 H70:H76 L69:L77">
    <cfRule type="cellIs" dxfId="4998" priority="1169" stopIfTrue="1" operator="equal">
      <formula>"Operation"</formula>
    </cfRule>
  </conditionalFormatting>
  <conditionalFormatting sqref="O69:P69 O70 P70:P77">
    <cfRule type="cellIs" dxfId="4997" priority="1167" stopIfTrue="1" operator="equal">
      <formula>"Operation"</formula>
    </cfRule>
  </conditionalFormatting>
  <conditionalFormatting sqref="K69:K70">
    <cfRule type="cellIs" dxfId="4996" priority="1164" stopIfTrue="1" operator="equal">
      <formula>"Operation"</formula>
    </cfRule>
  </conditionalFormatting>
  <conditionalFormatting sqref="E69:E77">
    <cfRule type="cellIs" dxfId="4995" priority="1161" stopIfTrue="1" operator="equal">
      <formula>"Operation"</formula>
    </cfRule>
  </conditionalFormatting>
  <conditionalFormatting sqref="E85">
    <cfRule type="cellIs" dxfId="4994" priority="1186" stopIfTrue="1" operator="equal">
      <formula>"N/A"</formula>
    </cfRule>
  </conditionalFormatting>
  <conditionalFormatting sqref="E29 E34 E36">
    <cfRule type="cellIs" dxfId="4993" priority="1185" stopIfTrue="1" operator="equal">
      <formula>"Operation"</formula>
    </cfRule>
  </conditionalFormatting>
  <conditionalFormatting sqref="E29 E34 E36">
    <cfRule type="cellIs" dxfId="4992" priority="1184" stopIfTrue="1" operator="equal">
      <formula>"N/A"</formula>
    </cfRule>
  </conditionalFormatting>
  <conditionalFormatting sqref="E79 E83:E84">
    <cfRule type="cellIs" dxfId="4991" priority="1182" stopIfTrue="1" operator="equal">
      <formula>"N/A"</formula>
    </cfRule>
  </conditionalFormatting>
  <conditionalFormatting sqref="E68">
    <cfRule type="cellIs" dxfId="4990" priority="1172" stopIfTrue="1" operator="equal">
      <formula>"Operation"</formula>
    </cfRule>
  </conditionalFormatting>
  <conditionalFormatting sqref="E68">
    <cfRule type="cellIs" dxfId="4989" priority="1171" stopIfTrue="1" operator="equal">
      <formula>"N/A"</formula>
    </cfRule>
  </conditionalFormatting>
  <conditionalFormatting sqref="G69:H69 G70 H70:H76 L69:N77">
    <cfRule type="cellIs" dxfId="4988" priority="1168" stopIfTrue="1" operator="equal">
      <formula>"N/A"</formula>
    </cfRule>
  </conditionalFormatting>
  <conditionalFormatting sqref="O69:P69 O70 P70:P77">
    <cfRule type="cellIs" dxfId="4987" priority="1166" stopIfTrue="1" operator="equal">
      <formula>"N/A"</formula>
    </cfRule>
  </conditionalFormatting>
  <conditionalFormatting sqref="J69:K70">
    <cfRule type="cellIs" dxfId="4986" priority="1163" stopIfTrue="1" operator="equal">
      <formula>"N/A"</formula>
    </cfRule>
  </conditionalFormatting>
  <conditionalFormatting sqref="D69:D70">
    <cfRule type="cellIs" dxfId="4985" priority="1162" stopIfTrue="1" operator="equal">
      <formula>"Total"</formula>
    </cfRule>
  </conditionalFormatting>
  <conditionalFormatting sqref="E69:E77">
    <cfRule type="cellIs" dxfId="4984" priority="1160" stopIfTrue="1" operator="equal">
      <formula>"N/A"</formula>
    </cfRule>
  </conditionalFormatting>
  <conditionalFormatting sqref="G78:H78 P104:P107">
    <cfRule type="cellIs" dxfId="4983" priority="1181" stopIfTrue="1" operator="equal">
      <formula>"Operation"</formula>
    </cfRule>
  </conditionalFormatting>
  <conditionalFormatting sqref="H78:P78 P104:P107">
    <cfRule type="cellIs" dxfId="4982" priority="1180" stopIfTrue="1" operator="equal">
      <formula>"N/A"</formula>
    </cfRule>
  </conditionalFormatting>
  <conditionalFormatting sqref="E78">
    <cfRule type="cellIs" dxfId="4981" priority="1173" stopIfTrue="1" operator="equal">
      <formula>"N/A"</formula>
    </cfRule>
  </conditionalFormatting>
  <conditionalFormatting sqref="L68:N68 I68:J68 I71:J77">
    <cfRule type="cellIs" dxfId="4980" priority="1178" stopIfTrue="1" operator="equal">
      <formula>"Operation"</formula>
    </cfRule>
  </conditionalFormatting>
  <conditionalFormatting sqref="K68 K71:K72 K75:K77">
    <cfRule type="cellIs" dxfId="4979" priority="1177" stopIfTrue="1" operator="equal">
      <formula>"Operation"</formula>
    </cfRule>
  </conditionalFormatting>
  <conditionalFormatting sqref="G68:H68 G77:H77 G71:G76">
    <cfRule type="cellIs" dxfId="4978" priority="1176" stopIfTrue="1" operator="equal">
      <formula>"Operation"</formula>
    </cfRule>
  </conditionalFormatting>
  <conditionalFormatting sqref="H68:P68 I71:K72 H77:K77 I73:J74 I75:K76 O71:O77">
    <cfRule type="cellIs" dxfId="4977" priority="1174" stopIfTrue="1" operator="equal">
      <formula>"N/A"</formula>
    </cfRule>
  </conditionalFormatting>
  <conditionalFormatting sqref="O68:P68 O71:O77">
    <cfRule type="cellIs" dxfId="4976" priority="1179" stopIfTrue="1" operator="equal">
      <formula>"Operation"</formula>
    </cfRule>
  </conditionalFormatting>
  <conditionalFormatting sqref="D68 D71:D77">
    <cfRule type="cellIs" dxfId="4975" priority="1175" stopIfTrue="1" operator="equal">
      <formula>"Total"</formula>
    </cfRule>
  </conditionalFormatting>
  <conditionalFormatting sqref="K216:K224">
    <cfRule type="cellIs" dxfId="4974" priority="1133" stopIfTrue="1" operator="equal">
      <formula>"Operation"</formula>
    </cfRule>
  </conditionalFormatting>
  <conditionalFormatting sqref="K138:K141">
    <cfRule type="cellIs" dxfId="4973" priority="1091" stopIfTrue="1" operator="equal">
      <formula>"Operation"</formula>
    </cfRule>
  </conditionalFormatting>
  <conditionalFormatting sqref="O80:P81">
    <cfRule type="cellIs" dxfId="4972" priority="1156" stopIfTrue="1" operator="equal">
      <formula>"Operation"</formula>
    </cfRule>
  </conditionalFormatting>
  <conditionalFormatting sqref="O80:P81">
    <cfRule type="cellIs" dxfId="4971" priority="1155" stopIfTrue="1" operator="equal">
      <formula>"N/A"</formula>
    </cfRule>
  </conditionalFormatting>
  <conditionalFormatting sqref="K82">
    <cfRule type="cellIs" dxfId="4970" priority="1142" stopIfTrue="1" operator="equal">
      <formula>"Operation"</formula>
    </cfRule>
  </conditionalFormatting>
  <conditionalFormatting sqref="I82:K82">
    <cfRule type="cellIs" dxfId="4969" priority="1141" stopIfTrue="1" operator="equal">
      <formula>"N/A"</formula>
    </cfRule>
  </conditionalFormatting>
  <conditionalFormatting sqref="M82:N82">
    <cfRule type="cellIs" dxfId="4968" priority="1148" stopIfTrue="1" operator="equal">
      <formula>"Operation"</formula>
    </cfRule>
  </conditionalFormatting>
  <conditionalFormatting sqref="G80:H81 L80:L81">
    <cfRule type="cellIs" dxfId="4967" priority="1158" stopIfTrue="1" operator="equal">
      <formula>"Operation"</formula>
    </cfRule>
  </conditionalFormatting>
  <conditionalFormatting sqref="G80:H81 L80:N81">
    <cfRule type="cellIs" dxfId="4966" priority="1157" stopIfTrue="1" operator="equal">
      <formula>"N/A"</formula>
    </cfRule>
  </conditionalFormatting>
  <conditionalFormatting sqref="M80:N81">
    <cfRule type="cellIs" dxfId="4965" priority="1159" stopIfTrue="1" operator="equal">
      <formula>"Operation"</formula>
    </cfRule>
  </conditionalFormatting>
  <conditionalFormatting sqref="I80:J81">
    <cfRule type="cellIs" dxfId="4964" priority="1154" stopIfTrue="1" operator="equal">
      <formula>"Operation"</formula>
    </cfRule>
  </conditionalFormatting>
  <conditionalFormatting sqref="K80:K81">
    <cfRule type="cellIs" dxfId="4963" priority="1153" stopIfTrue="1" operator="equal">
      <formula>"Operation"</formula>
    </cfRule>
  </conditionalFormatting>
  <conditionalFormatting sqref="I80:K81">
    <cfRule type="cellIs" dxfId="4962" priority="1152" stopIfTrue="1" operator="equal">
      <formula>"N/A"</formula>
    </cfRule>
  </conditionalFormatting>
  <conditionalFormatting sqref="D80:D81">
    <cfRule type="cellIs" dxfId="4961" priority="1151" stopIfTrue="1" operator="equal">
      <formula>"Total"</formula>
    </cfRule>
  </conditionalFormatting>
  <conditionalFormatting sqref="E80:E81">
    <cfRule type="cellIs" dxfId="4960" priority="1150" stopIfTrue="1" operator="equal">
      <formula>"Operation"</formula>
    </cfRule>
  </conditionalFormatting>
  <conditionalFormatting sqref="E80:E81">
    <cfRule type="cellIs" dxfId="4959" priority="1149" stopIfTrue="1" operator="equal">
      <formula>"N/A"</formula>
    </cfRule>
  </conditionalFormatting>
  <conditionalFormatting sqref="G82:H82 L82">
    <cfRule type="cellIs" dxfId="4958" priority="1147" stopIfTrue="1" operator="equal">
      <formula>"Operation"</formula>
    </cfRule>
  </conditionalFormatting>
  <conditionalFormatting sqref="G82:H82 L82:N82">
    <cfRule type="cellIs" dxfId="4957" priority="1146" stopIfTrue="1" operator="equal">
      <formula>"N/A"</formula>
    </cfRule>
  </conditionalFormatting>
  <conditionalFormatting sqref="O82:P82">
    <cfRule type="cellIs" dxfId="4956" priority="1144" stopIfTrue="1" operator="equal">
      <formula>"N/A"</formula>
    </cfRule>
  </conditionalFormatting>
  <conditionalFormatting sqref="O82:P82">
    <cfRule type="cellIs" dxfId="4955" priority="1145" stopIfTrue="1" operator="equal">
      <formula>"Operation"</formula>
    </cfRule>
  </conditionalFormatting>
  <conditionalFormatting sqref="I82:J82">
    <cfRule type="cellIs" dxfId="4954" priority="1143" stopIfTrue="1" operator="equal">
      <formula>"Operation"</formula>
    </cfRule>
  </conditionalFormatting>
  <conditionalFormatting sqref="D82">
    <cfRule type="cellIs" dxfId="4953" priority="1140" stopIfTrue="1" operator="equal">
      <formula>"Total"</formula>
    </cfRule>
  </conditionalFormatting>
  <conditionalFormatting sqref="E82">
    <cfRule type="cellIs" dxfId="4952" priority="1139" stopIfTrue="1" operator="equal">
      <formula>"Operation"</formula>
    </cfRule>
  </conditionalFormatting>
  <conditionalFormatting sqref="E82">
    <cfRule type="cellIs" dxfId="4951" priority="1138" stopIfTrue="1" operator="equal">
      <formula>"N/A"</formula>
    </cfRule>
  </conditionalFormatting>
  <conditionalFormatting sqref="I134:J134">
    <cfRule type="cellIs" dxfId="4950" priority="1118" stopIfTrue="1" operator="equal">
      <formula>"Operation"</formula>
    </cfRule>
  </conditionalFormatting>
  <conditionalFormatting sqref="M132:N134">
    <cfRule type="cellIs" dxfId="4949" priority="1123" stopIfTrue="1" operator="equal">
      <formula>"Operation"</formula>
    </cfRule>
  </conditionalFormatting>
  <conditionalFormatting sqref="G134:H134 H132:H133 L132:L134">
    <cfRule type="cellIs" dxfId="4948" priority="1122" stopIfTrue="1" operator="equal">
      <formula>"Operation"</formula>
    </cfRule>
  </conditionalFormatting>
  <conditionalFormatting sqref="O134:P134">
    <cfRule type="cellIs" dxfId="4947" priority="1120" stopIfTrue="1" operator="equal">
      <formula>"Operation"</formula>
    </cfRule>
  </conditionalFormatting>
  <conditionalFormatting sqref="K134">
    <cfRule type="cellIs" dxfId="4946" priority="1117" stopIfTrue="1" operator="equal">
      <formula>"Operation"</formula>
    </cfRule>
  </conditionalFormatting>
  <conditionalFormatting sqref="E132:E134">
    <cfRule type="cellIs" dxfId="4945" priority="1113" stopIfTrue="1" operator="equal">
      <formula>"Operation"</formula>
    </cfRule>
  </conditionalFormatting>
  <conditionalFormatting sqref="E216:E224">
    <cfRule type="cellIs" dxfId="4944" priority="1126" stopIfTrue="1" operator="equal">
      <formula>"Operation"</formula>
    </cfRule>
  </conditionalFormatting>
  <conditionalFormatting sqref="E216:E224">
    <cfRule type="cellIs" dxfId="4943" priority="1125" stopIfTrue="1" operator="equal">
      <formula>"N/A"</formula>
    </cfRule>
  </conditionalFormatting>
  <conditionalFormatting sqref="G134:H134 H132:H133 L132:N134">
    <cfRule type="cellIs" dxfId="4942" priority="1121" stopIfTrue="1" operator="equal">
      <formula>"N/A"</formula>
    </cfRule>
  </conditionalFormatting>
  <conditionalFormatting sqref="O134:P134">
    <cfRule type="cellIs" dxfId="4941" priority="1119" stopIfTrue="1" operator="equal">
      <formula>"N/A"</formula>
    </cfRule>
  </conditionalFormatting>
  <conditionalFormatting sqref="I134:K134">
    <cfRule type="cellIs" dxfId="4940" priority="1116" stopIfTrue="1" operator="equal">
      <formula>"N/A"</formula>
    </cfRule>
  </conditionalFormatting>
  <conditionalFormatting sqref="D134">
    <cfRule type="cellIs" dxfId="4939" priority="1115" stopIfTrue="1" operator="equal">
      <formula>"Total"</formula>
    </cfRule>
  </conditionalFormatting>
  <conditionalFormatting sqref="E132:E134">
    <cfRule type="cellIs" dxfId="4938" priority="1112" stopIfTrue="1" operator="equal">
      <formula>"N/A"</formula>
    </cfRule>
  </conditionalFormatting>
  <conditionalFormatting sqref="G137:H137">
    <cfRule type="cellIs" dxfId="4937" priority="1137" stopIfTrue="1" operator="equal">
      <formula>"Operation"</formula>
    </cfRule>
  </conditionalFormatting>
  <conditionalFormatting sqref="H137:P137">
    <cfRule type="cellIs" dxfId="4936" priority="1136" stopIfTrue="1" operator="equal">
      <formula>"N/A"</formula>
    </cfRule>
  </conditionalFormatting>
  <conditionalFormatting sqref="E137">
    <cfRule type="cellIs" dxfId="4935" priority="1127" stopIfTrue="1" operator="equal">
      <formula>"N/A"</formula>
    </cfRule>
  </conditionalFormatting>
  <conditionalFormatting sqref="L216:N224 I216:J224">
    <cfRule type="cellIs" dxfId="4934" priority="1134" stopIfTrue="1" operator="equal">
      <formula>"Operation"</formula>
    </cfRule>
  </conditionalFormatting>
  <conditionalFormatting sqref="G216:H224">
    <cfRule type="cellIs" dxfId="4933" priority="1132" stopIfTrue="1" operator="equal">
      <formula>"Operation"</formula>
    </cfRule>
  </conditionalFormatting>
  <conditionalFormatting sqref="H216:P224">
    <cfRule type="cellIs" dxfId="4932" priority="1129" stopIfTrue="1" operator="equal">
      <formula>"N/A"</formula>
    </cfRule>
  </conditionalFormatting>
  <conditionalFormatting sqref="O216:P224">
    <cfRule type="cellIs" dxfId="4931" priority="1135" stopIfTrue="1" operator="equal">
      <formula>"Operation"</formula>
    </cfRule>
  </conditionalFormatting>
  <conditionalFormatting sqref="D216:D224">
    <cfRule type="cellIs" dxfId="4930" priority="1131" stopIfTrue="1" operator="equal">
      <formula>"Total"</formula>
    </cfRule>
  </conditionalFormatting>
  <conditionalFormatting sqref="I138:J141">
    <cfRule type="cellIs" dxfId="4929" priority="1092" stopIfTrue="1" operator="equal">
      <formula>"Operation"</formula>
    </cfRule>
  </conditionalFormatting>
  <conditionalFormatting sqref="M138:N141">
    <cfRule type="cellIs" dxfId="4928" priority="1097" stopIfTrue="1" operator="equal">
      <formula>"Operation"</formula>
    </cfRule>
  </conditionalFormatting>
  <conditionalFormatting sqref="G138:H141 L138:L141">
    <cfRule type="cellIs" dxfId="4927" priority="1096" stopIfTrue="1" operator="equal">
      <formula>"Operation"</formula>
    </cfRule>
  </conditionalFormatting>
  <conditionalFormatting sqref="O138:P141">
    <cfRule type="cellIs" dxfId="4926" priority="1094" stopIfTrue="1" operator="equal">
      <formula>"Operation"</formula>
    </cfRule>
  </conditionalFormatting>
  <conditionalFormatting sqref="E138:E141">
    <cfRule type="cellIs" dxfId="4925" priority="1087" stopIfTrue="1" operator="equal">
      <formula>"Operation"</formula>
    </cfRule>
  </conditionalFormatting>
  <conditionalFormatting sqref="E142:E143 E138:E140">
    <cfRule type="cellIs" dxfId="4924" priority="1100" stopIfTrue="1" operator="equal">
      <formula>"Operation"</formula>
    </cfRule>
  </conditionalFormatting>
  <conditionalFormatting sqref="E142:E143 E138:E140">
    <cfRule type="cellIs" dxfId="4923" priority="1099" stopIfTrue="1" operator="equal">
      <formula>"N/A"</formula>
    </cfRule>
  </conditionalFormatting>
  <conditionalFormatting sqref="G138:H141 L138:N141">
    <cfRule type="cellIs" dxfId="4922" priority="1095" stopIfTrue="1" operator="equal">
      <formula>"N/A"</formula>
    </cfRule>
  </conditionalFormatting>
  <conditionalFormatting sqref="O138:P141">
    <cfRule type="cellIs" dxfId="4921" priority="1093" stopIfTrue="1" operator="equal">
      <formula>"N/A"</formula>
    </cfRule>
  </conditionalFormatting>
  <conditionalFormatting sqref="I138:K141">
    <cfRule type="cellIs" dxfId="4920" priority="1090" stopIfTrue="1" operator="equal">
      <formula>"N/A"</formula>
    </cfRule>
  </conditionalFormatting>
  <conditionalFormatting sqref="D141">
    <cfRule type="cellIs" dxfId="4919" priority="1089" stopIfTrue="1" operator="equal">
      <formula>"Total"</formula>
    </cfRule>
  </conditionalFormatting>
  <conditionalFormatting sqref="E138:E141">
    <cfRule type="cellIs" dxfId="4918" priority="1086" stopIfTrue="1" operator="equal">
      <formula>"N/A"</formula>
    </cfRule>
  </conditionalFormatting>
  <conditionalFormatting sqref="G144:H144">
    <cfRule type="cellIs" dxfId="4917" priority="1111" stopIfTrue="1" operator="equal">
      <formula>"Operation"</formula>
    </cfRule>
  </conditionalFormatting>
  <conditionalFormatting sqref="H144:P144">
    <cfRule type="cellIs" dxfId="4916" priority="1110" stopIfTrue="1" operator="equal">
      <formula>"N/A"</formula>
    </cfRule>
  </conditionalFormatting>
  <conditionalFormatting sqref="E144">
    <cfRule type="cellIs" dxfId="4915" priority="1101" stopIfTrue="1" operator="equal">
      <formula>"N/A"</formula>
    </cfRule>
  </conditionalFormatting>
  <conditionalFormatting sqref="I142:J143 L142:N143 L138:N140 I138:J140">
    <cfRule type="cellIs" dxfId="4914" priority="1108" stopIfTrue="1" operator="equal">
      <formula>"Operation"</formula>
    </cfRule>
  </conditionalFormatting>
  <conditionalFormatting sqref="K142:K143 K138:K140">
    <cfRule type="cellIs" dxfId="4913" priority="1107" stopIfTrue="1" operator="equal">
      <formula>"Operation"</formula>
    </cfRule>
  </conditionalFormatting>
  <conditionalFormatting sqref="G142:H143 G138:H140">
    <cfRule type="cellIs" dxfId="4912" priority="1106" stopIfTrue="1" operator="equal">
      <formula>"Operation"</formula>
    </cfRule>
  </conditionalFormatting>
  <conditionalFormatting sqref="H142:P143 H138:P140">
    <cfRule type="cellIs" dxfId="4911" priority="1103" stopIfTrue="1" operator="equal">
      <formula>"N/A"</formula>
    </cfRule>
  </conditionalFormatting>
  <conditionalFormatting sqref="O142:P143 O138:P140">
    <cfRule type="cellIs" dxfId="4910" priority="1109" stopIfTrue="1" operator="equal">
      <formula>"Operation"</formula>
    </cfRule>
  </conditionalFormatting>
  <conditionalFormatting sqref="D138:D140 D142:D143">
    <cfRule type="cellIs" dxfId="4909" priority="1105" stopIfTrue="1" operator="equal">
      <formula>"Total"</formula>
    </cfRule>
  </conditionalFormatting>
  <conditionalFormatting sqref="I147:J149">
    <cfRule type="cellIs" dxfId="4908" priority="1066" stopIfTrue="1" operator="equal">
      <formula>"Operation"</formula>
    </cfRule>
  </conditionalFormatting>
  <conditionalFormatting sqref="M147:N152">
    <cfRule type="cellIs" dxfId="4907" priority="1071" stopIfTrue="1" operator="equal">
      <formula>"Operation"</formula>
    </cfRule>
  </conditionalFormatting>
  <conditionalFormatting sqref="G147:H149 H150:H151 L147:L152">
    <cfRule type="cellIs" dxfId="4906" priority="1070" stopIfTrue="1" operator="equal">
      <formula>"Operation"</formula>
    </cfRule>
  </conditionalFormatting>
  <conditionalFormatting sqref="O147:P149">
    <cfRule type="cellIs" dxfId="4905" priority="1068" stopIfTrue="1" operator="equal">
      <formula>"Operation"</formula>
    </cfRule>
  </conditionalFormatting>
  <conditionalFormatting sqref="K147:K149">
    <cfRule type="cellIs" dxfId="4904" priority="1065" stopIfTrue="1" operator="equal">
      <formula>"Operation"</formula>
    </cfRule>
  </conditionalFormatting>
  <conditionalFormatting sqref="E147:E148">
    <cfRule type="cellIs" dxfId="4903" priority="1061" stopIfTrue="1" operator="equal">
      <formula>"Operation"</formula>
    </cfRule>
  </conditionalFormatting>
  <conditionalFormatting sqref="E145 E149:E152">
    <cfRule type="cellIs" dxfId="4902" priority="1074" stopIfTrue="1" operator="equal">
      <formula>"Operation"</formula>
    </cfRule>
  </conditionalFormatting>
  <conditionalFormatting sqref="E145 E149:E152">
    <cfRule type="cellIs" dxfId="4901" priority="1073" stopIfTrue="1" operator="equal">
      <formula>"N/A"</formula>
    </cfRule>
  </conditionalFormatting>
  <conditionalFormatting sqref="G147:H149 H150:H151 L147:N152">
    <cfRule type="cellIs" dxfId="4900" priority="1069" stopIfTrue="1" operator="equal">
      <formula>"N/A"</formula>
    </cfRule>
  </conditionalFormatting>
  <conditionalFormatting sqref="O147:P149">
    <cfRule type="cellIs" dxfId="4899" priority="1067" stopIfTrue="1" operator="equal">
      <formula>"N/A"</formula>
    </cfRule>
  </conditionalFormatting>
  <conditionalFormatting sqref="I147:K149">
    <cfRule type="cellIs" dxfId="4898" priority="1064" stopIfTrue="1" operator="equal">
      <formula>"N/A"</formula>
    </cfRule>
  </conditionalFormatting>
  <conditionalFormatting sqref="D147:D148">
    <cfRule type="cellIs" dxfId="4897" priority="1063" stopIfTrue="1" operator="equal">
      <formula>"Total"</formula>
    </cfRule>
  </conditionalFormatting>
  <conditionalFormatting sqref="E147:E148">
    <cfRule type="cellIs" dxfId="4896" priority="1060" stopIfTrue="1" operator="equal">
      <formula>"N/A"</formula>
    </cfRule>
  </conditionalFormatting>
  <conditionalFormatting sqref="G153:H153">
    <cfRule type="cellIs" dxfId="4895" priority="1085" stopIfTrue="1" operator="equal">
      <formula>"Operation"</formula>
    </cfRule>
  </conditionalFormatting>
  <conditionalFormatting sqref="H153:P153">
    <cfRule type="cellIs" dxfId="4894" priority="1084" stopIfTrue="1" operator="equal">
      <formula>"N/A"</formula>
    </cfRule>
  </conditionalFormatting>
  <conditionalFormatting sqref="E153">
    <cfRule type="cellIs" dxfId="4893" priority="1075" stopIfTrue="1" operator="equal">
      <formula>"N/A"</formula>
    </cfRule>
  </conditionalFormatting>
  <conditionalFormatting sqref="L145:N145 I145:J145 I150:J152 L150:N152">
    <cfRule type="cellIs" dxfId="4892" priority="1082" stopIfTrue="1" operator="equal">
      <formula>"Operation"</formula>
    </cfRule>
  </conditionalFormatting>
  <conditionalFormatting sqref="K145 K150:K152">
    <cfRule type="cellIs" dxfId="4891" priority="1081" stopIfTrue="1" operator="equal">
      <formula>"Operation"</formula>
    </cfRule>
  </conditionalFormatting>
  <conditionalFormatting sqref="G145:H145 G150:H152">
    <cfRule type="cellIs" dxfId="4890" priority="1080" stopIfTrue="1" operator="equal">
      <formula>"Operation"</formula>
    </cfRule>
  </conditionalFormatting>
  <conditionalFormatting sqref="H145:P145 H150:P152">
    <cfRule type="cellIs" dxfId="4889" priority="1077" stopIfTrue="1" operator="equal">
      <formula>"N/A"</formula>
    </cfRule>
  </conditionalFormatting>
  <conditionalFormatting sqref="O145:P145 O150:P152">
    <cfRule type="cellIs" dxfId="4888" priority="1083" stopIfTrue="1" operator="equal">
      <formula>"Operation"</formula>
    </cfRule>
  </conditionalFormatting>
  <conditionalFormatting sqref="D145 D149:D152">
    <cfRule type="cellIs" dxfId="4887" priority="1079" stopIfTrue="1" operator="equal">
      <formula>"Total"</formula>
    </cfRule>
  </conditionalFormatting>
  <conditionalFormatting sqref="K146">
    <cfRule type="cellIs" dxfId="4886" priority="1052" stopIfTrue="1" operator="equal">
      <formula>"Operation"</formula>
    </cfRule>
  </conditionalFormatting>
  <conditionalFormatting sqref="I146:K146">
    <cfRule type="cellIs" dxfId="4885" priority="1051" stopIfTrue="1" operator="equal">
      <formula>"N/A"</formula>
    </cfRule>
  </conditionalFormatting>
  <conditionalFormatting sqref="M146:N146">
    <cfRule type="cellIs" dxfId="4884" priority="1058" stopIfTrue="1" operator="equal">
      <formula>"Operation"</formula>
    </cfRule>
  </conditionalFormatting>
  <conditionalFormatting sqref="G146:H146 L146">
    <cfRule type="cellIs" dxfId="4883" priority="1057" stopIfTrue="1" operator="equal">
      <formula>"Operation"</formula>
    </cfRule>
  </conditionalFormatting>
  <conditionalFormatting sqref="G146:H146 L146:N146">
    <cfRule type="cellIs" dxfId="4882" priority="1056" stopIfTrue="1" operator="equal">
      <formula>"N/A"</formula>
    </cfRule>
  </conditionalFormatting>
  <conditionalFormatting sqref="O146:P146 P147:P152">
    <cfRule type="cellIs" dxfId="4881" priority="1054" stopIfTrue="1" operator="equal">
      <formula>"N/A"</formula>
    </cfRule>
  </conditionalFormatting>
  <conditionalFormatting sqref="O146:P146 P147:P152">
    <cfRule type="cellIs" dxfId="4880" priority="1055" stopIfTrue="1" operator="equal">
      <formula>"Operation"</formula>
    </cfRule>
  </conditionalFormatting>
  <conditionalFormatting sqref="I146:J146">
    <cfRule type="cellIs" dxfId="4879" priority="1053" stopIfTrue="1" operator="equal">
      <formula>"Operation"</formula>
    </cfRule>
  </conditionalFormatting>
  <conditionalFormatting sqref="D146">
    <cfRule type="cellIs" dxfId="4878" priority="1050" stopIfTrue="1" operator="equal">
      <formula>"Total"</formula>
    </cfRule>
  </conditionalFormatting>
  <conditionalFormatting sqref="E146">
    <cfRule type="cellIs" dxfId="4877" priority="1048" stopIfTrue="1" operator="equal">
      <formula>"Operation"</formula>
    </cfRule>
  </conditionalFormatting>
  <conditionalFormatting sqref="E146">
    <cfRule type="cellIs" dxfId="4876" priority="1047" stopIfTrue="1" operator="equal">
      <formula>"N/A"</formula>
    </cfRule>
  </conditionalFormatting>
  <conditionalFormatting sqref="G130:H130">
    <cfRule type="cellIs" dxfId="4875" priority="1046" stopIfTrue="1" operator="equal">
      <formula>"Operation"</formula>
    </cfRule>
  </conditionalFormatting>
  <conditionalFormatting sqref="H130:P130">
    <cfRule type="cellIs" dxfId="4874" priority="1045" stopIfTrue="1" operator="equal">
      <formula>"N/A"</formula>
    </cfRule>
  </conditionalFormatting>
  <conditionalFormatting sqref="I127:J129 L127:N129">
    <cfRule type="cellIs" dxfId="4873" priority="1043" stopIfTrue="1" operator="equal">
      <formula>"Operation"</formula>
    </cfRule>
  </conditionalFormatting>
  <conditionalFormatting sqref="K127:K129">
    <cfRule type="cellIs" dxfId="4872" priority="1042" stopIfTrue="1" operator="equal">
      <formula>"Operation"</formula>
    </cfRule>
  </conditionalFormatting>
  <conditionalFormatting sqref="G127:H129">
    <cfRule type="cellIs" dxfId="4871" priority="1041" stopIfTrue="1" operator="equal">
      <formula>"Operation"</formula>
    </cfRule>
  </conditionalFormatting>
  <conditionalFormatting sqref="H127:P129">
    <cfRule type="cellIs" dxfId="4870" priority="1039" stopIfTrue="1" operator="equal">
      <formula>"N/A"</formula>
    </cfRule>
  </conditionalFormatting>
  <conditionalFormatting sqref="O127:P129">
    <cfRule type="cellIs" dxfId="4869" priority="1044" stopIfTrue="1" operator="equal">
      <formula>"Operation"</formula>
    </cfRule>
  </conditionalFormatting>
  <conditionalFormatting sqref="D127:D129">
    <cfRule type="cellIs" dxfId="4868" priority="1040" stopIfTrue="1" operator="equal">
      <formula>"Total"</formula>
    </cfRule>
  </conditionalFormatting>
  <conditionalFormatting sqref="E127:E129">
    <cfRule type="cellIs" dxfId="4867" priority="1037" stopIfTrue="1" operator="equal">
      <formula>"Operation"</formula>
    </cfRule>
  </conditionalFormatting>
  <conditionalFormatting sqref="E130">
    <cfRule type="cellIs" dxfId="4866" priority="1038" stopIfTrue="1" operator="equal">
      <formula>"N/A"</formula>
    </cfRule>
  </conditionalFormatting>
  <conditionalFormatting sqref="E127:E129">
    <cfRule type="cellIs" dxfId="4865" priority="1036" stopIfTrue="1" operator="equal">
      <formula>"N/A"</formula>
    </cfRule>
  </conditionalFormatting>
  <conditionalFormatting sqref="H224:P224">
    <cfRule type="cellIs" dxfId="4864" priority="944" stopIfTrue="1" operator="equal">
      <formula>"N/A"</formula>
    </cfRule>
  </conditionalFormatting>
  <conditionalFormatting sqref="E224">
    <cfRule type="cellIs" dxfId="4863" priority="943" stopIfTrue="1" operator="equal">
      <formula>"Operation"</formula>
    </cfRule>
  </conditionalFormatting>
  <conditionalFormatting sqref="E161:E162">
    <cfRule type="cellIs" dxfId="4862" priority="1012" stopIfTrue="1" operator="equal">
      <formula>"Operation"</formula>
    </cfRule>
  </conditionalFormatting>
  <conditionalFormatting sqref="E161:E162">
    <cfRule type="cellIs" dxfId="4861" priority="1011" stopIfTrue="1" operator="equal">
      <formula>"N/A"</formula>
    </cfRule>
  </conditionalFormatting>
  <conditionalFormatting sqref="G166:H166">
    <cfRule type="cellIs" dxfId="4860" priority="1035" stopIfTrue="1" operator="equal">
      <formula>"Operation"</formula>
    </cfRule>
  </conditionalFormatting>
  <conditionalFormatting sqref="H166:P166">
    <cfRule type="cellIs" dxfId="4859" priority="1034" stopIfTrue="1" operator="equal">
      <formula>"N/A"</formula>
    </cfRule>
  </conditionalFormatting>
  <conditionalFormatting sqref="L160:N160 I160:J160 I164:J165 L164:N165">
    <cfRule type="cellIs" dxfId="4858" priority="1032" stopIfTrue="1" operator="equal">
      <formula>"Operation"</formula>
    </cfRule>
  </conditionalFormatting>
  <conditionalFormatting sqref="K160 K164:K165">
    <cfRule type="cellIs" dxfId="4857" priority="1031" stopIfTrue="1" operator="equal">
      <formula>"Operation"</formula>
    </cfRule>
  </conditionalFormatting>
  <conditionalFormatting sqref="G160:H160 G164:H165">
    <cfRule type="cellIs" dxfId="4856" priority="1030" stopIfTrue="1" operator="equal">
      <formula>"Operation"</formula>
    </cfRule>
  </conditionalFormatting>
  <conditionalFormatting sqref="H160:P160 H164:P165">
    <cfRule type="cellIs" dxfId="4855" priority="1027" stopIfTrue="1" operator="equal">
      <formula>"N/A"</formula>
    </cfRule>
  </conditionalFormatting>
  <conditionalFormatting sqref="O160:P160 O164:P165">
    <cfRule type="cellIs" dxfId="4854" priority="1033" stopIfTrue="1" operator="equal">
      <formula>"Operation"</formula>
    </cfRule>
  </conditionalFormatting>
  <conditionalFormatting sqref="D160 D164:D165">
    <cfRule type="cellIs" dxfId="4853" priority="1029" stopIfTrue="1" operator="equal">
      <formula>"Total"</formula>
    </cfRule>
  </conditionalFormatting>
  <conditionalFormatting sqref="E160 E164:E165">
    <cfRule type="cellIs" dxfId="4852" priority="1024" stopIfTrue="1" operator="equal">
      <formula>"Operation"</formula>
    </cfRule>
  </conditionalFormatting>
  <conditionalFormatting sqref="E166">
    <cfRule type="cellIs" dxfId="4851" priority="1025" stopIfTrue="1" operator="equal">
      <formula>"N/A"</formula>
    </cfRule>
  </conditionalFormatting>
  <conditionalFormatting sqref="E160 E164:E165">
    <cfRule type="cellIs" dxfId="4850" priority="1023" stopIfTrue="1" operator="equal">
      <formula>"N/A"</formula>
    </cfRule>
  </conditionalFormatting>
  <conditionalFormatting sqref="O161:P162">
    <cfRule type="cellIs" dxfId="4849" priority="1018" stopIfTrue="1" operator="equal">
      <formula>"Operation"</formula>
    </cfRule>
  </conditionalFormatting>
  <conditionalFormatting sqref="O161:P162">
    <cfRule type="cellIs" dxfId="4848" priority="1017" stopIfTrue="1" operator="equal">
      <formula>"N/A"</formula>
    </cfRule>
  </conditionalFormatting>
  <conditionalFormatting sqref="K163">
    <cfRule type="cellIs" dxfId="4847" priority="1003" stopIfTrue="1" operator="equal">
      <formula>"Operation"</formula>
    </cfRule>
  </conditionalFormatting>
  <conditionalFormatting sqref="I163:K163">
    <cfRule type="cellIs" dxfId="4846" priority="1002" stopIfTrue="1" operator="equal">
      <formula>"N/A"</formula>
    </cfRule>
  </conditionalFormatting>
  <conditionalFormatting sqref="M163:N163">
    <cfRule type="cellIs" dxfId="4845" priority="1009" stopIfTrue="1" operator="equal">
      <formula>"Operation"</formula>
    </cfRule>
  </conditionalFormatting>
  <conditionalFormatting sqref="G161:H162 L161:L162">
    <cfRule type="cellIs" dxfId="4844" priority="1020" stopIfTrue="1" operator="equal">
      <formula>"Operation"</formula>
    </cfRule>
  </conditionalFormatting>
  <conditionalFormatting sqref="G161:H162 L161:N162">
    <cfRule type="cellIs" dxfId="4843" priority="1019" stopIfTrue="1" operator="equal">
      <formula>"N/A"</formula>
    </cfRule>
  </conditionalFormatting>
  <conditionalFormatting sqref="M161:N162">
    <cfRule type="cellIs" dxfId="4842" priority="1021" stopIfTrue="1" operator="equal">
      <formula>"Operation"</formula>
    </cfRule>
  </conditionalFormatting>
  <conditionalFormatting sqref="I161:J162">
    <cfRule type="cellIs" dxfId="4841" priority="1016" stopIfTrue="1" operator="equal">
      <formula>"Operation"</formula>
    </cfRule>
  </conditionalFormatting>
  <conditionalFormatting sqref="K161:K162">
    <cfRule type="cellIs" dxfId="4840" priority="1015" stopIfTrue="1" operator="equal">
      <formula>"Operation"</formula>
    </cfRule>
  </conditionalFormatting>
  <conditionalFormatting sqref="I161:K162">
    <cfRule type="cellIs" dxfId="4839" priority="1014" stopIfTrue="1" operator="equal">
      <formula>"N/A"</formula>
    </cfRule>
  </conditionalFormatting>
  <conditionalFormatting sqref="D161:D162">
    <cfRule type="cellIs" dxfId="4838" priority="1013" stopIfTrue="1" operator="equal">
      <formula>"Total"</formula>
    </cfRule>
  </conditionalFormatting>
  <conditionalFormatting sqref="G163:H163 L163">
    <cfRule type="cellIs" dxfId="4837" priority="1008" stopIfTrue="1" operator="equal">
      <formula>"Operation"</formula>
    </cfRule>
  </conditionalFormatting>
  <conditionalFormatting sqref="G163:H163 L163:N163">
    <cfRule type="cellIs" dxfId="4836" priority="1007" stopIfTrue="1" operator="equal">
      <formula>"N/A"</formula>
    </cfRule>
  </conditionalFormatting>
  <conditionalFormatting sqref="O163:P163">
    <cfRule type="cellIs" dxfId="4835" priority="1005" stopIfTrue="1" operator="equal">
      <formula>"N/A"</formula>
    </cfRule>
  </conditionalFormatting>
  <conditionalFormatting sqref="O163:P163">
    <cfRule type="cellIs" dxfId="4834" priority="1006" stopIfTrue="1" operator="equal">
      <formula>"Operation"</formula>
    </cfRule>
  </conditionalFormatting>
  <conditionalFormatting sqref="I163:J163">
    <cfRule type="cellIs" dxfId="4833" priority="1004" stopIfTrue="1" operator="equal">
      <formula>"Operation"</formula>
    </cfRule>
  </conditionalFormatting>
  <conditionalFormatting sqref="D163">
    <cfRule type="cellIs" dxfId="4832" priority="1001" stopIfTrue="1" operator="equal">
      <formula>"Total"</formula>
    </cfRule>
  </conditionalFormatting>
  <conditionalFormatting sqref="E163">
    <cfRule type="cellIs" dxfId="4831" priority="999" stopIfTrue="1" operator="equal">
      <formula>"Operation"</formula>
    </cfRule>
  </conditionalFormatting>
  <conditionalFormatting sqref="E163">
    <cfRule type="cellIs" dxfId="4830" priority="998" stopIfTrue="1" operator="equal">
      <formula>"N/A"</formula>
    </cfRule>
  </conditionalFormatting>
  <conditionalFormatting sqref="I222:J223">
    <cfRule type="cellIs" dxfId="4829" priority="956" stopIfTrue="1" operator="equal">
      <formula>"Operation"</formula>
    </cfRule>
  </conditionalFormatting>
  <conditionalFormatting sqref="K222:K223">
    <cfRule type="cellIs" dxfId="4828" priority="955" stopIfTrue="1" operator="equal">
      <formula>"Operation"</formula>
    </cfRule>
  </conditionalFormatting>
  <conditionalFormatting sqref="G222:H223">
    <cfRule type="cellIs" dxfId="4827" priority="954" stopIfTrue="1" operator="equal">
      <formula>"Operation"</formula>
    </cfRule>
  </conditionalFormatting>
  <conditionalFormatting sqref="G216:H216">
    <cfRule type="cellIs" dxfId="4826" priority="997" stopIfTrue="1" operator="equal">
      <formula>"Operation"</formula>
    </cfRule>
  </conditionalFormatting>
  <conditionalFormatting sqref="D216">
    <cfRule type="cellIs" dxfId="4825" priority="996" stopIfTrue="1" operator="equal">
      <formula>"Total"</formula>
    </cfRule>
  </conditionalFormatting>
  <conditionalFormatting sqref="H216:P216">
    <cfRule type="cellIs" dxfId="4824" priority="994" stopIfTrue="1" operator="equal">
      <formula>"N/A"</formula>
    </cfRule>
  </conditionalFormatting>
  <conditionalFormatting sqref="E222:E223">
    <cfRule type="cellIs" dxfId="4823" priority="949" stopIfTrue="1" operator="equal">
      <formula>"Operation"</formula>
    </cfRule>
  </conditionalFormatting>
  <conditionalFormatting sqref="E216">
    <cfRule type="cellIs" dxfId="4822" priority="993" stopIfTrue="1" operator="equal">
      <formula>"N/A"</formula>
    </cfRule>
  </conditionalFormatting>
  <conditionalFormatting sqref="E217:E218">
    <cfRule type="cellIs" dxfId="4821" priority="972" stopIfTrue="1" operator="equal">
      <formula>"Operation"</formula>
    </cfRule>
  </conditionalFormatting>
  <conditionalFormatting sqref="E217:E218">
    <cfRule type="cellIs" dxfId="4820" priority="971" stopIfTrue="1" operator="equal">
      <formula>"N/A"</formula>
    </cfRule>
  </conditionalFormatting>
  <conditionalFormatting sqref="I220:J221 L220:N223">
    <cfRule type="cellIs" dxfId="4819" priority="991" stopIfTrue="1" operator="equal">
      <formula>"Operation"</formula>
    </cfRule>
  </conditionalFormatting>
  <conditionalFormatting sqref="K220:K221">
    <cfRule type="cellIs" dxfId="4818" priority="990" stopIfTrue="1" operator="equal">
      <formula>"Operation"</formula>
    </cfRule>
  </conditionalFormatting>
  <conditionalFormatting sqref="G220:H221">
    <cfRule type="cellIs" dxfId="4817" priority="989" stopIfTrue="1" operator="equal">
      <formula>"Operation"</formula>
    </cfRule>
  </conditionalFormatting>
  <conditionalFormatting sqref="H220:P221 L222:N223">
    <cfRule type="cellIs" dxfId="4816" priority="986" stopIfTrue="1" operator="equal">
      <formula>"N/A"</formula>
    </cfRule>
  </conditionalFormatting>
  <conditionalFormatting sqref="O220:P221">
    <cfRule type="cellIs" dxfId="4815" priority="992" stopIfTrue="1" operator="equal">
      <formula>"Operation"</formula>
    </cfRule>
  </conditionalFormatting>
  <conditionalFormatting sqref="D220:D221">
    <cfRule type="cellIs" dxfId="4814" priority="988" stopIfTrue="1" operator="equal">
      <formula>"Total"</formula>
    </cfRule>
  </conditionalFormatting>
  <conditionalFormatting sqref="E220:E221">
    <cfRule type="cellIs" dxfId="4813" priority="984" stopIfTrue="1" operator="equal">
      <formula>"Operation"</formula>
    </cfRule>
  </conditionalFormatting>
  <conditionalFormatting sqref="E220:E221">
    <cfRule type="cellIs" dxfId="4812" priority="983" stopIfTrue="1" operator="equal">
      <formula>"N/A"</formula>
    </cfRule>
  </conditionalFormatting>
  <conditionalFormatting sqref="F132:F134">
    <cfRule type="cellIs" dxfId="4811" priority="922" stopIfTrue="1" operator="equal">
      <formula>"Operation"</formula>
    </cfRule>
  </conditionalFormatting>
  <conditionalFormatting sqref="F132:F134">
    <cfRule type="cellIs" dxfId="4810" priority="921" stopIfTrue="1" operator="equal">
      <formula>"N/A"</formula>
    </cfRule>
  </conditionalFormatting>
  <conditionalFormatting sqref="O217:P218">
    <cfRule type="cellIs" dxfId="4809" priority="978" stopIfTrue="1" operator="equal">
      <formula>"Operation"</formula>
    </cfRule>
  </conditionalFormatting>
  <conditionalFormatting sqref="O217:P218">
    <cfRule type="cellIs" dxfId="4808" priority="977" stopIfTrue="1" operator="equal">
      <formula>"N/A"</formula>
    </cfRule>
  </conditionalFormatting>
  <conditionalFormatting sqref="K219">
    <cfRule type="cellIs" dxfId="4807" priority="963" stopIfTrue="1" operator="equal">
      <formula>"Operation"</formula>
    </cfRule>
  </conditionalFormatting>
  <conditionalFormatting sqref="I219:K219">
    <cfRule type="cellIs" dxfId="4806" priority="962" stopIfTrue="1" operator="equal">
      <formula>"N/A"</formula>
    </cfRule>
  </conditionalFormatting>
  <conditionalFormatting sqref="M219:N219">
    <cfRule type="cellIs" dxfId="4805" priority="969" stopIfTrue="1" operator="equal">
      <formula>"Operation"</formula>
    </cfRule>
  </conditionalFormatting>
  <conditionalFormatting sqref="G217:H218 L217:L218">
    <cfRule type="cellIs" dxfId="4804" priority="980" stopIfTrue="1" operator="equal">
      <formula>"Operation"</formula>
    </cfRule>
  </conditionalFormatting>
  <conditionalFormatting sqref="G217:H218 L217:N218">
    <cfRule type="cellIs" dxfId="4803" priority="979" stopIfTrue="1" operator="equal">
      <formula>"N/A"</formula>
    </cfRule>
  </conditionalFormatting>
  <conditionalFormatting sqref="M217:N218">
    <cfRule type="cellIs" dxfId="4802" priority="981" stopIfTrue="1" operator="equal">
      <formula>"Operation"</formula>
    </cfRule>
  </conditionalFormatting>
  <conditionalFormatting sqref="I217:J218">
    <cfRule type="cellIs" dxfId="4801" priority="976" stopIfTrue="1" operator="equal">
      <formula>"Operation"</formula>
    </cfRule>
  </conditionalFormatting>
  <conditionalFormatting sqref="K217:K218">
    <cfRule type="cellIs" dxfId="4800" priority="975" stopIfTrue="1" operator="equal">
      <formula>"Operation"</formula>
    </cfRule>
  </conditionalFormatting>
  <conditionalFormatting sqref="I217:K218">
    <cfRule type="cellIs" dxfId="4799" priority="974" stopIfTrue="1" operator="equal">
      <formula>"N/A"</formula>
    </cfRule>
  </conditionalFormatting>
  <conditionalFormatting sqref="D217:D218">
    <cfRule type="cellIs" dxfId="4798" priority="973" stopIfTrue="1" operator="equal">
      <formula>"Total"</formula>
    </cfRule>
  </conditionalFormatting>
  <conditionalFormatting sqref="G219:H219 L219">
    <cfRule type="cellIs" dxfId="4797" priority="968" stopIfTrue="1" operator="equal">
      <formula>"Operation"</formula>
    </cfRule>
  </conditionalFormatting>
  <conditionalFormatting sqref="G219:H219 L219:N219">
    <cfRule type="cellIs" dxfId="4796" priority="967" stopIfTrue="1" operator="equal">
      <formula>"N/A"</formula>
    </cfRule>
  </conditionalFormatting>
  <conditionalFormatting sqref="O219:P219">
    <cfRule type="cellIs" dxfId="4795" priority="965" stopIfTrue="1" operator="equal">
      <formula>"N/A"</formula>
    </cfRule>
  </conditionalFormatting>
  <conditionalFormatting sqref="O219:P219">
    <cfRule type="cellIs" dxfId="4794" priority="966" stopIfTrue="1" operator="equal">
      <formula>"Operation"</formula>
    </cfRule>
  </conditionalFormatting>
  <conditionalFormatting sqref="I219:J219">
    <cfRule type="cellIs" dxfId="4793" priority="964" stopIfTrue="1" operator="equal">
      <formula>"Operation"</formula>
    </cfRule>
  </conditionalFormatting>
  <conditionalFormatting sqref="D219">
    <cfRule type="cellIs" dxfId="4792" priority="961" stopIfTrue="1" operator="equal">
      <formula>"Total"</formula>
    </cfRule>
  </conditionalFormatting>
  <conditionalFormatting sqref="E219">
    <cfRule type="cellIs" dxfId="4791" priority="959" stopIfTrue="1" operator="equal">
      <formula>"Operation"</formula>
    </cfRule>
  </conditionalFormatting>
  <conditionalFormatting sqref="E219">
    <cfRule type="cellIs" dxfId="4790" priority="958" stopIfTrue="1" operator="equal">
      <formula>"N/A"</formula>
    </cfRule>
  </conditionalFormatting>
  <conditionalFormatting sqref="F160 F164:F166">
    <cfRule type="cellIs" dxfId="4789" priority="904" stopIfTrue="1" operator="equal">
      <formula>"Operation"</formula>
    </cfRule>
  </conditionalFormatting>
  <conditionalFormatting sqref="F160 F164:F166">
    <cfRule type="cellIs" dxfId="4788" priority="903" stopIfTrue="1" operator="equal">
      <formula>"N/A"</formula>
    </cfRule>
  </conditionalFormatting>
  <conditionalFormatting sqref="F217:F218">
    <cfRule type="cellIs" dxfId="4787" priority="895" stopIfTrue="1" operator="equal">
      <formula>"Operation"</formula>
    </cfRule>
  </conditionalFormatting>
  <conditionalFormatting sqref="H222:K223 O222:P223">
    <cfRule type="cellIs" dxfId="4786" priority="951" stopIfTrue="1" operator="equal">
      <formula>"N/A"</formula>
    </cfRule>
  </conditionalFormatting>
  <conditionalFormatting sqref="O222:P223">
    <cfRule type="cellIs" dxfId="4785" priority="957" stopIfTrue="1" operator="equal">
      <formula>"Operation"</formula>
    </cfRule>
  </conditionalFormatting>
  <conditionalFormatting sqref="D222">
    <cfRule type="cellIs" dxfId="4784" priority="953" stopIfTrue="1" operator="equal">
      <formula>"Total"</formula>
    </cfRule>
  </conditionalFormatting>
  <conditionalFormatting sqref="F224">
    <cfRule type="cellIs" dxfId="4783" priority="889" stopIfTrue="1" operator="equal">
      <formula>"Operation"</formula>
    </cfRule>
  </conditionalFormatting>
  <conditionalFormatting sqref="E222:E223">
    <cfRule type="cellIs" dxfId="4782" priority="948" stopIfTrue="1" operator="equal">
      <formula>"N/A"</formula>
    </cfRule>
  </conditionalFormatting>
  <conditionalFormatting sqref="G224:P224">
    <cfRule type="cellIs" dxfId="4781" priority="947" stopIfTrue="1" operator="equal">
      <formula>"Operation"</formula>
    </cfRule>
  </conditionalFormatting>
  <conditionalFormatting sqref="D224">
    <cfRule type="cellIs" dxfId="4780" priority="946" stopIfTrue="1" operator="equal">
      <formula>"Total"</formula>
    </cfRule>
  </conditionalFormatting>
  <conditionalFormatting sqref="E224">
    <cfRule type="cellIs" dxfId="4779" priority="942" stopIfTrue="1" operator="equal">
      <formula>"N/A"</formula>
    </cfRule>
  </conditionalFormatting>
  <conditionalFormatting sqref="F163">
    <cfRule type="cellIs" dxfId="4778" priority="900" stopIfTrue="1" operator="equal">
      <formula>"Operation"</formula>
    </cfRule>
  </conditionalFormatting>
  <conditionalFormatting sqref="F163">
    <cfRule type="cellIs" dxfId="4777" priority="899" stopIfTrue="1" operator="equal">
      <formula>"N/A"</formula>
    </cfRule>
  </conditionalFormatting>
  <conditionalFormatting sqref="F222:F223">
    <cfRule type="cellIs" dxfId="4776" priority="891" stopIfTrue="1" operator="equal">
      <formula>"Operation"</formula>
    </cfRule>
  </conditionalFormatting>
  <conditionalFormatting sqref="F216">
    <cfRule type="cellIs" dxfId="4775" priority="898" stopIfTrue="1" operator="equal">
      <formula>"N/A"</formula>
    </cfRule>
  </conditionalFormatting>
  <conditionalFormatting sqref="F217:F218">
    <cfRule type="cellIs" dxfId="4774" priority="894" stopIfTrue="1" operator="equal">
      <formula>"N/A"</formula>
    </cfRule>
  </conditionalFormatting>
  <conditionalFormatting sqref="F220:F221">
    <cfRule type="cellIs" dxfId="4773" priority="897" stopIfTrue="1" operator="equal">
      <formula>"Operation"</formula>
    </cfRule>
  </conditionalFormatting>
  <conditionalFormatting sqref="F220:F221">
    <cfRule type="cellIs" dxfId="4772" priority="896" stopIfTrue="1" operator="equal">
      <formula>"N/A"</formula>
    </cfRule>
  </conditionalFormatting>
  <conditionalFormatting sqref="F219">
    <cfRule type="cellIs" dxfId="4771" priority="893" stopIfTrue="1" operator="equal">
      <formula>"Operation"</formula>
    </cfRule>
  </conditionalFormatting>
  <conditionalFormatting sqref="F219">
    <cfRule type="cellIs" dxfId="4770" priority="892" stopIfTrue="1" operator="equal">
      <formula>"N/A"</formula>
    </cfRule>
  </conditionalFormatting>
  <conditionalFormatting sqref="F222:F223">
    <cfRule type="cellIs" dxfId="4769" priority="890" stopIfTrue="1" operator="equal">
      <formula>"N/A"</formula>
    </cfRule>
  </conditionalFormatting>
  <conditionalFormatting sqref="F224">
    <cfRule type="cellIs" dxfId="4768" priority="888" stopIfTrue="1" operator="equal">
      <formula>"N/A"</formula>
    </cfRule>
  </conditionalFormatting>
  <conditionalFormatting sqref="F216:F224">
    <cfRule type="cellIs" dxfId="4767" priority="924" stopIfTrue="1" operator="equal">
      <formula>"Operation"</formula>
    </cfRule>
  </conditionalFormatting>
  <conditionalFormatting sqref="F216:F224">
    <cfRule type="cellIs" dxfId="4766" priority="923" stopIfTrue="1" operator="equal">
      <formula>"N/A"</formula>
    </cfRule>
  </conditionalFormatting>
  <conditionalFormatting sqref="F137">
    <cfRule type="cellIs" dxfId="4765" priority="925" stopIfTrue="1" operator="equal">
      <formula>"N/A"</formula>
    </cfRule>
  </conditionalFormatting>
  <conditionalFormatting sqref="F138:F141">
    <cfRule type="cellIs" dxfId="4764" priority="917" stopIfTrue="1" operator="equal">
      <formula>"Operation"</formula>
    </cfRule>
  </conditionalFormatting>
  <conditionalFormatting sqref="F142:F143 F138:F140">
    <cfRule type="cellIs" dxfId="4763" priority="919" stopIfTrue="1" operator="equal">
      <formula>"Operation"</formula>
    </cfRule>
  </conditionalFormatting>
  <conditionalFormatting sqref="F142:F143 F138:F140">
    <cfRule type="cellIs" dxfId="4762" priority="918" stopIfTrue="1" operator="equal">
      <formula>"N/A"</formula>
    </cfRule>
  </conditionalFormatting>
  <conditionalFormatting sqref="F138:F141">
    <cfRule type="cellIs" dxfId="4761" priority="916" stopIfTrue="1" operator="equal">
      <formula>"N/A"</formula>
    </cfRule>
  </conditionalFormatting>
  <conditionalFormatting sqref="F144">
    <cfRule type="cellIs" dxfId="4760" priority="920" stopIfTrue="1" operator="equal">
      <formula>"N/A"</formula>
    </cfRule>
  </conditionalFormatting>
  <conditionalFormatting sqref="F147:F148">
    <cfRule type="cellIs" dxfId="4759" priority="912" stopIfTrue="1" operator="equal">
      <formula>"Operation"</formula>
    </cfRule>
  </conditionalFormatting>
  <conditionalFormatting sqref="F145 F149:F152">
    <cfRule type="cellIs" dxfId="4758" priority="914" stopIfTrue="1" operator="equal">
      <formula>"Operation"</formula>
    </cfRule>
  </conditionalFormatting>
  <conditionalFormatting sqref="F145 F149:F152">
    <cfRule type="cellIs" dxfId="4757" priority="913" stopIfTrue="1" operator="equal">
      <formula>"N/A"</formula>
    </cfRule>
  </conditionalFormatting>
  <conditionalFormatting sqref="F147:F148">
    <cfRule type="cellIs" dxfId="4756" priority="911" stopIfTrue="1" operator="equal">
      <formula>"N/A"</formula>
    </cfRule>
  </conditionalFormatting>
  <conditionalFormatting sqref="F153">
    <cfRule type="cellIs" dxfId="4755" priority="915" stopIfTrue="1" operator="equal">
      <formula>"N/A"</formula>
    </cfRule>
  </conditionalFormatting>
  <conditionalFormatting sqref="F146">
    <cfRule type="cellIs" dxfId="4754" priority="910" stopIfTrue="1" operator="equal">
      <formula>"Operation"</formula>
    </cfRule>
  </conditionalFormatting>
  <conditionalFormatting sqref="F146">
    <cfRule type="cellIs" dxfId="4753" priority="909" stopIfTrue="1" operator="equal">
      <formula>"N/A"</formula>
    </cfRule>
  </conditionalFormatting>
  <conditionalFormatting sqref="F127:F129">
    <cfRule type="cellIs" dxfId="4752" priority="907" stopIfTrue="1" operator="equal">
      <formula>"Operation"</formula>
    </cfRule>
  </conditionalFormatting>
  <conditionalFormatting sqref="F130">
    <cfRule type="cellIs" dxfId="4751" priority="908" stopIfTrue="1" operator="equal">
      <formula>"N/A"</formula>
    </cfRule>
  </conditionalFormatting>
  <conditionalFormatting sqref="F127:F129">
    <cfRule type="cellIs" dxfId="4750" priority="906" stopIfTrue="1" operator="equal">
      <formula>"N/A"</formula>
    </cfRule>
  </conditionalFormatting>
  <conditionalFormatting sqref="F161:F162">
    <cfRule type="cellIs" dxfId="4749" priority="902" stopIfTrue="1" operator="equal">
      <formula>"Operation"</formula>
    </cfRule>
  </conditionalFormatting>
  <conditionalFormatting sqref="F161:F162">
    <cfRule type="cellIs" dxfId="4748" priority="901" stopIfTrue="1" operator="equal">
      <formula>"N/A"</formula>
    </cfRule>
  </conditionalFormatting>
  <conditionalFormatting sqref="F166">
    <cfRule type="cellIs" dxfId="4747" priority="905" stopIfTrue="1" operator="equal">
      <formula>"N/A"</formula>
    </cfRule>
  </conditionalFormatting>
  <conditionalFormatting sqref="F79 F83:F84">
    <cfRule type="cellIs" dxfId="4746" priority="936" stopIfTrue="1" operator="equal">
      <formula>"Operation"</formula>
    </cfRule>
  </conditionalFormatting>
  <conditionalFormatting sqref="F69:F77">
    <cfRule type="cellIs" dxfId="4745" priority="931" stopIfTrue="1" operator="equal">
      <formula>"Operation"</formula>
    </cfRule>
  </conditionalFormatting>
  <conditionalFormatting sqref="F85">
    <cfRule type="cellIs" dxfId="4744" priority="941" stopIfTrue="1" operator="equal">
      <formula>"N/A"</formula>
    </cfRule>
  </conditionalFormatting>
  <conditionalFormatting sqref="F29 F34 F36">
    <cfRule type="cellIs" dxfId="4743" priority="940" stopIfTrue="1" operator="equal">
      <formula>"Operation"</formula>
    </cfRule>
  </conditionalFormatting>
  <conditionalFormatting sqref="F29 F34 F36">
    <cfRule type="cellIs" dxfId="4742" priority="939" stopIfTrue="1" operator="equal">
      <formula>"N/A"</formula>
    </cfRule>
  </conditionalFormatting>
  <conditionalFormatting sqref="F8">
    <cfRule type="cellIs" dxfId="4741" priority="938" stopIfTrue="1" operator="equal">
      <formula>"Operation"</formula>
    </cfRule>
  </conditionalFormatting>
  <conditionalFormatting sqref="F8">
    <cfRule type="cellIs" dxfId="4740" priority="937" stopIfTrue="1" operator="equal">
      <formula>"N/A"</formula>
    </cfRule>
  </conditionalFormatting>
  <conditionalFormatting sqref="F79 F83:F84">
    <cfRule type="cellIs" dxfId="4739" priority="935" stopIfTrue="1" operator="equal">
      <formula>"N/A"</formula>
    </cfRule>
  </conditionalFormatting>
  <conditionalFormatting sqref="F68">
    <cfRule type="cellIs" dxfId="4738" priority="933" stopIfTrue="1" operator="equal">
      <formula>"Operation"</formula>
    </cfRule>
  </conditionalFormatting>
  <conditionalFormatting sqref="F68">
    <cfRule type="cellIs" dxfId="4737" priority="932" stopIfTrue="1" operator="equal">
      <formula>"N/A"</formula>
    </cfRule>
  </conditionalFormatting>
  <conditionalFormatting sqref="F69:F77">
    <cfRule type="cellIs" dxfId="4736" priority="930" stopIfTrue="1" operator="equal">
      <formula>"N/A"</formula>
    </cfRule>
  </conditionalFormatting>
  <conditionalFormatting sqref="F78">
    <cfRule type="cellIs" dxfId="4735" priority="934" stopIfTrue="1" operator="equal">
      <formula>"N/A"</formula>
    </cfRule>
  </conditionalFormatting>
  <conditionalFormatting sqref="F80:F81">
    <cfRule type="cellIs" dxfId="4734" priority="929" stopIfTrue="1" operator="equal">
      <formula>"Operation"</formula>
    </cfRule>
  </conditionalFormatting>
  <conditionalFormatting sqref="F80:F81">
    <cfRule type="cellIs" dxfId="4733" priority="928" stopIfTrue="1" operator="equal">
      <formula>"N/A"</formula>
    </cfRule>
  </conditionalFormatting>
  <conditionalFormatting sqref="F82">
    <cfRule type="cellIs" dxfId="4732" priority="927" stopIfTrue="1" operator="equal">
      <formula>"Operation"</formula>
    </cfRule>
  </conditionalFormatting>
  <conditionalFormatting sqref="F82">
    <cfRule type="cellIs" dxfId="4731" priority="926" stopIfTrue="1" operator="equal">
      <formula>"N/A"</formula>
    </cfRule>
  </conditionalFormatting>
  <conditionalFormatting sqref="F6">
    <cfRule type="cellIs" dxfId="4730" priority="887" stopIfTrue="1" operator="equal">
      <formula>"Operation"</formula>
    </cfRule>
  </conditionalFormatting>
  <conditionalFormatting sqref="F6">
    <cfRule type="cellIs" dxfId="4729" priority="886" stopIfTrue="1" operator="equal">
      <formula>"N/A"</formula>
    </cfRule>
  </conditionalFormatting>
  <conditionalFormatting sqref="G93:H93">
    <cfRule type="cellIs" dxfId="4728" priority="885" stopIfTrue="1" operator="equal">
      <formula>"Operation"</formula>
    </cfRule>
  </conditionalFormatting>
  <conditionalFormatting sqref="H93:P93">
    <cfRule type="cellIs" dxfId="4727" priority="884" stopIfTrue="1" operator="equal">
      <formula>"N/A"</formula>
    </cfRule>
  </conditionalFormatting>
  <conditionalFormatting sqref="L86:N86 I86:J86">
    <cfRule type="cellIs" dxfId="4726" priority="882" stopIfTrue="1" operator="equal">
      <formula>"Operation"</formula>
    </cfRule>
  </conditionalFormatting>
  <conditionalFormatting sqref="K86">
    <cfRule type="cellIs" dxfId="4725" priority="881" stopIfTrue="1" operator="equal">
      <formula>"Operation"</formula>
    </cfRule>
  </conditionalFormatting>
  <conditionalFormatting sqref="G86:H86">
    <cfRule type="cellIs" dxfId="4724" priority="880" stopIfTrue="1" operator="equal">
      <formula>"Operation"</formula>
    </cfRule>
  </conditionalFormatting>
  <conditionalFormatting sqref="H86:P86">
    <cfRule type="cellIs" dxfId="4723" priority="878" stopIfTrue="1" operator="equal">
      <formula>"N/A"</formula>
    </cfRule>
  </conditionalFormatting>
  <conditionalFormatting sqref="O86:P86">
    <cfRule type="cellIs" dxfId="4722" priority="883" stopIfTrue="1" operator="equal">
      <formula>"Operation"</formula>
    </cfRule>
  </conditionalFormatting>
  <conditionalFormatting sqref="D86">
    <cfRule type="cellIs" dxfId="4721" priority="879" stopIfTrue="1" operator="equal">
      <formula>"Total"</formula>
    </cfRule>
  </conditionalFormatting>
  <conditionalFormatting sqref="E86">
    <cfRule type="cellIs" dxfId="4720" priority="876" stopIfTrue="1" operator="equal">
      <formula>"Operation"</formula>
    </cfRule>
  </conditionalFormatting>
  <conditionalFormatting sqref="E93">
    <cfRule type="cellIs" dxfId="4719" priority="877" stopIfTrue="1" operator="equal">
      <formula>"N/A"</formula>
    </cfRule>
  </conditionalFormatting>
  <conditionalFormatting sqref="E86">
    <cfRule type="cellIs" dxfId="4718" priority="875" stopIfTrue="1" operator="equal">
      <formula>"N/A"</formula>
    </cfRule>
  </conditionalFormatting>
  <conditionalFormatting sqref="O87:P87 O88:O89">
    <cfRule type="cellIs" dxfId="4717" priority="872" stopIfTrue="1" operator="equal">
      <formula>"Operation"</formula>
    </cfRule>
  </conditionalFormatting>
  <conditionalFormatting sqref="O87:P87 O88:O89">
    <cfRule type="cellIs" dxfId="4716" priority="871" stopIfTrue="1" operator="equal">
      <formula>"N/A"</formula>
    </cfRule>
  </conditionalFormatting>
  <conditionalFormatting sqref="K90">
    <cfRule type="cellIs" dxfId="4715" priority="861" stopIfTrue="1" operator="equal">
      <formula>"Operation"</formula>
    </cfRule>
  </conditionalFormatting>
  <conditionalFormatting sqref="I90:K90">
    <cfRule type="cellIs" dxfId="4714" priority="860" stopIfTrue="1" operator="equal">
      <formula>"N/A"</formula>
    </cfRule>
  </conditionalFormatting>
  <conditionalFormatting sqref="G87:H87 G88:G89">
    <cfRule type="cellIs" dxfId="4713" priority="874" stopIfTrue="1" operator="equal">
      <formula>"Operation"</formula>
    </cfRule>
  </conditionalFormatting>
  <conditionalFormatting sqref="G87:H87 G88:G89">
    <cfRule type="cellIs" dxfId="4712" priority="873" stopIfTrue="1" operator="equal">
      <formula>"N/A"</formula>
    </cfRule>
  </conditionalFormatting>
  <conditionalFormatting sqref="I87:J89">
    <cfRule type="cellIs" dxfId="4711" priority="870" stopIfTrue="1" operator="equal">
      <formula>"Operation"</formula>
    </cfRule>
  </conditionalFormatting>
  <conditionalFormatting sqref="K87:K89">
    <cfRule type="cellIs" dxfId="4710" priority="869" stopIfTrue="1" operator="equal">
      <formula>"Operation"</formula>
    </cfRule>
  </conditionalFormatting>
  <conditionalFormatting sqref="I87:K89">
    <cfRule type="cellIs" dxfId="4709" priority="868" stopIfTrue="1" operator="equal">
      <formula>"N/A"</formula>
    </cfRule>
  </conditionalFormatting>
  <conditionalFormatting sqref="D87:D89">
    <cfRule type="cellIs" dxfId="4708" priority="867" stopIfTrue="1" operator="equal">
      <formula>"Total"</formula>
    </cfRule>
  </conditionalFormatting>
  <conditionalFormatting sqref="G90">
    <cfRule type="cellIs" dxfId="4707" priority="866" stopIfTrue="1" operator="equal">
      <formula>"Operation"</formula>
    </cfRule>
  </conditionalFormatting>
  <conditionalFormatting sqref="G90">
    <cfRule type="cellIs" dxfId="4706" priority="865" stopIfTrue="1" operator="equal">
      <formula>"N/A"</formula>
    </cfRule>
  </conditionalFormatting>
  <conditionalFormatting sqref="O90">
    <cfRule type="cellIs" dxfId="4705" priority="863" stopIfTrue="1" operator="equal">
      <formula>"N/A"</formula>
    </cfRule>
  </conditionalFormatting>
  <conditionalFormatting sqref="O90">
    <cfRule type="cellIs" dxfId="4704" priority="864" stopIfTrue="1" operator="equal">
      <formula>"Operation"</formula>
    </cfRule>
  </conditionalFormatting>
  <conditionalFormatting sqref="I90:J90">
    <cfRule type="cellIs" dxfId="4703" priority="862" stopIfTrue="1" operator="equal">
      <formula>"Operation"</formula>
    </cfRule>
  </conditionalFormatting>
  <conditionalFormatting sqref="D90">
    <cfRule type="cellIs" dxfId="4702" priority="859" stopIfTrue="1" operator="equal">
      <formula>"Total"</formula>
    </cfRule>
  </conditionalFormatting>
  <conditionalFormatting sqref="F86">
    <cfRule type="cellIs" dxfId="4701" priority="857" stopIfTrue="1" operator="equal">
      <formula>"Operation"</formula>
    </cfRule>
  </conditionalFormatting>
  <conditionalFormatting sqref="F93">
    <cfRule type="cellIs" dxfId="4700" priority="858" stopIfTrue="1" operator="equal">
      <formula>"N/A"</formula>
    </cfRule>
  </conditionalFormatting>
  <conditionalFormatting sqref="F86">
    <cfRule type="cellIs" dxfId="4699" priority="856" stopIfTrue="1" operator="equal">
      <formula>"N/A"</formula>
    </cfRule>
  </conditionalFormatting>
  <conditionalFormatting sqref="M182:N183">
    <cfRule type="cellIs" dxfId="4698" priority="841" stopIfTrue="1" operator="equal">
      <formula>"Operation"</formula>
    </cfRule>
  </conditionalFormatting>
  <conditionalFormatting sqref="E182:E183">
    <cfRule type="cellIs" dxfId="4697" priority="832" stopIfTrue="1" operator="equal">
      <formula>"Operation"</formula>
    </cfRule>
  </conditionalFormatting>
  <conditionalFormatting sqref="E182:E183">
    <cfRule type="cellIs" dxfId="4696" priority="831" stopIfTrue="1" operator="equal">
      <formula>"N/A"</formula>
    </cfRule>
  </conditionalFormatting>
  <conditionalFormatting sqref="G187:H187">
    <cfRule type="cellIs" dxfId="4695" priority="855" stopIfTrue="1" operator="equal">
      <formula>"Operation"</formula>
    </cfRule>
  </conditionalFormatting>
  <conditionalFormatting sqref="H187:P187">
    <cfRule type="cellIs" dxfId="4694" priority="854" stopIfTrue="1" operator="equal">
      <formula>"N/A"</formula>
    </cfRule>
  </conditionalFormatting>
  <conditionalFormatting sqref="L181:N181 I181:J181 I185:J186 L185:N186">
    <cfRule type="cellIs" dxfId="4693" priority="852" stopIfTrue="1" operator="equal">
      <formula>"Operation"</formula>
    </cfRule>
  </conditionalFormatting>
  <conditionalFormatting sqref="K181 K185:K186">
    <cfRule type="cellIs" dxfId="4692" priority="851" stopIfTrue="1" operator="equal">
      <formula>"Operation"</formula>
    </cfRule>
  </conditionalFormatting>
  <conditionalFormatting sqref="G181:H181 G185:H186">
    <cfRule type="cellIs" dxfId="4691" priority="850" stopIfTrue="1" operator="equal">
      <formula>"Operation"</formula>
    </cfRule>
  </conditionalFormatting>
  <conditionalFormatting sqref="H181:P181 H185:P186">
    <cfRule type="cellIs" dxfId="4690" priority="847" stopIfTrue="1" operator="equal">
      <formula>"N/A"</formula>
    </cfRule>
  </conditionalFormatting>
  <conditionalFormatting sqref="O181:P181 O185:P186">
    <cfRule type="cellIs" dxfId="4689" priority="853" stopIfTrue="1" operator="equal">
      <formula>"Operation"</formula>
    </cfRule>
  </conditionalFormatting>
  <conditionalFormatting sqref="D181 D185:D186">
    <cfRule type="cellIs" dxfId="4688" priority="849" stopIfTrue="1" operator="equal">
      <formula>"Total"</formula>
    </cfRule>
  </conditionalFormatting>
  <conditionalFormatting sqref="E181 E185:E186">
    <cfRule type="cellIs" dxfId="4687" priority="844" stopIfTrue="1" operator="equal">
      <formula>"Operation"</formula>
    </cfRule>
  </conditionalFormatting>
  <conditionalFormatting sqref="E187">
    <cfRule type="cellIs" dxfId="4686" priority="845" stopIfTrue="1" operator="equal">
      <formula>"N/A"</formula>
    </cfRule>
  </conditionalFormatting>
  <conditionalFormatting sqref="E181 E185:E186">
    <cfRule type="cellIs" dxfId="4685" priority="843" stopIfTrue="1" operator="equal">
      <formula>"N/A"</formula>
    </cfRule>
  </conditionalFormatting>
  <conditionalFormatting sqref="O182:P183">
    <cfRule type="cellIs" dxfId="4684" priority="838" stopIfTrue="1" operator="equal">
      <formula>"Operation"</formula>
    </cfRule>
  </conditionalFormatting>
  <conditionalFormatting sqref="O182:P183">
    <cfRule type="cellIs" dxfId="4683" priority="837" stopIfTrue="1" operator="equal">
      <formula>"N/A"</formula>
    </cfRule>
  </conditionalFormatting>
  <conditionalFormatting sqref="K184">
    <cfRule type="cellIs" dxfId="4682" priority="823" stopIfTrue="1" operator="equal">
      <formula>"Operation"</formula>
    </cfRule>
  </conditionalFormatting>
  <conditionalFormatting sqref="I184:K184">
    <cfRule type="cellIs" dxfId="4681" priority="822" stopIfTrue="1" operator="equal">
      <formula>"N/A"</formula>
    </cfRule>
  </conditionalFormatting>
  <conditionalFormatting sqref="M184:N184">
    <cfRule type="cellIs" dxfId="4680" priority="829" stopIfTrue="1" operator="equal">
      <formula>"Operation"</formula>
    </cfRule>
  </conditionalFormatting>
  <conditionalFormatting sqref="G182:H183 L182:L183">
    <cfRule type="cellIs" dxfId="4679" priority="840" stopIfTrue="1" operator="equal">
      <formula>"Operation"</formula>
    </cfRule>
  </conditionalFormatting>
  <conditionalFormatting sqref="G182:H183 L182:N183">
    <cfRule type="cellIs" dxfId="4678" priority="839" stopIfTrue="1" operator="equal">
      <formula>"N/A"</formula>
    </cfRule>
  </conditionalFormatting>
  <conditionalFormatting sqref="I182:J183">
    <cfRule type="cellIs" dxfId="4677" priority="836" stopIfTrue="1" operator="equal">
      <formula>"Operation"</formula>
    </cfRule>
  </conditionalFormatting>
  <conditionalFormatting sqref="K182:K183">
    <cfRule type="cellIs" dxfId="4676" priority="835" stopIfTrue="1" operator="equal">
      <formula>"Operation"</formula>
    </cfRule>
  </conditionalFormatting>
  <conditionalFormatting sqref="I182:K183">
    <cfRule type="cellIs" dxfId="4675" priority="834" stopIfTrue="1" operator="equal">
      <formula>"N/A"</formula>
    </cfRule>
  </conditionalFormatting>
  <conditionalFormatting sqref="D182:D183">
    <cfRule type="cellIs" dxfId="4674" priority="833" stopIfTrue="1" operator="equal">
      <formula>"Total"</formula>
    </cfRule>
  </conditionalFormatting>
  <conditionalFormatting sqref="G184:H184 L184">
    <cfRule type="cellIs" dxfId="4673" priority="828" stopIfTrue="1" operator="equal">
      <formula>"Operation"</formula>
    </cfRule>
  </conditionalFormatting>
  <conditionalFormatting sqref="G184:H184 L184:N184">
    <cfRule type="cellIs" dxfId="4672" priority="827" stopIfTrue="1" operator="equal">
      <formula>"N/A"</formula>
    </cfRule>
  </conditionalFormatting>
  <conditionalFormatting sqref="O184:P184">
    <cfRule type="cellIs" dxfId="4671" priority="825" stopIfTrue="1" operator="equal">
      <formula>"N/A"</formula>
    </cfRule>
  </conditionalFormatting>
  <conditionalFormatting sqref="O184:P184">
    <cfRule type="cellIs" dxfId="4670" priority="826" stopIfTrue="1" operator="equal">
      <formula>"Operation"</formula>
    </cfRule>
  </conditionalFormatting>
  <conditionalFormatting sqref="I184:J184">
    <cfRule type="cellIs" dxfId="4669" priority="824" stopIfTrue="1" operator="equal">
      <formula>"Operation"</formula>
    </cfRule>
  </conditionalFormatting>
  <conditionalFormatting sqref="D184">
    <cfRule type="cellIs" dxfId="4668" priority="821" stopIfTrue="1" operator="equal">
      <formula>"Total"</formula>
    </cfRule>
  </conditionalFormatting>
  <conditionalFormatting sqref="E184">
    <cfRule type="cellIs" dxfId="4667" priority="819" stopIfTrue="1" operator="equal">
      <formula>"Operation"</formula>
    </cfRule>
  </conditionalFormatting>
  <conditionalFormatting sqref="E184">
    <cfRule type="cellIs" dxfId="4666" priority="818" stopIfTrue="1" operator="equal">
      <formula>"N/A"</formula>
    </cfRule>
  </conditionalFormatting>
  <conditionalFormatting sqref="F182:F183">
    <cfRule type="cellIs" dxfId="4665" priority="814" stopIfTrue="1" operator="equal">
      <formula>"Operation"</formula>
    </cfRule>
  </conditionalFormatting>
  <conditionalFormatting sqref="F182:F183">
    <cfRule type="cellIs" dxfId="4664" priority="813" stopIfTrue="1" operator="equal">
      <formula>"N/A"</formula>
    </cfRule>
  </conditionalFormatting>
  <conditionalFormatting sqref="F181 F185:F186">
    <cfRule type="cellIs" dxfId="4663" priority="816" stopIfTrue="1" operator="equal">
      <formula>"Operation"</formula>
    </cfRule>
  </conditionalFormatting>
  <conditionalFormatting sqref="F187">
    <cfRule type="cellIs" dxfId="4662" priority="817" stopIfTrue="1" operator="equal">
      <formula>"N/A"</formula>
    </cfRule>
  </conditionalFormatting>
  <conditionalFormatting sqref="F181 F185:F186">
    <cfRule type="cellIs" dxfId="4661" priority="815" stopIfTrue="1" operator="equal">
      <formula>"N/A"</formula>
    </cfRule>
  </conditionalFormatting>
  <conditionalFormatting sqref="F184">
    <cfRule type="cellIs" dxfId="4660" priority="812" stopIfTrue="1" operator="equal">
      <formula>"Operation"</formula>
    </cfRule>
  </conditionalFormatting>
  <conditionalFormatting sqref="F184">
    <cfRule type="cellIs" dxfId="4659" priority="811" stopIfTrue="1" operator="equal">
      <formula>"N/A"</formula>
    </cfRule>
  </conditionalFormatting>
  <conditionalFormatting sqref="L58:N58 I58:J58">
    <cfRule type="cellIs" dxfId="4658" priority="809" stopIfTrue="1" operator="equal">
      <formula>"Operation"</formula>
    </cfRule>
  </conditionalFormatting>
  <conditionalFormatting sqref="K58">
    <cfRule type="cellIs" dxfId="4657" priority="808" stopIfTrue="1" operator="equal">
      <formula>"Operation"</formula>
    </cfRule>
  </conditionalFormatting>
  <conditionalFormatting sqref="G58:H58">
    <cfRule type="cellIs" dxfId="4656" priority="807" stopIfTrue="1" operator="equal">
      <formula>"Operation"</formula>
    </cfRule>
  </conditionalFormatting>
  <conditionalFormatting sqref="H58:P58">
    <cfRule type="cellIs" dxfId="4655" priority="804" stopIfTrue="1" operator="equal">
      <formula>"N/A"</formula>
    </cfRule>
  </conditionalFormatting>
  <conditionalFormatting sqref="O58:P58">
    <cfRule type="cellIs" dxfId="4654" priority="810" stopIfTrue="1" operator="equal">
      <formula>"Operation"</formula>
    </cfRule>
  </conditionalFormatting>
  <conditionalFormatting sqref="D58">
    <cfRule type="cellIs" dxfId="4653" priority="806" stopIfTrue="1" operator="equal">
      <formula>"Total"</formula>
    </cfRule>
  </conditionalFormatting>
  <conditionalFormatting sqref="G67:H67">
    <cfRule type="cellIs" dxfId="4652" priority="803" stopIfTrue="1" operator="equal">
      <formula>"Operation"</formula>
    </cfRule>
  </conditionalFormatting>
  <conditionalFormatting sqref="H67:P67">
    <cfRule type="cellIs" dxfId="4651" priority="802" stopIfTrue="1" operator="equal">
      <formula>"N/A"</formula>
    </cfRule>
  </conditionalFormatting>
  <conditionalFormatting sqref="E58">
    <cfRule type="cellIs" dxfId="4650" priority="801" stopIfTrue="1" operator="equal">
      <formula>"Operation"</formula>
    </cfRule>
  </conditionalFormatting>
  <conditionalFormatting sqref="E58">
    <cfRule type="cellIs" dxfId="4649" priority="800" stopIfTrue="1" operator="equal">
      <formula>"N/A"</formula>
    </cfRule>
  </conditionalFormatting>
  <conditionalFormatting sqref="O59:P62">
    <cfRule type="cellIs" dxfId="4648" priority="795" stopIfTrue="1" operator="equal">
      <formula>"Operation"</formula>
    </cfRule>
  </conditionalFormatting>
  <conditionalFormatting sqref="O59:P62">
    <cfRule type="cellIs" dxfId="4647" priority="794" stopIfTrue="1" operator="equal">
      <formula>"N/A"</formula>
    </cfRule>
  </conditionalFormatting>
  <conditionalFormatting sqref="K63:K64">
    <cfRule type="cellIs" dxfId="4646" priority="780" stopIfTrue="1" operator="equal">
      <formula>"Operation"</formula>
    </cfRule>
  </conditionalFormatting>
  <conditionalFormatting sqref="I63:K64">
    <cfRule type="cellIs" dxfId="4645" priority="779" stopIfTrue="1" operator="equal">
      <formula>"N/A"</formula>
    </cfRule>
  </conditionalFormatting>
  <conditionalFormatting sqref="M63:N64">
    <cfRule type="cellIs" dxfId="4644" priority="786" stopIfTrue="1" operator="equal">
      <formula>"Operation"</formula>
    </cfRule>
  </conditionalFormatting>
  <conditionalFormatting sqref="G59:H62 L59:L62">
    <cfRule type="cellIs" dxfId="4643" priority="797" stopIfTrue="1" operator="equal">
      <formula>"Operation"</formula>
    </cfRule>
  </conditionalFormatting>
  <conditionalFormatting sqref="G59:H62 L59:N62">
    <cfRule type="cellIs" dxfId="4642" priority="796" stopIfTrue="1" operator="equal">
      <formula>"N/A"</formula>
    </cfRule>
  </conditionalFormatting>
  <conditionalFormatting sqref="M59:N62">
    <cfRule type="cellIs" dxfId="4641" priority="798" stopIfTrue="1" operator="equal">
      <formula>"Operation"</formula>
    </cfRule>
  </conditionalFormatting>
  <conditionalFormatting sqref="I59:J62">
    <cfRule type="cellIs" dxfId="4640" priority="793" stopIfTrue="1" operator="equal">
      <formula>"Operation"</formula>
    </cfRule>
  </conditionalFormatting>
  <conditionalFormatting sqref="K59:K62">
    <cfRule type="cellIs" dxfId="4639" priority="792" stopIfTrue="1" operator="equal">
      <formula>"Operation"</formula>
    </cfRule>
  </conditionalFormatting>
  <conditionalFormatting sqref="I59:K62">
    <cfRule type="cellIs" dxfId="4638" priority="791" stopIfTrue="1" operator="equal">
      <formula>"N/A"</formula>
    </cfRule>
  </conditionalFormatting>
  <conditionalFormatting sqref="D59:D62">
    <cfRule type="cellIs" dxfId="4637" priority="790" stopIfTrue="1" operator="equal">
      <formula>"Total"</formula>
    </cfRule>
  </conditionalFormatting>
  <conditionalFormatting sqref="E59:E62">
    <cfRule type="cellIs" dxfId="4636" priority="789" stopIfTrue="1" operator="equal">
      <formula>"Operation"</formula>
    </cfRule>
  </conditionalFormatting>
  <conditionalFormatting sqref="E59:E62">
    <cfRule type="cellIs" dxfId="4635" priority="788" stopIfTrue="1" operator="equal">
      <formula>"N/A"</formula>
    </cfRule>
  </conditionalFormatting>
  <conditionalFormatting sqref="G63:H64 L63:L64">
    <cfRule type="cellIs" dxfId="4634" priority="785" stopIfTrue="1" operator="equal">
      <formula>"Operation"</formula>
    </cfRule>
  </conditionalFormatting>
  <conditionalFormatting sqref="G63:H64 L63:N64">
    <cfRule type="cellIs" dxfId="4633" priority="784" stopIfTrue="1" operator="equal">
      <formula>"N/A"</formula>
    </cfRule>
  </conditionalFormatting>
  <conditionalFormatting sqref="O63:P64">
    <cfRule type="cellIs" dxfId="4632" priority="782" stopIfTrue="1" operator="equal">
      <formula>"N/A"</formula>
    </cfRule>
  </conditionalFormatting>
  <conditionalFormatting sqref="O63:P64">
    <cfRule type="cellIs" dxfId="4631" priority="783" stopIfTrue="1" operator="equal">
      <formula>"Operation"</formula>
    </cfRule>
  </conditionalFormatting>
  <conditionalFormatting sqref="I63:J64">
    <cfRule type="cellIs" dxfId="4630" priority="781" stopIfTrue="1" operator="equal">
      <formula>"Operation"</formula>
    </cfRule>
  </conditionalFormatting>
  <conditionalFormatting sqref="D63:D64">
    <cfRule type="cellIs" dxfId="4629" priority="778" stopIfTrue="1" operator="equal">
      <formula>"Total"</formula>
    </cfRule>
  </conditionalFormatting>
  <conditionalFormatting sqref="E63:E64">
    <cfRule type="cellIs" dxfId="4628" priority="776" stopIfTrue="1" operator="equal">
      <formula>"Operation"</formula>
    </cfRule>
  </conditionalFormatting>
  <conditionalFormatting sqref="E63:E64">
    <cfRule type="cellIs" dxfId="4627" priority="775" stopIfTrue="1" operator="equal">
      <formula>"N/A"</formula>
    </cfRule>
  </conditionalFormatting>
  <conditionalFormatting sqref="F58">
    <cfRule type="cellIs" dxfId="4626" priority="774" stopIfTrue="1" operator="equal">
      <formula>"Operation"</formula>
    </cfRule>
  </conditionalFormatting>
  <conditionalFormatting sqref="F58">
    <cfRule type="cellIs" dxfId="4625" priority="773" stopIfTrue="1" operator="equal">
      <formula>"N/A"</formula>
    </cfRule>
  </conditionalFormatting>
  <conditionalFormatting sqref="F59:F62">
    <cfRule type="cellIs" dxfId="4624" priority="772" stopIfTrue="1" operator="equal">
      <formula>"Operation"</formula>
    </cfRule>
  </conditionalFormatting>
  <conditionalFormatting sqref="F59:F62">
    <cfRule type="cellIs" dxfId="4623" priority="771" stopIfTrue="1" operator="equal">
      <formula>"N/A"</formula>
    </cfRule>
  </conditionalFormatting>
  <conditionalFormatting sqref="F63:F64">
    <cfRule type="cellIs" dxfId="4622" priority="770" stopIfTrue="1" operator="equal">
      <formula>"Operation"</formula>
    </cfRule>
  </conditionalFormatting>
  <conditionalFormatting sqref="F63:F64">
    <cfRule type="cellIs" dxfId="4621" priority="769" stopIfTrue="1" operator="equal">
      <formula>"N/A"</formula>
    </cfRule>
  </conditionalFormatting>
  <conditionalFormatting sqref="M168:N169">
    <cfRule type="cellIs" dxfId="4620" priority="754" stopIfTrue="1" operator="equal">
      <formula>"Operation"</formula>
    </cfRule>
  </conditionalFormatting>
  <conditionalFormatting sqref="E168:E169">
    <cfRule type="cellIs" dxfId="4619" priority="745" stopIfTrue="1" operator="equal">
      <formula>"Operation"</formula>
    </cfRule>
  </conditionalFormatting>
  <conditionalFormatting sqref="E168:E169">
    <cfRule type="cellIs" dxfId="4618" priority="744" stopIfTrue="1" operator="equal">
      <formula>"N/A"</formula>
    </cfRule>
  </conditionalFormatting>
  <conditionalFormatting sqref="G173:H173">
    <cfRule type="cellIs" dxfId="4617" priority="768" stopIfTrue="1" operator="equal">
      <formula>"Operation"</formula>
    </cfRule>
  </conditionalFormatting>
  <conditionalFormatting sqref="H173:P173">
    <cfRule type="cellIs" dxfId="4616" priority="767" stopIfTrue="1" operator="equal">
      <formula>"N/A"</formula>
    </cfRule>
  </conditionalFormatting>
  <conditionalFormatting sqref="L167:N167 I167:J167 I171:J172 L171:N172">
    <cfRule type="cellIs" dxfId="4615" priority="765" stopIfTrue="1" operator="equal">
      <formula>"Operation"</formula>
    </cfRule>
  </conditionalFormatting>
  <conditionalFormatting sqref="K167 K171:K172">
    <cfRule type="cellIs" dxfId="4614" priority="764" stopIfTrue="1" operator="equal">
      <formula>"Operation"</formula>
    </cfRule>
  </conditionalFormatting>
  <conditionalFormatting sqref="G167:H167 G171:H172">
    <cfRule type="cellIs" dxfId="4613" priority="763" stopIfTrue="1" operator="equal">
      <formula>"Operation"</formula>
    </cfRule>
  </conditionalFormatting>
  <conditionalFormatting sqref="H167:P167 H171:P172">
    <cfRule type="cellIs" dxfId="4612" priority="760" stopIfTrue="1" operator="equal">
      <formula>"N/A"</formula>
    </cfRule>
  </conditionalFormatting>
  <conditionalFormatting sqref="O167:P167 O171:P172">
    <cfRule type="cellIs" dxfId="4611" priority="766" stopIfTrue="1" operator="equal">
      <formula>"Operation"</formula>
    </cfRule>
  </conditionalFormatting>
  <conditionalFormatting sqref="D167 D171:D172">
    <cfRule type="cellIs" dxfId="4610" priority="762" stopIfTrue="1" operator="equal">
      <formula>"Total"</formula>
    </cfRule>
  </conditionalFormatting>
  <conditionalFormatting sqref="E167 E171:E172">
    <cfRule type="cellIs" dxfId="4609" priority="757" stopIfTrue="1" operator="equal">
      <formula>"Operation"</formula>
    </cfRule>
  </conditionalFormatting>
  <conditionalFormatting sqref="E173">
    <cfRule type="cellIs" dxfId="4608" priority="758" stopIfTrue="1" operator="equal">
      <formula>"N/A"</formula>
    </cfRule>
  </conditionalFormatting>
  <conditionalFormatting sqref="E167 E171:E172">
    <cfRule type="cellIs" dxfId="4607" priority="756" stopIfTrue="1" operator="equal">
      <formula>"N/A"</formula>
    </cfRule>
  </conditionalFormatting>
  <conditionalFormatting sqref="O168:P169">
    <cfRule type="cellIs" dxfId="4606" priority="751" stopIfTrue="1" operator="equal">
      <formula>"Operation"</formula>
    </cfRule>
  </conditionalFormatting>
  <conditionalFormatting sqref="O168:P169">
    <cfRule type="cellIs" dxfId="4605" priority="750" stopIfTrue="1" operator="equal">
      <formula>"N/A"</formula>
    </cfRule>
  </conditionalFormatting>
  <conditionalFormatting sqref="K170">
    <cfRule type="cellIs" dxfId="4604" priority="736" stopIfTrue="1" operator="equal">
      <formula>"Operation"</formula>
    </cfRule>
  </conditionalFormatting>
  <conditionalFormatting sqref="I170:K170">
    <cfRule type="cellIs" dxfId="4603" priority="735" stopIfTrue="1" operator="equal">
      <formula>"N/A"</formula>
    </cfRule>
  </conditionalFormatting>
  <conditionalFormatting sqref="M170:N170">
    <cfRule type="cellIs" dxfId="4602" priority="742" stopIfTrue="1" operator="equal">
      <formula>"Operation"</formula>
    </cfRule>
  </conditionalFormatting>
  <conditionalFormatting sqref="G168:H169 L168:L169">
    <cfRule type="cellIs" dxfId="4601" priority="753" stopIfTrue="1" operator="equal">
      <formula>"Operation"</formula>
    </cfRule>
  </conditionalFormatting>
  <conditionalFormatting sqref="G168:H169 L168:N169">
    <cfRule type="cellIs" dxfId="4600" priority="752" stopIfTrue="1" operator="equal">
      <formula>"N/A"</formula>
    </cfRule>
  </conditionalFormatting>
  <conditionalFormatting sqref="I168:J169">
    <cfRule type="cellIs" dxfId="4599" priority="749" stopIfTrue="1" operator="equal">
      <formula>"Operation"</formula>
    </cfRule>
  </conditionalFormatting>
  <conditionalFormatting sqref="K168:K169">
    <cfRule type="cellIs" dxfId="4598" priority="748" stopIfTrue="1" operator="equal">
      <formula>"Operation"</formula>
    </cfRule>
  </conditionalFormatting>
  <conditionalFormatting sqref="I168:K169">
    <cfRule type="cellIs" dxfId="4597" priority="747" stopIfTrue="1" operator="equal">
      <formula>"N/A"</formula>
    </cfRule>
  </conditionalFormatting>
  <conditionalFormatting sqref="D168:D169">
    <cfRule type="cellIs" dxfId="4596" priority="746" stopIfTrue="1" operator="equal">
      <formula>"Total"</formula>
    </cfRule>
  </conditionalFormatting>
  <conditionalFormatting sqref="G170:H170 L170">
    <cfRule type="cellIs" dxfId="4595" priority="741" stopIfTrue="1" operator="equal">
      <formula>"Operation"</formula>
    </cfRule>
  </conditionalFormatting>
  <conditionalFormatting sqref="G170:H170 L170:N170">
    <cfRule type="cellIs" dxfId="4594" priority="740" stopIfTrue="1" operator="equal">
      <formula>"N/A"</formula>
    </cfRule>
  </conditionalFormatting>
  <conditionalFormatting sqref="O170:P170">
    <cfRule type="cellIs" dxfId="4593" priority="738" stopIfTrue="1" operator="equal">
      <formula>"N/A"</formula>
    </cfRule>
  </conditionalFormatting>
  <conditionalFormatting sqref="O170:P170">
    <cfRule type="cellIs" dxfId="4592" priority="739" stopIfTrue="1" operator="equal">
      <formula>"Operation"</formula>
    </cfRule>
  </conditionalFormatting>
  <conditionalFormatting sqref="I170:J170">
    <cfRule type="cellIs" dxfId="4591" priority="737" stopIfTrue="1" operator="equal">
      <formula>"Operation"</formula>
    </cfRule>
  </conditionalFormatting>
  <conditionalFormatting sqref="D170">
    <cfRule type="cellIs" dxfId="4590" priority="734" stopIfTrue="1" operator="equal">
      <formula>"Total"</formula>
    </cfRule>
  </conditionalFormatting>
  <conditionalFormatting sqref="E170">
    <cfRule type="cellIs" dxfId="4589" priority="732" stopIfTrue="1" operator="equal">
      <formula>"Operation"</formula>
    </cfRule>
  </conditionalFormatting>
  <conditionalFormatting sqref="E170">
    <cfRule type="cellIs" dxfId="4588" priority="731" stopIfTrue="1" operator="equal">
      <formula>"N/A"</formula>
    </cfRule>
  </conditionalFormatting>
  <conditionalFormatting sqref="F168:F169">
    <cfRule type="cellIs" dxfId="4587" priority="727" stopIfTrue="1" operator="equal">
      <formula>"Operation"</formula>
    </cfRule>
  </conditionalFormatting>
  <conditionalFormatting sqref="F168:F169">
    <cfRule type="cellIs" dxfId="4586" priority="726" stopIfTrue="1" operator="equal">
      <formula>"N/A"</formula>
    </cfRule>
  </conditionalFormatting>
  <conditionalFormatting sqref="F167 F171:F172">
    <cfRule type="cellIs" dxfId="4585" priority="729" stopIfTrue="1" operator="equal">
      <formula>"Operation"</formula>
    </cfRule>
  </conditionalFormatting>
  <conditionalFormatting sqref="F173">
    <cfRule type="cellIs" dxfId="4584" priority="730" stopIfTrue="1" operator="equal">
      <formula>"N/A"</formula>
    </cfRule>
  </conditionalFormatting>
  <conditionalFormatting sqref="F167 F171:F172">
    <cfRule type="cellIs" dxfId="4583" priority="728" stopIfTrue="1" operator="equal">
      <formula>"N/A"</formula>
    </cfRule>
  </conditionalFormatting>
  <conditionalFormatting sqref="F170">
    <cfRule type="cellIs" dxfId="4582" priority="725" stopIfTrue="1" operator="equal">
      <formula>"Operation"</formula>
    </cfRule>
  </conditionalFormatting>
  <conditionalFormatting sqref="F170">
    <cfRule type="cellIs" dxfId="4581" priority="724" stopIfTrue="1" operator="equal">
      <formula>"N/A"</formula>
    </cfRule>
  </conditionalFormatting>
  <conditionalFormatting sqref="H194:P194">
    <cfRule type="cellIs" dxfId="4580" priority="680" stopIfTrue="1" operator="equal">
      <formula>"N/A"</formula>
    </cfRule>
  </conditionalFormatting>
  <conditionalFormatting sqref="E194">
    <cfRule type="cellIs" dxfId="4579" priority="679" stopIfTrue="1" operator="equal">
      <formula>"Operation"</formula>
    </cfRule>
  </conditionalFormatting>
  <conditionalFormatting sqref="G188:H188">
    <cfRule type="cellIs" dxfId="4578" priority="723" stopIfTrue="1" operator="equal">
      <formula>"Operation"</formula>
    </cfRule>
  </conditionalFormatting>
  <conditionalFormatting sqref="D188">
    <cfRule type="cellIs" dxfId="4577" priority="722" stopIfTrue="1" operator="equal">
      <formula>"Total"</formula>
    </cfRule>
  </conditionalFormatting>
  <conditionalFormatting sqref="H188:P188">
    <cfRule type="cellIs" dxfId="4576" priority="720" stopIfTrue="1" operator="equal">
      <formula>"N/A"</formula>
    </cfRule>
  </conditionalFormatting>
  <conditionalFormatting sqref="E188">
    <cfRule type="cellIs" dxfId="4575" priority="719" stopIfTrue="1" operator="equal">
      <formula>"N/A"</formula>
    </cfRule>
  </conditionalFormatting>
  <conditionalFormatting sqref="E189:E190">
    <cfRule type="cellIs" dxfId="4574" priority="698" stopIfTrue="1" operator="equal">
      <formula>"Operation"</formula>
    </cfRule>
  </conditionalFormatting>
  <conditionalFormatting sqref="E189:E190">
    <cfRule type="cellIs" dxfId="4573" priority="697" stopIfTrue="1" operator="equal">
      <formula>"N/A"</formula>
    </cfRule>
  </conditionalFormatting>
  <conditionalFormatting sqref="I192:J192">
    <cfRule type="cellIs" dxfId="4572" priority="717" stopIfTrue="1" operator="equal">
      <formula>"Operation"</formula>
    </cfRule>
  </conditionalFormatting>
  <conditionalFormatting sqref="K192">
    <cfRule type="cellIs" dxfId="4571" priority="716" stopIfTrue="1" operator="equal">
      <formula>"Operation"</formula>
    </cfRule>
  </conditionalFormatting>
  <conditionalFormatting sqref="G192:H192">
    <cfRule type="cellIs" dxfId="4570" priority="715" stopIfTrue="1" operator="equal">
      <formula>"Operation"</formula>
    </cfRule>
  </conditionalFormatting>
  <conditionalFormatting sqref="H192:P192">
    <cfRule type="cellIs" dxfId="4569" priority="712" stopIfTrue="1" operator="equal">
      <formula>"N/A"</formula>
    </cfRule>
  </conditionalFormatting>
  <conditionalFormatting sqref="O192:P192">
    <cfRule type="cellIs" dxfId="4568" priority="718" stopIfTrue="1" operator="equal">
      <formula>"Operation"</formula>
    </cfRule>
  </conditionalFormatting>
  <conditionalFormatting sqref="D192">
    <cfRule type="cellIs" dxfId="4567" priority="714" stopIfTrue="1" operator="equal">
      <formula>"Total"</formula>
    </cfRule>
  </conditionalFormatting>
  <conditionalFormatting sqref="E192">
    <cfRule type="cellIs" dxfId="4566" priority="710" stopIfTrue="1" operator="equal">
      <formula>"Operation"</formula>
    </cfRule>
  </conditionalFormatting>
  <conditionalFormatting sqref="E192">
    <cfRule type="cellIs" dxfId="4565" priority="709" stopIfTrue="1" operator="equal">
      <formula>"N/A"</formula>
    </cfRule>
  </conditionalFormatting>
  <conditionalFormatting sqref="O189:P190">
    <cfRule type="cellIs" dxfId="4564" priority="704" stopIfTrue="1" operator="equal">
      <formula>"Operation"</formula>
    </cfRule>
  </conditionalFormatting>
  <conditionalFormatting sqref="O189:P190">
    <cfRule type="cellIs" dxfId="4563" priority="703" stopIfTrue="1" operator="equal">
      <formula>"N/A"</formula>
    </cfRule>
  </conditionalFormatting>
  <conditionalFormatting sqref="K191">
    <cfRule type="cellIs" dxfId="4562" priority="689" stopIfTrue="1" operator="equal">
      <formula>"Operation"</formula>
    </cfRule>
  </conditionalFormatting>
  <conditionalFormatting sqref="I191:K191">
    <cfRule type="cellIs" dxfId="4561" priority="688" stopIfTrue="1" operator="equal">
      <formula>"N/A"</formula>
    </cfRule>
  </conditionalFormatting>
  <conditionalFormatting sqref="M191:N191">
    <cfRule type="cellIs" dxfId="4560" priority="695" stopIfTrue="1" operator="equal">
      <formula>"Operation"</formula>
    </cfRule>
  </conditionalFormatting>
  <conditionalFormatting sqref="G189:H190 L189:L190">
    <cfRule type="cellIs" dxfId="4559" priority="706" stopIfTrue="1" operator="equal">
      <formula>"Operation"</formula>
    </cfRule>
  </conditionalFormatting>
  <conditionalFormatting sqref="G189:H190 L189:N190">
    <cfRule type="cellIs" dxfId="4558" priority="705" stopIfTrue="1" operator="equal">
      <formula>"N/A"</formula>
    </cfRule>
  </conditionalFormatting>
  <conditionalFormatting sqref="M189:N190">
    <cfRule type="cellIs" dxfId="4557" priority="707" stopIfTrue="1" operator="equal">
      <formula>"Operation"</formula>
    </cfRule>
  </conditionalFormatting>
  <conditionalFormatting sqref="I189:J190">
    <cfRule type="cellIs" dxfId="4556" priority="702" stopIfTrue="1" operator="equal">
      <formula>"Operation"</formula>
    </cfRule>
  </conditionalFormatting>
  <conditionalFormatting sqref="K189:K190">
    <cfRule type="cellIs" dxfId="4555" priority="701" stopIfTrue="1" operator="equal">
      <formula>"Operation"</formula>
    </cfRule>
  </conditionalFormatting>
  <conditionalFormatting sqref="I189:K190">
    <cfRule type="cellIs" dxfId="4554" priority="700" stopIfTrue="1" operator="equal">
      <formula>"N/A"</formula>
    </cfRule>
  </conditionalFormatting>
  <conditionalFormatting sqref="D189:D190">
    <cfRule type="cellIs" dxfId="4553" priority="699" stopIfTrue="1" operator="equal">
      <formula>"Total"</formula>
    </cfRule>
  </conditionalFormatting>
  <conditionalFormatting sqref="G191:H191 L191">
    <cfRule type="cellIs" dxfId="4552" priority="694" stopIfTrue="1" operator="equal">
      <formula>"Operation"</formula>
    </cfRule>
  </conditionalFormatting>
  <conditionalFormatting sqref="G191:H191 L191:N191">
    <cfRule type="cellIs" dxfId="4551" priority="693" stopIfTrue="1" operator="equal">
      <formula>"N/A"</formula>
    </cfRule>
  </conditionalFormatting>
  <conditionalFormatting sqref="O191:P191">
    <cfRule type="cellIs" dxfId="4550" priority="691" stopIfTrue="1" operator="equal">
      <formula>"N/A"</formula>
    </cfRule>
  </conditionalFormatting>
  <conditionalFormatting sqref="O191:P191">
    <cfRule type="cellIs" dxfId="4549" priority="692" stopIfTrue="1" operator="equal">
      <formula>"Operation"</formula>
    </cfRule>
  </conditionalFormatting>
  <conditionalFormatting sqref="I191:J191">
    <cfRule type="cellIs" dxfId="4548" priority="690" stopIfTrue="1" operator="equal">
      <formula>"Operation"</formula>
    </cfRule>
  </conditionalFormatting>
  <conditionalFormatting sqref="D191">
    <cfRule type="cellIs" dxfId="4547" priority="687" stopIfTrue="1" operator="equal">
      <formula>"Total"</formula>
    </cfRule>
  </conditionalFormatting>
  <conditionalFormatting sqref="E191">
    <cfRule type="cellIs" dxfId="4546" priority="685" stopIfTrue="1" operator="equal">
      <formula>"Operation"</formula>
    </cfRule>
  </conditionalFormatting>
  <conditionalFormatting sqref="E191">
    <cfRule type="cellIs" dxfId="4545" priority="684" stopIfTrue="1" operator="equal">
      <formula>"N/A"</formula>
    </cfRule>
  </conditionalFormatting>
  <conditionalFormatting sqref="F189:F190">
    <cfRule type="cellIs" dxfId="4544" priority="674" stopIfTrue="1" operator="equal">
      <formula>"Operation"</formula>
    </cfRule>
  </conditionalFormatting>
  <conditionalFormatting sqref="F194">
    <cfRule type="cellIs" dxfId="4543" priority="670" stopIfTrue="1" operator="equal">
      <formula>"Operation"</formula>
    </cfRule>
  </conditionalFormatting>
  <conditionalFormatting sqref="G194:P194">
    <cfRule type="cellIs" dxfId="4542" priority="683" stopIfTrue="1" operator="equal">
      <formula>"Operation"</formula>
    </cfRule>
  </conditionalFormatting>
  <conditionalFormatting sqref="D194">
    <cfRule type="cellIs" dxfId="4541" priority="682" stopIfTrue="1" operator="equal">
      <formula>"Total"</formula>
    </cfRule>
  </conditionalFormatting>
  <conditionalFormatting sqref="E194">
    <cfRule type="cellIs" dxfId="4540" priority="678" stopIfTrue="1" operator="equal">
      <formula>"N/A"</formula>
    </cfRule>
  </conditionalFormatting>
  <conditionalFormatting sqref="F188">
    <cfRule type="cellIs" dxfId="4539" priority="677" stopIfTrue="1" operator="equal">
      <formula>"N/A"</formula>
    </cfRule>
  </conditionalFormatting>
  <conditionalFormatting sqref="F189:F190">
    <cfRule type="cellIs" dxfId="4538" priority="673" stopIfTrue="1" operator="equal">
      <formula>"N/A"</formula>
    </cfRule>
  </conditionalFormatting>
  <conditionalFormatting sqref="F192">
    <cfRule type="cellIs" dxfId="4537" priority="676" stopIfTrue="1" operator="equal">
      <formula>"Operation"</formula>
    </cfRule>
  </conditionalFormatting>
  <conditionalFormatting sqref="F192">
    <cfRule type="cellIs" dxfId="4536" priority="675" stopIfTrue="1" operator="equal">
      <formula>"N/A"</formula>
    </cfRule>
  </conditionalFormatting>
  <conditionalFormatting sqref="F191">
    <cfRule type="cellIs" dxfId="4535" priority="672" stopIfTrue="1" operator="equal">
      <formula>"Operation"</formula>
    </cfRule>
  </conditionalFormatting>
  <conditionalFormatting sqref="F191">
    <cfRule type="cellIs" dxfId="4534" priority="671" stopIfTrue="1" operator="equal">
      <formula>"N/A"</formula>
    </cfRule>
  </conditionalFormatting>
  <conditionalFormatting sqref="F194">
    <cfRule type="cellIs" dxfId="4533" priority="669" stopIfTrue="1" operator="equal">
      <formula>"N/A"</formula>
    </cfRule>
  </conditionalFormatting>
  <conditionalFormatting sqref="L48:N48 I48:J48 L55:N56 I55:J56">
    <cfRule type="cellIs" dxfId="4532" priority="667" stopIfTrue="1" operator="equal">
      <formula>"Operation"</formula>
    </cfRule>
  </conditionalFormatting>
  <conditionalFormatting sqref="K48 K55:K56">
    <cfRule type="cellIs" dxfId="4531" priority="666" stopIfTrue="1" operator="equal">
      <formula>"Operation"</formula>
    </cfRule>
  </conditionalFormatting>
  <conditionalFormatting sqref="G48:H48 G55:H56">
    <cfRule type="cellIs" dxfId="4530" priority="665" stopIfTrue="1" operator="equal">
      <formula>"Operation"</formula>
    </cfRule>
  </conditionalFormatting>
  <conditionalFormatting sqref="H48:P48 H55:P56">
    <cfRule type="cellIs" dxfId="4529" priority="662" stopIfTrue="1" operator="equal">
      <formula>"N/A"</formula>
    </cfRule>
  </conditionalFormatting>
  <conditionalFormatting sqref="O48:P48 O55:P56">
    <cfRule type="cellIs" dxfId="4528" priority="668" stopIfTrue="1" operator="equal">
      <formula>"Operation"</formula>
    </cfRule>
  </conditionalFormatting>
  <conditionalFormatting sqref="D48 D55:D56">
    <cfRule type="cellIs" dxfId="4527" priority="664" stopIfTrue="1" operator="equal">
      <formula>"Total"</formula>
    </cfRule>
  </conditionalFormatting>
  <conditionalFormatting sqref="G57:H57">
    <cfRule type="cellIs" dxfId="4526" priority="660" stopIfTrue="1" operator="equal">
      <formula>"Operation"</formula>
    </cfRule>
  </conditionalFormatting>
  <conditionalFormatting sqref="H57:P57">
    <cfRule type="cellIs" dxfId="4525" priority="659" stopIfTrue="1" operator="equal">
      <formula>"N/A"</formula>
    </cfRule>
  </conditionalFormatting>
  <conditionalFormatting sqref="E48 E55:E56">
    <cfRule type="cellIs" dxfId="4524" priority="658" stopIfTrue="1" operator="equal">
      <formula>"Operation"</formula>
    </cfRule>
  </conditionalFormatting>
  <conditionalFormatting sqref="E48 E55:E56">
    <cfRule type="cellIs" dxfId="4523" priority="657" stopIfTrue="1" operator="equal">
      <formula>"N/A"</formula>
    </cfRule>
  </conditionalFormatting>
  <conditionalFormatting sqref="O49:P49 O51:P51">
    <cfRule type="cellIs" dxfId="4522" priority="652" stopIfTrue="1" operator="equal">
      <formula>"Operation"</formula>
    </cfRule>
  </conditionalFormatting>
  <conditionalFormatting sqref="O49:P49 O51:P51">
    <cfRule type="cellIs" dxfId="4521" priority="651" stopIfTrue="1" operator="equal">
      <formula>"N/A"</formula>
    </cfRule>
  </conditionalFormatting>
  <conditionalFormatting sqref="K53">
    <cfRule type="cellIs" dxfId="4520" priority="637" stopIfTrue="1" operator="equal">
      <formula>"Operation"</formula>
    </cfRule>
  </conditionalFormatting>
  <conditionalFormatting sqref="I53:K53">
    <cfRule type="cellIs" dxfId="4519" priority="636" stopIfTrue="1" operator="equal">
      <formula>"N/A"</formula>
    </cfRule>
  </conditionalFormatting>
  <conditionalFormatting sqref="M53:N53">
    <cfRule type="cellIs" dxfId="4518" priority="643" stopIfTrue="1" operator="equal">
      <formula>"Operation"</formula>
    </cfRule>
  </conditionalFormatting>
  <conditionalFormatting sqref="G49:H49 L49 L51 G51:H51">
    <cfRule type="cellIs" dxfId="4517" priority="654" stopIfTrue="1" operator="equal">
      <formula>"Operation"</formula>
    </cfRule>
  </conditionalFormatting>
  <conditionalFormatting sqref="G49:H49 L49:N49 L51:N51 G51:H51">
    <cfRule type="cellIs" dxfId="4516" priority="653" stopIfTrue="1" operator="equal">
      <formula>"N/A"</formula>
    </cfRule>
  </conditionalFormatting>
  <conditionalFormatting sqref="M49:N49 M51:N51">
    <cfRule type="cellIs" dxfId="4515" priority="655" stopIfTrue="1" operator="equal">
      <formula>"Operation"</formula>
    </cfRule>
  </conditionalFormatting>
  <conditionalFormatting sqref="I49:J49 I51:J51">
    <cfRule type="cellIs" dxfId="4514" priority="650" stopIfTrue="1" operator="equal">
      <formula>"Operation"</formula>
    </cfRule>
  </conditionalFormatting>
  <conditionalFormatting sqref="K49 K51">
    <cfRule type="cellIs" dxfId="4513" priority="649" stopIfTrue="1" operator="equal">
      <formula>"Operation"</formula>
    </cfRule>
  </conditionalFormatting>
  <conditionalFormatting sqref="I49:K49 I51:K51">
    <cfRule type="cellIs" dxfId="4512" priority="648" stopIfTrue="1" operator="equal">
      <formula>"N/A"</formula>
    </cfRule>
  </conditionalFormatting>
  <conditionalFormatting sqref="D49 D51">
    <cfRule type="cellIs" dxfId="4511" priority="647" stopIfTrue="1" operator="equal">
      <formula>"Total"</formula>
    </cfRule>
  </conditionalFormatting>
  <conditionalFormatting sqref="E49 E51">
    <cfRule type="cellIs" dxfId="4510" priority="646" stopIfTrue="1" operator="equal">
      <formula>"Operation"</formula>
    </cfRule>
  </conditionalFormatting>
  <conditionalFormatting sqref="E49 E51">
    <cfRule type="cellIs" dxfId="4509" priority="645" stopIfTrue="1" operator="equal">
      <formula>"N/A"</formula>
    </cfRule>
  </conditionalFormatting>
  <conditionalFormatting sqref="G53:H53 L53">
    <cfRule type="cellIs" dxfId="4508" priority="642" stopIfTrue="1" operator="equal">
      <formula>"Operation"</formula>
    </cfRule>
  </conditionalFormatting>
  <conditionalFormatting sqref="G53:H53 L53:N53">
    <cfRule type="cellIs" dxfId="4507" priority="641" stopIfTrue="1" operator="equal">
      <formula>"N/A"</formula>
    </cfRule>
  </conditionalFormatting>
  <conditionalFormatting sqref="O53:P53">
    <cfRule type="cellIs" dxfId="4506" priority="639" stopIfTrue="1" operator="equal">
      <formula>"N/A"</formula>
    </cfRule>
  </conditionalFormatting>
  <conditionalFormatting sqref="O53:P53">
    <cfRule type="cellIs" dxfId="4505" priority="640" stopIfTrue="1" operator="equal">
      <formula>"Operation"</formula>
    </cfRule>
  </conditionalFormatting>
  <conditionalFormatting sqref="I53:J53">
    <cfRule type="cellIs" dxfId="4504" priority="638" stopIfTrue="1" operator="equal">
      <formula>"Operation"</formula>
    </cfRule>
  </conditionalFormatting>
  <conditionalFormatting sqref="D53">
    <cfRule type="cellIs" dxfId="4503" priority="635" stopIfTrue="1" operator="equal">
      <formula>"Total"</formula>
    </cfRule>
  </conditionalFormatting>
  <conditionalFormatting sqref="E53">
    <cfRule type="cellIs" dxfId="4502" priority="633" stopIfTrue="1" operator="equal">
      <formula>"Operation"</formula>
    </cfRule>
  </conditionalFormatting>
  <conditionalFormatting sqref="E53">
    <cfRule type="cellIs" dxfId="4501" priority="632" stopIfTrue="1" operator="equal">
      <formula>"N/A"</formula>
    </cfRule>
  </conditionalFormatting>
  <conditionalFormatting sqref="F48 F55:F56">
    <cfRule type="cellIs" dxfId="4500" priority="631" stopIfTrue="1" operator="equal">
      <formula>"Operation"</formula>
    </cfRule>
  </conditionalFormatting>
  <conditionalFormatting sqref="F48 F55:F56">
    <cfRule type="cellIs" dxfId="4499" priority="630" stopIfTrue="1" operator="equal">
      <formula>"N/A"</formula>
    </cfRule>
  </conditionalFormatting>
  <conditionalFormatting sqref="F49 F51">
    <cfRule type="cellIs" dxfId="4498" priority="629" stopIfTrue="1" operator="equal">
      <formula>"Operation"</formula>
    </cfRule>
  </conditionalFormatting>
  <conditionalFormatting sqref="F49 F51">
    <cfRule type="cellIs" dxfId="4497" priority="628" stopIfTrue="1" operator="equal">
      <formula>"N/A"</formula>
    </cfRule>
  </conditionalFormatting>
  <conditionalFormatting sqref="F53">
    <cfRule type="cellIs" dxfId="4496" priority="627" stopIfTrue="1" operator="equal">
      <formula>"Operation"</formula>
    </cfRule>
  </conditionalFormatting>
  <conditionalFormatting sqref="F53">
    <cfRule type="cellIs" dxfId="4495" priority="626" stopIfTrue="1" operator="equal">
      <formula>"N/A"</formula>
    </cfRule>
  </conditionalFormatting>
  <conditionalFormatting sqref="L94:N94 I94:J94">
    <cfRule type="cellIs" dxfId="4494" priority="624" stopIfTrue="1" operator="equal">
      <formula>"Operation"</formula>
    </cfRule>
  </conditionalFormatting>
  <conditionalFormatting sqref="K94">
    <cfRule type="cellIs" dxfId="4493" priority="623" stopIfTrue="1" operator="equal">
      <formula>"Operation"</formula>
    </cfRule>
  </conditionalFormatting>
  <conditionalFormatting sqref="G94:H94">
    <cfRule type="cellIs" dxfId="4492" priority="622" stopIfTrue="1" operator="equal">
      <formula>"Operation"</formula>
    </cfRule>
  </conditionalFormatting>
  <conditionalFormatting sqref="H94:O94">
    <cfRule type="cellIs" dxfId="4491" priority="619" stopIfTrue="1" operator="equal">
      <formula>"N/A"</formula>
    </cfRule>
  </conditionalFormatting>
  <conditionalFormatting sqref="O94">
    <cfRule type="cellIs" dxfId="4490" priority="625" stopIfTrue="1" operator="equal">
      <formula>"Operation"</formula>
    </cfRule>
  </conditionalFormatting>
  <conditionalFormatting sqref="D94">
    <cfRule type="cellIs" dxfId="4489" priority="621" stopIfTrue="1" operator="equal">
      <formula>"Total"</formula>
    </cfRule>
  </conditionalFormatting>
  <conditionalFormatting sqref="G103:H103">
    <cfRule type="cellIs" dxfId="4488" priority="618" stopIfTrue="1" operator="equal">
      <formula>"Operation"</formula>
    </cfRule>
  </conditionalFormatting>
  <conditionalFormatting sqref="H103:O103">
    <cfRule type="cellIs" dxfId="4487" priority="617" stopIfTrue="1" operator="equal">
      <formula>"N/A"</formula>
    </cfRule>
  </conditionalFormatting>
  <conditionalFormatting sqref="E94">
    <cfRule type="cellIs" dxfId="4486" priority="616" stopIfTrue="1" operator="equal">
      <formula>"Operation"</formula>
    </cfRule>
  </conditionalFormatting>
  <conditionalFormatting sqref="E94">
    <cfRule type="cellIs" dxfId="4485" priority="615" stopIfTrue="1" operator="equal">
      <formula>"N/A"</formula>
    </cfRule>
  </conditionalFormatting>
  <conditionalFormatting sqref="O95:O99">
    <cfRule type="cellIs" dxfId="4484" priority="611" stopIfTrue="1" operator="equal">
      <formula>"Operation"</formula>
    </cfRule>
  </conditionalFormatting>
  <conditionalFormatting sqref="O95:O99">
    <cfRule type="cellIs" dxfId="4483" priority="610" stopIfTrue="1" operator="equal">
      <formula>"N/A"</formula>
    </cfRule>
  </conditionalFormatting>
  <conditionalFormatting sqref="K100">
    <cfRule type="cellIs" dxfId="4482" priority="600" stopIfTrue="1" operator="equal">
      <formula>"Operation"</formula>
    </cfRule>
  </conditionalFormatting>
  <conditionalFormatting sqref="I100:K100">
    <cfRule type="cellIs" dxfId="4481" priority="599" stopIfTrue="1" operator="equal">
      <formula>"N/A"</formula>
    </cfRule>
  </conditionalFormatting>
  <conditionalFormatting sqref="G95:H99">
    <cfRule type="cellIs" dxfId="4480" priority="613" stopIfTrue="1" operator="equal">
      <formula>"Operation"</formula>
    </cfRule>
  </conditionalFormatting>
  <conditionalFormatting sqref="G95:H99">
    <cfRule type="cellIs" dxfId="4479" priority="612" stopIfTrue="1" operator="equal">
      <formula>"N/A"</formula>
    </cfRule>
  </conditionalFormatting>
  <conditionalFormatting sqref="I95:J99">
    <cfRule type="cellIs" dxfId="4478" priority="609" stopIfTrue="1" operator="equal">
      <formula>"Operation"</formula>
    </cfRule>
  </conditionalFormatting>
  <conditionalFormatting sqref="K95:K99">
    <cfRule type="cellIs" dxfId="4477" priority="608" stopIfTrue="1" operator="equal">
      <formula>"Operation"</formula>
    </cfRule>
  </conditionalFormatting>
  <conditionalFormatting sqref="I95:K99">
    <cfRule type="cellIs" dxfId="4476" priority="607" stopIfTrue="1" operator="equal">
      <formula>"N/A"</formula>
    </cfRule>
  </conditionalFormatting>
  <conditionalFormatting sqref="D95:D99">
    <cfRule type="cellIs" dxfId="4475" priority="606" stopIfTrue="1" operator="equal">
      <formula>"Total"</formula>
    </cfRule>
  </conditionalFormatting>
  <conditionalFormatting sqref="G100">
    <cfRule type="cellIs" dxfId="4474" priority="605" stopIfTrue="1" operator="equal">
      <formula>"Operation"</formula>
    </cfRule>
  </conditionalFormatting>
  <conditionalFormatting sqref="G100">
    <cfRule type="cellIs" dxfId="4473" priority="604" stopIfTrue="1" operator="equal">
      <formula>"N/A"</formula>
    </cfRule>
  </conditionalFormatting>
  <conditionalFormatting sqref="O100">
    <cfRule type="cellIs" dxfId="4472" priority="602" stopIfTrue="1" operator="equal">
      <formula>"N/A"</formula>
    </cfRule>
  </conditionalFormatting>
  <conditionalFormatting sqref="O100">
    <cfRule type="cellIs" dxfId="4471" priority="603" stopIfTrue="1" operator="equal">
      <formula>"Operation"</formula>
    </cfRule>
  </conditionalFormatting>
  <conditionalFormatting sqref="I100:J100">
    <cfRule type="cellIs" dxfId="4470" priority="601" stopIfTrue="1" operator="equal">
      <formula>"Operation"</formula>
    </cfRule>
  </conditionalFormatting>
  <conditionalFormatting sqref="D100">
    <cfRule type="cellIs" dxfId="4469" priority="598" stopIfTrue="1" operator="equal">
      <formula>"Total"</formula>
    </cfRule>
  </conditionalFormatting>
  <conditionalFormatting sqref="F94">
    <cfRule type="cellIs" dxfId="4468" priority="597" stopIfTrue="1" operator="equal">
      <formula>"Operation"</formula>
    </cfRule>
  </conditionalFormatting>
  <conditionalFormatting sqref="F94">
    <cfRule type="cellIs" dxfId="4467" priority="596" stopIfTrue="1" operator="equal">
      <formula>"N/A"</formula>
    </cfRule>
  </conditionalFormatting>
  <conditionalFormatting sqref="K148:K149">
    <cfRule type="cellIs" dxfId="4466" priority="595" stopIfTrue="1" operator="equal">
      <formula>"Operation"</formula>
    </cfRule>
  </conditionalFormatting>
  <conditionalFormatting sqref="I156:J157">
    <cfRule type="cellIs" dxfId="4465" priority="575" stopIfTrue="1" operator="equal">
      <formula>"Operation"</formula>
    </cfRule>
  </conditionalFormatting>
  <conditionalFormatting sqref="M156:N157">
    <cfRule type="cellIs" dxfId="4464" priority="580" stopIfTrue="1" operator="equal">
      <formula>"Operation"</formula>
    </cfRule>
  </conditionalFormatting>
  <conditionalFormatting sqref="G156:H157 L156:L157">
    <cfRule type="cellIs" dxfId="4463" priority="579" stopIfTrue="1" operator="equal">
      <formula>"Operation"</formula>
    </cfRule>
  </conditionalFormatting>
  <conditionalFormatting sqref="O156:P157">
    <cfRule type="cellIs" dxfId="4462" priority="577" stopIfTrue="1" operator="equal">
      <formula>"Operation"</formula>
    </cfRule>
  </conditionalFormatting>
  <conditionalFormatting sqref="K156:K157">
    <cfRule type="cellIs" dxfId="4461" priority="574" stopIfTrue="1" operator="equal">
      <formula>"Operation"</formula>
    </cfRule>
  </conditionalFormatting>
  <conditionalFormatting sqref="E156:E157">
    <cfRule type="cellIs" dxfId="4460" priority="570" stopIfTrue="1" operator="equal">
      <formula>"Operation"</formula>
    </cfRule>
  </conditionalFormatting>
  <conditionalFormatting sqref="E154 E158">
    <cfRule type="cellIs" dxfId="4459" priority="583" stopIfTrue="1" operator="equal">
      <formula>"Operation"</formula>
    </cfRule>
  </conditionalFormatting>
  <conditionalFormatting sqref="E154 E158">
    <cfRule type="cellIs" dxfId="4458" priority="582" stopIfTrue="1" operator="equal">
      <formula>"N/A"</formula>
    </cfRule>
  </conditionalFormatting>
  <conditionalFormatting sqref="G156:H157 L156:N157">
    <cfRule type="cellIs" dxfId="4457" priority="578" stopIfTrue="1" operator="equal">
      <formula>"N/A"</formula>
    </cfRule>
  </conditionalFormatting>
  <conditionalFormatting sqref="O156:P157">
    <cfRule type="cellIs" dxfId="4456" priority="576" stopIfTrue="1" operator="equal">
      <formula>"N/A"</formula>
    </cfRule>
  </conditionalFormatting>
  <conditionalFormatting sqref="I156:K157">
    <cfRule type="cellIs" dxfId="4455" priority="573" stopIfTrue="1" operator="equal">
      <formula>"N/A"</formula>
    </cfRule>
  </conditionalFormatting>
  <conditionalFormatting sqref="D156:D157">
    <cfRule type="cellIs" dxfId="4454" priority="572" stopIfTrue="1" operator="equal">
      <formula>"Total"</formula>
    </cfRule>
  </conditionalFormatting>
  <conditionalFormatting sqref="E156:E157">
    <cfRule type="cellIs" dxfId="4453" priority="569" stopIfTrue="1" operator="equal">
      <formula>"N/A"</formula>
    </cfRule>
  </conditionalFormatting>
  <conditionalFormatting sqref="G159:H159">
    <cfRule type="cellIs" dxfId="4452" priority="594" stopIfTrue="1" operator="equal">
      <formula>"Operation"</formula>
    </cfRule>
  </conditionalFormatting>
  <conditionalFormatting sqref="H159:P159">
    <cfRule type="cellIs" dxfId="4451" priority="593" stopIfTrue="1" operator="equal">
      <formula>"N/A"</formula>
    </cfRule>
  </conditionalFormatting>
  <conditionalFormatting sqref="E159">
    <cfRule type="cellIs" dxfId="4450" priority="584" stopIfTrue="1" operator="equal">
      <formula>"N/A"</formula>
    </cfRule>
  </conditionalFormatting>
  <conditionalFormatting sqref="L154:N154 I154:J154 I158:J158 L158:N158">
    <cfRule type="cellIs" dxfId="4449" priority="591" stopIfTrue="1" operator="equal">
      <formula>"Operation"</formula>
    </cfRule>
  </conditionalFormatting>
  <conditionalFormatting sqref="K154 K158">
    <cfRule type="cellIs" dxfId="4448" priority="590" stopIfTrue="1" operator="equal">
      <formula>"Operation"</formula>
    </cfRule>
  </conditionalFormatting>
  <conditionalFormatting sqref="G154:H154 G158:H158">
    <cfRule type="cellIs" dxfId="4447" priority="589" stopIfTrue="1" operator="equal">
      <formula>"Operation"</formula>
    </cfRule>
  </conditionalFormatting>
  <conditionalFormatting sqref="H154:P154 H158:P158">
    <cfRule type="cellIs" dxfId="4446" priority="586" stopIfTrue="1" operator="equal">
      <formula>"N/A"</formula>
    </cfRule>
  </conditionalFormatting>
  <conditionalFormatting sqref="O154:P154 O158:P158">
    <cfRule type="cellIs" dxfId="4445" priority="592" stopIfTrue="1" operator="equal">
      <formula>"Operation"</formula>
    </cfRule>
  </conditionalFormatting>
  <conditionalFormatting sqref="D154 D158">
    <cfRule type="cellIs" dxfId="4444" priority="588" stopIfTrue="1" operator="equal">
      <formula>"Total"</formula>
    </cfRule>
  </conditionalFormatting>
  <conditionalFormatting sqref="K155">
    <cfRule type="cellIs" dxfId="4443" priority="561" stopIfTrue="1" operator="equal">
      <formula>"Operation"</formula>
    </cfRule>
  </conditionalFormatting>
  <conditionalFormatting sqref="I155:K155">
    <cfRule type="cellIs" dxfId="4442" priority="560" stopIfTrue="1" operator="equal">
      <formula>"N/A"</formula>
    </cfRule>
  </conditionalFormatting>
  <conditionalFormatting sqref="M155:N155">
    <cfRule type="cellIs" dxfId="4441" priority="567" stopIfTrue="1" operator="equal">
      <formula>"Operation"</formula>
    </cfRule>
  </conditionalFormatting>
  <conditionalFormatting sqref="G155:H155 L155">
    <cfRule type="cellIs" dxfId="4440" priority="566" stopIfTrue="1" operator="equal">
      <formula>"Operation"</formula>
    </cfRule>
  </conditionalFormatting>
  <conditionalFormatting sqref="G155:H155 L155:N155">
    <cfRule type="cellIs" dxfId="4439" priority="565" stopIfTrue="1" operator="equal">
      <formula>"N/A"</formula>
    </cfRule>
  </conditionalFormatting>
  <conditionalFormatting sqref="O155:P155">
    <cfRule type="cellIs" dxfId="4438" priority="563" stopIfTrue="1" operator="equal">
      <formula>"N/A"</formula>
    </cfRule>
  </conditionalFormatting>
  <conditionalFormatting sqref="O155:P155">
    <cfRule type="cellIs" dxfId="4437" priority="564" stopIfTrue="1" operator="equal">
      <formula>"Operation"</formula>
    </cfRule>
  </conditionalFormatting>
  <conditionalFormatting sqref="I155:J155">
    <cfRule type="cellIs" dxfId="4436" priority="562" stopIfTrue="1" operator="equal">
      <formula>"Operation"</formula>
    </cfRule>
  </conditionalFormatting>
  <conditionalFormatting sqref="D155">
    <cfRule type="cellIs" dxfId="4435" priority="559" stopIfTrue="1" operator="equal">
      <formula>"Total"</formula>
    </cfRule>
  </conditionalFormatting>
  <conditionalFormatting sqref="E155">
    <cfRule type="cellIs" dxfId="4434" priority="557" stopIfTrue="1" operator="equal">
      <formula>"Operation"</formula>
    </cfRule>
  </conditionalFormatting>
  <conditionalFormatting sqref="E155">
    <cfRule type="cellIs" dxfId="4433" priority="556" stopIfTrue="1" operator="equal">
      <formula>"N/A"</formula>
    </cfRule>
  </conditionalFormatting>
  <conditionalFormatting sqref="F156:F157">
    <cfRule type="cellIs" dxfId="4432" priority="552" stopIfTrue="1" operator="equal">
      <formula>"Operation"</formula>
    </cfRule>
  </conditionalFormatting>
  <conditionalFormatting sqref="F154 F158:F159">
    <cfRule type="cellIs" dxfId="4431" priority="554" stopIfTrue="1" operator="equal">
      <formula>"Operation"</formula>
    </cfRule>
  </conditionalFormatting>
  <conditionalFormatting sqref="F154 F158:F159">
    <cfRule type="cellIs" dxfId="4430" priority="553" stopIfTrue="1" operator="equal">
      <formula>"N/A"</formula>
    </cfRule>
  </conditionalFormatting>
  <conditionalFormatting sqref="F156:F157">
    <cfRule type="cellIs" dxfId="4429" priority="551" stopIfTrue="1" operator="equal">
      <formula>"N/A"</formula>
    </cfRule>
  </conditionalFormatting>
  <conditionalFormatting sqref="F159">
    <cfRule type="cellIs" dxfId="4428" priority="555" stopIfTrue="1" operator="equal">
      <formula>"N/A"</formula>
    </cfRule>
  </conditionalFormatting>
  <conditionalFormatting sqref="F155">
    <cfRule type="cellIs" dxfId="4427" priority="550" stopIfTrue="1" operator="equal">
      <formula>"Operation"</formula>
    </cfRule>
  </conditionalFormatting>
  <conditionalFormatting sqref="F155">
    <cfRule type="cellIs" dxfId="4426" priority="549" stopIfTrue="1" operator="equal">
      <formula>"N/A"</formula>
    </cfRule>
  </conditionalFormatting>
  <conditionalFormatting sqref="K157">
    <cfRule type="cellIs" dxfId="4425" priority="548" stopIfTrue="1" operator="equal">
      <formula>"Operation"</formula>
    </cfRule>
  </conditionalFormatting>
  <conditionalFormatting sqref="H180:P180">
    <cfRule type="cellIs" dxfId="4424" priority="518" stopIfTrue="1" operator="equal">
      <formula>"N/A"</formula>
    </cfRule>
  </conditionalFormatting>
  <conditionalFormatting sqref="E180">
    <cfRule type="cellIs" dxfId="4423" priority="517" stopIfTrue="1" operator="equal">
      <formula>"Operation"</formula>
    </cfRule>
  </conditionalFormatting>
  <conditionalFormatting sqref="G174:H174">
    <cfRule type="cellIs" dxfId="4422" priority="547" stopIfTrue="1" operator="equal">
      <formula>"Operation"</formula>
    </cfRule>
  </conditionalFormatting>
  <conditionalFormatting sqref="D174">
    <cfRule type="cellIs" dxfId="4421" priority="546" stopIfTrue="1" operator="equal">
      <formula>"Total"</formula>
    </cfRule>
  </conditionalFormatting>
  <conditionalFormatting sqref="H174:P174">
    <cfRule type="cellIs" dxfId="4420" priority="544" stopIfTrue="1" operator="equal">
      <formula>"N/A"</formula>
    </cfRule>
  </conditionalFormatting>
  <conditionalFormatting sqref="E174">
    <cfRule type="cellIs" dxfId="4419" priority="543" stopIfTrue="1" operator="equal">
      <formula>"N/A"</formula>
    </cfRule>
  </conditionalFormatting>
  <conditionalFormatting sqref="E175">
    <cfRule type="cellIs" dxfId="4418" priority="523" stopIfTrue="1" operator="equal">
      <formula>"Operation"</formula>
    </cfRule>
  </conditionalFormatting>
  <conditionalFormatting sqref="E175">
    <cfRule type="cellIs" dxfId="4417" priority="522" stopIfTrue="1" operator="equal">
      <formula>"N/A"</formula>
    </cfRule>
  </conditionalFormatting>
  <conditionalFormatting sqref="I177:J177">
    <cfRule type="cellIs" dxfId="4416" priority="541" stopIfTrue="1" operator="equal">
      <formula>"Operation"</formula>
    </cfRule>
  </conditionalFormatting>
  <conditionalFormatting sqref="K177">
    <cfRule type="cellIs" dxfId="4415" priority="540" stopIfTrue="1" operator="equal">
      <formula>"Operation"</formula>
    </cfRule>
  </conditionalFormatting>
  <conditionalFormatting sqref="G177:H177">
    <cfRule type="cellIs" dxfId="4414" priority="539" stopIfTrue="1" operator="equal">
      <formula>"Operation"</formula>
    </cfRule>
  </conditionalFormatting>
  <conditionalFormatting sqref="H177:O177 O178">
    <cfRule type="cellIs" dxfId="4413" priority="536" stopIfTrue="1" operator="equal">
      <formula>"N/A"</formula>
    </cfRule>
  </conditionalFormatting>
  <conditionalFormatting sqref="O177:O178">
    <cfRule type="cellIs" dxfId="4412" priority="542" stopIfTrue="1" operator="equal">
      <formula>"Operation"</formula>
    </cfRule>
  </conditionalFormatting>
  <conditionalFormatting sqref="D177">
    <cfRule type="cellIs" dxfId="4411" priority="538" stopIfTrue="1" operator="equal">
      <formula>"Total"</formula>
    </cfRule>
  </conditionalFormatting>
  <conditionalFormatting sqref="E177">
    <cfRule type="cellIs" dxfId="4410" priority="534" stopIfTrue="1" operator="equal">
      <formula>"Operation"</formula>
    </cfRule>
  </conditionalFormatting>
  <conditionalFormatting sqref="E177">
    <cfRule type="cellIs" dxfId="4409" priority="533" stopIfTrue="1" operator="equal">
      <formula>"N/A"</formula>
    </cfRule>
  </conditionalFormatting>
  <conditionalFormatting sqref="O175:P175 O176 P176:P179">
    <cfRule type="cellIs" dxfId="4408" priority="529" stopIfTrue="1" operator="equal">
      <formula>"Operation"</formula>
    </cfRule>
  </conditionalFormatting>
  <conditionalFormatting sqref="O175:P175 O176 P176:P179">
    <cfRule type="cellIs" dxfId="4407" priority="528" stopIfTrue="1" operator="equal">
      <formula>"N/A"</formula>
    </cfRule>
  </conditionalFormatting>
  <conditionalFormatting sqref="G175:H175 L175">
    <cfRule type="cellIs" dxfId="4406" priority="531" stopIfTrue="1" operator="equal">
      <formula>"Operation"</formula>
    </cfRule>
  </conditionalFormatting>
  <conditionalFormatting sqref="G175:H175 L175:N175">
    <cfRule type="cellIs" dxfId="4405" priority="530" stopIfTrue="1" operator="equal">
      <formula>"N/A"</formula>
    </cfRule>
  </conditionalFormatting>
  <conditionalFormatting sqref="M175:N175">
    <cfRule type="cellIs" dxfId="4404" priority="532" stopIfTrue="1" operator="equal">
      <formula>"Operation"</formula>
    </cfRule>
  </conditionalFormatting>
  <conditionalFormatting sqref="I175:J175">
    <cfRule type="cellIs" dxfId="4403" priority="527" stopIfTrue="1" operator="equal">
      <formula>"Operation"</formula>
    </cfRule>
  </conditionalFormatting>
  <conditionalFormatting sqref="K175">
    <cfRule type="cellIs" dxfId="4402" priority="526" stopIfTrue="1" operator="equal">
      <formula>"Operation"</formula>
    </cfRule>
  </conditionalFormatting>
  <conditionalFormatting sqref="I175:K175">
    <cfRule type="cellIs" dxfId="4401" priority="525" stopIfTrue="1" operator="equal">
      <formula>"N/A"</formula>
    </cfRule>
  </conditionalFormatting>
  <conditionalFormatting sqref="D175">
    <cfRule type="cellIs" dxfId="4400" priority="524" stopIfTrue="1" operator="equal">
      <formula>"Total"</formula>
    </cfRule>
  </conditionalFormatting>
  <conditionalFormatting sqref="F175">
    <cfRule type="cellIs" dxfId="4399" priority="512" stopIfTrue="1" operator="equal">
      <formula>"Operation"</formula>
    </cfRule>
  </conditionalFormatting>
  <conditionalFormatting sqref="F180">
    <cfRule type="cellIs" dxfId="4398" priority="510" stopIfTrue="1" operator="equal">
      <formula>"Operation"</formula>
    </cfRule>
  </conditionalFormatting>
  <conditionalFormatting sqref="G180:P180">
    <cfRule type="cellIs" dxfId="4397" priority="521" stopIfTrue="1" operator="equal">
      <formula>"Operation"</formula>
    </cfRule>
  </conditionalFormatting>
  <conditionalFormatting sqref="D180">
    <cfRule type="cellIs" dxfId="4396" priority="520" stopIfTrue="1" operator="equal">
      <formula>"Total"</formula>
    </cfRule>
  </conditionalFormatting>
  <conditionalFormatting sqref="E180">
    <cfRule type="cellIs" dxfId="4395" priority="516" stopIfTrue="1" operator="equal">
      <formula>"N/A"</formula>
    </cfRule>
  </conditionalFormatting>
  <conditionalFormatting sqref="F174">
    <cfRule type="cellIs" dxfId="4394" priority="515" stopIfTrue="1" operator="equal">
      <formula>"N/A"</formula>
    </cfRule>
  </conditionalFormatting>
  <conditionalFormatting sqref="F175">
    <cfRule type="cellIs" dxfId="4393" priority="511" stopIfTrue="1" operator="equal">
      <formula>"N/A"</formula>
    </cfRule>
  </conditionalFormatting>
  <conditionalFormatting sqref="F177">
    <cfRule type="cellIs" dxfId="4392" priority="514" stopIfTrue="1" operator="equal">
      <formula>"Operation"</formula>
    </cfRule>
  </conditionalFormatting>
  <conditionalFormatting sqref="F177">
    <cfRule type="cellIs" dxfId="4391" priority="513" stopIfTrue="1" operator="equal">
      <formula>"N/A"</formula>
    </cfRule>
  </conditionalFormatting>
  <conditionalFormatting sqref="F180">
    <cfRule type="cellIs" dxfId="4390" priority="509" stopIfTrue="1" operator="equal">
      <formula>"N/A"</formula>
    </cfRule>
  </conditionalFormatting>
  <conditionalFormatting sqref="I69:I70">
    <cfRule type="cellIs" dxfId="4389" priority="508" stopIfTrue="1" operator="equal">
      <formula>"Operation"</formula>
    </cfRule>
  </conditionalFormatting>
  <conditionalFormatting sqref="I69:I70">
    <cfRule type="cellIs" dxfId="4388" priority="507" stopIfTrue="1" operator="equal">
      <formula>"N/A"</formula>
    </cfRule>
  </conditionalFormatting>
  <conditionalFormatting sqref="K73:K74">
    <cfRule type="cellIs" dxfId="4387" priority="506" stopIfTrue="1" operator="equal">
      <formula>"Operation"</formula>
    </cfRule>
  </conditionalFormatting>
  <conditionalFormatting sqref="K73:K74">
    <cfRule type="cellIs" dxfId="4386" priority="505" stopIfTrue="1" operator="equal">
      <formula>"N/A"</formula>
    </cfRule>
  </conditionalFormatting>
  <conditionalFormatting sqref="E108:P111">
    <cfRule type="cellIs" dxfId="4385" priority="504" stopIfTrue="1" operator="equal">
      <formula>"Operation"</formula>
    </cfRule>
  </conditionalFormatting>
  <conditionalFormatting sqref="D108:D111">
    <cfRule type="cellIs" dxfId="4384" priority="503" stopIfTrue="1" operator="equal">
      <formula>"Total"</formula>
    </cfRule>
  </conditionalFormatting>
  <conditionalFormatting sqref="H108:P111 E108:F111">
    <cfRule type="cellIs" dxfId="4383" priority="501" stopIfTrue="1" operator="equal">
      <formula>"N/A"</formula>
    </cfRule>
  </conditionalFormatting>
  <conditionalFormatting sqref="G111:H111">
    <cfRule type="cellIs" dxfId="4382" priority="500" stopIfTrue="1" operator="equal">
      <formula>"Operation"</formula>
    </cfRule>
  </conditionalFormatting>
  <conditionalFormatting sqref="H111:P111">
    <cfRule type="cellIs" dxfId="4381" priority="499" stopIfTrue="1" operator="equal">
      <formula>"N/A"</formula>
    </cfRule>
  </conditionalFormatting>
  <conditionalFormatting sqref="I108:J110 L108:N110">
    <cfRule type="cellIs" dxfId="4380" priority="497" stopIfTrue="1" operator="equal">
      <formula>"Operation"</formula>
    </cfRule>
  </conditionalFormatting>
  <conditionalFormatting sqref="K108:K110">
    <cfRule type="cellIs" dxfId="4379" priority="496" stopIfTrue="1" operator="equal">
      <formula>"Operation"</formula>
    </cfRule>
  </conditionalFormatting>
  <conditionalFormatting sqref="G108:H110">
    <cfRule type="cellIs" dxfId="4378" priority="495" stopIfTrue="1" operator="equal">
      <formula>"Operation"</formula>
    </cfRule>
  </conditionalFormatting>
  <conditionalFormatting sqref="H108:P110">
    <cfRule type="cellIs" dxfId="4377" priority="493" stopIfTrue="1" operator="equal">
      <formula>"N/A"</formula>
    </cfRule>
  </conditionalFormatting>
  <conditionalFormatting sqref="O108:P110">
    <cfRule type="cellIs" dxfId="4376" priority="498" stopIfTrue="1" operator="equal">
      <formula>"Operation"</formula>
    </cfRule>
  </conditionalFormatting>
  <conditionalFormatting sqref="D108:D110">
    <cfRule type="cellIs" dxfId="4375" priority="494" stopIfTrue="1" operator="equal">
      <formula>"Total"</formula>
    </cfRule>
  </conditionalFormatting>
  <conditionalFormatting sqref="E108:E110">
    <cfRule type="cellIs" dxfId="4374" priority="491" stopIfTrue="1" operator="equal">
      <formula>"Operation"</formula>
    </cfRule>
  </conditionalFormatting>
  <conditionalFormatting sqref="E111">
    <cfRule type="cellIs" dxfId="4373" priority="492" stopIfTrue="1" operator="equal">
      <formula>"N/A"</formula>
    </cfRule>
  </conditionalFormatting>
  <conditionalFormatting sqref="E108:E110">
    <cfRule type="cellIs" dxfId="4372" priority="490" stopIfTrue="1" operator="equal">
      <formula>"N/A"</formula>
    </cfRule>
  </conditionalFormatting>
  <conditionalFormatting sqref="F108:F110">
    <cfRule type="cellIs" dxfId="4371" priority="488" stopIfTrue="1" operator="equal">
      <formula>"Operation"</formula>
    </cfRule>
  </conditionalFormatting>
  <conditionalFormatting sqref="F111">
    <cfRule type="cellIs" dxfId="4370" priority="489" stopIfTrue="1" operator="equal">
      <formula>"N/A"</formula>
    </cfRule>
  </conditionalFormatting>
  <conditionalFormatting sqref="F108:F110">
    <cfRule type="cellIs" dxfId="4369" priority="487" stopIfTrue="1" operator="equal">
      <formula>"N/A"</formula>
    </cfRule>
  </conditionalFormatting>
  <conditionalFormatting sqref="D34 D51 D55 D53 D36:D37 D48:D49">
    <cfRule type="cellIs" dxfId="4368" priority="486" stopIfTrue="1" operator="equal">
      <formula>"Total"</formula>
    </cfRule>
  </conditionalFormatting>
  <conditionalFormatting sqref="O115:P117">
    <cfRule type="cellIs" dxfId="4367" priority="485" stopIfTrue="1" operator="equal">
      <formula>"Operation"</formula>
    </cfRule>
  </conditionalFormatting>
  <conditionalFormatting sqref="I115:J117 L115:N117">
    <cfRule type="cellIs" dxfId="4366" priority="484" stopIfTrue="1" operator="equal">
      <formula>"Operation"</formula>
    </cfRule>
  </conditionalFormatting>
  <conditionalFormatting sqref="K115:K117">
    <cfRule type="cellIs" dxfId="4365" priority="483" stopIfTrue="1" operator="equal">
      <formula>"Operation"</formula>
    </cfRule>
  </conditionalFormatting>
  <conditionalFormatting sqref="G115:H115 G117:H117 H116">
    <cfRule type="cellIs" dxfId="4364" priority="482" stopIfTrue="1" operator="equal">
      <formula>"Operation"</formula>
    </cfRule>
  </conditionalFormatting>
  <conditionalFormatting sqref="H115:P117">
    <cfRule type="cellIs" dxfId="4363" priority="481" stopIfTrue="1" operator="equal">
      <formula>"N/A"</formula>
    </cfRule>
  </conditionalFormatting>
  <conditionalFormatting sqref="O112:P114">
    <cfRule type="cellIs" dxfId="4362" priority="480" stopIfTrue="1" operator="equal">
      <formula>"Operation"</formula>
    </cfRule>
  </conditionalFormatting>
  <conditionalFormatting sqref="I112:J114 L112:N114">
    <cfRule type="cellIs" dxfId="4361" priority="479" stopIfTrue="1" operator="equal">
      <formula>"Operation"</formula>
    </cfRule>
  </conditionalFormatting>
  <conditionalFormatting sqref="K112:K114">
    <cfRule type="cellIs" dxfId="4360" priority="478" stopIfTrue="1" operator="equal">
      <formula>"Operation"</formula>
    </cfRule>
  </conditionalFormatting>
  <conditionalFormatting sqref="G112:H114">
    <cfRule type="cellIs" dxfId="4359" priority="477" stopIfTrue="1" operator="equal">
      <formula>"Operation"</formula>
    </cfRule>
  </conditionalFormatting>
  <conditionalFormatting sqref="H112:P114">
    <cfRule type="cellIs" dxfId="4358" priority="476" stopIfTrue="1" operator="equal">
      <formula>"N/A"</formula>
    </cfRule>
  </conditionalFormatting>
  <conditionalFormatting sqref="O118:P120">
    <cfRule type="cellIs" dxfId="4357" priority="475" stopIfTrue="1" operator="equal">
      <formula>"Operation"</formula>
    </cfRule>
  </conditionalFormatting>
  <conditionalFormatting sqref="I118:J120 L118:N120">
    <cfRule type="cellIs" dxfId="4356" priority="474" stopIfTrue="1" operator="equal">
      <formula>"Operation"</formula>
    </cfRule>
  </conditionalFormatting>
  <conditionalFormatting sqref="K118:K120">
    <cfRule type="cellIs" dxfId="4355" priority="473" stopIfTrue="1" operator="equal">
      <formula>"Operation"</formula>
    </cfRule>
  </conditionalFormatting>
  <conditionalFormatting sqref="G118:H118 G120:H120 H119">
    <cfRule type="cellIs" dxfId="4354" priority="472" stopIfTrue="1" operator="equal">
      <formula>"Operation"</formula>
    </cfRule>
  </conditionalFormatting>
  <conditionalFormatting sqref="H118:P120">
    <cfRule type="cellIs" dxfId="4353" priority="471" stopIfTrue="1" operator="equal">
      <formula>"N/A"</formula>
    </cfRule>
  </conditionalFormatting>
  <conditionalFormatting sqref="O121:P123">
    <cfRule type="cellIs" dxfId="4352" priority="470" stopIfTrue="1" operator="equal">
      <formula>"Operation"</formula>
    </cfRule>
  </conditionalFormatting>
  <conditionalFormatting sqref="I121:J123 L121:N123">
    <cfRule type="cellIs" dxfId="4351" priority="469" stopIfTrue="1" operator="equal">
      <formula>"Operation"</formula>
    </cfRule>
  </conditionalFormatting>
  <conditionalFormatting sqref="K121:K123">
    <cfRule type="cellIs" dxfId="4350" priority="468" stopIfTrue="1" operator="equal">
      <formula>"Operation"</formula>
    </cfRule>
  </conditionalFormatting>
  <conditionalFormatting sqref="G121:H121 G123:H123 H122">
    <cfRule type="cellIs" dxfId="4349" priority="467" stopIfTrue="1" operator="equal">
      <formula>"Operation"</formula>
    </cfRule>
  </conditionalFormatting>
  <conditionalFormatting sqref="H121:P123">
    <cfRule type="cellIs" dxfId="4348" priority="466" stopIfTrue="1" operator="equal">
      <formula>"N/A"</formula>
    </cfRule>
  </conditionalFormatting>
  <conditionalFormatting sqref="O124:P126">
    <cfRule type="cellIs" dxfId="4347" priority="465" stopIfTrue="1" operator="equal">
      <formula>"Operation"</formula>
    </cfRule>
  </conditionalFormatting>
  <conditionalFormatting sqref="I124:J126 L124:N126">
    <cfRule type="cellIs" dxfId="4346" priority="464" stopIfTrue="1" operator="equal">
      <formula>"Operation"</formula>
    </cfRule>
  </conditionalFormatting>
  <conditionalFormatting sqref="K124:K126">
    <cfRule type="cellIs" dxfId="4345" priority="463" stopIfTrue="1" operator="equal">
      <formula>"Operation"</formula>
    </cfRule>
  </conditionalFormatting>
  <conditionalFormatting sqref="G124:H124 G126:H126 H125">
    <cfRule type="cellIs" dxfId="4344" priority="462" stopIfTrue="1" operator="equal">
      <formula>"Operation"</formula>
    </cfRule>
  </conditionalFormatting>
  <conditionalFormatting sqref="H124:P126">
    <cfRule type="cellIs" dxfId="4343" priority="461" stopIfTrue="1" operator="equal">
      <formula>"N/A"</formula>
    </cfRule>
  </conditionalFormatting>
  <conditionalFormatting sqref="G116">
    <cfRule type="cellIs" dxfId="4342" priority="460" stopIfTrue="1" operator="equal">
      <formula>"Operation"</formula>
    </cfRule>
  </conditionalFormatting>
  <conditionalFormatting sqref="G119">
    <cfRule type="cellIs" dxfId="4341" priority="459" stopIfTrue="1" operator="equal">
      <formula>"Operation"</formula>
    </cfRule>
  </conditionalFormatting>
  <conditionalFormatting sqref="G125">
    <cfRule type="cellIs" dxfId="4340" priority="458" stopIfTrue="1" operator="equal">
      <formula>"Operation"</formula>
    </cfRule>
  </conditionalFormatting>
  <conditionalFormatting sqref="L9:N9 I9:J9">
    <cfRule type="cellIs" dxfId="4339" priority="454" stopIfTrue="1" operator="equal">
      <formula>"Operation"</formula>
    </cfRule>
  </conditionalFormatting>
  <conditionalFormatting sqref="K9">
    <cfRule type="cellIs" dxfId="4338" priority="453" stopIfTrue="1" operator="equal">
      <formula>"Operation"</formula>
    </cfRule>
  </conditionalFormatting>
  <conditionalFormatting sqref="G9:H9">
    <cfRule type="cellIs" dxfId="4337" priority="452" stopIfTrue="1" operator="equal">
      <formula>"Operation"</formula>
    </cfRule>
  </conditionalFormatting>
  <conditionalFormatting sqref="H9:P9">
    <cfRule type="cellIs" dxfId="4336" priority="450" stopIfTrue="1" operator="equal">
      <formula>"N/A"</formula>
    </cfRule>
  </conditionalFormatting>
  <conditionalFormatting sqref="O9:P9">
    <cfRule type="cellIs" dxfId="4335" priority="455" stopIfTrue="1" operator="equal">
      <formula>"Operation"</formula>
    </cfRule>
  </conditionalFormatting>
  <conditionalFormatting sqref="D9">
    <cfRule type="cellIs" dxfId="4334" priority="451" stopIfTrue="1" operator="equal">
      <formula>"Total"</formula>
    </cfRule>
  </conditionalFormatting>
  <conditionalFormatting sqref="E9">
    <cfRule type="cellIs" dxfId="4333" priority="449" stopIfTrue="1" operator="equal">
      <formula>"Operation"</formula>
    </cfRule>
  </conditionalFormatting>
  <conditionalFormatting sqref="E9">
    <cfRule type="cellIs" dxfId="4332" priority="448" stopIfTrue="1" operator="equal">
      <formula>"N/A"</formula>
    </cfRule>
  </conditionalFormatting>
  <conditionalFormatting sqref="F9">
    <cfRule type="cellIs" dxfId="4331" priority="447" stopIfTrue="1" operator="equal">
      <formula>"Operation"</formula>
    </cfRule>
  </conditionalFormatting>
  <conditionalFormatting sqref="F9">
    <cfRule type="cellIs" dxfId="4330" priority="446" stopIfTrue="1" operator="equal">
      <formula>"N/A"</formula>
    </cfRule>
  </conditionalFormatting>
  <conditionalFormatting sqref="D9">
    <cfRule type="cellIs" dxfId="4329" priority="445" stopIfTrue="1" operator="equal">
      <formula>"Total"</formula>
    </cfRule>
  </conditionalFormatting>
  <conditionalFormatting sqref="L33:N33 I33:J33">
    <cfRule type="cellIs" dxfId="4328" priority="442" stopIfTrue="1" operator="equal">
      <formula>"Operation"</formula>
    </cfRule>
  </conditionalFormatting>
  <conditionalFormatting sqref="K33">
    <cfRule type="cellIs" dxfId="4327" priority="441" stopIfTrue="1" operator="equal">
      <formula>"Operation"</formula>
    </cfRule>
  </conditionalFormatting>
  <conditionalFormatting sqref="G33:H33">
    <cfRule type="cellIs" dxfId="4326" priority="440" stopIfTrue="1" operator="equal">
      <formula>"Operation"</formula>
    </cfRule>
  </conditionalFormatting>
  <conditionalFormatting sqref="H33:P33">
    <cfRule type="cellIs" dxfId="4325" priority="438" stopIfTrue="1" operator="equal">
      <formula>"N/A"</formula>
    </cfRule>
  </conditionalFormatting>
  <conditionalFormatting sqref="O33:P33">
    <cfRule type="cellIs" dxfId="4324" priority="443" stopIfTrue="1" operator="equal">
      <formula>"Operation"</formula>
    </cfRule>
  </conditionalFormatting>
  <conditionalFormatting sqref="D33">
    <cfRule type="cellIs" dxfId="4323" priority="439" stopIfTrue="1" operator="equal">
      <formula>"Total"</formula>
    </cfRule>
  </conditionalFormatting>
  <conditionalFormatting sqref="E33">
    <cfRule type="cellIs" dxfId="4322" priority="437" stopIfTrue="1" operator="equal">
      <formula>"Operation"</formula>
    </cfRule>
  </conditionalFormatting>
  <conditionalFormatting sqref="E33">
    <cfRule type="cellIs" dxfId="4321" priority="436" stopIfTrue="1" operator="equal">
      <formula>"N/A"</formula>
    </cfRule>
  </conditionalFormatting>
  <conditionalFormatting sqref="F33">
    <cfRule type="cellIs" dxfId="4320" priority="435" stopIfTrue="1" operator="equal">
      <formula>"Operation"</formula>
    </cfRule>
  </conditionalFormatting>
  <conditionalFormatting sqref="F33">
    <cfRule type="cellIs" dxfId="4319" priority="434" stopIfTrue="1" operator="equal">
      <formula>"N/A"</formula>
    </cfRule>
  </conditionalFormatting>
  <conditionalFormatting sqref="D33">
    <cfRule type="cellIs" dxfId="4318" priority="433" stopIfTrue="1" operator="equal">
      <formula>"Total"</formula>
    </cfRule>
  </conditionalFormatting>
  <conditionalFormatting sqref="L35:N35 I35:J35">
    <cfRule type="cellIs" dxfId="4317" priority="431" stopIfTrue="1" operator="equal">
      <formula>"Operation"</formula>
    </cfRule>
  </conditionalFormatting>
  <conditionalFormatting sqref="K35">
    <cfRule type="cellIs" dxfId="4316" priority="430" stopIfTrue="1" operator="equal">
      <formula>"Operation"</formula>
    </cfRule>
  </conditionalFormatting>
  <conditionalFormatting sqref="G35:H35">
    <cfRule type="cellIs" dxfId="4315" priority="429" stopIfTrue="1" operator="equal">
      <formula>"Operation"</formula>
    </cfRule>
  </conditionalFormatting>
  <conditionalFormatting sqref="H35:P35">
    <cfRule type="cellIs" dxfId="4314" priority="427" stopIfTrue="1" operator="equal">
      <formula>"N/A"</formula>
    </cfRule>
  </conditionalFormatting>
  <conditionalFormatting sqref="O35:P35">
    <cfRule type="cellIs" dxfId="4313" priority="432" stopIfTrue="1" operator="equal">
      <formula>"Operation"</formula>
    </cfRule>
  </conditionalFormatting>
  <conditionalFormatting sqref="D35">
    <cfRule type="cellIs" dxfId="4312" priority="428" stopIfTrue="1" operator="equal">
      <formula>"Total"</formula>
    </cfRule>
  </conditionalFormatting>
  <conditionalFormatting sqref="E35">
    <cfRule type="cellIs" dxfId="4311" priority="426" stopIfTrue="1" operator="equal">
      <formula>"Operation"</formula>
    </cfRule>
  </conditionalFormatting>
  <conditionalFormatting sqref="E35">
    <cfRule type="cellIs" dxfId="4310" priority="425" stopIfTrue="1" operator="equal">
      <formula>"N/A"</formula>
    </cfRule>
  </conditionalFormatting>
  <conditionalFormatting sqref="F35">
    <cfRule type="cellIs" dxfId="4309" priority="424" stopIfTrue="1" operator="equal">
      <formula>"Operation"</formula>
    </cfRule>
  </conditionalFormatting>
  <conditionalFormatting sqref="F35">
    <cfRule type="cellIs" dxfId="4308" priority="423" stopIfTrue="1" operator="equal">
      <formula>"N/A"</formula>
    </cfRule>
  </conditionalFormatting>
  <conditionalFormatting sqref="D35">
    <cfRule type="cellIs" dxfId="4307" priority="422" stopIfTrue="1" operator="equal">
      <formula>"Total"</formula>
    </cfRule>
  </conditionalFormatting>
  <conditionalFormatting sqref="G54:P54 E54">
    <cfRule type="cellIs" dxfId="4306" priority="421" stopIfTrue="1" operator="equal">
      <formula>"Operation"</formula>
    </cfRule>
  </conditionalFormatting>
  <conditionalFormatting sqref="D54">
    <cfRule type="cellIs" dxfId="4305" priority="420" stopIfTrue="1" operator="equal">
      <formula>"Total"</formula>
    </cfRule>
  </conditionalFormatting>
  <conditionalFormatting sqref="H54:P54 E54">
    <cfRule type="cellIs" dxfId="4304" priority="418" stopIfTrue="1" operator="equal">
      <formula>"N/A"</formula>
    </cfRule>
  </conditionalFormatting>
  <conditionalFormatting sqref="F54">
    <cfRule type="cellIs" dxfId="4303" priority="417" stopIfTrue="1" operator="equal">
      <formula>"Operation"</formula>
    </cfRule>
  </conditionalFormatting>
  <conditionalFormatting sqref="F54">
    <cfRule type="cellIs" dxfId="4302" priority="416" stopIfTrue="1" operator="equal">
      <formula>"N/A"</formula>
    </cfRule>
  </conditionalFormatting>
  <conditionalFormatting sqref="G52:P52 E52">
    <cfRule type="cellIs" dxfId="4301" priority="414" stopIfTrue="1" operator="equal">
      <formula>"Operation"</formula>
    </cfRule>
  </conditionalFormatting>
  <conditionalFormatting sqref="D52">
    <cfRule type="cellIs" dxfId="4300" priority="413" stopIfTrue="1" operator="equal">
      <formula>"Total"</formula>
    </cfRule>
  </conditionalFormatting>
  <conditionalFormatting sqref="H52:P52 E52">
    <cfRule type="cellIs" dxfId="4299" priority="411" stopIfTrue="1" operator="equal">
      <formula>"N/A"</formula>
    </cfRule>
  </conditionalFormatting>
  <conditionalFormatting sqref="F52">
    <cfRule type="cellIs" dxfId="4298" priority="410" stopIfTrue="1" operator="equal">
      <formula>"Operation"</formula>
    </cfRule>
  </conditionalFormatting>
  <conditionalFormatting sqref="F52">
    <cfRule type="cellIs" dxfId="4297" priority="409" stopIfTrue="1" operator="equal">
      <formula>"N/A"</formula>
    </cfRule>
  </conditionalFormatting>
  <conditionalFormatting sqref="E176:N176">
    <cfRule type="cellIs" dxfId="4296" priority="406" stopIfTrue="1" operator="equal">
      <formula>"Operation"</formula>
    </cfRule>
  </conditionalFormatting>
  <conditionalFormatting sqref="D176">
    <cfRule type="cellIs" dxfId="4295" priority="405" stopIfTrue="1" operator="equal">
      <formula>"Total"</formula>
    </cfRule>
  </conditionalFormatting>
  <conditionalFormatting sqref="H176:N176 E176:F176">
    <cfRule type="cellIs" dxfId="4294" priority="403" stopIfTrue="1" operator="equal">
      <formula>"N/A"</formula>
    </cfRule>
  </conditionalFormatting>
  <conditionalFormatting sqref="I176:J176">
    <cfRule type="cellIs" dxfId="4293" priority="402" stopIfTrue="1" operator="equal">
      <formula>"Operation"</formula>
    </cfRule>
  </conditionalFormatting>
  <conditionalFormatting sqref="K176">
    <cfRule type="cellIs" dxfId="4292" priority="401" stopIfTrue="1" operator="equal">
      <formula>"Operation"</formula>
    </cfRule>
  </conditionalFormatting>
  <conditionalFormatting sqref="G176:H176">
    <cfRule type="cellIs" dxfId="4291" priority="400" stopIfTrue="1" operator="equal">
      <formula>"Operation"</formula>
    </cfRule>
  </conditionalFormatting>
  <conditionalFormatting sqref="H176:N176">
    <cfRule type="cellIs" dxfId="4290" priority="397" stopIfTrue="1" operator="equal">
      <formula>"N/A"</formula>
    </cfRule>
  </conditionalFormatting>
  <conditionalFormatting sqref="D176">
    <cfRule type="cellIs" dxfId="4289" priority="399" stopIfTrue="1" operator="equal">
      <formula>"Total"</formula>
    </cfRule>
  </conditionalFormatting>
  <conditionalFormatting sqref="E176">
    <cfRule type="cellIs" dxfId="4288" priority="396" stopIfTrue="1" operator="equal">
      <formula>"Operation"</formula>
    </cfRule>
  </conditionalFormatting>
  <conditionalFormatting sqref="E176">
    <cfRule type="cellIs" dxfId="4287" priority="395" stopIfTrue="1" operator="equal">
      <formula>"N/A"</formula>
    </cfRule>
  </conditionalFormatting>
  <conditionalFormatting sqref="F176">
    <cfRule type="cellIs" dxfId="4286" priority="394" stopIfTrue="1" operator="equal">
      <formula>"Operation"</formula>
    </cfRule>
  </conditionalFormatting>
  <conditionalFormatting sqref="F176">
    <cfRule type="cellIs" dxfId="4285" priority="393" stopIfTrue="1" operator="equal">
      <formula>"N/A"</formula>
    </cfRule>
  </conditionalFormatting>
  <conditionalFormatting sqref="E178:N178">
    <cfRule type="cellIs" dxfId="4284" priority="391" stopIfTrue="1" operator="equal">
      <formula>"Operation"</formula>
    </cfRule>
  </conditionalFormatting>
  <conditionalFormatting sqref="D178">
    <cfRule type="cellIs" dxfId="4283" priority="390" stopIfTrue="1" operator="equal">
      <formula>"Total"</formula>
    </cfRule>
  </conditionalFormatting>
  <conditionalFormatting sqref="H178:N178 E178:F178">
    <cfRule type="cellIs" dxfId="4282" priority="388" stopIfTrue="1" operator="equal">
      <formula>"N/A"</formula>
    </cfRule>
  </conditionalFormatting>
  <conditionalFormatting sqref="I178:J178">
    <cfRule type="cellIs" dxfId="4281" priority="387" stopIfTrue="1" operator="equal">
      <formula>"Operation"</formula>
    </cfRule>
  </conditionalFormatting>
  <conditionalFormatting sqref="K178">
    <cfRule type="cellIs" dxfId="4280" priority="386" stopIfTrue="1" operator="equal">
      <formula>"Operation"</formula>
    </cfRule>
  </conditionalFormatting>
  <conditionalFormatting sqref="G178:H178">
    <cfRule type="cellIs" dxfId="4279" priority="385" stopIfTrue="1" operator="equal">
      <formula>"Operation"</formula>
    </cfRule>
  </conditionalFormatting>
  <conditionalFormatting sqref="H178:N178">
    <cfRule type="cellIs" dxfId="4278" priority="382" stopIfTrue="1" operator="equal">
      <formula>"N/A"</formula>
    </cfRule>
  </conditionalFormatting>
  <conditionalFormatting sqref="D178">
    <cfRule type="cellIs" dxfId="4277" priority="384" stopIfTrue="1" operator="equal">
      <formula>"Total"</formula>
    </cfRule>
  </conditionalFormatting>
  <conditionalFormatting sqref="E178">
    <cfRule type="cellIs" dxfId="4276" priority="381" stopIfTrue="1" operator="equal">
      <formula>"Operation"</formula>
    </cfRule>
  </conditionalFormatting>
  <conditionalFormatting sqref="E178">
    <cfRule type="cellIs" dxfId="4275" priority="380" stopIfTrue="1" operator="equal">
      <formula>"N/A"</formula>
    </cfRule>
  </conditionalFormatting>
  <conditionalFormatting sqref="F178">
    <cfRule type="cellIs" dxfId="4274" priority="379" stopIfTrue="1" operator="equal">
      <formula>"Operation"</formula>
    </cfRule>
  </conditionalFormatting>
  <conditionalFormatting sqref="F178">
    <cfRule type="cellIs" dxfId="4273" priority="378" stopIfTrue="1" operator="equal">
      <formula>"N/A"</formula>
    </cfRule>
  </conditionalFormatting>
  <conditionalFormatting sqref="I21:P21 E21:F21">
    <cfRule type="cellIs" dxfId="4272" priority="376" stopIfTrue="1" operator="equal">
      <formula>"Operation"</formula>
    </cfRule>
  </conditionalFormatting>
  <conditionalFormatting sqref="D21">
    <cfRule type="cellIs" dxfId="4271" priority="375" stopIfTrue="1" operator="equal">
      <formula>"Total"</formula>
    </cfRule>
  </conditionalFormatting>
  <conditionalFormatting sqref="E21:F21">
    <cfRule type="cellIs" dxfId="4270" priority="373" stopIfTrue="1" operator="equal">
      <formula>"N/A"</formula>
    </cfRule>
  </conditionalFormatting>
  <conditionalFormatting sqref="I11:J11 L11:N11 L18:N18 I18:J18 I20:J20 L20:N20">
    <cfRule type="cellIs" dxfId="4269" priority="371" stopIfTrue="1" operator="equal">
      <formula>"Operation"</formula>
    </cfRule>
  </conditionalFormatting>
  <conditionalFormatting sqref="K11 K18 K20">
    <cfRule type="cellIs" dxfId="4268" priority="370" stopIfTrue="1" operator="equal">
      <formula>"Operation"</formula>
    </cfRule>
  </conditionalFormatting>
  <conditionalFormatting sqref="G11:H11 G18:H18 G20:H20">
    <cfRule type="cellIs" dxfId="4267" priority="369" stopIfTrue="1" operator="equal">
      <formula>"Operation"</formula>
    </cfRule>
  </conditionalFormatting>
  <conditionalFormatting sqref="H11:P11 H18:P18 H20:P20">
    <cfRule type="cellIs" dxfId="4266" priority="367" stopIfTrue="1" operator="equal">
      <formula>"N/A"</formula>
    </cfRule>
  </conditionalFormatting>
  <conditionalFormatting sqref="O11:P11 O18:P18 O20:P20">
    <cfRule type="cellIs" dxfId="4265" priority="372" stopIfTrue="1" operator="equal">
      <formula>"Operation"</formula>
    </cfRule>
  </conditionalFormatting>
  <conditionalFormatting sqref="D11 D18 D20">
    <cfRule type="cellIs" dxfId="4264" priority="368" stopIfTrue="1" operator="equal">
      <formula>"Total"</formula>
    </cfRule>
  </conditionalFormatting>
  <conditionalFormatting sqref="G21:H21">
    <cfRule type="cellIs" dxfId="4263" priority="366" stopIfTrue="1" operator="equal">
      <formula>"Operation"</formula>
    </cfRule>
  </conditionalFormatting>
  <conditionalFormatting sqref="H21:P21">
    <cfRule type="cellIs" dxfId="4262" priority="365" stopIfTrue="1" operator="equal">
      <formula>"N/A"</formula>
    </cfRule>
  </conditionalFormatting>
  <conditionalFormatting sqref="E11 E18 E20">
    <cfRule type="cellIs" dxfId="4261" priority="364" stopIfTrue="1" operator="equal">
      <formula>"Operation"</formula>
    </cfRule>
  </conditionalFormatting>
  <conditionalFormatting sqref="E11 E18 E20">
    <cfRule type="cellIs" dxfId="4260" priority="363" stopIfTrue="1" operator="equal">
      <formula>"N/A"</formula>
    </cfRule>
  </conditionalFormatting>
  <conditionalFormatting sqref="F11 F18 F20">
    <cfRule type="cellIs" dxfId="4259" priority="362" stopIfTrue="1" operator="equal">
      <formula>"Operation"</formula>
    </cfRule>
  </conditionalFormatting>
  <conditionalFormatting sqref="F11 F18 F20">
    <cfRule type="cellIs" dxfId="4258" priority="361" stopIfTrue="1" operator="equal">
      <formula>"N/A"</formula>
    </cfRule>
  </conditionalFormatting>
  <conditionalFormatting sqref="D11 D18 D20:D21">
    <cfRule type="cellIs" dxfId="4257" priority="360" stopIfTrue="1" operator="equal">
      <formula>"Total"</formula>
    </cfRule>
  </conditionalFormatting>
  <conditionalFormatting sqref="L17:N17 I17:J17">
    <cfRule type="cellIs" dxfId="4256" priority="356" stopIfTrue="1" operator="equal">
      <formula>"Operation"</formula>
    </cfRule>
  </conditionalFormatting>
  <conditionalFormatting sqref="K17">
    <cfRule type="cellIs" dxfId="4255" priority="355" stopIfTrue="1" operator="equal">
      <formula>"Operation"</formula>
    </cfRule>
  </conditionalFormatting>
  <conditionalFormatting sqref="G17:H17">
    <cfRule type="cellIs" dxfId="4254" priority="354" stopIfTrue="1" operator="equal">
      <formula>"Operation"</formula>
    </cfRule>
  </conditionalFormatting>
  <conditionalFormatting sqref="H17:P17">
    <cfRule type="cellIs" dxfId="4253" priority="352" stopIfTrue="1" operator="equal">
      <formula>"N/A"</formula>
    </cfRule>
  </conditionalFormatting>
  <conditionalFormatting sqref="O17:P17">
    <cfRule type="cellIs" dxfId="4252" priority="357" stopIfTrue="1" operator="equal">
      <formula>"Operation"</formula>
    </cfRule>
  </conditionalFormatting>
  <conditionalFormatting sqref="D17">
    <cfRule type="cellIs" dxfId="4251" priority="353" stopIfTrue="1" operator="equal">
      <formula>"Total"</formula>
    </cfRule>
  </conditionalFormatting>
  <conditionalFormatting sqref="E17">
    <cfRule type="cellIs" dxfId="4250" priority="351" stopIfTrue="1" operator="equal">
      <formula>"Operation"</formula>
    </cfRule>
  </conditionalFormatting>
  <conditionalFormatting sqref="E17">
    <cfRule type="cellIs" dxfId="4249" priority="350" stopIfTrue="1" operator="equal">
      <formula>"N/A"</formula>
    </cfRule>
  </conditionalFormatting>
  <conditionalFormatting sqref="F17">
    <cfRule type="cellIs" dxfId="4248" priority="349" stopIfTrue="1" operator="equal">
      <formula>"Operation"</formula>
    </cfRule>
  </conditionalFormatting>
  <conditionalFormatting sqref="F17">
    <cfRule type="cellIs" dxfId="4247" priority="348" stopIfTrue="1" operator="equal">
      <formula>"N/A"</formula>
    </cfRule>
  </conditionalFormatting>
  <conditionalFormatting sqref="D17">
    <cfRule type="cellIs" dxfId="4246" priority="347" stopIfTrue="1" operator="equal">
      <formula>"Total"</formula>
    </cfRule>
  </conditionalFormatting>
  <conditionalFormatting sqref="L19:N19 I19:J19">
    <cfRule type="cellIs" dxfId="4245" priority="343" stopIfTrue="1" operator="equal">
      <formula>"Operation"</formula>
    </cfRule>
  </conditionalFormatting>
  <conditionalFormatting sqref="K19">
    <cfRule type="cellIs" dxfId="4244" priority="342" stopIfTrue="1" operator="equal">
      <formula>"Operation"</formula>
    </cfRule>
  </conditionalFormatting>
  <conditionalFormatting sqref="G19:H19">
    <cfRule type="cellIs" dxfId="4243" priority="341" stopIfTrue="1" operator="equal">
      <formula>"Operation"</formula>
    </cfRule>
  </conditionalFormatting>
  <conditionalFormatting sqref="H19:P19">
    <cfRule type="cellIs" dxfId="4242" priority="339" stopIfTrue="1" operator="equal">
      <formula>"N/A"</formula>
    </cfRule>
  </conditionalFormatting>
  <conditionalFormatting sqref="O19:P19">
    <cfRule type="cellIs" dxfId="4241" priority="344" stopIfTrue="1" operator="equal">
      <formula>"Operation"</formula>
    </cfRule>
  </conditionalFormatting>
  <conditionalFormatting sqref="D19">
    <cfRule type="cellIs" dxfId="4240" priority="340" stopIfTrue="1" operator="equal">
      <formula>"Total"</formula>
    </cfRule>
  </conditionalFormatting>
  <conditionalFormatting sqref="E19">
    <cfRule type="cellIs" dxfId="4239" priority="338" stopIfTrue="1" operator="equal">
      <formula>"Operation"</formula>
    </cfRule>
  </conditionalFormatting>
  <conditionalFormatting sqref="E19">
    <cfRule type="cellIs" dxfId="4238" priority="337" stopIfTrue="1" operator="equal">
      <formula>"N/A"</formula>
    </cfRule>
  </conditionalFormatting>
  <conditionalFormatting sqref="F19">
    <cfRule type="cellIs" dxfId="4237" priority="336" stopIfTrue="1" operator="equal">
      <formula>"Operation"</formula>
    </cfRule>
  </conditionalFormatting>
  <conditionalFormatting sqref="F19">
    <cfRule type="cellIs" dxfId="4236" priority="335" stopIfTrue="1" operator="equal">
      <formula>"N/A"</formula>
    </cfRule>
  </conditionalFormatting>
  <conditionalFormatting sqref="D19">
    <cfRule type="cellIs" dxfId="4235" priority="334" stopIfTrue="1" operator="equal">
      <formula>"Total"</formula>
    </cfRule>
  </conditionalFormatting>
  <conditionalFormatting sqref="E13:P13">
    <cfRule type="cellIs" dxfId="4234" priority="332" stopIfTrue="1" operator="equal">
      <formula>"Operation"</formula>
    </cfRule>
  </conditionalFormatting>
  <conditionalFormatting sqref="D13">
    <cfRule type="cellIs" dxfId="4233" priority="331" stopIfTrue="1" operator="equal">
      <formula>"Total"</formula>
    </cfRule>
  </conditionalFormatting>
  <conditionalFormatting sqref="H13:P13 E13:F13">
    <cfRule type="cellIs" dxfId="4232" priority="329" stopIfTrue="1" operator="equal">
      <formula>"N/A"</formula>
    </cfRule>
  </conditionalFormatting>
  <conditionalFormatting sqref="O12:P12 O14:P14">
    <cfRule type="cellIs" dxfId="4231" priority="323" stopIfTrue="1" operator="equal">
      <formula>"Operation"</formula>
    </cfRule>
  </conditionalFormatting>
  <conditionalFormatting sqref="O12:P12 O14:P14">
    <cfRule type="cellIs" dxfId="4230" priority="322" stopIfTrue="1" operator="equal">
      <formula>"N/A"</formula>
    </cfRule>
  </conditionalFormatting>
  <conditionalFormatting sqref="K16">
    <cfRule type="cellIs" dxfId="4229" priority="308" stopIfTrue="1" operator="equal">
      <formula>"Operation"</formula>
    </cfRule>
  </conditionalFormatting>
  <conditionalFormatting sqref="I16:K16">
    <cfRule type="cellIs" dxfId="4228" priority="307" stopIfTrue="1" operator="equal">
      <formula>"N/A"</formula>
    </cfRule>
  </conditionalFormatting>
  <conditionalFormatting sqref="M16:N16">
    <cfRule type="cellIs" dxfId="4227" priority="314" stopIfTrue="1" operator="equal">
      <formula>"Operation"</formula>
    </cfRule>
  </conditionalFormatting>
  <conditionalFormatting sqref="G12:H12 L12 L14 G14:H14">
    <cfRule type="cellIs" dxfId="4226" priority="325" stopIfTrue="1" operator="equal">
      <formula>"Operation"</formula>
    </cfRule>
  </conditionalFormatting>
  <conditionalFormatting sqref="G12:H12 L12:N12 L14:N14 G14:H14">
    <cfRule type="cellIs" dxfId="4225" priority="324" stopIfTrue="1" operator="equal">
      <formula>"N/A"</formula>
    </cfRule>
  </conditionalFormatting>
  <conditionalFormatting sqref="M12:N12 M14:N14">
    <cfRule type="cellIs" dxfId="4224" priority="326" stopIfTrue="1" operator="equal">
      <formula>"Operation"</formula>
    </cfRule>
  </conditionalFormatting>
  <conditionalFormatting sqref="I12:J12 I14:J14">
    <cfRule type="cellIs" dxfId="4223" priority="321" stopIfTrue="1" operator="equal">
      <formula>"Operation"</formula>
    </cfRule>
  </conditionalFormatting>
  <conditionalFormatting sqref="K12 K14">
    <cfRule type="cellIs" dxfId="4222" priority="320" stopIfTrue="1" operator="equal">
      <formula>"Operation"</formula>
    </cfRule>
  </conditionalFormatting>
  <conditionalFormatting sqref="I12:K12 I14:K14">
    <cfRule type="cellIs" dxfId="4221" priority="319" stopIfTrue="1" operator="equal">
      <formula>"N/A"</formula>
    </cfRule>
  </conditionalFormatting>
  <conditionalFormatting sqref="D12 D14">
    <cfRule type="cellIs" dxfId="4220" priority="318" stopIfTrue="1" operator="equal">
      <formula>"Total"</formula>
    </cfRule>
  </conditionalFormatting>
  <conditionalFormatting sqref="E12 E14">
    <cfRule type="cellIs" dxfId="4219" priority="317" stopIfTrue="1" operator="equal">
      <formula>"Operation"</formula>
    </cfRule>
  </conditionalFormatting>
  <conditionalFormatting sqref="E12 E14">
    <cfRule type="cellIs" dxfId="4218" priority="316" stopIfTrue="1" operator="equal">
      <formula>"N/A"</formula>
    </cfRule>
  </conditionalFormatting>
  <conditionalFormatting sqref="G16:H16 L16">
    <cfRule type="cellIs" dxfId="4217" priority="313" stopIfTrue="1" operator="equal">
      <formula>"Operation"</formula>
    </cfRule>
  </conditionalFormatting>
  <conditionalFormatting sqref="G16:H16 L16:N16">
    <cfRule type="cellIs" dxfId="4216" priority="312" stopIfTrue="1" operator="equal">
      <formula>"N/A"</formula>
    </cfRule>
  </conditionalFormatting>
  <conditionalFormatting sqref="O16:P16">
    <cfRule type="cellIs" dxfId="4215" priority="310" stopIfTrue="1" operator="equal">
      <formula>"N/A"</formula>
    </cfRule>
  </conditionalFormatting>
  <conditionalFormatting sqref="O16:P16">
    <cfRule type="cellIs" dxfId="4214" priority="311" stopIfTrue="1" operator="equal">
      <formula>"Operation"</formula>
    </cfRule>
  </conditionalFormatting>
  <conditionalFormatting sqref="I16:J16">
    <cfRule type="cellIs" dxfId="4213" priority="309" stopIfTrue="1" operator="equal">
      <formula>"Operation"</formula>
    </cfRule>
  </conditionalFormatting>
  <conditionalFormatting sqref="D16">
    <cfRule type="cellIs" dxfId="4212" priority="306" stopIfTrue="1" operator="equal">
      <formula>"Total"</formula>
    </cfRule>
  </conditionalFormatting>
  <conditionalFormatting sqref="E16">
    <cfRule type="cellIs" dxfId="4211" priority="304" stopIfTrue="1" operator="equal">
      <formula>"Operation"</formula>
    </cfRule>
  </conditionalFormatting>
  <conditionalFormatting sqref="E16">
    <cfRule type="cellIs" dxfId="4210" priority="303" stopIfTrue="1" operator="equal">
      <formula>"N/A"</formula>
    </cfRule>
  </conditionalFormatting>
  <conditionalFormatting sqref="F12 F14">
    <cfRule type="cellIs" dxfId="4209" priority="302" stopIfTrue="1" operator="equal">
      <formula>"Operation"</formula>
    </cfRule>
  </conditionalFormatting>
  <conditionalFormatting sqref="F12 F14">
    <cfRule type="cellIs" dxfId="4208" priority="301" stopIfTrue="1" operator="equal">
      <formula>"N/A"</formula>
    </cfRule>
  </conditionalFormatting>
  <conditionalFormatting sqref="F16">
    <cfRule type="cellIs" dxfId="4207" priority="300" stopIfTrue="1" operator="equal">
      <formula>"Operation"</formula>
    </cfRule>
  </conditionalFormatting>
  <conditionalFormatting sqref="F16">
    <cfRule type="cellIs" dxfId="4206" priority="299" stopIfTrue="1" operator="equal">
      <formula>"N/A"</formula>
    </cfRule>
  </conditionalFormatting>
  <conditionalFormatting sqref="D14 D16 D12">
    <cfRule type="cellIs" dxfId="4205" priority="298" stopIfTrue="1" operator="equal">
      <formula>"Total"</formula>
    </cfRule>
  </conditionalFormatting>
  <conditionalFormatting sqref="G15:P15 E15">
    <cfRule type="cellIs" dxfId="4204" priority="296" stopIfTrue="1" operator="equal">
      <formula>"Operation"</formula>
    </cfRule>
  </conditionalFormatting>
  <conditionalFormatting sqref="D15">
    <cfRule type="cellIs" dxfId="4203" priority="295" stopIfTrue="1" operator="equal">
      <formula>"Total"</formula>
    </cfRule>
  </conditionalFormatting>
  <conditionalFormatting sqref="H15:P15 E15">
    <cfRule type="cellIs" dxfId="4202" priority="293" stopIfTrue="1" operator="equal">
      <formula>"N/A"</formula>
    </cfRule>
  </conditionalFormatting>
  <conditionalFormatting sqref="F15">
    <cfRule type="cellIs" dxfId="4201" priority="292" stopIfTrue="1" operator="equal">
      <formula>"Operation"</formula>
    </cfRule>
  </conditionalFormatting>
  <conditionalFormatting sqref="F15">
    <cfRule type="cellIs" dxfId="4200" priority="291" stopIfTrue="1" operator="equal">
      <formula>"N/A"</formula>
    </cfRule>
  </conditionalFormatting>
  <conditionalFormatting sqref="E195:P201">
    <cfRule type="cellIs" dxfId="4199" priority="289" stopIfTrue="1" operator="equal">
      <formula>"Operation"</formula>
    </cfRule>
  </conditionalFormatting>
  <conditionalFormatting sqref="D195:D201">
    <cfRule type="cellIs" dxfId="4198" priority="288" stopIfTrue="1" operator="equal">
      <formula>"Total"</formula>
    </cfRule>
  </conditionalFormatting>
  <conditionalFormatting sqref="E195:F201 H195:P201">
    <cfRule type="cellIs" dxfId="4197" priority="286" stopIfTrue="1" operator="equal">
      <formula>"N/A"</formula>
    </cfRule>
  </conditionalFormatting>
  <conditionalFormatting sqref="H201:P201">
    <cfRule type="cellIs" dxfId="4196" priority="242" stopIfTrue="1" operator="equal">
      <formula>"N/A"</formula>
    </cfRule>
  </conditionalFormatting>
  <conditionalFormatting sqref="E201">
    <cfRule type="cellIs" dxfId="4195" priority="241" stopIfTrue="1" operator="equal">
      <formula>"Operation"</formula>
    </cfRule>
  </conditionalFormatting>
  <conditionalFormatting sqref="G195:H195">
    <cfRule type="cellIs" dxfId="4194" priority="285" stopIfTrue="1" operator="equal">
      <formula>"Operation"</formula>
    </cfRule>
  </conditionalFormatting>
  <conditionalFormatting sqref="D195">
    <cfRule type="cellIs" dxfId="4193" priority="284" stopIfTrue="1" operator="equal">
      <formula>"Total"</formula>
    </cfRule>
  </conditionalFormatting>
  <conditionalFormatting sqref="H195:P195">
    <cfRule type="cellIs" dxfId="4192" priority="282" stopIfTrue="1" operator="equal">
      <formula>"N/A"</formula>
    </cfRule>
  </conditionalFormatting>
  <conditionalFormatting sqref="E195">
    <cfRule type="cellIs" dxfId="4191" priority="281" stopIfTrue="1" operator="equal">
      <formula>"N/A"</formula>
    </cfRule>
  </conditionalFormatting>
  <conditionalFormatting sqref="E196:E197">
    <cfRule type="cellIs" dxfId="4190" priority="260" stopIfTrue="1" operator="equal">
      <formula>"Operation"</formula>
    </cfRule>
  </conditionalFormatting>
  <conditionalFormatting sqref="E196:E197">
    <cfRule type="cellIs" dxfId="4189" priority="259" stopIfTrue="1" operator="equal">
      <formula>"N/A"</formula>
    </cfRule>
  </conditionalFormatting>
  <conditionalFormatting sqref="I199:J199">
    <cfRule type="cellIs" dxfId="4188" priority="279" stopIfTrue="1" operator="equal">
      <formula>"Operation"</formula>
    </cfRule>
  </conditionalFormatting>
  <conditionalFormatting sqref="K199">
    <cfRule type="cellIs" dxfId="4187" priority="278" stopIfTrue="1" operator="equal">
      <formula>"Operation"</formula>
    </cfRule>
  </conditionalFormatting>
  <conditionalFormatting sqref="G199:H199">
    <cfRule type="cellIs" dxfId="4186" priority="277" stopIfTrue="1" operator="equal">
      <formula>"Operation"</formula>
    </cfRule>
  </conditionalFormatting>
  <conditionalFormatting sqref="H199:P199">
    <cfRule type="cellIs" dxfId="4185" priority="274" stopIfTrue="1" operator="equal">
      <formula>"N/A"</formula>
    </cfRule>
  </conditionalFormatting>
  <conditionalFormatting sqref="O199:P199">
    <cfRule type="cellIs" dxfId="4184" priority="280" stopIfTrue="1" operator="equal">
      <formula>"Operation"</formula>
    </cfRule>
  </conditionalFormatting>
  <conditionalFormatting sqref="D199">
    <cfRule type="cellIs" dxfId="4183" priority="276" stopIfTrue="1" operator="equal">
      <formula>"Total"</formula>
    </cfRule>
  </conditionalFormatting>
  <conditionalFormatting sqref="E199">
    <cfRule type="cellIs" dxfId="4182" priority="272" stopIfTrue="1" operator="equal">
      <formula>"Operation"</formula>
    </cfRule>
  </conditionalFormatting>
  <conditionalFormatting sqref="E199">
    <cfRule type="cellIs" dxfId="4181" priority="271" stopIfTrue="1" operator="equal">
      <formula>"N/A"</formula>
    </cfRule>
  </conditionalFormatting>
  <conditionalFormatting sqref="O196:P197">
    <cfRule type="cellIs" dxfId="4180" priority="266" stopIfTrue="1" operator="equal">
      <formula>"Operation"</formula>
    </cfRule>
  </conditionalFormatting>
  <conditionalFormatting sqref="O196:P197">
    <cfRule type="cellIs" dxfId="4179" priority="265" stopIfTrue="1" operator="equal">
      <formula>"N/A"</formula>
    </cfRule>
  </conditionalFormatting>
  <conditionalFormatting sqref="K198">
    <cfRule type="cellIs" dxfId="4178" priority="251" stopIfTrue="1" operator="equal">
      <formula>"Operation"</formula>
    </cfRule>
  </conditionalFormatting>
  <conditionalFormatting sqref="I198:K198">
    <cfRule type="cellIs" dxfId="4177" priority="250" stopIfTrue="1" operator="equal">
      <formula>"N/A"</formula>
    </cfRule>
  </conditionalFormatting>
  <conditionalFormatting sqref="M198:N198">
    <cfRule type="cellIs" dxfId="4176" priority="257" stopIfTrue="1" operator="equal">
      <formula>"Operation"</formula>
    </cfRule>
  </conditionalFormatting>
  <conditionalFormatting sqref="G196:H197 L196:L197">
    <cfRule type="cellIs" dxfId="4175" priority="268" stopIfTrue="1" operator="equal">
      <formula>"Operation"</formula>
    </cfRule>
  </conditionalFormatting>
  <conditionalFormatting sqref="G196:H197 L196:N197">
    <cfRule type="cellIs" dxfId="4174" priority="267" stopIfTrue="1" operator="equal">
      <formula>"N/A"</formula>
    </cfRule>
  </conditionalFormatting>
  <conditionalFormatting sqref="M196:N197">
    <cfRule type="cellIs" dxfId="4173" priority="269" stopIfTrue="1" operator="equal">
      <formula>"Operation"</formula>
    </cfRule>
  </conditionalFormatting>
  <conditionalFormatting sqref="I196:J197">
    <cfRule type="cellIs" dxfId="4172" priority="264" stopIfTrue="1" operator="equal">
      <formula>"Operation"</formula>
    </cfRule>
  </conditionalFormatting>
  <conditionalFormatting sqref="K196:K197">
    <cfRule type="cellIs" dxfId="4171" priority="263" stopIfTrue="1" operator="equal">
      <formula>"Operation"</formula>
    </cfRule>
  </conditionalFormatting>
  <conditionalFormatting sqref="I196:K197">
    <cfRule type="cellIs" dxfId="4170" priority="262" stopIfTrue="1" operator="equal">
      <formula>"N/A"</formula>
    </cfRule>
  </conditionalFormatting>
  <conditionalFormatting sqref="D196:D197">
    <cfRule type="cellIs" dxfId="4169" priority="261" stopIfTrue="1" operator="equal">
      <formula>"Total"</formula>
    </cfRule>
  </conditionalFormatting>
  <conditionalFormatting sqref="G198:H198 L198">
    <cfRule type="cellIs" dxfId="4168" priority="256" stopIfTrue="1" operator="equal">
      <formula>"Operation"</formula>
    </cfRule>
  </conditionalFormatting>
  <conditionalFormatting sqref="G198:H198 L198:N198">
    <cfRule type="cellIs" dxfId="4167" priority="255" stopIfTrue="1" operator="equal">
      <formula>"N/A"</formula>
    </cfRule>
  </conditionalFormatting>
  <conditionalFormatting sqref="O198:P198">
    <cfRule type="cellIs" dxfId="4166" priority="253" stopIfTrue="1" operator="equal">
      <formula>"N/A"</formula>
    </cfRule>
  </conditionalFormatting>
  <conditionalFormatting sqref="O198:P198">
    <cfRule type="cellIs" dxfId="4165" priority="254" stopIfTrue="1" operator="equal">
      <formula>"Operation"</formula>
    </cfRule>
  </conditionalFormatting>
  <conditionalFormatting sqref="I198:J198">
    <cfRule type="cellIs" dxfId="4164" priority="252" stopIfTrue="1" operator="equal">
      <formula>"Operation"</formula>
    </cfRule>
  </conditionalFormatting>
  <conditionalFormatting sqref="D198">
    <cfRule type="cellIs" dxfId="4163" priority="249" stopIfTrue="1" operator="equal">
      <formula>"Total"</formula>
    </cfRule>
  </conditionalFormatting>
  <conditionalFormatting sqref="E198">
    <cfRule type="cellIs" dxfId="4162" priority="247" stopIfTrue="1" operator="equal">
      <formula>"Operation"</formula>
    </cfRule>
  </conditionalFormatting>
  <conditionalFormatting sqref="E198">
    <cfRule type="cellIs" dxfId="4161" priority="246" stopIfTrue="1" operator="equal">
      <formula>"N/A"</formula>
    </cfRule>
  </conditionalFormatting>
  <conditionalFormatting sqref="F196:F197">
    <cfRule type="cellIs" dxfId="4160" priority="236" stopIfTrue="1" operator="equal">
      <formula>"Operation"</formula>
    </cfRule>
  </conditionalFormatting>
  <conditionalFormatting sqref="F201">
    <cfRule type="cellIs" dxfId="4159" priority="232" stopIfTrue="1" operator="equal">
      <formula>"Operation"</formula>
    </cfRule>
  </conditionalFormatting>
  <conditionalFormatting sqref="G201:P201">
    <cfRule type="cellIs" dxfId="4158" priority="245" stopIfTrue="1" operator="equal">
      <formula>"Operation"</formula>
    </cfRule>
  </conditionalFormatting>
  <conditionalFormatting sqref="D201">
    <cfRule type="cellIs" dxfId="4157" priority="244" stopIfTrue="1" operator="equal">
      <formula>"Total"</formula>
    </cfRule>
  </conditionalFormatting>
  <conditionalFormatting sqref="E201">
    <cfRule type="cellIs" dxfId="4156" priority="240" stopIfTrue="1" operator="equal">
      <formula>"N/A"</formula>
    </cfRule>
  </conditionalFormatting>
  <conditionalFormatting sqref="F195">
    <cfRule type="cellIs" dxfId="4155" priority="239" stopIfTrue="1" operator="equal">
      <formula>"N/A"</formula>
    </cfRule>
  </conditionalFormatting>
  <conditionalFormatting sqref="F196:F197">
    <cfRule type="cellIs" dxfId="4154" priority="235" stopIfTrue="1" operator="equal">
      <formula>"N/A"</formula>
    </cfRule>
  </conditionalFormatting>
  <conditionalFormatting sqref="F199">
    <cfRule type="cellIs" dxfId="4153" priority="238" stopIfTrue="1" operator="equal">
      <formula>"Operation"</formula>
    </cfRule>
  </conditionalFormatting>
  <conditionalFormatting sqref="F199">
    <cfRule type="cellIs" dxfId="4152" priority="237" stopIfTrue="1" operator="equal">
      <formula>"N/A"</formula>
    </cfRule>
  </conditionalFormatting>
  <conditionalFormatting sqref="F198">
    <cfRule type="cellIs" dxfId="4151" priority="234" stopIfTrue="1" operator="equal">
      <formula>"Operation"</formula>
    </cfRule>
  </conditionalFormatting>
  <conditionalFormatting sqref="F198">
    <cfRule type="cellIs" dxfId="4150" priority="233" stopIfTrue="1" operator="equal">
      <formula>"N/A"</formula>
    </cfRule>
  </conditionalFormatting>
  <conditionalFormatting sqref="F201">
    <cfRule type="cellIs" dxfId="4149" priority="231" stopIfTrue="1" operator="equal">
      <formula>"N/A"</formula>
    </cfRule>
  </conditionalFormatting>
  <conditionalFormatting sqref="E28:P29 E33:P37">
    <cfRule type="cellIs" dxfId="4148" priority="228" stopIfTrue="1" operator="equal">
      <formula>"Operation"</formula>
    </cfRule>
  </conditionalFormatting>
  <conditionalFormatting sqref="D22:D29 D33:D37">
    <cfRule type="cellIs" dxfId="4147" priority="227" stopIfTrue="1" operator="equal">
      <formula>"Total"</formula>
    </cfRule>
  </conditionalFormatting>
  <conditionalFormatting sqref="H28:P29 H33:P37">
    <cfRule type="cellIs" dxfId="4146" priority="226" stopIfTrue="1" operator="equal">
      <formula>"N/A"</formula>
    </cfRule>
  </conditionalFormatting>
  <conditionalFormatting sqref="L22:N22 I22:J22 I26:J27 L26:N27">
    <cfRule type="cellIs" dxfId="4145" priority="224" stopIfTrue="1" operator="equal">
      <formula>"Operation"</formula>
    </cfRule>
  </conditionalFormatting>
  <conditionalFormatting sqref="K22 K26:K27">
    <cfRule type="cellIs" dxfId="4144" priority="223" stopIfTrue="1" operator="equal">
      <formula>"Operation"</formula>
    </cfRule>
  </conditionalFormatting>
  <conditionalFormatting sqref="G22:H22 G26:H27">
    <cfRule type="cellIs" dxfId="4143" priority="222" stopIfTrue="1" operator="equal">
      <formula>"Operation"</formula>
    </cfRule>
  </conditionalFormatting>
  <conditionalFormatting sqref="H22:P22 H26:P27">
    <cfRule type="cellIs" dxfId="4142" priority="220" stopIfTrue="1" operator="equal">
      <formula>"N/A"</formula>
    </cfRule>
  </conditionalFormatting>
  <conditionalFormatting sqref="O22:P22 O26:P27">
    <cfRule type="cellIs" dxfId="4141" priority="225" stopIfTrue="1" operator="equal">
      <formula>"Operation"</formula>
    </cfRule>
  </conditionalFormatting>
  <conditionalFormatting sqref="D22 D26:D27">
    <cfRule type="cellIs" dxfId="4140" priority="221" stopIfTrue="1" operator="equal">
      <formula>"Total"</formula>
    </cfRule>
  </conditionalFormatting>
  <conditionalFormatting sqref="E22 E26:E27">
    <cfRule type="cellIs" dxfId="4139" priority="218" stopIfTrue="1" operator="equal">
      <formula>"Operation"</formula>
    </cfRule>
  </conditionalFormatting>
  <conditionalFormatting sqref="E28:E29 E33:E37">
    <cfRule type="cellIs" dxfId="4138" priority="219" stopIfTrue="1" operator="equal">
      <formula>"N/A"</formula>
    </cfRule>
  </conditionalFormatting>
  <conditionalFormatting sqref="E22 E26:E27">
    <cfRule type="cellIs" dxfId="4137" priority="217" stopIfTrue="1" operator="equal">
      <formula>"N/A"</formula>
    </cfRule>
  </conditionalFormatting>
  <conditionalFormatting sqref="O23:P24">
    <cfRule type="cellIs" dxfId="4136" priority="213" stopIfTrue="1" operator="equal">
      <formula>"Operation"</formula>
    </cfRule>
  </conditionalFormatting>
  <conditionalFormatting sqref="O23:P24">
    <cfRule type="cellIs" dxfId="4135" priority="212" stopIfTrue="1" operator="equal">
      <formula>"N/A"</formula>
    </cfRule>
  </conditionalFormatting>
  <conditionalFormatting sqref="K25">
    <cfRule type="cellIs" dxfId="4134" priority="199" stopIfTrue="1" operator="equal">
      <formula>"Operation"</formula>
    </cfRule>
  </conditionalFormatting>
  <conditionalFormatting sqref="I25:K25">
    <cfRule type="cellIs" dxfId="4133" priority="198" stopIfTrue="1" operator="equal">
      <formula>"N/A"</formula>
    </cfRule>
  </conditionalFormatting>
  <conditionalFormatting sqref="M25:N25">
    <cfRule type="cellIs" dxfId="4132" priority="205" stopIfTrue="1" operator="equal">
      <formula>"Operation"</formula>
    </cfRule>
  </conditionalFormatting>
  <conditionalFormatting sqref="G23:H24 L23:L24">
    <cfRule type="cellIs" dxfId="4131" priority="215" stopIfTrue="1" operator="equal">
      <formula>"Operation"</formula>
    </cfRule>
  </conditionalFormatting>
  <conditionalFormatting sqref="G23:H24 L23:N24">
    <cfRule type="cellIs" dxfId="4130" priority="214" stopIfTrue="1" operator="equal">
      <formula>"N/A"</formula>
    </cfRule>
  </conditionalFormatting>
  <conditionalFormatting sqref="M23:N24">
    <cfRule type="cellIs" dxfId="4129" priority="216" stopIfTrue="1" operator="equal">
      <formula>"Operation"</formula>
    </cfRule>
  </conditionalFormatting>
  <conditionalFormatting sqref="I23:J24">
    <cfRule type="cellIs" dxfId="4128" priority="211" stopIfTrue="1" operator="equal">
      <formula>"Operation"</formula>
    </cfRule>
  </conditionalFormatting>
  <conditionalFormatting sqref="K23:K24">
    <cfRule type="cellIs" dxfId="4127" priority="210" stopIfTrue="1" operator="equal">
      <formula>"Operation"</formula>
    </cfRule>
  </conditionalFormatting>
  <conditionalFormatting sqref="I23:K24">
    <cfRule type="cellIs" dxfId="4126" priority="209" stopIfTrue="1" operator="equal">
      <formula>"N/A"</formula>
    </cfRule>
  </conditionalFormatting>
  <conditionalFormatting sqref="D23:D24">
    <cfRule type="cellIs" dxfId="4125" priority="208" stopIfTrue="1" operator="equal">
      <formula>"Total"</formula>
    </cfRule>
  </conditionalFormatting>
  <conditionalFormatting sqref="E23:E24">
    <cfRule type="cellIs" dxfId="4124" priority="207" stopIfTrue="1" operator="equal">
      <formula>"Operation"</formula>
    </cfRule>
  </conditionalFormatting>
  <conditionalFormatting sqref="E23:E24">
    <cfRule type="cellIs" dxfId="4123" priority="206" stopIfTrue="1" operator="equal">
      <formula>"N/A"</formula>
    </cfRule>
  </conditionalFormatting>
  <conditionalFormatting sqref="G25:H25 L25">
    <cfRule type="cellIs" dxfId="4122" priority="204" stopIfTrue="1" operator="equal">
      <formula>"Operation"</formula>
    </cfRule>
  </conditionalFormatting>
  <conditionalFormatting sqref="G25:H25 L25:N25">
    <cfRule type="cellIs" dxfId="4121" priority="203" stopIfTrue="1" operator="equal">
      <formula>"N/A"</formula>
    </cfRule>
  </conditionalFormatting>
  <conditionalFormatting sqref="O25:P25">
    <cfRule type="cellIs" dxfId="4120" priority="201" stopIfTrue="1" operator="equal">
      <formula>"N/A"</formula>
    </cfRule>
  </conditionalFormatting>
  <conditionalFormatting sqref="O25:P25">
    <cfRule type="cellIs" dxfId="4119" priority="202" stopIfTrue="1" operator="equal">
      <formula>"Operation"</formula>
    </cfRule>
  </conditionalFormatting>
  <conditionalFormatting sqref="I25:J25">
    <cfRule type="cellIs" dxfId="4118" priority="200" stopIfTrue="1" operator="equal">
      <formula>"Operation"</formula>
    </cfRule>
  </conditionalFormatting>
  <conditionalFormatting sqref="D25">
    <cfRule type="cellIs" dxfId="4117" priority="197" stopIfTrue="1" operator="equal">
      <formula>"Total"</formula>
    </cfRule>
  </conditionalFormatting>
  <conditionalFormatting sqref="E25">
    <cfRule type="cellIs" dxfId="4116" priority="196" stopIfTrue="1" operator="equal">
      <formula>"Operation"</formula>
    </cfRule>
  </conditionalFormatting>
  <conditionalFormatting sqref="E25">
    <cfRule type="cellIs" dxfId="4115" priority="195" stopIfTrue="1" operator="equal">
      <formula>"N/A"</formula>
    </cfRule>
  </conditionalFormatting>
  <conditionalFormatting sqref="F22 F26:F27">
    <cfRule type="cellIs" dxfId="4114" priority="193" stopIfTrue="1" operator="equal">
      <formula>"Operation"</formula>
    </cfRule>
  </conditionalFormatting>
  <conditionalFormatting sqref="F28:F29 F33:F37">
    <cfRule type="cellIs" dxfId="4113" priority="194" stopIfTrue="1" operator="equal">
      <formula>"N/A"</formula>
    </cfRule>
  </conditionalFormatting>
  <conditionalFormatting sqref="F22 F26:F27">
    <cfRule type="cellIs" dxfId="4112" priority="192" stopIfTrue="1" operator="equal">
      <formula>"N/A"</formula>
    </cfRule>
  </conditionalFormatting>
  <conditionalFormatting sqref="F23:F24">
    <cfRule type="cellIs" dxfId="4111" priority="191" stopIfTrue="1" operator="equal">
      <formula>"Operation"</formula>
    </cfRule>
  </conditionalFormatting>
  <conditionalFormatting sqref="F23:F24">
    <cfRule type="cellIs" dxfId="4110" priority="190" stopIfTrue="1" operator="equal">
      <formula>"N/A"</formula>
    </cfRule>
  </conditionalFormatting>
  <conditionalFormatting sqref="F25">
    <cfRule type="cellIs" dxfId="4109" priority="189" stopIfTrue="1" operator="equal">
      <formula>"Operation"</formula>
    </cfRule>
  </conditionalFormatting>
  <conditionalFormatting sqref="F25">
    <cfRule type="cellIs" dxfId="4108" priority="188" stopIfTrue="1" operator="equal">
      <formula>"N/A"</formula>
    </cfRule>
  </conditionalFormatting>
  <conditionalFormatting sqref="D30:D32">
    <cfRule type="cellIs" dxfId="4107" priority="185" stopIfTrue="1" operator="equal">
      <formula>"Total"</formula>
    </cfRule>
  </conditionalFormatting>
  <conditionalFormatting sqref="O30:P31">
    <cfRule type="cellIs" dxfId="4106" priority="181" stopIfTrue="1" operator="equal">
      <formula>"Operation"</formula>
    </cfRule>
  </conditionalFormatting>
  <conditionalFormatting sqref="O30:P31">
    <cfRule type="cellIs" dxfId="4105" priority="180" stopIfTrue="1" operator="equal">
      <formula>"N/A"</formula>
    </cfRule>
  </conditionalFormatting>
  <conditionalFormatting sqref="K32">
    <cfRule type="cellIs" dxfId="4104" priority="167" stopIfTrue="1" operator="equal">
      <formula>"Operation"</formula>
    </cfRule>
  </conditionalFormatting>
  <conditionalFormatting sqref="I32:K32">
    <cfRule type="cellIs" dxfId="4103" priority="166" stopIfTrue="1" operator="equal">
      <formula>"N/A"</formula>
    </cfRule>
  </conditionalFormatting>
  <conditionalFormatting sqref="M32:N32">
    <cfRule type="cellIs" dxfId="4102" priority="173" stopIfTrue="1" operator="equal">
      <formula>"Operation"</formula>
    </cfRule>
  </conditionalFormatting>
  <conditionalFormatting sqref="G30:H31 L30:L31">
    <cfRule type="cellIs" dxfId="4101" priority="183" stopIfTrue="1" operator="equal">
      <formula>"Operation"</formula>
    </cfRule>
  </conditionalFormatting>
  <conditionalFormatting sqref="G30:H31 L30:N31">
    <cfRule type="cellIs" dxfId="4100" priority="182" stopIfTrue="1" operator="equal">
      <formula>"N/A"</formula>
    </cfRule>
  </conditionalFormatting>
  <conditionalFormatting sqref="M30:N31">
    <cfRule type="cellIs" dxfId="4099" priority="184" stopIfTrue="1" operator="equal">
      <formula>"Operation"</formula>
    </cfRule>
  </conditionalFormatting>
  <conditionalFormatting sqref="I30:J31">
    <cfRule type="cellIs" dxfId="4098" priority="179" stopIfTrue="1" operator="equal">
      <formula>"Operation"</formula>
    </cfRule>
  </conditionalFormatting>
  <conditionalFormatting sqref="K30:K31">
    <cfRule type="cellIs" dxfId="4097" priority="178" stopIfTrue="1" operator="equal">
      <formula>"Operation"</formula>
    </cfRule>
  </conditionalFormatting>
  <conditionalFormatting sqref="I30:K31">
    <cfRule type="cellIs" dxfId="4096" priority="177" stopIfTrue="1" operator="equal">
      <formula>"N/A"</formula>
    </cfRule>
  </conditionalFormatting>
  <conditionalFormatting sqref="D30:D31">
    <cfRule type="cellIs" dxfId="4095" priority="176" stopIfTrue="1" operator="equal">
      <formula>"Total"</formula>
    </cfRule>
  </conditionalFormatting>
  <conditionalFormatting sqref="E30:E31">
    <cfRule type="cellIs" dxfId="4094" priority="175" stopIfTrue="1" operator="equal">
      <formula>"Operation"</formula>
    </cfRule>
  </conditionalFormatting>
  <conditionalFormatting sqref="E30:E31">
    <cfRule type="cellIs" dxfId="4093" priority="174" stopIfTrue="1" operator="equal">
      <formula>"N/A"</formula>
    </cfRule>
  </conditionalFormatting>
  <conditionalFormatting sqref="G32:H32 L32">
    <cfRule type="cellIs" dxfId="4092" priority="172" stopIfTrue="1" operator="equal">
      <formula>"Operation"</formula>
    </cfRule>
  </conditionalFormatting>
  <conditionalFormatting sqref="G32:H32 L32:N32">
    <cfRule type="cellIs" dxfId="4091" priority="171" stopIfTrue="1" operator="equal">
      <formula>"N/A"</formula>
    </cfRule>
  </conditionalFormatting>
  <conditionalFormatting sqref="O32:P32">
    <cfRule type="cellIs" dxfId="4090" priority="169" stopIfTrue="1" operator="equal">
      <formula>"N/A"</formula>
    </cfRule>
  </conditionalFormatting>
  <conditionalFormatting sqref="O32:P32">
    <cfRule type="cellIs" dxfId="4089" priority="170" stopIfTrue="1" operator="equal">
      <formula>"Operation"</formula>
    </cfRule>
  </conditionalFormatting>
  <conditionalFormatting sqref="I32:J32">
    <cfRule type="cellIs" dxfId="4088" priority="168" stopIfTrue="1" operator="equal">
      <formula>"Operation"</formula>
    </cfRule>
  </conditionalFormatting>
  <conditionalFormatting sqref="D32">
    <cfRule type="cellIs" dxfId="4087" priority="165" stopIfTrue="1" operator="equal">
      <formula>"Total"</formula>
    </cfRule>
  </conditionalFormatting>
  <conditionalFormatting sqref="E32">
    <cfRule type="cellIs" dxfId="4086" priority="164" stopIfTrue="1" operator="equal">
      <formula>"Operation"</formula>
    </cfRule>
  </conditionalFormatting>
  <conditionalFormatting sqref="E32">
    <cfRule type="cellIs" dxfId="4085" priority="163" stopIfTrue="1" operator="equal">
      <formula>"N/A"</formula>
    </cfRule>
  </conditionalFormatting>
  <conditionalFormatting sqref="F30:F31">
    <cfRule type="cellIs" dxfId="4084" priority="162" stopIfTrue="1" operator="equal">
      <formula>"Operation"</formula>
    </cfRule>
  </conditionalFormatting>
  <conditionalFormatting sqref="F30:F31">
    <cfRule type="cellIs" dxfId="4083" priority="161" stopIfTrue="1" operator="equal">
      <formula>"N/A"</formula>
    </cfRule>
  </conditionalFormatting>
  <conditionalFormatting sqref="F32">
    <cfRule type="cellIs" dxfId="4082" priority="160" stopIfTrue="1" operator="equal">
      <formula>"Operation"</formula>
    </cfRule>
  </conditionalFormatting>
  <conditionalFormatting sqref="F32">
    <cfRule type="cellIs" dxfId="4081" priority="159" stopIfTrue="1" operator="equal">
      <formula>"N/A"</formula>
    </cfRule>
  </conditionalFormatting>
  <conditionalFormatting sqref="I47:P47 I45:K46 G45:G46 O45:O46 P39:P46 H44:H46 L39:N46 E39:F47">
    <cfRule type="cellIs" dxfId="4080" priority="158" stopIfTrue="1" operator="equal">
      <formula>"Operation"</formula>
    </cfRule>
  </conditionalFormatting>
  <conditionalFormatting sqref="D38:D47">
    <cfRule type="cellIs" dxfId="4079" priority="157" stopIfTrue="1" operator="equal">
      <formula>"Total"</formula>
    </cfRule>
  </conditionalFormatting>
  <conditionalFormatting sqref="I45:K46 O45:O46 P39:P47 H44:H46 L39:N46 E39:F47">
    <cfRule type="cellIs" dxfId="4078" priority="155" stopIfTrue="1" operator="equal">
      <formula>"N/A"</formula>
    </cfRule>
  </conditionalFormatting>
  <conditionalFormatting sqref="P38">
    <cfRule type="cellIs" dxfId="4077" priority="152" stopIfTrue="1" operator="equal">
      <formula>"N/A"</formula>
    </cfRule>
  </conditionalFormatting>
  <conditionalFormatting sqref="P38">
    <cfRule type="cellIs" dxfId="4076" priority="153" stopIfTrue="1" operator="equal">
      <formula>"Operation"</formula>
    </cfRule>
  </conditionalFormatting>
  <conditionalFormatting sqref="L38:N38 I38:J38">
    <cfRule type="cellIs" dxfId="4075" priority="150" stopIfTrue="1" operator="equal">
      <formula>"Operation"</formula>
    </cfRule>
  </conditionalFormatting>
  <conditionalFormatting sqref="K38">
    <cfRule type="cellIs" dxfId="4074" priority="149" stopIfTrue="1" operator="equal">
      <formula>"Operation"</formula>
    </cfRule>
  </conditionalFormatting>
  <conditionalFormatting sqref="G38:H38">
    <cfRule type="cellIs" dxfId="4073" priority="148" stopIfTrue="1" operator="equal">
      <formula>"Operation"</formula>
    </cfRule>
  </conditionalFormatting>
  <conditionalFormatting sqref="H38:O38">
    <cfRule type="cellIs" dxfId="4072" priority="145" stopIfTrue="1" operator="equal">
      <formula>"N/A"</formula>
    </cfRule>
  </conditionalFormatting>
  <conditionalFormatting sqref="O38">
    <cfRule type="cellIs" dxfId="4071" priority="151" stopIfTrue="1" operator="equal">
      <formula>"Operation"</formula>
    </cfRule>
  </conditionalFormatting>
  <conditionalFormatting sqref="D38">
    <cfRule type="cellIs" dxfId="4070" priority="147" stopIfTrue="1" operator="equal">
      <formula>"Total"</formula>
    </cfRule>
  </conditionalFormatting>
  <conditionalFormatting sqref="G47:H47">
    <cfRule type="cellIs" dxfId="4069" priority="144" stopIfTrue="1" operator="equal">
      <formula>"Operation"</formula>
    </cfRule>
  </conditionalFormatting>
  <conditionalFormatting sqref="H47:O47">
    <cfRule type="cellIs" dxfId="4068" priority="143" stopIfTrue="1" operator="equal">
      <formula>"N/A"</formula>
    </cfRule>
  </conditionalFormatting>
  <conditionalFormatting sqref="E38">
    <cfRule type="cellIs" dxfId="4067" priority="142" stopIfTrue="1" operator="equal">
      <formula>"Operation"</formula>
    </cfRule>
  </conditionalFormatting>
  <conditionalFormatting sqref="E38">
    <cfRule type="cellIs" dxfId="4066" priority="141" stopIfTrue="1" operator="equal">
      <formula>"N/A"</formula>
    </cfRule>
  </conditionalFormatting>
  <conditionalFormatting sqref="O39:O43">
    <cfRule type="cellIs" dxfId="4065" priority="137" stopIfTrue="1" operator="equal">
      <formula>"Operation"</formula>
    </cfRule>
  </conditionalFormatting>
  <conditionalFormatting sqref="O39:O43">
    <cfRule type="cellIs" dxfId="4064" priority="136" stopIfTrue="1" operator="equal">
      <formula>"N/A"</formula>
    </cfRule>
  </conditionalFormatting>
  <conditionalFormatting sqref="K44">
    <cfRule type="cellIs" dxfId="4063" priority="126" stopIfTrue="1" operator="equal">
      <formula>"Operation"</formula>
    </cfRule>
  </conditionalFormatting>
  <conditionalFormatting sqref="I44:K44">
    <cfRule type="cellIs" dxfId="4062" priority="125" stopIfTrue="1" operator="equal">
      <formula>"N/A"</formula>
    </cfRule>
  </conditionalFormatting>
  <conditionalFormatting sqref="G39:H43">
    <cfRule type="cellIs" dxfId="4061" priority="139" stopIfTrue="1" operator="equal">
      <formula>"Operation"</formula>
    </cfRule>
  </conditionalFormatting>
  <conditionalFormatting sqref="G39:H43">
    <cfRule type="cellIs" dxfId="4060" priority="138" stopIfTrue="1" operator="equal">
      <formula>"N/A"</formula>
    </cfRule>
  </conditionalFormatting>
  <conditionalFormatting sqref="I39:J43">
    <cfRule type="cellIs" dxfId="4059" priority="135" stopIfTrue="1" operator="equal">
      <formula>"Operation"</formula>
    </cfRule>
  </conditionalFormatting>
  <conditionalFormatting sqref="K39:K43">
    <cfRule type="cellIs" dxfId="4058" priority="134" stopIfTrue="1" operator="equal">
      <formula>"Operation"</formula>
    </cfRule>
  </conditionalFormatting>
  <conditionalFormatting sqref="I39:K43">
    <cfRule type="cellIs" dxfId="4057" priority="133" stopIfTrue="1" operator="equal">
      <formula>"N/A"</formula>
    </cfRule>
  </conditionalFormatting>
  <conditionalFormatting sqref="D39:D43">
    <cfRule type="cellIs" dxfId="4056" priority="132" stopIfTrue="1" operator="equal">
      <formula>"Total"</formula>
    </cfRule>
  </conditionalFormatting>
  <conditionalFormatting sqref="G44">
    <cfRule type="cellIs" dxfId="4055" priority="131" stopIfTrue="1" operator="equal">
      <formula>"Operation"</formula>
    </cfRule>
  </conditionalFormatting>
  <conditionalFormatting sqref="G44">
    <cfRule type="cellIs" dxfId="4054" priority="130" stopIfTrue="1" operator="equal">
      <formula>"N/A"</formula>
    </cfRule>
  </conditionalFormatting>
  <conditionalFormatting sqref="O44">
    <cfRule type="cellIs" dxfId="4053" priority="128" stopIfTrue="1" operator="equal">
      <formula>"N/A"</formula>
    </cfRule>
  </conditionalFormatting>
  <conditionalFormatting sqref="O44">
    <cfRule type="cellIs" dxfId="4052" priority="129" stopIfTrue="1" operator="equal">
      <formula>"Operation"</formula>
    </cfRule>
  </conditionalFormatting>
  <conditionalFormatting sqref="I44:J44">
    <cfRule type="cellIs" dxfId="4051" priority="127" stopIfTrue="1" operator="equal">
      <formula>"Operation"</formula>
    </cfRule>
  </conditionalFormatting>
  <conditionalFormatting sqref="D44">
    <cfRule type="cellIs" dxfId="4050" priority="124" stopIfTrue="1" operator="equal">
      <formula>"Total"</formula>
    </cfRule>
  </conditionalFormatting>
  <conditionalFormatting sqref="F38">
    <cfRule type="cellIs" dxfId="4049" priority="123" stopIfTrue="1" operator="equal">
      <formula>"Operation"</formula>
    </cfRule>
  </conditionalFormatting>
  <conditionalFormatting sqref="F38">
    <cfRule type="cellIs" dxfId="4048" priority="122" stopIfTrue="1" operator="equal">
      <formula>"N/A"</formula>
    </cfRule>
  </conditionalFormatting>
  <conditionalFormatting sqref="E202:P208">
    <cfRule type="cellIs" dxfId="4047" priority="120" stopIfTrue="1" operator="equal">
      <formula>"Operation"</formula>
    </cfRule>
  </conditionalFormatting>
  <conditionalFormatting sqref="D202:D208">
    <cfRule type="cellIs" dxfId="4046" priority="119" stopIfTrue="1" operator="equal">
      <formula>"Total"</formula>
    </cfRule>
  </conditionalFormatting>
  <conditionalFormatting sqref="E202:F208 H202:P208">
    <cfRule type="cellIs" dxfId="4045" priority="117" stopIfTrue="1" operator="equal">
      <formula>"N/A"</formula>
    </cfRule>
  </conditionalFormatting>
  <conditionalFormatting sqref="H208:P208">
    <cfRule type="cellIs" dxfId="4044" priority="73" stopIfTrue="1" operator="equal">
      <formula>"N/A"</formula>
    </cfRule>
  </conditionalFormatting>
  <conditionalFormatting sqref="E208">
    <cfRule type="cellIs" dxfId="4043" priority="72" stopIfTrue="1" operator="equal">
      <formula>"Operation"</formula>
    </cfRule>
  </conditionalFormatting>
  <conditionalFormatting sqref="G202:H202">
    <cfRule type="cellIs" dxfId="4042" priority="116" stopIfTrue="1" operator="equal">
      <formula>"Operation"</formula>
    </cfRule>
  </conditionalFormatting>
  <conditionalFormatting sqref="D202">
    <cfRule type="cellIs" dxfId="4041" priority="115" stopIfTrue="1" operator="equal">
      <formula>"Total"</formula>
    </cfRule>
  </conditionalFormatting>
  <conditionalFormatting sqref="H202:P202">
    <cfRule type="cellIs" dxfId="4040" priority="113" stopIfTrue="1" operator="equal">
      <formula>"N/A"</formula>
    </cfRule>
  </conditionalFormatting>
  <conditionalFormatting sqref="E202">
    <cfRule type="cellIs" dxfId="4039" priority="112" stopIfTrue="1" operator="equal">
      <formula>"N/A"</formula>
    </cfRule>
  </conditionalFormatting>
  <conditionalFormatting sqref="E203:E204">
    <cfRule type="cellIs" dxfId="4038" priority="91" stopIfTrue="1" operator="equal">
      <formula>"Operation"</formula>
    </cfRule>
  </conditionalFormatting>
  <conditionalFormatting sqref="E203:E204">
    <cfRule type="cellIs" dxfId="4037" priority="90" stopIfTrue="1" operator="equal">
      <formula>"N/A"</formula>
    </cfRule>
  </conditionalFormatting>
  <conditionalFormatting sqref="I206:J206">
    <cfRule type="cellIs" dxfId="4036" priority="110" stopIfTrue="1" operator="equal">
      <formula>"Operation"</formula>
    </cfRule>
  </conditionalFormatting>
  <conditionalFormatting sqref="K206">
    <cfRule type="cellIs" dxfId="4035" priority="109" stopIfTrue="1" operator="equal">
      <formula>"Operation"</formula>
    </cfRule>
  </conditionalFormatting>
  <conditionalFormatting sqref="G206:H206">
    <cfRule type="cellIs" dxfId="4034" priority="108" stopIfTrue="1" operator="equal">
      <formula>"Operation"</formula>
    </cfRule>
  </conditionalFormatting>
  <conditionalFormatting sqref="H206:P206">
    <cfRule type="cellIs" dxfId="4033" priority="105" stopIfTrue="1" operator="equal">
      <formula>"N/A"</formula>
    </cfRule>
  </conditionalFormatting>
  <conditionalFormatting sqref="O206:P206">
    <cfRule type="cellIs" dxfId="4032" priority="111" stopIfTrue="1" operator="equal">
      <formula>"Operation"</formula>
    </cfRule>
  </conditionalFormatting>
  <conditionalFormatting sqref="D206">
    <cfRule type="cellIs" dxfId="4031" priority="107" stopIfTrue="1" operator="equal">
      <formula>"Total"</formula>
    </cfRule>
  </conditionalFormatting>
  <conditionalFormatting sqref="E206">
    <cfRule type="cellIs" dxfId="4030" priority="103" stopIfTrue="1" operator="equal">
      <formula>"Operation"</formula>
    </cfRule>
  </conditionalFormatting>
  <conditionalFormatting sqref="E206">
    <cfRule type="cellIs" dxfId="4029" priority="102" stopIfTrue="1" operator="equal">
      <formula>"N/A"</formula>
    </cfRule>
  </conditionalFormatting>
  <conditionalFormatting sqref="O203:P204">
    <cfRule type="cellIs" dxfId="4028" priority="97" stopIfTrue="1" operator="equal">
      <formula>"Operation"</formula>
    </cfRule>
  </conditionalFormatting>
  <conditionalFormatting sqref="O203:P204">
    <cfRule type="cellIs" dxfId="4027" priority="96" stopIfTrue="1" operator="equal">
      <formula>"N/A"</formula>
    </cfRule>
  </conditionalFormatting>
  <conditionalFormatting sqref="K205">
    <cfRule type="cellIs" dxfId="4026" priority="82" stopIfTrue="1" operator="equal">
      <formula>"Operation"</formula>
    </cfRule>
  </conditionalFormatting>
  <conditionalFormatting sqref="I205:K205">
    <cfRule type="cellIs" dxfId="4025" priority="81" stopIfTrue="1" operator="equal">
      <formula>"N/A"</formula>
    </cfRule>
  </conditionalFormatting>
  <conditionalFormatting sqref="M205:N205">
    <cfRule type="cellIs" dxfId="4024" priority="88" stopIfTrue="1" operator="equal">
      <formula>"Operation"</formula>
    </cfRule>
  </conditionalFormatting>
  <conditionalFormatting sqref="G203:H204 L203:L204">
    <cfRule type="cellIs" dxfId="4023" priority="99" stopIfTrue="1" operator="equal">
      <formula>"Operation"</formula>
    </cfRule>
  </conditionalFormatting>
  <conditionalFormatting sqref="G203:H204 L203:N204">
    <cfRule type="cellIs" dxfId="4022" priority="98" stopIfTrue="1" operator="equal">
      <formula>"N/A"</formula>
    </cfRule>
  </conditionalFormatting>
  <conditionalFormatting sqref="M203:N204">
    <cfRule type="cellIs" dxfId="4021" priority="100" stopIfTrue="1" operator="equal">
      <formula>"Operation"</formula>
    </cfRule>
  </conditionalFormatting>
  <conditionalFormatting sqref="I203:J204">
    <cfRule type="cellIs" dxfId="4020" priority="95" stopIfTrue="1" operator="equal">
      <formula>"Operation"</formula>
    </cfRule>
  </conditionalFormatting>
  <conditionalFormatting sqref="K203:K204">
    <cfRule type="cellIs" dxfId="4019" priority="94" stopIfTrue="1" operator="equal">
      <formula>"Operation"</formula>
    </cfRule>
  </conditionalFormatting>
  <conditionalFormatting sqref="I203:K204">
    <cfRule type="cellIs" dxfId="4018" priority="93" stopIfTrue="1" operator="equal">
      <formula>"N/A"</formula>
    </cfRule>
  </conditionalFormatting>
  <conditionalFormatting sqref="D203:D204">
    <cfRule type="cellIs" dxfId="4017" priority="92" stopIfTrue="1" operator="equal">
      <formula>"Total"</formula>
    </cfRule>
  </conditionalFormatting>
  <conditionalFormatting sqref="G205:H205 L205">
    <cfRule type="cellIs" dxfId="4016" priority="87" stopIfTrue="1" operator="equal">
      <formula>"Operation"</formula>
    </cfRule>
  </conditionalFormatting>
  <conditionalFormatting sqref="G205:H205 L205:N205">
    <cfRule type="cellIs" dxfId="4015" priority="86" stopIfTrue="1" operator="equal">
      <formula>"N/A"</formula>
    </cfRule>
  </conditionalFormatting>
  <conditionalFormatting sqref="O205:P205">
    <cfRule type="cellIs" dxfId="4014" priority="84" stopIfTrue="1" operator="equal">
      <formula>"N/A"</formula>
    </cfRule>
  </conditionalFormatting>
  <conditionalFormatting sqref="O205:P205">
    <cfRule type="cellIs" dxfId="4013" priority="85" stopIfTrue="1" operator="equal">
      <formula>"Operation"</formula>
    </cfRule>
  </conditionalFormatting>
  <conditionalFormatting sqref="I205:J205">
    <cfRule type="cellIs" dxfId="4012" priority="83" stopIfTrue="1" operator="equal">
      <formula>"Operation"</formula>
    </cfRule>
  </conditionalFormatting>
  <conditionalFormatting sqref="D205">
    <cfRule type="cellIs" dxfId="4011" priority="80" stopIfTrue="1" operator="equal">
      <formula>"Total"</formula>
    </cfRule>
  </conditionalFormatting>
  <conditionalFormatting sqref="E205">
    <cfRule type="cellIs" dxfId="4010" priority="78" stopIfTrue="1" operator="equal">
      <formula>"Operation"</formula>
    </cfRule>
  </conditionalFormatting>
  <conditionalFormatting sqref="E205">
    <cfRule type="cellIs" dxfId="4009" priority="77" stopIfTrue="1" operator="equal">
      <formula>"N/A"</formula>
    </cfRule>
  </conditionalFormatting>
  <conditionalFormatting sqref="F203:F204">
    <cfRule type="cellIs" dxfId="4008" priority="67" stopIfTrue="1" operator="equal">
      <formula>"Operation"</formula>
    </cfRule>
  </conditionalFormatting>
  <conditionalFormatting sqref="F208">
    <cfRule type="cellIs" dxfId="4007" priority="63" stopIfTrue="1" operator="equal">
      <formula>"Operation"</formula>
    </cfRule>
  </conditionalFormatting>
  <conditionalFormatting sqref="G208:P208">
    <cfRule type="cellIs" dxfId="4006" priority="76" stopIfTrue="1" operator="equal">
      <formula>"Operation"</formula>
    </cfRule>
  </conditionalFormatting>
  <conditionalFormatting sqref="D208">
    <cfRule type="cellIs" dxfId="4005" priority="75" stopIfTrue="1" operator="equal">
      <formula>"Total"</formula>
    </cfRule>
  </conditionalFormatting>
  <conditionalFormatting sqref="E208">
    <cfRule type="cellIs" dxfId="4004" priority="71" stopIfTrue="1" operator="equal">
      <formula>"N/A"</formula>
    </cfRule>
  </conditionalFormatting>
  <conditionalFormatting sqref="F202">
    <cfRule type="cellIs" dxfId="4003" priority="70" stopIfTrue="1" operator="equal">
      <formula>"N/A"</formula>
    </cfRule>
  </conditionalFormatting>
  <conditionalFormatting sqref="F203:F204">
    <cfRule type="cellIs" dxfId="4002" priority="66" stopIfTrue="1" operator="equal">
      <formula>"N/A"</formula>
    </cfRule>
  </conditionalFormatting>
  <conditionalFormatting sqref="F206">
    <cfRule type="cellIs" dxfId="4001" priority="69" stopIfTrue="1" operator="equal">
      <formula>"Operation"</formula>
    </cfRule>
  </conditionalFormatting>
  <conditionalFormatting sqref="F206">
    <cfRule type="cellIs" dxfId="4000" priority="68" stopIfTrue="1" operator="equal">
      <formula>"N/A"</formula>
    </cfRule>
  </conditionalFormatting>
  <conditionalFormatting sqref="F205">
    <cfRule type="cellIs" dxfId="3999" priority="65" stopIfTrue="1" operator="equal">
      <formula>"Operation"</formula>
    </cfRule>
  </conditionalFormatting>
  <conditionalFormatting sqref="F205">
    <cfRule type="cellIs" dxfId="3998" priority="64" stopIfTrue="1" operator="equal">
      <formula>"N/A"</formula>
    </cfRule>
  </conditionalFormatting>
  <conditionalFormatting sqref="F208">
    <cfRule type="cellIs" dxfId="3997" priority="62" stopIfTrue="1" operator="equal">
      <formula>"N/A"</formula>
    </cfRule>
  </conditionalFormatting>
  <conditionalFormatting sqref="E209:P215">
    <cfRule type="cellIs" dxfId="3996" priority="60" stopIfTrue="1" operator="equal">
      <formula>"Operation"</formula>
    </cfRule>
  </conditionalFormatting>
  <conditionalFormatting sqref="D209:D215">
    <cfRule type="cellIs" dxfId="3995" priority="59" stopIfTrue="1" operator="equal">
      <formula>"Total"</formula>
    </cfRule>
  </conditionalFormatting>
  <conditionalFormatting sqref="E209:F215 H209:P215">
    <cfRule type="cellIs" dxfId="3994" priority="57" stopIfTrue="1" operator="equal">
      <formula>"N/A"</formula>
    </cfRule>
  </conditionalFormatting>
  <conditionalFormatting sqref="H215:P215">
    <cfRule type="cellIs" dxfId="3993" priority="13" stopIfTrue="1" operator="equal">
      <formula>"N/A"</formula>
    </cfRule>
  </conditionalFormatting>
  <conditionalFormatting sqref="E215">
    <cfRule type="cellIs" dxfId="3992" priority="12" stopIfTrue="1" operator="equal">
      <formula>"Operation"</formula>
    </cfRule>
  </conditionalFormatting>
  <conditionalFormatting sqref="G209:H209">
    <cfRule type="cellIs" dxfId="3991" priority="56" stopIfTrue="1" operator="equal">
      <formula>"Operation"</formula>
    </cfRule>
  </conditionalFormatting>
  <conditionalFormatting sqref="D209">
    <cfRule type="cellIs" dxfId="3990" priority="55" stopIfTrue="1" operator="equal">
      <formula>"Total"</formula>
    </cfRule>
  </conditionalFormatting>
  <conditionalFormatting sqref="H209:P209">
    <cfRule type="cellIs" dxfId="3989" priority="53" stopIfTrue="1" operator="equal">
      <formula>"N/A"</formula>
    </cfRule>
  </conditionalFormatting>
  <conditionalFormatting sqref="E209">
    <cfRule type="cellIs" dxfId="3988" priority="52" stopIfTrue="1" operator="equal">
      <formula>"N/A"</formula>
    </cfRule>
  </conditionalFormatting>
  <conditionalFormatting sqref="E210:E211">
    <cfRule type="cellIs" dxfId="3987" priority="31" stopIfTrue="1" operator="equal">
      <formula>"Operation"</formula>
    </cfRule>
  </conditionalFormatting>
  <conditionalFormatting sqref="E210:E211">
    <cfRule type="cellIs" dxfId="3986" priority="30" stopIfTrue="1" operator="equal">
      <formula>"N/A"</formula>
    </cfRule>
  </conditionalFormatting>
  <conditionalFormatting sqref="I213:J213">
    <cfRule type="cellIs" dxfId="3985" priority="50" stopIfTrue="1" operator="equal">
      <formula>"Operation"</formula>
    </cfRule>
  </conditionalFormatting>
  <conditionalFormatting sqref="K213">
    <cfRule type="cellIs" dxfId="3984" priority="49" stopIfTrue="1" operator="equal">
      <formula>"Operation"</formula>
    </cfRule>
  </conditionalFormatting>
  <conditionalFormatting sqref="G213:H213">
    <cfRule type="cellIs" dxfId="3983" priority="48" stopIfTrue="1" operator="equal">
      <formula>"Operation"</formula>
    </cfRule>
  </conditionalFormatting>
  <conditionalFormatting sqref="H213:P213">
    <cfRule type="cellIs" dxfId="3982" priority="45" stopIfTrue="1" operator="equal">
      <formula>"N/A"</formula>
    </cfRule>
  </conditionalFormatting>
  <conditionalFormatting sqref="O213:P213">
    <cfRule type="cellIs" dxfId="3981" priority="51" stopIfTrue="1" operator="equal">
      <formula>"Operation"</formula>
    </cfRule>
  </conditionalFormatting>
  <conditionalFormatting sqref="D213">
    <cfRule type="cellIs" dxfId="3980" priority="47" stopIfTrue="1" operator="equal">
      <formula>"Total"</formula>
    </cfRule>
  </conditionalFormatting>
  <conditionalFormatting sqref="E213">
    <cfRule type="cellIs" dxfId="3979" priority="43" stopIfTrue="1" operator="equal">
      <formula>"Operation"</formula>
    </cfRule>
  </conditionalFormatting>
  <conditionalFormatting sqref="E213">
    <cfRule type="cellIs" dxfId="3978" priority="42" stopIfTrue="1" operator="equal">
      <formula>"N/A"</formula>
    </cfRule>
  </conditionalFormatting>
  <conditionalFormatting sqref="O210:P211">
    <cfRule type="cellIs" dxfId="3977" priority="37" stopIfTrue="1" operator="equal">
      <formula>"Operation"</formula>
    </cfRule>
  </conditionalFormatting>
  <conditionalFormatting sqref="O210:P211">
    <cfRule type="cellIs" dxfId="3976" priority="36" stopIfTrue="1" operator="equal">
      <formula>"N/A"</formula>
    </cfRule>
  </conditionalFormatting>
  <conditionalFormatting sqref="K212">
    <cfRule type="cellIs" dxfId="3975" priority="22" stopIfTrue="1" operator="equal">
      <formula>"Operation"</formula>
    </cfRule>
  </conditionalFormatting>
  <conditionalFormatting sqref="I212:K212">
    <cfRule type="cellIs" dxfId="3974" priority="21" stopIfTrue="1" operator="equal">
      <formula>"N/A"</formula>
    </cfRule>
  </conditionalFormatting>
  <conditionalFormatting sqref="M212:N212">
    <cfRule type="cellIs" dxfId="3973" priority="28" stopIfTrue="1" operator="equal">
      <formula>"Operation"</formula>
    </cfRule>
  </conditionalFormatting>
  <conditionalFormatting sqref="G210:H211 L210:L211">
    <cfRule type="cellIs" dxfId="3972" priority="39" stopIfTrue="1" operator="equal">
      <formula>"Operation"</formula>
    </cfRule>
  </conditionalFormatting>
  <conditionalFormatting sqref="G210:H211 L210:N211">
    <cfRule type="cellIs" dxfId="3971" priority="38" stopIfTrue="1" operator="equal">
      <formula>"N/A"</formula>
    </cfRule>
  </conditionalFormatting>
  <conditionalFormatting sqref="M210:N211">
    <cfRule type="cellIs" dxfId="3970" priority="40" stopIfTrue="1" operator="equal">
      <formula>"Operation"</formula>
    </cfRule>
  </conditionalFormatting>
  <conditionalFormatting sqref="I210:J211">
    <cfRule type="cellIs" dxfId="3969" priority="35" stopIfTrue="1" operator="equal">
      <formula>"Operation"</formula>
    </cfRule>
  </conditionalFormatting>
  <conditionalFormatting sqref="K210:K211">
    <cfRule type="cellIs" dxfId="3968" priority="34" stopIfTrue="1" operator="equal">
      <formula>"Operation"</formula>
    </cfRule>
  </conditionalFormatting>
  <conditionalFormatting sqref="I210:K211">
    <cfRule type="cellIs" dxfId="3967" priority="33" stopIfTrue="1" operator="equal">
      <formula>"N/A"</formula>
    </cfRule>
  </conditionalFormatting>
  <conditionalFormatting sqref="D210:D211">
    <cfRule type="cellIs" dxfId="3966" priority="32" stopIfTrue="1" operator="equal">
      <formula>"Total"</formula>
    </cfRule>
  </conditionalFormatting>
  <conditionalFormatting sqref="G212:H212 L212">
    <cfRule type="cellIs" dxfId="3965" priority="27" stopIfTrue="1" operator="equal">
      <formula>"Operation"</formula>
    </cfRule>
  </conditionalFormatting>
  <conditionalFormatting sqref="G212:H212 L212:N212">
    <cfRule type="cellIs" dxfId="3964" priority="26" stopIfTrue="1" operator="equal">
      <formula>"N/A"</formula>
    </cfRule>
  </conditionalFormatting>
  <conditionalFormatting sqref="O212:P212">
    <cfRule type="cellIs" dxfId="3963" priority="24" stopIfTrue="1" operator="equal">
      <formula>"N/A"</formula>
    </cfRule>
  </conditionalFormatting>
  <conditionalFormatting sqref="O212:P212">
    <cfRule type="cellIs" dxfId="3962" priority="25" stopIfTrue="1" operator="equal">
      <formula>"Operation"</formula>
    </cfRule>
  </conditionalFormatting>
  <conditionalFormatting sqref="I212:J212">
    <cfRule type="cellIs" dxfId="3961" priority="23" stopIfTrue="1" operator="equal">
      <formula>"Operation"</formula>
    </cfRule>
  </conditionalFormatting>
  <conditionalFormatting sqref="D212">
    <cfRule type="cellIs" dxfId="3960" priority="20" stopIfTrue="1" operator="equal">
      <formula>"Total"</formula>
    </cfRule>
  </conditionalFormatting>
  <conditionalFormatting sqref="E212">
    <cfRule type="cellIs" dxfId="3959" priority="18" stopIfTrue="1" operator="equal">
      <formula>"Operation"</formula>
    </cfRule>
  </conditionalFormatting>
  <conditionalFormatting sqref="E212">
    <cfRule type="cellIs" dxfId="3958" priority="17" stopIfTrue="1" operator="equal">
      <formula>"N/A"</formula>
    </cfRule>
  </conditionalFormatting>
  <conditionalFormatting sqref="F210:F211">
    <cfRule type="cellIs" dxfId="3957" priority="7" stopIfTrue="1" operator="equal">
      <formula>"Operation"</formula>
    </cfRule>
  </conditionalFormatting>
  <conditionalFormatting sqref="F215">
    <cfRule type="cellIs" dxfId="3956" priority="3" stopIfTrue="1" operator="equal">
      <formula>"Operation"</formula>
    </cfRule>
  </conditionalFormatting>
  <conditionalFormatting sqref="G215:P215">
    <cfRule type="cellIs" dxfId="3955" priority="16" stopIfTrue="1" operator="equal">
      <formula>"Operation"</formula>
    </cfRule>
  </conditionalFormatting>
  <conditionalFormatting sqref="D215">
    <cfRule type="cellIs" dxfId="3954" priority="15" stopIfTrue="1" operator="equal">
      <formula>"Total"</formula>
    </cfRule>
  </conditionalFormatting>
  <conditionalFormatting sqref="E215">
    <cfRule type="cellIs" dxfId="3953" priority="11" stopIfTrue="1" operator="equal">
      <formula>"N/A"</formula>
    </cfRule>
  </conditionalFormatting>
  <conditionalFormatting sqref="F209">
    <cfRule type="cellIs" dxfId="3952" priority="10" stopIfTrue="1" operator="equal">
      <formula>"N/A"</formula>
    </cfRule>
  </conditionalFormatting>
  <conditionalFormatting sqref="F210:F211">
    <cfRule type="cellIs" dxfId="3951" priority="6" stopIfTrue="1" operator="equal">
      <formula>"N/A"</formula>
    </cfRule>
  </conditionalFormatting>
  <conditionalFormatting sqref="F213">
    <cfRule type="cellIs" dxfId="3950" priority="9" stopIfTrue="1" operator="equal">
      <formula>"Operation"</formula>
    </cfRule>
  </conditionalFormatting>
  <conditionalFormatting sqref="F213">
    <cfRule type="cellIs" dxfId="3949" priority="8" stopIfTrue="1" operator="equal">
      <formula>"N/A"</formula>
    </cfRule>
  </conditionalFormatting>
  <conditionalFormatting sqref="F212">
    <cfRule type="cellIs" dxfId="3948" priority="5" stopIfTrue="1" operator="equal">
      <formula>"Operation"</formula>
    </cfRule>
  </conditionalFormatting>
  <conditionalFormatting sqref="F212">
    <cfRule type="cellIs" dxfId="3947" priority="4" stopIfTrue="1" operator="equal">
      <formula>"N/A"</formula>
    </cfRule>
  </conditionalFormatting>
  <conditionalFormatting sqref="F215">
    <cfRule type="cellIs" dxfId="3946" priority="2" stopIfTrue="1" operator="equal">
      <formula>"N/A"</formula>
    </cfRule>
  </conditionalFormatting>
  <pageMargins left="0.7" right="0.7" top="0.75" bottom="0.75" header="0.3" footer="0.3"/>
  <pageSetup paperSize="9" orientation="portrait"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39997558519241921"/>
  </sheetPr>
  <dimension ref="B1:O68"/>
  <sheetViews>
    <sheetView workbookViewId="0">
      <selection activeCell="C256" sqref="C256"/>
    </sheetView>
  </sheetViews>
  <sheetFormatPr defaultRowHeight="14.6" x14ac:dyDescent="0.4"/>
  <cols>
    <col min="2" max="2" width="24.3828125" customWidth="1"/>
    <col min="3" max="3" width="36" customWidth="1"/>
    <col min="7" max="7" width="6" customWidth="1"/>
    <col min="8" max="8" width="36.69140625" customWidth="1"/>
    <col min="9" max="9" width="18" customWidth="1"/>
    <col min="10" max="11" width="21" customWidth="1"/>
    <col min="12" max="12" width="16.3046875" customWidth="1"/>
    <col min="13" max="13" width="16" customWidth="1"/>
    <col min="14" max="14" width="14.84375" customWidth="1"/>
    <col min="15" max="15" width="18.3046875" customWidth="1"/>
  </cols>
  <sheetData>
    <row r="1" spans="2:15" ht="15" thickBot="1" x14ac:dyDescent="0.45"/>
    <row r="2" spans="2:15" ht="21" thickBot="1" x14ac:dyDescent="0.6">
      <c r="B2" s="3826" t="s">
        <v>1000</v>
      </c>
      <c r="C2" s="3827"/>
      <c r="D2" s="3828"/>
      <c r="H2" s="3684" t="s">
        <v>1001</v>
      </c>
      <c r="I2" s="3686"/>
    </row>
    <row r="3" spans="2:15" ht="15" thickBot="1" x14ac:dyDescent="0.45">
      <c r="B3" s="650" t="s">
        <v>781</v>
      </c>
      <c r="C3" s="4" t="s">
        <v>1002</v>
      </c>
      <c r="D3" s="1" t="s">
        <v>2</v>
      </c>
      <c r="H3" s="650" t="s">
        <v>786</v>
      </c>
      <c r="I3" s="1" t="s">
        <v>790</v>
      </c>
    </row>
    <row r="4" spans="2:15" ht="15" thickBot="1" x14ac:dyDescent="0.45">
      <c r="B4" s="651" t="s">
        <v>1003</v>
      </c>
      <c r="C4" s="652" t="str">
        <f>B4</f>
        <v>Deploy Equipment</v>
      </c>
      <c r="D4" s="653">
        <v>0</v>
      </c>
      <c r="H4" s="654" t="s">
        <v>1538</v>
      </c>
      <c r="I4" s="655">
        <f>loaded_cask_transporter_spd</f>
        <v>0.02</v>
      </c>
    </row>
    <row r="5" spans="2:15" x14ac:dyDescent="0.4">
      <c r="B5" s="3829" t="s">
        <v>796</v>
      </c>
      <c r="C5" s="656" t="s">
        <v>1004</v>
      </c>
      <c r="D5" s="655">
        <v>0.28000000000000003</v>
      </c>
      <c r="H5" s="2" t="s">
        <v>1738</v>
      </c>
      <c r="I5" s="657">
        <f>unloaded_cask_transporter_spd</f>
        <v>0.2</v>
      </c>
    </row>
    <row r="6" spans="2:15" x14ac:dyDescent="0.4">
      <c r="B6" s="3830"/>
      <c r="C6" s="289"/>
      <c r="D6" s="658"/>
      <c r="H6" s="2" t="s">
        <v>1536</v>
      </c>
      <c r="I6" s="657">
        <f>empty_cask_transporter_spd</f>
        <v>0.06</v>
      </c>
    </row>
    <row r="7" spans="2:15" x14ac:dyDescent="0.4">
      <c r="B7" s="3830"/>
      <c r="C7" s="289" t="s">
        <v>1005</v>
      </c>
      <c r="D7" s="658">
        <v>0.2</v>
      </c>
      <c r="H7" s="2" t="s">
        <v>12</v>
      </c>
      <c r="I7" s="657">
        <f>MFM_deployment_spd</f>
        <v>0.02</v>
      </c>
    </row>
    <row r="8" spans="2:15" ht="15" thickBot="1" x14ac:dyDescent="0.45">
      <c r="B8" s="3831"/>
      <c r="C8" s="659" t="s">
        <v>1006</v>
      </c>
      <c r="D8" s="657">
        <v>0.1</v>
      </c>
      <c r="H8" s="2" t="s">
        <v>815</v>
      </c>
      <c r="I8" s="657">
        <v>0.02</v>
      </c>
    </row>
    <row r="9" spans="2:15" ht="15" thickBot="1" x14ac:dyDescent="0.45">
      <c r="B9" s="3832"/>
      <c r="C9" s="652" t="str">
        <f>B5</f>
        <v>Collect interface hardware</v>
      </c>
      <c r="D9" s="653">
        <f>SUM(D5:D8)</f>
        <v>0.58000000000000007</v>
      </c>
      <c r="H9" s="3" t="s">
        <v>897</v>
      </c>
      <c r="I9" s="662">
        <v>0.02</v>
      </c>
    </row>
    <row r="10" spans="2:15" ht="18.45" x14ac:dyDescent="0.5">
      <c r="B10" s="3833" t="s">
        <v>1736</v>
      </c>
      <c r="C10" s="656" t="s">
        <v>1004</v>
      </c>
      <c r="D10" s="655">
        <v>0.28000000000000003</v>
      </c>
      <c r="I10" s="1741"/>
      <c r="J10" s="1741"/>
      <c r="K10" s="1741"/>
      <c r="L10" s="1741"/>
      <c r="M10" s="1741"/>
      <c r="N10" s="1741"/>
      <c r="O10" s="1741"/>
    </row>
    <row r="11" spans="2:15" ht="18.899999999999999" thickBot="1" x14ac:dyDescent="0.55000000000000004">
      <c r="B11" s="3834"/>
      <c r="C11" s="663" t="s">
        <v>1005</v>
      </c>
      <c r="D11" s="658">
        <v>0.2</v>
      </c>
      <c r="H11" s="1741" t="s">
        <v>1019</v>
      </c>
      <c r="I11" s="1741"/>
      <c r="J11" s="1741"/>
      <c r="K11" s="1741"/>
      <c r="L11" s="1741"/>
      <c r="M11" s="1741"/>
      <c r="N11" s="1741"/>
      <c r="O11" s="1741"/>
    </row>
    <row r="12" spans="2:15" ht="43.75" x14ac:dyDescent="0.4">
      <c r="B12" s="3834"/>
      <c r="C12" s="659" t="s">
        <v>1802</v>
      </c>
      <c r="D12" s="657">
        <v>0.2</v>
      </c>
      <c r="H12" s="667" t="s">
        <v>1020</v>
      </c>
      <c r="I12" s="668" t="str">
        <f>H13</f>
        <v>Equipment Stillage</v>
      </c>
      <c r="J12" s="668" t="str">
        <f>H14</f>
        <v>Lower Port</v>
      </c>
      <c r="K12" s="668" t="str">
        <f>H15</f>
        <v>Hardware Stillage</v>
      </c>
      <c r="L12" s="668" t="str">
        <f>H16</f>
        <v>AMF Equipment Issue</v>
      </c>
      <c r="M12" s="668" t="str">
        <f>H17</f>
        <v>AMF Equipment Receipt</v>
      </c>
      <c r="N12" s="668" t="str">
        <f>H18</f>
        <v>AMF Hardware Receipt</v>
      </c>
      <c r="O12" s="669" t="str">
        <f>H19</f>
        <v>AMF Hardware Issue</v>
      </c>
    </row>
    <row r="13" spans="2:15" ht="15" thickBot="1" x14ac:dyDescent="0.45">
      <c r="B13" s="3834"/>
      <c r="C13" s="659" t="s">
        <v>1803</v>
      </c>
      <c r="D13" s="657">
        <v>0.2</v>
      </c>
      <c r="H13" s="2" t="s">
        <v>816</v>
      </c>
      <c r="I13" s="670"/>
      <c r="J13" s="671">
        <f>I14</f>
        <v>15</v>
      </c>
      <c r="K13" s="671">
        <f>I15</f>
        <v>10</v>
      </c>
      <c r="L13" s="671">
        <f>I16</f>
        <v>50</v>
      </c>
      <c r="M13" s="671">
        <f>I17</f>
        <v>50</v>
      </c>
      <c r="N13" s="671">
        <f>I18</f>
        <v>50</v>
      </c>
      <c r="O13" s="672">
        <f>I19</f>
        <v>50</v>
      </c>
    </row>
    <row r="14" spans="2:15" ht="15" thickBot="1" x14ac:dyDescent="0.45">
      <c r="B14" s="3835"/>
      <c r="C14" s="652" t="str">
        <f>B10</f>
        <v>Store PP Hardware in the AMF</v>
      </c>
      <c r="D14" s="653">
        <f>SUM(D10:D13)</f>
        <v>0.88000000000000012</v>
      </c>
      <c r="H14" s="2" t="s">
        <v>1203</v>
      </c>
      <c r="I14" s="673">
        <v>15</v>
      </c>
      <c r="J14" s="670"/>
      <c r="K14" s="671">
        <f>J15</f>
        <v>30</v>
      </c>
      <c r="L14" s="671">
        <f>J16</f>
        <v>50</v>
      </c>
      <c r="M14" s="671">
        <f>J17</f>
        <v>50</v>
      </c>
      <c r="N14" s="671">
        <f>J18</f>
        <v>50</v>
      </c>
      <c r="O14" s="672">
        <f>J19</f>
        <v>50</v>
      </c>
    </row>
    <row r="15" spans="2:15" x14ac:dyDescent="0.4">
      <c r="B15" s="3823" t="s">
        <v>1539</v>
      </c>
      <c r="C15" s="656" t="s">
        <v>1004</v>
      </c>
      <c r="D15" s="655">
        <v>0.28000000000000003</v>
      </c>
      <c r="H15" s="2" t="s">
        <v>901</v>
      </c>
      <c r="I15" s="673">
        <v>10</v>
      </c>
      <c r="J15" s="673">
        <v>30</v>
      </c>
      <c r="K15" s="670"/>
      <c r="L15" s="671">
        <f>K16</f>
        <v>50</v>
      </c>
      <c r="M15" s="671">
        <f>K17</f>
        <v>50</v>
      </c>
      <c r="N15" s="671">
        <f>K18</f>
        <v>50</v>
      </c>
      <c r="O15" s="672">
        <f>K19</f>
        <v>50</v>
      </c>
    </row>
    <row r="16" spans="2:15" x14ac:dyDescent="0.4">
      <c r="B16" s="3824"/>
      <c r="C16" s="289" t="s">
        <v>1005</v>
      </c>
      <c r="D16" s="658">
        <v>0.2</v>
      </c>
      <c r="H16" s="2" t="s">
        <v>799</v>
      </c>
      <c r="I16" s="673">
        <v>50</v>
      </c>
      <c r="J16" s="673">
        <v>50</v>
      </c>
      <c r="K16" s="673">
        <v>50</v>
      </c>
      <c r="L16" s="670"/>
      <c r="M16" s="671">
        <f>L17</f>
        <v>20</v>
      </c>
      <c r="N16" s="671">
        <f>L18</f>
        <v>20</v>
      </c>
      <c r="O16" s="672">
        <f>L19</f>
        <v>20</v>
      </c>
    </row>
    <row r="17" spans="2:15" ht="15" thickBot="1" x14ac:dyDescent="0.45">
      <c r="B17" s="3824"/>
      <c r="C17" s="674" t="s">
        <v>1022</v>
      </c>
      <c r="D17" s="657">
        <v>0.1</v>
      </c>
      <c r="H17" s="2" t="s">
        <v>914</v>
      </c>
      <c r="I17" s="673">
        <v>50</v>
      </c>
      <c r="J17" s="673">
        <v>50</v>
      </c>
      <c r="K17" s="673">
        <v>50</v>
      </c>
      <c r="L17" s="673">
        <v>20</v>
      </c>
      <c r="M17" s="670"/>
      <c r="N17" s="671">
        <f>M18</f>
        <v>20</v>
      </c>
      <c r="O17" s="672">
        <f>M19</f>
        <v>20</v>
      </c>
    </row>
    <row r="18" spans="2:15" ht="15" thickBot="1" x14ac:dyDescent="0.45">
      <c r="B18" s="3825"/>
      <c r="C18" s="652" t="str">
        <f>B15</f>
        <v>Store Equipment / Hardware Cask</v>
      </c>
      <c r="D18" s="653">
        <f>SUM(D15:D17)</f>
        <v>0.58000000000000007</v>
      </c>
      <c r="H18" s="2" t="s">
        <v>831</v>
      </c>
      <c r="I18" s="673">
        <v>50</v>
      </c>
      <c r="J18" s="673">
        <v>50</v>
      </c>
      <c r="K18" s="673">
        <v>50</v>
      </c>
      <c r="L18" s="673">
        <v>20</v>
      </c>
      <c r="M18" s="673">
        <v>20</v>
      </c>
      <c r="N18" s="675"/>
      <c r="O18" s="672">
        <f>N19</f>
        <v>10</v>
      </c>
    </row>
    <row r="19" spans="2:15" ht="15" customHeight="1" thickBot="1" x14ac:dyDescent="0.45">
      <c r="B19" s="3823" t="s">
        <v>1730</v>
      </c>
      <c r="C19" s="656" t="s">
        <v>1004</v>
      </c>
      <c r="D19" s="655">
        <v>0.28000000000000003</v>
      </c>
      <c r="H19" s="3" t="s">
        <v>858</v>
      </c>
      <c r="I19" s="677">
        <v>50</v>
      </c>
      <c r="J19" s="677">
        <v>50</v>
      </c>
      <c r="K19" s="677">
        <v>50</v>
      </c>
      <c r="L19" s="677">
        <v>20</v>
      </c>
      <c r="M19" s="677">
        <v>20</v>
      </c>
      <c r="N19" s="677">
        <v>10</v>
      </c>
      <c r="O19" s="675"/>
    </row>
    <row r="20" spans="2:15" x14ac:dyDescent="0.4">
      <c r="B20" s="3824"/>
      <c r="C20" s="663" t="s">
        <v>1804</v>
      </c>
      <c r="D20" s="658">
        <v>0.2</v>
      </c>
    </row>
    <row r="21" spans="2:15" x14ac:dyDescent="0.4">
      <c r="B21" s="3824"/>
      <c r="C21" s="659" t="s">
        <v>1024</v>
      </c>
      <c r="D21" s="657">
        <v>0.2</v>
      </c>
    </row>
    <row r="22" spans="2:15" ht="15" thickBot="1" x14ac:dyDescent="0.45">
      <c r="B22" s="3824"/>
      <c r="C22" s="659" t="s">
        <v>1805</v>
      </c>
      <c r="D22" s="657">
        <v>0.2</v>
      </c>
    </row>
    <row r="23" spans="2:15" ht="15" thickBot="1" x14ac:dyDescent="0.45">
      <c r="B23" s="3825"/>
      <c r="C23" s="652" t="str">
        <f>B19</f>
        <v>Collect PP hardware from the AMF</v>
      </c>
      <c r="D23" s="653">
        <f>SUM(D19:D22)</f>
        <v>0.88000000000000012</v>
      </c>
    </row>
    <row r="24" spans="2:15" x14ac:dyDescent="0.4">
      <c r="B24" s="3823" t="s">
        <v>1740</v>
      </c>
      <c r="C24" s="676" t="s">
        <v>1004</v>
      </c>
      <c r="D24" s="655">
        <v>0.28000000000000003</v>
      </c>
    </row>
    <row r="25" spans="2:15" x14ac:dyDescent="0.4">
      <c r="B25" s="3824"/>
      <c r="C25" s="289" t="s">
        <v>1806</v>
      </c>
      <c r="D25" s="658">
        <v>0.3</v>
      </c>
    </row>
    <row r="26" spans="2:15" ht="15" thickBot="1" x14ac:dyDescent="0.45">
      <c r="B26" s="3824"/>
      <c r="C26" s="678" t="s">
        <v>1024</v>
      </c>
      <c r="D26" s="662">
        <v>0.2</v>
      </c>
    </row>
    <row r="27" spans="2:15" ht="15" thickBot="1" x14ac:dyDescent="0.45">
      <c r="B27" s="3825"/>
      <c r="C27" s="652" t="str">
        <f>B24</f>
        <v>Collect Equipment / Hardware Cask</v>
      </c>
      <c r="D27" s="653">
        <f>SUM(D24:D26)</f>
        <v>0.78</v>
      </c>
    </row>
    <row r="28" spans="2:15" x14ac:dyDescent="0.4">
      <c r="B28" s="3823" t="s">
        <v>1541</v>
      </c>
      <c r="C28" s="676" t="s">
        <v>1437</v>
      </c>
      <c r="D28" s="655">
        <v>0.2</v>
      </c>
    </row>
    <row r="29" spans="2:15" x14ac:dyDescent="0.4">
      <c r="B29" s="3824"/>
      <c r="C29" s="289" t="s">
        <v>264</v>
      </c>
      <c r="D29" s="658">
        <v>0.3</v>
      </c>
    </row>
    <row r="30" spans="2:15" x14ac:dyDescent="0.4">
      <c r="B30" s="3824"/>
      <c r="C30" s="289" t="s">
        <v>1807</v>
      </c>
      <c r="D30" s="658">
        <v>0.1</v>
      </c>
    </row>
    <row r="31" spans="2:15" x14ac:dyDescent="0.4">
      <c r="B31" s="3824"/>
      <c r="C31" s="289" t="s">
        <v>1808</v>
      </c>
      <c r="D31" s="658">
        <v>0.1</v>
      </c>
    </row>
    <row r="32" spans="2:15" x14ac:dyDescent="0.4">
      <c r="B32" s="3824"/>
      <c r="C32" s="1742" t="s">
        <v>1809</v>
      </c>
      <c r="D32" s="666">
        <v>0.2</v>
      </c>
    </row>
    <row r="33" spans="2:4" x14ac:dyDescent="0.4">
      <c r="B33" s="3824"/>
      <c r="C33" s="659" t="s">
        <v>1810</v>
      </c>
      <c r="D33" s="657">
        <v>0.2</v>
      </c>
    </row>
    <row r="34" spans="2:4" x14ac:dyDescent="0.4">
      <c r="B34" s="3824"/>
      <c r="C34" s="663" t="s">
        <v>265</v>
      </c>
      <c r="D34" s="658">
        <v>0.3</v>
      </c>
    </row>
    <row r="35" spans="2:4" x14ac:dyDescent="0.4">
      <c r="B35" s="3824"/>
      <c r="C35" s="663" t="s">
        <v>1430</v>
      </c>
      <c r="D35" s="658">
        <v>0.5</v>
      </c>
    </row>
    <row r="36" spans="2:4" ht="15" thickBot="1" x14ac:dyDescent="0.45">
      <c r="B36" s="3825"/>
      <c r="C36" s="1743" t="str">
        <f>B28</f>
        <v>Dock Cask and Commission RM Systems</v>
      </c>
      <c r="D36" s="1744">
        <f>SUM(D28:D35)</f>
        <v>1.9</v>
      </c>
    </row>
    <row r="37" spans="2:4" x14ac:dyDescent="0.4">
      <c r="B37" s="3824" t="s">
        <v>1552</v>
      </c>
      <c r="C37" s="289" t="s">
        <v>1442</v>
      </c>
      <c r="D37" s="658">
        <v>0.5</v>
      </c>
    </row>
    <row r="38" spans="2:4" ht="15" customHeight="1" x14ac:dyDescent="0.4">
      <c r="B38" s="3824"/>
      <c r="C38" s="289" t="s">
        <v>1443</v>
      </c>
      <c r="D38" s="658">
        <v>0.3</v>
      </c>
    </row>
    <row r="39" spans="2:4" x14ac:dyDescent="0.4">
      <c r="B39" s="3824"/>
      <c r="C39" s="289" t="s">
        <v>1444</v>
      </c>
      <c r="D39" s="658">
        <v>0.3</v>
      </c>
    </row>
    <row r="40" spans="2:4" ht="15" customHeight="1" x14ac:dyDescent="0.4">
      <c r="B40" s="3824"/>
      <c r="C40" s="289" t="s">
        <v>1018</v>
      </c>
      <c r="D40" s="658">
        <v>0.1</v>
      </c>
    </row>
    <row r="41" spans="2:4" x14ac:dyDescent="0.4">
      <c r="B41" s="3824"/>
      <c r="C41" s="289" t="s">
        <v>1446</v>
      </c>
      <c r="D41" s="658">
        <v>1</v>
      </c>
    </row>
    <row r="42" spans="2:4" ht="15" thickBot="1" x14ac:dyDescent="0.45">
      <c r="B42" s="3824"/>
      <c r="C42" s="674" t="s">
        <v>1448</v>
      </c>
      <c r="D42" s="657">
        <v>0.1</v>
      </c>
    </row>
    <row r="43" spans="2:4" ht="15" thickBot="1" x14ac:dyDescent="0.45">
      <c r="B43" s="3825"/>
      <c r="C43" s="1745" t="str">
        <f>B37</f>
        <v>Un-Dock Cask</v>
      </c>
      <c r="D43" s="653">
        <f>SUM(D37:D42)</f>
        <v>2.3000000000000003</v>
      </c>
    </row>
    <row r="44" spans="2:4" x14ac:dyDescent="0.4">
      <c r="B44" s="3823" t="s">
        <v>1544</v>
      </c>
      <c r="C44" s="676" t="s">
        <v>1453</v>
      </c>
      <c r="D44" s="655">
        <v>0.28000000000000003</v>
      </c>
    </row>
    <row r="45" spans="2:4" ht="15" thickBot="1" x14ac:dyDescent="0.45">
      <c r="B45" s="3824"/>
      <c r="C45" s="289" t="s">
        <v>1454</v>
      </c>
      <c r="D45" s="658">
        <v>0.1</v>
      </c>
    </row>
    <row r="46" spans="2:4" ht="15" thickBot="1" x14ac:dyDescent="0.45">
      <c r="B46" s="3825"/>
      <c r="C46" s="1745" t="str">
        <f>B44</f>
        <v>Deploy Tool / Hardware From Transport Cask</v>
      </c>
      <c r="D46" s="653">
        <f>SUM(D44:D45)</f>
        <v>0.38</v>
      </c>
    </row>
    <row r="47" spans="2:4" x14ac:dyDescent="0.4">
      <c r="B47" s="3823" t="s">
        <v>1546</v>
      </c>
      <c r="C47" s="676" t="s">
        <v>1455</v>
      </c>
      <c r="D47" s="655">
        <v>0.28000000000000003</v>
      </c>
    </row>
    <row r="48" spans="2:4" ht="15" thickBot="1" x14ac:dyDescent="0.45">
      <c r="B48" s="3824"/>
      <c r="C48" s="289" t="s">
        <v>1456</v>
      </c>
      <c r="D48" s="658">
        <v>0.1</v>
      </c>
    </row>
    <row r="49" spans="2:4" ht="15" thickBot="1" x14ac:dyDescent="0.45">
      <c r="B49" s="3825"/>
      <c r="C49" s="1745" t="str">
        <f>B47</f>
        <v>Store Tool / Hardware In Transport Cask</v>
      </c>
      <c r="D49" s="653">
        <f>SUM(D47:D48)</f>
        <v>0.38</v>
      </c>
    </row>
    <row r="50" spans="2:4" x14ac:dyDescent="0.4">
      <c r="B50" s="3823" t="s">
        <v>1558</v>
      </c>
      <c r="C50" s="676" t="s">
        <v>1811</v>
      </c>
      <c r="D50" s="655">
        <v>0.33</v>
      </c>
    </row>
    <row r="51" spans="2:4" x14ac:dyDescent="0.4">
      <c r="B51" s="3824"/>
      <c r="C51" s="289" t="s">
        <v>1812</v>
      </c>
      <c r="D51" s="658">
        <v>0.1</v>
      </c>
    </row>
    <row r="52" spans="2:4" ht="15" thickBot="1" x14ac:dyDescent="0.45">
      <c r="B52" s="3824"/>
      <c r="C52" s="674" t="s">
        <v>1813</v>
      </c>
      <c r="D52" s="657">
        <v>0.1</v>
      </c>
    </row>
    <row r="53" spans="2:4" ht="15" thickBot="1" x14ac:dyDescent="0.45">
      <c r="B53" s="3825"/>
      <c r="C53" s="1745" t="str">
        <f>B50</f>
        <v>Reposition tool within Port</v>
      </c>
      <c r="D53" s="653">
        <f>SUM(D50:D52)</f>
        <v>0.53</v>
      </c>
    </row>
    <row r="57" spans="2:4" x14ac:dyDescent="0.4">
      <c r="B57" s="685" t="s">
        <v>1029</v>
      </c>
    </row>
    <row r="58" spans="2:4" x14ac:dyDescent="0.4">
      <c r="B58" t="str">
        <f>B4</f>
        <v>Deploy Equipment</v>
      </c>
    </row>
    <row r="59" spans="2:4" x14ac:dyDescent="0.4">
      <c r="B59" t="str">
        <f>B5</f>
        <v>Collect interface hardware</v>
      </c>
    </row>
    <row r="60" spans="2:4" x14ac:dyDescent="0.4">
      <c r="B60" t="str">
        <f>B10</f>
        <v>Store PP Hardware in the AMF</v>
      </c>
    </row>
    <row r="61" spans="2:4" x14ac:dyDescent="0.4">
      <c r="B61" t="str">
        <f>B15</f>
        <v>Store Equipment / Hardware Cask</v>
      </c>
    </row>
    <row r="62" spans="2:4" x14ac:dyDescent="0.4">
      <c r="B62" t="str">
        <f>B19</f>
        <v>Collect PP hardware from the AMF</v>
      </c>
    </row>
    <row r="63" spans="2:4" x14ac:dyDescent="0.4">
      <c r="B63" t="str">
        <f>B28</f>
        <v>Dock Cask and Commission RM Systems</v>
      </c>
    </row>
    <row r="64" spans="2:4" x14ac:dyDescent="0.4">
      <c r="B64" t="str">
        <f>B37</f>
        <v>Un-Dock Cask</v>
      </c>
    </row>
    <row r="65" spans="2:2" x14ac:dyDescent="0.4">
      <c r="B65" t="e">
        <f>#REF!</f>
        <v>#REF!</v>
      </c>
    </row>
    <row r="66" spans="2:2" x14ac:dyDescent="0.4">
      <c r="B66" t="str">
        <f>B44</f>
        <v>Deploy Tool / Hardware From Transport Cask</v>
      </c>
    </row>
    <row r="67" spans="2:2" x14ac:dyDescent="0.4">
      <c r="B67" t="str">
        <f>B47</f>
        <v>Store Tool / Hardware In Transport Cask</v>
      </c>
    </row>
    <row r="68" spans="2:2" x14ac:dyDescent="0.4">
      <c r="B68" t="str">
        <f>B50</f>
        <v>Reposition tool within Port</v>
      </c>
    </row>
  </sheetData>
  <customSheetViews>
    <customSheetView guid="{9C0AA20B-B2A2-4A2C-B279-4A5988F4E71A}" state="hidden">
      <selection activeCell="C256" sqref="C256"/>
      <pageMargins left="0.7" right="0.7" top="0.75" bottom="0.75" header="0.3" footer="0.3"/>
    </customSheetView>
  </customSheetViews>
  <mergeCells count="12">
    <mergeCell ref="B50:B53"/>
    <mergeCell ref="B2:D2"/>
    <mergeCell ref="H2:I2"/>
    <mergeCell ref="B5:B9"/>
    <mergeCell ref="B10:B14"/>
    <mergeCell ref="B15:B18"/>
    <mergeCell ref="B19:B23"/>
    <mergeCell ref="B24:B27"/>
    <mergeCell ref="B28:B36"/>
    <mergeCell ref="B37:B43"/>
    <mergeCell ref="B44:B46"/>
    <mergeCell ref="B47:B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tabColor theme="7" tint="0.39997558519241921"/>
  </sheetPr>
  <dimension ref="B1:AI237"/>
  <sheetViews>
    <sheetView zoomScale="70" zoomScaleNormal="70" workbookViewId="0">
      <selection activeCell="C256" sqref="C256"/>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5.84375" customWidth="1"/>
    <col min="7" max="7" width="30.3046875" customWidth="1" outlineLevel="1"/>
    <col min="8" max="8" width="13.69140625" style="177"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1" hidden="1" customWidth="1" outlineLevel="1"/>
    <col min="16" max="16" width="11.69140625" customWidth="1" collapsed="1"/>
    <col min="17" max="17" width="32.15234375" style="287" customWidth="1"/>
    <col min="18" max="19" width="11.69140625" customWidth="1"/>
    <col min="20" max="20" width="6.3046875" customWidth="1"/>
    <col min="21" max="21" width="62.69140625" style="288" customWidth="1"/>
    <col min="22" max="22" width="14.69140625" bestFit="1" customWidth="1"/>
    <col min="23" max="27" width="9.3046875" style="177" customWidth="1"/>
    <col min="28" max="28" width="13.3828125" style="177" customWidth="1"/>
    <col min="29" max="29" width="7.69140625" style="5" customWidth="1"/>
    <col min="30" max="30" width="14.53515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3:30" s="687" customFormat="1" ht="24.9" x14ac:dyDescent="0.55000000000000004">
      <c r="C1" s="1075" t="s">
        <v>1117</v>
      </c>
      <c r="D1" s="1076"/>
      <c r="E1" s="1076"/>
      <c r="F1" s="1076"/>
      <c r="G1" s="1076"/>
      <c r="H1" s="1076"/>
      <c r="I1" s="1076"/>
      <c r="J1" s="1076"/>
      <c r="K1" s="1076"/>
      <c r="L1" s="1076"/>
      <c r="M1" s="1076"/>
      <c r="N1" s="1076"/>
      <c r="O1" s="1076"/>
      <c r="P1" s="1076"/>
      <c r="Q1" s="287"/>
      <c r="R1" s="1076"/>
      <c r="S1" s="1076"/>
      <c r="T1" s="1076"/>
      <c r="U1" s="288"/>
      <c r="V1" s="1076"/>
      <c r="W1" s="1076"/>
      <c r="X1" s="1076"/>
      <c r="Y1" s="1076"/>
      <c r="Z1" s="1076"/>
      <c r="AA1" s="1076"/>
      <c r="AB1" s="1076"/>
      <c r="AC1" s="1412"/>
      <c r="AD1" s="79"/>
    </row>
    <row r="2" spans="3:30" ht="15" thickBot="1" x14ac:dyDescent="0.45"/>
    <row r="3" spans="3:30" ht="20.6" thickBot="1" x14ac:dyDescent="0.55000000000000004">
      <c r="C3" s="690" t="s">
        <v>1118</v>
      </c>
      <c r="D3" s="692"/>
      <c r="E3" s="692"/>
      <c r="F3" s="692"/>
      <c r="G3" s="692"/>
      <c r="H3" s="692"/>
      <c r="I3" s="692"/>
      <c r="J3" s="692"/>
      <c r="K3" s="692"/>
      <c r="L3" s="692"/>
      <c r="M3" s="692"/>
      <c r="N3" s="692"/>
      <c r="O3" s="693"/>
      <c r="U3" s="3339"/>
      <c r="V3" s="691"/>
      <c r="W3" s="694"/>
      <c r="X3" s="694"/>
      <c r="Y3" s="694"/>
      <c r="Z3" s="694"/>
      <c r="AA3" s="695"/>
      <c r="AB3" s="696"/>
      <c r="AD3" s="697"/>
    </row>
    <row r="4" spans="3:30" x14ac:dyDescent="0.4">
      <c r="C4" s="1077" t="s">
        <v>1119</v>
      </c>
    </row>
    <row r="5" spans="3:30" x14ac:dyDescent="0.4">
      <c r="C5" s="8" t="s">
        <v>1120</v>
      </c>
    </row>
    <row r="6" spans="3:30" x14ac:dyDescent="0.4">
      <c r="C6" s="8" t="s">
        <v>1121</v>
      </c>
    </row>
    <row r="7" spans="3:30" ht="15" thickBot="1" x14ac:dyDescent="0.45">
      <c r="C7" s="748"/>
    </row>
    <row r="8" spans="3:30" ht="15.9" thickBot="1" x14ac:dyDescent="0.45">
      <c r="C8" s="710"/>
      <c r="D8" s="718" t="s">
        <v>23</v>
      </c>
      <c r="E8" s="1746" t="s">
        <v>1044</v>
      </c>
      <c r="F8" s="1747"/>
      <c r="G8" s="1747"/>
      <c r="H8" s="1747"/>
      <c r="I8" s="1748"/>
    </row>
    <row r="9" spans="3:30" ht="15" thickBot="1" x14ac:dyDescent="0.45">
      <c r="C9" s="1749" t="s">
        <v>1045</v>
      </c>
      <c r="D9" s="1750">
        <v>1</v>
      </c>
      <c r="E9" s="1751">
        <v>1</v>
      </c>
      <c r="F9" s="1751">
        <v>2</v>
      </c>
      <c r="G9" s="1752">
        <v>3</v>
      </c>
      <c r="H9" s="1753">
        <v>4</v>
      </c>
      <c r="I9" s="1754">
        <v>6</v>
      </c>
    </row>
    <row r="10" spans="3:30" x14ac:dyDescent="0.4">
      <c r="C10" s="1755" t="s">
        <v>1048</v>
      </c>
      <c r="D10" s="1094">
        <f t="shared" ref="D10:I13" si="0">V25+V51+V75+V104</f>
        <v>6.3997840579877447</v>
      </c>
      <c r="E10" s="1756">
        <f t="shared" si="0"/>
        <v>102.39654492780392</v>
      </c>
      <c r="F10" s="1756">
        <f t="shared" si="0"/>
        <v>51.198272463901958</v>
      </c>
      <c r="G10" s="1756">
        <f t="shared" si="0"/>
        <v>38.398704347926468</v>
      </c>
      <c r="H10" s="1756">
        <f t="shared" si="0"/>
        <v>25.599136231950979</v>
      </c>
      <c r="I10" s="1756">
        <f t="shared" si="0"/>
        <v>19.199352173963234</v>
      </c>
      <c r="Q10"/>
    </row>
    <row r="11" spans="3:30" x14ac:dyDescent="0.4">
      <c r="C11" s="1755" t="s">
        <v>2658</v>
      </c>
      <c r="D11" s="1099">
        <f t="shared" si="0"/>
        <v>23.535556429202074</v>
      </c>
      <c r="E11" s="1757">
        <f t="shared" si="0"/>
        <v>376.56890286723319</v>
      </c>
      <c r="F11" s="1757">
        <f t="shared" si="0"/>
        <v>188.2844514336166</v>
      </c>
      <c r="G11" s="1757">
        <f t="shared" si="0"/>
        <v>141.21333857521245</v>
      </c>
      <c r="H11" s="1757">
        <f t="shared" si="0"/>
        <v>94.142225716808298</v>
      </c>
      <c r="I11" s="1757">
        <f t="shared" si="0"/>
        <v>70.606669287606223</v>
      </c>
      <c r="Q11"/>
    </row>
    <row r="12" spans="3:30" ht="15" thickBot="1" x14ac:dyDescent="0.45">
      <c r="C12" s="1758" t="s">
        <v>2657</v>
      </c>
      <c r="D12" s="1104">
        <f t="shared" si="0"/>
        <v>0</v>
      </c>
      <c r="E12" s="1759">
        <f t="shared" si="0"/>
        <v>0</v>
      </c>
      <c r="F12" s="1759">
        <f t="shared" si="0"/>
        <v>0</v>
      </c>
      <c r="G12" s="1759">
        <f t="shared" si="0"/>
        <v>0</v>
      </c>
      <c r="H12" s="1759">
        <f t="shared" si="0"/>
        <v>0</v>
      </c>
      <c r="I12" s="1759">
        <f t="shared" si="0"/>
        <v>0</v>
      </c>
      <c r="Q12"/>
    </row>
    <row r="13" spans="3:30" ht="15" thickBot="1" x14ac:dyDescent="0.45">
      <c r="C13" s="1760" t="s">
        <v>1032</v>
      </c>
      <c r="D13" s="1761">
        <f t="shared" si="0"/>
        <v>29.935340487189819</v>
      </c>
      <c r="E13" s="1762">
        <f t="shared" si="0"/>
        <v>478.96544779503711</v>
      </c>
      <c r="F13" s="1762">
        <f t="shared" si="0"/>
        <v>239.48272389751855</v>
      </c>
      <c r="G13" s="1762">
        <f t="shared" si="0"/>
        <v>179.61204292313892</v>
      </c>
      <c r="H13" s="1762">
        <f t="shared" si="0"/>
        <v>119.74136194875928</v>
      </c>
      <c r="I13" s="1762">
        <f t="shared" si="0"/>
        <v>89.806021461569458</v>
      </c>
    </row>
    <row r="14" spans="3:30" x14ac:dyDescent="0.4">
      <c r="C14" s="1763" t="s">
        <v>1048</v>
      </c>
      <c r="D14" s="1094">
        <f t="shared" ref="D14:I17" si="1">V124+V147+V174+V202</f>
        <v>4.7334897421339663</v>
      </c>
      <c r="E14" s="1756">
        <f t="shared" si="1"/>
        <v>75.735835874143461</v>
      </c>
      <c r="F14" s="1756">
        <f t="shared" si="1"/>
        <v>37.867917937071731</v>
      </c>
      <c r="G14" s="1756">
        <f t="shared" si="1"/>
        <v>28.400938452803796</v>
      </c>
      <c r="H14" s="1756">
        <f t="shared" si="1"/>
        <v>18.933958968535865</v>
      </c>
      <c r="I14" s="1756">
        <f t="shared" si="1"/>
        <v>14.200469226401898</v>
      </c>
      <c r="Q14"/>
    </row>
    <row r="15" spans="3:30" x14ac:dyDescent="0.4">
      <c r="C15" s="1763" t="s">
        <v>2658</v>
      </c>
      <c r="D15" s="1099">
        <f t="shared" si="1"/>
        <v>17.002056408008617</v>
      </c>
      <c r="E15" s="1757">
        <f t="shared" si="1"/>
        <v>272.03290252813787</v>
      </c>
      <c r="F15" s="1757">
        <f t="shared" si="1"/>
        <v>136.01645126406893</v>
      </c>
      <c r="G15" s="1757">
        <f t="shared" si="1"/>
        <v>102.01233844805169</v>
      </c>
      <c r="H15" s="1757">
        <f t="shared" si="1"/>
        <v>68.008225632034467</v>
      </c>
      <c r="I15" s="1757">
        <f t="shared" si="1"/>
        <v>51.006169224025847</v>
      </c>
      <c r="Q15"/>
    </row>
    <row r="16" spans="3:30" ht="15" thickBot="1" x14ac:dyDescent="0.45">
      <c r="C16" s="1764" t="s">
        <v>2657</v>
      </c>
      <c r="D16" s="1104">
        <f t="shared" si="1"/>
        <v>0</v>
      </c>
      <c r="E16" s="1759">
        <f t="shared" si="1"/>
        <v>0</v>
      </c>
      <c r="F16" s="1759">
        <f t="shared" si="1"/>
        <v>0</v>
      </c>
      <c r="G16" s="1759">
        <f t="shared" si="1"/>
        <v>0</v>
      </c>
      <c r="H16" s="1759">
        <f t="shared" si="1"/>
        <v>0</v>
      </c>
      <c r="I16" s="1759">
        <f t="shared" si="1"/>
        <v>0</v>
      </c>
    </row>
    <row r="17" spans="2:29" ht="15" thickBot="1" x14ac:dyDescent="0.45">
      <c r="C17" s="1765" t="s">
        <v>1032</v>
      </c>
      <c r="D17" s="1109">
        <f t="shared" si="1"/>
        <v>21.735546150142582</v>
      </c>
      <c r="E17" s="1766">
        <f t="shared" si="1"/>
        <v>347.76873840228131</v>
      </c>
      <c r="F17" s="1766">
        <f t="shared" si="1"/>
        <v>173.88436920114066</v>
      </c>
      <c r="G17" s="1766">
        <f t="shared" si="1"/>
        <v>130.41327690085549</v>
      </c>
      <c r="H17" s="1766">
        <f t="shared" si="1"/>
        <v>86.942184600570329</v>
      </c>
      <c r="I17" s="1766">
        <f t="shared" si="1"/>
        <v>65.206638450427747</v>
      </c>
    </row>
    <row r="18" spans="2:29" s="8" customFormat="1" x14ac:dyDescent="0.4">
      <c r="B18" s="1767"/>
      <c r="C18" s="5"/>
      <c r="D18" s="5"/>
      <c r="E18" s="5"/>
      <c r="F18" s="5"/>
      <c r="G18" s="5"/>
      <c r="H18" s="273"/>
      <c r="I18" s="5"/>
      <c r="J18" s="5"/>
      <c r="K18" s="5"/>
      <c r="L18" s="5"/>
      <c r="M18" s="5"/>
      <c r="N18" s="5"/>
      <c r="O18" s="5"/>
      <c r="P18" s="5"/>
      <c r="Q18" s="1768"/>
      <c r="R18" s="5"/>
      <c r="S18" s="5"/>
      <c r="T18" s="5"/>
      <c r="U18" s="3340"/>
      <c r="V18" s="781"/>
      <c r="W18" s="781"/>
      <c r="X18" s="781"/>
      <c r="Y18" s="781"/>
      <c r="Z18" s="781"/>
      <c r="AA18" s="781"/>
      <c r="AB18" s="781"/>
      <c r="AC18" s="781"/>
    </row>
    <row r="19" spans="2:29" ht="15.45" x14ac:dyDescent="0.4">
      <c r="B19" s="1769"/>
      <c r="C19" s="1770" t="s">
        <v>1814</v>
      </c>
      <c r="D19" s="1770"/>
      <c r="E19" s="1770"/>
      <c r="F19" s="1770"/>
      <c r="G19" s="1770"/>
      <c r="H19" s="1770"/>
      <c r="I19" s="1770"/>
      <c r="J19" s="1770"/>
      <c r="K19" s="1770"/>
      <c r="L19" s="1770"/>
      <c r="M19" s="1770"/>
      <c r="N19" s="1770"/>
      <c r="O19" s="1770"/>
      <c r="P19" s="1770"/>
      <c r="Q19" s="1770"/>
      <c r="R19" s="1770"/>
      <c r="S19" s="1770"/>
      <c r="T19" s="1770"/>
      <c r="U19" s="3341"/>
      <c r="V19" s="1770"/>
      <c r="W19" s="1770"/>
      <c r="X19" s="1770"/>
      <c r="Y19" s="1770"/>
      <c r="Z19" s="1770"/>
      <c r="AA19" s="1770"/>
      <c r="AB19" s="1770"/>
      <c r="AC19" s="1770"/>
    </row>
    <row r="20" spans="2:29" ht="15" outlineLevel="1" thickBot="1" x14ac:dyDescent="0.45">
      <c r="B20" s="1771"/>
      <c r="C20" s="748" t="s">
        <v>1053</v>
      </c>
      <c r="D20" s="706"/>
      <c r="E20" s="706"/>
      <c r="F20" s="706"/>
      <c r="G20" s="1117"/>
      <c r="H20" s="706"/>
      <c r="I20" s="706"/>
      <c r="J20" s="706"/>
      <c r="K20" s="706"/>
      <c r="L20" s="706"/>
      <c r="M20" s="706"/>
      <c r="N20" s="706"/>
      <c r="O20" s="7"/>
      <c r="P20" s="1413"/>
      <c r="Q20" s="7"/>
      <c r="R20" s="7"/>
      <c r="S20" s="7"/>
      <c r="T20" s="7"/>
      <c r="U20" s="3342"/>
      <c r="V20" s="290"/>
      <c r="W20" s="290"/>
      <c r="X20" s="290"/>
      <c r="Y20" s="290"/>
      <c r="Z20" s="290"/>
      <c r="AA20" s="290"/>
      <c r="AB20" s="5"/>
      <c r="AC20" s="1430"/>
    </row>
    <row r="21" spans="2:29" ht="15" outlineLevel="1" thickBot="1" x14ac:dyDescent="0.45">
      <c r="B21" s="1771"/>
      <c r="C21" s="700" t="s">
        <v>1815</v>
      </c>
      <c r="D21" s="706"/>
      <c r="E21" s="706"/>
      <c r="F21" s="706"/>
      <c r="G21" s="1117"/>
      <c r="H21" s="706"/>
      <c r="I21" s="706"/>
      <c r="J21" s="706"/>
      <c r="K21" s="706"/>
      <c r="L21" s="706"/>
      <c r="M21" s="706"/>
      <c r="N21" s="706"/>
      <c r="O21" s="7"/>
      <c r="P21" s="1413"/>
      <c r="Q21" s="7"/>
      <c r="R21" s="7"/>
      <c r="S21" s="7"/>
      <c r="U21" s="3007" t="str">
        <f>C19</f>
        <v>Cask Failures during Divertor Maintenance</v>
      </c>
      <c r="V21" s="1772" t="s">
        <v>23</v>
      </c>
      <c r="W21" s="3842" t="s">
        <v>2604</v>
      </c>
      <c r="X21" s="3843"/>
      <c r="Y21" s="3843"/>
      <c r="Z21" s="3843"/>
      <c r="AA21" s="3844"/>
      <c r="AC21" s="1430"/>
    </row>
    <row r="22" spans="2:29" outlineLevel="1" x14ac:dyDescent="0.4">
      <c r="B22" s="1771"/>
      <c r="C22" s="700" t="s">
        <v>1125</v>
      </c>
      <c r="D22" s="706"/>
      <c r="E22" s="706"/>
      <c r="F22" s="706"/>
      <c r="G22" s="1117"/>
      <c r="H22" s="706"/>
      <c r="I22" s="706"/>
      <c r="J22" s="706"/>
      <c r="K22" s="706"/>
      <c r="L22" s="706"/>
      <c r="M22" s="706"/>
      <c r="N22" s="706"/>
      <c r="O22" s="7"/>
      <c r="P22" s="1413"/>
      <c r="Q22" s="7"/>
      <c r="R22" s="7"/>
      <c r="S22" s="7"/>
      <c r="U22" s="3336" t="s">
        <v>1055</v>
      </c>
      <c r="V22" s="1513">
        <v>1</v>
      </c>
      <c r="W22" s="1512">
        <v>1</v>
      </c>
      <c r="X22" s="916">
        <v>2</v>
      </c>
      <c r="Y22" s="916">
        <v>3</v>
      </c>
      <c r="Z22" s="916">
        <v>4</v>
      </c>
      <c r="AA22" s="1045">
        <v>6</v>
      </c>
      <c r="AC22" s="1430"/>
    </row>
    <row r="23" spans="2:29" outlineLevel="1" x14ac:dyDescent="0.4">
      <c r="B23" s="1771"/>
      <c r="C23" s="700"/>
      <c r="D23" s="706"/>
      <c r="E23" s="706"/>
      <c r="F23" s="706"/>
      <c r="G23" s="1117"/>
      <c r="H23" s="706"/>
      <c r="I23" s="706"/>
      <c r="J23" s="706"/>
      <c r="K23" s="706"/>
      <c r="L23" s="706"/>
      <c r="M23" s="706"/>
      <c r="N23" s="706"/>
      <c r="O23" s="7"/>
      <c r="P23" s="1413"/>
      <c r="Q23" s="7"/>
      <c r="R23" s="7"/>
      <c r="S23" s="7"/>
      <c r="U23" s="3140" t="s">
        <v>2668</v>
      </c>
      <c r="V23" s="290">
        <f>(('Lower Cask Critical Path'!$F$132+'Lower Cask Critical Path'!$F$256))</f>
        <v>676.0524530637274</v>
      </c>
      <c r="W23" s="1415">
        <f>(('Lower Cask Critical Path'!$F$132+'Lower Cask Critical Path'!$F$256)*ROUNDUP(Tokamak_Segmts/W22,0))</f>
        <v>10816.839249019638</v>
      </c>
      <c r="X23" s="917">
        <f>(('Lower Cask Critical Path'!$F$132+'Lower Cask Critical Path'!$F$256)*ROUNDUP(Tokamak_Segmts/X22,0))</f>
        <v>5408.4196245098192</v>
      </c>
      <c r="Y23" s="917">
        <f>(('Lower Cask Critical Path'!$F$132+'Lower Cask Critical Path'!$F$256)*ROUNDUP(Tokamak_Segmts/Y22,0))</f>
        <v>4056.3147183823644</v>
      </c>
      <c r="Z23" s="917">
        <f>(('Lower Cask Critical Path'!$F$132+'Lower Cask Critical Path'!$F$256)*ROUNDUP(Tokamak_Segmts/Z22,0))</f>
        <v>2704.2098122549096</v>
      </c>
      <c r="AA23" s="1028">
        <f>(('Lower Cask Critical Path'!$F$132+'Lower Cask Critical Path'!$F$256)*ROUNDUP(Tokamak_Segmts/AA22,0))</f>
        <v>2028.1573591911822</v>
      </c>
      <c r="AC23" s="1430"/>
    </row>
    <row r="24" spans="2:29" ht="15" outlineLevel="1" thickBot="1" x14ac:dyDescent="0.45">
      <c r="B24" s="1771"/>
      <c r="C24" s="748" t="s">
        <v>1056</v>
      </c>
      <c r="D24" s="927">
        <f>SUM(D25)</f>
        <v>9.0000000000000006E-5</v>
      </c>
      <c r="E24" s="918"/>
      <c r="F24" s="918"/>
      <c r="G24" s="918"/>
      <c r="H24" s="919"/>
      <c r="I24" s="918"/>
      <c r="J24" s="918"/>
      <c r="K24" s="918"/>
      <c r="L24" s="918"/>
      <c r="M24" s="918"/>
      <c r="N24" s="918"/>
      <c r="O24" s="706"/>
      <c r="P24" s="7"/>
      <c r="Q24" s="1413"/>
      <c r="R24" s="7"/>
      <c r="S24" s="7"/>
      <c r="U24" s="3141" t="s">
        <v>2693</v>
      </c>
      <c r="V24" s="1138">
        <f>V$23*$D$24</f>
        <v>6.0844720775735467E-2</v>
      </c>
      <c r="W24" s="1416">
        <f t="shared" ref="W24:AA24" si="2">W$23*$D$24</f>
        <v>0.97351553241176747</v>
      </c>
      <c r="X24" s="920">
        <f t="shared" si="2"/>
        <v>0.48675776620588374</v>
      </c>
      <c r="Y24" s="920">
        <f t="shared" si="2"/>
        <v>0.3650683246544128</v>
      </c>
      <c r="Z24" s="920">
        <f t="shared" si="2"/>
        <v>0.24337888310294187</v>
      </c>
      <c r="AA24" s="1029">
        <f t="shared" si="2"/>
        <v>0.1825341623272064</v>
      </c>
      <c r="AC24" s="1430"/>
    </row>
    <row r="25" spans="2:29" ht="15" outlineLevel="1" thickBot="1" x14ac:dyDescent="0.45">
      <c r="B25" s="1771"/>
      <c r="C25" s="7" t="s">
        <v>1816</v>
      </c>
      <c r="D25" s="283">
        <f>Total_Cask_Failure_Rate</f>
        <v>9.0000000000000006E-5</v>
      </c>
      <c r="E25" s="922"/>
      <c r="F25" s="922"/>
      <c r="G25" s="922"/>
      <c r="H25" s="290"/>
      <c r="I25" s="922"/>
      <c r="J25" s="922"/>
      <c r="K25" s="922"/>
      <c r="L25" s="922"/>
      <c r="M25" s="922"/>
      <c r="N25" s="922"/>
      <c r="O25" s="706"/>
      <c r="P25" s="7"/>
      <c r="Q25" s="1413"/>
      <c r="R25" s="7"/>
      <c r="S25" s="7"/>
      <c r="U25" s="2999" t="s">
        <v>1048</v>
      </c>
      <c r="V25" s="1082">
        <f t="shared" ref="V25:AA25" si="3">V24*(SUMIF($D$28:$D$33,"Operation",$E$28:$E$33))</f>
        <v>0.3650683246544128</v>
      </c>
      <c r="W25" s="1777">
        <f t="shared" si="3"/>
        <v>5.8410931944706048</v>
      </c>
      <c r="X25" s="1777">
        <f t="shared" si="3"/>
        <v>2.9205465972353024</v>
      </c>
      <c r="Y25" s="1777">
        <f t="shared" si="3"/>
        <v>2.1904099479264767</v>
      </c>
      <c r="Z25" s="1777">
        <f t="shared" si="3"/>
        <v>1.4602732986176512</v>
      </c>
      <c r="AA25" s="1778">
        <f t="shared" si="3"/>
        <v>1.0952049739632383</v>
      </c>
      <c r="AC25" s="1430"/>
    </row>
    <row r="26" spans="2:29" ht="15" outlineLevel="1" thickBot="1" x14ac:dyDescent="0.45">
      <c r="B26" s="1771"/>
      <c r="C26" s="7"/>
      <c r="D26" s="7"/>
      <c r="E26" s="7"/>
      <c r="F26" s="1773"/>
      <c r="G26" s="930" t="s">
        <v>18</v>
      </c>
      <c r="H26" s="931"/>
      <c r="I26" s="932" t="s">
        <v>778</v>
      </c>
      <c r="J26" s="933"/>
      <c r="K26" s="933"/>
      <c r="L26" s="933"/>
      <c r="M26" s="933"/>
      <c r="N26" s="934"/>
      <c r="O26" s="932" t="s">
        <v>3</v>
      </c>
      <c r="P26" s="934"/>
      <c r="Q26" s="1572" t="s">
        <v>779</v>
      </c>
      <c r="R26" s="285"/>
      <c r="S26" s="1774"/>
      <c r="U26" s="2997" t="s">
        <v>2658</v>
      </c>
      <c r="V26" s="1086">
        <f t="shared" ref="V26:AA26" si="4">V24*(SUMIF($D$28:$D$33,"Movement",$E$28:$E$33)+(SUMIF($D$28:$D$33,"Logistics",$E$28:$E$33)))</f>
        <v>0.20467488016504348</v>
      </c>
      <c r="W26" s="917">
        <f t="shared" si="4"/>
        <v>3.2747980826406957</v>
      </c>
      <c r="X26" s="917">
        <f t="shared" si="4"/>
        <v>1.6373990413203479</v>
      </c>
      <c r="Y26" s="917">
        <f t="shared" si="4"/>
        <v>1.2280492809902608</v>
      </c>
      <c r="Z26" s="917">
        <f t="shared" si="4"/>
        <v>0.81869952066017393</v>
      </c>
      <c r="AA26" s="1028">
        <f t="shared" si="4"/>
        <v>0.61402464049513039</v>
      </c>
      <c r="AC26" s="1430"/>
    </row>
    <row r="27" spans="2:29" ht="15" outlineLevel="1" thickBot="1" x14ac:dyDescent="0.45">
      <c r="B27" s="1771"/>
      <c r="C27" s="1775" t="s">
        <v>1129</v>
      </c>
      <c r="D27" s="1123" t="s">
        <v>782</v>
      </c>
      <c r="E27" s="1123" t="s">
        <v>783</v>
      </c>
      <c r="F27" s="1124" t="s">
        <v>784</v>
      </c>
      <c r="G27" s="562" t="s">
        <v>785</v>
      </c>
      <c r="H27" s="946" t="s">
        <v>783</v>
      </c>
      <c r="I27" s="565" t="s">
        <v>786</v>
      </c>
      <c r="J27" s="559" t="s">
        <v>787</v>
      </c>
      <c r="K27" s="559" t="s">
        <v>788</v>
      </c>
      <c r="L27" s="559" t="s">
        <v>789</v>
      </c>
      <c r="M27" s="559" t="s">
        <v>790</v>
      </c>
      <c r="N27" s="561" t="s">
        <v>783</v>
      </c>
      <c r="O27" s="1145" t="s">
        <v>785</v>
      </c>
      <c r="P27" s="1152" t="s">
        <v>783</v>
      </c>
      <c r="Q27" s="1447" t="s">
        <v>781</v>
      </c>
      <c r="R27" s="786" t="s">
        <v>791</v>
      </c>
      <c r="S27" s="787" t="s">
        <v>792</v>
      </c>
      <c r="U27" s="3000" t="s">
        <v>2657</v>
      </c>
      <c r="V27" s="1089">
        <f t="shared" ref="V27:AA27" si="5">V24*(-SUMIF($S$28:$S$33,"&lt;0"))</f>
        <v>0</v>
      </c>
      <c r="W27" s="920">
        <f t="shared" si="5"/>
        <v>0</v>
      </c>
      <c r="X27" s="920">
        <f t="shared" si="5"/>
        <v>0</v>
      </c>
      <c r="Y27" s="920">
        <f t="shared" si="5"/>
        <v>0</v>
      </c>
      <c r="Z27" s="920">
        <f t="shared" si="5"/>
        <v>0</v>
      </c>
      <c r="AA27" s="1029">
        <f t="shared" si="5"/>
        <v>0</v>
      </c>
      <c r="AC27" s="1430"/>
    </row>
    <row r="28" spans="2:29" ht="15" outlineLevel="1" thickBot="1" x14ac:dyDescent="0.45">
      <c r="B28" s="1771"/>
      <c r="C28" s="1776" t="s">
        <v>1817</v>
      </c>
      <c r="D28" s="847" t="s">
        <v>251</v>
      </c>
      <c r="E28" s="390">
        <f t="shared" ref="E28:E33" si="6">MAX($P28,$N28,$H28)</f>
        <v>0</v>
      </c>
      <c r="F28" s="385">
        <v>0</v>
      </c>
      <c r="G28" s="575" t="s">
        <v>1818</v>
      </c>
      <c r="H28" s="580" t="s">
        <v>263</v>
      </c>
      <c r="I28" s="575"/>
      <c r="J28" s="573"/>
      <c r="K28" s="573"/>
      <c r="L28" s="1176" t="str">
        <f>IFERROR(INDEX('Lower Hot Cell Logistics'!$I$13:$O$19,MATCH($J28,'Lower Hot Cell Logistics'!$H$13:$H$19,0),MATCH($K28,'Lower Hot Cell Logistics'!$H$13:$H$19,0)),"N/A")</f>
        <v>N/A</v>
      </c>
      <c r="M28" s="1176" t="str">
        <f>IFERROR(VLOOKUP($I28,'Lower Hot Cell Logistics'!$H$4:$I$8,2,FALSE),"N/A")</f>
        <v>N/A</v>
      </c>
      <c r="N28" s="580" t="str">
        <f t="shared" ref="N28:N33" si="7">IF(D28="Movement",IFERROR((L28/M28)/(60*60),"Error"),"N/A")</f>
        <v>N/A</v>
      </c>
      <c r="O28" s="575"/>
      <c r="P28" s="580" t="str">
        <f>IF($D28="Logistics",VLOOKUP($O28,'Lower Hot Cell Logistics'!$C$4:$D$69,2,FALSE),"N/A")</f>
        <v>N/A</v>
      </c>
      <c r="Q28" s="1448"/>
      <c r="R28" s="464" t="str">
        <f>IFERROR(VLOOKUP($Q28,'Lower HotCell RecoveryLogistics'!C580:F585,4,FALSE),"N/A")</f>
        <v>N/A</v>
      </c>
      <c r="S28" s="343" t="str">
        <f t="shared" ref="S28:S33" si="8">IFERROR(F27-R28,"N/A")</f>
        <v>N/A</v>
      </c>
      <c r="U28" s="3000" t="s">
        <v>2686</v>
      </c>
      <c r="V28" s="1089">
        <f t="shared" ref="V28:AA28" si="9">V$24*$F$34</f>
        <v>0.56974320481945628</v>
      </c>
      <c r="W28" s="920">
        <f t="shared" si="9"/>
        <v>9.1158912771113005</v>
      </c>
      <c r="X28" s="920">
        <f t="shared" si="9"/>
        <v>4.5579456385556503</v>
      </c>
      <c r="Y28" s="920">
        <f t="shared" si="9"/>
        <v>3.4184592289167375</v>
      </c>
      <c r="Z28" s="920">
        <f t="shared" si="9"/>
        <v>2.2789728192778251</v>
      </c>
      <c r="AA28" s="1029">
        <f t="shared" si="9"/>
        <v>1.7092296144583687</v>
      </c>
      <c r="AC28" s="1430"/>
    </row>
    <row r="29" spans="2:29" outlineLevel="1" x14ac:dyDescent="0.4">
      <c r="B29" s="1771"/>
      <c r="C29" s="1779" t="s">
        <v>1819</v>
      </c>
      <c r="D29" s="847" t="s">
        <v>778</v>
      </c>
      <c r="E29" s="390">
        <f t="shared" si="6"/>
        <v>6.9444444444444448E-2</v>
      </c>
      <c r="F29" s="517">
        <f>IF(S29&lt;0,E29+F28+(-S29),E29+F28)</f>
        <v>6.9444444444444448E-2</v>
      </c>
      <c r="G29" s="575"/>
      <c r="H29" s="580" t="s">
        <v>263</v>
      </c>
      <c r="I29" s="575" t="s">
        <v>1820</v>
      </c>
      <c r="J29" s="573" t="s">
        <v>799</v>
      </c>
      <c r="K29" s="573" t="s">
        <v>451</v>
      </c>
      <c r="L29" s="1176">
        <f>IFERROR(INDEX('Lower Hot Cell Logistics'!$I$13:$O$19,MATCH($J29,'Lower Hot Cell Logistics'!$H$13:$H$19,0),MATCH($K29,'Lower Hot Cell Logistics'!$H$13:$H$19,0)),"N/A")</f>
        <v>50</v>
      </c>
      <c r="M29" s="1176">
        <f>IFERROR(VLOOKUP($I29,'Lower Hot Cell Logistics'!$H$4:$I$8,2,FALSE),"N/A")</f>
        <v>0.2</v>
      </c>
      <c r="N29" s="580">
        <f t="shared" si="7"/>
        <v>6.9444444444444448E-2</v>
      </c>
      <c r="O29" s="575"/>
      <c r="P29" s="580" t="str">
        <f>IF($D29="Logistics",VLOOKUP($O29,'Lower Hot Cell Logistics'!$C$4:$D$69,2,FALSE),"N/A")</f>
        <v>N/A</v>
      </c>
      <c r="Q29" s="1448"/>
      <c r="R29" s="464" t="str">
        <f>IFERROR(VLOOKUP($Q29,'Lower HotCell RecoveryLogistics'!C581:F586,4,FALSE),"N/A")</f>
        <v>N/A</v>
      </c>
      <c r="S29" s="343" t="str">
        <f t="shared" si="8"/>
        <v>N/A</v>
      </c>
      <c r="AC29" s="1430"/>
    </row>
    <row r="30" spans="2:29" outlineLevel="1" x14ac:dyDescent="0.4">
      <c r="B30" s="1771"/>
      <c r="C30" s="1780" t="s">
        <v>1821</v>
      </c>
      <c r="D30" s="1781" t="s">
        <v>3</v>
      </c>
      <c r="E30" s="390">
        <f t="shared" si="6"/>
        <v>1.8</v>
      </c>
      <c r="F30" s="517">
        <f>IF(S30&lt;0,E30+F29+(-S30),E30+F29)</f>
        <v>1.8694444444444445</v>
      </c>
      <c r="G30" s="575"/>
      <c r="H30" s="580" t="s">
        <v>263</v>
      </c>
      <c r="I30" s="575"/>
      <c r="J30" s="573"/>
      <c r="K30" s="573"/>
      <c r="L30" s="1176" t="str">
        <f>IFERROR(INDEX('Lower Hot Cell Logistics'!$I$13:$O$19,MATCH($J30,'Lower Hot Cell Logistics'!$H$13:$H$19,0),MATCH($K30,'Lower Hot Cell Logistics'!$H$13:$H$19,0)),"N/A")</f>
        <v>N/A</v>
      </c>
      <c r="M30" s="1176" t="str">
        <f>IFERROR(VLOOKUP($I30,'Lower Hot Cell Logistics'!$H$4:$I$8,2,FALSE),"N/A")</f>
        <v>N/A</v>
      </c>
      <c r="N30" s="580" t="str">
        <f t="shared" si="7"/>
        <v>N/A</v>
      </c>
      <c r="O30" s="879" t="s">
        <v>1822</v>
      </c>
      <c r="P30" s="580">
        <f>IF($D30="Logistics",VLOOKUP($O30,'Lower Hot Cell Logistics'!$C$4:$D$69,2,FALSE),"N/A")</f>
        <v>1.8</v>
      </c>
      <c r="Q30" s="1448"/>
      <c r="R30" s="464" t="str">
        <f>IFERROR(VLOOKUP($Q30,'Lower HotCell RecoveryLogistics'!C582:F587,4,FALSE),"N/A")</f>
        <v>N/A</v>
      </c>
      <c r="S30" s="343" t="str">
        <f t="shared" si="8"/>
        <v>N/A</v>
      </c>
      <c r="AC30" s="1430"/>
    </row>
    <row r="31" spans="2:29" ht="38.6" outlineLevel="1" x14ac:dyDescent="0.4">
      <c r="B31" s="1771"/>
      <c r="C31" s="1458" t="s">
        <v>1823</v>
      </c>
      <c r="D31" s="1781" t="s">
        <v>251</v>
      </c>
      <c r="E31" s="459">
        <f t="shared" si="6"/>
        <v>6</v>
      </c>
      <c r="F31" s="517">
        <f>IF(S31&lt;0,E31+F30+(-S31),E31+F30)</f>
        <v>7.8694444444444445</v>
      </c>
      <c r="G31" s="575" t="s">
        <v>1818</v>
      </c>
      <c r="H31" s="580">
        <v>6</v>
      </c>
      <c r="I31" s="575"/>
      <c r="J31" s="573"/>
      <c r="K31" s="573"/>
      <c r="L31" s="1176" t="str">
        <f>IFERROR(INDEX('Lower Hot Cell Logistics'!$I$13:$O$19,MATCH($J31,'Lower Hot Cell Logistics'!$H$13:$H$19,0),MATCH($K31,'Lower Hot Cell Logistics'!$H$13:$H$19,0)),"N/A")</f>
        <v>N/A</v>
      </c>
      <c r="M31" s="1176" t="str">
        <f>IFERROR(VLOOKUP($I31,'Lower Hot Cell Logistics'!$H$4:$I$8,2,FALSE),"N/A")</f>
        <v>N/A</v>
      </c>
      <c r="N31" s="580" t="str">
        <f t="shared" si="7"/>
        <v>N/A</v>
      </c>
      <c r="O31" s="879"/>
      <c r="P31" s="580" t="str">
        <f>IF($D31="Logistics",VLOOKUP($O31,'Lower Hot Cell Logistics'!$C$4:$D$69,2,FALSE),"N/A")</f>
        <v>N/A</v>
      </c>
      <c r="Q31" s="1482" t="s">
        <v>1824</v>
      </c>
      <c r="R31" s="464" t="str">
        <f>IFERROR(VLOOKUP($Q31,'Lower HotCell RecoveryLogistics'!C583:F588,4,FALSE),"N/A")</f>
        <v>N/A</v>
      </c>
      <c r="S31" s="343" t="str">
        <f t="shared" si="8"/>
        <v>N/A</v>
      </c>
      <c r="AB31" s="5"/>
      <c r="AC31" s="1430"/>
    </row>
    <row r="32" spans="2:29" outlineLevel="1" x14ac:dyDescent="0.4">
      <c r="B32" s="1771"/>
      <c r="C32" s="1159" t="s">
        <v>1825</v>
      </c>
      <c r="D32" s="847" t="s">
        <v>778</v>
      </c>
      <c r="E32" s="390">
        <f t="shared" si="6"/>
        <v>0.69444444444444442</v>
      </c>
      <c r="F32" s="517">
        <f>IF(S32&lt;0,E32+F31+(-S32),E32+F31)</f>
        <v>8.5638888888888882</v>
      </c>
      <c r="G32" s="575"/>
      <c r="H32" s="850" t="s">
        <v>263</v>
      </c>
      <c r="I32" s="575" t="s">
        <v>1826</v>
      </c>
      <c r="J32" s="573" t="s">
        <v>799</v>
      </c>
      <c r="K32" s="573" t="s">
        <v>451</v>
      </c>
      <c r="L32" s="1176">
        <f>IFERROR(INDEX('Lower Hot Cell Logistics'!$I$13:$O$19,MATCH($J32,'Lower Hot Cell Logistics'!$H$13:$H$19,0),MATCH($K32,'Lower Hot Cell Logistics'!$H$13:$H$19,0)),"N/A")</f>
        <v>50</v>
      </c>
      <c r="M32" s="1176">
        <f>IFERROR(VLOOKUP($I32,'Lower Hot Cell Logistics'!$H$4:$I$8,2,FALSE),"N/A")</f>
        <v>0.02</v>
      </c>
      <c r="N32" s="580">
        <f t="shared" si="7"/>
        <v>0.69444444444444442</v>
      </c>
      <c r="O32" s="575"/>
      <c r="P32" s="580" t="str">
        <f>IF($D32="Logistics",VLOOKUP($O32,'Lower Hot Cell Logistics'!$C$4:$D$69,2,FALSE),"N/A")</f>
        <v>N/A</v>
      </c>
      <c r="Q32" s="1449"/>
      <c r="R32" s="464" t="str">
        <f>IFERROR(VLOOKUP($Q32,'Lower HotCell RecoveryLogistics'!C591:F597,4,FALSE),"N/A")</f>
        <v>N/A</v>
      </c>
      <c r="S32" s="343" t="str">
        <f t="shared" si="8"/>
        <v>N/A</v>
      </c>
      <c r="U32" s="3343"/>
      <c r="V32" s="177"/>
      <c r="AB32" s="5"/>
      <c r="AC32" s="1430"/>
    </row>
    <row r="33" spans="2:29" ht="15" outlineLevel="1" thickBot="1" x14ac:dyDescent="0.45">
      <c r="B33" s="1771"/>
      <c r="C33" s="1146" t="s">
        <v>1827</v>
      </c>
      <c r="D33" s="808" t="s">
        <v>3</v>
      </c>
      <c r="E33" s="349">
        <f t="shared" si="6"/>
        <v>0.8</v>
      </c>
      <c r="F33" s="517">
        <f>IF(S33&lt;0,E33+F32+(-S33),E33+F32)</f>
        <v>9.3638888888888889</v>
      </c>
      <c r="G33" s="586"/>
      <c r="H33" s="811" t="s">
        <v>263</v>
      </c>
      <c r="I33" s="586"/>
      <c r="J33" s="584"/>
      <c r="K33" s="584"/>
      <c r="L33" s="1179" t="str">
        <f>IFERROR(INDEX('Lower Hot Cell Logistics'!$I$13:$O$19,MATCH($J33,'Lower Hot Cell Logistics'!$H$13:$H$19,0),MATCH($K33,'Lower Hot Cell Logistics'!$H$13:$H$19,0)),"N/A")</f>
        <v>N/A</v>
      </c>
      <c r="M33" s="1179" t="str">
        <f>IFERROR(VLOOKUP($I33,'Lower Hot Cell Logistics'!$H$4:$I$8,2,FALSE),"N/A")</f>
        <v>N/A</v>
      </c>
      <c r="N33" s="591" t="str">
        <f t="shared" si="7"/>
        <v>N/A</v>
      </c>
      <c r="O33" s="586" t="s">
        <v>1828</v>
      </c>
      <c r="P33" s="591">
        <f>IF($D33="Logistics",VLOOKUP($O33,'Lower Hot Cell Logistics'!$C$4:$D$69,2,FALSE),"N/A")</f>
        <v>0.8</v>
      </c>
      <c r="Q33" s="1450"/>
      <c r="R33" s="464" t="str">
        <f>IFERROR(VLOOKUP($Q33,'Lower HotCell RecoveryLogistics'!C592:F598,4,FALSE),"N/A")</f>
        <v>N/A</v>
      </c>
      <c r="S33" s="343" t="str">
        <f t="shared" si="8"/>
        <v>N/A</v>
      </c>
      <c r="U33" s="3343"/>
      <c r="V33" s="177"/>
      <c r="AB33" s="290"/>
      <c r="AC33" s="915"/>
    </row>
    <row r="34" spans="2:29" outlineLevel="1" x14ac:dyDescent="0.4">
      <c r="B34" s="1771"/>
      <c r="C34" s="7"/>
      <c r="D34" s="870" t="s">
        <v>11</v>
      </c>
      <c r="E34" s="290"/>
      <c r="F34" s="290">
        <f>F33</f>
        <v>9.3638888888888889</v>
      </c>
      <c r="G34" s="290"/>
      <c r="H34" s="7"/>
      <c r="I34" s="7"/>
      <c r="J34" s="7"/>
      <c r="K34" s="7"/>
      <c r="L34" s="7"/>
      <c r="M34" s="7"/>
      <c r="N34" s="7"/>
      <c r="O34" s="7"/>
      <c r="P34" s="1413"/>
      <c r="Q34" s="7"/>
      <c r="R34" s="7"/>
      <c r="S34" s="5"/>
      <c r="T34" s="7"/>
      <c r="U34" s="3342"/>
      <c r="V34" s="290"/>
      <c r="W34" s="290"/>
      <c r="X34" s="290"/>
      <c r="Y34" s="290"/>
      <c r="Z34" s="290"/>
      <c r="AA34" s="290"/>
      <c r="AB34" s="290"/>
      <c r="AC34" s="915"/>
    </row>
    <row r="35" spans="2:29" outlineLevel="1" x14ac:dyDescent="0.4">
      <c r="B35" s="1771"/>
      <c r="C35" s="1144"/>
      <c r="D35" s="894"/>
      <c r="E35" s="894"/>
      <c r="F35" s="94"/>
      <c r="G35" s="895"/>
      <c r="H35" s="94"/>
      <c r="I35" s="94"/>
      <c r="J35" s="94"/>
      <c r="K35" s="895"/>
      <c r="L35" s="895"/>
      <c r="M35" s="895"/>
      <c r="N35" s="94"/>
      <c r="O35" s="895"/>
      <c r="P35" s="1782"/>
      <c r="Q35" s="895"/>
      <c r="R35" s="895"/>
      <c r="S35" s="5"/>
      <c r="T35" s="7"/>
      <c r="U35" s="3342"/>
      <c r="V35" s="290"/>
      <c r="W35" s="290"/>
      <c r="X35" s="290"/>
      <c r="Y35" s="290"/>
      <c r="Z35" s="290"/>
      <c r="AA35" s="290"/>
      <c r="AB35" s="5"/>
      <c r="AC35" s="1430"/>
    </row>
    <row r="36" spans="2:29" x14ac:dyDescent="0.4">
      <c r="B36" s="1783"/>
      <c r="C36" s="1784"/>
      <c r="D36" s="1784"/>
      <c r="E36" s="1784"/>
      <c r="F36" s="1784"/>
      <c r="G36" s="1784"/>
      <c r="H36" s="1784"/>
      <c r="I36" s="1784"/>
      <c r="J36" s="1784"/>
      <c r="K36" s="1784"/>
      <c r="L36" s="1784"/>
      <c r="M36" s="1784"/>
      <c r="N36" s="1784"/>
      <c r="O36" s="1784"/>
      <c r="P36" s="1784"/>
      <c r="Q36" s="1784"/>
      <c r="R36" s="1784"/>
      <c r="S36" s="1784"/>
      <c r="T36" s="1784"/>
      <c r="U36" s="3344"/>
      <c r="V36" s="1784"/>
      <c r="W36" s="1784"/>
      <c r="X36" s="1784"/>
      <c r="Y36" s="1784"/>
      <c r="Z36" s="1784"/>
      <c r="AA36" s="1784"/>
      <c r="AB36" s="1784"/>
      <c r="AC36" s="1784"/>
    </row>
    <row r="37" spans="2:29" x14ac:dyDescent="0.4">
      <c r="B37" s="5"/>
      <c r="C37" s="5"/>
      <c r="D37" s="1139"/>
      <c r="E37" s="1139"/>
      <c r="F37" s="1139"/>
      <c r="G37" s="1140"/>
      <c r="H37" s="1139"/>
      <c r="I37" s="1139"/>
      <c r="J37" s="1139"/>
      <c r="K37" s="1139"/>
      <c r="L37" s="1139"/>
      <c r="M37" s="1139"/>
      <c r="N37" s="1141"/>
      <c r="O37" s="7"/>
      <c r="P37" s="1413"/>
      <c r="Q37" s="7"/>
      <c r="R37" s="7"/>
      <c r="S37" s="7"/>
      <c r="T37" s="7"/>
      <c r="U37" s="3342"/>
      <c r="V37" s="290"/>
      <c r="W37" s="290"/>
      <c r="X37" s="290"/>
      <c r="Y37" s="290"/>
      <c r="Z37" s="290"/>
      <c r="AA37" s="290"/>
      <c r="AB37" s="5"/>
      <c r="AC37"/>
    </row>
    <row r="38" spans="2:29" ht="15.45" x14ac:dyDescent="0.4">
      <c r="B38" s="1769"/>
      <c r="C38" s="1785" t="s">
        <v>1829</v>
      </c>
      <c r="D38" s="1785"/>
      <c r="E38" s="1785"/>
      <c r="F38" s="1785"/>
      <c r="G38" s="1785"/>
      <c r="H38" s="1785"/>
      <c r="I38" s="1785"/>
      <c r="J38" s="1785"/>
      <c r="K38" s="1785"/>
      <c r="L38" s="1785"/>
      <c r="M38" s="1785"/>
      <c r="N38" s="1785"/>
      <c r="O38" s="1785"/>
      <c r="P38" s="1785"/>
      <c r="Q38" s="1786"/>
      <c r="R38" s="1785"/>
      <c r="S38" s="1785"/>
      <c r="T38" s="1785"/>
      <c r="U38" s="3345"/>
      <c r="V38" s="1785"/>
      <c r="W38" s="1785"/>
      <c r="X38" s="1785"/>
      <c r="Y38" s="1785"/>
      <c r="Z38" s="1785"/>
      <c r="AA38" s="1785"/>
      <c r="AB38" s="1785"/>
      <c r="AC38" s="1787"/>
    </row>
    <row r="39" spans="2:29" outlineLevel="1" x14ac:dyDescent="0.4">
      <c r="B39" s="1771"/>
      <c r="C39" s="748" t="s">
        <v>1053</v>
      </c>
      <c r="D39" s="706"/>
      <c r="E39" s="706"/>
      <c r="F39" s="706"/>
      <c r="G39" s="706"/>
      <c r="H39" s="1117"/>
      <c r="I39" s="706"/>
      <c r="J39" s="706"/>
      <c r="K39" s="706"/>
      <c r="L39" s="706"/>
      <c r="M39" s="706"/>
      <c r="N39" s="706"/>
      <c r="O39" s="706"/>
      <c r="P39" s="7"/>
      <c r="Q39" s="1413"/>
      <c r="R39" s="7"/>
      <c r="S39" s="7"/>
      <c r="T39" s="7"/>
      <c r="U39" s="3003"/>
      <c r="V39" s="7"/>
      <c r="W39" s="290"/>
      <c r="X39" s="290"/>
      <c r="Y39" s="290"/>
      <c r="Z39" s="290"/>
      <c r="AA39" s="290"/>
      <c r="AB39" s="290"/>
      <c r="AC39" s="1430"/>
    </row>
    <row r="40" spans="2:29" outlineLevel="1" x14ac:dyDescent="0.4">
      <c r="B40" s="1771"/>
      <c r="C40" s="700" t="s">
        <v>1815</v>
      </c>
      <c r="D40" s="706"/>
      <c r="E40" s="706"/>
      <c r="F40" s="706"/>
      <c r="G40" s="706"/>
      <c r="H40" s="1117"/>
      <c r="I40" s="706"/>
      <c r="J40" s="706"/>
      <c r="K40" s="706"/>
      <c r="L40" s="706"/>
      <c r="M40" s="706"/>
      <c r="N40" s="706"/>
      <c r="O40" s="706"/>
      <c r="P40" s="7"/>
      <c r="Q40" s="1413"/>
      <c r="R40" s="7"/>
      <c r="S40" s="7"/>
      <c r="T40" s="7"/>
      <c r="U40" s="3003"/>
      <c r="V40" s="7"/>
      <c r="W40" s="290"/>
      <c r="X40" s="290"/>
      <c r="Y40" s="290"/>
      <c r="Z40" s="290"/>
      <c r="AA40" s="290"/>
      <c r="AB40" s="290"/>
      <c r="AC40" s="1430"/>
    </row>
    <row r="41" spans="2:29" outlineLevel="1" x14ac:dyDescent="0.4">
      <c r="B41" s="1771"/>
      <c r="C41" s="700" t="s">
        <v>1125</v>
      </c>
      <c r="D41" s="706"/>
      <c r="E41" s="706"/>
      <c r="F41" s="706"/>
      <c r="G41" s="706"/>
      <c r="H41" s="1117"/>
      <c r="I41" s="706"/>
      <c r="J41" s="706"/>
      <c r="K41" s="706"/>
      <c r="L41" s="706"/>
      <c r="M41" s="706"/>
      <c r="N41" s="706"/>
      <c r="O41" s="706"/>
      <c r="P41" s="7"/>
      <c r="Q41" s="1413"/>
      <c r="R41" s="7"/>
      <c r="S41" s="7"/>
      <c r="T41" s="7"/>
      <c r="U41" s="3003"/>
      <c r="V41" s="7"/>
      <c r="W41" s="290"/>
      <c r="X41" s="290"/>
      <c r="Y41" s="290"/>
      <c r="Z41" s="290"/>
      <c r="AA41" s="290"/>
      <c r="AB41" s="290"/>
      <c r="AC41" s="1430"/>
    </row>
    <row r="42" spans="2:29" outlineLevel="1" x14ac:dyDescent="0.4">
      <c r="B42" s="1771"/>
      <c r="C42" s="700"/>
      <c r="E42" s="706"/>
      <c r="F42" s="706"/>
      <c r="G42" s="706"/>
      <c r="H42" s="1117"/>
      <c r="I42" s="706"/>
      <c r="J42" s="706"/>
      <c r="K42" s="706"/>
      <c r="L42" s="706"/>
      <c r="M42" s="706"/>
      <c r="N42" s="706"/>
      <c r="O42" s="706"/>
      <c r="P42" s="7"/>
      <c r="Q42" s="1413"/>
      <c r="R42" s="7"/>
      <c r="S42" s="7"/>
      <c r="T42" s="7"/>
      <c r="U42" s="3003"/>
      <c r="V42" s="7"/>
      <c r="W42" s="290"/>
      <c r="X42" s="290"/>
      <c r="Y42" s="290"/>
      <c r="Z42" s="290"/>
      <c r="AA42" s="290"/>
      <c r="AB42" s="290"/>
      <c r="AC42" s="1430"/>
    </row>
    <row r="43" spans="2:29" outlineLevel="1" x14ac:dyDescent="0.4">
      <c r="B43" s="1771"/>
      <c r="C43" s="748" t="s">
        <v>1056</v>
      </c>
      <c r="D43" s="927">
        <f>SUM(D44)</f>
        <v>1.11E-4</v>
      </c>
      <c r="E43" s="918"/>
      <c r="F43" s="918"/>
      <c r="G43" s="918"/>
      <c r="H43" s="919"/>
      <c r="I43" s="918"/>
      <c r="J43" s="918"/>
      <c r="K43" s="918"/>
      <c r="L43" s="918"/>
      <c r="M43" s="918"/>
      <c r="N43" s="918"/>
      <c r="O43" s="706"/>
      <c r="P43" s="7"/>
      <c r="Q43" s="1413"/>
      <c r="R43" s="7"/>
      <c r="S43" s="7"/>
      <c r="T43" s="7"/>
      <c r="U43" s="3003"/>
      <c r="V43" s="7"/>
      <c r="W43" s="290"/>
      <c r="X43" s="290"/>
      <c r="Y43" s="290"/>
      <c r="Z43" s="290"/>
      <c r="AA43" s="290"/>
      <c r="AB43" s="290"/>
      <c r="AC43" s="1430"/>
    </row>
    <row r="44" spans="2:29" ht="15" outlineLevel="1" thickBot="1" x14ac:dyDescent="0.45">
      <c r="B44" s="1771"/>
      <c r="C44" s="7" t="s">
        <v>1830</v>
      </c>
      <c r="D44" s="283">
        <f>Hardware_transport_failure</f>
        <v>1.11E-4</v>
      </c>
      <c r="E44" s="922"/>
      <c r="F44" s="922"/>
      <c r="G44" s="922"/>
      <c r="H44" s="290"/>
      <c r="I44" s="922"/>
      <c r="J44" s="922"/>
      <c r="K44" s="922"/>
      <c r="L44" s="922"/>
      <c r="M44" s="922"/>
      <c r="N44" s="922"/>
      <c r="O44" s="706"/>
      <c r="P44" s="7"/>
      <c r="Q44" s="1413"/>
      <c r="R44" s="7"/>
      <c r="S44" s="7"/>
      <c r="T44" s="7"/>
      <c r="U44" s="3003"/>
      <c r="V44" s="7"/>
      <c r="W44" s="290"/>
      <c r="X44" s="290"/>
      <c r="Y44" s="290"/>
      <c r="Z44" s="290"/>
      <c r="AA44" s="290"/>
      <c r="AB44" s="290"/>
      <c r="AC44" s="1430"/>
    </row>
    <row r="45" spans="2:29" ht="15" outlineLevel="1" thickBot="1" x14ac:dyDescent="0.45">
      <c r="B45" s="1771"/>
      <c r="C45" s="7"/>
      <c r="D45" s="7"/>
      <c r="E45" s="7"/>
      <c r="F45" s="1773"/>
      <c r="G45" s="3836" t="s">
        <v>18</v>
      </c>
      <c r="H45" s="3837"/>
      <c r="I45" s="3793" t="s">
        <v>778</v>
      </c>
      <c r="J45" s="3794"/>
      <c r="K45" s="3794"/>
      <c r="L45" s="3794"/>
      <c r="M45" s="3794"/>
      <c r="N45" s="3795"/>
      <c r="O45" s="3793" t="s">
        <v>3</v>
      </c>
      <c r="P45" s="3795"/>
      <c r="Q45" s="3838" t="s">
        <v>779</v>
      </c>
      <c r="R45" s="3839"/>
      <c r="S45" s="3840"/>
      <c r="T45" s="7"/>
      <c r="U45" s="3003"/>
      <c r="V45" s="290"/>
      <c r="W45" s="290"/>
      <c r="X45" s="290"/>
      <c r="Y45" s="290"/>
      <c r="Z45" s="290"/>
      <c r="AA45" s="1138"/>
      <c r="AC45" s="1430"/>
    </row>
    <row r="46" spans="2:29" ht="15.75" customHeight="1" outlineLevel="1" thickBot="1" x14ac:dyDescent="0.45">
      <c r="B46" s="1771"/>
      <c r="C46" s="1775" t="s">
        <v>1129</v>
      </c>
      <c r="D46" s="1123" t="s">
        <v>782</v>
      </c>
      <c r="E46" s="1123" t="s">
        <v>783</v>
      </c>
      <c r="F46" s="1124" t="s">
        <v>784</v>
      </c>
      <c r="G46" s="562" t="s">
        <v>785</v>
      </c>
      <c r="H46" s="946" t="s">
        <v>783</v>
      </c>
      <c r="I46" s="565" t="s">
        <v>786</v>
      </c>
      <c r="J46" s="559" t="s">
        <v>787</v>
      </c>
      <c r="K46" s="559" t="s">
        <v>788</v>
      </c>
      <c r="L46" s="559" t="s">
        <v>789</v>
      </c>
      <c r="M46" s="559" t="s">
        <v>790</v>
      </c>
      <c r="N46" s="561" t="s">
        <v>783</v>
      </c>
      <c r="O46" s="1145" t="s">
        <v>785</v>
      </c>
      <c r="P46" s="1152" t="s">
        <v>783</v>
      </c>
      <c r="Q46" s="1447" t="s">
        <v>781</v>
      </c>
      <c r="R46" s="786" t="s">
        <v>791</v>
      </c>
      <c r="S46" s="787" t="s">
        <v>792</v>
      </c>
      <c r="T46" s="7"/>
      <c r="U46" s="3007" t="str">
        <f>C38</f>
        <v>Lower Port Cask Transporter failure during full port maintenance</v>
      </c>
      <c r="V46" s="1119" t="s">
        <v>23</v>
      </c>
      <c r="W46" s="3842" t="s">
        <v>2604</v>
      </c>
      <c r="X46" s="3843"/>
      <c r="Y46" s="3843"/>
      <c r="Z46" s="3843"/>
      <c r="AA46" s="3844"/>
      <c r="AC46" s="1430"/>
    </row>
    <row r="47" spans="2:29" outlineLevel="1" x14ac:dyDescent="0.4">
      <c r="B47" s="1771"/>
      <c r="C47" s="1788" t="s">
        <v>1819</v>
      </c>
      <c r="D47" s="1781" t="s">
        <v>778</v>
      </c>
      <c r="E47" s="459">
        <f t="shared" ref="E47:E56" si="10">MAX($P47,$N47,$H47)</f>
        <v>6.9444444444444448E-2</v>
      </c>
      <c r="F47" s="517">
        <f>E47</f>
        <v>6.9444444444444448E-2</v>
      </c>
      <c r="G47" s="575"/>
      <c r="H47" s="580" t="s">
        <v>263</v>
      </c>
      <c r="I47" s="575" t="s">
        <v>1831</v>
      </c>
      <c r="J47" s="573" t="s">
        <v>799</v>
      </c>
      <c r="K47" s="573" t="s">
        <v>1203</v>
      </c>
      <c r="L47" s="1176">
        <v>50</v>
      </c>
      <c r="M47" s="1176">
        <v>0.2</v>
      </c>
      <c r="N47" s="580">
        <f>IF(D47="Movement",IFERROR((L47/M47)/(60*60),"Error"),"N/A")</f>
        <v>6.9444444444444448E-2</v>
      </c>
      <c r="O47" s="879"/>
      <c r="P47" s="580" t="s">
        <v>263</v>
      </c>
      <c r="Q47" s="1448"/>
      <c r="R47" s="320" t="s">
        <v>263</v>
      </c>
      <c r="S47" s="319" t="str">
        <f>IFERROR(F47-E47-R47,"N/A")</f>
        <v>N/A</v>
      </c>
      <c r="T47" s="7"/>
      <c r="U47" s="3145" t="s">
        <v>1055</v>
      </c>
      <c r="V47" s="1122">
        <v>1</v>
      </c>
      <c r="W47" s="1512">
        <v>1</v>
      </c>
      <c r="X47" s="916">
        <v>2</v>
      </c>
      <c r="Y47" s="916">
        <v>3</v>
      </c>
      <c r="Z47" s="916">
        <v>4</v>
      </c>
      <c r="AA47" s="1045">
        <v>6</v>
      </c>
      <c r="AC47" s="1430"/>
    </row>
    <row r="48" spans="2:29" outlineLevel="1" x14ac:dyDescent="0.4">
      <c r="B48" s="1771"/>
      <c r="C48" s="1780" t="s">
        <v>1832</v>
      </c>
      <c r="D48" s="1781" t="s">
        <v>3</v>
      </c>
      <c r="E48" s="459">
        <f t="shared" si="10"/>
        <v>1.9</v>
      </c>
      <c r="F48" s="517">
        <f t="shared" ref="F48:F57" si="11">IF(S48&lt;0,E48+F47+(-S48),E48+F47)</f>
        <v>1.9694444444444443</v>
      </c>
      <c r="G48" s="575"/>
      <c r="H48" s="580" t="s">
        <v>263</v>
      </c>
      <c r="I48" s="575"/>
      <c r="J48" s="573"/>
      <c r="K48" s="573"/>
      <c r="L48" s="1176" t="s">
        <v>263</v>
      </c>
      <c r="M48" s="1176" t="s">
        <v>263</v>
      </c>
      <c r="N48" s="580" t="str">
        <f>IF(D48="Movement",IFERROR((L48/M48)/(60*60),"Error"),"N/A")</f>
        <v>N/A</v>
      </c>
      <c r="O48" s="879" t="s">
        <v>1541</v>
      </c>
      <c r="P48" s="580">
        <v>1.9</v>
      </c>
      <c r="Q48" s="1449"/>
      <c r="R48" s="853" t="s">
        <v>263</v>
      </c>
      <c r="S48" s="576" t="str">
        <f t="shared" ref="S48:S57" si="12">IFERROR(F47-R48,"N/A")</f>
        <v>N/A</v>
      </c>
      <c r="T48" s="7"/>
      <c r="U48" s="3337" t="s">
        <v>1833</v>
      </c>
      <c r="V48" s="1086">
        <f>SUMIF('Lower Cask Critical Path'!$D:$D, "Movement", 'Lower Cask Critical Path'!$E:$E)+SUMIF('Lower Cask Dependencies'!$D:$D, "Movement", 'Lower Cask Dependencies'!$E:$E)</f>
        <v>23.240740740740748</v>
      </c>
      <c r="W48" s="1415">
        <f>SUMIF('Lower Cask Critical Path'!$D:$D, "Movement", 'Lower Cask Critical Path'!$E:$E)+SUMIF('Lower Cask Dependencies'!$D:$D, "Movement", 'Lower Cask Dependencies'!$E:$E)</f>
        <v>23.240740740740748</v>
      </c>
      <c r="X48" s="1790">
        <f>SUMIF('Lower Cask Critical Path'!$D:$D, "Movement", 'Lower Cask Critical Path'!$E:$E)+SUMIF('Lower Cask Dependencies'!$D:$D, "Movement", 'Lower Cask Dependencies'!$E:$E)</f>
        <v>23.240740740740748</v>
      </c>
      <c r="Y48" s="290">
        <f>SUMIF('Lower Cask Critical Path'!$D:$D, "Movement", 'Lower Cask Critical Path'!$E:$E)+SUMIF('Lower Cask Dependencies'!$D:$D, "Movement", 'Lower Cask Dependencies'!$E:$E)</f>
        <v>23.240740740740748</v>
      </c>
      <c r="Z48" s="290">
        <f>SUMIF('Lower Cask Critical Path'!$D:$D, "Movement", 'Lower Cask Critical Path'!$E:$E)+SUMIF('Lower Cask Dependencies'!$D:$D, "Movement", 'Lower Cask Dependencies'!$E:$E)</f>
        <v>23.240740740740748</v>
      </c>
      <c r="AA48" s="1028">
        <f>SUMIF('Lower Cask Critical Path'!$D:$D, "Movement", 'Lower Cask Critical Path'!$E:$E)+SUMIF('Lower Cask Dependencies'!$D:$D, "Movement", 'Lower Cask Dependencies'!$E:$E)</f>
        <v>23.240740740740748</v>
      </c>
      <c r="AC48" s="1430"/>
    </row>
    <row r="49" spans="2:35" outlineLevel="1" x14ac:dyDescent="0.4">
      <c r="B49" s="1771"/>
      <c r="C49" s="1458" t="s">
        <v>1834</v>
      </c>
      <c r="D49" s="1781" t="s">
        <v>251</v>
      </c>
      <c r="E49" s="459">
        <f t="shared" si="10"/>
        <v>3</v>
      </c>
      <c r="F49" s="517">
        <f t="shared" si="11"/>
        <v>4.9694444444444441</v>
      </c>
      <c r="G49" s="575" t="s">
        <v>1818</v>
      </c>
      <c r="H49" s="580">
        <v>3</v>
      </c>
      <c r="I49" s="575"/>
      <c r="J49" s="573"/>
      <c r="K49" s="573"/>
      <c r="L49" s="1176" t="s">
        <v>263</v>
      </c>
      <c r="M49" s="1176" t="s">
        <v>263</v>
      </c>
      <c r="N49" s="580" t="str">
        <f t="shared" ref="N49:N56" si="13">IF(D49="Movement",IFERROR((L49/M49)/(60*60),"Error"),"N/A")</f>
        <v>N/A</v>
      </c>
      <c r="O49" s="879" t="s">
        <v>1835</v>
      </c>
      <c r="P49" s="580" t="s">
        <v>263</v>
      </c>
      <c r="Q49" s="1449"/>
      <c r="R49" s="853" t="s">
        <v>263</v>
      </c>
      <c r="S49" s="576" t="str">
        <f t="shared" si="12"/>
        <v>N/A</v>
      </c>
      <c r="T49" s="7"/>
      <c r="U49" s="3140" t="s">
        <v>2668</v>
      </c>
      <c r="V49" s="1415">
        <f>V48</f>
        <v>23.240740740740748</v>
      </c>
      <c r="W49" s="1415">
        <f>(W48*ROUNDUP(Tokamak_Segmts/W47,0))</f>
        <v>371.85185185185196</v>
      </c>
      <c r="X49" s="1790">
        <f>(X48*ROUNDUP(Tokamak_Segmts/X47,0))</f>
        <v>185.92592592592598</v>
      </c>
      <c r="Y49" s="290">
        <f>(Y48*ROUNDUP(Tokamak_Segmts/Y47,0))</f>
        <v>139.44444444444449</v>
      </c>
      <c r="Z49" s="290">
        <f>(Z48*ROUNDUP(Tokamak_Segmts/Z47,0))</f>
        <v>92.96296296296299</v>
      </c>
      <c r="AA49" s="1028">
        <f>(AA48*ROUNDUP(Tokamak_Segmts/AA47,0))</f>
        <v>69.722222222222243</v>
      </c>
      <c r="AC49" s="1430"/>
    </row>
    <row r="50" spans="2:35" ht="15" outlineLevel="1" thickBot="1" x14ac:dyDescent="0.45">
      <c r="B50" s="1771"/>
      <c r="C50" s="1458" t="s">
        <v>1836</v>
      </c>
      <c r="D50" s="1781" t="s">
        <v>3</v>
      </c>
      <c r="E50" s="459">
        <f t="shared" si="10"/>
        <v>2.3000000000000003</v>
      </c>
      <c r="F50" s="517">
        <f t="shared" si="11"/>
        <v>7.2694444444444439</v>
      </c>
      <c r="G50" s="575"/>
      <c r="H50" s="850" t="s">
        <v>263</v>
      </c>
      <c r="I50" s="575"/>
      <c r="J50" s="573"/>
      <c r="K50" s="573"/>
      <c r="L50" s="1176" t="s">
        <v>263</v>
      </c>
      <c r="M50" s="1176" t="s">
        <v>263</v>
      </c>
      <c r="N50" s="580" t="str">
        <f t="shared" si="13"/>
        <v>N/A</v>
      </c>
      <c r="O50" s="879" t="s">
        <v>1552</v>
      </c>
      <c r="P50" s="580">
        <v>2.3000000000000003</v>
      </c>
      <c r="Q50" s="1449"/>
      <c r="R50" s="853" t="s">
        <v>263</v>
      </c>
      <c r="S50" s="576" t="str">
        <f t="shared" si="12"/>
        <v>N/A</v>
      </c>
      <c r="T50" s="947"/>
      <c r="U50" s="2997" t="s">
        <v>2666</v>
      </c>
      <c r="V50" s="920">
        <f>V$49*$D$43</f>
        <v>2.5797222222222228E-3</v>
      </c>
      <c r="W50" s="1416">
        <f t="shared" ref="W50:AA50" si="14">W$49*$D$43</f>
        <v>4.1275555555555565E-2</v>
      </c>
      <c r="X50" s="1791">
        <f t="shared" si="14"/>
        <v>2.0637777777777783E-2</v>
      </c>
      <c r="Y50" s="1138">
        <f t="shared" si="14"/>
        <v>1.5478333333333339E-2</v>
      </c>
      <c r="Z50" s="1138">
        <f t="shared" si="14"/>
        <v>1.0318888888888891E-2</v>
      </c>
      <c r="AA50" s="1029">
        <f t="shared" si="14"/>
        <v>7.7391666666666694E-3</v>
      </c>
      <c r="AC50" s="1430"/>
    </row>
    <row r="51" spans="2:35" outlineLevel="1" x14ac:dyDescent="0.4">
      <c r="B51" s="1771"/>
      <c r="C51" s="1128" t="s">
        <v>1577</v>
      </c>
      <c r="D51" s="847" t="s">
        <v>3</v>
      </c>
      <c r="E51" s="390">
        <f t="shared" si="10"/>
        <v>2.3000000000000003</v>
      </c>
      <c r="F51" s="517">
        <f t="shared" si="11"/>
        <v>9.5694444444444446</v>
      </c>
      <c r="G51" s="575"/>
      <c r="H51" s="850" t="s">
        <v>263</v>
      </c>
      <c r="I51" s="575"/>
      <c r="J51" s="573"/>
      <c r="K51" s="573"/>
      <c r="L51" s="1176" t="s">
        <v>263</v>
      </c>
      <c r="M51" s="1176" t="s">
        <v>263</v>
      </c>
      <c r="N51" s="580" t="str">
        <f t="shared" si="13"/>
        <v>N/A</v>
      </c>
      <c r="O51" s="575" t="s">
        <v>1552</v>
      </c>
      <c r="P51" s="580">
        <v>2.3000000000000003</v>
      </c>
      <c r="Q51" s="1449"/>
      <c r="R51" s="853" t="s">
        <v>263</v>
      </c>
      <c r="S51" s="576" t="str">
        <f t="shared" si="12"/>
        <v>N/A</v>
      </c>
      <c r="T51" s="5"/>
      <c r="U51" s="2999" t="s">
        <v>1048</v>
      </c>
      <c r="V51" s="1082">
        <f t="shared" ref="V51:AA51" si="15">V50*(SUMIF($D$47:$D$57,"Operation",$E$47:$E$57))</f>
        <v>7.7391666666666685E-3</v>
      </c>
      <c r="W51" s="1083">
        <f t="shared" si="15"/>
        <v>0.1238266666666667</v>
      </c>
      <c r="X51" s="1084">
        <f t="shared" si="15"/>
        <v>6.1913333333333348E-2</v>
      </c>
      <c r="Y51" s="1084">
        <f t="shared" si="15"/>
        <v>4.6435000000000018E-2</v>
      </c>
      <c r="Z51" s="1084">
        <f t="shared" si="15"/>
        <v>3.0956666666666674E-2</v>
      </c>
      <c r="AA51" s="1085">
        <f t="shared" si="15"/>
        <v>2.3217500000000009E-2</v>
      </c>
      <c r="AC51" s="1430"/>
    </row>
    <row r="52" spans="2:35" outlineLevel="1" x14ac:dyDescent="0.4">
      <c r="B52" s="1771"/>
      <c r="C52" s="1128" t="s">
        <v>1150</v>
      </c>
      <c r="D52" s="659" t="s">
        <v>778</v>
      </c>
      <c r="E52" s="390">
        <f t="shared" si="10"/>
        <v>0.69444444444444442</v>
      </c>
      <c r="F52" s="517">
        <f t="shared" si="11"/>
        <v>10.263888888888889</v>
      </c>
      <c r="G52" s="575"/>
      <c r="H52" s="850" t="s">
        <v>263</v>
      </c>
      <c r="I52" s="575" t="s">
        <v>1538</v>
      </c>
      <c r="J52" s="573" t="s">
        <v>1203</v>
      </c>
      <c r="K52" s="573" t="s">
        <v>914</v>
      </c>
      <c r="L52" s="1176">
        <v>50</v>
      </c>
      <c r="M52" s="1176">
        <v>0.02</v>
      </c>
      <c r="N52" s="580">
        <f t="shared" si="13"/>
        <v>0.69444444444444442</v>
      </c>
      <c r="O52" s="575"/>
      <c r="P52" s="580" t="s">
        <v>263</v>
      </c>
      <c r="Q52" s="1449"/>
      <c r="R52" s="853" t="s">
        <v>263</v>
      </c>
      <c r="S52" s="576" t="str">
        <f t="shared" si="12"/>
        <v>N/A</v>
      </c>
      <c r="T52" s="5"/>
      <c r="U52" s="2997" t="s">
        <v>2658</v>
      </c>
      <c r="V52" s="1086">
        <f t="shared" ref="V52:AA52" si="16">V50*(SUMIF($D$47:$D$57,"Movement",$E$47:$E$57)+(SUMIF($D$47:$D$57,"Logistics",$E$47:$E$57)))</f>
        <v>2.9920478240740751E-2</v>
      </c>
      <c r="W52" s="1087">
        <f t="shared" si="16"/>
        <v>0.47872765185185201</v>
      </c>
      <c r="X52" s="915">
        <f t="shared" si="16"/>
        <v>0.239363825925926</v>
      </c>
      <c r="Y52" s="915">
        <f t="shared" si="16"/>
        <v>0.17952286944444454</v>
      </c>
      <c r="Z52" s="915">
        <f t="shared" si="16"/>
        <v>0.119681912962963</v>
      </c>
      <c r="AA52" s="1088">
        <f t="shared" si="16"/>
        <v>8.9761434722222269E-2</v>
      </c>
      <c r="AC52" s="1430"/>
    </row>
    <row r="53" spans="2:35" ht="15" outlineLevel="1" thickBot="1" x14ac:dyDescent="0.45">
      <c r="B53" s="1771"/>
      <c r="C53" s="1128" t="s">
        <v>1837</v>
      </c>
      <c r="D53" s="847" t="s">
        <v>3</v>
      </c>
      <c r="E53" s="390">
        <f t="shared" si="10"/>
        <v>0.58000000000000007</v>
      </c>
      <c r="F53" s="517">
        <f t="shared" si="11"/>
        <v>10.843888888888889</v>
      </c>
      <c r="G53" s="575"/>
      <c r="H53" s="850" t="s">
        <v>263</v>
      </c>
      <c r="I53" s="575"/>
      <c r="J53" s="573"/>
      <c r="K53" s="573"/>
      <c r="L53" s="1176" t="s">
        <v>263</v>
      </c>
      <c r="M53" s="1176" t="s">
        <v>263</v>
      </c>
      <c r="N53" s="580" t="str">
        <f t="shared" si="13"/>
        <v>N/A</v>
      </c>
      <c r="O53" s="575" t="s">
        <v>1838</v>
      </c>
      <c r="P53" s="580">
        <v>0.58000000000000007</v>
      </c>
      <c r="Q53" s="1449"/>
      <c r="R53" s="853" t="s">
        <v>263</v>
      </c>
      <c r="S53" s="576" t="str">
        <f t="shared" si="12"/>
        <v>N/A</v>
      </c>
      <c r="T53" s="5"/>
      <c r="U53" s="3000" t="s">
        <v>2657</v>
      </c>
      <c r="V53" s="1089">
        <f t="shared" ref="V53:AA53" si="17">V50*(-SUMIF($S$47:$S$57,"&lt;0"))</f>
        <v>0</v>
      </c>
      <c r="W53" s="1090">
        <f t="shared" si="17"/>
        <v>0</v>
      </c>
      <c r="X53" s="1091">
        <f t="shared" si="17"/>
        <v>0</v>
      </c>
      <c r="Y53" s="1091">
        <f t="shared" si="17"/>
        <v>0</v>
      </c>
      <c r="Z53" s="1091">
        <f t="shared" si="17"/>
        <v>0</v>
      </c>
      <c r="AA53" s="1092">
        <f t="shared" si="17"/>
        <v>0</v>
      </c>
      <c r="AC53" s="1430"/>
    </row>
    <row r="54" spans="2:35" ht="15" outlineLevel="1" thickBot="1" x14ac:dyDescent="0.45">
      <c r="B54" s="1771"/>
      <c r="C54" s="1128" t="s">
        <v>1839</v>
      </c>
      <c r="D54" s="847" t="s">
        <v>3</v>
      </c>
      <c r="E54" s="390">
        <f t="shared" si="10"/>
        <v>0.78</v>
      </c>
      <c r="F54" s="517">
        <f t="shared" si="11"/>
        <v>11.623888888888889</v>
      </c>
      <c r="G54" s="575"/>
      <c r="H54" s="850" t="s">
        <v>263</v>
      </c>
      <c r="I54" s="575"/>
      <c r="J54" s="573"/>
      <c r="K54" s="573"/>
      <c r="L54" s="1176" t="s">
        <v>263</v>
      </c>
      <c r="M54" s="1176" t="s">
        <v>263</v>
      </c>
      <c r="N54" s="580" t="str">
        <f t="shared" si="13"/>
        <v>N/A</v>
      </c>
      <c r="O54" s="575" t="s">
        <v>1740</v>
      </c>
      <c r="P54" s="580">
        <v>0.78</v>
      </c>
      <c r="Q54" s="1449"/>
      <c r="R54" s="853" t="s">
        <v>263</v>
      </c>
      <c r="S54" s="576" t="str">
        <f t="shared" si="12"/>
        <v>N/A</v>
      </c>
      <c r="T54" s="5"/>
      <c r="U54" s="3000" t="s">
        <v>2686</v>
      </c>
      <c r="V54" s="1089">
        <f t="shared" ref="V54:AA54" si="18">V$50*$F$58</f>
        <v>3.7659644907407419E-2</v>
      </c>
      <c r="W54" s="920">
        <f t="shared" si="18"/>
        <v>0.60255431851851871</v>
      </c>
      <c r="X54" s="920">
        <f t="shared" si="18"/>
        <v>0.30127715925925935</v>
      </c>
      <c r="Y54" s="920">
        <f t="shared" si="18"/>
        <v>0.22595786944444454</v>
      </c>
      <c r="Z54" s="920">
        <f t="shared" si="18"/>
        <v>0.15063857962962968</v>
      </c>
      <c r="AA54" s="1029">
        <f t="shared" si="18"/>
        <v>0.11297893472222227</v>
      </c>
      <c r="AC54" s="1430"/>
    </row>
    <row r="55" spans="2:35" outlineLevel="1" x14ac:dyDescent="0.4">
      <c r="B55" s="1771"/>
      <c r="C55" s="1159" t="s">
        <v>1840</v>
      </c>
      <c r="D55" s="847" t="s">
        <v>778</v>
      </c>
      <c r="E55" s="390">
        <f t="shared" si="10"/>
        <v>0.69444444444444442</v>
      </c>
      <c r="F55" s="517">
        <f t="shared" si="11"/>
        <v>12.318333333333333</v>
      </c>
      <c r="G55" s="575"/>
      <c r="H55" s="850" t="s">
        <v>263</v>
      </c>
      <c r="I55" s="575" t="s">
        <v>1538</v>
      </c>
      <c r="J55" s="573" t="s">
        <v>799</v>
      </c>
      <c r="K55" s="573" t="s">
        <v>1203</v>
      </c>
      <c r="L55" s="1176">
        <v>50</v>
      </c>
      <c r="M55" s="1176">
        <v>0.02</v>
      </c>
      <c r="N55" s="580">
        <f t="shared" si="13"/>
        <v>0.69444444444444442</v>
      </c>
      <c r="O55" s="575"/>
      <c r="P55" s="580" t="s">
        <v>263</v>
      </c>
      <c r="Q55" s="1449"/>
      <c r="R55" s="853" t="s">
        <v>263</v>
      </c>
      <c r="S55" s="576" t="str">
        <f t="shared" si="12"/>
        <v>N/A</v>
      </c>
      <c r="T55" s="5"/>
      <c r="AC55" s="1430"/>
    </row>
    <row r="56" spans="2:35" outlineLevel="1" x14ac:dyDescent="0.4">
      <c r="B56" s="1771"/>
      <c r="C56" s="1159" t="s">
        <v>1541</v>
      </c>
      <c r="D56" s="847" t="s">
        <v>3</v>
      </c>
      <c r="E56" s="390">
        <f t="shared" si="10"/>
        <v>1.9</v>
      </c>
      <c r="F56" s="517">
        <f t="shared" si="11"/>
        <v>14.218333333333334</v>
      </c>
      <c r="G56" s="575"/>
      <c r="H56" s="850" t="s">
        <v>263</v>
      </c>
      <c r="I56" s="575"/>
      <c r="J56" s="573"/>
      <c r="K56" s="573"/>
      <c r="L56" s="1176" t="s">
        <v>263</v>
      </c>
      <c r="M56" s="1176" t="s">
        <v>263</v>
      </c>
      <c r="N56" s="580" t="str">
        <f t="shared" si="13"/>
        <v>N/A</v>
      </c>
      <c r="O56" s="575" t="s">
        <v>1541</v>
      </c>
      <c r="P56" s="580">
        <v>1.9</v>
      </c>
      <c r="Q56" s="1449"/>
      <c r="R56" s="853" t="s">
        <v>263</v>
      </c>
      <c r="S56" s="576" t="str">
        <f t="shared" si="12"/>
        <v>N/A</v>
      </c>
      <c r="T56" s="5"/>
      <c r="AC56" s="915"/>
    </row>
    <row r="57" spans="2:35" ht="15" outlineLevel="1" thickBot="1" x14ac:dyDescent="0.45">
      <c r="B57" s="1771"/>
      <c r="C57" s="1146" t="s">
        <v>1841</v>
      </c>
      <c r="D57" s="808" t="s">
        <v>3</v>
      </c>
      <c r="E57" s="349">
        <f>MAX($P57,$N57,$H57)</f>
        <v>0.38</v>
      </c>
      <c r="F57" s="517">
        <f t="shared" si="11"/>
        <v>14.598333333333334</v>
      </c>
      <c r="G57" s="586"/>
      <c r="H57" s="811" t="s">
        <v>263</v>
      </c>
      <c r="I57" s="586"/>
      <c r="J57" s="584"/>
      <c r="K57" s="584"/>
      <c r="L57" s="1179" t="s">
        <v>263</v>
      </c>
      <c r="M57" s="1179" t="s">
        <v>263</v>
      </c>
      <c r="N57" s="591" t="str">
        <f>IF(D57="Movement",IFERROR((L57/M57)/(60*60),"Error"),"N/A")</f>
        <v>N/A</v>
      </c>
      <c r="O57" s="586" t="s">
        <v>1544</v>
      </c>
      <c r="P57" s="591">
        <v>0.38</v>
      </c>
      <c r="Q57" s="1450"/>
      <c r="R57" s="814" t="s">
        <v>263</v>
      </c>
      <c r="S57" s="587" t="str">
        <f t="shared" si="12"/>
        <v>N/A</v>
      </c>
      <c r="T57" s="5"/>
      <c r="AB57" s="290"/>
      <c r="AC57" s="915"/>
    </row>
    <row r="58" spans="2:35" outlineLevel="1" x14ac:dyDescent="0.4">
      <c r="B58" s="1771"/>
      <c r="C58" s="7"/>
      <c r="D58" s="870" t="s">
        <v>11</v>
      </c>
      <c r="E58" s="7"/>
      <c r="F58" s="290">
        <f>F57</f>
        <v>14.598333333333334</v>
      </c>
      <c r="G58" s="7"/>
      <c r="H58" s="290"/>
      <c r="I58" s="7"/>
      <c r="J58" s="7"/>
      <c r="K58" s="7"/>
      <c r="L58" s="7"/>
      <c r="M58" s="7"/>
      <c r="N58" s="7"/>
      <c r="O58" s="7"/>
      <c r="P58" s="7"/>
      <c r="Q58" s="1413"/>
      <c r="R58" s="7"/>
      <c r="S58" s="7"/>
      <c r="T58" s="5"/>
      <c r="U58" s="3003"/>
      <c r="V58" s="7"/>
      <c r="W58" s="290"/>
      <c r="X58" s="290"/>
      <c r="Y58" s="290"/>
      <c r="Z58" s="290"/>
      <c r="AA58" s="290"/>
      <c r="AB58" s="290"/>
      <c r="AC58" s="915"/>
    </row>
    <row r="59" spans="2:35" outlineLevel="1" x14ac:dyDescent="0.4">
      <c r="B59" s="1771"/>
      <c r="C59" s="1144"/>
      <c r="D59" s="892"/>
      <c r="E59" s="894"/>
      <c r="F59" s="894"/>
      <c r="G59" s="94"/>
      <c r="H59" s="895"/>
      <c r="I59" s="94"/>
      <c r="J59" s="94"/>
      <c r="K59" s="94"/>
      <c r="L59" s="895"/>
      <c r="M59" s="895"/>
      <c r="N59" s="895"/>
      <c r="O59" s="94"/>
      <c r="P59" s="895"/>
      <c r="Q59" s="1782"/>
      <c r="R59" s="895"/>
      <c r="S59" s="895"/>
      <c r="T59" s="5"/>
      <c r="U59" s="3003"/>
      <c r="V59" s="7"/>
      <c r="W59" s="290"/>
      <c r="X59" s="290"/>
      <c r="Y59" s="290"/>
      <c r="Z59" s="290"/>
      <c r="AA59" s="290"/>
      <c r="AB59" s="290"/>
      <c r="AC59" s="1430"/>
    </row>
    <row r="60" spans="2:35" x14ac:dyDescent="0.4">
      <c r="B60" s="1783"/>
      <c r="C60" s="1784"/>
      <c r="D60" s="1792"/>
      <c r="E60" s="1792"/>
      <c r="F60" s="1792"/>
      <c r="G60" s="1792"/>
      <c r="H60" s="1793"/>
      <c r="I60" s="1792"/>
      <c r="J60" s="1792"/>
      <c r="K60" s="1792"/>
      <c r="L60" s="1792"/>
      <c r="M60" s="1792"/>
      <c r="N60" s="1792"/>
      <c r="O60" s="1794"/>
      <c r="P60" s="1784"/>
      <c r="Q60" s="1795"/>
      <c r="R60" s="1784"/>
      <c r="S60" s="1784"/>
      <c r="T60" s="1784"/>
      <c r="U60" s="3344"/>
      <c r="V60" s="1784"/>
      <c r="W60" s="1796"/>
      <c r="X60" s="1796"/>
      <c r="Y60" s="1796"/>
      <c r="Z60" s="1796"/>
      <c r="AA60" s="1796"/>
      <c r="AB60" s="1796"/>
      <c r="AC60" s="1797"/>
    </row>
    <row r="61" spans="2:35" x14ac:dyDescent="0.4">
      <c r="B61" s="5"/>
      <c r="C61" s="1144"/>
      <c r="D61" s="892"/>
      <c r="E61" s="894"/>
      <c r="F61" s="894"/>
      <c r="G61" s="94"/>
      <c r="H61" s="895"/>
      <c r="I61" s="94"/>
      <c r="J61" s="94"/>
      <c r="K61" s="94"/>
      <c r="L61" s="897"/>
      <c r="M61" s="897"/>
      <c r="N61" s="895"/>
      <c r="O61" s="94"/>
      <c r="P61" s="897"/>
      <c r="Q61" s="1444"/>
      <c r="R61" s="897"/>
      <c r="S61" s="897"/>
      <c r="T61" s="5"/>
      <c r="U61" s="3003"/>
      <c r="V61" s="7"/>
      <c r="W61" s="290"/>
      <c r="X61" s="290"/>
      <c r="Y61" s="290"/>
      <c r="Z61" s="290"/>
      <c r="AA61" s="290"/>
      <c r="AB61" s="290"/>
      <c r="AC61" s="290"/>
      <c r="AD61" s="8"/>
      <c r="AE61" s="8"/>
      <c r="AF61" s="8"/>
      <c r="AG61" s="8"/>
      <c r="AH61" s="8"/>
      <c r="AI61" s="8"/>
    </row>
    <row r="62" spans="2:35" ht="15.45" x14ac:dyDescent="0.4">
      <c r="B62" s="1769"/>
      <c r="C62" s="1770" t="s">
        <v>1143</v>
      </c>
      <c r="D62" s="1798"/>
      <c r="E62" s="1798"/>
      <c r="F62" s="1798"/>
      <c r="G62" s="1798"/>
      <c r="H62" s="1798"/>
      <c r="I62" s="1798"/>
      <c r="J62" s="1798"/>
      <c r="K62" s="1798"/>
      <c r="L62" s="1798"/>
      <c r="M62" s="1798"/>
      <c r="N62" s="1798"/>
      <c r="O62" s="1798"/>
      <c r="P62" s="1798"/>
      <c r="Q62" s="1799"/>
      <c r="R62" s="1798"/>
      <c r="S62" s="1798"/>
      <c r="T62" s="1798"/>
      <c r="U62" s="3346"/>
      <c r="V62" s="1798"/>
      <c r="W62" s="1798"/>
      <c r="X62" s="1798"/>
      <c r="Y62" s="1798"/>
      <c r="Z62" s="1798"/>
      <c r="AA62" s="1798"/>
      <c r="AB62" s="1798"/>
      <c r="AC62" s="1800"/>
    </row>
    <row r="63" spans="2:35" outlineLevel="1" x14ac:dyDescent="0.4">
      <c r="B63" s="1771"/>
      <c r="C63" s="748" t="s">
        <v>1053</v>
      </c>
      <c r="D63" s="706"/>
      <c r="E63" s="706"/>
      <c r="F63" s="706"/>
      <c r="G63" s="706"/>
      <c r="H63" s="1117"/>
      <c r="I63" s="706"/>
      <c r="J63" s="706"/>
      <c r="K63" s="706"/>
      <c r="L63" s="706"/>
      <c r="M63" s="706"/>
      <c r="N63" s="706"/>
      <c r="O63" s="706"/>
      <c r="P63" s="7"/>
      <c r="Q63" s="1413"/>
      <c r="R63" s="7"/>
      <c r="S63" s="7"/>
      <c r="T63" s="7"/>
      <c r="U63" s="3003"/>
      <c r="V63" s="7"/>
      <c r="W63" s="290"/>
      <c r="X63" s="290"/>
      <c r="Y63" s="290"/>
      <c r="Z63" s="290"/>
      <c r="AA63" s="290"/>
      <c r="AB63" s="290"/>
      <c r="AC63" s="1430"/>
    </row>
    <row r="64" spans="2:35" outlineLevel="1" x14ac:dyDescent="0.4">
      <c r="B64" s="1771"/>
      <c r="C64" s="700" t="s">
        <v>1144</v>
      </c>
      <c r="D64" s="706"/>
      <c r="E64" s="706"/>
      <c r="F64" s="706"/>
      <c r="G64" s="706"/>
      <c r="H64" s="1117"/>
      <c r="I64" s="706"/>
      <c r="J64" s="706"/>
      <c r="K64" s="706"/>
      <c r="L64" s="706"/>
      <c r="M64" s="706"/>
      <c r="N64" s="706"/>
      <c r="O64" s="706"/>
      <c r="P64" s="7"/>
      <c r="Q64" s="1413"/>
      <c r="R64" s="7"/>
      <c r="S64" s="7"/>
      <c r="T64" s="7"/>
      <c r="U64" s="3003"/>
      <c r="V64" s="7"/>
      <c r="W64" s="290"/>
      <c r="X64" s="290"/>
      <c r="Y64" s="290"/>
      <c r="Z64" s="290"/>
      <c r="AA64" s="290"/>
      <c r="AB64" s="290"/>
      <c r="AC64" s="1430"/>
    </row>
    <row r="65" spans="2:29" outlineLevel="1" x14ac:dyDescent="0.4">
      <c r="B65" s="1771"/>
      <c r="C65" s="700" t="s">
        <v>1125</v>
      </c>
      <c r="D65" s="706"/>
      <c r="E65" s="706"/>
      <c r="F65" s="706"/>
      <c r="G65" s="706"/>
      <c r="H65" s="1117"/>
      <c r="I65" s="706"/>
      <c r="J65" s="706"/>
      <c r="K65" s="706"/>
      <c r="L65" s="706"/>
      <c r="M65" s="706"/>
      <c r="N65" s="706"/>
      <c r="O65" s="706"/>
      <c r="P65" s="7"/>
      <c r="Q65" s="1413"/>
      <c r="R65" s="7"/>
      <c r="S65" s="7"/>
      <c r="T65" s="7"/>
      <c r="U65" s="3003"/>
      <c r="V65" s="7"/>
      <c r="W65" s="290"/>
      <c r="X65" s="290"/>
      <c r="Y65" s="290"/>
      <c r="Z65" s="290"/>
      <c r="AA65" s="290"/>
      <c r="AB65" s="290"/>
      <c r="AC65" s="1430"/>
    </row>
    <row r="66" spans="2:29" outlineLevel="1" x14ac:dyDescent="0.4">
      <c r="B66" s="1771"/>
      <c r="C66" s="700" t="s">
        <v>1842</v>
      </c>
      <c r="D66" s="706"/>
      <c r="E66" s="706"/>
      <c r="F66" s="706"/>
      <c r="G66" s="706"/>
      <c r="H66" s="1117"/>
      <c r="I66" s="706"/>
      <c r="J66" s="706"/>
      <c r="K66" s="706"/>
      <c r="L66" s="706"/>
      <c r="M66" s="706"/>
      <c r="N66" s="706"/>
      <c r="O66" s="706"/>
      <c r="P66" s="7"/>
      <c r="Q66" s="1413"/>
      <c r="R66" s="7"/>
      <c r="S66" s="7"/>
      <c r="T66" s="7"/>
      <c r="U66" s="3003"/>
      <c r="V66" s="7"/>
      <c r="W66" s="290"/>
      <c r="X66" s="290"/>
      <c r="Y66" s="290"/>
      <c r="Z66" s="290"/>
      <c r="AA66" s="290"/>
      <c r="AB66" s="290"/>
      <c r="AC66" s="1430"/>
    </row>
    <row r="67" spans="2:29" outlineLevel="1" x14ac:dyDescent="0.4">
      <c r="B67" s="1771"/>
      <c r="C67" s="700"/>
      <c r="D67" s="706"/>
      <c r="E67" s="706"/>
      <c r="F67" s="706"/>
      <c r="G67" s="706"/>
      <c r="H67" s="1117"/>
      <c r="I67" s="706"/>
      <c r="J67" s="706"/>
      <c r="K67" s="706"/>
      <c r="L67" s="706"/>
      <c r="M67" s="706"/>
      <c r="N67" s="706"/>
      <c r="O67" s="706"/>
      <c r="P67" s="7"/>
      <c r="Q67" s="1413"/>
      <c r="R67" s="7"/>
      <c r="S67" s="7"/>
      <c r="T67" s="7"/>
      <c r="U67" s="3003"/>
      <c r="V67" s="7"/>
      <c r="W67" s="290"/>
      <c r="X67" s="290"/>
      <c r="Y67" s="290"/>
      <c r="Z67" s="290"/>
      <c r="AA67" s="290"/>
      <c r="AB67" s="290"/>
      <c r="AC67" s="1430"/>
    </row>
    <row r="68" spans="2:29" outlineLevel="1" x14ac:dyDescent="0.4">
      <c r="B68" s="1771"/>
      <c r="C68" s="748" t="s">
        <v>1056</v>
      </c>
      <c r="D68" s="927">
        <f>SUM(D69)</f>
        <v>0.02</v>
      </c>
      <c r="E68" s="918"/>
      <c r="F68" s="918"/>
      <c r="G68" s="918"/>
      <c r="H68" s="919"/>
      <c r="I68" s="918"/>
      <c r="J68" s="918"/>
      <c r="K68" s="918"/>
      <c r="L68" s="918"/>
      <c r="M68" s="918"/>
      <c r="N68" s="918"/>
      <c r="O68" s="706"/>
      <c r="P68" s="7"/>
      <c r="Q68" s="1413"/>
      <c r="R68" s="7"/>
      <c r="S68" s="7"/>
      <c r="T68" s="7"/>
      <c r="U68" s="3003"/>
      <c r="V68" s="7"/>
      <c r="W68" s="290"/>
      <c r="X68" s="290"/>
      <c r="Y68" s="290"/>
      <c r="Z68" s="290"/>
      <c r="AA68" s="290"/>
      <c r="AB68" s="290"/>
      <c r="AC68" s="1430"/>
    </row>
    <row r="69" spans="2:29" ht="15" outlineLevel="1" thickBot="1" x14ac:dyDescent="0.45">
      <c r="B69" s="1771"/>
      <c r="C69" s="7" t="s">
        <v>1146</v>
      </c>
      <c r="D69" s="283">
        <f>total_mfm_failure</f>
        <v>0.02</v>
      </c>
      <c r="E69" s="922"/>
      <c r="F69" s="922"/>
      <c r="G69" s="918"/>
      <c r="H69" s="919"/>
      <c r="I69" s="918"/>
      <c r="J69" s="918"/>
      <c r="K69" s="918"/>
      <c r="L69" s="918"/>
      <c r="M69" s="918"/>
      <c r="N69" s="918"/>
      <c r="O69" s="706"/>
      <c r="P69" s="7"/>
      <c r="Q69" s="1413"/>
      <c r="R69" s="7"/>
      <c r="S69" s="7"/>
      <c r="T69" s="7"/>
      <c r="U69" s="3003"/>
      <c r="V69" s="7"/>
      <c r="W69" s="290"/>
      <c r="X69" s="290"/>
      <c r="Y69" s="290"/>
      <c r="Z69" s="290"/>
      <c r="AA69" s="1138"/>
      <c r="AB69" s="290"/>
      <c r="AC69" s="1430"/>
    </row>
    <row r="70" spans="2:29" ht="15" outlineLevel="1" thickBot="1" x14ac:dyDescent="0.45">
      <c r="B70" s="1771"/>
      <c r="C70" s="7"/>
      <c r="D70" s="922"/>
      <c r="E70" s="922"/>
      <c r="F70" s="922"/>
      <c r="G70" s="918"/>
      <c r="H70" s="919"/>
      <c r="I70" s="918"/>
      <c r="J70" s="918"/>
      <c r="K70" s="918"/>
      <c r="L70" s="918"/>
      <c r="M70" s="918"/>
      <c r="N70" s="918"/>
      <c r="O70" s="706"/>
      <c r="P70" s="7"/>
      <c r="Q70" s="1413"/>
      <c r="R70" s="7"/>
      <c r="S70" s="7"/>
      <c r="T70" s="7"/>
      <c r="U70" s="3007" t="str">
        <f>C62</f>
        <v>Multifunction Manipulator failure</v>
      </c>
      <c r="V70" s="1119" t="s">
        <v>23</v>
      </c>
      <c r="W70" s="3842" t="s">
        <v>2604</v>
      </c>
      <c r="X70" s="3843"/>
      <c r="Y70" s="3843"/>
      <c r="Z70" s="3843"/>
      <c r="AA70" s="3844"/>
      <c r="AC70" s="1430"/>
    </row>
    <row r="71" spans="2:29" ht="15" outlineLevel="1" thickBot="1" x14ac:dyDescent="0.45">
      <c r="B71" s="1771"/>
      <c r="C71" s="7"/>
      <c r="D71" s="7"/>
      <c r="E71" s="7"/>
      <c r="F71" s="929"/>
      <c r="G71" s="3841" t="s">
        <v>18</v>
      </c>
      <c r="H71" s="3837"/>
      <c r="I71" s="3793" t="s">
        <v>778</v>
      </c>
      <c r="J71" s="3794"/>
      <c r="K71" s="3794"/>
      <c r="L71" s="3794"/>
      <c r="M71" s="3794"/>
      <c r="N71" s="3795"/>
      <c r="O71" s="3793" t="s">
        <v>3</v>
      </c>
      <c r="P71" s="3795"/>
      <c r="Q71" s="3838" t="s">
        <v>779</v>
      </c>
      <c r="R71" s="3839"/>
      <c r="S71" s="3840"/>
      <c r="T71" s="938"/>
      <c r="U71" s="3008" t="s">
        <v>1055</v>
      </c>
      <c r="V71" s="1122">
        <v>1</v>
      </c>
      <c r="W71" s="1512">
        <v>1</v>
      </c>
      <c r="X71" s="916">
        <v>2</v>
      </c>
      <c r="Y71" s="916">
        <v>3</v>
      </c>
      <c r="Z71" s="916">
        <v>4</v>
      </c>
      <c r="AA71" s="1045">
        <v>6</v>
      </c>
      <c r="AC71" s="1430"/>
    </row>
    <row r="72" spans="2:29" ht="15" outlineLevel="1" thickBot="1" x14ac:dyDescent="0.45">
      <c r="B72" s="1771"/>
      <c r="C72" s="562" t="s">
        <v>1129</v>
      </c>
      <c r="D72" s="563" t="s">
        <v>782</v>
      </c>
      <c r="E72" s="942" t="s">
        <v>783</v>
      </c>
      <c r="F72" s="943" t="s">
        <v>784</v>
      </c>
      <c r="G72" s="940" t="s">
        <v>785</v>
      </c>
      <c r="H72" s="944" t="s">
        <v>783</v>
      </c>
      <c r="I72" s="940" t="s">
        <v>786</v>
      </c>
      <c r="J72" s="563" t="s">
        <v>787</v>
      </c>
      <c r="K72" s="563" t="s">
        <v>788</v>
      </c>
      <c r="L72" s="563" t="s">
        <v>789</v>
      </c>
      <c r="M72" s="563" t="s">
        <v>790</v>
      </c>
      <c r="N72" s="564" t="s">
        <v>783</v>
      </c>
      <c r="O72" s="560" t="s">
        <v>785</v>
      </c>
      <c r="P72" s="1152" t="s">
        <v>783</v>
      </c>
      <c r="Q72" s="1447" t="s">
        <v>781</v>
      </c>
      <c r="R72" s="786" t="s">
        <v>791</v>
      </c>
      <c r="S72" s="787" t="s">
        <v>792</v>
      </c>
      <c r="T72" s="947"/>
      <c r="U72" s="2997" t="s">
        <v>1843</v>
      </c>
      <c r="V72" s="1086">
        <f>SUMIF('Lower Cask Critical Path'!$C$7:$C$251, "*Multifunction Manipulator*", 'Lower Cask Critical Path'!$E$7:$E$251)</f>
        <v>87.841944444444408</v>
      </c>
      <c r="W72" s="1415">
        <f>SUMIF('Lower Cask Critical Path'!$C$7:$C$251, "*Multifunction Manipulator*", 'Lower Cask Critical Path'!$E$7:$E$251)</f>
        <v>87.841944444444408</v>
      </c>
      <c r="X72" s="917">
        <f>SUMIF('Lower Cask Critical Path'!$C$7:$C$251, "*Multifunction Manipulator*", 'Lower Cask Critical Path'!$E$7:$E$251)</f>
        <v>87.841944444444408</v>
      </c>
      <c r="Y72" s="917">
        <f>SUMIF('Lower Cask Critical Path'!$C$7:$C$251, "*Multifunction Manipulator*", 'Lower Cask Critical Path'!$E$7:$E$251)</f>
        <v>87.841944444444408</v>
      </c>
      <c r="Z72" s="917">
        <f>SUMIF('Lower Cask Critical Path'!$C$7:$C$251, "*Multifunction Manipulator*", 'Lower Cask Critical Path'!$E$7:$E$251)</f>
        <v>87.841944444444408</v>
      </c>
      <c r="AA72" s="1028">
        <f>SUMIF('Lower Cask Critical Path'!$C$7:$C$251, "*Multifunction Manipulator*", 'Lower Cask Critical Path'!$E$7:$E$251)</f>
        <v>87.841944444444408</v>
      </c>
      <c r="AC72" s="1430"/>
    </row>
    <row r="73" spans="2:29" outlineLevel="1" x14ac:dyDescent="0.4">
      <c r="B73" s="1771"/>
      <c r="C73" s="1788" t="s">
        <v>1819</v>
      </c>
      <c r="D73" s="1781" t="s">
        <v>778</v>
      </c>
      <c r="E73" s="459">
        <f t="shared" ref="E73:E82" si="19">MAX($P73,$N73,$H73)</f>
        <v>6.9444444444444448E-2</v>
      </c>
      <c r="F73" s="517">
        <f>E73</f>
        <v>6.9444444444444448E-2</v>
      </c>
      <c r="G73" s="575"/>
      <c r="H73" s="580" t="s">
        <v>263</v>
      </c>
      <c r="I73" s="575" t="s">
        <v>1831</v>
      </c>
      <c r="J73" s="573" t="s">
        <v>799</v>
      </c>
      <c r="K73" s="573" t="s">
        <v>1203</v>
      </c>
      <c r="L73" s="1176">
        <v>50</v>
      </c>
      <c r="M73" s="1176">
        <v>0.2</v>
      </c>
      <c r="N73" s="580">
        <f>IF(D73="Movement",IFERROR((L73/M73)/(60*60),"Error"),"N/A")</f>
        <v>6.9444444444444448E-2</v>
      </c>
      <c r="O73" s="879"/>
      <c r="P73" s="580" t="s">
        <v>263</v>
      </c>
      <c r="Q73" s="1448"/>
      <c r="R73" s="320" t="s">
        <v>263</v>
      </c>
      <c r="S73" s="319" t="str">
        <f>IFERROR(F73-E73-R73,"N/A")</f>
        <v>N/A</v>
      </c>
      <c r="T73" s="947"/>
      <c r="U73" s="3140" t="s">
        <v>2668</v>
      </c>
      <c r="V73" s="1086">
        <f>V72</f>
        <v>87.841944444444408</v>
      </c>
      <c r="W73" s="1415">
        <f>W72*ROUNDUP(Tokamak_Segmts/W71,0)</f>
        <v>1405.4711111111105</v>
      </c>
      <c r="X73" s="917">
        <f>X72*ROUNDUP(Tokamak_Segmts/X71,0)</f>
        <v>702.73555555555527</v>
      </c>
      <c r="Y73" s="917">
        <f>Y72*ROUNDUP(Tokamak_Segmts/Y71,0)</f>
        <v>527.05166666666651</v>
      </c>
      <c r="Z73" s="917">
        <f>Z72*ROUNDUP(Tokamak_Segmts/Z71,0)</f>
        <v>351.36777777777763</v>
      </c>
      <c r="AA73" s="1028">
        <f>AA72*ROUNDUP(Tokamak_Segmts/AA71,0)</f>
        <v>263.52583333333325</v>
      </c>
      <c r="AC73" s="1430"/>
    </row>
    <row r="74" spans="2:29" ht="15" outlineLevel="1" thickBot="1" x14ac:dyDescent="0.45">
      <c r="B74" s="1771"/>
      <c r="C74" s="1780" t="s">
        <v>1832</v>
      </c>
      <c r="D74" s="1781" t="s">
        <v>3</v>
      </c>
      <c r="E74" s="459">
        <f t="shared" si="19"/>
        <v>1.9</v>
      </c>
      <c r="F74" s="517">
        <f t="shared" ref="F74:F83" si="20">IF(S74&lt;0,E74+F73+(-S74),E74+F73)</f>
        <v>1.9694444444444443</v>
      </c>
      <c r="G74" s="575"/>
      <c r="H74" s="580" t="s">
        <v>263</v>
      </c>
      <c r="I74" s="575"/>
      <c r="J74" s="573"/>
      <c r="K74" s="573"/>
      <c r="L74" s="1176" t="s">
        <v>263</v>
      </c>
      <c r="M74" s="1176" t="s">
        <v>263</v>
      </c>
      <c r="N74" s="580" t="str">
        <f>IF(D74="Movement",IFERROR((L74/M74)/(60*60),"Error"),"N/A")</f>
        <v>N/A</v>
      </c>
      <c r="O74" s="879" t="s">
        <v>1541</v>
      </c>
      <c r="P74" s="580">
        <v>1.9</v>
      </c>
      <c r="Q74" s="1449"/>
      <c r="R74" s="853" t="s">
        <v>263</v>
      </c>
      <c r="S74" s="576" t="str">
        <f t="shared" ref="S74:S83" si="21">IFERROR(F73-R74,"N/A")</f>
        <v>N/A</v>
      </c>
      <c r="T74" s="947"/>
      <c r="U74" s="3141" t="s">
        <v>2693</v>
      </c>
      <c r="V74" s="1089">
        <f>V$73*$D$68</f>
        <v>1.7568388888888882</v>
      </c>
      <c r="W74" s="1416">
        <f t="shared" ref="W74:AA74" si="22">W$73*$D$68</f>
        <v>28.109422222222211</v>
      </c>
      <c r="X74" s="920">
        <f t="shared" si="22"/>
        <v>14.054711111111105</v>
      </c>
      <c r="Y74" s="920">
        <f t="shared" si="22"/>
        <v>10.541033333333329</v>
      </c>
      <c r="Z74" s="920">
        <f t="shared" si="22"/>
        <v>7.0273555555555527</v>
      </c>
      <c r="AA74" s="1029">
        <f t="shared" si="22"/>
        <v>5.2705166666666647</v>
      </c>
      <c r="AC74" s="1430"/>
    </row>
    <row r="75" spans="2:29" outlineLevel="1" x14ac:dyDescent="0.4">
      <c r="B75" s="1771"/>
      <c r="C75" s="1458" t="s">
        <v>1844</v>
      </c>
      <c r="D75" s="1781" t="s">
        <v>251</v>
      </c>
      <c r="E75" s="459">
        <f t="shared" si="19"/>
        <v>3</v>
      </c>
      <c r="F75" s="517">
        <f t="shared" si="20"/>
        <v>4.9694444444444441</v>
      </c>
      <c r="G75" s="575" t="s">
        <v>1818</v>
      </c>
      <c r="H75" s="580">
        <v>3</v>
      </c>
      <c r="I75" s="575"/>
      <c r="J75" s="573"/>
      <c r="K75" s="573"/>
      <c r="L75" s="1176" t="s">
        <v>263</v>
      </c>
      <c r="M75" s="1176" t="s">
        <v>263</v>
      </c>
      <c r="N75" s="580" t="str">
        <f t="shared" ref="N75:N82" si="23">IF(D75="Movement",IFERROR((L75/M75)/(60*60),"Error"),"N/A")</f>
        <v>N/A</v>
      </c>
      <c r="O75" s="879" t="s">
        <v>1835</v>
      </c>
      <c r="P75" s="580" t="s">
        <v>263</v>
      </c>
      <c r="Q75" s="1449"/>
      <c r="R75" s="853" t="s">
        <v>263</v>
      </c>
      <c r="S75" s="576" t="str">
        <f t="shared" si="21"/>
        <v>N/A</v>
      </c>
      <c r="T75" s="947"/>
      <c r="U75" s="2999" t="s">
        <v>1048</v>
      </c>
      <c r="V75" s="1082">
        <f t="shared" ref="V75:AA75" si="24">V74*(SUMIF($D$73:$D$83,"Operation",$E$73:$E$83))</f>
        <v>5.2705166666666647</v>
      </c>
      <c r="W75" s="1083">
        <f t="shared" si="24"/>
        <v>84.328266666666636</v>
      </c>
      <c r="X75" s="1084">
        <f t="shared" si="24"/>
        <v>42.164133333333318</v>
      </c>
      <c r="Y75" s="1084">
        <f t="shared" si="24"/>
        <v>31.623099999999987</v>
      </c>
      <c r="Z75" s="1084">
        <f t="shared" si="24"/>
        <v>21.082066666666659</v>
      </c>
      <c r="AA75" s="1085">
        <f t="shared" si="24"/>
        <v>15.811549999999993</v>
      </c>
      <c r="AC75" s="1430"/>
    </row>
    <row r="76" spans="2:29" outlineLevel="1" x14ac:dyDescent="0.4">
      <c r="B76" s="1771"/>
      <c r="C76" s="1458" t="s">
        <v>1836</v>
      </c>
      <c r="D76" s="1781" t="s">
        <v>3</v>
      </c>
      <c r="E76" s="459">
        <f t="shared" si="19"/>
        <v>2.3000000000000003</v>
      </c>
      <c r="F76" s="517">
        <f t="shared" si="20"/>
        <v>7.2694444444444439</v>
      </c>
      <c r="G76" s="575"/>
      <c r="H76" s="850" t="s">
        <v>263</v>
      </c>
      <c r="I76" s="575"/>
      <c r="J76" s="573"/>
      <c r="K76" s="573"/>
      <c r="L76" s="1176" t="s">
        <v>263</v>
      </c>
      <c r="M76" s="1176" t="s">
        <v>263</v>
      </c>
      <c r="N76" s="580" t="str">
        <f t="shared" si="23"/>
        <v>N/A</v>
      </c>
      <c r="O76" s="879" t="s">
        <v>1552</v>
      </c>
      <c r="P76" s="580">
        <v>2.3000000000000003</v>
      </c>
      <c r="Q76" s="1449"/>
      <c r="R76" s="853" t="s">
        <v>263</v>
      </c>
      <c r="S76" s="576" t="str">
        <f t="shared" si="21"/>
        <v>N/A</v>
      </c>
      <c r="T76" s="947"/>
      <c r="U76" s="2997" t="s">
        <v>2658</v>
      </c>
      <c r="V76" s="1086">
        <f t="shared" ref="V76:AA76" si="25">V74*(SUMIF($D$73:$D$83,"Movement",$E$73:$E$83)+(SUMIF($D$73:$D$83,"Logistics",$E$73:$E$83)))</f>
        <v>20.376403046296289</v>
      </c>
      <c r="W76" s="1087">
        <f t="shared" si="25"/>
        <v>326.02244874074063</v>
      </c>
      <c r="X76" s="915">
        <f t="shared" si="25"/>
        <v>163.01122437037031</v>
      </c>
      <c r="Y76" s="915">
        <f t="shared" si="25"/>
        <v>122.25841827777775</v>
      </c>
      <c r="Z76" s="915">
        <f t="shared" si="25"/>
        <v>81.505612185185157</v>
      </c>
      <c r="AA76" s="1088">
        <f t="shared" si="25"/>
        <v>61.129209138888875</v>
      </c>
      <c r="AC76" s="1430"/>
    </row>
    <row r="77" spans="2:29" ht="15" outlineLevel="1" thickBot="1" x14ac:dyDescent="0.45">
      <c r="B77" s="1771"/>
      <c r="C77" s="1128" t="s">
        <v>1577</v>
      </c>
      <c r="D77" s="847" t="s">
        <v>3</v>
      </c>
      <c r="E77" s="390">
        <f t="shared" si="19"/>
        <v>2.3000000000000003</v>
      </c>
      <c r="F77" s="517">
        <f t="shared" si="20"/>
        <v>9.5694444444444446</v>
      </c>
      <c r="G77" s="575"/>
      <c r="H77" s="850" t="s">
        <v>263</v>
      </c>
      <c r="I77" s="575"/>
      <c r="J77" s="573"/>
      <c r="K77" s="573"/>
      <c r="L77" s="1176" t="s">
        <v>263</v>
      </c>
      <c r="M77" s="1176" t="s">
        <v>263</v>
      </c>
      <c r="N77" s="580" t="str">
        <f t="shared" si="23"/>
        <v>N/A</v>
      </c>
      <c r="O77" s="575" t="s">
        <v>1552</v>
      </c>
      <c r="P77" s="580">
        <v>2.3000000000000003</v>
      </c>
      <c r="Q77" s="1449"/>
      <c r="R77" s="853" t="s">
        <v>263</v>
      </c>
      <c r="S77" s="576" t="str">
        <f t="shared" si="21"/>
        <v>N/A</v>
      </c>
      <c r="T77" s="947"/>
      <c r="U77" s="3000" t="s">
        <v>2657</v>
      </c>
      <c r="V77" s="1089">
        <f t="shared" ref="V77:AA77" si="26">V74*(-SUMIF($S$73:$S$83,"&lt;0"))</f>
        <v>0</v>
      </c>
      <c r="W77" s="1090">
        <f t="shared" si="26"/>
        <v>0</v>
      </c>
      <c r="X77" s="1091">
        <f t="shared" si="26"/>
        <v>0</v>
      </c>
      <c r="Y77" s="1091">
        <f t="shared" si="26"/>
        <v>0</v>
      </c>
      <c r="Z77" s="1091">
        <f t="shared" si="26"/>
        <v>0</v>
      </c>
      <c r="AA77" s="1092">
        <f t="shared" si="26"/>
        <v>0</v>
      </c>
      <c r="AC77" s="1430"/>
    </row>
    <row r="78" spans="2:29" ht="15" outlineLevel="1" thickBot="1" x14ac:dyDescent="0.45">
      <c r="B78" s="1771"/>
      <c r="C78" s="1128" t="s">
        <v>1150</v>
      </c>
      <c r="D78" s="659" t="s">
        <v>778</v>
      </c>
      <c r="E78" s="390">
        <f t="shared" si="19"/>
        <v>0.69444444444444442</v>
      </c>
      <c r="F78" s="517">
        <f t="shared" si="20"/>
        <v>10.263888888888889</v>
      </c>
      <c r="G78" s="575"/>
      <c r="H78" s="850" t="s">
        <v>263</v>
      </c>
      <c r="I78" s="575" t="s">
        <v>1538</v>
      </c>
      <c r="J78" s="573" t="s">
        <v>1203</v>
      </c>
      <c r="K78" s="573" t="s">
        <v>914</v>
      </c>
      <c r="L78" s="1176">
        <v>50</v>
      </c>
      <c r="M78" s="1176">
        <v>0.02</v>
      </c>
      <c r="N78" s="580">
        <f t="shared" si="23"/>
        <v>0.69444444444444442</v>
      </c>
      <c r="O78" s="575"/>
      <c r="P78" s="580" t="s">
        <v>263</v>
      </c>
      <c r="Q78" s="1449"/>
      <c r="R78" s="853" t="s">
        <v>263</v>
      </c>
      <c r="S78" s="576" t="str">
        <f t="shared" si="21"/>
        <v>N/A</v>
      </c>
      <c r="T78" s="947"/>
      <c r="U78" s="3000" t="s">
        <v>2686</v>
      </c>
      <c r="V78" s="1089">
        <f t="shared" ref="V78:AA78" si="27">V$74*$F$84</f>
        <v>25.646919712962955</v>
      </c>
      <c r="W78" s="920">
        <f t="shared" si="27"/>
        <v>410.35071540740728</v>
      </c>
      <c r="X78" s="920">
        <f t="shared" si="27"/>
        <v>205.17535770370364</v>
      </c>
      <c r="Y78" s="920">
        <f t="shared" si="27"/>
        <v>153.88151827777773</v>
      </c>
      <c r="Z78" s="920">
        <f t="shared" si="27"/>
        <v>102.58767885185182</v>
      </c>
      <c r="AA78" s="1029">
        <f t="shared" si="27"/>
        <v>76.940759138888865</v>
      </c>
      <c r="AC78" s="1430"/>
    </row>
    <row r="79" spans="2:29" outlineLevel="1" x14ac:dyDescent="0.4">
      <c r="B79" s="1771"/>
      <c r="C79" s="1128" t="s">
        <v>1837</v>
      </c>
      <c r="D79" s="847" t="s">
        <v>3</v>
      </c>
      <c r="E79" s="390">
        <f t="shared" si="19"/>
        <v>0.58000000000000007</v>
      </c>
      <c r="F79" s="517">
        <f t="shared" si="20"/>
        <v>10.843888888888889</v>
      </c>
      <c r="G79" s="575"/>
      <c r="H79" s="850" t="s">
        <v>263</v>
      </c>
      <c r="I79" s="575"/>
      <c r="J79" s="573"/>
      <c r="K79" s="573"/>
      <c r="L79" s="1176" t="s">
        <v>263</v>
      </c>
      <c r="M79" s="1176" t="s">
        <v>263</v>
      </c>
      <c r="N79" s="580" t="str">
        <f t="shared" si="23"/>
        <v>N/A</v>
      </c>
      <c r="O79" s="575" t="s">
        <v>1838</v>
      </c>
      <c r="P79" s="580">
        <v>0.58000000000000007</v>
      </c>
      <c r="Q79" s="1449"/>
      <c r="R79" s="853" t="s">
        <v>263</v>
      </c>
      <c r="S79" s="576" t="str">
        <f t="shared" si="21"/>
        <v>N/A</v>
      </c>
      <c r="T79" s="947"/>
      <c r="AC79" s="1430"/>
    </row>
    <row r="80" spans="2:29" outlineLevel="1" x14ac:dyDescent="0.4">
      <c r="B80" s="1771"/>
      <c r="C80" s="1128" t="s">
        <v>1839</v>
      </c>
      <c r="D80" s="847" t="s">
        <v>3</v>
      </c>
      <c r="E80" s="390">
        <f t="shared" si="19"/>
        <v>0.78</v>
      </c>
      <c r="F80" s="517">
        <f t="shared" si="20"/>
        <v>11.623888888888889</v>
      </c>
      <c r="G80" s="575"/>
      <c r="H80" s="850" t="s">
        <v>263</v>
      </c>
      <c r="I80" s="575"/>
      <c r="J80" s="573"/>
      <c r="K80" s="573"/>
      <c r="L80" s="1176" t="s">
        <v>263</v>
      </c>
      <c r="M80" s="1176" t="s">
        <v>263</v>
      </c>
      <c r="N80" s="580" t="str">
        <f t="shared" si="23"/>
        <v>N/A</v>
      </c>
      <c r="O80" s="575" t="s">
        <v>1740</v>
      </c>
      <c r="P80" s="580">
        <v>0.78</v>
      </c>
      <c r="Q80" s="1449"/>
      <c r="R80" s="853" t="s">
        <v>263</v>
      </c>
      <c r="S80" s="576" t="str">
        <f t="shared" si="21"/>
        <v>N/A</v>
      </c>
      <c r="T80" s="947"/>
      <c r="AC80" s="1430"/>
    </row>
    <row r="81" spans="2:35" outlineLevel="1" x14ac:dyDescent="0.4">
      <c r="B81" s="1771"/>
      <c r="C81" s="1159" t="s">
        <v>1840</v>
      </c>
      <c r="D81" s="847" t="s">
        <v>778</v>
      </c>
      <c r="E81" s="390">
        <f t="shared" si="19"/>
        <v>0.69444444444444442</v>
      </c>
      <c r="F81" s="517">
        <f t="shared" si="20"/>
        <v>12.318333333333333</v>
      </c>
      <c r="G81" s="575"/>
      <c r="H81" s="850" t="s">
        <v>263</v>
      </c>
      <c r="I81" s="575" t="s">
        <v>1538</v>
      </c>
      <c r="J81" s="573" t="s">
        <v>799</v>
      </c>
      <c r="K81" s="573" t="s">
        <v>1203</v>
      </c>
      <c r="L81" s="1176">
        <v>50</v>
      </c>
      <c r="M81" s="1176">
        <v>0.02</v>
      </c>
      <c r="N81" s="580">
        <f t="shared" si="23"/>
        <v>0.69444444444444442</v>
      </c>
      <c r="O81" s="575"/>
      <c r="P81" s="580" t="s">
        <v>263</v>
      </c>
      <c r="Q81" s="1449"/>
      <c r="R81" s="853" t="s">
        <v>263</v>
      </c>
      <c r="S81" s="576" t="str">
        <f t="shared" si="21"/>
        <v>N/A</v>
      </c>
      <c r="T81" s="947"/>
      <c r="AB81" s="290"/>
      <c r="AC81" s="1430"/>
    </row>
    <row r="82" spans="2:35" outlineLevel="1" x14ac:dyDescent="0.4">
      <c r="B82" s="1771"/>
      <c r="C82" s="1159" t="s">
        <v>1541</v>
      </c>
      <c r="D82" s="847" t="s">
        <v>3</v>
      </c>
      <c r="E82" s="390">
        <f t="shared" si="19"/>
        <v>1.9</v>
      </c>
      <c r="F82" s="517">
        <f t="shared" si="20"/>
        <v>14.218333333333334</v>
      </c>
      <c r="G82" s="575"/>
      <c r="H82" s="850" t="s">
        <v>263</v>
      </c>
      <c r="I82" s="575"/>
      <c r="J82" s="573"/>
      <c r="K82" s="573"/>
      <c r="L82" s="1176" t="s">
        <v>263</v>
      </c>
      <c r="M82" s="1176" t="s">
        <v>263</v>
      </c>
      <c r="N82" s="580" t="str">
        <f t="shared" si="23"/>
        <v>N/A</v>
      </c>
      <c r="O82" s="575" t="s">
        <v>1541</v>
      </c>
      <c r="P82" s="580">
        <v>1.9</v>
      </c>
      <c r="Q82" s="1449"/>
      <c r="R82" s="853" t="s">
        <v>263</v>
      </c>
      <c r="S82" s="576" t="str">
        <f t="shared" si="21"/>
        <v>N/A</v>
      </c>
      <c r="T82" s="897"/>
      <c r="U82" s="3003"/>
      <c r="V82" s="7"/>
      <c r="W82" s="290"/>
      <c r="X82" s="290"/>
      <c r="Y82" s="290"/>
      <c r="Z82" s="290"/>
      <c r="AA82" s="290"/>
      <c r="AB82" s="290"/>
      <c r="AC82" s="1430"/>
    </row>
    <row r="83" spans="2:35" ht="15" outlineLevel="1" thickBot="1" x14ac:dyDescent="0.45">
      <c r="B83" s="1771"/>
      <c r="C83" s="1146" t="s">
        <v>1841</v>
      </c>
      <c r="D83" s="808" t="s">
        <v>3</v>
      </c>
      <c r="E83" s="349">
        <f>MAX($P83,$N83,$H83)</f>
        <v>0.38</v>
      </c>
      <c r="F83" s="517">
        <f t="shared" si="20"/>
        <v>14.598333333333334</v>
      </c>
      <c r="G83" s="586"/>
      <c r="H83" s="811" t="s">
        <v>263</v>
      </c>
      <c r="I83" s="586"/>
      <c r="J83" s="584"/>
      <c r="K83" s="584"/>
      <c r="L83" s="1179" t="s">
        <v>263</v>
      </c>
      <c r="M83" s="1179" t="s">
        <v>263</v>
      </c>
      <c r="N83" s="591" t="str">
        <f>IF(D83="Movement",IFERROR((L83/M83)/(60*60),"Error"),"N/A")</f>
        <v>N/A</v>
      </c>
      <c r="O83" s="586" t="s">
        <v>1544</v>
      </c>
      <c r="P83" s="591">
        <v>0.38</v>
      </c>
      <c r="Q83" s="1450"/>
      <c r="R83" s="814" t="s">
        <v>263</v>
      </c>
      <c r="S83" s="587" t="str">
        <f t="shared" si="21"/>
        <v>N/A</v>
      </c>
      <c r="T83" s="5"/>
      <c r="U83" s="3003"/>
      <c r="V83" s="7"/>
      <c r="W83" s="290"/>
      <c r="X83" s="290"/>
      <c r="Y83" s="290"/>
      <c r="Z83" s="290"/>
      <c r="AA83" s="290"/>
      <c r="AB83" s="290"/>
      <c r="AC83" s="1430"/>
    </row>
    <row r="84" spans="2:35" outlineLevel="1" x14ac:dyDescent="0.4">
      <c r="B84" s="1771"/>
      <c r="C84" s="705"/>
      <c r="D84" s="870" t="s">
        <v>11</v>
      </c>
      <c r="E84" s="7"/>
      <c r="F84" s="290">
        <f>F83</f>
        <v>14.598333333333334</v>
      </c>
      <c r="G84" s="94"/>
      <c r="H84" s="895"/>
      <c r="I84" s="94"/>
      <c r="J84" s="94"/>
      <c r="K84" s="94"/>
      <c r="L84" s="897"/>
      <c r="M84" s="897"/>
      <c r="N84" s="895"/>
      <c r="O84" s="94"/>
      <c r="P84" s="897"/>
      <c r="Q84" s="1444"/>
      <c r="R84" s="897"/>
      <c r="S84" s="897"/>
      <c r="T84" s="7"/>
      <c r="U84" s="3003"/>
      <c r="V84" s="7"/>
      <c r="W84" s="290"/>
      <c r="X84" s="290"/>
      <c r="Y84" s="290"/>
      <c r="Z84" s="290"/>
      <c r="AA84" s="290"/>
      <c r="AB84" s="290"/>
      <c r="AC84" s="1430"/>
    </row>
    <row r="85" spans="2:35" outlineLevel="1" x14ac:dyDescent="0.4">
      <c r="B85" s="1771"/>
      <c r="C85" s="1144"/>
      <c r="D85" s="1483"/>
      <c r="E85" s="894"/>
      <c r="F85" s="894"/>
      <c r="G85" s="94"/>
      <c r="H85" s="895"/>
      <c r="I85" s="94"/>
      <c r="J85" s="94"/>
      <c r="K85" s="94"/>
      <c r="L85" s="897"/>
      <c r="M85" s="897"/>
      <c r="N85" s="895"/>
      <c r="O85" s="94"/>
      <c r="P85" s="897"/>
      <c r="Q85" s="1444"/>
      <c r="R85" s="897"/>
      <c r="S85" s="897"/>
      <c r="T85" s="7"/>
      <c r="U85" s="3003"/>
      <c r="V85" s="7"/>
      <c r="W85" s="290"/>
      <c r="X85" s="290"/>
      <c r="Y85" s="290"/>
      <c r="Z85" s="290"/>
      <c r="AA85" s="290"/>
      <c r="AB85" s="290"/>
      <c r="AC85" s="1430"/>
    </row>
    <row r="86" spans="2:35" outlineLevel="1" x14ac:dyDescent="0.4">
      <c r="B86" s="1771"/>
      <c r="C86" s="5"/>
      <c r="D86" s="1140"/>
      <c r="E86" s="1139"/>
      <c r="F86" s="1139"/>
      <c r="G86" s="1139"/>
      <c r="H86" s="1140"/>
      <c r="I86" s="1139"/>
      <c r="J86" s="1139"/>
      <c r="K86" s="1139"/>
      <c r="L86" s="1139"/>
      <c r="M86" s="1139"/>
      <c r="N86" s="1139"/>
      <c r="O86" s="1141"/>
      <c r="P86" s="7"/>
      <c r="Q86" s="1413"/>
      <c r="R86" s="7"/>
      <c r="S86" s="7"/>
      <c r="T86" s="7"/>
      <c r="U86" s="3003"/>
      <c r="V86" s="7"/>
      <c r="W86" s="290"/>
      <c r="X86" s="290"/>
      <c r="Y86" s="290"/>
      <c r="Z86" s="290"/>
      <c r="AA86" s="290"/>
      <c r="AB86" s="290"/>
      <c r="AC86" s="1430"/>
    </row>
    <row r="87" spans="2:35" outlineLevel="1" x14ac:dyDescent="0.4">
      <c r="B87" s="1771"/>
      <c r="C87" s="5"/>
      <c r="D87" s="1140"/>
      <c r="E87" s="1139"/>
      <c r="F87" s="1139"/>
      <c r="G87" s="1139"/>
      <c r="H87" s="1140"/>
      <c r="I87" s="1139"/>
      <c r="J87" s="1139"/>
      <c r="K87" s="1139"/>
      <c r="L87" s="1139"/>
      <c r="M87" s="1139"/>
      <c r="N87" s="1139"/>
      <c r="O87" s="1141"/>
      <c r="P87" s="7"/>
      <c r="Q87" s="1413"/>
      <c r="R87" s="7"/>
      <c r="S87" s="7"/>
      <c r="T87" s="7"/>
      <c r="U87" s="3003"/>
      <c r="V87" s="7"/>
      <c r="W87" s="290"/>
      <c r="X87" s="290"/>
      <c r="Y87" s="290"/>
      <c r="Z87" s="290"/>
      <c r="AA87" s="290"/>
      <c r="AB87" s="290"/>
      <c r="AC87" s="1430"/>
    </row>
    <row r="88" spans="2:35" x14ac:dyDescent="0.4">
      <c r="B88" s="1783"/>
      <c r="C88" s="1784"/>
      <c r="D88" s="1784"/>
      <c r="E88" s="1784"/>
      <c r="F88" s="1784"/>
      <c r="G88" s="1784"/>
      <c r="H88" s="1796"/>
      <c r="I88" s="1784"/>
      <c r="J88" s="1784"/>
      <c r="K88" s="1784"/>
      <c r="L88" s="1784"/>
      <c r="M88" s="1784"/>
      <c r="N88" s="1784"/>
      <c r="O88" s="1784"/>
      <c r="P88" s="1784"/>
      <c r="Q88" s="1795"/>
      <c r="R88" s="1784"/>
      <c r="S88" s="1784"/>
      <c r="T88" s="1784"/>
      <c r="U88" s="3845"/>
      <c r="V88" s="3845"/>
      <c r="W88" s="3845"/>
      <c r="X88" s="3845"/>
      <c r="Y88" s="3845"/>
      <c r="Z88" s="3845"/>
      <c r="AA88" s="3845"/>
      <c r="AB88" s="1801"/>
      <c r="AC88" s="1802"/>
    </row>
    <row r="89" spans="2:35" x14ac:dyDescent="0.4">
      <c r="B89" s="5"/>
      <c r="C89" s="1144"/>
      <c r="D89" s="892"/>
      <c r="E89" s="894"/>
      <c r="F89" s="894"/>
      <c r="G89" s="94"/>
      <c r="H89" s="895"/>
      <c r="I89" s="94"/>
      <c r="J89" s="94"/>
      <c r="K89" s="94"/>
      <c r="L89" s="897"/>
      <c r="M89" s="897"/>
      <c r="N89" s="895"/>
      <c r="O89" s="94"/>
      <c r="P89" s="897"/>
      <c r="Q89" s="1444"/>
      <c r="R89" s="897"/>
      <c r="S89" s="897"/>
      <c r="T89" s="5"/>
      <c r="U89" s="3003"/>
      <c r="V89" s="7"/>
      <c r="W89" s="290"/>
      <c r="X89" s="290"/>
      <c r="Y89" s="290"/>
      <c r="Z89" s="290"/>
      <c r="AA89" s="290"/>
      <c r="AB89" s="290"/>
      <c r="AC89" s="290"/>
      <c r="AD89" s="8"/>
      <c r="AE89" s="8"/>
      <c r="AF89" s="8"/>
      <c r="AG89" s="8"/>
      <c r="AH89" s="8"/>
      <c r="AI89" s="8"/>
    </row>
    <row r="90" spans="2:35" ht="15.45" x14ac:dyDescent="0.4">
      <c r="B90" s="1769"/>
      <c r="C90" s="1770" t="s">
        <v>1845</v>
      </c>
      <c r="D90" s="1798"/>
      <c r="E90" s="1798"/>
      <c r="F90" s="1798"/>
      <c r="G90" s="1798"/>
      <c r="H90" s="1798"/>
      <c r="I90" s="1798"/>
      <c r="J90" s="1798"/>
      <c r="K90" s="1798"/>
      <c r="L90" s="1798"/>
      <c r="M90" s="1798"/>
      <c r="N90" s="1798"/>
      <c r="O90" s="1798"/>
      <c r="P90" s="1798"/>
      <c r="Q90" s="1799"/>
      <c r="R90" s="1798"/>
      <c r="S90" s="1798"/>
      <c r="T90" s="1798"/>
      <c r="U90" s="3346"/>
      <c r="V90" s="1798"/>
      <c r="W90" s="1798"/>
      <c r="X90" s="1798"/>
      <c r="Y90" s="1798"/>
      <c r="Z90" s="1798"/>
      <c r="AA90" s="1798"/>
      <c r="AB90" s="1798"/>
      <c r="AC90" s="1800"/>
    </row>
    <row r="91" spans="2:35" outlineLevel="1" x14ac:dyDescent="0.4">
      <c r="B91" s="1771"/>
      <c r="C91" s="748" t="s">
        <v>1053</v>
      </c>
      <c r="D91" s="706"/>
      <c r="E91" s="706"/>
      <c r="F91" s="706"/>
      <c r="G91" s="706"/>
      <c r="H91" s="1117"/>
      <c r="I91" s="706"/>
      <c r="J91" s="706"/>
      <c r="K91" s="706"/>
      <c r="L91" s="706"/>
      <c r="M91" s="706"/>
      <c r="N91" s="706"/>
      <c r="O91" s="706"/>
      <c r="P91" s="7"/>
      <c r="Q91" s="1413"/>
      <c r="R91" s="7"/>
      <c r="S91" s="7"/>
      <c r="T91" s="7"/>
      <c r="U91" s="3003"/>
      <c r="V91" s="7"/>
      <c r="W91" s="290"/>
      <c r="X91" s="290"/>
      <c r="Y91" s="290"/>
      <c r="Z91" s="290"/>
      <c r="AA91" s="290"/>
      <c r="AB91" s="290"/>
      <c r="AC91" s="1430"/>
    </row>
    <row r="92" spans="2:35" outlineLevel="1" x14ac:dyDescent="0.4">
      <c r="B92" s="1771"/>
      <c r="C92" s="700" t="s">
        <v>1846</v>
      </c>
      <c r="D92" s="706"/>
      <c r="E92" s="706"/>
      <c r="F92" s="706"/>
      <c r="G92" s="706"/>
      <c r="H92" s="1117"/>
      <c r="I92" s="706"/>
      <c r="J92" s="706"/>
      <c r="K92" s="706"/>
      <c r="L92" s="706"/>
      <c r="M92" s="706"/>
      <c r="N92" s="706"/>
      <c r="O92" s="706"/>
      <c r="P92" s="7"/>
      <c r="Q92" s="1413"/>
      <c r="R92" s="7"/>
      <c r="S92" s="7"/>
      <c r="T92" s="7"/>
      <c r="U92" s="3003"/>
      <c r="V92" s="7"/>
      <c r="W92" s="290"/>
      <c r="X92" s="290"/>
      <c r="Y92" s="290"/>
      <c r="Z92" s="290"/>
      <c r="AA92" s="290"/>
      <c r="AB92" s="290"/>
      <c r="AC92" s="1430"/>
    </row>
    <row r="93" spans="2:35" outlineLevel="1" x14ac:dyDescent="0.4">
      <c r="B93" s="1771"/>
      <c r="C93" s="700" t="s">
        <v>1125</v>
      </c>
      <c r="D93" s="706"/>
      <c r="E93" s="706"/>
      <c r="F93" s="706"/>
      <c r="G93" s="706"/>
      <c r="H93" s="1117"/>
      <c r="I93" s="706"/>
      <c r="J93" s="706"/>
      <c r="K93" s="706"/>
      <c r="L93" s="706"/>
      <c r="M93" s="706"/>
      <c r="N93" s="706"/>
      <c r="O93" s="706"/>
      <c r="P93" s="7"/>
      <c r="Q93" s="1413"/>
      <c r="R93" s="7"/>
      <c r="S93" s="7"/>
      <c r="T93" s="7"/>
      <c r="U93" s="3003"/>
      <c r="V93" s="7"/>
      <c r="W93" s="290"/>
      <c r="X93" s="290"/>
      <c r="Y93" s="290"/>
      <c r="Z93" s="290"/>
      <c r="AA93" s="290"/>
      <c r="AB93" s="290"/>
      <c r="AC93" s="1430"/>
    </row>
    <row r="94" spans="2:35" outlineLevel="1" x14ac:dyDescent="0.4">
      <c r="B94" s="1771"/>
      <c r="C94" s="700" t="s">
        <v>1842</v>
      </c>
      <c r="D94" s="706"/>
      <c r="E94" s="706"/>
      <c r="F94" s="706"/>
      <c r="G94" s="706"/>
      <c r="H94" s="1117"/>
      <c r="I94" s="706"/>
      <c r="J94" s="706"/>
      <c r="K94" s="706"/>
      <c r="L94" s="706"/>
      <c r="M94" s="706"/>
      <c r="N94" s="706"/>
      <c r="O94" s="706"/>
      <c r="P94" s="7"/>
      <c r="Q94" s="1413"/>
      <c r="R94" s="7"/>
      <c r="S94" s="7"/>
      <c r="T94" s="7"/>
      <c r="U94" s="3003"/>
      <c r="V94" s="7"/>
      <c r="W94" s="290"/>
      <c r="X94" s="290"/>
      <c r="Y94" s="290"/>
      <c r="Z94" s="290"/>
      <c r="AA94" s="290"/>
      <c r="AB94" s="290"/>
      <c r="AC94" s="1430"/>
    </row>
    <row r="95" spans="2:35" outlineLevel="1" x14ac:dyDescent="0.4">
      <c r="B95" s="1771"/>
      <c r="C95" s="700"/>
      <c r="D95" s="706"/>
      <c r="E95" s="706"/>
      <c r="F95" s="706"/>
      <c r="G95" s="706"/>
      <c r="H95" s="1117"/>
      <c r="I95" s="706"/>
      <c r="J95" s="706"/>
      <c r="K95" s="706"/>
      <c r="L95" s="706"/>
      <c r="M95" s="706"/>
      <c r="N95" s="706"/>
      <c r="O95" s="706"/>
      <c r="P95" s="7"/>
      <c r="Q95" s="1413"/>
      <c r="R95" s="7"/>
      <c r="S95" s="7"/>
      <c r="T95" s="7"/>
      <c r="U95" s="3003"/>
      <c r="V95" s="7"/>
      <c r="W95" s="290"/>
      <c r="X95" s="290"/>
      <c r="Y95" s="290"/>
      <c r="Z95" s="290"/>
      <c r="AA95" s="290"/>
      <c r="AB95" s="290"/>
      <c r="AC95" s="1430"/>
    </row>
    <row r="96" spans="2:35" outlineLevel="1" x14ac:dyDescent="0.4">
      <c r="B96" s="1771"/>
      <c r="C96" s="748" t="s">
        <v>1056</v>
      </c>
      <c r="D96" s="927">
        <f>SUM(D97)</f>
        <v>5.0100000000000006E-3</v>
      </c>
      <c r="E96" s="918"/>
      <c r="F96" s="918"/>
      <c r="G96" s="918"/>
      <c r="H96" s="919"/>
      <c r="I96" s="918"/>
      <c r="J96" s="918"/>
      <c r="K96" s="918"/>
      <c r="L96" s="918"/>
      <c r="M96" s="918"/>
      <c r="N96" s="918"/>
      <c r="O96" s="706"/>
      <c r="P96" s="7"/>
      <c r="Q96" s="1413"/>
      <c r="R96" s="7"/>
      <c r="S96" s="7"/>
      <c r="T96" s="7"/>
      <c r="U96" s="3003"/>
      <c r="V96" s="7"/>
      <c r="W96" s="290"/>
      <c r="X96" s="290"/>
      <c r="Y96" s="290"/>
      <c r="Z96" s="290"/>
      <c r="AA96" s="290"/>
      <c r="AB96" s="290"/>
      <c r="AC96" s="1430"/>
    </row>
    <row r="97" spans="2:29" ht="15" outlineLevel="1" thickBot="1" x14ac:dyDescent="0.45">
      <c r="B97" s="1771"/>
      <c r="C97" s="7" t="s">
        <v>1847</v>
      </c>
      <c r="D97" s="283">
        <f>Total_Cassette_Handling_Failure</f>
        <v>5.0100000000000006E-3</v>
      </c>
      <c r="E97" s="922"/>
      <c r="F97" s="922"/>
      <c r="G97" s="918"/>
      <c r="H97" s="919"/>
      <c r="I97" s="918"/>
      <c r="J97" s="918"/>
      <c r="K97" s="918"/>
      <c r="L97" s="918"/>
      <c r="M97" s="918"/>
      <c r="N97" s="918"/>
      <c r="O97" s="706"/>
      <c r="P97" s="7"/>
      <c r="Q97" s="1413"/>
      <c r="R97" s="7"/>
      <c r="S97" s="7"/>
      <c r="T97" s="7"/>
      <c r="U97" s="3003"/>
      <c r="V97" s="7"/>
      <c r="W97" s="290"/>
      <c r="X97" s="290"/>
      <c r="Y97" s="290"/>
      <c r="Z97" s="290"/>
      <c r="AA97" s="1138"/>
      <c r="AB97" s="290"/>
      <c r="AC97" s="1430"/>
    </row>
    <row r="98" spans="2:29" ht="15" outlineLevel="1" thickBot="1" x14ac:dyDescent="0.45">
      <c r="B98" s="1771"/>
      <c r="C98" s="7"/>
      <c r="D98" s="922"/>
      <c r="E98" s="922"/>
      <c r="F98" s="922"/>
      <c r="G98" s="918"/>
      <c r="H98" s="919"/>
      <c r="I98" s="918"/>
      <c r="J98" s="918"/>
      <c r="K98" s="918"/>
      <c r="L98" s="918"/>
      <c r="M98" s="918"/>
      <c r="N98" s="918"/>
      <c r="O98" s="706"/>
      <c r="P98" s="7"/>
      <c r="Q98" s="1413"/>
      <c r="R98" s="7"/>
      <c r="S98" s="7"/>
      <c r="T98" s="7"/>
      <c r="U98" s="3007" t="str">
        <f>C90</f>
        <v>Divertor handling system failure</v>
      </c>
      <c r="V98" s="1119" t="s">
        <v>23</v>
      </c>
      <c r="W98" s="3842" t="s">
        <v>2604</v>
      </c>
      <c r="X98" s="3843"/>
      <c r="Y98" s="3843"/>
      <c r="Z98" s="3843"/>
      <c r="AA98" s="3844"/>
      <c r="AC98" s="1430"/>
    </row>
    <row r="99" spans="2:29" ht="15" outlineLevel="1" thickBot="1" x14ac:dyDescent="0.45">
      <c r="B99" s="1771"/>
      <c r="C99" s="7"/>
      <c r="D99" s="7"/>
      <c r="E99" s="7"/>
      <c r="F99" s="929"/>
      <c r="G99" s="3841" t="s">
        <v>18</v>
      </c>
      <c r="H99" s="3837"/>
      <c r="I99" s="3793" t="s">
        <v>778</v>
      </c>
      <c r="J99" s="3794"/>
      <c r="K99" s="3794"/>
      <c r="L99" s="3794"/>
      <c r="M99" s="3794"/>
      <c r="N99" s="3795"/>
      <c r="O99" s="3793" t="s">
        <v>3</v>
      </c>
      <c r="P99" s="3795"/>
      <c r="Q99" s="3838" t="s">
        <v>779</v>
      </c>
      <c r="R99" s="3839"/>
      <c r="S99" s="3840"/>
      <c r="T99" s="938"/>
      <c r="U99" s="3008" t="s">
        <v>1055</v>
      </c>
      <c r="V99" s="1122">
        <v>1</v>
      </c>
      <c r="W99" s="1512">
        <v>1</v>
      </c>
      <c r="X99" s="916">
        <v>2</v>
      </c>
      <c r="Y99" s="916">
        <v>3</v>
      </c>
      <c r="Z99" s="916">
        <v>4</v>
      </c>
      <c r="AA99" s="1045">
        <v>6</v>
      </c>
      <c r="AC99" s="1430"/>
    </row>
    <row r="100" spans="2:29" ht="15" outlineLevel="1" thickBot="1" x14ac:dyDescent="0.45">
      <c r="B100" s="1771"/>
      <c r="C100" s="562" t="s">
        <v>1129</v>
      </c>
      <c r="D100" s="563" t="s">
        <v>782</v>
      </c>
      <c r="E100" s="942" t="s">
        <v>783</v>
      </c>
      <c r="F100" s="943" t="s">
        <v>784</v>
      </c>
      <c r="G100" s="940" t="s">
        <v>785</v>
      </c>
      <c r="H100" s="944" t="s">
        <v>783</v>
      </c>
      <c r="I100" s="940" t="s">
        <v>786</v>
      </c>
      <c r="J100" s="563" t="s">
        <v>787</v>
      </c>
      <c r="K100" s="563" t="s">
        <v>788</v>
      </c>
      <c r="L100" s="563" t="s">
        <v>789</v>
      </c>
      <c r="M100" s="563" t="s">
        <v>790</v>
      </c>
      <c r="N100" s="564" t="s">
        <v>783</v>
      </c>
      <c r="O100" s="560" t="s">
        <v>785</v>
      </c>
      <c r="P100" s="1152" t="s">
        <v>783</v>
      </c>
      <c r="Q100" s="1447" t="s">
        <v>781</v>
      </c>
      <c r="R100" s="786" t="s">
        <v>791</v>
      </c>
      <c r="S100" s="787" t="s">
        <v>792</v>
      </c>
      <c r="T100" s="947"/>
      <c r="U100" s="2997" t="s">
        <v>1848</v>
      </c>
      <c r="V100" s="1086">
        <f>SUMIF('Lower Cask Critical Path'!$C$7:$C$91, "*Cassette*", 'Lower Cask Critical Path'!$E$7:$E$91)</f>
        <v>23.220000000000002</v>
      </c>
      <c r="W100" s="1415">
        <f>SUMIF('Lower Cask Critical Path'!$C$7:$C$91, "*Cassette*", 'Lower Cask Critical Path'!$E$7:$E$91)</f>
        <v>23.220000000000002</v>
      </c>
      <c r="X100" s="917">
        <f>SUMIF('Lower Cask Critical Path'!$C$7:$C$91, "*Cassette*", 'Lower Cask Critical Path'!$E$7:$E$91)</f>
        <v>23.220000000000002</v>
      </c>
      <c r="Y100" s="917">
        <f>SUMIF('Lower Cask Critical Path'!$C$7:$C$91, "*Cassette*", 'Lower Cask Critical Path'!$E$7:$E$91)</f>
        <v>23.220000000000002</v>
      </c>
      <c r="Z100" s="917">
        <f>SUMIF('Lower Cask Critical Path'!$C$7:$C$91, "*Cassette*", 'Lower Cask Critical Path'!$E$7:$E$91)</f>
        <v>23.220000000000002</v>
      </c>
      <c r="AA100" s="1028">
        <f>SUMIF('Lower Cask Critical Path'!$C$7:$C$91, "*Cassette*", 'Lower Cask Critical Path'!$E$7:$E$91)</f>
        <v>23.220000000000002</v>
      </c>
      <c r="AC100" s="1430"/>
    </row>
    <row r="101" spans="2:29" outlineLevel="1" x14ac:dyDescent="0.4">
      <c r="B101" s="1771"/>
      <c r="C101" s="1788" t="s">
        <v>1819</v>
      </c>
      <c r="D101" s="1781" t="s">
        <v>778</v>
      </c>
      <c r="E101" s="459">
        <f t="shared" ref="E101:E110" si="28">MAX($P101,$N101,$H101)</f>
        <v>6.9444444444444448E-2</v>
      </c>
      <c r="F101" s="517">
        <f>E101</f>
        <v>6.9444444444444448E-2</v>
      </c>
      <c r="G101" s="575"/>
      <c r="H101" s="580" t="s">
        <v>263</v>
      </c>
      <c r="I101" s="575" t="s">
        <v>1831</v>
      </c>
      <c r="J101" s="573" t="s">
        <v>799</v>
      </c>
      <c r="K101" s="573" t="s">
        <v>1203</v>
      </c>
      <c r="L101" s="1176">
        <v>50</v>
      </c>
      <c r="M101" s="1176">
        <v>0.2</v>
      </c>
      <c r="N101" s="580">
        <f>IF(D101="Movement",IFERROR((L101/M101)/(60*60),"Error"),"N/A")</f>
        <v>6.9444444444444448E-2</v>
      </c>
      <c r="O101" s="879"/>
      <c r="P101" s="580" t="s">
        <v>263</v>
      </c>
      <c r="Q101" s="1448"/>
      <c r="R101" s="320" t="s">
        <v>263</v>
      </c>
      <c r="S101" s="319" t="str">
        <f>IFERROR(F101-E101-R101,"N/A")</f>
        <v>N/A</v>
      </c>
      <c r="T101" s="947"/>
      <c r="U101" s="2997" t="s">
        <v>1849</v>
      </c>
      <c r="V101" s="1086">
        <f>SUMIF('Lower Cask Critical Path'!$C$183:$C$251, "*Cassette*", 'Lower Cask Critical Path'!$E$183:$E$251)</f>
        <v>27.11</v>
      </c>
      <c r="W101" s="1415">
        <f>SUMIF('Lower Cask Critical Path'!$C$183:$C$251, "*Cassette*", 'Lower Cask Critical Path'!$E$183:$E$251)</f>
        <v>27.11</v>
      </c>
      <c r="X101" s="917">
        <f>SUMIF('Lower Cask Critical Path'!$C$183:$C$251, "*Cassette*", 'Lower Cask Critical Path'!$E$183:$E$251)</f>
        <v>27.11</v>
      </c>
      <c r="Y101" s="917">
        <f>SUMIF('Lower Cask Critical Path'!$C$183:$C$251, "*Cassette*", 'Lower Cask Critical Path'!$E$183:$E$251)</f>
        <v>27.11</v>
      </c>
      <c r="Z101" s="917">
        <f>SUMIF('Lower Cask Critical Path'!$C$183:$C$251, "*Cassette*", 'Lower Cask Critical Path'!$E$183:$E$251)</f>
        <v>27.11</v>
      </c>
      <c r="AA101" s="1028">
        <f>SUMIF('Lower Cask Critical Path'!$C$183:$C$251, "*Cassette*", 'Lower Cask Critical Path'!$E$183:$E$251)</f>
        <v>27.11</v>
      </c>
      <c r="AC101" s="1430"/>
    </row>
    <row r="102" spans="2:29" outlineLevel="1" x14ac:dyDescent="0.4">
      <c r="B102" s="1771"/>
      <c r="C102" s="1780" t="s">
        <v>1832</v>
      </c>
      <c r="D102" s="1781" t="s">
        <v>3</v>
      </c>
      <c r="E102" s="459">
        <f t="shared" si="28"/>
        <v>1.9</v>
      </c>
      <c r="F102" s="517">
        <f t="shared" ref="F102:F111" si="29">IF(S102&lt;0,E102+F101+(-S102),E102+F101)</f>
        <v>1.9694444444444443</v>
      </c>
      <c r="G102" s="575"/>
      <c r="H102" s="580" t="s">
        <v>263</v>
      </c>
      <c r="I102" s="575"/>
      <c r="J102" s="573"/>
      <c r="K102" s="573"/>
      <c r="L102" s="1176" t="s">
        <v>263</v>
      </c>
      <c r="M102" s="1176" t="s">
        <v>263</v>
      </c>
      <c r="N102" s="580" t="str">
        <f>IF(D102="Movement",IFERROR((L102/M102)/(60*60),"Error"),"N/A")</f>
        <v>N/A</v>
      </c>
      <c r="O102" s="879" t="s">
        <v>1541</v>
      </c>
      <c r="P102" s="580">
        <v>1.9</v>
      </c>
      <c r="Q102" s="1449"/>
      <c r="R102" s="853" t="s">
        <v>263</v>
      </c>
      <c r="S102" s="576" t="str">
        <f t="shared" ref="S102:S111" si="30">IFERROR(F101-R102,"N/A")</f>
        <v>N/A</v>
      </c>
      <c r="T102" s="947"/>
      <c r="U102" s="3140" t="s">
        <v>2668</v>
      </c>
      <c r="V102" s="1086">
        <f>V101+V100</f>
        <v>50.33</v>
      </c>
      <c r="W102" s="1415">
        <f>(W101+W100)*ROUNDUP(Tokamak_Segmts/W99,0)</f>
        <v>805.28</v>
      </c>
      <c r="X102" s="917">
        <f>(X101+X100)*ROUNDUP(Tokamak_Segmts/X99,0)</f>
        <v>402.64</v>
      </c>
      <c r="Y102" s="917">
        <f>(Y101+Y100)*ROUNDUP(Tokamak_Segmts/Y99,0)</f>
        <v>301.98</v>
      </c>
      <c r="Z102" s="917">
        <f>(Z101+Z100)*ROUNDUP(Tokamak_Segmts/Z99,0)</f>
        <v>201.32</v>
      </c>
      <c r="AA102" s="1028">
        <f>(AA101+AA100)*ROUNDUP(Tokamak_Segmts/AA99,0)</f>
        <v>150.99</v>
      </c>
      <c r="AC102" s="1430"/>
    </row>
    <row r="103" spans="2:29" ht="15" outlineLevel="1" thickBot="1" x14ac:dyDescent="0.45">
      <c r="B103" s="1771"/>
      <c r="C103" s="1458" t="s">
        <v>1844</v>
      </c>
      <c r="D103" s="1781" t="s">
        <v>251</v>
      </c>
      <c r="E103" s="459">
        <f t="shared" si="28"/>
        <v>3</v>
      </c>
      <c r="F103" s="517">
        <f t="shared" si="29"/>
        <v>4.9694444444444441</v>
      </c>
      <c r="G103" s="575" t="s">
        <v>1818</v>
      </c>
      <c r="H103" s="580">
        <v>3</v>
      </c>
      <c r="I103" s="575"/>
      <c r="J103" s="573"/>
      <c r="K103" s="573"/>
      <c r="L103" s="1176" t="s">
        <v>263</v>
      </c>
      <c r="M103" s="1176" t="s">
        <v>263</v>
      </c>
      <c r="N103" s="580" t="str">
        <f t="shared" ref="N103:N110" si="31">IF(D103="Movement",IFERROR((L103/M103)/(60*60),"Error"),"N/A")</f>
        <v>N/A</v>
      </c>
      <c r="O103" s="879" t="s">
        <v>1835</v>
      </c>
      <c r="P103" s="580" t="s">
        <v>263</v>
      </c>
      <c r="Q103" s="1449"/>
      <c r="R103" s="853" t="s">
        <v>263</v>
      </c>
      <c r="S103" s="576" t="str">
        <f t="shared" si="30"/>
        <v>N/A</v>
      </c>
      <c r="T103" s="947"/>
      <c r="U103" s="3141" t="s">
        <v>2693</v>
      </c>
      <c r="V103" s="1089">
        <f>V$102*$D$96</f>
        <v>0.25215330000000002</v>
      </c>
      <c r="W103" s="1416">
        <f t="shared" ref="W103:AA103" si="32">W$102*$D$96</f>
        <v>4.0344528000000004</v>
      </c>
      <c r="X103" s="920">
        <f t="shared" si="32"/>
        <v>2.0172264000000002</v>
      </c>
      <c r="Y103" s="920">
        <f t="shared" si="32"/>
        <v>1.5129198000000004</v>
      </c>
      <c r="Z103" s="920">
        <f t="shared" si="32"/>
        <v>1.0086132000000001</v>
      </c>
      <c r="AA103" s="1029">
        <f t="shared" si="32"/>
        <v>0.75645990000000018</v>
      </c>
      <c r="AC103" s="1430"/>
    </row>
    <row r="104" spans="2:29" outlineLevel="1" x14ac:dyDescent="0.4">
      <c r="B104" s="1771"/>
      <c r="C104" s="1458" t="s">
        <v>1836</v>
      </c>
      <c r="D104" s="1781" t="s">
        <v>3</v>
      </c>
      <c r="E104" s="459">
        <f t="shared" si="28"/>
        <v>2.3000000000000003</v>
      </c>
      <c r="F104" s="517">
        <f t="shared" si="29"/>
        <v>7.2694444444444439</v>
      </c>
      <c r="G104" s="575"/>
      <c r="H104" s="850" t="s">
        <v>263</v>
      </c>
      <c r="I104" s="575"/>
      <c r="J104" s="573"/>
      <c r="K104" s="573"/>
      <c r="L104" s="1176" t="s">
        <v>263</v>
      </c>
      <c r="M104" s="1176" t="s">
        <v>263</v>
      </c>
      <c r="N104" s="580" t="str">
        <f t="shared" si="31"/>
        <v>N/A</v>
      </c>
      <c r="O104" s="879" t="s">
        <v>1552</v>
      </c>
      <c r="P104" s="580">
        <v>2.3000000000000003</v>
      </c>
      <c r="Q104" s="1449"/>
      <c r="R104" s="853" t="s">
        <v>263</v>
      </c>
      <c r="S104" s="576" t="str">
        <f t="shared" si="30"/>
        <v>N/A</v>
      </c>
      <c r="T104" s="947"/>
      <c r="U104" s="2999" t="s">
        <v>1048</v>
      </c>
      <c r="V104" s="1082">
        <f t="shared" ref="V104:AA104" si="33">V103*(SUMIF($D$101:$D$111,"Operation",$E$101:$E$111))</f>
        <v>0.75645990000000007</v>
      </c>
      <c r="W104" s="1083">
        <f t="shared" si="33"/>
        <v>12.103358400000001</v>
      </c>
      <c r="X104" s="1084">
        <f t="shared" si="33"/>
        <v>6.0516792000000006</v>
      </c>
      <c r="Y104" s="1084">
        <f t="shared" si="33"/>
        <v>4.5387594000000009</v>
      </c>
      <c r="Z104" s="1084">
        <f t="shared" si="33"/>
        <v>3.0258396000000003</v>
      </c>
      <c r="AA104" s="1085">
        <f t="shared" si="33"/>
        <v>2.2693797000000004</v>
      </c>
      <c r="AC104" s="1430"/>
    </row>
    <row r="105" spans="2:29" outlineLevel="1" x14ac:dyDescent="0.4">
      <c r="B105" s="1771"/>
      <c r="C105" s="1128" t="s">
        <v>1577</v>
      </c>
      <c r="D105" s="847" t="s">
        <v>3</v>
      </c>
      <c r="E105" s="390">
        <f t="shared" si="28"/>
        <v>2.3000000000000003</v>
      </c>
      <c r="F105" s="517">
        <f t="shared" si="29"/>
        <v>9.5694444444444446</v>
      </c>
      <c r="G105" s="575"/>
      <c r="H105" s="850" t="s">
        <v>263</v>
      </c>
      <c r="I105" s="575"/>
      <c r="J105" s="573"/>
      <c r="K105" s="573"/>
      <c r="L105" s="1176" t="s">
        <v>263</v>
      </c>
      <c r="M105" s="1176" t="s">
        <v>263</v>
      </c>
      <c r="N105" s="580" t="str">
        <f t="shared" si="31"/>
        <v>N/A</v>
      </c>
      <c r="O105" s="575" t="s">
        <v>1552</v>
      </c>
      <c r="P105" s="580">
        <v>2.3000000000000003</v>
      </c>
      <c r="Q105" s="1449"/>
      <c r="R105" s="853" t="s">
        <v>263</v>
      </c>
      <c r="S105" s="576" t="str">
        <f t="shared" si="30"/>
        <v>N/A</v>
      </c>
      <c r="T105" s="947"/>
      <c r="U105" s="2997" t="s">
        <v>2658</v>
      </c>
      <c r="V105" s="1086">
        <f t="shared" ref="V105:AA105" si="34">V103*(SUMIF($D$101:$D$111,"Movement",$E$101:$E$111)+(SUMIF($D$101:$D$111,"Logistics",$E$101:$E$111)))</f>
        <v>2.9245580245000005</v>
      </c>
      <c r="W105" s="1087">
        <f t="shared" si="34"/>
        <v>46.792928392000007</v>
      </c>
      <c r="X105" s="915">
        <f t="shared" si="34"/>
        <v>23.396464196000004</v>
      </c>
      <c r="Y105" s="915">
        <f t="shared" si="34"/>
        <v>17.547348147000005</v>
      </c>
      <c r="Z105" s="915">
        <f t="shared" si="34"/>
        <v>11.698232098000002</v>
      </c>
      <c r="AA105" s="1088">
        <f t="shared" si="34"/>
        <v>8.7736740735000023</v>
      </c>
      <c r="AC105" s="1430"/>
    </row>
    <row r="106" spans="2:29" ht="15" outlineLevel="1" thickBot="1" x14ac:dyDescent="0.45">
      <c r="B106" s="1771"/>
      <c r="C106" s="1128" t="s">
        <v>1150</v>
      </c>
      <c r="D106" s="659" t="s">
        <v>778</v>
      </c>
      <c r="E106" s="390">
        <f t="shared" si="28"/>
        <v>0.69444444444444442</v>
      </c>
      <c r="F106" s="517">
        <f t="shared" si="29"/>
        <v>10.263888888888889</v>
      </c>
      <c r="G106" s="575"/>
      <c r="H106" s="850" t="s">
        <v>263</v>
      </c>
      <c r="I106" s="575" t="s">
        <v>1538</v>
      </c>
      <c r="J106" s="573" t="s">
        <v>1203</v>
      </c>
      <c r="K106" s="573" t="s">
        <v>914</v>
      </c>
      <c r="L106" s="1176">
        <v>50</v>
      </c>
      <c r="M106" s="1176">
        <v>0.02</v>
      </c>
      <c r="N106" s="580">
        <f t="shared" si="31"/>
        <v>0.69444444444444442</v>
      </c>
      <c r="O106" s="575"/>
      <c r="P106" s="580" t="s">
        <v>263</v>
      </c>
      <c r="Q106" s="1449"/>
      <c r="R106" s="853" t="s">
        <v>263</v>
      </c>
      <c r="S106" s="576" t="str">
        <f t="shared" si="30"/>
        <v>N/A</v>
      </c>
      <c r="T106" s="947"/>
      <c r="U106" s="3000" t="s">
        <v>2657</v>
      </c>
      <c r="V106" s="1089">
        <f t="shared" ref="V106:AA106" si="35">V103*(-SUMIF($S$101:$S$111,"&lt;0"))</f>
        <v>0</v>
      </c>
      <c r="W106" s="1090">
        <f t="shared" si="35"/>
        <v>0</v>
      </c>
      <c r="X106" s="1091">
        <f t="shared" si="35"/>
        <v>0</v>
      </c>
      <c r="Y106" s="1091">
        <f t="shared" si="35"/>
        <v>0</v>
      </c>
      <c r="Z106" s="1091">
        <f t="shared" si="35"/>
        <v>0</v>
      </c>
      <c r="AA106" s="1092">
        <f t="shared" si="35"/>
        <v>0</v>
      </c>
      <c r="AC106" s="1430"/>
    </row>
    <row r="107" spans="2:29" ht="15" outlineLevel="1" thickBot="1" x14ac:dyDescent="0.45">
      <c r="B107" s="1771"/>
      <c r="C107" s="1128" t="s">
        <v>1837</v>
      </c>
      <c r="D107" s="847" t="s">
        <v>3</v>
      </c>
      <c r="E107" s="390">
        <f t="shared" si="28"/>
        <v>0.58000000000000007</v>
      </c>
      <c r="F107" s="517">
        <f t="shared" si="29"/>
        <v>10.843888888888889</v>
      </c>
      <c r="G107" s="575"/>
      <c r="H107" s="850" t="s">
        <v>263</v>
      </c>
      <c r="I107" s="575"/>
      <c r="J107" s="573"/>
      <c r="K107" s="573"/>
      <c r="L107" s="1176" t="s">
        <v>263</v>
      </c>
      <c r="M107" s="1176" t="s">
        <v>263</v>
      </c>
      <c r="N107" s="580" t="str">
        <f t="shared" si="31"/>
        <v>N/A</v>
      </c>
      <c r="O107" s="575" t="s">
        <v>1838</v>
      </c>
      <c r="P107" s="580">
        <v>0.58000000000000007</v>
      </c>
      <c r="Q107" s="1449"/>
      <c r="R107" s="853" t="s">
        <v>263</v>
      </c>
      <c r="S107" s="576" t="str">
        <f t="shared" si="30"/>
        <v>N/A</v>
      </c>
      <c r="T107" s="947"/>
      <c r="U107" s="3000" t="s">
        <v>2686</v>
      </c>
      <c r="V107" s="1089">
        <f t="shared" ref="V107:AA107" si="36">V$103*$F$112</f>
        <v>3.6810179245000008</v>
      </c>
      <c r="W107" s="920">
        <f t="shared" si="36"/>
        <v>58.896286792000012</v>
      </c>
      <c r="X107" s="920">
        <f t="shared" si="36"/>
        <v>29.448143396000006</v>
      </c>
      <c r="Y107" s="920">
        <f t="shared" si="36"/>
        <v>22.086107547000008</v>
      </c>
      <c r="Z107" s="920">
        <f t="shared" si="36"/>
        <v>14.724071698000003</v>
      </c>
      <c r="AA107" s="1029">
        <f t="shared" si="36"/>
        <v>11.043053773500004</v>
      </c>
      <c r="AC107" s="1430"/>
    </row>
    <row r="108" spans="2:29" outlineLevel="1" x14ac:dyDescent="0.4">
      <c r="B108" s="1771"/>
      <c r="C108" s="1128" t="s">
        <v>1839</v>
      </c>
      <c r="D108" s="847" t="s">
        <v>3</v>
      </c>
      <c r="E108" s="390">
        <f t="shared" si="28"/>
        <v>0.78</v>
      </c>
      <c r="F108" s="517">
        <f>IF(S108&lt;0,E108+F107+(-S108),E108+F107)</f>
        <v>11.623888888888889</v>
      </c>
      <c r="G108" s="575"/>
      <c r="H108" s="850" t="s">
        <v>263</v>
      </c>
      <c r="I108" s="575"/>
      <c r="J108" s="573"/>
      <c r="K108" s="573"/>
      <c r="L108" s="1176" t="s">
        <v>263</v>
      </c>
      <c r="M108" s="1176" t="s">
        <v>263</v>
      </c>
      <c r="N108" s="580" t="str">
        <f t="shared" si="31"/>
        <v>N/A</v>
      </c>
      <c r="O108" s="575" t="s">
        <v>1740</v>
      </c>
      <c r="P108" s="580">
        <v>0.78</v>
      </c>
      <c r="Q108" s="1449"/>
      <c r="R108" s="853" t="s">
        <v>263</v>
      </c>
      <c r="S108" s="576" t="str">
        <f t="shared" si="30"/>
        <v>N/A</v>
      </c>
      <c r="T108" s="947"/>
      <c r="AC108" s="1430"/>
    </row>
    <row r="109" spans="2:29" outlineLevel="1" x14ac:dyDescent="0.4">
      <c r="B109" s="1771"/>
      <c r="C109" s="1159" t="s">
        <v>1840</v>
      </c>
      <c r="D109" s="847" t="s">
        <v>778</v>
      </c>
      <c r="E109" s="390">
        <f t="shared" si="28"/>
        <v>0.69444444444444442</v>
      </c>
      <c r="F109" s="517">
        <f t="shared" si="29"/>
        <v>12.318333333333333</v>
      </c>
      <c r="G109" s="575"/>
      <c r="H109" s="850" t="s">
        <v>263</v>
      </c>
      <c r="I109" s="575" t="s">
        <v>1538</v>
      </c>
      <c r="J109" s="573" t="s">
        <v>799</v>
      </c>
      <c r="K109" s="573" t="s">
        <v>1203</v>
      </c>
      <c r="L109" s="1176">
        <v>50</v>
      </c>
      <c r="M109" s="1176">
        <v>0.02</v>
      </c>
      <c r="N109" s="580">
        <f t="shared" si="31"/>
        <v>0.69444444444444442</v>
      </c>
      <c r="O109" s="575"/>
      <c r="P109" s="580" t="s">
        <v>263</v>
      </c>
      <c r="Q109" s="1449"/>
      <c r="R109" s="853" t="s">
        <v>263</v>
      </c>
      <c r="S109" s="576" t="str">
        <f t="shared" si="30"/>
        <v>N/A</v>
      </c>
      <c r="T109" s="947"/>
      <c r="AC109" s="1430"/>
    </row>
    <row r="110" spans="2:29" outlineLevel="1" x14ac:dyDescent="0.4">
      <c r="B110" s="1771"/>
      <c r="C110" s="1159" t="s">
        <v>1541</v>
      </c>
      <c r="D110" s="847" t="s">
        <v>3</v>
      </c>
      <c r="E110" s="390">
        <f t="shared" si="28"/>
        <v>1.9</v>
      </c>
      <c r="F110" s="517">
        <f t="shared" si="29"/>
        <v>14.218333333333334</v>
      </c>
      <c r="G110" s="575"/>
      <c r="H110" s="850" t="s">
        <v>263</v>
      </c>
      <c r="I110" s="575"/>
      <c r="J110" s="573"/>
      <c r="K110" s="573"/>
      <c r="L110" s="1176" t="s">
        <v>263</v>
      </c>
      <c r="M110" s="1176" t="s">
        <v>263</v>
      </c>
      <c r="N110" s="580" t="str">
        <f t="shared" si="31"/>
        <v>N/A</v>
      </c>
      <c r="O110" s="575" t="s">
        <v>1541</v>
      </c>
      <c r="P110" s="580">
        <v>1.9</v>
      </c>
      <c r="Q110" s="1449"/>
      <c r="R110" s="853" t="s">
        <v>263</v>
      </c>
      <c r="S110" s="576" t="str">
        <f t="shared" si="30"/>
        <v>N/A</v>
      </c>
      <c r="T110" s="897"/>
      <c r="AB110" s="290"/>
      <c r="AC110" s="1430"/>
    </row>
    <row r="111" spans="2:29" ht="15" outlineLevel="1" thickBot="1" x14ac:dyDescent="0.45">
      <c r="B111" s="1771"/>
      <c r="C111" s="1146" t="s">
        <v>1841</v>
      </c>
      <c r="D111" s="808" t="s">
        <v>3</v>
      </c>
      <c r="E111" s="349">
        <f>MAX($P111,$N111,$H111)</f>
        <v>0.38</v>
      </c>
      <c r="F111" s="517">
        <f t="shared" si="29"/>
        <v>14.598333333333334</v>
      </c>
      <c r="G111" s="586"/>
      <c r="H111" s="811" t="s">
        <v>263</v>
      </c>
      <c r="I111" s="586"/>
      <c r="J111" s="584"/>
      <c r="K111" s="584"/>
      <c r="L111" s="1179" t="s">
        <v>263</v>
      </c>
      <c r="M111" s="1179" t="s">
        <v>263</v>
      </c>
      <c r="N111" s="591" t="str">
        <f>IF(D111="Movement",IFERROR((L111/M111)/(60*60),"Error"),"N/A")</f>
        <v>N/A</v>
      </c>
      <c r="O111" s="586" t="s">
        <v>1544</v>
      </c>
      <c r="P111" s="591">
        <v>0.38</v>
      </c>
      <c r="Q111" s="1450"/>
      <c r="R111" s="814" t="s">
        <v>263</v>
      </c>
      <c r="S111" s="587" t="str">
        <f t="shared" si="30"/>
        <v>N/A</v>
      </c>
      <c r="T111" s="5"/>
      <c r="U111" s="3003"/>
      <c r="V111" s="7"/>
      <c r="W111" s="290"/>
      <c r="X111" s="290"/>
      <c r="Y111" s="290"/>
      <c r="Z111" s="290"/>
      <c r="AA111" s="290"/>
      <c r="AB111" s="290"/>
      <c r="AC111" s="1430"/>
    </row>
    <row r="112" spans="2:29" outlineLevel="1" x14ac:dyDescent="0.4">
      <c r="B112" s="1771"/>
      <c r="C112" s="705"/>
      <c r="D112" s="870" t="s">
        <v>11</v>
      </c>
      <c r="E112" s="7"/>
      <c r="F112" s="290">
        <f>F111</f>
        <v>14.598333333333334</v>
      </c>
      <c r="G112" s="94"/>
      <c r="H112" s="895"/>
      <c r="I112" s="94"/>
      <c r="J112" s="94"/>
      <c r="K112" s="94"/>
      <c r="L112" s="897"/>
      <c r="M112" s="897"/>
      <c r="N112" s="895"/>
      <c r="O112" s="94"/>
      <c r="P112" s="897"/>
      <c r="Q112" s="1444"/>
      <c r="R112" s="897"/>
      <c r="S112" s="897"/>
      <c r="T112" s="7"/>
      <c r="U112" s="3003"/>
      <c r="V112" s="7"/>
      <c r="W112" s="290"/>
      <c r="X112" s="290"/>
      <c r="Y112" s="290"/>
      <c r="Z112" s="290"/>
      <c r="AA112" s="290"/>
      <c r="AB112" s="290"/>
      <c r="AC112" s="1430"/>
    </row>
    <row r="113" spans="2:29" outlineLevel="1" x14ac:dyDescent="0.4">
      <c r="B113" s="1771"/>
      <c r="C113" s="1144"/>
      <c r="D113" s="1483"/>
      <c r="E113" s="894"/>
      <c r="F113" s="894"/>
      <c r="G113" s="94"/>
      <c r="H113" s="895"/>
      <c r="I113" s="94"/>
      <c r="J113" s="94"/>
      <c r="K113" s="94"/>
      <c r="L113" s="897"/>
      <c r="M113" s="897"/>
      <c r="N113" s="895"/>
      <c r="O113" s="94"/>
      <c r="P113" s="897"/>
      <c r="Q113" s="1444"/>
      <c r="R113" s="897"/>
      <c r="S113" s="897"/>
      <c r="T113" s="7"/>
      <c r="U113" s="3003"/>
      <c r="V113" s="7"/>
      <c r="W113" s="290"/>
      <c r="X113" s="290"/>
      <c r="Y113" s="290"/>
      <c r="Z113" s="290"/>
      <c r="AA113" s="290"/>
      <c r="AB113" s="290"/>
      <c r="AC113" s="1430"/>
    </row>
    <row r="114" spans="2:29" outlineLevel="1" x14ac:dyDescent="0.4">
      <c r="B114" s="1771"/>
      <c r="C114" s="5"/>
      <c r="D114" s="1140"/>
      <c r="E114" s="1139"/>
      <c r="F114" s="1139"/>
      <c r="G114" s="1139"/>
      <c r="H114" s="1140"/>
      <c r="I114" s="1139"/>
      <c r="J114" s="1139"/>
      <c r="K114" s="1139"/>
      <c r="L114" s="1139"/>
      <c r="M114" s="1139"/>
      <c r="N114" s="1139"/>
      <c r="O114" s="1141"/>
      <c r="P114" s="7"/>
      <c r="Q114" s="1413"/>
      <c r="R114" s="7"/>
      <c r="S114" s="7"/>
      <c r="T114" s="7"/>
      <c r="U114" s="3003"/>
      <c r="V114" s="7"/>
      <c r="W114" s="290"/>
      <c r="X114" s="290"/>
      <c r="Y114" s="290"/>
      <c r="Z114" s="290"/>
      <c r="AA114" s="290"/>
      <c r="AB114" s="290"/>
      <c r="AC114" s="1430"/>
    </row>
    <row r="115" spans="2:29" outlineLevel="1" x14ac:dyDescent="0.4">
      <c r="B115" s="1771"/>
      <c r="C115" s="5"/>
      <c r="D115" s="1140"/>
      <c r="E115" s="1139"/>
      <c r="F115" s="1139"/>
      <c r="G115" s="1139"/>
      <c r="H115" s="1140"/>
      <c r="I115" s="1139"/>
      <c r="J115" s="1139"/>
      <c r="K115" s="1139"/>
      <c r="L115" s="1139"/>
      <c r="M115" s="1139"/>
      <c r="N115" s="1139"/>
      <c r="O115" s="1141"/>
      <c r="P115" s="7"/>
      <c r="Q115" s="1413"/>
      <c r="R115" s="7"/>
      <c r="S115" s="7"/>
      <c r="T115" s="7"/>
      <c r="U115" s="3003"/>
      <c r="V115" s="7"/>
      <c r="W115" s="290"/>
      <c r="X115" s="290"/>
      <c r="Y115" s="290"/>
      <c r="Z115" s="290"/>
      <c r="AA115" s="290"/>
      <c r="AB115" s="290"/>
      <c r="AC115" s="1430"/>
    </row>
    <row r="116" spans="2:29" x14ac:dyDescent="0.4">
      <c r="B116" s="1783"/>
      <c r="C116" s="1784"/>
      <c r="D116" s="1784"/>
      <c r="E116" s="1784"/>
      <c r="F116" s="1784"/>
      <c r="G116" s="1784"/>
      <c r="H116" s="1796"/>
      <c r="I116" s="1784"/>
      <c r="J116" s="1784"/>
      <c r="K116" s="1784"/>
      <c r="L116" s="1784"/>
      <c r="M116" s="1784"/>
      <c r="N116" s="1784"/>
      <c r="O116" s="1784"/>
      <c r="P116" s="1784"/>
      <c r="Q116" s="1795"/>
      <c r="R116" s="1784"/>
      <c r="S116" s="1784"/>
      <c r="T116" s="1784"/>
      <c r="U116" s="3845"/>
      <c r="V116" s="3845"/>
      <c r="W116" s="3845"/>
      <c r="X116" s="3845"/>
      <c r="Y116" s="3845"/>
      <c r="Z116" s="3845"/>
      <c r="AA116" s="3845"/>
      <c r="AB116" s="1801"/>
      <c r="AC116" s="1802"/>
    </row>
    <row r="117" spans="2:29" s="8" customFormat="1" x14ac:dyDescent="0.4">
      <c r="B117" s="1767"/>
      <c r="C117" s="5"/>
      <c r="D117" s="5"/>
      <c r="E117" s="5"/>
      <c r="F117" s="5"/>
      <c r="G117" s="5"/>
      <c r="H117" s="273"/>
      <c r="I117" s="5"/>
      <c r="J117" s="5"/>
      <c r="K117" s="5"/>
      <c r="L117" s="5"/>
      <c r="M117" s="5"/>
      <c r="N117" s="5"/>
      <c r="O117" s="5"/>
      <c r="P117" s="5"/>
      <c r="Q117" s="1768"/>
      <c r="R117" s="5"/>
      <c r="S117" s="5"/>
      <c r="T117" s="5"/>
      <c r="U117" s="3340"/>
      <c r="V117" s="781"/>
      <c r="W117" s="781"/>
      <c r="X117" s="781"/>
      <c r="Y117" s="781"/>
      <c r="Z117" s="781"/>
      <c r="AA117" s="781"/>
      <c r="AB117" s="781"/>
      <c r="AC117" s="781"/>
    </row>
    <row r="118" spans="2:29" ht="15.45" x14ac:dyDescent="0.4">
      <c r="B118" s="1803"/>
      <c r="C118" s="1804" t="s">
        <v>1814</v>
      </c>
      <c r="D118" s="1804"/>
      <c r="E118" s="1804"/>
      <c r="F118" s="1804"/>
      <c r="G118" s="1804"/>
      <c r="H118" s="1804"/>
      <c r="I118" s="1804"/>
      <c r="J118" s="1804"/>
      <c r="K118" s="1804"/>
      <c r="L118" s="1804"/>
      <c r="M118" s="1804"/>
      <c r="N118" s="1804"/>
      <c r="O118" s="1804"/>
      <c r="P118" s="1805"/>
      <c r="Q118" s="1804"/>
      <c r="R118" s="1804"/>
      <c r="S118" s="1804"/>
      <c r="T118" s="1804"/>
      <c r="U118" s="3347"/>
      <c r="V118" s="1804"/>
      <c r="W118" s="1804"/>
      <c r="X118" s="1804"/>
      <c r="Y118" s="1804"/>
      <c r="Z118" s="1804"/>
      <c r="AA118" s="1804"/>
      <c r="AB118" s="1804"/>
      <c r="AC118" s="1806"/>
    </row>
    <row r="119" spans="2:29" ht="15" outlineLevel="1" thickBot="1" x14ac:dyDescent="0.45">
      <c r="B119" s="1807"/>
      <c r="C119" s="748" t="s">
        <v>1053</v>
      </c>
      <c r="D119" s="706"/>
      <c r="E119" s="706"/>
      <c r="F119" s="706"/>
      <c r="G119" s="1117"/>
      <c r="H119" s="706"/>
      <c r="I119" s="706"/>
      <c r="J119" s="706"/>
      <c r="K119" s="706"/>
      <c r="L119" s="706"/>
      <c r="M119" s="706"/>
      <c r="N119" s="706"/>
      <c r="O119" s="7"/>
      <c r="P119" s="1413"/>
      <c r="Q119" s="7"/>
      <c r="R119" s="7"/>
      <c r="S119" s="7"/>
      <c r="T119" s="7"/>
      <c r="U119" s="3342"/>
      <c r="V119" s="290"/>
      <c r="W119" s="290"/>
      <c r="X119" s="290"/>
      <c r="Y119" s="290"/>
      <c r="Z119" s="290"/>
      <c r="AA119" s="290"/>
      <c r="AB119" s="5"/>
      <c r="AC119" s="1430"/>
    </row>
    <row r="120" spans="2:29" ht="15.75" customHeight="1" outlineLevel="1" thickBot="1" x14ac:dyDescent="0.45">
      <c r="B120" s="1807"/>
      <c r="C120" s="700" t="s">
        <v>1815</v>
      </c>
      <c r="D120" s="706"/>
      <c r="E120" s="706"/>
      <c r="F120" s="706"/>
      <c r="G120" s="1117"/>
      <c r="H120" s="706"/>
      <c r="I120" s="706"/>
      <c r="J120" s="706"/>
      <c r="K120" s="706"/>
      <c r="L120" s="706"/>
      <c r="M120" s="706"/>
      <c r="N120" s="706"/>
      <c r="O120" s="7"/>
      <c r="P120" s="1413"/>
      <c r="Q120" s="7"/>
      <c r="R120" s="7"/>
      <c r="S120" s="7"/>
      <c r="U120" s="3007" t="str">
        <f>C118</f>
        <v>Cask Failures during Divertor Maintenance</v>
      </c>
      <c r="V120" s="1772" t="s">
        <v>23</v>
      </c>
      <c r="W120" s="3842" t="s">
        <v>2604</v>
      </c>
      <c r="X120" s="3843"/>
      <c r="Y120" s="3843"/>
      <c r="Z120" s="3843"/>
      <c r="AA120" s="3844"/>
      <c r="AC120" s="1430"/>
    </row>
    <row r="121" spans="2:29" outlineLevel="1" x14ac:dyDescent="0.4">
      <c r="B121" s="1807"/>
      <c r="C121" s="700" t="s">
        <v>1125</v>
      </c>
      <c r="D121" s="706"/>
      <c r="E121" s="706"/>
      <c r="F121" s="706"/>
      <c r="G121" s="1117"/>
      <c r="H121" s="706"/>
      <c r="I121" s="706"/>
      <c r="J121" s="706"/>
      <c r="K121" s="706"/>
      <c r="L121" s="706"/>
      <c r="M121" s="706"/>
      <c r="N121" s="706"/>
      <c r="O121" s="7"/>
      <c r="P121" s="1413"/>
      <c r="Q121" s="7"/>
      <c r="R121" s="7"/>
      <c r="S121" s="7"/>
      <c r="U121" s="3335" t="s">
        <v>1055</v>
      </c>
      <c r="V121" s="1512">
        <v>1</v>
      </c>
      <c r="W121" s="1512">
        <v>1</v>
      </c>
      <c r="X121" s="916">
        <v>2</v>
      </c>
      <c r="Y121" s="916">
        <v>3</v>
      </c>
      <c r="Z121" s="916">
        <v>4</v>
      </c>
      <c r="AA121" s="1045">
        <v>6</v>
      </c>
      <c r="AC121" s="1430"/>
    </row>
    <row r="122" spans="2:29" outlineLevel="1" x14ac:dyDescent="0.4">
      <c r="B122" s="1807"/>
      <c r="C122" s="700"/>
      <c r="D122" s="706"/>
      <c r="E122" s="706"/>
      <c r="F122" s="706"/>
      <c r="G122" s="1117"/>
      <c r="H122" s="706"/>
      <c r="I122" s="706"/>
      <c r="J122" s="706"/>
      <c r="K122" s="706"/>
      <c r="L122" s="706"/>
      <c r="M122" s="706"/>
      <c r="N122" s="706"/>
      <c r="O122" s="7"/>
      <c r="P122" s="1413"/>
      <c r="Q122" s="7"/>
      <c r="R122" s="7"/>
      <c r="S122" s="7"/>
      <c r="U122" s="3140" t="s">
        <v>2668</v>
      </c>
      <c r="V122" s="1415">
        <f>('Lower Cask Critical Path'!$F$264)</f>
        <v>676.0524530637274</v>
      </c>
      <c r="W122" s="1415">
        <f>('Lower Cask Critical Path'!$F$264*ROUNDUP(Tokamak_Segmts/W121,0))</f>
        <v>10816.839249019638</v>
      </c>
      <c r="X122" s="917">
        <f>('Lower Cask Critical Path'!$F$264*ROUNDUP(Tokamak_Segmts/X121,0))</f>
        <v>5408.4196245098192</v>
      </c>
      <c r="Y122" s="917">
        <f>('Lower Cask Critical Path'!$F$264*ROUNDUP(Tokamak_Segmts/Y121,0))</f>
        <v>4056.3147183823644</v>
      </c>
      <c r="Z122" s="917">
        <f>('Lower Cask Critical Path'!$F$264*ROUNDUP(Tokamak_Segmts/Z121,0))</f>
        <v>2704.2098122549096</v>
      </c>
      <c r="AA122" s="1028">
        <f>('Lower Cask Critical Path'!$F$264*ROUNDUP(Tokamak_Segmts/AA121,0))</f>
        <v>2028.1573591911822</v>
      </c>
      <c r="AC122" s="1430"/>
    </row>
    <row r="123" spans="2:29" ht="15" outlineLevel="1" thickBot="1" x14ac:dyDescent="0.45">
      <c r="B123" s="1807"/>
      <c r="C123" s="748" t="s">
        <v>1056</v>
      </c>
      <c r="D123" s="927">
        <f>SUM(D124)</f>
        <v>9.0000000000000006E-5</v>
      </c>
      <c r="E123" s="918"/>
      <c r="F123" s="918"/>
      <c r="G123" s="918"/>
      <c r="H123" s="919"/>
      <c r="I123" s="918"/>
      <c r="J123" s="918"/>
      <c r="K123" s="918"/>
      <c r="L123" s="918"/>
      <c r="M123" s="918"/>
      <c r="N123" s="918"/>
      <c r="O123" s="706"/>
      <c r="P123" s="7"/>
      <c r="Q123" s="1413"/>
      <c r="R123" s="7"/>
      <c r="S123" s="7"/>
      <c r="U123" s="3141" t="s">
        <v>2693</v>
      </c>
      <c r="V123" s="1089">
        <f>V$122*$D$123</f>
        <v>6.0844720775735467E-2</v>
      </c>
      <c r="W123" s="1416">
        <f t="shared" ref="W123:AA123" si="37">W$122*$D$123</f>
        <v>0.97351553241176747</v>
      </c>
      <c r="X123" s="920">
        <f t="shared" si="37"/>
        <v>0.48675776620588374</v>
      </c>
      <c r="Y123" s="920">
        <f t="shared" si="37"/>
        <v>0.3650683246544128</v>
      </c>
      <c r="Z123" s="920">
        <f t="shared" si="37"/>
        <v>0.24337888310294187</v>
      </c>
      <c r="AA123" s="1029">
        <f t="shared" si="37"/>
        <v>0.1825341623272064</v>
      </c>
      <c r="AC123" s="1430"/>
    </row>
    <row r="124" spans="2:29" ht="15" outlineLevel="1" thickBot="1" x14ac:dyDescent="0.45">
      <c r="B124" s="1807"/>
      <c r="C124" s="7" t="s">
        <v>1816</v>
      </c>
      <c r="D124" s="283">
        <f>Total_Cask_Failure_Rate</f>
        <v>9.0000000000000006E-5</v>
      </c>
      <c r="E124" s="922"/>
      <c r="F124" s="922"/>
      <c r="G124" s="922"/>
      <c r="H124" s="290"/>
      <c r="I124" s="922"/>
      <c r="J124" s="922"/>
      <c r="K124" s="922"/>
      <c r="L124" s="922"/>
      <c r="M124" s="922"/>
      <c r="N124" s="922"/>
      <c r="O124" s="706"/>
      <c r="P124" s="7"/>
      <c r="Q124" s="1413"/>
      <c r="R124" s="7"/>
      <c r="S124" s="7"/>
      <c r="U124" s="2999" t="s">
        <v>1048</v>
      </c>
      <c r="V124" s="1082">
        <f t="shared" ref="V124:AA124" si="38">V123*(SUMIF($D$127:$D$132,"Operation",$E$127:$E$132))</f>
        <v>0.3650683246544128</v>
      </c>
      <c r="W124" s="1135">
        <f t="shared" si="38"/>
        <v>5.8410931944706048</v>
      </c>
      <c r="X124" s="1777">
        <f t="shared" si="38"/>
        <v>2.9205465972353024</v>
      </c>
      <c r="Y124" s="1777">
        <f t="shared" si="38"/>
        <v>2.1904099479264767</v>
      </c>
      <c r="Z124" s="1777">
        <f t="shared" si="38"/>
        <v>1.4602732986176512</v>
      </c>
      <c r="AA124" s="1778">
        <f t="shared" si="38"/>
        <v>1.0952049739632383</v>
      </c>
      <c r="AC124" s="1430"/>
    </row>
    <row r="125" spans="2:29" ht="15" outlineLevel="1" thickBot="1" x14ac:dyDescent="0.45">
      <c r="B125" s="1807"/>
      <c r="C125" s="7"/>
      <c r="D125" s="7"/>
      <c r="E125" s="7"/>
      <c r="F125" s="1773"/>
      <c r="G125" s="930" t="s">
        <v>18</v>
      </c>
      <c r="H125" s="931"/>
      <c r="I125" s="932" t="s">
        <v>778</v>
      </c>
      <c r="J125" s="933"/>
      <c r="K125" s="933"/>
      <c r="L125" s="933"/>
      <c r="M125" s="933"/>
      <c r="N125" s="934"/>
      <c r="O125" s="932" t="s">
        <v>3</v>
      </c>
      <c r="P125" s="934"/>
      <c r="Q125" s="1572" t="s">
        <v>779</v>
      </c>
      <c r="R125" s="285"/>
      <c r="S125" s="1774"/>
      <c r="U125" s="2997" t="s">
        <v>2658</v>
      </c>
      <c r="V125" s="1086">
        <f t="shared" ref="V125:AA125" si="39">V123*(SUMIF($D$127:$D$132,"Movement",$E$127:$E$132)+SUMIF($D$127:$D$132,"Logistics",$E$127:$E$132))</f>
        <v>0.20467488016504348</v>
      </c>
      <c r="W125" s="290">
        <f t="shared" si="39"/>
        <v>3.2747980826406957</v>
      </c>
      <c r="X125" s="917">
        <f t="shared" si="39"/>
        <v>1.6373990413203479</v>
      </c>
      <c r="Y125" s="917">
        <f t="shared" si="39"/>
        <v>1.2280492809902608</v>
      </c>
      <c r="Z125" s="917">
        <f t="shared" si="39"/>
        <v>0.81869952066017393</v>
      </c>
      <c r="AA125" s="1028">
        <f t="shared" si="39"/>
        <v>0.61402464049513039</v>
      </c>
      <c r="AC125" s="1430"/>
    </row>
    <row r="126" spans="2:29" ht="15" outlineLevel="1" thickBot="1" x14ac:dyDescent="0.45">
      <c r="B126" s="1807"/>
      <c r="C126" s="1775" t="s">
        <v>1129</v>
      </c>
      <c r="D126" s="1123" t="s">
        <v>782</v>
      </c>
      <c r="E126" s="1123" t="s">
        <v>783</v>
      </c>
      <c r="F126" s="1124" t="s">
        <v>784</v>
      </c>
      <c r="G126" s="562" t="s">
        <v>785</v>
      </c>
      <c r="H126" s="946" t="s">
        <v>783</v>
      </c>
      <c r="I126" s="565" t="s">
        <v>786</v>
      </c>
      <c r="J126" s="559" t="s">
        <v>787</v>
      </c>
      <c r="K126" s="559" t="s">
        <v>788</v>
      </c>
      <c r="L126" s="559" t="s">
        <v>789</v>
      </c>
      <c r="M126" s="559" t="s">
        <v>790</v>
      </c>
      <c r="N126" s="561" t="s">
        <v>783</v>
      </c>
      <c r="O126" s="1145" t="s">
        <v>785</v>
      </c>
      <c r="P126" s="1152" t="s">
        <v>783</v>
      </c>
      <c r="Q126" s="1447" t="s">
        <v>781</v>
      </c>
      <c r="R126" s="786" t="s">
        <v>791</v>
      </c>
      <c r="S126" s="787" t="s">
        <v>792</v>
      </c>
      <c r="U126" s="3000" t="s">
        <v>2657</v>
      </c>
      <c r="V126" s="1089">
        <f t="shared" ref="V126:AA126" si="40">V123*(-SUMIF($S$127:$S$132,"&lt;0"))</f>
        <v>0</v>
      </c>
      <c r="W126" s="1138">
        <f t="shared" si="40"/>
        <v>0</v>
      </c>
      <c r="X126" s="920">
        <f t="shared" si="40"/>
        <v>0</v>
      </c>
      <c r="Y126" s="920">
        <f t="shared" si="40"/>
        <v>0</v>
      </c>
      <c r="Z126" s="920">
        <f t="shared" si="40"/>
        <v>0</v>
      </c>
      <c r="AA126" s="1029">
        <f t="shared" si="40"/>
        <v>0</v>
      </c>
      <c r="AC126" s="1430"/>
    </row>
    <row r="127" spans="2:29" ht="15" outlineLevel="1" thickBot="1" x14ac:dyDescent="0.45">
      <c r="B127" s="1807"/>
      <c r="C127" s="1776" t="s">
        <v>1817</v>
      </c>
      <c r="D127" s="847" t="s">
        <v>251</v>
      </c>
      <c r="E127" s="390">
        <f t="shared" ref="E127:E132" si="41">MAX($P127,$N127,$H127)</f>
        <v>0</v>
      </c>
      <c r="F127" s="385">
        <v>0</v>
      </c>
      <c r="G127" s="575" t="s">
        <v>1818</v>
      </c>
      <c r="H127" s="580" t="s">
        <v>263</v>
      </c>
      <c r="I127" s="575"/>
      <c r="J127" s="573"/>
      <c r="K127" s="573"/>
      <c r="L127" s="1176" t="str">
        <f>IFERROR(INDEX('Lower Hot Cell Logistics'!$I$13:$O$19,MATCH($J127,'Lower Hot Cell Logistics'!$H$13:$H$19,0),MATCH($K127,'Lower Hot Cell Logistics'!$H$13:$H$19,0)),"N/A")</f>
        <v>N/A</v>
      </c>
      <c r="M127" s="1176" t="str">
        <f>IFERROR(VLOOKUP($I127,'Lower Hot Cell Logistics'!$H$4:$I$8,2,FALSE),"N/A")</f>
        <v>N/A</v>
      </c>
      <c r="N127" s="580" t="str">
        <f t="shared" ref="N127:N132" si="42">IF(D127="Movement",IFERROR((L127/M127)/(60*60),"Error"),"N/A")</f>
        <v>N/A</v>
      </c>
      <c r="O127" s="575"/>
      <c r="P127" s="580" t="str">
        <f>IF($D127="Logistics",VLOOKUP($O127,'Lower Hot Cell Logistics'!$C$4:$D$69,2,FALSE),"N/A")</f>
        <v>N/A</v>
      </c>
      <c r="Q127" s="1448"/>
      <c r="R127" s="464" t="str">
        <f>IFERROR(VLOOKUP($Q127,'Lower HotCell RecoveryLogistics'!C680:F685,4,FALSE),"N/A")</f>
        <v>N/A</v>
      </c>
      <c r="S127" s="343" t="str">
        <f t="shared" ref="S127:S132" si="43">IFERROR(F126-R127,"N/A")</f>
        <v>N/A</v>
      </c>
      <c r="U127" s="3000" t="s">
        <v>2686</v>
      </c>
      <c r="V127" s="1089">
        <f t="shared" ref="V127:AA127" si="44">V$123*$E$133</f>
        <v>0.56974320481945628</v>
      </c>
      <c r="W127" s="920">
        <f t="shared" si="44"/>
        <v>9.1158912771113005</v>
      </c>
      <c r="X127" s="920">
        <f t="shared" si="44"/>
        <v>4.5579456385556503</v>
      </c>
      <c r="Y127" s="920">
        <f t="shared" si="44"/>
        <v>3.4184592289167375</v>
      </c>
      <c r="Z127" s="920">
        <f t="shared" si="44"/>
        <v>2.2789728192778251</v>
      </c>
      <c r="AA127" s="1029">
        <f t="shared" si="44"/>
        <v>1.7092296144583687</v>
      </c>
      <c r="AC127" s="1430"/>
    </row>
    <row r="128" spans="2:29" outlineLevel="1" x14ac:dyDescent="0.4">
      <c r="B128" s="1807"/>
      <c r="C128" s="1779" t="s">
        <v>1819</v>
      </c>
      <c r="D128" s="847" t="s">
        <v>778</v>
      </c>
      <c r="E128" s="390">
        <f t="shared" si="41"/>
        <v>6.9444444444444448E-2</v>
      </c>
      <c r="F128" s="517">
        <f>IF(S128&lt;0,E128+F127+(-S128),E128+F127)</f>
        <v>6.9444444444444448E-2</v>
      </c>
      <c r="G128" s="575"/>
      <c r="H128" s="580" t="s">
        <v>263</v>
      </c>
      <c r="I128" s="575" t="s">
        <v>1820</v>
      </c>
      <c r="J128" s="573" t="s">
        <v>799</v>
      </c>
      <c r="K128" s="573" t="s">
        <v>451</v>
      </c>
      <c r="L128" s="1176">
        <f>IFERROR(INDEX('Lower Hot Cell Logistics'!$I$13:$O$19,MATCH($J128,'Lower Hot Cell Logistics'!$H$13:$H$19,0),MATCH($K128,'Lower Hot Cell Logistics'!$H$13:$H$19,0)),"N/A")</f>
        <v>50</v>
      </c>
      <c r="M128" s="1176">
        <f>IFERROR(VLOOKUP($I128,'Lower Hot Cell Logistics'!$H$4:$I$8,2,FALSE),"N/A")</f>
        <v>0.2</v>
      </c>
      <c r="N128" s="580">
        <f t="shared" si="42"/>
        <v>6.9444444444444448E-2</v>
      </c>
      <c r="O128" s="575"/>
      <c r="P128" s="580" t="str">
        <f>IF($D128="Logistics",VLOOKUP($O128,'Lower Hot Cell Logistics'!$C$4:$D$69,2,FALSE),"N/A")</f>
        <v>N/A</v>
      </c>
      <c r="Q128" s="1448"/>
      <c r="R128" s="464" t="str">
        <f>IFERROR(VLOOKUP($Q128,'Lower HotCell RecoveryLogistics'!C681:F686,4,FALSE),"N/A")</f>
        <v>N/A</v>
      </c>
      <c r="S128" s="343" t="str">
        <f t="shared" si="43"/>
        <v>N/A</v>
      </c>
      <c r="AC128" s="1430"/>
    </row>
    <row r="129" spans="2:29" outlineLevel="1" x14ac:dyDescent="0.4">
      <c r="B129" s="1807"/>
      <c r="C129" s="1780" t="s">
        <v>1821</v>
      </c>
      <c r="D129" s="1781" t="s">
        <v>3</v>
      </c>
      <c r="E129" s="390">
        <f t="shared" si="41"/>
        <v>1.8</v>
      </c>
      <c r="F129" s="517">
        <f>IF(S129&lt;0,E129+F128+(-S129),E129+F128)</f>
        <v>1.8694444444444445</v>
      </c>
      <c r="G129" s="575"/>
      <c r="H129" s="580" t="s">
        <v>263</v>
      </c>
      <c r="I129" s="575"/>
      <c r="J129" s="573"/>
      <c r="K129" s="573"/>
      <c r="L129" s="1176" t="str">
        <f>IFERROR(INDEX('Lower Hot Cell Logistics'!$I$13:$O$19,MATCH($J129,'Lower Hot Cell Logistics'!$H$13:$H$19,0),MATCH($K129,'Lower Hot Cell Logistics'!$H$13:$H$19,0)),"N/A")</f>
        <v>N/A</v>
      </c>
      <c r="M129" s="1176" t="str">
        <f>IFERROR(VLOOKUP($I129,'Lower Hot Cell Logistics'!$H$4:$I$8,2,FALSE),"N/A")</f>
        <v>N/A</v>
      </c>
      <c r="N129" s="580" t="str">
        <f t="shared" si="42"/>
        <v>N/A</v>
      </c>
      <c r="O129" s="879" t="s">
        <v>1822</v>
      </c>
      <c r="P129" s="580">
        <f>IF($D129="Logistics",VLOOKUP($O129,'Lower Hot Cell Logistics'!$C$4:$D$69,2,FALSE),"N/A")</f>
        <v>1.8</v>
      </c>
      <c r="Q129" s="1448"/>
      <c r="R129" s="464" t="str">
        <f>IFERROR(VLOOKUP($Q129,'Lower HotCell RecoveryLogistics'!C682:F687,4,FALSE),"N/A")</f>
        <v>N/A</v>
      </c>
      <c r="S129" s="343" t="str">
        <f t="shared" si="43"/>
        <v>N/A</v>
      </c>
      <c r="AC129" s="1430"/>
    </row>
    <row r="130" spans="2:29" ht="38.6" outlineLevel="1" x14ac:dyDescent="0.4">
      <c r="B130" s="1807"/>
      <c r="C130" s="1458" t="s">
        <v>1823</v>
      </c>
      <c r="D130" s="1781" t="s">
        <v>251</v>
      </c>
      <c r="E130" s="459">
        <f t="shared" si="41"/>
        <v>6</v>
      </c>
      <c r="F130" s="517">
        <f>IF(S130&lt;0,E130+F129+(-S130),E130+F129)</f>
        <v>7.8694444444444445</v>
      </c>
      <c r="G130" s="575" t="s">
        <v>1818</v>
      </c>
      <c r="H130" s="580">
        <v>6</v>
      </c>
      <c r="I130" s="575"/>
      <c r="J130" s="573"/>
      <c r="K130" s="573"/>
      <c r="L130" s="1176" t="str">
        <f>IFERROR(INDEX('Lower Hot Cell Logistics'!$I$13:$O$19,MATCH($J130,'Lower Hot Cell Logistics'!$H$13:$H$19,0),MATCH($K130,'Lower Hot Cell Logistics'!$H$13:$H$19,0)),"N/A")</f>
        <v>N/A</v>
      </c>
      <c r="M130" s="1176" t="str">
        <f>IFERROR(VLOOKUP($I130,'Lower Hot Cell Logistics'!$H$4:$I$8,2,FALSE),"N/A")</f>
        <v>N/A</v>
      </c>
      <c r="N130" s="580" t="str">
        <f t="shared" si="42"/>
        <v>N/A</v>
      </c>
      <c r="O130" s="879"/>
      <c r="P130" s="580" t="str">
        <f>IF($D130="Logistics",VLOOKUP($O130,'Lower Hot Cell Logistics'!$C$4:$D$69,2,FALSE),"N/A")</f>
        <v>N/A</v>
      </c>
      <c r="Q130" s="1482" t="s">
        <v>1824</v>
      </c>
      <c r="R130" s="464" t="str">
        <f>IFERROR(VLOOKUP($Q130,'Lower HotCell RecoveryLogistics'!C683:F688,4,FALSE),"N/A")</f>
        <v>N/A</v>
      </c>
      <c r="S130" s="343" t="str">
        <f t="shared" si="43"/>
        <v>N/A</v>
      </c>
      <c r="AB130" s="5"/>
      <c r="AC130" s="1430"/>
    </row>
    <row r="131" spans="2:29" outlineLevel="1" x14ac:dyDescent="0.4">
      <c r="B131" s="1807"/>
      <c r="C131" s="1159" t="s">
        <v>1825</v>
      </c>
      <c r="D131" s="847" t="s">
        <v>778</v>
      </c>
      <c r="E131" s="390">
        <f t="shared" si="41"/>
        <v>0.69444444444444442</v>
      </c>
      <c r="F131" s="517">
        <f>IF(S131&lt;0,E131+F130+(-S131),E131+F130)</f>
        <v>8.5638888888888882</v>
      </c>
      <c r="G131" s="575"/>
      <c r="H131" s="850" t="s">
        <v>263</v>
      </c>
      <c r="I131" s="575" t="s">
        <v>1826</v>
      </c>
      <c r="J131" s="573" t="s">
        <v>799</v>
      </c>
      <c r="K131" s="573" t="s">
        <v>451</v>
      </c>
      <c r="L131" s="1176">
        <f>IFERROR(INDEX('Lower Hot Cell Logistics'!$I$13:$O$19,MATCH($J131,'Lower Hot Cell Logistics'!$H$13:$H$19,0),MATCH($K131,'Lower Hot Cell Logistics'!$H$13:$H$19,0)),"N/A")</f>
        <v>50</v>
      </c>
      <c r="M131" s="1176">
        <f>IFERROR(VLOOKUP($I131,'Lower Hot Cell Logistics'!$H$4:$I$8,2,FALSE),"N/A")</f>
        <v>0.02</v>
      </c>
      <c r="N131" s="580">
        <f t="shared" si="42"/>
        <v>0.69444444444444442</v>
      </c>
      <c r="O131" s="575"/>
      <c r="P131" s="580" t="str">
        <f>IF($D131="Logistics",VLOOKUP($O131,'Lower Hot Cell Logistics'!$C$4:$D$69,2,FALSE),"N/A")</f>
        <v>N/A</v>
      </c>
      <c r="Q131" s="1449"/>
      <c r="R131" s="464" t="str">
        <f>IFERROR(VLOOKUP($Q131,'Lower HotCell RecoveryLogistics'!C691:F697,4,FALSE),"N/A")</f>
        <v>N/A</v>
      </c>
      <c r="S131" s="343" t="str">
        <f t="shared" si="43"/>
        <v>N/A</v>
      </c>
      <c r="U131" s="3343"/>
      <c r="V131" s="177"/>
      <c r="AB131" s="5"/>
      <c r="AC131" s="1430"/>
    </row>
    <row r="132" spans="2:29" ht="15" outlineLevel="1" thickBot="1" x14ac:dyDescent="0.45">
      <c r="B132" s="1807"/>
      <c r="C132" s="1146" t="s">
        <v>1827</v>
      </c>
      <c r="D132" s="808" t="s">
        <v>3</v>
      </c>
      <c r="E132" s="349">
        <f t="shared" si="41"/>
        <v>0.8</v>
      </c>
      <c r="F132" s="517">
        <f>IF(S132&lt;0,E132+F131+(-S132),E132+F131)</f>
        <v>9.3638888888888889</v>
      </c>
      <c r="G132" s="586"/>
      <c r="H132" s="811" t="s">
        <v>263</v>
      </c>
      <c r="I132" s="586"/>
      <c r="J132" s="584"/>
      <c r="K132" s="584"/>
      <c r="L132" s="1179" t="str">
        <f>IFERROR(INDEX('Lower Hot Cell Logistics'!$I$13:$O$19,MATCH($J132,'Lower Hot Cell Logistics'!$H$13:$H$19,0),MATCH($K132,'Lower Hot Cell Logistics'!$H$13:$H$19,0)),"N/A")</f>
        <v>N/A</v>
      </c>
      <c r="M132" s="1179" t="str">
        <f>IFERROR(VLOOKUP($I132,'Lower Hot Cell Logistics'!$H$4:$I$8,2,FALSE),"N/A")</f>
        <v>N/A</v>
      </c>
      <c r="N132" s="591" t="str">
        <f t="shared" si="42"/>
        <v>N/A</v>
      </c>
      <c r="O132" s="586" t="s">
        <v>1828</v>
      </c>
      <c r="P132" s="591">
        <f>IF($D132="Logistics",VLOOKUP($O132,'Lower Hot Cell Logistics'!$C$4:$D$69,2,FALSE),"N/A")</f>
        <v>0.8</v>
      </c>
      <c r="Q132" s="1450"/>
      <c r="R132" s="464" t="str">
        <f>IFERROR(VLOOKUP($Q132,'Lower HotCell RecoveryLogistics'!C692:F698,4,FALSE),"N/A")</f>
        <v>N/A</v>
      </c>
      <c r="S132" s="343" t="str">
        <f t="shared" si="43"/>
        <v>N/A</v>
      </c>
      <c r="U132" s="3343"/>
      <c r="V132" s="177"/>
      <c r="AB132" s="290"/>
      <c r="AC132" s="915"/>
    </row>
    <row r="133" spans="2:29" outlineLevel="1" x14ac:dyDescent="0.4">
      <c r="B133" s="1807"/>
      <c r="C133" s="7"/>
      <c r="D133" s="870" t="s">
        <v>11</v>
      </c>
      <c r="E133" s="290">
        <f>F132</f>
        <v>9.3638888888888889</v>
      </c>
      <c r="F133" s="7"/>
      <c r="G133" s="290"/>
      <c r="H133" s="7"/>
      <c r="I133" s="7"/>
      <c r="J133" s="7"/>
      <c r="K133" s="7"/>
      <c r="L133" s="7"/>
      <c r="M133" s="7"/>
      <c r="N133" s="7"/>
      <c r="O133" s="7"/>
      <c r="P133" s="1413"/>
      <c r="Q133" s="7"/>
      <c r="R133" s="7"/>
      <c r="S133" s="5"/>
      <c r="T133" s="7"/>
      <c r="U133" s="3342"/>
      <c r="V133" s="290"/>
      <c r="W133" s="290"/>
      <c r="X133" s="290"/>
      <c r="Y133" s="290"/>
      <c r="Z133" s="290"/>
      <c r="AA133" s="290"/>
      <c r="AB133" s="290"/>
      <c r="AC133" s="915"/>
    </row>
    <row r="134" spans="2:29" outlineLevel="1" x14ac:dyDescent="0.4">
      <c r="B134" s="1807"/>
      <c r="C134" s="1144"/>
      <c r="D134" s="894"/>
      <c r="E134" s="894"/>
      <c r="F134" s="94"/>
      <c r="G134" s="895"/>
      <c r="H134" s="94"/>
      <c r="I134" s="94"/>
      <c r="J134" s="94"/>
      <c r="K134" s="895"/>
      <c r="L134" s="895"/>
      <c r="M134" s="895"/>
      <c r="N134" s="94"/>
      <c r="O134" s="895"/>
      <c r="P134" s="1782"/>
      <c r="Q134" s="895"/>
      <c r="R134" s="895"/>
      <c r="S134" s="5"/>
      <c r="T134" s="7"/>
      <c r="U134" s="3342"/>
      <c r="V134" s="290"/>
      <c r="W134" s="290"/>
      <c r="X134" s="290"/>
      <c r="Y134" s="290"/>
      <c r="Z134" s="290"/>
      <c r="AA134" s="290"/>
      <c r="AB134" s="5"/>
      <c r="AC134" s="1430"/>
    </row>
    <row r="135" spans="2:29" x14ac:dyDescent="0.4">
      <c r="B135" s="1808"/>
      <c r="C135" s="1809"/>
      <c r="D135" s="1810"/>
      <c r="E135" s="1810"/>
      <c r="F135" s="1810"/>
      <c r="G135" s="1811"/>
      <c r="H135" s="1810"/>
      <c r="I135" s="1810"/>
      <c r="J135" s="1810"/>
      <c r="K135" s="1810"/>
      <c r="L135" s="1810"/>
      <c r="M135" s="1810"/>
      <c r="N135" s="1812"/>
      <c r="O135" s="1809"/>
      <c r="P135" s="1813"/>
      <c r="Q135" s="1809"/>
      <c r="R135" s="1809"/>
      <c r="S135" s="1809"/>
      <c r="T135" s="1809"/>
      <c r="U135" s="3348"/>
      <c r="V135" s="1814"/>
      <c r="W135" s="1814"/>
      <c r="X135" s="1814"/>
      <c r="Y135" s="1814"/>
      <c r="Z135" s="1814"/>
      <c r="AA135" s="1814"/>
      <c r="AB135" s="1814"/>
      <c r="AC135" s="1815"/>
    </row>
    <row r="136" spans="2:29" x14ac:dyDescent="0.4">
      <c r="B136" s="5"/>
      <c r="C136" s="5"/>
      <c r="D136" s="1139"/>
      <c r="E136" s="1139"/>
      <c r="F136" s="1139"/>
      <c r="G136" s="1140"/>
      <c r="H136" s="1139"/>
      <c r="I136" s="1139"/>
      <c r="J136" s="1139"/>
      <c r="K136" s="1139"/>
      <c r="L136" s="1139"/>
      <c r="M136" s="1139"/>
      <c r="N136" s="1141"/>
      <c r="O136" s="7"/>
      <c r="P136" s="1413"/>
      <c r="Q136" s="7"/>
      <c r="R136" s="7"/>
      <c r="S136" s="7"/>
      <c r="T136" s="7"/>
      <c r="U136" s="3342"/>
      <c r="V136" s="290"/>
      <c r="W136" s="290"/>
      <c r="X136" s="290"/>
      <c r="Y136" s="290"/>
      <c r="Z136" s="290"/>
      <c r="AA136" s="290"/>
      <c r="AB136" s="5"/>
      <c r="AC136"/>
    </row>
    <row r="137" spans="2:29" ht="15.45" x14ac:dyDescent="0.4">
      <c r="B137" s="1803"/>
      <c r="C137" s="1804" t="s">
        <v>1850</v>
      </c>
      <c r="D137" s="1804"/>
      <c r="E137" s="1804"/>
      <c r="F137" s="1804"/>
      <c r="G137" s="1804"/>
      <c r="H137" s="1804"/>
      <c r="I137" s="1804"/>
      <c r="J137" s="1804"/>
      <c r="K137" s="1804"/>
      <c r="L137" s="1804"/>
      <c r="M137" s="1804"/>
      <c r="N137" s="1804"/>
      <c r="O137" s="1804"/>
      <c r="P137" s="1804"/>
      <c r="Q137" s="1805"/>
      <c r="R137" s="1804"/>
      <c r="S137" s="1804"/>
      <c r="T137" s="1804"/>
      <c r="U137" s="3347"/>
      <c r="V137" s="1804"/>
      <c r="W137" s="1804"/>
      <c r="X137" s="1804"/>
      <c r="Y137" s="1804"/>
      <c r="Z137" s="1804"/>
      <c r="AA137" s="1804"/>
      <c r="AB137" s="1804"/>
      <c r="AC137" s="1816"/>
    </row>
    <row r="138" spans="2:29" outlineLevel="1" x14ac:dyDescent="0.4">
      <c r="B138" s="1807"/>
      <c r="C138" s="748" t="s">
        <v>1053</v>
      </c>
      <c r="D138" s="706"/>
      <c r="E138" s="706"/>
      <c r="F138" s="706"/>
      <c r="G138" s="706"/>
      <c r="H138" s="1117"/>
      <c r="I138" s="706"/>
      <c r="J138" s="706"/>
      <c r="K138" s="706"/>
      <c r="L138" s="706"/>
      <c r="M138" s="706"/>
      <c r="N138" s="706"/>
      <c r="O138" s="706"/>
      <c r="P138" s="7"/>
      <c r="Q138" s="1413"/>
      <c r="R138" s="7"/>
      <c r="S138" s="7"/>
      <c r="T138" s="7"/>
      <c r="U138" s="3003"/>
      <c r="V138" s="7"/>
      <c r="W138" s="290"/>
      <c r="X138" s="290"/>
      <c r="Y138" s="290"/>
      <c r="Z138" s="290"/>
      <c r="AA138" s="290"/>
      <c r="AB138" s="290"/>
      <c r="AC138" s="1430"/>
    </row>
    <row r="139" spans="2:29" outlineLevel="1" x14ac:dyDescent="0.4">
      <c r="B139" s="1807"/>
      <c r="C139" s="700" t="s">
        <v>1815</v>
      </c>
      <c r="D139" s="706"/>
      <c r="E139" s="706"/>
      <c r="F139" s="706"/>
      <c r="G139" s="706"/>
      <c r="H139" s="1117"/>
      <c r="I139" s="706"/>
      <c r="J139" s="706"/>
      <c r="K139" s="706"/>
      <c r="L139" s="706"/>
      <c r="M139" s="706"/>
      <c r="N139" s="706"/>
      <c r="O139" s="706"/>
      <c r="P139" s="7"/>
      <c r="Q139" s="1413"/>
      <c r="R139" s="7"/>
      <c r="S139" s="7"/>
      <c r="T139" s="7"/>
      <c r="U139" s="3003"/>
      <c r="V139" s="7"/>
      <c r="W139" s="290"/>
      <c r="X139" s="290"/>
      <c r="Y139" s="290"/>
      <c r="Z139" s="290"/>
      <c r="AA139" s="290"/>
      <c r="AB139" s="290"/>
      <c r="AC139" s="1430"/>
    </row>
    <row r="140" spans="2:29" ht="15" outlineLevel="1" thickBot="1" x14ac:dyDescent="0.45">
      <c r="B140" s="1807"/>
      <c r="C140" s="700" t="s">
        <v>1125</v>
      </c>
      <c r="D140" s="706"/>
      <c r="E140" s="706"/>
      <c r="F140" s="706"/>
      <c r="G140" s="706"/>
      <c r="H140" s="1117"/>
      <c r="I140" s="706"/>
      <c r="J140" s="706"/>
      <c r="K140" s="706"/>
      <c r="L140" s="706"/>
      <c r="M140" s="706"/>
      <c r="N140" s="706"/>
      <c r="O140" s="706"/>
      <c r="P140" s="7"/>
      <c r="Q140" s="1413"/>
      <c r="R140" s="7"/>
      <c r="S140" s="7"/>
      <c r="T140" s="7"/>
      <c r="U140" s="3003"/>
      <c r="V140" s="7"/>
      <c r="W140" s="290"/>
      <c r="X140" s="290"/>
      <c r="Y140" s="290"/>
      <c r="Z140" s="290"/>
      <c r="AA140" s="290"/>
      <c r="AB140" s="290"/>
      <c r="AC140" s="1430"/>
    </row>
    <row r="141" spans="2:29" ht="15" customHeight="1" outlineLevel="1" x14ac:dyDescent="0.4">
      <c r="B141" s="1807"/>
      <c r="C141" s="700"/>
      <c r="D141" s="706"/>
      <c r="E141" s="706"/>
      <c r="F141" s="706"/>
      <c r="G141" s="706"/>
      <c r="H141" s="1117"/>
      <c r="I141" s="706"/>
      <c r="J141" s="706"/>
      <c r="K141" s="706"/>
      <c r="L141" s="706"/>
      <c r="M141" s="706"/>
      <c r="N141" s="706"/>
      <c r="O141" s="706"/>
      <c r="P141" s="7"/>
      <c r="Q141" s="1413"/>
      <c r="R141" s="7"/>
      <c r="S141" s="7"/>
      <c r="T141" s="7"/>
      <c r="U141" s="3349" t="str">
        <f>C137</f>
        <v>Lower Port hardware transporter failure during divertor maintenance</v>
      </c>
      <c r="V141" s="1431" t="s">
        <v>23</v>
      </c>
      <c r="W141" s="3842" t="s">
        <v>2604</v>
      </c>
      <c r="X141" s="3843"/>
      <c r="Y141" s="3843"/>
      <c r="Z141" s="3843"/>
      <c r="AA141" s="3844"/>
      <c r="AB141" s="290"/>
      <c r="AC141" s="1430"/>
    </row>
    <row r="142" spans="2:29" outlineLevel="1" x14ac:dyDescent="0.4">
      <c r="B142" s="1807"/>
      <c r="C142" s="748" t="s">
        <v>1056</v>
      </c>
      <c r="D142" s="927">
        <f>SUM(D143)</f>
        <v>1.11E-4</v>
      </c>
      <c r="E142" s="918"/>
      <c r="F142" s="918"/>
      <c r="G142" s="918"/>
      <c r="H142" s="919"/>
      <c r="I142" s="918"/>
      <c r="J142" s="918"/>
      <c r="K142" s="918"/>
      <c r="L142" s="918"/>
      <c r="M142" s="918"/>
      <c r="N142" s="918"/>
      <c r="O142" s="706"/>
      <c r="P142" s="7"/>
      <c r="Q142" s="1413"/>
      <c r="R142" s="7"/>
      <c r="S142" s="7"/>
      <c r="T142" s="7"/>
      <c r="U142" s="3145" t="s">
        <v>1055</v>
      </c>
      <c r="V142" s="1434">
        <v>1</v>
      </c>
      <c r="W142" s="2991">
        <v>1</v>
      </c>
      <c r="X142" s="1435">
        <v>2</v>
      </c>
      <c r="Y142" s="1435">
        <v>3</v>
      </c>
      <c r="Z142" s="1435">
        <v>4</v>
      </c>
      <c r="AA142" s="1436">
        <v>6</v>
      </c>
      <c r="AB142" s="290"/>
      <c r="AC142" s="1430"/>
    </row>
    <row r="143" spans="2:29" ht="15" outlineLevel="1" thickBot="1" x14ac:dyDescent="0.45">
      <c r="B143" s="1807"/>
      <c r="C143" s="7" t="s">
        <v>1851</v>
      </c>
      <c r="D143" s="283">
        <f>Hardware_transport_failure</f>
        <v>1.11E-4</v>
      </c>
      <c r="E143" s="922"/>
      <c r="F143" s="922"/>
      <c r="G143" s="922"/>
      <c r="H143" s="290"/>
      <c r="I143" s="922"/>
      <c r="J143" s="922"/>
      <c r="K143" s="922"/>
      <c r="L143" s="922"/>
      <c r="M143" s="922"/>
      <c r="N143" s="922"/>
      <c r="O143" s="706"/>
      <c r="P143" s="7"/>
      <c r="Q143" s="1413"/>
      <c r="R143" s="7"/>
      <c r="S143" s="7"/>
      <c r="T143" s="7"/>
      <c r="U143" s="3338" t="s">
        <v>1852</v>
      </c>
      <c r="V143" s="1817">
        <f>'Lower Cask Critical Path'!$F$92</f>
        <v>165.92043611927286</v>
      </c>
      <c r="W143" s="1818">
        <f>('Lower Cask Critical Path'!$F$92*ROUNDUP(Tokamak_Segmts/W142,0))</f>
        <v>2654.7269779083658</v>
      </c>
      <c r="X143" s="1818">
        <f>('Lower Cask Critical Path'!$F$92*ROUNDUP(Tokamak_Segmts/X142,0))</f>
        <v>1327.3634889541829</v>
      </c>
      <c r="Y143" s="1818">
        <f>('Lower Cask Critical Path'!$F$92*ROUNDUP(Tokamak_Segmts/Y142,0))</f>
        <v>995.52261671563724</v>
      </c>
      <c r="Z143" s="1818">
        <f>('Lower Cask Critical Path'!$F$92*ROUNDUP(Tokamak_Segmts/Z142,0))</f>
        <v>663.68174447709146</v>
      </c>
      <c r="AA143" s="1817">
        <f>('Lower Cask Critical Path'!$F$92*ROUNDUP(Tokamak_Segmts/AA142,0))</f>
        <v>497.76130835781862</v>
      </c>
      <c r="AB143" s="290"/>
      <c r="AC143" s="1430"/>
    </row>
    <row r="144" spans="2:29" ht="15" outlineLevel="1" thickBot="1" x14ac:dyDescent="0.45">
      <c r="B144" s="1807"/>
      <c r="C144" s="7"/>
      <c r="D144" s="7"/>
      <c r="E144" s="7"/>
      <c r="F144" s="1773"/>
      <c r="G144" s="3836" t="s">
        <v>18</v>
      </c>
      <c r="H144" s="3837"/>
      <c r="I144" s="3793" t="s">
        <v>778</v>
      </c>
      <c r="J144" s="3794"/>
      <c r="K144" s="3794"/>
      <c r="L144" s="3794"/>
      <c r="M144" s="3794"/>
      <c r="N144" s="3795"/>
      <c r="O144" s="3793" t="s">
        <v>3</v>
      </c>
      <c r="P144" s="3795"/>
      <c r="Q144" s="3838" t="s">
        <v>779</v>
      </c>
      <c r="R144" s="3839"/>
      <c r="S144" s="3840"/>
      <c r="T144" s="7"/>
      <c r="U144" s="3338" t="s">
        <v>1853</v>
      </c>
      <c r="V144" s="1088">
        <f>'Lower Cask Critical Path'!$F$252</f>
        <v>192.172208964471</v>
      </c>
      <c r="W144" s="915">
        <f>('Lower Cask Critical Path'!$F$252*ROUNDUP(Tokamak_Segmts/W142,0))</f>
        <v>3074.7553434315359</v>
      </c>
      <c r="X144" s="915">
        <f>('Lower Cask Critical Path'!$F$252*ROUNDUP(Tokamak_Segmts/X142,0))</f>
        <v>1537.377671715768</v>
      </c>
      <c r="Y144" s="915">
        <f>('Lower Cask Critical Path'!$F$252*ROUNDUP(Tokamak_Segmts/Y142,0))</f>
        <v>1153.033253786826</v>
      </c>
      <c r="Z144" s="915">
        <f>('Lower Cask Critical Path'!$F$252*ROUNDUP(Tokamak_Segmts/Z142,0))</f>
        <v>768.68883585788399</v>
      </c>
      <c r="AA144" s="1088">
        <f>('Lower Cask Critical Path'!$F$252*ROUNDUP(Tokamak_Segmts/AA142,0))</f>
        <v>576.51662689341299</v>
      </c>
      <c r="AB144" s="290"/>
      <c r="AC144" s="1430"/>
    </row>
    <row r="145" spans="2:35" ht="15" outlineLevel="1" thickBot="1" x14ac:dyDescent="0.45">
      <c r="B145" s="1807"/>
      <c r="C145" s="1775" t="s">
        <v>1129</v>
      </c>
      <c r="D145" s="1123" t="s">
        <v>782</v>
      </c>
      <c r="E145" s="1123" t="s">
        <v>783</v>
      </c>
      <c r="F145" s="1124" t="s">
        <v>784</v>
      </c>
      <c r="G145" s="562" t="s">
        <v>785</v>
      </c>
      <c r="H145" s="946" t="s">
        <v>783</v>
      </c>
      <c r="I145" s="565" t="s">
        <v>786</v>
      </c>
      <c r="J145" s="559" t="s">
        <v>787</v>
      </c>
      <c r="K145" s="559" t="s">
        <v>788</v>
      </c>
      <c r="L145" s="559" t="s">
        <v>789</v>
      </c>
      <c r="M145" s="559" t="s">
        <v>790</v>
      </c>
      <c r="N145" s="561" t="s">
        <v>783</v>
      </c>
      <c r="O145" s="1145" t="s">
        <v>785</v>
      </c>
      <c r="P145" s="1152" t="s">
        <v>783</v>
      </c>
      <c r="Q145" s="1447" t="s">
        <v>781</v>
      </c>
      <c r="R145" s="786" t="s">
        <v>791</v>
      </c>
      <c r="S145" s="787" t="s">
        <v>792</v>
      </c>
      <c r="T145" s="7"/>
      <c r="U145" s="3140" t="s">
        <v>2668</v>
      </c>
      <c r="V145" s="1088">
        <f t="shared" ref="V145:AA145" si="45">SUM(V143:V144)</f>
        <v>358.09264508374383</v>
      </c>
      <c r="W145" s="915">
        <f t="shared" si="45"/>
        <v>5729.4823213399013</v>
      </c>
      <c r="X145" s="915">
        <f t="shared" si="45"/>
        <v>2864.7411606699507</v>
      </c>
      <c r="Y145" s="915">
        <f t="shared" si="45"/>
        <v>2148.5558705024632</v>
      </c>
      <c r="Z145" s="915">
        <f t="shared" si="45"/>
        <v>1432.3705803349753</v>
      </c>
      <c r="AA145" s="1088">
        <f t="shared" si="45"/>
        <v>1074.2779352512316</v>
      </c>
      <c r="AC145" s="1430"/>
    </row>
    <row r="146" spans="2:35" ht="15" outlineLevel="1" thickBot="1" x14ac:dyDescent="0.45">
      <c r="B146" s="1807"/>
      <c r="C146" s="1788" t="s">
        <v>1819</v>
      </c>
      <c r="D146" s="1781" t="s">
        <v>778</v>
      </c>
      <c r="E146" s="459">
        <f t="shared" ref="E146:E154" si="46">MAX($P146,$N146,$H146)</f>
        <v>6.9444444444444448E-2</v>
      </c>
      <c r="F146" s="517">
        <f>E146</f>
        <v>6.9444444444444448E-2</v>
      </c>
      <c r="G146" s="575"/>
      <c r="H146" s="580" t="s">
        <v>263</v>
      </c>
      <c r="I146" s="575" t="s">
        <v>1831</v>
      </c>
      <c r="J146" s="573" t="s">
        <v>799</v>
      </c>
      <c r="K146" s="573" t="s">
        <v>1203</v>
      </c>
      <c r="L146" s="1176">
        <v>50</v>
      </c>
      <c r="M146" s="1176">
        <v>0.2</v>
      </c>
      <c r="N146" s="580">
        <f>IF(D146="Movement",IFERROR((L146/M146)/(60*60),"Error"),"N/A")</f>
        <v>6.9444444444444448E-2</v>
      </c>
      <c r="O146" s="879"/>
      <c r="P146" s="580" t="s">
        <v>263</v>
      </c>
      <c r="Q146" s="1448"/>
      <c r="R146" s="320" t="s">
        <v>263</v>
      </c>
      <c r="S146" s="319" t="str">
        <f>IFERROR(F146-E146-R146,"N/A")</f>
        <v>N/A</v>
      </c>
      <c r="T146" s="7"/>
      <c r="U146" s="3141" t="s">
        <v>2693</v>
      </c>
      <c r="V146" s="1092">
        <f>V$145*$D$142</f>
        <v>3.9748283604295567E-2</v>
      </c>
      <c r="W146" s="1091">
        <f t="shared" ref="W146:AA146" si="47">W$145*$D$142</f>
        <v>0.63597253766872908</v>
      </c>
      <c r="X146" s="1091">
        <f t="shared" si="47"/>
        <v>0.31798626883436454</v>
      </c>
      <c r="Y146" s="1091">
        <f t="shared" si="47"/>
        <v>0.23848970162577343</v>
      </c>
      <c r="Z146" s="1091">
        <f t="shared" si="47"/>
        <v>0.15899313441718227</v>
      </c>
      <c r="AA146" s="1092">
        <f t="shared" si="47"/>
        <v>0.11924485081288672</v>
      </c>
      <c r="AC146" s="1430"/>
    </row>
    <row r="147" spans="2:35" outlineLevel="1" x14ac:dyDescent="0.4">
      <c r="B147" s="1807"/>
      <c r="C147" s="1780" t="s">
        <v>1832</v>
      </c>
      <c r="D147" s="1781" t="s">
        <v>3</v>
      </c>
      <c r="E147" s="459">
        <f t="shared" si="46"/>
        <v>1.9</v>
      </c>
      <c r="F147" s="517">
        <f t="shared" ref="F147:F155" si="48">IF(S147&lt;0,E147+F146+(-S147),E147+F146)</f>
        <v>1.9694444444444443</v>
      </c>
      <c r="G147" s="575"/>
      <c r="H147" s="580" t="s">
        <v>263</v>
      </c>
      <c r="I147" s="575"/>
      <c r="J147" s="573"/>
      <c r="K147" s="573"/>
      <c r="L147" s="1176" t="s">
        <v>263</v>
      </c>
      <c r="M147" s="1176" t="s">
        <v>263</v>
      </c>
      <c r="N147" s="580" t="str">
        <f>IF(D147="Movement",IFERROR((L147/M147)/(60*60),"Error"),"N/A")</f>
        <v>N/A</v>
      </c>
      <c r="O147" s="879" t="s">
        <v>1541</v>
      </c>
      <c r="P147" s="580">
        <v>1.9</v>
      </c>
      <c r="Q147" s="1449"/>
      <c r="R147" s="853" t="s">
        <v>263</v>
      </c>
      <c r="S147" s="576" t="str">
        <f t="shared" ref="S147:S155" si="49">IFERROR(F146-R147,"N/A")</f>
        <v>N/A</v>
      </c>
      <c r="T147" s="7"/>
      <c r="U147" s="3335" t="s">
        <v>1048</v>
      </c>
      <c r="V147" s="1085">
        <f>V146*(SUMIF($D146:$D$155,"Operation",$E$146:$E$155))</f>
        <v>0.1192448508128867</v>
      </c>
      <c r="W147" s="1084">
        <f>W146*(SUMIF($D146:$D$155,"Operation",$E$146:$E$155))</f>
        <v>1.9079176130061872</v>
      </c>
      <c r="X147" s="1084">
        <f>X146*(SUMIF($D146:$D$155,"Operation",$E$146:$E$155))</f>
        <v>0.95395880650309361</v>
      </c>
      <c r="Y147" s="1084">
        <f>Y146*(SUMIF($D146:$D$155,"Operation",$E$146:$E$155))</f>
        <v>0.71546910487732029</v>
      </c>
      <c r="Z147" s="1084">
        <f>Z146*(SUMIF($D146:$D$155,"Operation",$E$146:$E$155))</f>
        <v>0.47697940325154681</v>
      </c>
      <c r="AA147" s="1085">
        <f>AA146*(SUMIF($D146:$D$155,"Operation",$E$146:$E$155))</f>
        <v>0.35773455243866015</v>
      </c>
      <c r="AC147" s="1430"/>
    </row>
    <row r="148" spans="2:35" outlineLevel="1" x14ac:dyDescent="0.4">
      <c r="B148" s="1807"/>
      <c r="C148" s="1458" t="s">
        <v>1834</v>
      </c>
      <c r="D148" s="1781" t="s">
        <v>251</v>
      </c>
      <c r="E148" s="459">
        <f t="shared" si="46"/>
        <v>3</v>
      </c>
      <c r="F148" s="517">
        <f t="shared" si="48"/>
        <v>4.9694444444444441</v>
      </c>
      <c r="G148" s="575" t="s">
        <v>1818</v>
      </c>
      <c r="H148" s="580">
        <v>3</v>
      </c>
      <c r="I148" s="575"/>
      <c r="J148" s="573"/>
      <c r="K148" s="573"/>
      <c r="L148" s="1176" t="s">
        <v>263</v>
      </c>
      <c r="M148" s="1176" t="s">
        <v>263</v>
      </c>
      <c r="N148" s="580" t="str">
        <f t="shared" ref="N148:N154" si="50">IF(D148="Movement",IFERROR((L148/M148)/(60*60),"Error"),"N/A")</f>
        <v>N/A</v>
      </c>
      <c r="O148" s="879" t="s">
        <v>1835</v>
      </c>
      <c r="P148" s="580" t="s">
        <v>263</v>
      </c>
      <c r="Q148" s="1449"/>
      <c r="R148" s="853" t="s">
        <v>263</v>
      </c>
      <c r="S148" s="576" t="str">
        <f t="shared" si="49"/>
        <v>N/A</v>
      </c>
      <c r="T148" s="7"/>
      <c r="U148" s="3338" t="s">
        <v>2658</v>
      </c>
      <c r="V148" s="1088">
        <f t="shared" ref="V148:AA148" si="51">V146*(SUMIF($D$146:$D$155,"Movement",$E$146:$E$155)+(SUMIF($D$146:$D$155,"Logistics",$E$146:$E$155)))</f>
        <v>0.36959279038060833</v>
      </c>
      <c r="W148" s="915">
        <f t="shared" si="51"/>
        <v>5.9134846460897332</v>
      </c>
      <c r="X148" s="915">
        <f t="shared" si="51"/>
        <v>2.9567423230448666</v>
      </c>
      <c r="Y148" s="915">
        <f t="shared" si="51"/>
        <v>2.2175567422836502</v>
      </c>
      <c r="Z148" s="915">
        <f t="shared" si="51"/>
        <v>1.4783711615224333</v>
      </c>
      <c r="AA148" s="1088">
        <f t="shared" si="51"/>
        <v>1.1087783711418251</v>
      </c>
      <c r="AC148" s="1430"/>
    </row>
    <row r="149" spans="2:35" ht="15" outlineLevel="1" thickBot="1" x14ac:dyDescent="0.45">
      <c r="B149" s="1807"/>
      <c r="C149" s="1128" t="s">
        <v>1577</v>
      </c>
      <c r="D149" s="847" t="s">
        <v>3</v>
      </c>
      <c r="E149" s="390">
        <f t="shared" si="46"/>
        <v>2.3000000000000003</v>
      </c>
      <c r="F149" s="517">
        <f t="shared" si="48"/>
        <v>7.2694444444444439</v>
      </c>
      <c r="G149" s="575"/>
      <c r="H149" s="850" t="s">
        <v>263</v>
      </c>
      <c r="I149" s="575"/>
      <c r="J149" s="573"/>
      <c r="K149" s="573"/>
      <c r="L149" s="1176" t="s">
        <v>263</v>
      </c>
      <c r="M149" s="1176" t="s">
        <v>263</v>
      </c>
      <c r="N149" s="580" t="str">
        <f t="shared" si="50"/>
        <v>N/A</v>
      </c>
      <c r="O149" s="575" t="s">
        <v>1552</v>
      </c>
      <c r="P149" s="580">
        <v>2.3000000000000003</v>
      </c>
      <c r="Q149" s="1449"/>
      <c r="R149" s="853" t="s">
        <v>263</v>
      </c>
      <c r="S149" s="576" t="str">
        <f t="shared" si="49"/>
        <v>N/A</v>
      </c>
      <c r="T149" s="5"/>
      <c r="U149" s="3350" t="s">
        <v>2657</v>
      </c>
      <c r="V149" s="1092">
        <f t="shared" ref="V149:AA149" si="52">V146*(-SUMIF($S$146:$S$155,"&lt;0"))</f>
        <v>0</v>
      </c>
      <c r="W149" s="1091">
        <f t="shared" si="52"/>
        <v>0</v>
      </c>
      <c r="X149" s="1091">
        <f t="shared" si="52"/>
        <v>0</v>
      </c>
      <c r="Y149" s="1091">
        <f t="shared" si="52"/>
        <v>0</v>
      </c>
      <c r="Z149" s="1091">
        <f t="shared" si="52"/>
        <v>0</v>
      </c>
      <c r="AA149" s="1092">
        <f t="shared" si="52"/>
        <v>0</v>
      </c>
      <c r="AC149" s="1430"/>
    </row>
    <row r="150" spans="2:35" ht="15" outlineLevel="1" thickBot="1" x14ac:dyDescent="0.45">
      <c r="B150" s="1807"/>
      <c r="C150" s="1128" t="s">
        <v>1150</v>
      </c>
      <c r="D150" s="659" t="s">
        <v>778</v>
      </c>
      <c r="E150" s="390">
        <f t="shared" si="46"/>
        <v>0.69444444444444442</v>
      </c>
      <c r="F150" s="517">
        <f t="shared" si="48"/>
        <v>7.9638888888888886</v>
      </c>
      <c r="G150" s="575"/>
      <c r="H150" s="850" t="s">
        <v>263</v>
      </c>
      <c r="I150" s="575" t="s">
        <v>1538</v>
      </c>
      <c r="J150" s="573" t="s">
        <v>1203</v>
      </c>
      <c r="K150" s="573" t="s">
        <v>914</v>
      </c>
      <c r="L150" s="1176">
        <v>50</v>
      </c>
      <c r="M150" s="1176">
        <v>0.02</v>
      </c>
      <c r="N150" s="580">
        <f t="shared" si="50"/>
        <v>0.69444444444444442</v>
      </c>
      <c r="O150" s="575"/>
      <c r="P150" s="580" t="s">
        <v>263</v>
      </c>
      <c r="Q150" s="1449"/>
      <c r="R150" s="853" t="s">
        <v>263</v>
      </c>
      <c r="S150" s="576" t="str">
        <f t="shared" si="49"/>
        <v>N/A</v>
      </c>
      <c r="T150" s="5"/>
      <c r="U150" s="3000" t="s">
        <v>2686</v>
      </c>
      <c r="V150" s="1089">
        <f t="shared" ref="V150:AA150" si="53">V$146*$F$156</f>
        <v>0.48883764119349499</v>
      </c>
      <c r="W150" s="920">
        <f t="shared" si="53"/>
        <v>7.8214022590959198</v>
      </c>
      <c r="X150" s="920">
        <f t="shared" si="53"/>
        <v>3.9107011295479599</v>
      </c>
      <c r="Y150" s="920">
        <f t="shared" si="53"/>
        <v>2.9330258471609705</v>
      </c>
      <c r="Z150" s="920">
        <f t="shared" si="53"/>
        <v>1.9553505647739799</v>
      </c>
      <c r="AA150" s="1029">
        <f t="shared" si="53"/>
        <v>1.4665129235804852</v>
      </c>
      <c r="AC150" s="1430"/>
    </row>
    <row r="151" spans="2:35" outlineLevel="1" x14ac:dyDescent="0.4">
      <c r="B151" s="1807"/>
      <c r="C151" s="1128" t="s">
        <v>1837</v>
      </c>
      <c r="D151" s="847" t="s">
        <v>3</v>
      </c>
      <c r="E151" s="390">
        <f t="shared" si="46"/>
        <v>0.58000000000000007</v>
      </c>
      <c r="F151" s="517">
        <f t="shared" si="48"/>
        <v>8.5438888888888886</v>
      </c>
      <c r="G151" s="575"/>
      <c r="H151" s="850" t="s">
        <v>263</v>
      </c>
      <c r="I151" s="575"/>
      <c r="J151" s="573"/>
      <c r="K151" s="573"/>
      <c r="L151" s="1176" t="s">
        <v>263</v>
      </c>
      <c r="M151" s="1176" t="s">
        <v>263</v>
      </c>
      <c r="N151" s="580" t="str">
        <f t="shared" si="50"/>
        <v>N/A</v>
      </c>
      <c r="O151" s="575" t="s">
        <v>1838</v>
      </c>
      <c r="P151" s="580">
        <v>0.58000000000000007</v>
      </c>
      <c r="Q151" s="1449"/>
      <c r="R151" s="853" t="s">
        <v>263</v>
      </c>
      <c r="S151" s="576" t="str">
        <f t="shared" si="49"/>
        <v>N/A</v>
      </c>
      <c r="T151" s="5"/>
      <c r="AC151" s="1430"/>
    </row>
    <row r="152" spans="2:35" outlineLevel="1" x14ac:dyDescent="0.4">
      <c r="B152" s="1807"/>
      <c r="C152" s="1128" t="s">
        <v>1839</v>
      </c>
      <c r="D152" s="847" t="s">
        <v>3</v>
      </c>
      <c r="E152" s="390">
        <f t="shared" si="46"/>
        <v>0.78</v>
      </c>
      <c r="F152" s="517">
        <f t="shared" si="48"/>
        <v>9.323888888888888</v>
      </c>
      <c r="G152" s="575"/>
      <c r="H152" s="850" t="s">
        <v>263</v>
      </c>
      <c r="I152" s="575"/>
      <c r="J152" s="573"/>
      <c r="K152" s="573"/>
      <c r="L152" s="1176" t="s">
        <v>263</v>
      </c>
      <c r="M152" s="1176" t="s">
        <v>263</v>
      </c>
      <c r="N152" s="580" t="str">
        <f t="shared" si="50"/>
        <v>N/A</v>
      </c>
      <c r="O152" s="575" t="s">
        <v>1740</v>
      </c>
      <c r="P152" s="580">
        <v>0.78</v>
      </c>
      <c r="Q152" s="1449"/>
      <c r="R152" s="853" t="s">
        <v>263</v>
      </c>
      <c r="S152" s="576" t="str">
        <f t="shared" si="49"/>
        <v>N/A</v>
      </c>
      <c r="T152" s="5"/>
      <c r="AC152" s="1430"/>
    </row>
    <row r="153" spans="2:35" outlineLevel="1" x14ac:dyDescent="0.4">
      <c r="B153" s="1807"/>
      <c r="C153" s="1159" t="s">
        <v>1840</v>
      </c>
      <c r="D153" s="847" t="s">
        <v>778</v>
      </c>
      <c r="E153" s="390">
        <f t="shared" si="46"/>
        <v>0.69444444444444442</v>
      </c>
      <c r="F153" s="517">
        <f t="shared" si="48"/>
        <v>10.018333333333333</v>
      </c>
      <c r="G153" s="575"/>
      <c r="H153" s="850" t="s">
        <v>263</v>
      </c>
      <c r="I153" s="575" t="s">
        <v>1538</v>
      </c>
      <c r="J153" s="573" t="s">
        <v>799</v>
      </c>
      <c r="K153" s="573" t="s">
        <v>1203</v>
      </c>
      <c r="L153" s="1176">
        <v>50</v>
      </c>
      <c r="M153" s="1176">
        <v>0.02</v>
      </c>
      <c r="N153" s="580">
        <f t="shared" si="50"/>
        <v>0.69444444444444442</v>
      </c>
      <c r="O153" s="575"/>
      <c r="P153" s="580" t="s">
        <v>263</v>
      </c>
      <c r="Q153" s="1449"/>
      <c r="R153" s="853" t="s">
        <v>263</v>
      </c>
      <c r="S153" s="576" t="str">
        <f t="shared" si="49"/>
        <v>N/A</v>
      </c>
      <c r="T153" s="5"/>
      <c r="AC153" s="1430"/>
    </row>
    <row r="154" spans="2:35" outlineLevel="1" x14ac:dyDescent="0.4">
      <c r="B154" s="1807"/>
      <c r="C154" s="1159" t="s">
        <v>1541</v>
      </c>
      <c r="D154" s="847" t="s">
        <v>3</v>
      </c>
      <c r="E154" s="390">
        <f t="shared" si="46"/>
        <v>1.9</v>
      </c>
      <c r="F154" s="517">
        <f t="shared" si="48"/>
        <v>11.918333333333333</v>
      </c>
      <c r="G154" s="575"/>
      <c r="H154" s="850" t="s">
        <v>263</v>
      </c>
      <c r="I154" s="575"/>
      <c r="J154" s="573"/>
      <c r="K154" s="573"/>
      <c r="L154" s="1176" t="s">
        <v>263</v>
      </c>
      <c r="M154" s="1176" t="s">
        <v>263</v>
      </c>
      <c r="N154" s="580" t="str">
        <f t="shared" si="50"/>
        <v>N/A</v>
      </c>
      <c r="O154" s="575" t="s">
        <v>1541</v>
      </c>
      <c r="P154" s="580">
        <v>1.9</v>
      </c>
      <c r="Q154" s="1449"/>
      <c r="R154" s="853" t="s">
        <v>263</v>
      </c>
      <c r="S154" s="576" t="str">
        <f t="shared" si="49"/>
        <v>N/A</v>
      </c>
      <c r="T154" s="5"/>
      <c r="AC154" s="915"/>
    </row>
    <row r="155" spans="2:35" ht="15" outlineLevel="1" thickBot="1" x14ac:dyDescent="0.45">
      <c r="B155" s="1807"/>
      <c r="C155" s="1146" t="s">
        <v>1841</v>
      </c>
      <c r="D155" s="808" t="s">
        <v>3</v>
      </c>
      <c r="E155" s="349">
        <f>MAX($P155,$N155,$H155)</f>
        <v>0.38</v>
      </c>
      <c r="F155" s="517">
        <f t="shared" si="48"/>
        <v>12.298333333333334</v>
      </c>
      <c r="G155" s="586"/>
      <c r="H155" s="811" t="s">
        <v>263</v>
      </c>
      <c r="I155" s="586"/>
      <c r="J155" s="584"/>
      <c r="K155" s="584"/>
      <c r="L155" s="1179" t="s">
        <v>263</v>
      </c>
      <c r="M155" s="1179" t="s">
        <v>263</v>
      </c>
      <c r="N155" s="591" t="str">
        <f>IF(D155="Movement",IFERROR((L155/M155)/(60*60),"Error"),"N/A")</f>
        <v>N/A</v>
      </c>
      <c r="O155" s="586" t="s">
        <v>1544</v>
      </c>
      <c r="P155" s="591">
        <v>0.38</v>
      </c>
      <c r="Q155" s="1450"/>
      <c r="R155" s="814" t="s">
        <v>263</v>
      </c>
      <c r="S155" s="587" t="str">
        <f t="shared" si="49"/>
        <v>N/A</v>
      </c>
      <c r="T155" s="5"/>
      <c r="AC155" s="915"/>
    </row>
    <row r="156" spans="2:35" outlineLevel="1" x14ac:dyDescent="0.4">
      <c r="B156" s="1807"/>
      <c r="C156" s="7"/>
      <c r="D156" s="870" t="s">
        <v>11</v>
      </c>
      <c r="E156" s="7"/>
      <c r="F156" s="290">
        <f>F155</f>
        <v>12.298333333333334</v>
      </c>
      <c r="G156" s="7"/>
      <c r="H156" s="290"/>
      <c r="I156" s="7"/>
      <c r="J156" s="7"/>
      <c r="K156" s="7"/>
      <c r="L156" s="7"/>
      <c r="M156" s="7"/>
      <c r="N156" s="7"/>
      <c r="O156" s="7"/>
      <c r="P156" s="7"/>
      <c r="Q156" s="1413"/>
      <c r="R156" s="7"/>
      <c r="S156" s="7"/>
      <c r="T156" s="5"/>
      <c r="AC156" s="915"/>
    </row>
    <row r="157" spans="2:35" outlineLevel="1" x14ac:dyDescent="0.4">
      <c r="B157" s="1807"/>
      <c r="C157" s="1144"/>
      <c r="D157" s="892"/>
      <c r="E157" s="894"/>
      <c r="F157" s="894"/>
      <c r="G157" s="94"/>
      <c r="H157" s="895"/>
      <c r="I157" s="94"/>
      <c r="J157" s="94"/>
      <c r="K157" s="94"/>
      <c r="L157" s="895"/>
      <c r="M157" s="895"/>
      <c r="N157" s="895"/>
      <c r="O157" s="94"/>
      <c r="P157" s="895"/>
      <c r="Q157" s="1782"/>
      <c r="R157" s="895"/>
      <c r="S157" s="895"/>
      <c r="T157" s="5"/>
      <c r="U157" s="3003"/>
      <c r="V157" s="7"/>
      <c r="W157" s="290"/>
      <c r="X157" s="290"/>
      <c r="Y157" s="290"/>
      <c r="Z157" s="290"/>
      <c r="AA157" s="290"/>
      <c r="AB157" s="290"/>
      <c r="AC157" s="1430"/>
    </row>
    <row r="158" spans="2:35" x14ac:dyDescent="0.4">
      <c r="B158" s="1808"/>
      <c r="C158" s="1809"/>
      <c r="D158" s="1810"/>
      <c r="E158" s="1810"/>
      <c r="F158" s="1810"/>
      <c r="G158" s="1810"/>
      <c r="H158" s="1811"/>
      <c r="I158" s="1810"/>
      <c r="J158" s="1810"/>
      <c r="K158" s="1810"/>
      <c r="L158" s="1810"/>
      <c r="M158" s="1810"/>
      <c r="N158" s="1810"/>
      <c r="O158" s="1812"/>
      <c r="P158" s="1809"/>
      <c r="Q158" s="1813"/>
      <c r="R158" s="1809"/>
      <c r="S158" s="1809"/>
      <c r="T158" s="1809"/>
      <c r="U158" s="3351"/>
      <c r="V158" s="1809"/>
      <c r="W158" s="1814"/>
      <c r="X158" s="1814"/>
      <c r="Y158" s="1814"/>
      <c r="Z158" s="1814"/>
      <c r="AA158" s="1814"/>
      <c r="AB158" s="1814"/>
      <c r="AC158" s="1815"/>
    </row>
    <row r="159" spans="2:35" x14ac:dyDescent="0.4">
      <c r="B159" s="5"/>
      <c r="C159" s="1144"/>
      <c r="D159" s="892"/>
      <c r="E159" s="894"/>
      <c r="F159" s="894"/>
      <c r="G159" s="94"/>
      <c r="H159" s="895"/>
      <c r="I159" s="94"/>
      <c r="J159" s="94"/>
      <c r="K159" s="94"/>
      <c r="L159" s="897"/>
      <c r="M159" s="897"/>
      <c r="N159" s="895"/>
      <c r="O159" s="94"/>
      <c r="P159" s="897"/>
      <c r="Q159" s="1444"/>
      <c r="R159" s="897"/>
      <c r="S159" s="897"/>
      <c r="T159" s="5"/>
      <c r="U159" s="3003"/>
      <c r="V159" s="7"/>
      <c r="W159" s="290"/>
      <c r="X159" s="290"/>
      <c r="Y159" s="290"/>
      <c r="Z159" s="290"/>
      <c r="AA159" s="290"/>
      <c r="AB159" s="290"/>
      <c r="AD159" s="8"/>
      <c r="AE159" s="8"/>
      <c r="AF159" s="8"/>
      <c r="AG159" s="8"/>
      <c r="AH159" s="8"/>
      <c r="AI159" s="8"/>
    </row>
    <row r="160" spans="2:35" ht="15.45" x14ac:dyDescent="0.4">
      <c r="B160" s="1803"/>
      <c r="C160" s="1804" t="s">
        <v>1143</v>
      </c>
      <c r="D160" s="1819"/>
      <c r="E160" s="1819"/>
      <c r="F160" s="1819"/>
      <c r="G160" s="1819"/>
      <c r="H160" s="1819"/>
      <c r="I160" s="1819"/>
      <c r="J160" s="1819"/>
      <c r="K160" s="1819"/>
      <c r="L160" s="1819"/>
      <c r="M160" s="1819"/>
      <c r="N160" s="1819"/>
      <c r="O160" s="1819"/>
      <c r="P160" s="1819"/>
      <c r="Q160" s="1820"/>
      <c r="R160" s="1819"/>
      <c r="S160" s="1819"/>
      <c r="T160" s="1819"/>
      <c r="U160" s="3352"/>
      <c r="V160" s="1819"/>
      <c r="W160" s="1819"/>
      <c r="X160" s="1819"/>
      <c r="Y160" s="1819"/>
      <c r="Z160" s="1819"/>
      <c r="AA160" s="1819"/>
      <c r="AB160" s="1819"/>
      <c r="AC160" s="1816"/>
    </row>
    <row r="161" spans="2:29" outlineLevel="1" x14ac:dyDescent="0.4">
      <c r="B161" s="1807"/>
      <c r="C161" s="748" t="s">
        <v>1053</v>
      </c>
      <c r="D161" s="706"/>
      <c r="E161" s="706"/>
      <c r="F161" s="706"/>
      <c r="G161" s="706"/>
      <c r="H161" s="1117"/>
      <c r="I161" s="706"/>
      <c r="J161" s="706"/>
      <c r="K161" s="706"/>
      <c r="L161" s="706"/>
      <c r="M161" s="706"/>
      <c r="N161" s="706"/>
      <c r="O161" s="706"/>
      <c r="P161" s="7"/>
      <c r="Q161" s="1413"/>
      <c r="R161" s="7"/>
      <c r="S161" s="7"/>
      <c r="T161" s="7"/>
      <c r="U161" s="3003"/>
      <c r="V161" s="7"/>
      <c r="W161" s="290"/>
      <c r="X161" s="290"/>
      <c r="Y161" s="290"/>
      <c r="Z161" s="290"/>
      <c r="AA161" s="290"/>
      <c r="AB161" s="290"/>
      <c r="AC161" s="1430"/>
    </row>
    <row r="162" spans="2:29" outlineLevel="1" x14ac:dyDescent="0.4">
      <c r="B162" s="1807"/>
      <c r="C162" s="700" t="s">
        <v>1144</v>
      </c>
      <c r="D162" s="706"/>
      <c r="E162" s="706"/>
      <c r="F162" s="706"/>
      <c r="G162" s="706"/>
      <c r="H162" s="1117"/>
      <c r="I162" s="706"/>
      <c r="J162" s="706"/>
      <c r="K162" s="706"/>
      <c r="L162" s="706"/>
      <c r="M162" s="706"/>
      <c r="N162" s="706"/>
      <c r="O162" s="706"/>
      <c r="P162" s="7"/>
      <c r="Q162" s="1413"/>
      <c r="R162" s="7"/>
      <c r="S162" s="7"/>
      <c r="T162" s="7"/>
      <c r="U162" s="3003"/>
      <c r="V162" s="7"/>
      <c r="W162" s="290"/>
      <c r="X162" s="290"/>
      <c r="Y162" s="290"/>
      <c r="Z162" s="290"/>
      <c r="AA162" s="290"/>
      <c r="AB162" s="290"/>
      <c r="AC162" s="1430"/>
    </row>
    <row r="163" spans="2:29" outlineLevel="1" x14ac:dyDescent="0.4">
      <c r="B163" s="1807"/>
      <c r="C163" s="700" t="s">
        <v>1125</v>
      </c>
      <c r="D163" s="706"/>
      <c r="E163" s="706"/>
      <c r="F163" s="706"/>
      <c r="G163" s="706"/>
      <c r="H163" s="1117"/>
      <c r="I163" s="706"/>
      <c r="J163" s="706"/>
      <c r="K163" s="706"/>
      <c r="L163" s="706"/>
      <c r="M163" s="706"/>
      <c r="N163" s="706"/>
      <c r="O163" s="706"/>
      <c r="P163" s="7"/>
      <c r="Q163" s="1413"/>
      <c r="R163" s="7"/>
      <c r="S163" s="7"/>
      <c r="T163" s="7"/>
      <c r="U163" s="3003"/>
      <c r="V163" s="7"/>
      <c r="W163" s="290"/>
      <c r="X163" s="290"/>
      <c r="Y163" s="290"/>
      <c r="Z163" s="290"/>
      <c r="AA163" s="290"/>
      <c r="AB163" s="290"/>
      <c r="AC163" s="1430"/>
    </row>
    <row r="164" spans="2:29" outlineLevel="1" x14ac:dyDescent="0.4">
      <c r="B164" s="1807"/>
      <c r="C164" s="700" t="s">
        <v>1145</v>
      </c>
      <c r="D164" s="706"/>
      <c r="E164" s="706"/>
      <c r="F164" s="706"/>
      <c r="G164" s="706"/>
      <c r="H164" s="1117"/>
      <c r="I164" s="706"/>
      <c r="J164" s="706"/>
      <c r="K164" s="706"/>
      <c r="L164" s="706"/>
      <c r="M164" s="706"/>
      <c r="N164" s="706"/>
      <c r="O164" s="706"/>
      <c r="P164" s="7"/>
      <c r="Q164" s="1413"/>
      <c r="R164" s="7"/>
      <c r="S164" s="7"/>
      <c r="T164" s="7"/>
      <c r="U164" s="3003"/>
      <c r="V164" s="7"/>
      <c r="W164" s="290"/>
      <c r="X164" s="290"/>
      <c r="Y164" s="290"/>
      <c r="Z164" s="290"/>
      <c r="AA164" s="290"/>
      <c r="AB164" s="290"/>
      <c r="AC164" s="1430"/>
    </row>
    <row r="165" spans="2:29" outlineLevel="1" x14ac:dyDescent="0.4">
      <c r="B165" s="1807"/>
      <c r="C165" s="700"/>
      <c r="D165" s="706"/>
      <c r="E165" s="706"/>
      <c r="F165" s="706"/>
      <c r="G165" s="706"/>
      <c r="H165" s="1117"/>
      <c r="I165" s="706"/>
      <c r="J165" s="706"/>
      <c r="K165" s="706"/>
      <c r="L165" s="706"/>
      <c r="M165" s="706"/>
      <c r="N165" s="706"/>
      <c r="O165" s="706"/>
      <c r="P165" s="7"/>
      <c r="Q165" s="1413"/>
      <c r="R165" s="7"/>
      <c r="S165" s="7"/>
      <c r="T165" s="7"/>
      <c r="U165" s="3003"/>
      <c r="V165" s="7"/>
      <c r="W165" s="290"/>
      <c r="X165" s="290"/>
      <c r="Y165" s="290"/>
      <c r="Z165" s="290"/>
      <c r="AA165" s="290"/>
      <c r="AB165" s="290"/>
      <c r="AC165" s="1430"/>
    </row>
    <row r="166" spans="2:29" outlineLevel="1" x14ac:dyDescent="0.4">
      <c r="B166" s="1807"/>
      <c r="C166" s="748" t="s">
        <v>1056</v>
      </c>
      <c r="D166" s="927">
        <f>SUM(D167)</f>
        <v>0.02</v>
      </c>
      <c r="E166" s="918"/>
      <c r="F166" s="918"/>
      <c r="G166" s="918"/>
      <c r="H166" s="919"/>
      <c r="I166" s="918"/>
      <c r="J166" s="918"/>
      <c r="K166" s="918"/>
      <c r="L166" s="918"/>
      <c r="M166" s="918"/>
      <c r="N166" s="918"/>
      <c r="O166" s="706"/>
      <c r="P166" s="7"/>
      <c r="Q166" s="1413"/>
      <c r="R166" s="7"/>
      <c r="S166" s="7"/>
      <c r="T166" s="7"/>
      <c r="U166" s="3003"/>
      <c r="V166" s="7"/>
      <c r="W166" s="290"/>
      <c r="X166" s="290"/>
      <c r="Y166" s="290"/>
      <c r="Z166" s="290"/>
      <c r="AA166" s="290"/>
      <c r="AB166" s="290"/>
      <c r="AC166" s="1430"/>
    </row>
    <row r="167" spans="2:29" ht="15" outlineLevel="1" thickBot="1" x14ac:dyDescent="0.45">
      <c r="B167" s="1807"/>
      <c r="C167" s="7" t="s">
        <v>1146</v>
      </c>
      <c r="D167" s="283">
        <f>total_mfm_failure</f>
        <v>0.02</v>
      </c>
      <c r="E167" s="922"/>
      <c r="F167" s="922"/>
      <c r="G167" s="918"/>
      <c r="H167" s="919"/>
      <c r="I167" s="918"/>
      <c r="J167" s="918"/>
      <c r="K167" s="918"/>
      <c r="L167" s="918"/>
      <c r="M167" s="918"/>
      <c r="N167" s="918"/>
      <c r="O167" s="706"/>
      <c r="P167" s="7"/>
      <c r="Q167" s="1413"/>
      <c r="R167" s="7"/>
      <c r="S167" s="7"/>
      <c r="T167" s="7"/>
      <c r="U167" s="3003"/>
      <c r="V167" s="7"/>
      <c r="W167" s="290"/>
      <c r="X167" s="290"/>
      <c r="Y167" s="290"/>
      <c r="Z167" s="290"/>
      <c r="AA167" s="1138"/>
      <c r="AB167" s="290"/>
      <c r="AC167" s="1430"/>
    </row>
    <row r="168" spans="2:29" ht="15.75" customHeight="1" outlineLevel="1" thickBot="1" x14ac:dyDescent="0.45">
      <c r="B168" s="1807"/>
      <c r="C168" s="7"/>
      <c r="D168" s="922"/>
      <c r="E168" s="922"/>
      <c r="F168" s="922"/>
      <c r="G168" s="918"/>
      <c r="H168" s="919"/>
      <c r="I168" s="918"/>
      <c r="J168" s="918"/>
      <c r="K168" s="918"/>
      <c r="L168" s="918"/>
      <c r="M168" s="918"/>
      <c r="N168" s="918"/>
      <c r="O168" s="706"/>
      <c r="P168" s="7"/>
      <c r="Q168" s="1413"/>
      <c r="R168" s="7"/>
      <c r="S168" s="7"/>
      <c r="T168" s="7"/>
      <c r="U168" s="3353" t="str">
        <f>C160</f>
        <v>Multifunction Manipulator failure</v>
      </c>
      <c r="V168" s="1431" t="s">
        <v>23</v>
      </c>
      <c r="W168" s="3842" t="s">
        <v>2604</v>
      </c>
      <c r="X168" s="3843"/>
      <c r="Y168" s="3843"/>
      <c r="Z168" s="3843"/>
      <c r="AA168" s="3844"/>
      <c r="AC168" s="1430"/>
    </row>
    <row r="169" spans="2:29" ht="15" outlineLevel="1" thickBot="1" x14ac:dyDescent="0.45">
      <c r="B169" s="1807"/>
      <c r="C169" s="7"/>
      <c r="D169" s="7"/>
      <c r="E169" s="7"/>
      <c r="F169" s="929"/>
      <c r="G169" s="3841" t="s">
        <v>18</v>
      </c>
      <c r="H169" s="3837"/>
      <c r="I169" s="3793" t="s">
        <v>778</v>
      </c>
      <c r="J169" s="3794"/>
      <c r="K169" s="3794"/>
      <c r="L169" s="3794"/>
      <c r="M169" s="3794"/>
      <c r="N169" s="3795"/>
      <c r="O169" s="3793" t="s">
        <v>3</v>
      </c>
      <c r="P169" s="3795"/>
      <c r="Q169" s="3838" t="s">
        <v>779</v>
      </c>
      <c r="R169" s="3839"/>
      <c r="S169" s="3840"/>
      <c r="T169" s="938"/>
      <c r="U169" s="3145" t="s">
        <v>1055</v>
      </c>
      <c r="V169" s="1434">
        <v>1</v>
      </c>
      <c r="W169" s="916">
        <v>1</v>
      </c>
      <c r="X169" s="916">
        <v>2</v>
      </c>
      <c r="Y169" s="916">
        <v>3</v>
      </c>
      <c r="Z169" s="916">
        <v>4</v>
      </c>
      <c r="AA169" s="1045">
        <v>6</v>
      </c>
      <c r="AC169" s="1430"/>
    </row>
    <row r="170" spans="2:29" ht="15" outlineLevel="1" thickBot="1" x14ac:dyDescent="0.45">
      <c r="B170" s="1807"/>
      <c r="C170" s="562" t="s">
        <v>1129</v>
      </c>
      <c r="D170" s="563" t="s">
        <v>782</v>
      </c>
      <c r="E170" s="942" t="s">
        <v>783</v>
      </c>
      <c r="F170" s="943" t="s">
        <v>784</v>
      </c>
      <c r="G170" s="940" t="s">
        <v>785</v>
      </c>
      <c r="H170" s="944" t="s">
        <v>783</v>
      </c>
      <c r="I170" s="940" t="s">
        <v>786</v>
      </c>
      <c r="J170" s="563" t="s">
        <v>787</v>
      </c>
      <c r="K170" s="563" t="s">
        <v>788</v>
      </c>
      <c r="L170" s="563" t="s">
        <v>789</v>
      </c>
      <c r="M170" s="563" t="s">
        <v>790</v>
      </c>
      <c r="N170" s="564" t="s">
        <v>783</v>
      </c>
      <c r="O170" s="560" t="s">
        <v>785</v>
      </c>
      <c r="P170" s="1152" t="s">
        <v>783</v>
      </c>
      <c r="Q170" s="1447" t="s">
        <v>781</v>
      </c>
      <c r="R170" s="786" t="s">
        <v>791</v>
      </c>
      <c r="S170" s="787" t="s">
        <v>792</v>
      </c>
      <c r="T170" s="947"/>
      <c r="U170" s="3338" t="s">
        <v>1854</v>
      </c>
      <c r="V170" s="1088">
        <f>SUMIF('Lower Cask Critical Path'!$C$7:$C$91, "*Multifunction Manipulator*", 'Lower Cask Critical Path'!$E$7:$E$91)</f>
        <v>25.343611111111105</v>
      </c>
      <c r="W170" s="917">
        <f>SUMIF('Lower Cask Critical Path'!$C$7:$C$91, "*Multifunction Manipulator*", 'Lower Cask Critical Path'!$E$7:$E$91)</f>
        <v>25.343611111111105</v>
      </c>
      <c r="X170" s="917">
        <f>SUMIF('Lower Cask Critical Path'!$C$7:$C$91, "*Multifunction Manipulator*", 'Lower Cask Critical Path'!$E$7:$E$91)</f>
        <v>25.343611111111105</v>
      </c>
      <c r="Y170" s="917">
        <f>SUMIF('Lower Cask Critical Path'!$C$7:$C$91, "*Multifunction Manipulator*", 'Lower Cask Critical Path'!$E$7:$E$91)</f>
        <v>25.343611111111105</v>
      </c>
      <c r="Z170" s="917">
        <f>SUMIF('Lower Cask Critical Path'!$C$7:$C$91, "*Multifunction Manipulator*", 'Lower Cask Critical Path'!$E$7:$E$91)</f>
        <v>25.343611111111105</v>
      </c>
      <c r="AA170" s="1028">
        <f>SUMIF('Lower Cask Critical Path'!$C$7:$C$91, "*Multifunction Manipulator*", 'Lower Cask Critical Path'!$E$7:$E$91)</f>
        <v>25.343611111111105</v>
      </c>
      <c r="AC170" s="1430"/>
    </row>
    <row r="171" spans="2:29" outlineLevel="1" x14ac:dyDescent="0.4">
      <c r="B171" s="1807"/>
      <c r="C171" s="1788" t="s">
        <v>1819</v>
      </c>
      <c r="D171" s="1781" t="s">
        <v>778</v>
      </c>
      <c r="E171" s="459">
        <f t="shared" ref="E171:E180" si="54">MAX($P171,$N171,$H171)</f>
        <v>6.9444444444444448E-2</v>
      </c>
      <c r="F171" s="517">
        <f>E171</f>
        <v>6.9444444444444448E-2</v>
      </c>
      <c r="G171" s="575"/>
      <c r="H171" s="580" t="s">
        <v>263</v>
      </c>
      <c r="I171" s="575" t="s">
        <v>1831</v>
      </c>
      <c r="J171" s="573" t="s">
        <v>799</v>
      </c>
      <c r="K171" s="573" t="s">
        <v>1203</v>
      </c>
      <c r="L171" s="1176">
        <v>50</v>
      </c>
      <c r="M171" s="1176">
        <v>0.2</v>
      </c>
      <c r="N171" s="580">
        <f>IF(D171="Movement",IFERROR((L171/M171)/(60*60),"Error"),"N/A")</f>
        <v>6.9444444444444448E-2</v>
      </c>
      <c r="O171" s="879"/>
      <c r="P171" s="580" t="s">
        <v>263</v>
      </c>
      <c r="Q171" s="1448"/>
      <c r="R171" s="320" t="s">
        <v>263</v>
      </c>
      <c r="S171" s="319" t="str">
        <f>IFERROR(F171-E171-R171,"N/A")</f>
        <v>N/A</v>
      </c>
      <c r="T171" s="947"/>
      <c r="U171" s="3338" t="s">
        <v>1855</v>
      </c>
      <c r="V171" s="1088">
        <f>SUMIF('Lower Cask Critical Path'!$C$183:$C$251, "*Multifunction Manipulator*", 'Lower Cask Critical Path'!$E$183:$E$251)</f>
        <v>32.868333333333332</v>
      </c>
      <c r="W171" s="917">
        <f>SUMIF('Lower Cask Critical Path'!$C$183:$C$251, "*Multifunction Manipulator*", 'Lower Cask Critical Path'!$E$183:$E$251)</f>
        <v>32.868333333333332</v>
      </c>
      <c r="X171" s="917">
        <f>SUMIF('Lower Cask Critical Path'!$C$183:$C$251, "*Multifunction Manipulator*", 'Lower Cask Critical Path'!$E$183:$E$251)</f>
        <v>32.868333333333332</v>
      </c>
      <c r="Y171" s="917">
        <f>SUMIF('Lower Cask Critical Path'!$C$183:$C$251, "*Multifunction Manipulator*", 'Lower Cask Critical Path'!$E$183:$E$251)</f>
        <v>32.868333333333332</v>
      </c>
      <c r="Z171" s="917">
        <f>SUMIF('Lower Cask Critical Path'!$C$183:$C$251, "*Multifunction Manipulator*", 'Lower Cask Critical Path'!$E$183:$E$251)</f>
        <v>32.868333333333332</v>
      </c>
      <c r="AA171" s="1028">
        <f>SUMIF('Lower Cask Critical Path'!$C$183:$C$251, "*Multifunction Manipulator*", 'Lower Cask Critical Path'!$E$183:$E$251)</f>
        <v>32.868333333333332</v>
      </c>
      <c r="AC171" s="1430"/>
    </row>
    <row r="172" spans="2:29" outlineLevel="1" x14ac:dyDescent="0.4">
      <c r="B172" s="1807"/>
      <c r="C172" s="1780" t="s">
        <v>1832</v>
      </c>
      <c r="D172" s="1781" t="s">
        <v>3</v>
      </c>
      <c r="E172" s="459">
        <f t="shared" si="54"/>
        <v>1.9</v>
      </c>
      <c r="F172" s="517">
        <f t="shared" ref="F172:F181" si="55">IF(S172&lt;0,E172+F171+(-S172),E172+F171)</f>
        <v>1.9694444444444443</v>
      </c>
      <c r="G172" s="575"/>
      <c r="H172" s="580" t="s">
        <v>263</v>
      </c>
      <c r="I172" s="575"/>
      <c r="J172" s="573"/>
      <c r="K172" s="573"/>
      <c r="L172" s="1176" t="s">
        <v>263</v>
      </c>
      <c r="M172" s="1176" t="s">
        <v>263</v>
      </c>
      <c r="N172" s="580" t="str">
        <f>IF(D172="Movement",IFERROR((L172/M172)/(60*60),"Error"),"N/A")</f>
        <v>N/A</v>
      </c>
      <c r="O172" s="879" t="s">
        <v>1541</v>
      </c>
      <c r="P172" s="580">
        <v>1.9</v>
      </c>
      <c r="Q172" s="1449"/>
      <c r="R172" s="853" t="s">
        <v>263</v>
      </c>
      <c r="S172" s="576" t="str">
        <f t="shared" ref="S172:S181" si="56">IFERROR(F171-R172,"N/A")</f>
        <v>N/A</v>
      </c>
      <c r="T172" s="947"/>
      <c r="U172" s="3338" t="s">
        <v>2668</v>
      </c>
      <c r="V172" s="1088">
        <f>SUM(V170:V171)</f>
        <v>58.211944444444441</v>
      </c>
      <c r="W172" s="917">
        <f>SUM(W170:W171)*ROUNDUP(Tokamak_Segmts/W169,0)</f>
        <v>931.39111111111106</v>
      </c>
      <c r="X172" s="917">
        <f>SUM(X170:X171)*ROUNDUP(Tokamak_Segmts/X169,0)</f>
        <v>465.69555555555553</v>
      </c>
      <c r="Y172" s="917">
        <f>SUM(Y170:Y171)*ROUNDUP(Tokamak_Segmts/Y169,0)</f>
        <v>349.27166666666665</v>
      </c>
      <c r="Z172" s="917">
        <f>SUM(Z170:Z171)*ROUNDUP(Tokamak_Segmts/Z169,0)</f>
        <v>232.84777777777776</v>
      </c>
      <c r="AA172" s="1028">
        <f>SUM(AA170:AA171)*ROUNDUP(Tokamak_Segmts/AA169,0)</f>
        <v>174.63583333333332</v>
      </c>
      <c r="AC172" s="1430"/>
    </row>
    <row r="173" spans="2:29" ht="15" outlineLevel="1" thickBot="1" x14ac:dyDescent="0.45">
      <c r="B173" s="1807"/>
      <c r="C173" s="1458" t="s">
        <v>1844</v>
      </c>
      <c r="D173" s="1781" t="s">
        <v>251</v>
      </c>
      <c r="E173" s="459">
        <f t="shared" si="54"/>
        <v>3</v>
      </c>
      <c r="F173" s="517">
        <f t="shared" si="55"/>
        <v>4.9694444444444441</v>
      </c>
      <c r="G173" s="575" t="s">
        <v>1818</v>
      </c>
      <c r="H173" s="580">
        <v>3</v>
      </c>
      <c r="I173" s="575"/>
      <c r="J173" s="573"/>
      <c r="K173" s="573"/>
      <c r="L173" s="1176" t="s">
        <v>263</v>
      </c>
      <c r="M173" s="1176" t="s">
        <v>263</v>
      </c>
      <c r="N173" s="580" t="str">
        <f t="shared" ref="N173:N180" si="57">IF(D173="Movement",IFERROR((L173/M173)/(60*60),"Error"),"N/A")</f>
        <v>N/A</v>
      </c>
      <c r="O173" s="879" t="s">
        <v>1835</v>
      </c>
      <c r="P173" s="580" t="s">
        <v>263</v>
      </c>
      <c r="Q173" s="1449"/>
      <c r="R173" s="853" t="s">
        <v>263</v>
      </c>
      <c r="S173" s="576" t="str">
        <f t="shared" si="56"/>
        <v>N/A</v>
      </c>
      <c r="T173" s="947"/>
      <c r="U173" s="3141" t="s">
        <v>2693</v>
      </c>
      <c r="V173" s="1092">
        <f>V$172*$D$166</f>
        <v>1.1642388888888888</v>
      </c>
      <c r="W173" s="920">
        <f t="shared" ref="W173:AA173" si="58">W$172*$D$166</f>
        <v>18.627822222222221</v>
      </c>
      <c r="X173" s="920">
        <f t="shared" si="58"/>
        <v>9.3139111111111106</v>
      </c>
      <c r="Y173" s="920">
        <f t="shared" si="58"/>
        <v>6.9854333333333329</v>
      </c>
      <c r="Z173" s="920">
        <f t="shared" si="58"/>
        <v>4.6569555555555553</v>
      </c>
      <c r="AA173" s="1029">
        <f t="shared" si="58"/>
        <v>3.4927166666666665</v>
      </c>
      <c r="AC173" s="1430"/>
    </row>
    <row r="174" spans="2:29" outlineLevel="1" x14ac:dyDescent="0.4">
      <c r="B174" s="1807"/>
      <c r="C174" s="1458" t="s">
        <v>1836</v>
      </c>
      <c r="D174" s="1781" t="s">
        <v>3</v>
      </c>
      <c r="E174" s="459">
        <f t="shared" si="54"/>
        <v>2.3000000000000003</v>
      </c>
      <c r="F174" s="517">
        <f t="shared" si="55"/>
        <v>7.2694444444444439</v>
      </c>
      <c r="G174" s="575"/>
      <c r="H174" s="850" t="s">
        <v>263</v>
      </c>
      <c r="I174" s="575"/>
      <c r="J174" s="573"/>
      <c r="K174" s="573"/>
      <c r="L174" s="1176" t="s">
        <v>263</v>
      </c>
      <c r="M174" s="1176" t="s">
        <v>263</v>
      </c>
      <c r="N174" s="580" t="str">
        <f t="shared" si="57"/>
        <v>N/A</v>
      </c>
      <c r="O174" s="879" t="s">
        <v>1552</v>
      </c>
      <c r="P174" s="580">
        <v>2.3000000000000003</v>
      </c>
      <c r="Q174" s="1449"/>
      <c r="R174" s="853" t="s">
        <v>263</v>
      </c>
      <c r="S174" s="576" t="str">
        <f t="shared" si="56"/>
        <v>N/A</v>
      </c>
      <c r="T174" s="947"/>
      <c r="U174" s="3335" t="s">
        <v>1048</v>
      </c>
      <c r="V174" s="1085">
        <f t="shared" ref="V174:AA174" si="59">V173*(SUMIF($D$171:$D$181,"Operation",$E$171:$E$181))</f>
        <v>3.4927166666666665</v>
      </c>
      <c r="W174" s="1084">
        <f t="shared" si="59"/>
        <v>55.883466666666664</v>
      </c>
      <c r="X174" s="1084">
        <f t="shared" si="59"/>
        <v>27.941733333333332</v>
      </c>
      <c r="Y174" s="1084">
        <f t="shared" si="59"/>
        <v>20.956299999999999</v>
      </c>
      <c r="Z174" s="1084">
        <f t="shared" si="59"/>
        <v>13.970866666666666</v>
      </c>
      <c r="AA174" s="1085">
        <f t="shared" si="59"/>
        <v>10.478149999999999</v>
      </c>
      <c r="AC174" s="1430"/>
    </row>
    <row r="175" spans="2:29" outlineLevel="1" x14ac:dyDescent="0.4">
      <c r="B175" s="1807"/>
      <c r="C175" s="1128" t="s">
        <v>1577</v>
      </c>
      <c r="D175" s="847" t="s">
        <v>3</v>
      </c>
      <c r="E175" s="390">
        <f t="shared" si="54"/>
        <v>2.3000000000000003</v>
      </c>
      <c r="F175" s="517">
        <f t="shared" si="55"/>
        <v>9.5694444444444446</v>
      </c>
      <c r="G175" s="575"/>
      <c r="H175" s="850" t="s">
        <v>263</v>
      </c>
      <c r="I175" s="575"/>
      <c r="J175" s="573"/>
      <c r="K175" s="573"/>
      <c r="L175" s="1176" t="s">
        <v>263</v>
      </c>
      <c r="M175" s="1176" t="s">
        <v>263</v>
      </c>
      <c r="N175" s="580" t="str">
        <f t="shared" si="57"/>
        <v>N/A</v>
      </c>
      <c r="O175" s="575" t="s">
        <v>1552</v>
      </c>
      <c r="P175" s="580">
        <v>2.3000000000000003</v>
      </c>
      <c r="Q175" s="1449"/>
      <c r="R175" s="853" t="s">
        <v>263</v>
      </c>
      <c r="S175" s="576" t="str">
        <f t="shared" si="56"/>
        <v>N/A</v>
      </c>
      <c r="T175" s="947"/>
      <c r="U175" s="3338" t="s">
        <v>2658</v>
      </c>
      <c r="V175" s="1088">
        <f t="shared" ref="V175:AA175" si="60">V173*(SUMIF($D$171:$D$181,"Movement",$E$171:$E$181)+(SUMIF($D$171:$D$181,"Logistics",$E$171:$E$181)))</f>
        <v>13.503230712962964</v>
      </c>
      <c r="W175" s="915">
        <f t="shared" si="60"/>
        <v>216.05169140740742</v>
      </c>
      <c r="X175" s="915">
        <f t="shared" si="60"/>
        <v>108.02584570370371</v>
      </c>
      <c r="Y175" s="915">
        <f t="shared" si="60"/>
        <v>81.019384277777775</v>
      </c>
      <c r="Z175" s="915">
        <f t="shared" si="60"/>
        <v>54.012922851851854</v>
      </c>
      <c r="AA175" s="1088">
        <f t="shared" si="60"/>
        <v>40.509692138888887</v>
      </c>
      <c r="AC175" s="1430"/>
    </row>
    <row r="176" spans="2:29" ht="15" outlineLevel="1" thickBot="1" x14ac:dyDescent="0.45">
      <c r="B176" s="1807"/>
      <c r="C176" s="1128" t="s">
        <v>1150</v>
      </c>
      <c r="D176" s="659" t="s">
        <v>778</v>
      </c>
      <c r="E176" s="390">
        <f t="shared" si="54"/>
        <v>0.69444444444444442</v>
      </c>
      <c r="F176" s="517">
        <f t="shared" si="55"/>
        <v>10.263888888888889</v>
      </c>
      <c r="G176" s="575"/>
      <c r="H176" s="850" t="s">
        <v>263</v>
      </c>
      <c r="I176" s="575" t="s">
        <v>1538</v>
      </c>
      <c r="J176" s="573" t="s">
        <v>1203</v>
      </c>
      <c r="K176" s="573" t="s">
        <v>914</v>
      </c>
      <c r="L176" s="1176">
        <v>50</v>
      </c>
      <c r="M176" s="1176">
        <v>0.02</v>
      </c>
      <c r="N176" s="580">
        <f t="shared" si="57"/>
        <v>0.69444444444444442</v>
      </c>
      <c r="O176" s="575"/>
      <c r="P176" s="580" t="s">
        <v>263</v>
      </c>
      <c r="Q176" s="1449"/>
      <c r="R176" s="853" t="s">
        <v>263</v>
      </c>
      <c r="S176" s="576" t="str">
        <f t="shared" si="56"/>
        <v>N/A</v>
      </c>
      <c r="T176" s="947"/>
      <c r="U176" s="3350" t="s">
        <v>2657</v>
      </c>
      <c r="V176" s="1092">
        <f t="shared" ref="V176:AA176" si="61">V173*(-SUMIF($S$171:$S$181,"&lt;0"))</f>
        <v>0</v>
      </c>
      <c r="W176" s="1091">
        <f t="shared" si="61"/>
        <v>0</v>
      </c>
      <c r="X176" s="1091">
        <f t="shared" si="61"/>
        <v>0</v>
      </c>
      <c r="Y176" s="1091">
        <f t="shared" si="61"/>
        <v>0</v>
      </c>
      <c r="Z176" s="1091">
        <f t="shared" si="61"/>
        <v>0</v>
      </c>
      <c r="AA176" s="1092">
        <f t="shared" si="61"/>
        <v>0</v>
      </c>
      <c r="AC176" s="1430"/>
    </row>
    <row r="177" spans="2:29" ht="15" outlineLevel="1" thickBot="1" x14ac:dyDescent="0.45">
      <c r="B177" s="1807"/>
      <c r="C177" s="1128" t="s">
        <v>1837</v>
      </c>
      <c r="D177" s="847" t="s">
        <v>3</v>
      </c>
      <c r="E177" s="390">
        <f t="shared" si="54"/>
        <v>0.58000000000000007</v>
      </c>
      <c r="F177" s="517">
        <f t="shared" si="55"/>
        <v>10.843888888888889</v>
      </c>
      <c r="G177" s="575"/>
      <c r="H177" s="850" t="s">
        <v>263</v>
      </c>
      <c r="I177" s="575"/>
      <c r="J177" s="573"/>
      <c r="K177" s="573"/>
      <c r="L177" s="1176" t="s">
        <v>263</v>
      </c>
      <c r="M177" s="1176" t="s">
        <v>263</v>
      </c>
      <c r="N177" s="580" t="str">
        <f t="shared" si="57"/>
        <v>N/A</v>
      </c>
      <c r="O177" s="575" t="s">
        <v>1838</v>
      </c>
      <c r="P177" s="580">
        <v>0.58000000000000007</v>
      </c>
      <c r="Q177" s="1449"/>
      <c r="R177" s="853" t="s">
        <v>263</v>
      </c>
      <c r="S177" s="576" t="str">
        <f t="shared" si="56"/>
        <v>N/A</v>
      </c>
      <c r="T177" s="947"/>
      <c r="U177" s="3000" t="s">
        <v>2686</v>
      </c>
      <c r="V177" s="1089">
        <f t="shared" ref="V177:AA177" si="62">V$173*$F$182</f>
        <v>16.99594737962963</v>
      </c>
      <c r="W177" s="920">
        <f t="shared" si="62"/>
        <v>271.93515807407408</v>
      </c>
      <c r="X177" s="920">
        <f t="shared" si="62"/>
        <v>135.96757903703704</v>
      </c>
      <c r="Y177" s="920">
        <f t="shared" si="62"/>
        <v>101.97568427777777</v>
      </c>
      <c r="Z177" s="920">
        <f t="shared" si="62"/>
        <v>67.98378951851852</v>
      </c>
      <c r="AA177" s="1029">
        <f t="shared" si="62"/>
        <v>50.987842138888887</v>
      </c>
      <c r="AC177" s="1430"/>
    </row>
    <row r="178" spans="2:29" outlineLevel="1" x14ac:dyDescent="0.4">
      <c r="B178" s="1807"/>
      <c r="C178" s="1128" t="s">
        <v>1839</v>
      </c>
      <c r="D178" s="847" t="s">
        <v>3</v>
      </c>
      <c r="E178" s="390">
        <f t="shared" si="54"/>
        <v>0.78</v>
      </c>
      <c r="F178" s="517">
        <f t="shared" si="55"/>
        <v>11.623888888888889</v>
      </c>
      <c r="G178" s="575"/>
      <c r="H178" s="850" t="s">
        <v>263</v>
      </c>
      <c r="I178" s="575"/>
      <c r="J178" s="573"/>
      <c r="K178" s="573"/>
      <c r="L178" s="1176" t="s">
        <v>263</v>
      </c>
      <c r="M178" s="1176" t="s">
        <v>263</v>
      </c>
      <c r="N178" s="580" t="str">
        <f t="shared" si="57"/>
        <v>N/A</v>
      </c>
      <c r="O178" s="575" t="s">
        <v>1740</v>
      </c>
      <c r="P178" s="580">
        <v>0.78</v>
      </c>
      <c r="Q178" s="1449"/>
      <c r="R178" s="853" t="s">
        <v>263</v>
      </c>
      <c r="S178" s="576" t="str">
        <f t="shared" si="56"/>
        <v>N/A</v>
      </c>
      <c r="T178" s="947"/>
      <c r="AC178" s="1430"/>
    </row>
    <row r="179" spans="2:29" outlineLevel="1" x14ac:dyDescent="0.4">
      <c r="B179" s="1807"/>
      <c r="C179" s="1159" t="s">
        <v>1840</v>
      </c>
      <c r="D179" s="847" t="s">
        <v>778</v>
      </c>
      <c r="E179" s="390">
        <f t="shared" si="54"/>
        <v>0.69444444444444442</v>
      </c>
      <c r="F179" s="517">
        <f t="shared" si="55"/>
        <v>12.318333333333333</v>
      </c>
      <c r="G179" s="575"/>
      <c r="H179" s="850" t="s">
        <v>263</v>
      </c>
      <c r="I179" s="575" t="s">
        <v>1538</v>
      </c>
      <c r="J179" s="573" t="s">
        <v>799</v>
      </c>
      <c r="K179" s="573" t="s">
        <v>1203</v>
      </c>
      <c r="L179" s="1176">
        <v>50</v>
      </c>
      <c r="M179" s="1176">
        <v>0.02</v>
      </c>
      <c r="N179" s="580">
        <f t="shared" si="57"/>
        <v>0.69444444444444442</v>
      </c>
      <c r="O179" s="575"/>
      <c r="P179" s="580" t="s">
        <v>263</v>
      </c>
      <c r="Q179" s="1449"/>
      <c r="R179" s="853" t="s">
        <v>263</v>
      </c>
      <c r="S179" s="576" t="str">
        <f t="shared" si="56"/>
        <v>N/A</v>
      </c>
      <c r="T179" s="947"/>
      <c r="AC179" s="1430"/>
    </row>
    <row r="180" spans="2:29" outlineLevel="1" x14ac:dyDescent="0.4">
      <c r="B180" s="1807"/>
      <c r="C180" s="1159" t="s">
        <v>1541</v>
      </c>
      <c r="D180" s="847" t="s">
        <v>3</v>
      </c>
      <c r="E180" s="390">
        <f t="shared" si="54"/>
        <v>1.9</v>
      </c>
      <c r="F180" s="517">
        <f t="shared" si="55"/>
        <v>14.218333333333334</v>
      </c>
      <c r="G180" s="575"/>
      <c r="H180" s="850" t="s">
        <v>263</v>
      </c>
      <c r="I180" s="575"/>
      <c r="J180" s="573"/>
      <c r="K180" s="573"/>
      <c r="L180" s="1176" t="s">
        <v>263</v>
      </c>
      <c r="M180" s="1176" t="s">
        <v>263</v>
      </c>
      <c r="N180" s="580" t="str">
        <f t="shared" si="57"/>
        <v>N/A</v>
      </c>
      <c r="O180" s="575" t="s">
        <v>1541</v>
      </c>
      <c r="P180" s="580">
        <v>1.9</v>
      </c>
      <c r="Q180" s="1449"/>
      <c r="R180" s="853" t="s">
        <v>263</v>
      </c>
      <c r="S180" s="576" t="str">
        <f t="shared" si="56"/>
        <v>N/A</v>
      </c>
      <c r="T180" s="897"/>
      <c r="AB180" s="290"/>
      <c r="AC180" s="1430"/>
    </row>
    <row r="181" spans="2:29" ht="15" outlineLevel="1" thickBot="1" x14ac:dyDescent="0.45">
      <c r="B181" s="1807"/>
      <c r="C181" s="1146" t="s">
        <v>1841</v>
      </c>
      <c r="D181" s="808" t="s">
        <v>3</v>
      </c>
      <c r="E181" s="349">
        <f>MAX($P181,$N181,$H181)</f>
        <v>0.38</v>
      </c>
      <c r="F181" s="517">
        <f t="shared" si="55"/>
        <v>14.598333333333334</v>
      </c>
      <c r="G181" s="586"/>
      <c r="H181" s="811" t="s">
        <v>263</v>
      </c>
      <c r="I181" s="586"/>
      <c r="J181" s="584"/>
      <c r="K181" s="584"/>
      <c r="L181" s="1179" t="s">
        <v>263</v>
      </c>
      <c r="M181" s="1179" t="s">
        <v>263</v>
      </c>
      <c r="N181" s="591" t="str">
        <f>IF(D181="Movement",IFERROR((L181/M181)/(60*60),"Error"),"N/A")</f>
        <v>N/A</v>
      </c>
      <c r="O181" s="586" t="s">
        <v>1544</v>
      </c>
      <c r="P181" s="591">
        <v>0.38</v>
      </c>
      <c r="Q181" s="1450"/>
      <c r="R181" s="814" t="s">
        <v>263</v>
      </c>
      <c r="S181" s="587" t="str">
        <f t="shared" si="56"/>
        <v>N/A</v>
      </c>
      <c r="T181" s="5"/>
      <c r="U181" s="3003"/>
      <c r="V181" s="7"/>
      <c r="W181" s="290"/>
      <c r="X181" s="290"/>
      <c r="Y181" s="290"/>
      <c r="Z181" s="290"/>
      <c r="AA181" s="290"/>
      <c r="AB181" s="290"/>
      <c r="AC181" s="1430"/>
    </row>
    <row r="182" spans="2:29" outlineLevel="1" x14ac:dyDescent="0.4">
      <c r="B182" s="1807"/>
      <c r="C182" s="705"/>
      <c r="D182" s="870" t="s">
        <v>11</v>
      </c>
      <c r="E182" s="7"/>
      <c r="F182" s="290">
        <f>F181</f>
        <v>14.598333333333334</v>
      </c>
      <c r="G182" s="94"/>
      <c r="H182" s="895"/>
      <c r="I182" s="94"/>
      <c r="J182" s="94"/>
      <c r="K182" s="94"/>
      <c r="L182" s="897"/>
      <c r="M182" s="897"/>
      <c r="N182" s="895"/>
      <c r="O182" s="94"/>
      <c r="P182" s="897"/>
      <c r="Q182" s="1444"/>
      <c r="R182" s="897"/>
      <c r="S182" s="897"/>
      <c r="T182" s="7"/>
      <c r="U182" s="3003"/>
      <c r="V182" s="7"/>
      <c r="W182" s="290"/>
      <c r="X182" s="290"/>
      <c r="Y182" s="290"/>
      <c r="Z182" s="290"/>
      <c r="AA182" s="290"/>
      <c r="AB182" s="290"/>
      <c r="AC182" s="1430"/>
    </row>
    <row r="183" spans="2:29" outlineLevel="1" x14ac:dyDescent="0.4">
      <c r="B183" s="1807"/>
      <c r="C183" s="1144"/>
      <c r="D183" s="1483"/>
      <c r="E183" s="894"/>
      <c r="F183" s="894"/>
      <c r="G183" s="94"/>
      <c r="H183" s="895"/>
      <c r="I183" s="94"/>
      <c r="J183" s="94"/>
      <c r="K183" s="94"/>
      <c r="L183" s="897"/>
      <c r="M183" s="897"/>
      <c r="N183" s="895"/>
      <c r="O183" s="94"/>
      <c r="P183" s="897"/>
      <c r="Q183" s="1444"/>
      <c r="R183" s="897"/>
      <c r="S183" s="897"/>
      <c r="T183" s="7"/>
      <c r="U183" s="3003"/>
      <c r="V183" s="7"/>
      <c r="W183" s="290"/>
      <c r="X183" s="290"/>
      <c r="Y183" s="290"/>
      <c r="Z183" s="290"/>
      <c r="AA183" s="290"/>
      <c r="AB183" s="290"/>
      <c r="AC183" s="1430"/>
    </row>
    <row r="184" spans="2:29" outlineLevel="1" x14ac:dyDescent="0.4">
      <c r="B184" s="1807"/>
      <c r="C184" s="5"/>
      <c r="D184" s="1140"/>
      <c r="E184" s="1139"/>
      <c r="F184" s="1139"/>
      <c r="G184" s="1139"/>
      <c r="H184" s="1140"/>
      <c r="I184" s="1139"/>
      <c r="J184" s="1139"/>
      <c r="K184" s="1139"/>
      <c r="L184" s="1139"/>
      <c r="M184" s="1139"/>
      <c r="N184" s="1139"/>
      <c r="O184" s="1141"/>
      <c r="P184" s="7"/>
      <c r="Q184" s="1413"/>
      <c r="R184" s="7"/>
      <c r="S184" s="7"/>
      <c r="T184" s="7"/>
      <c r="U184" s="3003"/>
      <c r="V184" s="7"/>
      <c r="W184" s="290"/>
      <c r="X184" s="290"/>
      <c r="Y184" s="290"/>
      <c r="Z184" s="290"/>
      <c r="AA184" s="290"/>
      <c r="AB184" s="290"/>
      <c r="AC184" s="1430"/>
    </row>
    <row r="185" spans="2:29" outlineLevel="1" x14ac:dyDescent="0.4">
      <c r="B185" s="1807"/>
      <c r="C185" s="5"/>
      <c r="D185" s="1140"/>
      <c r="E185" s="1139"/>
      <c r="F185" s="1139"/>
      <c r="G185" s="1139"/>
      <c r="H185" s="1140"/>
      <c r="I185" s="1139"/>
      <c r="J185" s="1139"/>
      <c r="K185" s="1139"/>
      <c r="L185" s="1139"/>
      <c r="M185" s="1139"/>
      <c r="N185" s="1139"/>
      <c r="O185" s="1141"/>
      <c r="P185" s="7"/>
      <c r="Q185" s="1413"/>
      <c r="R185" s="7"/>
      <c r="S185" s="7"/>
      <c r="T185" s="7"/>
      <c r="U185" s="3003"/>
      <c r="V185" s="7"/>
      <c r="W185" s="290"/>
      <c r="X185" s="290"/>
      <c r="Y185" s="290"/>
      <c r="Z185" s="290"/>
      <c r="AA185" s="290"/>
      <c r="AB185" s="290"/>
      <c r="AC185" s="1430"/>
    </row>
    <row r="186" spans="2:29" x14ac:dyDescent="0.4">
      <c r="B186" s="1808"/>
      <c r="C186" s="1809"/>
      <c r="D186" s="1809"/>
      <c r="E186" s="1809"/>
      <c r="F186" s="1809"/>
      <c r="G186" s="1809"/>
      <c r="H186" s="1814"/>
      <c r="I186" s="1809"/>
      <c r="J186" s="1809"/>
      <c r="K186" s="1809"/>
      <c r="L186" s="1809"/>
      <c r="M186" s="1809"/>
      <c r="N186" s="1809"/>
      <c r="O186" s="1809"/>
      <c r="P186" s="1809"/>
      <c r="Q186" s="1813"/>
      <c r="R186" s="1809"/>
      <c r="S186" s="1809"/>
      <c r="T186" s="1809"/>
      <c r="U186" s="3846"/>
      <c r="V186" s="3846"/>
      <c r="W186" s="3846"/>
      <c r="X186" s="3846"/>
      <c r="Y186" s="3846"/>
      <c r="Z186" s="3846"/>
      <c r="AA186" s="3846"/>
      <c r="AB186" s="1821"/>
      <c r="AC186" s="1822"/>
    </row>
    <row r="187" spans="2:29" x14ac:dyDescent="0.4">
      <c r="B187" s="5"/>
      <c r="C187" s="5"/>
      <c r="D187" s="1139"/>
      <c r="E187" s="1139"/>
      <c r="F187" s="1139"/>
      <c r="G187" s="1139"/>
      <c r="H187" s="1140"/>
      <c r="I187" s="1139"/>
      <c r="J187" s="1139"/>
      <c r="K187" s="1139"/>
      <c r="L187" s="1139"/>
      <c r="M187" s="1139"/>
      <c r="N187" s="1139"/>
      <c r="O187" s="1141"/>
      <c r="P187" s="7"/>
      <c r="Q187" s="1413"/>
      <c r="R187" s="7"/>
      <c r="S187" s="7"/>
      <c r="T187" s="7"/>
      <c r="U187" s="3003"/>
      <c r="V187" s="7"/>
      <c r="W187" s="290"/>
      <c r="X187" s="290"/>
      <c r="Y187" s="290"/>
      <c r="Z187" s="290"/>
      <c r="AA187" s="290"/>
      <c r="AB187" s="290"/>
    </row>
    <row r="188" spans="2:29" ht="15.45" x14ac:dyDescent="0.4">
      <c r="B188" s="1803"/>
      <c r="C188" s="1804" t="s">
        <v>1845</v>
      </c>
      <c r="D188" s="1819"/>
      <c r="E188" s="1819"/>
      <c r="F188" s="1819"/>
      <c r="G188" s="1819"/>
      <c r="H188" s="1819"/>
      <c r="I188" s="1819"/>
      <c r="J188" s="1819"/>
      <c r="K188" s="1819"/>
      <c r="L188" s="1819"/>
      <c r="M188" s="1819"/>
      <c r="N188" s="1819"/>
      <c r="O188" s="1819"/>
      <c r="P188" s="1819"/>
      <c r="Q188" s="1820"/>
      <c r="R188" s="1819"/>
      <c r="S188" s="1819"/>
      <c r="T188" s="1819"/>
      <c r="U188" s="3352"/>
      <c r="V188" s="1819"/>
      <c r="W188" s="1819"/>
      <c r="X188" s="1819"/>
      <c r="Y188" s="1819"/>
      <c r="Z188" s="1819"/>
      <c r="AA188" s="1819"/>
      <c r="AB188" s="1819"/>
      <c r="AC188" s="1816"/>
    </row>
    <row r="189" spans="2:29" outlineLevel="1" x14ac:dyDescent="0.4">
      <c r="B189" s="1807"/>
      <c r="C189" s="748" t="s">
        <v>1053</v>
      </c>
      <c r="D189" s="706"/>
      <c r="E189" s="706"/>
      <c r="F189" s="706"/>
      <c r="G189" s="706"/>
      <c r="H189" s="1117"/>
      <c r="I189" s="706"/>
      <c r="J189" s="706"/>
      <c r="K189" s="706"/>
      <c r="L189" s="706"/>
      <c r="M189" s="706"/>
      <c r="N189" s="706"/>
      <c r="O189" s="706"/>
      <c r="P189" s="7"/>
      <c r="Q189" s="1413"/>
      <c r="R189" s="7"/>
      <c r="S189" s="7"/>
      <c r="T189" s="7"/>
      <c r="U189" s="3003"/>
      <c r="V189" s="7"/>
      <c r="W189" s="290"/>
      <c r="X189" s="290"/>
      <c r="Y189" s="290"/>
      <c r="Z189" s="290"/>
      <c r="AA189" s="290"/>
      <c r="AB189" s="290"/>
      <c r="AC189" s="1430"/>
    </row>
    <row r="190" spans="2:29" outlineLevel="1" x14ac:dyDescent="0.4">
      <c r="B190" s="1807"/>
      <c r="C190" s="700" t="s">
        <v>1846</v>
      </c>
      <c r="D190" s="706"/>
      <c r="E190" s="706"/>
      <c r="F190" s="706"/>
      <c r="G190" s="706"/>
      <c r="H190" s="1117"/>
      <c r="I190" s="706"/>
      <c r="J190" s="706"/>
      <c r="K190" s="706"/>
      <c r="L190" s="706"/>
      <c r="M190" s="706"/>
      <c r="N190" s="706"/>
      <c r="O190" s="706"/>
      <c r="P190" s="7"/>
      <c r="Q190" s="1413"/>
      <c r="R190" s="7"/>
      <c r="S190" s="7"/>
      <c r="T190" s="7"/>
      <c r="U190" s="3003"/>
      <c r="V190" s="7"/>
      <c r="W190" s="290"/>
      <c r="X190" s="290"/>
      <c r="Y190" s="290"/>
      <c r="Z190" s="290"/>
      <c r="AA190" s="290"/>
      <c r="AB190" s="290"/>
      <c r="AC190" s="1430"/>
    </row>
    <row r="191" spans="2:29" outlineLevel="1" x14ac:dyDescent="0.4">
      <c r="B191" s="1807"/>
      <c r="C191" s="700" t="s">
        <v>1125</v>
      </c>
      <c r="D191" s="706"/>
      <c r="E191" s="706"/>
      <c r="F191" s="706"/>
      <c r="G191" s="706"/>
      <c r="H191" s="1117"/>
      <c r="I191" s="706"/>
      <c r="J191" s="706"/>
      <c r="K191" s="706"/>
      <c r="L191" s="706"/>
      <c r="M191" s="706"/>
      <c r="N191" s="706"/>
      <c r="O191" s="706"/>
      <c r="P191" s="7"/>
      <c r="Q191" s="1413"/>
      <c r="R191" s="7"/>
      <c r="S191" s="7"/>
      <c r="T191" s="7"/>
      <c r="U191" s="3003"/>
      <c r="V191" s="7"/>
      <c r="W191" s="290"/>
      <c r="X191" s="290"/>
      <c r="Y191" s="290"/>
      <c r="Z191" s="290"/>
      <c r="AA191" s="290"/>
      <c r="AB191" s="290"/>
      <c r="AC191" s="1430"/>
    </row>
    <row r="192" spans="2:29" outlineLevel="1" x14ac:dyDescent="0.4">
      <c r="B192" s="1807"/>
      <c r="C192" s="700" t="s">
        <v>1842</v>
      </c>
      <c r="D192" s="706"/>
      <c r="E192" s="706"/>
      <c r="F192" s="706"/>
      <c r="G192" s="706"/>
      <c r="H192" s="1117"/>
      <c r="I192" s="706"/>
      <c r="J192" s="706"/>
      <c r="K192" s="706"/>
      <c r="L192" s="706"/>
      <c r="M192" s="706"/>
      <c r="N192" s="706"/>
      <c r="O192" s="706"/>
      <c r="P192" s="7"/>
      <c r="Q192" s="1413"/>
      <c r="R192" s="7"/>
      <c r="S192" s="7"/>
      <c r="T192" s="7"/>
      <c r="U192" s="3003"/>
      <c r="V192" s="7"/>
      <c r="W192" s="290"/>
      <c r="X192" s="290"/>
      <c r="Y192" s="290"/>
      <c r="Z192" s="290"/>
      <c r="AA192" s="290"/>
      <c r="AB192" s="290"/>
      <c r="AC192" s="1430"/>
    </row>
    <row r="193" spans="2:29" outlineLevel="1" x14ac:dyDescent="0.4">
      <c r="B193" s="1807"/>
      <c r="C193" s="700"/>
      <c r="D193" s="706"/>
      <c r="E193" s="706"/>
      <c r="F193" s="706"/>
      <c r="G193" s="706"/>
      <c r="H193" s="1117"/>
      <c r="I193" s="706"/>
      <c r="J193" s="706"/>
      <c r="K193" s="706"/>
      <c r="L193" s="706"/>
      <c r="M193" s="706"/>
      <c r="N193" s="706"/>
      <c r="O193" s="706"/>
      <c r="P193" s="7"/>
      <c r="Q193" s="1413"/>
      <c r="R193" s="7"/>
      <c r="S193" s="7"/>
      <c r="T193" s="7"/>
      <c r="U193" s="3003"/>
      <c r="V193" s="7"/>
      <c r="W193" s="290"/>
      <c r="X193" s="290"/>
      <c r="Y193" s="290"/>
      <c r="Z193" s="290"/>
      <c r="AA193" s="290"/>
      <c r="AB193" s="290"/>
      <c r="AC193" s="1430"/>
    </row>
    <row r="194" spans="2:29" outlineLevel="1" x14ac:dyDescent="0.4">
      <c r="B194" s="1807"/>
      <c r="C194" s="748" t="s">
        <v>1056</v>
      </c>
      <c r="D194" s="927">
        <f>SUM(D195)</f>
        <v>5.0100000000000006E-3</v>
      </c>
      <c r="E194" s="918"/>
      <c r="F194" s="918"/>
      <c r="G194" s="918"/>
      <c r="H194" s="919"/>
      <c r="I194" s="918"/>
      <c r="J194" s="918"/>
      <c r="K194" s="918"/>
      <c r="L194" s="918"/>
      <c r="M194" s="918"/>
      <c r="N194" s="918"/>
      <c r="O194" s="706"/>
      <c r="P194" s="7"/>
      <c r="Q194" s="1413"/>
      <c r="R194" s="7"/>
      <c r="S194" s="7"/>
      <c r="T194" s="7"/>
      <c r="U194" s="3003"/>
      <c r="V194" s="7"/>
      <c r="W194" s="290"/>
      <c r="X194" s="290"/>
      <c r="Y194" s="290"/>
      <c r="Z194" s="290"/>
      <c r="AA194" s="290"/>
      <c r="AB194" s="290"/>
      <c r="AC194" s="1430"/>
    </row>
    <row r="195" spans="2:29" ht="15" outlineLevel="1" thickBot="1" x14ac:dyDescent="0.45">
      <c r="B195" s="1807"/>
      <c r="C195" s="7" t="s">
        <v>1146</v>
      </c>
      <c r="D195" s="283">
        <f>Total_Cassette_Handling_Failure</f>
        <v>5.0100000000000006E-3</v>
      </c>
      <c r="E195" s="922"/>
      <c r="F195" s="922"/>
      <c r="G195" s="918"/>
      <c r="H195" s="919"/>
      <c r="I195" s="918"/>
      <c r="J195" s="918"/>
      <c r="K195" s="918"/>
      <c r="L195" s="918"/>
      <c r="M195" s="918"/>
      <c r="N195" s="918"/>
      <c r="O195" s="706"/>
      <c r="P195" s="7"/>
      <c r="Q195" s="1413"/>
      <c r="R195" s="7"/>
      <c r="S195" s="7"/>
      <c r="T195" s="7"/>
      <c r="U195" s="3003"/>
      <c r="V195" s="7"/>
      <c r="W195" s="290"/>
      <c r="X195" s="290"/>
      <c r="Y195" s="290"/>
      <c r="Z195" s="290"/>
      <c r="AA195" s="290"/>
      <c r="AB195" s="290"/>
      <c r="AC195" s="1430"/>
    </row>
    <row r="196" spans="2:29" ht="15.75" customHeight="1" outlineLevel="1" thickBot="1" x14ac:dyDescent="0.45">
      <c r="B196" s="1807"/>
      <c r="C196" s="7"/>
      <c r="D196" s="922"/>
      <c r="E196" s="922"/>
      <c r="F196" s="922"/>
      <c r="G196" s="918"/>
      <c r="H196" s="919"/>
      <c r="I196" s="918"/>
      <c r="J196" s="918"/>
      <c r="K196" s="918"/>
      <c r="L196" s="918"/>
      <c r="M196" s="918"/>
      <c r="N196" s="918"/>
      <c r="O196" s="706"/>
      <c r="P196" s="7"/>
      <c r="Q196" s="1413"/>
      <c r="R196" s="7"/>
      <c r="S196" s="7"/>
      <c r="T196" s="7"/>
      <c r="U196" s="3007" t="str">
        <f>C188</f>
        <v>Divertor handling system failure</v>
      </c>
      <c r="V196" s="1119" t="s">
        <v>23</v>
      </c>
      <c r="W196" s="3842" t="s">
        <v>2604</v>
      </c>
      <c r="X196" s="3843"/>
      <c r="Y196" s="3843"/>
      <c r="Z196" s="3843"/>
      <c r="AA196" s="3844"/>
      <c r="AC196" s="1430"/>
    </row>
    <row r="197" spans="2:29" ht="15" outlineLevel="1" thickBot="1" x14ac:dyDescent="0.45">
      <c r="B197" s="1807"/>
      <c r="C197" s="7"/>
      <c r="D197" s="7"/>
      <c r="E197" s="7"/>
      <c r="F197" s="929"/>
      <c r="G197" s="3841" t="s">
        <v>18</v>
      </c>
      <c r="H197" s="3837"/>
      <c r="I197" s="3793" t="s">
        <v>778</v>
      </c>
      <c r="J197" s="3794"/>
      <c r="K197" s="3794"/>
      <c r="L197" s="3794"/>
      <c r="M197" s="3794"/>
      <c r="N197" s="3795"/>
      <c r="O197" s="3793" t="s">
        <v>3</v>
      </c>
      <c r="P197" s="3795"/>
      <c r="Q197" s="3838" t="s">
        <v>779</v>
      </c>
      <c r="R197" s="3839"/>
      <c r="S197" s="3840"/>
      <c r="T197" s="938"/>
      <c r="U197" s="3008" t="s">
        <v>1055</v>
      </c>
      <c r="V197" s="1122">
        <v>1</v>
      </c>
      <c r="W197" s="1512">
        <v>1</v>
      </c>
      <c r="X197" s="916">
        <v>2</v>
      </c>
      <c r="Y197" s="916">
        <v>3</v>
      </c>
      <c r="Z197" s="916">
        <v>4</v>
      </c>
      <c r="AA197" s="1045">
        <v>6</v>
      </c>
      <c r="AC197" s="1430"/>
    </row>
    <row r="198" spans="2:29" ht="15" outlineLevel="1" thickBot="1" x14ac:dyDescent="0.45">
      <c r="B198" s="1807"/>
      <c r="C198" s="562" t="s">
        <v>1129</v>
      </c>
      <c r="D198" s="563" t="s">
        <v>782</v>
      </c>
      <c r="E198" s="942" t="s">
        <v>783</v>
      </c>
      <c r="F198" s="943" t="s">
        <v>784</v>
      </c>
      <c r="G198" s="940" t="s">
        <v>785</v>
      </c>
      <c r="H198" s="944" t="s">
        <v>783</v>
      </c>
      <c r="I198" s="940" t="s">
        <v>786</v>
      </c>
      <c r="J198" s="563" t="s">
        <v>787</v>
      </c>
      <c r="K198" s="563" t="s">
        <v>788</v>
      </c>
      <c r="L198" s="563" t="s">
        <v>789</v>
      </c>
      <c r="M198" s="563" t="s">
        <v>790</v>
      </c>
      <c r="N198" s="564" t="s">
        <v>783</v>
      </c>
      <c r="O198" s="560" t="s">
        <v>785</v>
      </c>
      <c r="P198" s="1152" t="s">
        <v>783</v>
      </c>
      <c r="Q198" s="1447" t="s">
        <v>781</v>
      </c>
      <c r="R198" s="786" t="s">
        <v>791</v>
      </c>
      <c r="S198" s="787" t="s">
        <v>792</v>
      </c>
      <c r="T198" s="947"/>
      <c r="U198" s="2997" t="s">
        <v>1856</v>
      </c>
      <c r="V198" s="1086">
        <f>SUMIF('Lower Cask Critical Path'!$C$7:$C$91, "*Cassette*", 'Lower Cask Critical Path'!$E$7:$E$91)</f>
        <v>23.220000000000002</v>
      </c>
      <c r="W198" s="1415">
        <f>SUMIF('Lower Cask Critical Path'!$C$7:$C$91, "*Cassette*", 'Lower Cask Critical Path'!$E$7:$E$91)</f>
        <v>23.220000000000002</v>
      </c>
      <c r="X198" s="917">
        <f>SUMIF('Lower Cask Critical Path'!$C$7:$C$91, "*Cassette*", 'Lower Cask Critical Path'!$E$7:$E$91)</f>
        <v>23.220000000000002</v>
      </c>
      <c r="Y198" s="917">
        <f>SUMIF('Lower Cask Critical Path'!$C$7:$C$91, "*Cassette*", 'Lower Cask Critical Path'!$E$7:$E$91)</f>
        <v>23.220000000000002</v>
      </c>
      <c r="Z198" s="917">
        <f>SUMIF('Lower Cask Critical Path'!$C$7:$C$91, "*Cassette*", 'Lower Cask Critical Path'!$E$7:$E$91)</f>
        <v>23.220000000000002</v>
      </c>
      <c r="AA198" s="1028">
        <f>SUMIF('Lower Cask Critical Path'!$C$7:$C$91, "*Cassette*", 'Lower Cask Critical Path'!$E$7:$E$91)</f>
        <v>23.220000000000002</v>
      </c>
      <c r="AC198" s="1430"/>
    </row>
    <row r="199" spans="2:29" outlineLevel="1" x14ac:dyDescent="0.4">
      <c r="B199" s="1807"/>
      <c r="C199" s="1788" t="s">
        <v>1819</v>
      </c>
      <c r="D199" s="1781" t="s">
        <v>778</v>
      </c>
      <c r="E199" s="459">
        <f t="shared" ref="E199:E208" si="63">MAX($P199,$N199,$H199)</f>
        <v>6.9444444444444448E-2</v>
      </c>
      <c r="F199" s="517">
        <f>E199</f>
        <v>6.9444444444444448E-2</v>
      </c>
      <c r="G199" s="575"/>
      <c r="H199" s="580" t="s">
        <v>263</v>
      </c>
      <c r="I199" s="575" t="s">
        <v>1831</v>
      </c>
      <c r="J199" s="573" t="s">
        <v>799</v>
      </c>
      <c r="K199" s="573" t="s">
        <v>1203</v>
      </c>
      <c r="L199" s="1176">
        <v>50</v>
      </c>
      <c r="M199" s="1176">
        <v>0.2</v>
      </c>
      <c r="N199" s="580">
        <f>IF(D199="Movement",IFERROR((L199/M199)/(60*60),"Error"),"N/A")</f>
        <v>6.9444444444444448E-2</v>
      </c>
      <c r="O199" s="879"/>
      <c r="P199" s="580" t="s">
        <v>263</v>
      </c>
      <c r="Q199" s="1448"/>
      <c r="R199" s="320" t="s">
        <v>263</v>
      </c>
      <c r="S199" s="319" t="str">
        <f>IFERROR(F199-E199-R199,"N/A")</f>
        <v>N/A</v>
      </c>
      <c r="T199" s="947"/>
      <c r="U199" s="2997" t="s">
        <v>1857</v>
      </c>
      <c r="V199" s="1086">
        <f>SUMIF('Lower Cask Critical Path'!$C$183:$C$251, "*Cassette*", 'Lower Cask Critical Path'!$E$183:$E$251)</f>
        <v>27.11</v>
      </c>
      <c r="W199" s="1415">
        <f>SUMIF('Lower Cask Critical Path'!$C$183:$C$251, "*Cassette*", 'Lower Cask Critical Path'!$E$183:$E$251)</f>
        <v>27.11</v>
      </c>
      <c r="X199" s="917">
        <f>SUMIF('Lower Cask Critical Path'!$C$183:$C$251, "*Cassette*", 'Lower Cask Critical Path'!$E$183:$E$251)</f>
        <v>27.11</v>
      </c>
      <c r="Y199" s="917">
        <f>SUMIF('Lower Cask Critical Path'!$C$183:$C$251, "*Cassette*", 'Lower Cask Critical Path'!$E$183:$E$251)</f>
        <v>27.11</v>
      </c>
      <c r="Z199" s="917">
        <f>SUMIF('Lower Cask Critical Path'!$C$183:$C$251, "*Cassette*", 'Lower Cask Critical Path'!$E$183:$E$251)</f>
        <v>27.11</v>
      </c>
      <c r="AA199" s="1028">
        <f>SUMIF('Lower Cask Critical Path'!$C$183:$C$251, "*Cassette*", 'Lower Cask Critical Path'!$E$183:$E$251)</f>
        <v>27.11</v>
      </c>
      <c r="AC199" s="1430"/>
    </row>
    <row r="200" spans="2:29" outlineLevel="1" x14ac:dyDescent="0.4">
      <c r="B200" s="1807"/>
      <c r="C200" s="1780" t="s">
        <v>1832</v>
      </c>
      <c r="D200" s="1781" t="s">
        <v>3</v>
      </c>
      <c r="E200" s="459">
        <f t="shared" si="63"/>
        <v>1.9</v>
      </c>
      <c r="F200" s="517">
        <f t="shared" ref="F200:F209" si="64">IF(S200&lt;0,E200+F199+(-S200),E200+F199)</f>
        <v>1.9694444444444443</v>
      </c>
      <c r="G200" s="575"/>
      <c r="H200" s="580" t="s">
        <v>263</v>
      </c>
      <c r="I200" s="575"/>
      <c r="J200" s="573"/>
      <c r="K200" s="573"/>
      <c r="L200" s="1176" t="s">
        <v>263</v>
      </c>
      <c r="M200" s="1176" t="s">
        <v>263</v>
      </c>
      <c r="N200" s="580" t="str">
        <f>IF(D200="Movement",IFERROR((L200/M200)/(60*60),"Error"),"N/A")</f>
        <v>N/A</v>
      </c>
      <c r="O200" s="879" t="s">
        <v>1541</v>
      </c>
      <c r="P200" s="580">
        <v>1.9</v>
      </c>
      <c r="Q200" s="1449"/>
      <c r="R200" s="853" t="s">
        <v>263</v>
      </c>
      <c r="S200" s="576" t="str">
        <f t="shared" ref="S200:S209" si="65">IFERROR(F199-R200,"N/A")</f>
        <v>N/A</v>
      </c>
      <c r="T200" s="947"/>
      <c r="U200" s="3338" t="s">
        <v>2668</v>
      </c>
      <c r="V200" s="1088">
        <f>SUM(V198:V199)</f>
        <v>50.33</v>
      </c>
      <c r="W200" s="1415">
        <f>((W199+W198)*ROUNDUP(Tokamak_Segmts/W197,0))</f>
        <v>805.28</v>
      </c>
      <c r="X200" s="917">
        <f>((X199+X198)*ROUNDUP(Tokamak_Segmts/X197,0))</f>
        <v>402.64</v>
      </c>
      <c r="Y200" s="917">
        <f>((Y199+Y198)*ROUNDUP(Tokamak_Segmts/Y197,0))</f>
        <v>301.98</v>
      </c>
      <c r="Z200" s="917">
        <f>((Z199+Z198)*ROUNDUP(Tokamak_Segmts/Z197,0))</f>
        <v>201.32</v>
      </c>
      <c r="AA200" s="1028">
        <f>((AA199+AA198)*ROUNDUP(Tokamak_Segmts/AA197,0))</f>
        <v>150.99</v>
      </c>
      <c r="AC200" s="1430"/>
    </row>
    <row r="201" spans="2:29" ht="15" outlineLevel="1" thickBot="1" x14ac:dyDescent="0.45">
      <c r="B201" s="1807"/>
      <c r="C201" s="1458" t="s">
        <v>1844</v>
      </c>
      <c r="D201" s="1781" t="s">
        <v>251</v>
      </c>
      <c r="E201" s="459">
        <f t="shared" si="63"/>
        <v>3</v>
      </c>
      <c r="F201" s="517">
        <f t="shared" si="64"/>
        <v>4.9694444444444441</v>
      </c>
      <c r="G201" s="575" t="s">
        <v>1818</v>
      </c>
      <c r="H201" s="580">
        <v>3</v>
      </c>
      <c r="I201" s="575"/>
      <c r="J201" s="573"/>
      <c r="K201" s="573"/>
      <c r="L201" s="1176" t="s">
        <v>263</v>
      </c>
      <c r="M201" s="1176" t="s">
        <v>263</v>
      </c>
      <c r="N201" s="580" t="str">
        <f t="shared" ref="N201:N208" si="66">IF(D201="Movement",IFERROR((L201/M201)/(60*60),"Error"),"N/A")</f>
        <v>N/A</v>
      </c>
      <c r="O201" s="879" t="s">
        <v>1835</v>
      </c>
      <c r="P201" s="580" t="s">
        <v>263</v>
      </c>
      <c r="Q201" s="1449"/>
      <c r="R201" s="853" t="s">
        <v>263</v>
      </c>
      <c r="S201" s="576" t="str">
        <f t="shared" si="65"/>
        <v>N/A</v>
      </c>
      <c r="T201" s="947"/>
      <c r="U201" s="3141" t="s">
        <v>2693</v>
      </c>
      <c r="V201" s="1092">
        <f>V$200*$D$194</f>
        <v>0.25215330000000002</v>
      </c>
      <c r="W201" s="1416">
        <f t="shared" ref="W201:AA201" si="67">W$200*$D$194</f>
        <v>4.0344528000000004</v>
      </c>
      <c r="X201" s="920">
        <f t="shared" si="67"/>
        <v>2.0172264000000002</v>
      </c>
      <c r="Y201" s="920">
        <f t="shared" si="67"/>
        <v>1.5129198000000004</v>
      </c>
      <c r="Z201" s="920">
        <f t="shared" si="67"/>
        <v>1.0086132000000001</v>
      </c>
      <c r="AA201" s="1029">
        <f t="shared" si="67"/>
        <v>0.75645990000000018</v>
      </c>
      <c r="AC201" s="1430"/>
    </row>
    <row r="202" spans="2:29" outlineLevel="1" x14ac:dyDescent="0.4">
      <c r="B202" s="1807"/>
      <c r="C202" s="1458" t="s">
        <v>1836</v>
      </c>
      <c r="D202" s="1781" t="s">
        <v>3</v>
      </c>
      <c r="E202" s="459">
        <f t="shared" si="63"/>
        <v>2.3000000000000003</v>
      </c>
      <c r="F202" s="517">
        <f t="shared" si="64"/>
        <v>7.2694444444444439</v>
      </c>
      <c r="G202" s="575"/>
      <c r="H202" s="850" t="s">
        <v>263</v>
      </c>
      <c r="I202" s="575"/>
      <c r="J202" s="573"/>
      <c r="K202" s="573"/>
      <c r="L202" s="1176" t="s">
        <v>263</v>
      </c>
      <c r="M202" s="1176" t="s">
        <v>263</v>
      </c>
      <c r="N202" s="580" t="str">
        <f t="shared" si="66"/>
        <v>N/A</v>
      </c>
      <c r="O202" s="879" t="s">
        <v>1552</v>
      </c>
      <c r="P202" s="580">
        <v>2.3000000000000003</v>
      </c>
      <c r="Q202" s="1449"/>
      <c r="R202" s="853" t="s">
        <v>263</v>
      </c>
      <c r="S202" s="576" t="str">
        <f t="shared" si="65"/>
        <v>N/A</v>
      </c>
      <c r="T202" s="947"/>
      <c r="U202" s="2999" t="s">
        <v>1048</v>
      </c>
      <c r="V202" s="1082">
        <f t="shared" ref="V202:AA202" si="68">V201*(SUMIF($D$199:$D$209,"Operation",$E$199:$E$209))</f>
        <v>0.75645990000000007</v>
      </c>
      <c r="W202" s="1083">
        <f t="shared" si="68"/>
        <v>12.103358400000001</v>
      </c>
      <c r="X202" s="1084">
        <f t="shared" si="68"/>
        <v>6.0516792000000006</v>
      </c>
      <c r="Y202" s="1084">
        <f t="shared" si="68"/>
        <v>4.5387594000000009</v>
      </c>
      <c r="Z202" s="1084">
        <f t="shared" si="68"/>
        <v>3.0258396000000003</v>
      </c>
      <c r="AA202" s="1085">
        <f t="shared" si="68"/>
        <v>2.2693797000000004</v>
      </c>
      <c r="AC202" s="1430"/>
    </row>
    <row r="203" spans="2:29" outlineLevel="1" x14ac:dyDescent="0.4">
      <c r="B203" s="1807"/>
      <c r="C203" s="1128" t="s">
        <v>1577</v>
      </c>
      <c r="D203" s="847" t="s">
        <v>3</v>
      </c>
      <c r="E203" s="390">
        <f t="shared" si="63"/>
        <v>2.3000000000000003</v>
      </c>
      <c r="F203" s="517">
        <f t="shared" si="64"/>
        <v>9.5694444444444446</v>
      </c>
      <c r="G203" s="575"/>
      <c r="H203" s="850" t="s">
        <v>263</v>
      </c>
      <c r="I203" s="575"/>
      <c r="J203" s="573"/>
      <c r="K203" s="573"/>
      <c r="L203" s="1176" t="s">
        <v>263</v>
      </c>
      <c r="M203" s="1176" t="s">
        <v>263</v>
      </c>
      <c r="N203" s="580" t="str">
        <f t="shared" si="66"/>
        <v>N/A</v>
      </c>
      <c r="O203" s="575" t="s">
        <v>1552</v>
      </c>
      <c r="P203" s="580">
        <v>2.3000000000000003</v>
      </c>
      <c r="Q203" s="1449"/>
      <c r="R203" s="853" t="s">
        <v>263</v>
      </c>
      <c r="S203" s="576" t="str">
        <f t="shared" si="65"/>
        <v>N/A</v>
      </c>
      <c r="T203" s="947"/>
      <c r="U203" s="2997" t="s">
        <v>2658</v>
      </c>
      <c r="V203" s="1086">
        <f t="shared" ref="V203:AA203" si="69">V201*(SUMIF($D$199:$D$209,"Movement",$E$199:$E$209)+(SUMIF($D$199:$D$209,"Logistics",$E$199:$E$209)))</f>
        <v>2.9245580245000005</v>
      </c>
      <c r="W203" s="1087">
        <f t="shared" si="69"/>
        <v>46.792928392000007</v>
      </c>
      <c r="X203" s="915">
        <f t="shared" si="69"/>
        <v>23.396464196000004</v>
      </c>
      <c r="Y203" s="915">
        <f t="shared" si="69"/>
        <v>17.547348147000005</v>
      </c>
      <c r="Z203" s="915">
        <f t="shared" si="69"/>
        <v>11.698232098000002</v>
      </c>
      <c r="AA203" s="1088">
        <f t="shared" si="69"/>
        <v>8.7736740735000023</v>
      </c>
      <c r="AC203" s="1430"/>
    </row>
    <row r="204" spans="2:29" ht="15" outlineLevel="1" thickBot="1" x14ac:dyDescent="0.45">
      <c r="B204" s="1807"/>
      <c r="C204" s="1128" t="s">
        <v>1150</v>
      </c>
      <c r="D204" s="659" t="s">
        <v>778</v>
      </c>
      <c r="E204" s="390">
        <f t="shared" si="63"/>
        <v>0.69444444444444442</v>
      </c>
      <c r="F204" s="517">
        <f t="shared" si="64"/>
        <v>10.263888888888889</v>
      </c>
      <c r="G204" s="575"/>
      <c r="H204" s="850" t="s">
        <v>263</v>
      </c>
      <c r="I204" s="575" t="s">
        <v>1538</v>
      </c>
      <c r="J204" s="573" t="s">
        <v>1203</v>
      </c>
      <c r="K204" s="573" t="s">
        <v>914</v>
      </c>
      <c r="L204" s="1176">
        <v>50</v>
      </c>
      <c r="M204" s="1176">
        <v>0.02</v>
      </c>
      <c r="N204" s="580">
        <f t="shared" si="66"/>
        <v>0.69444444444444442</v>
      </c>
      <c r="O204" s="575"/>
      <c r="P204" s="580" t="s">
        <v>263</v>
      </c>
      <c r="Q204" s="1449"/>
      <c r="R204" s="853" t="s">
        <v>263</v>
      </c>
      <c r="S204" s="576" t="str">
        <f t="shared" si="65"/>
        <v>N/A</v>
      </c>
      <c r="T204" s="947"/>
      <c r="U204" s="3000" t="s">
        <v>2657</v>
      </c>
      <c r="V204" s="1089">
        <f t="shared" ref="V204:AA204" si="70">V201*(-SUMIF($S$199:$S$209,"&lt;0"))</f>
        <v>0</v>
      </c>
      <c r="W204" s="1090">
        <f t="shared" si="70"/>
        <v>0</v>
      </c>
      <c r="X204" s="1091">
        <f t="shared" si="70"/>
        <v>0</v>
      </c>
      <c r="Y204" s="1091">
        <f t="shared" si="70"/>
        <v>0</v>
      </c>
      <c r="Z204" s="1091">
        <f t="shared" si="70"/>
        <v>0</v>
      </c>
      <c r="AA204" s="1092">
        <f t="shared" si="70"/>
        <v>0</v>
      </c>
      <c r="AC204" s="1430"/>
    </row>
    <row r="205" spans="2:29" ht="15" outlineLevel="1" thickBot="1" x14ac:dyDescent="0.45">
      <c r="B205" s="1807"/>
      <c r="C205" s="1128" t="s">
        <v>1837</v>
      </c>
      <c r="D205" s="847" t="s">
        <v>3</v>
      </c>
      <c r="E205" s="390">
        <f t="shared" si="63"/>
        <v>0.58000000000000007</v>
      </c>
      <c r="F205" s="517">
        <f t="shared" si="64"/>
        <v>10.843888888888889</v>
      </c>
      <c r="G205" s="575"/>
      <c r="H205" s="850" t="s">
        <v>263</v>
      </c>
      <c r="I205" s="575"/>
      <c r="J205" s="573"/>
      <c r="K205" s="573"/>
      <c r="L205" s="1176" t="s">
        <v>263</v>
      </c>
      <c r="M205" s="1176" t="s">
        <v>263</v>
      </c>
      <c r="N205" s="580" t="str">
        <f t="shared" si="66"/>
        <v>N/A</v>
      </c>
      <c r="O205" s="575" t="s">
        <v>1838</v>
      </c>
      <c r="P205" s="580">
        <v>0.58000000000000007</v>
      </c>
      <c r="Q205" s="1449"/>
      <c r="R205" s="853" t="s">
        <v>263</v>
      </c>
      <c r="S205" s="576" t="str">
        <f t="shared" si="65"/>
        <v>N/A</v>
      </c>
      <c r="T205" s="947"/>
      <c r="U205" s="3000" t="s">
        <v>2686</v>
      </c>
      <c r="V205" s="1089">
        <f t="shared" ref="V205:AA205" si="71">V$201*$F$210</f>
        <v>3.6810179245000008</v>
      </c>
      <c r="W205" s="1416">
        <f t="shared" si="71"/>
        <v>58.896286792000012</v>
      </c>
      <c r="X205" s="920">
        <f t="shared" si="71"/>
        <v>29.448143396000006</v>
      </c>
      <c r="Y205" s="920">
        <f t="shared" si="71"/>
        <v>22.086107547000008</v>
      </c>
      <c r="Z205" s="920">
        <f t="shared" si="71"/>
        <v>14.724071698000003</v>
      </c>
      <c r="AA205" s="1029">
        <f t="shared" si="71"/>
        <v>11.043053773500004</v>
      </c>
      <c r="AC205" s="1430"/>
    </row>
    <row r="206" spans="2:29" outlineLevel="1" x14ac:dyDescent="0.4">
      <c r="B206" s="1807"/>
      <c r="C206" s="1128" t="s">
        <v>1839</v>
      </c>
      <c r="D206" s="847" t="s">
        <v>3</v>
      </c>
      <c r="E206" s="390">
        <f t="shared" si="63"/>
        <v>0.78</v>
      </c>
      <c r="F206" s="517">
        <f t="shared" si="64"/>
        <v>11.623888888888889</v>
      </c>
      <c r="G206" s="575"/>
      <c r="H206" s="850" t="s">
        <v>263</v>
      </c>
      <c r="I206" s="575"/>
      <c r="J206" s="573"/>
      <c r="K206" s="573"/>
      <c r="L206" s="1176" t="s">
        <v>263</v>
      </c>
      <c r="M206" s="1176" t="s">
        <v>263</v>
      </c>
      <c r="N206" s="580" t="str">
        <f t="shared" si="66"/>
        <v>N/A</v>
      </c>
      <c r="O206" s="575" t="s">
        <v>1740</v>
      </c>
      <c r="P206" s="580">
        <v>0.78</v>
      </c>
      <c r="Q206" s="1449"/>
      <c r="R206" s="853" t="s">
        <v>263</v>
      </c>
      <c r="S206" s="576" t="str">
        <f t="shared" si="65"/>
        <v>N/A</v>
      </c>
      <c r="T206" s="947"/>
      <c r="AC206" s="1430"/>
    </row>
    <row r="207" spans="2:29" outlineLevel="1" x14ac:dyDescent="0.4">
      <c r="B207" s="1807"/>
      <c r="C207" s="1159" t="s">
        <v>1840</v>
      </c>
      <c r="D207" s="847" t="s">
        <v>778</v>
      </c>
      <c r="E207" s="390">
        <f t="shared" si="63"/>
        <v>0.69444444444444442</v>
      </c>
      <c r="F207" s="517">
        <f t="shared" si="64"/>
        <v>12.318333333333333</v>
      </c>
      <c r="G207" s="575"/>
      <c r="H207" s="850" t="s">
        <v>263</v>
      </c>
      <c r="I207" s="575" t="s">
        <v>1538</v>
      </c>
      <c r="J207" s="573" t="s">
        <v>799</v>
      </c>
      <c r="K207" s="573" t="s">
        <v>1203</v>
      </c>
      <c r="L207" s="1176">
        <v>50</v>
      </c>
      <c r="M207" s="1176">
        <v>0.02</v>
      </c>
      <c r="N207" s="580">
        <f t="shared" si="66"/>
        <v>0.69444444444444442</v>
      </c>
      <c r="O207" s="575"/>
      <c r="P207" s="580" t="s">
        <v>263</v>
      </c>
      <c r="Q207" s="1449"/>
      <c r="R207" s="853" t="s">
        <v>263</v>
      </c>
      <c r="S207" s="576" t="str">
        <f t="shared" si="65"/>
        <v>N/A</v>
      </c>
      <c r="T207" s="947"/>
      <c r="AC207" s="1430"/>
    </row>
    <row r="208" spans="2:29" outlineLevel="1" x14ac:dyDescent="0.4">
      <c r="B208" s="1807"/>
      <c r="C208" s="1159" t="s">
        <v>1541</v>
      </c>
      <c r="D208" s="847" t="s">
        <v>3</v>
      </c>
      <c r="E208" s="390">
        <f t="shared" si="63"/>
        <v>1.9</v>
      </c>
      <c r="F208" s="517">
        <f t="shared" si="64"/>
        <v>14.218333333333334</v>
      </c>
      <c r="G208" s="575"/>
      <c r="H208" s="850" t="s">
        <v>263</v>
      </c>
      <c r="I208" s="575"/>
      <c r="J208" s="573"/>
      <c r="K208" s="573"/>
      <c r="L208" s="1176" t="s">
        <v>263</v>
      </c>
      <c r="M208" s="1176" t="s">
        <v>263</v>
      </c>
      <c r="N208" s="580" t="str">
        <f t="shared" si="66"/>
        <v>N/A</v>
      </c>
      <c r="O208" s="575" t="s">
        <v>1541</v>
      </c>
      <c r="P208" s="580">
        <v>1.9</v>
      </c>
      <c r="Q208" s="1449"/>
      <c r="R208" s="853" t="s">
        <v>263</v>
      </c>
      <c r="S208" s="576" t="str">
        <f t="shared" si="65"/>
        <v>N/A</v>
      </c>
      <c r="T208" s="897"/>
      <c r="AB208" s="290"/>
      <c r="AC208" s="1430"/>
    </row>
    <row r="209" spans="2:29" ht="15" outlineLevel="1" thickBot="1" x14ac:dyDescent="0.45">
      <c r="B209" s="1807"/>
      <c r="C209" s="1146" t="s">
        <v>1841</v>
      </c>
      <c r="D209" s="808" t="s">
        <v>3</v>
      </c>
      <c r="E209" s="349">
        <f>MAX($P209,$N209,$H209)</f>
        <v>0.38</v>
      </c>
      <c r="F209" s="517">
        <f t="shared" si="64"/>
        <v>14.598333333333334</v>
      </c>
      <c r="G209" s="586"/>
      <c r="H209" s="811" t="s">
        <v>263</v>
      </c>
      <c r="I209" s="586"/>
      <c r="J209" s="584"/>
      <c r="K209" s="584"/>
      <c r="L209" s="1179" t="s">
        <v>263</v>
      </c>
      <c r="M209" s="1179" t="s">
        <v>263</v>
      </c>
      <c r="N209" s="591" t="str">
        <f>IF(D209="Movement",IFERROR((L209/M209)/(60*60),"Error"),"N/A")</f>
        <v>N/A</v>
      </c>
      <c r="O209" s="586" t="s">
        <v>1544</v>
      </c>
      <c r="P209" s="591">
        <v>0.38</v>
      </c>
      <c r="Q209" s="1450"/>
      <c r="R209" s="814" t="s">
        <v>263</v>
      </c>
      <c r="S209" s="587" t="str">
        <f t="shared" si="65"/>
        <v>N/A</v>
      </c>
      <c r="T209" s="5"/>
      <c r="U209" s="3003"/>
      <c r="V209" s="7"/>
      <c r="W209" s="290"/>
      <c r="X209" s="290"/>
      <c r="Y209" s="290"/>
      <c r="Z209" s="290"/>
      <c r="AA209" s="290"/>
      <c r="AB209" s="290"/>
      <c r="AC209" s="1430"/>
    </row>
    <row r="210" spans="2:29" outlineLevel="1" x14ac:dyDescent="0.4">
      <c r="B210" s="1807"/>
      <c r="C210" s="705"/>
      <c r="D210" s="870" t="s">
        <v>11</v>
      </c>
      <c r="E210" s="7"/>
      <c r="F210" s="290">
        <f>F209</f>
        <v>14.598333333333334</v>
      </c>
      <c r="G210" s="94"/>
      <c r="H210" s="895"/>
      <c r="I210" s="94"/>
      <c r="J210" s="94"/>
      <c r="K210" s="94"/>
      <c r="L210" s="897"/>
      <c r="M210" s="897"/>
      <c r="N210" s="895"/>
      <c r="O210" s="94"/>
      <c r="P210" s="897"/>
      <c r="Q210" s="1444"/>
      <c r="R210" s="897"/>
      <c r="S210" s="897"/>
      <c r="T210" s="7"/>
      <c r="U210" s="3003"/>
      <c r="V210" s="7"/>
      <c r="W210" s="290"/>
      <c r="X210" s="290"/>
      <c r="Y210" s="290"/>
      <c r="Z210" s="290"/>
      <c r="AA210" s="290"/>
      <c r="AB210" s="290"/>
      <c r="AC210" s="1430"/>
    </row>
    <row r="211" spans="2:29" outlineLevel="1" x14ac:dyDescent="0.4">
      <c r="B211" s="1807"/>
      <c r="C211" s="1144"/>
      <c r="D211" s="1483"/>
      <c r="E211" s="894"/>
      <c r="F211" s="894"/>
      <c r="G211" s="94"/>
      <c r="H211" s="895"/>
      <c r="I211" s="94"/>
      <c r="J211" s="94"/>
      <c r="K211" s="94"/>
      <c r="L211" s="897"/>
      <c r="M211" s="897"/>
      <c r="N211" s="895"/>
      <c r="O211" s="94"/>
      <c r="P211" s="897"/>
      <c r="Q211" s="1444"/>
      <c r="R211" s="897"/>
      <c r="S211" s="897"/>
      <c r="T211" s="7"/>
      <c r="U211" s="3003"/>
      <c r="V211" s="7"/>
      <c r="W211" s="290"/>
      <c r="X211" s="290"/>
      <c r="Y211" s="290"/>
      <c r="Z211" s="290"/>
      <c r="AA211" s="290"/>
      <c r="AB211" s="290"/>
      <c r="AC211" s="1430"/>
    </row>
    <row r="212" spans="2:29" outlineLevel="1" x14ac:dyDescent="0.4">
      <c r="B212" s="1807"/>
      <c r="C212" s="5"/>
      <c r="D212" s="1140"/>
      <c r="E212" s="1139"/>
      <c r="F212" s="1139"/>
      <c r="G212" s="1139"/>
      <c r="H212" s="1140"/>
      <c r="I212" s="1139"/>
      <c r="J212" s="1139"/>
      <c r="K212" s="1139"/>
      <c r="L212" s="1139"/>
      <c r="M212" s="1139"/>
      <c r="N212" s="1139"/>
      <c r="O212" s="1141"/>
      <c r="P212" s="7"/>
      <c r="Q212" s="1413"/>
      <c r="R212" s="7"/>
      <c r="S212" s="7"/>
      <c r="T212" s="7"/>
      <c r="U212" s="3003"/>
      <c r="V212" s="7"/>
      <c r="W212" s="290"/>
      <c r="X212" s="290"/>
      <c r="Y212" s="290"/>
      <c r="Z212" s="290"/>
      <c r="AA212" s="290"/>
      <c r="AB212" s="290"/>
      <c r="AC212" s="1430"/>
    </row>
    <row r="213" spans="2:29" outlineLevel="1" x14ac:dyDescent="0.4">
      <c r="B213" s="1807"/>
      <c r="C213" s="5"/>
      <c r="D213" s="1140"/>
      <c r="E213" s="1139"/>
      <c r="F213" s="1139"/>
      <c r="G213" s="1139"/>
      <c r="H213" s="1140"/>
      <c r="I213" s="1139"/>
      <c r="J213" s="1139"/>
      <c r="K213" s="1139"/>
      <c r="L213" s="1139"/>
      <c r="M213" s="1139"/>
      <c r="N213" s="1139"/>
      <c r="O213" s="1141"/>
      <c r="P213" s="7"/>
      <c r="Q213" s="1413"/>
      <c r="R213" s="7"/>
      <c r="S213" s="7"/>
      <c r="T213" s="7"/>
      <c r="U213" s="3003"/>
      <c r="V213" s="7"/>
      <c r="W213" s="290"/>
      <c r="X213" s="290"/>
      <c r="Y213" s="290"/>
      <c r="Z213" s="290"/>
      <c r="AA213" s="290"/>
      <c r="AB213" s="290"/>
      <c r="AC213" s="1430"/>
    </row>
    <row r="214" spans="2:29" x14ac:dyDescent="0.4">
      <c r="B214" s="1808"/>
      <c r="C214" s="1809"/>
      <c r="D214" s="1809"/>
      <c r="E214" s="1809"/>
      <c r="F214" s="1809"/>
      <c r="G214" s="1809"/>
      <c r="H214" s="1814"/>
      <c r="I214" s="1809"/>
      <c r="J214" s="1809"/>
      <c r="K214" s="1809"/>
      <c r="L214" s="1809"/>
      <c r="M214" s="1809"/>
      <c r="N214" s="1809"/>
      <c r="O214" s="1809"/>
      <c r="P214" s="1809"/>
      <c r="Q214" s="1813"/>
      <c r="R214" s="1809"/>
      <c r="S214" s="1809"/>
      <c r="T214" s="1809"/>
      <c r="U214" s="3846"/>
      <c r="V214" s="3846"/>
      <c r="W214" s="3846"/>
      <c r="X214" s="3846"/>
      <c r="Y214" s="3846"/>
      <c r="Z214" s="3846"/>
      <c r="AA214" s="3846"/>
      <c r="AB214" s="1821"/>
      <c r="AC214" s="1822"/>
    </row>
    <row r="215" spans="2:29" x14ac:dyDescent="0.4">
      <c r="AA215" s="290"/>
    </row>
    <row r="216" spans="2:29" x14ac:dyDescent="0.4">
      <c r="AA216" s="290"/>
    </row>
    <row r="217" spans="2:29" x14ac:dyDescent="0.4">
      <c r="AA217" s="290"/>
      <c r="AC217" s="273"/>
    </row>
    <row r="218" spans="2:29" x14ac:dyDescent="0.4">
      <c r="AA218" s="290"/>
      <c r="AC218" s="273"/>
    </row>
    <row r="219" spans="2:29" x14ac:dyDescent="0.4">
      <c r="AA219" s="290"/>
      <c r="AC219" s="273"/>
    </row>
    <row r="220" spans="2:29" x14ac:dyDescent="0.4">
      <c r="AC220" s="273"/>
    </row>
    <row r="221" spans="2:29" x14ac:dyDescent="0.4">
      <c r="AC221" s="273"/>
    </row>
    <row r="222" spans="2:29" x14ac:dyDescent="0.4">
      <c r="AC222" s="273"/>
    </row>
    <row r="223" spans="2:29" x14ac:dyDescent="0.4">
      <c r="AC223" s="273"/>
    </row>
    <row r="224" spans="2:29" x14ac:dyDescent="0.4">
      <c r="AC224" s="273"/>
    </row>
    <row r="225" spans="2:35" x14ac:dyDescent="0.4">
      <c r="AC225" s="273"/>
    </row>
    <row r="226" spans="2:35" x14ac:dyDescent="0.4">
      <c r="AC226" s="273"/>
    </row>
    <row r="227" spans="2:35" x14ac:dyDescent="0.4">
      <c r="AC227" s="273"/>
    </row>
    <row r="228" spans="2:35" x14ac:dyDescent="0.4">
      <c r="AC228" s="273"/>
    </row>
    <row r="229" spans="2:35" x14ac:dyDescent="0.4">
      <c r="AC229" s="273"/>
    </row>
    <row r="230" spans="2:35" x14ac:dyDescent="0.4">
      <c r="AC230" s="273"/>
    </row>
    <row r="236" spans="2:35" s="8" customFormat="1" x14ac:dyDescent="0.4">
      <c r="B236"/>
      <c r="C236"/>
      <c r="D236"/>
      <c r="E236"/>
      <c r="F236"/>
      <c r="G236"/>
      <c r="H236" s="177"/>
      <c r="I236"/>
      <c r="J236"/>
      <c r="K236"/>
      <c r="L236"/>
      <c r="M236"/>
      <c r="N236"/>
      <c r="O236"/>
      <c r="P236"/>
      <c r="Q236" s="287"/>
      <c r="R236"/>
      <c r="S236"/>
      <c r="T236"/>
      <c r="U236" s="3014"/>
      <c r="AC236" s="5"/>
      <c r="AD236"/>
      <c r="AE236"/>
      <c r="AF236"/>
      <c r="AG236"/>
      <c r="AH236"/>
      <c r="AI236"/>
    </row>
    <row r="237" spans="2:35" s="8" customFormat="1" x14ac:dyDescent="0.4">
      <c r="B237"/>
      <c r="C237"/>
      <c r="D237"/>
      <c r="E237"/>
      <c r="F237"/>
      <c r="G237"/>
      <c r="H237" s="177"/>
      <c r="I237"/>
      <c r="J237"/>
      <c r="K237"/>
      <c r="L237"/>
      <c r="M237"/>
      <c r="N237"/>
      <c r="O237"/>
      <c r="P237"/>
      <c r="Q237" s="287"/>
      <c r="R237"/>
      <c r="S237"/>
      <c r="T237"/>
      <c r="U237" s="3014"/>
      <c r="AC237" s="5"/>
      <c r="AD237"/>
      <c r="AE237"/>
      <c r="AF237"/>
      <c r="AG237"/>
      <c r="AH237"/>
      <c r="AI237"/>
    </row>
  </sheetData>
  <customSheetViews>
    <customSheetView guid="{9C0AA20B-B2A2-4A2C-B279-4A5988F4E71A}" scale="70" hiddenColumns="1" state="hidden">
      <selection activeCell="C256" sqref="C256"/>
      <pageMargins left="0.7" right="0.7" top="0.75" bottom="0.75" header="0.3" footer="0.3"/>
      <pageSetup paperSize="9" orientation="portrait" verticalDpi="0" r:id="rId1"/>
    </customSheetView>
  </customSheetViews>
  <mergeCells count="36">
    <mergeCell ref="U214:AA214"/>
    <mergeCell ref="G144:H144"/>
    <mergeCell ref="I144:N144"/>
    <mergeCell ref="O144:P144"/>
    <mergeCell ref="Q144:S144"/>
    <mergeCell ref="G169:H169"/>
    <mergeCell ref="I169:N169"/>
    <mergeCell ref="O169:P169"/>
    <mergeCell ref="Q169:S169"/>
    <mergeCell ref="U186:AA186"/>
    <mergeCell ref="G197:H197"/>
    <mergeCell ref="I197:N197"/>
    <mergeCell ref="O197:P197"/>
    <mergeCell ref="Q197:S197"/>
    <mergeCell ref="W196:AA196"/>
    <mergeCell ref="W168:AA168"/>
    <mergeCell ref="W21:AA21"/>
    <mergeCell ref="W46:AA46"/>
    <mergeCell ref="W70:AA70"/>
    <mergeCell ref="W98:AA98"/>
    <mergeCell ref="U116:AA116"/>
    <mergeCell ref="U88:AA88"/>
    <mergeCell ref="W141:AA141"/>
    <mergeCell ref="W120:AA120"/>
    <mergeCell ref="G99:H99"/>
    <mergeCell ref="I99:N99"/>
    <mergeCell ref="O99:P99"/>
    <mergeCell ref="Q99:S99"/>
    <mergeCell ref="G45:H45"/>
    <mergeCell ref="I45:N45"/>
    <mergeCell ref="O45:P45"/>
    <mergeCell ref="Q45:S45"/>
    <mergeCell ref="G71:H71"/>
    <mergeCell ref="I71:N71"/>
    <mergeCell ref="O71:P71"/>
    <mergeCell ref="Q71:S71"/>
  </mergeCells>
  <conditionalFormatting sqref="D1:D1048576">
    <cfRule type="cellIs" dxfId="3945" priority="1" stopIfTrue="1" operator="equal">
      <formula>"Total"</formula>
    </cfRule>
    <cfRule type="cellIs" dxfId="3944" priority="2" stopIfTrue="1" operator="equal">
      <formula>"Operation"</formula>
    </cfRule>
  </conditionalFormatting>
  <conditionalFormatting sqref="G1:S1048576">
    <cfRule type="cellIs" dxfId="3943" priority="3" stopIfTrue="1" operator="equal">
      <formula>"N/A"</formula>
    </cfRule>
  </conditionalFormatting>
  <dataValidations disablePrompts="1" count="2">
    <dataValidation type="list" allowBlank="1" showInputMessage="1" showErrorMessage="1" sqref="WMD118:WMD136 WCH19:WCH37 VSL19:VSL37 VIP19:VIP37 UYT19:UYT37 UOX19:UOX37 UFB19:UFB37 TVF19:TVF37 TLJ19:TLJ37 TBN19:TBN37 SRR19:SRR37 SHV19:SHV37 RXZ19:RXZ37 ROD19:ROD37 REH19:REH37 QUL19:QUL37 QKP19:QKP37 QAT19:QAT37 PQX19:PQX37 PHB19:PHB37 OXF19:OXF37 ONJ19:ONJ37 ODN19:ODN37 NTR19:NTR37 NJV19:NJV37 MZZ19:MZZ37 MQD19:MQD37 MGH19:MGH37 LWL19:LWL37 LMP19:LMP37 LCT19:LCT37 KSX19:KSX37 KJB19:KJB37 JZF19:JZF37 JPJ19:JPJ37 JFN19:JFN37 IVR19:IVR37 ILV19:ILV37 IBZ19:IBZ37 HSD19:HSD37 HIH19:HIH37 GYL19:GYL37 GOP19:GOP37 GET19:GET37 FUX19:FUX37 FLB19:FLB37 FBF19:FBF37 ERJ19:ERJ37 EHN19:EHN37 DXR19:DXR37 DNV19:DNV37 DDZ19:DDZ37 CUD19:CUD37 CKH19:CKH37 CAL19:CAL37 BQP19:BQP37 BGT19:BGT37 AWX19:AWX37 ANB19:ANB37 ADF19:ADF37 TJ19:TJ37 JN19:JN37 WVZ19:WVZ37 WMD19:WMD37 WCH118:WCH136 VSL118:VSL136 VIP118:VIP136 UYT118:UYT136 UOX118:UOX136 UFB118:UFB136 TVF118:TVF136 TLJ118:TLJ136 TBN118:TBN136 SRR118:SRR136 SHV118:SHV136 RXZ118:RXZ136 ROD118:ROD136 REH118:REH136 QUL118:QUL136 QKP118:QKP136 QAT118:QAT136 PQX118:PQX136 PHB118:PHB136 OXF118:OXF136 ONJ118:ONJ136 ODN118:ODN136 NTR118:NTR136 NJV118:NJV136 MZZ118:MZZ136 MQD118:MQD136 MGH118:MGH136 LWL118:LWL136 LMP118:LMP136 LCT118:LCT136 KSX118:KSX136 KJB118:KJB136 JZF118:JZF136 JPJ118:JPJ136 JFN118:JFN136 IVR118:IVR136 ILV118:ILV136 IBZ118:IBZ136 HSD118:HSD136 HIH118:HIH136 GYL118:GYL136 GOP118:GOP136 GET118:GET136 FUX118:FUX136 FLB118:FLB136 FBF118:FBF136 ERJ118:ERJ136 EHN118:EHN136 DXR118:DXR136 DNV118:DNV136 DDZ118:DDZ136 CUD118:CUD136 CKH118:CKH136 CAL118:CAL136 BQP118:BQP136 BGT118:BGT136 AWX118:AWX136 ANB118:ANB136 ADF118:ADF136 TJ118:TJ136 JN118:JN136 WVZ118:WVZ136">
      <formula1>$AC$4:$AC$9</formula1>
    </dataValidation>
    <dataValidation type="list" allowBlank="1" showInputMessage="1" showErrorMessage="1" sqref="TK137:TK1048576 JO38:JO117 TK38:TK117 ADG38:ADG117 ANC38:ANC117 AWY38:AWY117 BGU38:BGU117 BQQ38:BQQ117 CAM38:CAM117 CKI38:CKI117 CUE38:CUE117 DEA38:DEA117 DNW38:DNW117 DXS38:DXS117 EHO38:EHO117 ERK38:ERK117 FBG38:FBG117 FLC38:FLC117 FUY38:FUY117 GEU38:GEU117 GOQ38:GOQ117 GYM38:GYM117 HII38:HII117 HSE38:HSE117 ICA38:ICA117 ILW38:ILW117 IVS38:IVS117 JFO38:JFO117 JPK38:JPK117 JZG38:JZG117 KJC38:KJC117 KSY38:KSY117 LCU38:LCU117 LMQ38:LMQ117 LWM38:LWM117 MGI38:MGI117 MQE38:MQE117 NAA38:NAA117 NJW38:NJW117 NTS38:NTS117 ODO38:ODO117 ONK38:ONK117 OXG38:OXG117 PHC38:PHC117 PQY38:PQY117 QAU38:QAU117 QKQ38:QKQ117 QUM38:QUM117 REI38:REI117 ROE38:ROE117 RYA38:RYA117 SHW38:SHW117 SRS38:SRS117 TBO38:TBO117 TLK38:TLK117 TVG38:TVG117 UFC38:UFC117 UOY38:UOY117 UYU38:UYU117 VIQ38:VIQ117 VSM38:VSM117 WCI38:WCI117 WME38:WME117 WWA38:WWA117 JO137:JO1048576 WWA137:WWA1048576 WME137:WME1048576 WCI137:WCI1048576 VSM137:VSM1048576 VIQ137:VIQ1048576 UYU137:UYU1048576 UOY137:UOY1048576 UFC137:UFC1048576 TVG137:TVG1048576 TLK137:TLK1048576 TBO137:TBO1048576 SRS137:SRS1048576 SHW137:SHW1048576 RYA137:RYA1048576 ROE137:ROE1048576 REI137:REI1048576 QUM137:QUM1048576 QKQ137:QKQ1048576 QAU137:QAU1048576 PQY137:PQY1048576 PHC137:PHC1048576 OXG137:OXG1048576 ONK137:ONK1048576 ODO137:ODO1048576 NTS137:NTS1048576 NJW137:NJW1048576 NAA137:NAA1048576 MQE137:MQE1048576 MGI137:MGI1048576 LWM137:LWM1048576 LMQ137:LMQ1048576 LCU137:LCU1048576 KSY137:KSY1048576 KJC137:KJC1048576 JZG137:JZG1048576 JPK137:JPK1048576 JFO137:JFO1048576 IVS137:IVS1048576 ILW137:ILW1048576 ICA137:ICA1048576 HSE137:HSE1048576 HII137:HII1048576 GYM137:GYM1048576 GOQ137:GOQ1048576 GEU137:GEU1048576 FUY137:FUY1048576 FLC137:FLC1048576 FBG137:FBG1048576 ERK137:ERK1048576 EHO137:EHO1048576 DXS137:DXS1048576 DNW137:DNW1048576 DEA137:DEA1048576 CUE137:CUE1048576 CKI137:CKI1048576 CAM137:CAM1048576 BQQ137:BQQ1048576 BGU137:BGU1048576 AWY137:AWY1048576 ANC137:ANC1048576 ADG137:ADG1048576 WWA1:WWA18 JO1:JO18 TK1:TK18 ADG1:ADG18 ANC1:ANC18 AWY1:AWY18 BGU1:BGU18 BQQ1:BQQ18 CAM1:CAM18 CKI1:CKI18 CUE1:CUE18 DEA1:DEA18 DNW1:DNW18 DXS1:DXS18 EHO1:EHO18 ERK1:ERK18 FBG1:FBG18 FLC1:FLC18 FUY1:FUY18 GEU1:GEU18 GOQ1:GOQ18 GYM1:GYM18 HII1:HII18 HSE1:HSE18 ICA1:ICA18 ILW1:ILW18 IVS1:IVS18 JFO1:JFO18 JPK1:JPK18 JZG1:JZG18 KJC1:KJC18 KSY1:KSY18 LCU1:LCU18 LMQ1:LMQ18 LWM1:LWM18 MGI1:MGI18 MQE1:MQE18 NAA1:NAA18 NJW1:NJW18 NTS1:NTS18 ODO1:ODO18 ONK1:ONK18 OXG1:OXG18 PHC1:PHC18 PQY1:PQY18 QAU1:QAU18 QKQ1:QKQ18 QUM1:QUM18 REI1:REI18 ROE1:ROE18 RYA1:RYA18 SHW1:SHW18 SRS1:SRS18 TBO1:TBO18 TLK1:TLK18 TVG1:TVG18 UFC1:UFC18 UOY1:UOY18 UYU1:UYU18 VIQ1:VIQ18 VSM1:VSM18 WCI1:WCI18 WME1:WME18">
      <formula1>$AD$4:$AD$9</formula1>
    </dataValidation>
  </dataValidations>
  <pageMargins left="0.7" right="0.7" top="0.75" bottom="0.75" header="0.3" footer="0.3"/>
  <pageSetup paperSize="9" orientation="portrait" verticalDpi="0"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7" tint="0.39997558519241921"/>
  </sheetPr>
  <dimension ref="A1:AB626"/>
  <sheetViews>
    <sheetView zoomScale="70" zoomScaleNormal="70" workbookViewId="0">
      <selection activeCell="C253" sqref="C253:C257"/>
    </sheetView>
  </sheetViews>
  <sheetFormatPr defaultRowHeight="14.6" outlineLevelRow="3" outlineLevelCol="1" x14ac:dyDescent="0.4"/>
  <cols>
    <col min="1" max="1" width="4.69140625" customWidth="1"/>
    <col min="2" max="2" width="5.69140625" customWidth="1"/>
    <col min="3" max="3" width="44" style="689" customWidth="1"/>
    <col min="4" max="4" width="63.15234375" customWidth="1"/>
    <col min="5" max="5" width="12.69140625" style="688" customWidth="1"/>
    <col min="6" max="6" width="12.69140625" customWidth="1"/>
    <col min="7" max="7" width="16.15234375" customWidth="1"/>
    <col min="8" max="8" width="37.84375" style="89" customWidth="1" outlineLevel="1"/>
    <col min="9" max="9" width="12.69140625" style="177" customWidth="1"/>
    <col min="10" max="10" width="26.15234375" hidden="1" customWidth="1" outlineLevel="1"/>
    <col min="11" max="11" width="23.15234375" hidden="1" customWidth="1" outlineLevel="1"/>
    <col min="12" max="12" width="19.15234375" style="689"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09" style="3360" bestFit="1" customWidth="1" outlineLevel="1"/>
    <col min="19" max="20" width="12.69140625" style="2424" customWidth="1" outlineLevel="1"/>
    <col min="21" max="21" width="16" style="2424" bestFit="1" customWidth="1"/>
    <col min="22" max="22" width="12.69140625" style="2424" customWidth="1"/>
    <col min="23" max="23" width="13.3828125" style="2424" customWidth="1"/>
    <col min="24" max="24" width="17.3828125" style="2424" bestFit="1" customWidth="1"/>
    <col min="25" max="25" width="12.69140625" style="2424" customWidth="1"/>
    <col min="26" max="28" width="12.69140625" customWidth="1"/>
    <col min="268" max="268" width="8.15234375" customWidth="1"/>
    <col min="269" max="269" width="53.3828125" customWidth="1"/>
    <col min="270" max="270" width="22.3046875" customWidth="1"/>
    <col min="271" max="271" width="12.53515625" customWidth="1"/>
    <col min="272" max="272" width="6.3046875" customWidth="1"/>
    <col min="273" max="273" width="41.53515625" customWidth="1"/>
    <col min="274" max="274" width="8.53515625" customWidth="1"/>
    <col min="275" max="276" width="6.3046875" customWidth="1"/>
    <col min="277" max="277" width="6.69140625" customWidth="1"/>
    <col min="278" max="278" width="12.69140625" customWidth="1"/>
    <col min="279" max="279" width="14.53515625" customWidth="1"/>
    <col min="280" max="284" width="12.69140625" customWidth="1"/>
    <col min="524" max="524" width="8.15234375" customWidth="1"/>
    <col min="525" max="525" width="53.3828125" customWidth="1"/>
    <col min="526" max="526" width="22.3046875" customWidth="1"/>
    <col min="527" max="527" width="12.53515625" customWidth="1"/>
    <col min="528" max="528" width="6.3046875" customWidth="1"/>
    <col min="529" max="529" width="41.53515625" customWidth="1"/>
    <col min="530" max="530" width="8.53515625" customWidth="1"/>
    <col min="531" max="532" width="6.3046875" customWidth="1"/>
    <col min="533" max="533" width="6.69140625" customWidth="1"/>
    <col min="534" max="534" width="12.69140625" customWidth="1"/>
    <col min="535" max="535" width="14.53515625" customWidth="1"/>
    <col min="536" max="540" width="12.69140625" customWidth="1"/>
    <col min="780" max="780" width="8.15234375" customWidth="1"/>
    <col min="781" max="781" width="53.3828125" customWidth="1"/>
    <col min="782" max="782" width="22.3046875" customWidth="1"/>
    <col min="783" max="783" width="12.53515625" customWidth="1"/>
    <col min="784" max="784" width="6.3046875" customWidth="1"/>
    <col min="785" max="785" width="41.53515625" customWidth="1"/>
    <col min="786" max="786" width="8.53515625" customWidth="1"/>
    <col min="787" max="788" width="6.3046875" customWidth="1"/>
    <col min="789" max="789" width="6.69140625" customWidth="1"/>
    <col min="790" max="790" width="12.69140625" customWidth="1"/>
    <col min="791" max="791" width="14.53515625" customWidth="1"/>
    <col min="792" max="796" width="12.69140625" customWidth="1"/>
    <col min="1036" max="1036" width="8.15234375" customWidth="1"/>
    <col min="1037" max="1037" width="53.3828125" customWidth="1"/>
    <col min="1038" max="1038" width="22.3046875" customWidth="1"/>
    <col min="1039" max="1039" width="12.53515625" customWidth="1"/>
    <col min="1040" max="1040" width="6.3046875" customWidth="1"/>
    <col min="1041" max="1041" width="41.53515625" customWidth="1"/>
    <col min="1042" max="1042" width="8.53515625" customWidth="1"/>
    <col min="1043" max="1044" width="6.3046875" customWidth="1"/>
    <col min="1045" max="1045" width="6.69140625" customWidth="1"/>
    <col min="1046" max="1046" width="12.69140625" customWidth="1"/>
    <col min="1047" max="1047" width="14.53515625" customWidth="1"/>
    <col min="1048" max="1052" width="12.69140625" customWidth="1"/>
    <col min="1292" max="1292" width="8.15234375" customWidth="1"/>
    <col min="1293" max="1293" width="53.3828125" customWidth="1"/>
    <col min="1294" max="1294" width="22.3046875" customWidth="1"/>
    <col min="1295" max="1295" width="12.53515625" customWidth="1"/>
    <col min="1296" max="1296" width="6.3046875" customWidth="1"/>
    <col min="1297" max="1297" width="41.53515625" customWidth="1"/>
    <col min="1298" max="1298" width="8.53515625" customWidth="1"/>
    <col min="1299" max="1300" width="6.3046875" customWidth="1"/>
    <col min="1301" max="1301" width="6.69140625" customWidth="1"/>
    <col min="1302" max="1302" width="12.69140625" customWidth="1"/>
    <col min="1303" max="1303" width="14.53515625" customWidth="1"/>
    <col min="1304" max="1308" width="12.69140625" customWidth="1"/>
    <col min="1548" max="1548" width="8.15234375" customWidth="1"/>
    <col min="1549" max="1549" width="53.3828125" customWidth="1"/>
    <col min="1550" max="1550" width="22.3046875" customWidth="1"/>
    <col min="1551" max="1551" width="12.53515625" customWidth="1"/>
    <col min="1552" max="1552" width="6.3046875" customWidth="1"/>
    <col min="1553" max="1553" width="41.53515625" customWidth="1"/>
    <col min="1554" max="1554" width="8.53515625" customWidth="1"/>
    <col min="1555" max="1556" width="6.3046875" customWidth="1"/>
    <col min="1557" max="1557" width="6.69140625" customWidth="1"/>
    <col min="1558" max="1558" width="12.69140625" customWidth="1"/>
    <col min="1559" max="1559" width="14.53515625" customWidth="1"/>
    <col min="1560" max="1564" width="12.69140625" customWidth="1"/>
    <col min="1804" max="1804" width="8.15234375" customWidth="1"/>
    <col min="1805" max="1805" width="53.3828125" customWidth="1"/>
    <col min="1806" max="1806" width="22.3046875" customWidth="1"/>
    <col min="1807" max="1807" width="12.53515625" customWidth="1"/>
    <col min="1808" max="1808" width="6.3046875" customWidth="1"/>
    <col min="1809" max="1809" width="41.53515625" customWidth="1"/>
    <col min="1810" max="1810" width="8.53515625" customWidth="1"/>
    <col min="1811" max="1812" width="6.3046875" customWidth="1"/>
    <col min="1813" max="1813" width="6.69140625" customWidth="1"/>
    <col min="1814" max="1814" width="12.69140625" customWidth="1"/>
    <col min="1815" max="1815" width="14.53515625" customWidth="1"/>
    <col min="1816" max="1820" width="12.69140625" customWidth="1"/>
    <col min="2060" max="2060" width="8.15234375" customWidth="1"/>
    <col min="2061" max="2061" width="53.3828125" customWidth="1"/>
    <col min="2062" max="2062" width="22.3046875" customWidth="1"/>
    <col min="2063" max="2063" width="12.53515625" customWidth="1"/>
    <col min="2064" max="2064" width="6.3046875" customWidth="1"/>
    <col min="2065" max="2065" width="41.53515625" customWidth="1"/>
    <col min="2066" max="2066" width="8.53515625" customWidth="1"/>
    <col min="2067" max="2068" width="6.3046875" customWidth="1"/>
    <col min="2069" max="2069" width="6.69140625" customWidth="1"/>
    <col min="2070" max="2070" width="12.69140625" customWidth="1"/>
    <col min="2071" max="2071" width="14.53515625" customWidth="1"/>
    <col min="2072" max="2076" width="12.69140625" customWidth="1"/>
    <col min="2316" max="2316" width="8.15234375" customWidth="1"/>
    <col min="2317" max="2317" width="53.3828125" customWidth="1"/>
    <col min="2318" max="2318" width="22.3046875" customWidth="1"/>
    <col min="2319" max="2319" width="12.53515625" customWidth="1"/>
    <col min="2320" max="2320" width="6.3046875" customWidth="1"/>
    <col min="2321" max="2321" width="41.53515625" customWidth="1"/>
    <col min="2322" max="2322" width="8.53515625" customWidth="1"/>
    <col min="2323" max="2324" width="6.3046875" customWidth="1"/>
    <col min="2325" max="2325" width="6.69140625" customWidth="1"/>
    <col min="2326" max="2326" width="12.69140625" customWidth="1"/>
    <col min="2327" max="2327" width="14.53515625" customWidth="1"/>
    <col min="2328" max="2332" width="12.69140625" customWidth="1"/>
    <col min="2572" max="2572" width="8.15234375" customWidth="1"/>
    <col min="2573" max="2573" width="53.3828125" customWidth="1"/>
    <col min="2574" max="2574" width="22.3046875" customWidth="1"/>
    <col min="2575" max="2575" width="12.53515625" customWidth="1"/>
    <col min="2576" max="2576" width="6.3046875" customWidth="1"/>
    <col min="2577" max="2577" width="41.53515625" customWidth="1"/>
    <col min="2578" max="2578" width="8.53515625" customWidth="1"/>
    <col min="2579" max="2580" width="6.3046875" customWidth="1"/>
    <col min="2581" max="2581" width="6.69140625" customWidth="1"/>
    <col min="2582" max="2582" width="12.69140625" customWidth="1"/>
    <col min="2583" max="2583" width="14.53515625" customWidth="1"/>
    <col min="2584" max="2588" width="12.69140625" customWidth="1"/>
    <col min="2828" max="2828" width="8.15234375" customWidth="1"/>
    <col min="2829" max="2829" width="53.3828125" customWidth="1"/>
    <col min="2830" max="2830" width="22.3046875" customWidth="1"/>
    <col min="2831" max="2831" width="12.53515625" customWidth="1"/>
    <col min="2832" max="2832" width="6.3046875" customWidth="1"/>
    <col min="2833" max="2833" width="41.53515625" customWidth="1"/>
    <col min="2834" max="2834" width="8.53515625" customWidth="1"/>
    <col min="2835" max="2836" width="6.3046875" customWidth="1"/>
    <col min="2837" max="2837" width="6.69140625" customWidth="1"/>
    <col min="2838" max="2838" width="12.69140625" customWidth="1"/>
    <col min="2839" max="2839" width="14.53515625" customWidth="1"/>
    <col min="2840" max="2844" width="12.69140625" customWidth="1"/>
    <col min="3084" max="3084" width="8.15234375" customWidth="1"/>
    <col min="3085" max="3085" width="53.3828125" customWidth="1"/>
    <col min="3086" max="3086" width="22.3046875" customWidth="1"/>
    <col min="3087" max="3087" width="12.53515625" customWidth="1"/>
    <col min="3088" max="3088" width="6.3046875" customWidth="1"/>
    <col min="3089" max="3089" width="41.53515625" customWidth="1"/>
    <col min="3090" max="3090" width="8.53515625" customWidth="1"/>
    <col min="3091" max="3092" width="6.3046875" customWidth="1"/>
    <col min="3093" max="3093" width="6.69140625" customWidth="1"/>
    <col min="3094" max="3094" width="12.69140625" customWidth="1"/>
    <col min="3095" max="3095" width="14.53515625" customWidth="1"/>
    <col min="3096" max="3100" width="12.69140625" customWidth="1"/>
    <col min="3340" max="3340" width="8.15234375" customWidth="1"/>
    <col min="3341" max="3341" width="53.3828125" customWidth="1"/>
    <col min="3342" max="3342" width="22.3046875" customWidth="1"/>
    <col min="3343" max="3343" width="12.53515625" customWidth="1"/>
    <col min="3344" max="3344" width="6.3046875" customWidth="1"/>
    <col min="3345" max="3345" width="41.53515625" customWidth="1"/>
    <col min="3346" max="3346" width="8.53515625" customWidth="1"/>
    <col min="3347" max="3348" width="6.3046875" customWidth="1"/>
    <col min="3349" max="3349" width="6.69140625" customWidth="1"/>
    <col min="3350" max="3350" width="12.69140625" customWidth="1"/>
    <col min="3351" max="3351" width="14.53515625" customWidth="1"/>
    <col min="3352" max="3356" width="12.69140625" customWidth="1"/>
    <col min="3596" max="3596" width="8.15234375" customWidth="1"/>
    <col min="3597" max="3597" width="53.3828125" customWidth="1"/>
    <col min="3598" max="3598" width="22.3046875" customWidth="1"/>
    <col min="3599" max="3599" width="12.53515625" customWidth="1"/>
    <col min="3600" max="3600" width="6.3046875" customWidth="1"/>
    <col min="3601" max="3601" width="41.53515625" customWidth="1"/>
    <col min="3602" max="3602" width="8.53515625" customWidth="1"/>
    <col min="3603" max="3604" width="6.3046875" customWidth="1"/>
    <col min="3605" max="3605" width="6.69140625" customWidth="1"/>
    <col min="3606" max="3606" width="12.69140625" customWidth="1"/>
    <col min="3607" max="3607" width="14.53515625" customWidth="1"/>
    <col min="3608" max="3612" width="12.69140625" customWidth="1"/>
    <col min="3852" max="3852" width="8.15234375" customWidth="1"/>
    <col min="3853" max="3853" width="53.3828125" customWidth="1"/>
    <col min="3854" max="3854" width="22.3046875" customWidth="1"/>
    <col min="3855" max="3855" width="12.53515625" customWidth="1"/>
    <col min="3856" max="3856" width="6.3046875" customWidth="1"/>
    <col min="3857" max="3857" width="41.53515625" customWidth="1"/>
    <col min="3858" max="3858" width="8.53515625" customWidth="1"/>
    <col min="3859" max="3860" width="6.3046875" customWidth="1"/>
    <col min="3861" max="3861" width="6.69140625" customWidth="1"/>
    <col min="3862" max="3862" width="12.69140625" customWidth="1"/>
    <col min="3863" max="3863" width="14.53515625" customWidth="1"/>
    <col min="3864" max="3868" width="12.69140625" customWidth="1"/>
    <col min="4108" max="4108" width="8.15234375" customWidth="1"/>
    <col min="4109" max="4109" width="53.3828125" customWidth="1"/>
    <col min="4110" max="4110" width="22.3046875" customWidth="1"/>
    <col min="4111" max="4111" width="12.53515625" customWidth="1"/>
    <col min="4112" max="4112" width="6.3046875" customWidth="1"/>
    <col min="4113" max="4113" width="41.53515625" customWidth="1"/>
    <col min="4114" max="4114" width="8.53515625" customWidth="1"/>
    <col min="4115" max="4116" width="6.3046875" customWidth="1"/>
    <col min="4117" max="4117" width="6.69140625" customWidth="1"/>
    <col min="4118" max="4118" width="12.69140625" customWidth="1"/>
    <col min="4119" max="4119" width="14.53515625" customWidth="1"/>
    <col min="4120" max="4124" width="12.69140625" customWidth="1"/>
    <col min="4364" max="4364" width="8.15234375" customWidth="1"/>
    <col min="4365" max="4365" width="53.3828125" customWidth="1"/>
    <col min="4366" max="4366" width="22.3046875" customWidth="1"/>
    <col min="4367" max="4367" width="12.53515625" customWidth="1"/>
    <col min="4368" max="4368" width="6.3046875" customWidth="1"/>
    <col min="4369" max="4369" width="41.53515625" customWidth="1"/>
    <col min="4370" max="4370" width="8.53515625" customWidth="1"/>
    <col min="4371" max="4372" width="6.3046875" customWidth="1"/>
    <col min="4373" max="4373" width="6.69140625" customWidth="1"/>
    <col min="4374" max="4374" width="12.69140625" customWidth="1"/>
    <col min="4375" max="4375" width="14.53515625" customWidth="1"/>
    <col min="4376" max="4380" width="12.69140625" customWidth="1"/>
    <col min="4620" max="4620" width="8.15234375" customWidth="1"/>
    <col min="4621" max="4621" width="53.3828125" customWidth="1"/>
    <col min="4622" max="4622" width="22.3046875" customWidth="1"/>
    <col min="4623" max="4623" width="12.53515625" customWidth="1"/>
    <col min="4624" max="4624" width="6.3046875" customWidth="1"/>
    <col min="4625" max="4625" width="41.53515625" customWidth="1"/>
    <col min="4626" max="4626" width="8.53515625" customWidth="1"/>
    <col min="4627" max="4628" width="6.3046875" customWidth="1"/>
    <col min="4629" max="4629" width="6.69140625" customWidth="1"/>
    <col min="4630" max="4630" width="12.69140625" customWidth="1"/>
    <col min="4631" max="4631" width="14.53515625" customWidth="1"/>
    <col min="4632" max="4636" width="12.69140625" customWidth="1"/>
    <col min="4876" max="4876" width="8.15234375" customWidth="1"/>
    <col min="4877" max="4877" width="53.3828125" customWidth="1"/>
    <col min="4878" max="4878" width="22.3046875" customWidth="1"/>
    <col min="4879" max="4879" width="12.53515625" customWidth="1"/>
    <col min="4880" max="4880" width="6.3046875" customWidth="1"/>
    <col min="4881" max="4881" width="41.53515625" customWidth="1"/>
    <col min="4882" max="4882" width="8.53515625" customWidth="1"/>
    <col min="4883" max="4884" width="6.3046875" customWidth="1"/>
    <col min="4885" max="4885" width="6.69140625" customWidth="1"/>
    <col min="4886" max="4886" width="12.69140625" customWidth="1"/>
    <col min="4887" max="4887" width="14.53515625" customWidth="1"/>
    <col min="4888" max="4892" width="12.69140625" customWidth="1"/>
    <col min="5132" max="5132" width="8.15234375" customWidth="1"/>
    <col min="5133" max="5133" width="53.3828125" customWidth="1"/>
    <col min="5134" max="5134" width="22.3046875" customWidth="1"/>
    <col min="5135" max="5135" width="12.53515625" customWidth="1"/>
    <col min="5136" max="5136" width="6.3046875" customWidth="1"/>
    <col min="5137" max="5137" width="41.53515625" customWidth="1"/>
    <col min="5138" max="5138" width="8.53515625" customWidth="1"/>
    <col min="5139" max="5140" width="6.3046875" customWidth="1"/>
    <col min="5141" max="5141" width="6.69140625" customWidth="1"/>
    <col min="5142" max="5142" width="12.69140625" customWidth="1"/>
    <col min="5143" max="5143" width="14.53515625" customWidth="1"/>
    <col min="5144" max="5148" width="12.69140625" customWidth="1"/>
    <col min="5388" max="5388" width="8.15234375" customWidth="1"/>
    <col min="5389" max="5389" width="53.3828125" customWidth="1"/>
    <col min="5390" max="5390" width="22.3046875" customWidth="1"/>
    <col min="5391" max="5391" width="12.53515625" customWidth="1"/>
    <col min="5392" max="5392" width="6.3046875" customWidth="1"/>
    <col min="5393" max="5393" width="41.53515625" customWidth="1"/>
    <col min="5394" max="5394" width="8.53515625" customWidth="1"/>
    <col min="5395" max="5396" width="6.3046875" customWidth="1"/>
    <col min="5397" max="5397" width="6.69140625" customWidth="1"/>
    <col min="5398" max="5398" width="12.69140625" customWidth="1"/>
    <col min="5399" max="5399" width="14.53515625" customWidth="1"/>
    <col min="5400" max="5404" width="12.69140625" customWidth="1"/>
    <col min="5644" max="5644" width="8.15234375" customWidth="1"/>
    <col min="5645" max="5645" width="53.3828125" customWidth="1"/>
    <col min="5646" max="5646" width="22.3046875" customWidth="1"/>
    <col min="5647" max="5647" width="12.53515625" customWidth="1"/>
    <col min="5648" max="5648" width="6.3046875" customWidth="1"/>
    <col min="5649" max="5649" width="41.53515625" customWidth="1"/>
    <col min="5650" max="5650" width="8.53515625" customWidth="1"/>
    <col min="5651" max="5652" width="6.3046875" customWidth="1"/>
    <col min="5653" max="5653" width="6.69140625" customWidth="1"/>
    <col min="5654" max="5654" width="12.69140625" customWidth="1"/>
    <col min="5655" max="5655" width="14.53515625" customWidth="1"/>
    <col min="5656" max="5660" width="12.69140625" customWidth="1"/>
    <col min="5900" max="5900" width="8.15234375" customWidth="1"/>
    <col min="5901" max="5901" width="53.3828125" customWidth="1"/>
    <col min="5902" max="5902" width="22.3046875" customWidth="1"/>
    <col min="5903" max="5903" width="12.53515625" customWidth="1"/>
    <col min="5904" max="5904" width="6.3046875" customWidth="1"/>
    <col min="5905" max="5905" width="41.53515625" customWidth="1"/>
    <col min="5906" max="5906" width="8.53515625" customWidth="1"/>
    <col min="5907" max="5908" width="6.3046875" customWidth="1"/>
    <col min="5909" max="5909" width="6.69140625" customWidth="1"/>
    <col min="5910" max="5910" width="12.69140625" customWidth="1"/>
    <col min="5911" max="5911" width="14.53515625" customWidth="1"/>
    <col min="5912" max="5916" width="12.69140625" customWidth="1"/>
    <col min="6156" max="6156" width="8.15234375" customWidth="1"/>
    <col min="6157" max="6157" width="53.3828125" customWidth="1"/>
    <col min="6158" max="6158" width="22.3046875" customWidth="1"/>
    <col min="6159" max="6159" width="12.53515625" customWidth="1"/>
    <col min="6160" max="6160" width="6.3046875" customWidth="1"/>
    <col min="6161" max="6161" width="41.53515625" customWidth="1"/>
    <col min="6162" max="6162" width="8.53515625" customWidth="1"/>
    <col min="6163" max="6164" width="6.3046875" customWidth="1"/>
    <col min="6165" max="6165" width="6.69140625" customWidth="1"/>
    <col min="6166" max="6166" width="12.69140625" customWidth="1"/>
    <col min="6167" max="6167" width="14.53515625" customWidth="1"/>
    <col min="6168" max="6172" width="12.69140625" customWidth="1"/>
    <col min="6412" max="6412" width="8.15234375" customWidth="1"/>
    <col min="6413" max="6413" width="53.3828125" customWidth="1"/>
    <col min="6414" max="6414" width="22.3046875" customWidth="1"/>
    <col min="6415" max="6415" width="12.53515625" customWidth="1"/>
    <col min="6416" max="6416" width="6.3046875" customWidth="1"/>
    <col min="6417" max="6417" width="41.53515625" customWidth="1"/>
    <col min="6418" max="6418" width="8.53515625" customWidth="1"/>
    <col min="6419" max="6420" width="6.3046875" customWidth="1"/>
    <col min="6421" max="6421" width="6.69140625" customWidth="1"/>
    <col min="6422" max="6422" width="12.69140625" customWidth="1"/>
    <col min="6423" max="6423" width="14.53515625" customWidth="1"/>
    <col min="6424" max="6428" width="12.69140625" customWidth="1"/>
    <col min="6668" max="6668" width="8.15234375" customWidth="1"/>
    <col min="6669" max="6669" width="53.3828125" customWidth="1"/>
    <col min="6670" max="6670" width="22.3046875" customWidth="1"/>
    <col min="6671" max="6671" width="12.53515625" customWidth="1"/>
    <col min="6672" max="6672" width="6.3046875" customWidth="1"/>
    <col min="6673" max="6673" width="41.53515625" customWidth="1"/>
    <col min="6674" max="6674" width="8.53515625" customWidth="1"/>
    <col min="6675" max="6676" width="6.3046875" customWidth="1"/>
    <col min="6677" max="6677" width="6.69140625" customWidth="1"/>
    <col min="6678" max="6678" width="12.69140625" customWidth="1"/>
    <col min="6679" max="6679" width="14.53515625" customWidth="1"/>
    <col min="6680" max="6684" width="12.69140625" customWidth="1"/>
    <col min="6924" max="6924" width="8.15234375" customWidth="1"/>
    <col min="6925" max="6925" width="53.3828125" customWidth="1"/>
    <col min="6926" max="6926" width="22.3046875" customWidth="1"/>
    <col min="6927" max="6927" width="12.53515625" customWidth="1"/>
    <col min="6928" max="6928" width="6.3046875" customWidth="1"/>
    <col min="6929" max="6929" width="41.53515625" customWidth="1"/>
    <col min="6930" max="6930" width="8.53515625" customWidth="1"/>
    <col min="6931" max="6932" width="6.3046875" customWidth="1"/>
    <col min="6933" max="6933" width="6.69140625" customWidth="1"/>
    <col min="6934" max="6934" width="12.69140625" customWidth="1"/>
    <col min="6935" max="6935" width="14.53515625" customWidth="1"/>
    <col min="6936" max="6940" width="12.69140625" customWidth="1"/>
    <col min="7180" max="7180" width="8.15234375" customWidth="1"/>
    <col min="7181" max="7181" width="53.3828125" customWidth="1"/>
    <col min="7182" max="7182" width="22.3046875" customWidth="1"/>
    <col min="7183" max="7183" width="12.53515625" customWidth="1"/>
    <col min="7184" max="7184" width="6.3046875" customWidth="1"/>
    <col min="7185" max="7185" width="41.53515625" customWidth="1"/>
    <col min="7186" max="7186" width="8.53515625" customWidth="1"/>
    <col min="7187" max="7188" width="6.3046875" customWidth="1"/>
    <col min="7189" max="7189" width="6.69140625" customWidth="1"/>
    <col min="7190" max="7190" width="12.69140625" customWidth="1"/>
    <col min="7191" max="7191" width="14.53515625" customWidth="1"/>
    <col min="7192" max="7196" width="12.69140625" customWidth="1"/>
    <col min="7436" max="7436" width="8.15234375" customWidth="1"/>
    <col min="7437" max="7437" width="53.3828125" customWidth="1"/>
    <col min="7438" max="7438" width="22.3046875" customWidth="1"/>
    <col min="7439" max="7439" width="12.53515625" customWidth="1"/>
    <col min="7440" max="7440" width="6.3046875" customWidth="1"/>
    <col min="7441" max="7441" width="41.53515625" customWidth="1"/>
    <col min="7442" max="7442" width="8.53515625" customWidth="1"/>
    <col min="7443" max="7444" width="6.3046875" customWidth="1"/>
    <col min="7445" max="7445" width="6.69140625" customWidth="1"/>
    <col min="7446" max="7446" width="12.69140625" customWidth="1"/>
    <col min="7447" max="7447" width="14.53515625" customWidth="1"/>
    <col min="7448" max="7452" width="12.69140625" customWidth="1"/>
    <col min="7692" max="7692" width="8.15234375" customWidth="1"/>
    <col min="7693" max="7693" width="53.3828125" customWidth="1"/>
    <col min="7694" max="7694" width="22.3046875" customWidth="1"/>
    <col min="7695" max="7695" width="12.53515625" customWidth="1"/>
    <col min="7696" max="7696" width="6.3046875" customWidth="1"/>
    <col min="7697" max="7697" width="41.53515625" customWidth="1"/>
    <col min="7698" max="7698" width="8.53515625" customWidth="1"/>
    <col min="7699" max="7700" width="6.3046875" customWidth="1"/>
    <col min="7701" max="7701" width="6.69140625" customWidth="1"/>
    <col min="7702" max="7702" width="12.69140625" customWidth="1"/>
    <col min="7703" max="7703" width="14.53515625" customWidth="1"/>
    <col min="7704" max="7708" width="12.69140625" customWidth="1"/>
    <col min="7948" max="7948" width="8.15234375" customWidth="1"/>
    <col min="7949" max="7949" width="53.3828125" customWidth="1"/>
    <col min="7950" max="7950" width="22.3046875" customWidth="1"/>
    <col min="7951" max="7951" width="12.53515625" customWidth="1"/>
    <col min="7952" max="7952" width="6.3046875" customWidth="1"/>
    <col min="7953" max="7953" width="41.53515625" customWidth="1"/>
    <col min="7954" max="7954" width="8.53515625" customWidth="1"/>
    <col min="7955" max="7956" width="6.3046875" customWidth="1"/>
    <col min="7957" max="7957" width="6.69140625" customWidth="1"/>
    <col min="7958" max="7958" width="12.69140625" customWidth="1"/>
    <col min="7959" max="7959" width="14.53515625" customWidth="1"/>
    <col min="7960" max="7964" width="12.69140625" customWidth="1"/>
    <col min="8204" max="8204" width="8.15234375" customWidth="1"/>
    <col min="8205" max="8205" width="53.3828125" customWidth="1"/>
    <col min="8206" max="8206" width="22.3046875" customWidth="1"/>
    <col min="8207" max="8207" width="12.53515625" customWidth="1"/>
    <col min="8208" max="8208" width="6.3046875" customWidth="1"/>
    <col min="8209" max="8209" width="41.53515625" customWidth="1"/>
    <col min="8210" max="8210" width="8.53515625" customWidth="1"/>
    <col min="8211" max="8212" width="6.3046875" customWidth="1"/>
    <col min="8213" max="8213" width="6.69140625" customWidth="1"/>
    <col min="8214" max="8214" width="12.69140625" customWidth="1"/>
    <col min="8215" max="8215" width="14.53515625" customWidth="1"/>
    <col min="8216" max="8220" width="12.69140625" customWidth="1"/>
    <col min="8460" max="8460" width="8.15234375" customWidth="1"/>
    <col min="8461" max="8461" width="53.3828125" customWidth="1"/>
    <col min="8462" max="8462" width="22.3046875" customWidth="1"/>
    <col min="8463" max="8463" width="12.53515625" customWidth="1"/>
    <col min="8464" max="8464" width="6.3046875" customWidth="1"/>
    <col min="8465" max="8465" width="41.53515625" customWidth="1"/>
    <col min="8466" max="8466" width="8.53515625" customWidth="1"/>
    <col min="8467" max="8468" width="6.3046875" customWidth="1"/>
    <col min="8469" max="8469" width="6.69140625" customWidth="1"/>
    <col min="8470" max="8470" width="12.69140625" customWidth="1"/>
    <col min="8471" max="8471" width="14.53515625" customWidth="1"/>
    <col min="8472" max="8476" width="12.69140625" customWidth="1"/>
    <col min="8716" max="8716" width="8.15234375" customWidth="1"/>
    <col min="8717" max="8717" width="53.3828125" customWidth="1"/>
    <col min="8718" max="8718" width="22.3046875" customWidth="1"/>
    <col min="8719" max="8719" width="12.53515625" customWidth="1"/>
    <col min="8720" max="8720" width="6.3046875" customWidth="1"/>
    <col min="8721" max="8721" width="41.53515625" customWidth="1"/>
    <col min="8722" max="8722" width="8.53515625" customWidth="1"/>
    <col min="8723" max="8724" width="6.3046875" customWidth="1"/>
    <col min="8725" max="8725" width="6.69140625" customWidth="1"/>
    <col min="8726" max="8726" width="12.69140625" customWidth="1"/>
    <col min="8727" max="8727" width="14.53515625" customWidth="1"/>
    <col min="8728" max="8732" width="12.69140625" customWidth="1"/>
    <col min="8972" max="8972" width="8.15234375" customWidth="1"/>
    <col min="8973" max="8973" width="53.3828125" customWidth="1"/>
    <col min="8974" max="8974" width="22.3046875" customWidth="1"/>
    <col min="8975" max="8975" width="12.53515625" customWidth="1"/>
    <col min="8976" max="8976" width="6.3046875" customWidth="1"/>
    <col min="8977" max="8977" width="41.53515625" customWidth="1"/>
    <col min="8978" max="8978" width="8.53515625" customWidth="1"/>
    <col min="8979" max="8980" width="6.3046875" customWidth="1"/>
    <col min="8981" max="8981" width="6.69140625" customWidth="1"/>
    <col min="8982" max="8982" width="12.69140625" customWidth="1"/>
    <col min="8983" max="8983" width="14.53515625" customWidth="1"/>
    <col min="8984" max="8988" width="12.69140625" customWidth="1"/>
    <col min="9228" max="9228" width="8.15234375" customWidth="1"/>
    <col min="9229" max="9229" width="53.3828125" customWidth="1"/>
    <col min="9230" max="9230" width="22.3046875" customWidth="1"/>
    <col min="9231" max="9231" width="12.53515625" customWidth="1"/>
    <col min="9232" max="9232" width="6.3046875" customWidth="1"/>
    <col min="9233" max="9233" width="41.53515625" customWidth="1"/>
    <col min="9234" max="9234" width="8.53515625" customWidth="1"/>
    <col min="9235" max="9236" width="6.3046875" customWidth="1"/>
    <col min="9237" max="9237" width="6.69140625" customWidth="1"/>
    <col min="9238" max="9238" width="12.69140625" customWidth="1"/>
    <col min="9239" max="9239" width="14.53515625" customWidth="1"/>
    <col min="9240" max="9244" width="12.69140625" customWidth="1"/>
    <col min="9484" max="9484" width="8.15234375" customWidth="1"/>
    <col min="9485" max="9485" width="53.3828125" customWidth="1"/>
    <col min="9486" max="9486" width="22.3046875" customWidth="1"/>
    <col min="9487" max="9487" width="12.53515625" customWidth="1"/>
    <col min="9488" max="9488" width="6.3046875" customWidth="1"/>
    <col min="9489" max="9489" width="41.53515625" customWidth="1"/>
    <col min="9490" max="9490" width="8.53515625" customWidth="1"/>
    <col min="9491" max="9492" width="6.3046875" customWidth="1"/>
    <col min="9493" max="9493" width="6.69140625" customWidth="1"/>
    <col min="9494" max="9494" width="12.69140625" customWidth="1"/>
    <col min="9495" max="9495" width="14.53515625" customWidth="1"/>
    <col min="9496" max="9500" width="12.69140625" customWidth="1"/>
    <col min="9740" max="9740" width="8.15234375" customWidth="1"/>
    <col min="9741" max="9741" width="53.3828125" customWidth="1"/>
    <col min="9742" max="9742" width="22.3046875" customWidth="1"/>
    <col min="9743" max="9743" width="12.53515625" customWidth="1"/>
    <col min="9744" max="9744" width="6.3046875" customWidth="1"/>
    <col min="9745" max="9745" width="41.53515625" customWidth="1"/>
    <col min="9746" max="9746" width="8.53515625" customWidth="1"/>
    <col min="9747" max="9748" width="6.3046875" customWidth="1"/>
    <col min="9749" max="9749" width="6.69140625" customWidth="1"/>
    <col min="9750" max="9750" width="12.69140625" customWidth="1"/>
    <col min="9751" max="9751" width="14.53515625" customWidth="1"/>
    <col min="9752" max="9756" width="12.69140625" customWidth="1"/>
    <col min="9996" max="9996" width="8.15234375" customWidth="1"/>
    <col min="9997" max="9997" width="53.3828125" customWidth="1"/>
    <col min="9998" max="9998" width="22.3046875" customWidth="1"/>
    <col min="9999" max="9999" width="12.53515625" customWidth="1"/>
    <col min="10000" max="10000" width="6.3046875" customWidth="1"/>
    <col min="10001" max="10001" width="41.53515625" customWidth="1"/>
    <col min="10002" max="10002" width="8.53515625" customWidth="1"/>
    <col min="10003" max="10004" width="6.3046875" customWidth="1"/>
    <col min="10005" max="10005" width="6.69140625" customWidth="1"/>
    <col min="10006" max="10006" width="12.69140625" customWidth="1"/>
    <col min="10007" max="10007" width="14.53515625" customWidth="1"/>
    <col min="10008" max="10012" width="12.69140625" customWidth="1"/>
    <col min="10252" max="10252" width="8.15234375" customWidth="1"/>
    <col min="10253" max="10253" width="53.3828125" customWidth="1"/>
    <col min="10254" max="10254" width="22.3046875" customWidth="1"/>
    <col min="10255" max="10255" width="12.53515625" customWidth="1"/>
    <col min="10256" max="10256" width="6.3046875" customWidth="1"/>
    <col min="10257" max="10257" width="41.53515625" customWidth="1"/>
    <col min="10258" max="10258" width="8.53515625" customWidth="1"/>
    <col min="10259" max="10260" width="6.3046875" customWidth="1"/>
    <col min="10261" max="10261" width="6.69140625" customWidth="1"/>
    <col min="10262" max="10262" width="12.69140625" customWidth="1"/>
    <col min="10263" max="10263" width="14.53515625" customWidth="1"/>
    <col min="10264" max="10268" width="12.69140625" customWidth="1"/>
    <col min="10508" max="10508" width="8.15234375" customWidth="1"/>
    <col min="10509" max="10509" width="53.3828125" customWidth="1"/>
    <col min="10510" max="10510" width="22.3046875" customWidth="1"/>
    <col min="10511" max="10511" width="12.53515625" customWidth="1"/>
    <col min="10512" max="10512" width="6.3046875" customWidth="1"/>
    <col min="10513" max="10513" width="41.53515625" customWidth="1"/>
    <col min="10514" max="10514" width="8.53515625" customWidth="1"/>
    <col min="10515" max="10516" width="6.3046875" customWidth="1"/>
    <col min="10517" max="10517" width="6.69140625" customWidth="1"/>
    <col min="10518" max="10518" width="12.69140625" customWidth="1"/>
    <col min="10519" max="10519" width="14.53515625" customWidth="1"/>
    <col min="10520" max="10524" width="12.69140625" customWidth="1"/>
    <col min="10764" max="10764" width="8.15234375" customWidth="1"/>
    <col min="10765" max="10765" width="53.3828125" customWidth="1"/>
    <col min="10766" max="10766" width="22.3046875" customWidth="1"/>
    <col min="10767" max="10767" width="12.53515625" customWidth="1"/>
    <col min="10768" max="10768" width="6.3046875" customWidth="1"/>
    <col min="10769" max="10769" width="41.53515625" customWidth="1"/>
    <col min="10770" max="10770" width="8.53515625" customWidth="1"/>
    <col min="10771" max="10772" width="6.3046875" customWidth="1"/>
    <col min="10773" max="10773" width="6.69140625" customWidth="1"/>
    <col min="10774" max="10774" width="12.69140625" customWidth="1"/>
    <col min="10775" max="10775" width="14.53515625" customWidth="1"/>
    <col min="10776" max="10780" width="12.69140625" customWidth="1"/>
    <col min="11020" max="11020" width="8.15234375" customWidth="1"/>
    <col min="11021" max="11021" width="53.3828125" customWidth="1"/>
    <col min="11022" max="11022" width="22.3046875" customWidth="1"/>
    <col min="11023" max="11023" width="12.53515625" customWidth="1"/>
    <col min="11024" max="11024" width="6.3046875" customWidth="1"/>
    <col min="11025" max="11025" width="41.53515625" customWidth="1"/>
    <col min="11026" max="11026" width="8.53515625" customWidth="1"/>
    <col min="11027" max="11028" width="6.3046875" customWidth="1"/>
    <col min="11029" max="11029" width="6.69140625" customWidth="1"/>
    <col min="11030" max="11030" width="12.69140625" customWidth="1"/>
    <col min="11031" max="11031" width="14.53515625" customWidth="1"/>
    <col min="11032" max="11036" width="12.69140625" customWidth="1"/>
    <col min="11276" max="11276" width="8.15234375" customWidth="1"/>
    <col min="11277" max="11277" width="53.3828125" customWidth="1"/>
    <col min="11278" max="11278" width="22.3046875" customWidth="1"/>
    <col min="11279" max="11279" width="12.53515625" customWidth="1"/>
    <col min="11280" max="11280" width="6.3046875" customWidth="1"/>
    <col min="11281" max="11281" width="41.53515625" customWidth="1"/>
    <col min="11282" max="11282" width="8.53515625" customWidth="1"/>
    <col min="11283" max="11284" width="6.3046875" customWidth="1"/>
    <col min="11285" max="11285" width="6.69140625" customWidth="1"/>
    <col min="11286" max="11286" width="12.69140625" customWidth="1"/>
    <col min="11287" max="11287" width="14.53515625" customWidth="1"/>
    <col min="11288" max="11292" width="12.69140625" customWidth="1"/>
    <col min="11532" max="11532" width="8.15234375" customWidth="1"/>
    <col min="11533" max="11533" width="53.3828125" customWidth="1"/>
    <col min="11534" max="11534" width="22.3046875" customWidth="1"/>
    <col min="11535" max="11535" width="12.53515625" customWidth="1"/>
    <col min="11536" max="11536" width="6.3046875" customWidth="1"/>
    <col min="11537" max="11537" width="41.53515625" customWidth="1"/>
    <col min="11538" max="11538" width="8.53515625" customWidth="1"/>
    <col min="11539" max="11540" width="6.3046875" customWidth="1"/>
    <col min="11541" max="11541" width="6.69140625" customWidth="1"/>
    <col min="11542" max="11542" width="12.69140625" customWidth="1"/>
    <col min="11543" max="11543" width="14.53515625" customWidth="1"/>
    <col min="11544" max="11548" width="12.69140625" customWidth="1"/>
    <col min="11788" max="11788" width="8.15234375" customWidth="1"/>
    <col min="11789" max="11789" width="53.3828125" customWidth="1"/>
    <col min="11790" max="11790" width="22.3046875" customWidth="1"/>
    <col min="11791" max="11791" width="12.53515625" customWidth="1"/>
    <col min="11792" max="11792" width="6.3046875" customWidth="1"/>
    <col min="11793" max="11793" width="41.53515625" customWidth="1"/>
    <col min="11794" max="11794" width="8.53515625" customWidth="1"/>
    <col min="11795" max="11796" width="6.3046875" customWidth="1"/>
    <col min="11797" max="11797" width="6.69140625" customWidth="1"/>
    <col min="11798" max="11798" width="12.69140625" customWidth="1"/>
    <col min="11799" max="11799" width="14.53515625" customWidth="1"/>
    <col min="11800" max="11804" width="12.69140625" customWidth="1"/>
    <col min="12044" max="12044" width="8.15234375" customWidth="1"/>
    <col min="12045" max="12045" width="53.3828125" customWidth="1"/>
    <col min="12046" max="12046" width="22.3046875" customWidth="1"/>
    <col min="12047" max="12047" width="12.53515625" customWidth="1"/>
    <col min="12048" max="12048" width="6.3046875" customWidth="1"/>
    <col min="12049" max="12049" width="41.53515625" customWidth="1"/>
    <col min="12050" max="12050" width="8.53515625" customWidth="1"/>
    <col min="12051" max="12052" width="6.3046875" customWidth="1"/>
    <col min="12053" max="12053" width="6.69140625" customWidth="1"/>
    <col min="12054" max="12054" width="12.69140625" customWidth="1"/>
    <col min="12055" max="12055" width="14.53515625" customWidth="1"/>
    <col min="12056" max="12060" width="12.69140625" customWidth="1"/>
    <col min="12300" max="12300" width="8.15234375" customWidth="1"/>
    <col min="12301" max="12301" width="53.3828125" customWidth="1"/>
    <col min="12302" max="12302" width="22.3046875" customWidth="1"/>
    <col min="12303" max="12303" width="12.53515625" customWidth="1"/>
    <col min="12304" max="12304" width="6.3046875" customWidth="1"/>
    <col min="12305" max="12305" width="41.53515625" customWidth="1"/>
    <col min="12306" max="12306" width="8.53515625" customWidth="1"/>
    <col min="12307" max="12308" width="6.3046875" customWidth="1"/>
    <col min="12309" max="12309" width="6.69140625" customWidth="1"/>
    <col min="12310" max="12310" width="12.69140625" customWidth="1"/>
    <col min="12311" max="12311" width="14.53515625" customWidth="1"/>
    <col min="12312" max="12316" width="12.69140625" customWidth="1"/>
    <col min="12556" max="12556" width="8.15234375" customWidth="1"/>
    <col min="12557" max="12557" width="53.3828125" customWidth="1"/>
    <col min="12558" max="12558" width="22.3046875" customWidth="1"/>
    <col min="12559" max="12559" width="12.53515625" customWidth="1"/>
    <col min="12560" max="12560" width="6.3046875" customWidth="1"/>
    <col min="12561" max="12561" width="41.53515625" customWidth="1"/>
    <col min="12562" max="12562" width="8.53515625" customWidth="1"/>
    <col min="12563" max="12564" width="6.3046875" customWidth="1"/>
    <col min="12565" max="12565" width="6.69140625" customWidth="1"/>
    <col min="12566" max="12566" width="12.69140625" customWidth="1"/>
    <col min="12567" max="12567" width="14.53515625" customWidth="1"/>
    <col min="12568" max="12572" width="12.69140625" customWidth="1"/>
    <col min="12812" max="12812" width="8.15234375" customWidth="1"/>
    <col min="12813" max="12813" width="53.3828125" customWidth="1"/>
    <col min="12814" max="12814" width="22.3046875" customWidth="1"/>
    <col min="12815" max="12815" width="12.53515625" customWidth="1"/>
    <col min="12816" max="12816" width="6.3046875" customWidth="1"/>
    <col min="12817" max="12817" width="41.53515625" customWidth="1"/>
    <col min="12818" max="12818" width="8.53515625" customWidth="1"/>
    <col min="12819" max="12820" width="6.3046875" customWidth="1"/>
    <col min="12821" max="12821" width="6.69140625" customWidth="1"/>
    <col min="12822" max="12822" width="12.69140625" customWidth="1"/>
    <col min="12823" max="12823" width="14.53515625" customWidth="1"/>
    <col min="12824" max="12828" width="12.69140625" customWidth="1"/>
    <col min="13068" max="13068" width="8.15234375" customWidth="1"/>
    <col min="13069" max="13069" width="53.3828125" customWidth="1"/>
    <col min="13070" max="13070" width="22.3046875" customWidth="1"/>
    <col min="13071" max="13071" width="12.53515625" customWidth="1"/>
    <col min="13072" max="13072" width="6.3046875" customWidth="1"/>
    <col min="13073" max="13073" width="41.53515625" customWidth="1"/>
    <col min="13074" max="13074" width="8.53515625" customWidth="1"/>
    <col min="13075" max="13076" width="6.3046875" customWidth="1"/>
    <col min="13077" max="13077" width="6.69140625" customWidth="1"/>
    <col min="13078" max="13078" width="12.69140625" customWidth="1"/>
    <col min="13079" max="13079" width="14.53515625" customWidth="1"/>
    <col min="13080" max="13084" width="12.69140625" customWidth="1"/>
    <col min="13324" max="13324" width="8.15234375" customWidth="1"/>
    <col min="13325" max="13325" width="53.3828125" customWidth="1"/>
    <col min="13326" max="13326" width="22.3046875" customWidth="1"/>
    <col min="13327" max="13327" width="12.53515625" customWidth="1"/>
    <col min="13328" max="13328" width="6.3046875" customWidth="1"/>
    <col min="13329" max="13329" width="41.53515625" customWidth="1"/>
    <col min="13330" max="13330" width="8.53515625" customWidth="1"/>
    <col min="13331" max="13332" width="6.3046875" customWidth="1"/>
    <col min="13333" max="13333" width="6.69140625" customWidth="1"/>
    <col min="13334" max="13334" width="12.69140625" customWidth="1"/>
    <col min="13335" max="13335" width="14.53515625" customWidth="1"/>
    <col min="13336" max="13340" width="12.69140625" customWidth="1"/>
    <col min="13580" max="13580" width="8.15234375" customWidth="1"/>
    <col min="13581" max="13581" width="53.3828125" customWidth="1"/>
    <col min="13582" max="13582" width="22.3046875" customWidth="1"/>
    <col min="13583" max="13583" width="12.53515625" customWidth="1"/>
    <col min="13584" max="13584" width="6.3046875" customWidth="1"/>
    <col min="13585" max="13585" width="41.53515625" customWidth="1"/>
    <col min="13586" max="13586" width="8.53515625" customWidth="1"/>
    <col min="13587" max="13588" width="6.3046875" customWidth="1"/>
    <col min="13589" max="13589" width="6.69140625" customWidth="1"/>
    <col min="13590" max="13590" width="12.69140625" customWidth="1"/>
    <col min="13591" max="13591" width="14.53515625" customWidth="1"/>
    <col min="13592" max="13596" width="12.69140625" customWidth="1"/>
    <col min="13836" max="13836" width="8.15234375" customWidth="1"/>
    <col min="13837" max="13837" width="53.3828125" customWidth="1"/>
    <col min="13838" max="13838" width="22.3046875" customWidth="1"/>
    <col min="13839" max="13839" width="12.53515625" customWidth="1"/>
    <col min="13840" max="13840" width="6.3046875" customWidth="1"/>
    <col min="13841" max="13841" width="41.53515625" customWidth="1"/>
    <col min="13842" max="13842" width="8.53515625" customWidth="1"/>
    <col min="13843" max="13844" width="6.3046875" customWidth="1"/>
    <col min="13845" max="13845" width="6.69140625" customWidth="1"/>
    <col min="13846" max="13846" width="12.69140625" customWidth="1"/>
    <col min="13847" max="13847" width="14.53515625" customWidth="1"/>
    <col min="13848" max="13852" width="12.69140625" customWidth="1"/>
    <col min="14092" max="14092" width="8.15234375" customWidth="1"/>
    <col min="14093" max="14093" width="53.3828125" customWidth="1"/>
    <col min="14094" max="14094" width="22.3046875" customWidth="1"/>
    <col min="14095" max="14095" width="12.53515625" customWidth="1"/>
    <col min="14096" max="14096" width="6.3046875" customWidth="1"/>
    <col min="14097" max="14097" width="41.53515625" customWidth="1"/>
    <col min="14098" max="14098" width="8.53515625" customWidth="1"/>
    <col min="14099" max="14100" width="6.3046875" customWidth="1"/>
    <col min="14101" max="14101" width="6.69140625" customWidth="1"/>
    <col min="14102" max="14102" width="12.69140625" customWidth="1"/>
    <col min="14103" max="14103" width="14.53515625" customWidth="1"/>
    <col min="14104" max="14108" width="12.69140625" customWidth="1"/>
    <col min="14348" max="14348" width="8.15234375" customWidth="1"/>
    <col min="14349" max="14349" width="53.3828125" customWidth="1"/>
    <col min="14350" max="14350" width="22.3046875" customWidth="1"/>
    <col min="14351" max="14351" width="12.53515625" customWidth="1"/>
    <col min="14352" max="14352" width="6.3046875" customWidth="1"/>
    <col min="14353" max="14353" width="41.53515625" customWidth="1"/>
    <col min="14354" max="14354" width="8.53515625" customWidth="1"/>
    <col min="14355" max="14356" width="6.3046875" customWidth="1"/>
    <col min="14357" max="14357" width="6.69140625" customWidth="1"/>
    <col min="14358" max="14358" width="12.69140625" customWidth="1"/>
    <col min="14359" max="14359" width="14.53515625" customWidth="1"/>
    <col min="14360" max="14364" width="12.69140625" customWidth="1"/>
    <col min="14604" max="14604" width="8.15234375" customWidth="1"/>
    <col min="14605" max="14605" width="53.3828125" customWidth="1"/>
    <col min="14606" max="14606" width="22.3046875" customWidth="1"/>
    <col min="14607" max="14607" width="12.53515625" customWidth="1"/>
    <col min="14608" max="14608" width="6.3046875" customWidth="1"/>
    <col min="14609" max="14609" width="41.53515625" customWidth="1"/>
    <col min="14610" max="14610" width="8.53515625" customWidth="1"/>
    <col min="14611" max="14612" width="6.3046875" customWidth="1"/>
    <col min="14613" max="14613" width="6.69140625" customWidth="1"/>
    <col min="14614" max="14614" width="12.69140625" customWidth="1"/>
    <col min="14615" max="14615" width="14.53515625" customWidth="1"/>
    <col min="14616" max="14620" width="12.69140625" customWidth="1"/>
    <col min="14860" max="14860" width="8.15234375" customWidth="1"/>
    <col min="14861" max="14861" width="53.3828125" customWidth="1"/>
    <col min="14862" max="14862" width="22.3046875" customWidth="1"/>
    <col min="14863" max="14863" width="12.53515625" customWidth="1"/>
    <col min="14864" max="14864" width="6.3046875" customWidth="1"/>
    <col min="14865" max="14865" width="41.53515625" customWidth="1"/>
    <col min="14866" max="14866" width="8.53515625" customWidth="1"/>
    <col min="14867" max="14868" width="6.3046875" customWidth="1"/>
    <col min="14869" max="14869" width="6.69140625" customWidth="1"/>
    <col min="14870" max="14870" width="12.69140625" customWidth="1"/>
    <col min="14871" max="14871" width="14.53515625" customWidth="1"/>
    <col min="14872" max="14876" width="12.69140625" customWidth="1"/>
    <col min="15116" max="15116" width="8.15234375" customWidth="1"/>
    <col min="15117" max="15117" width="53.3828125" customWidth="1"/>
    <col min="15118" max="15118" width="22.3046875" customWidth="1"/>
    <col min="15119" max="15119" width="12.53515625" customWidth="1"/>
    <col min="15120" max="15120" width="6.3046875" customWidth="1"/>
    <col min="15121" max="15121" width="41.53515625" customWidth="1"/>
    <col min="15122" max="15122" width="8.53515625" customWidth="1"/>
    <col min="15123" max="15124" width="6.3046875" customWidth="1"/>
    <col min="15125" max="15125" width="6.69140625" customWidth="1"/>
    <col min="15126" max="15126" width="12.69140625" customWidth="1"/>
    <col min="15127" max="15127" width="14.53515625" customWidth="1"/>
    <col min="15128" max="15132" width="12.69140625" customWidth="1"/>
    <col min="15372" max="15372" width="8.15234375" customWidth="1"/>
    <col min="15373" max="15373" width="53.3828125" customWidth="1"/>
    <col min="15374" max="15374" width="22.3046875" customWidth="1"/>
    <col min="15375" max="15375" width="12.53515625" customWidth="1"/>
    <col min="15376" max="15376" width="6.3046875" customWidth="1"/>
    <col min="15377" max="15377" width="41.53515625" customWidth="1"/>
    <col min="15378" max="15378" width="8.53515625" customWidth="1"/>
    <col min="15379" max="15380" width="6.3046875" customWidth="1"/>
    <col min="15381" max="15381" width="6.69140625" customWidth="1"/>
    <col min="15382" max="15382" width="12.69140625" customWidth="1"/>
    <col min="15383" max="15383" width="14.53515625" customWidth="1"/>
    <col min="15384" max="15388" width="12.69140625" customWidth="1"/>
    <col min="15628" max="15628" width="8.15234375" customWidth="1"/>
    <col min="15629" max="15629" width="53.3828125" customWidth="1"/>
    <col min="15630" max="15630" width="22.3046875" customWidth="1"/>
    <col min="15631" max="15631" width="12.53515625" customWidth="1"/>
    <col min="15632" max="15632" width="6.3046875" customWidth="1"/>
    <col min="15633" max="15633" width="41.53515625" customWidth="1"/>
    <col min="15634" max="15634" width="8.53515625" customWidth="1"/>
    <col min="15635" max="15636" width="6.3046875" customWidth="1"/>
    <col min="15637" max="15637" width="6.69140625" customWidth="1"/>
    <col min="15638" max="15638" width="12.69140625" customWidth="1"/>
    <col min="15639" max="15639" width="14.53515625" customWidth="1"/>
    <col min="15640" max="15644" width="12.69140625" customWidth="1"/>
    <col min="15884" max="15884" width="8.15234375" customWidth="1"/>
    <col min="15885" max="15885" width="53.3828125" customWidth="1"/>
    <col min="15886" max="15886" width="22.3046875" customWidth="1"/>
    <col min="15887" max="15887" width="12.53515625" customWidth="1"/>
    <col min="15888" max="15888" width="6.3046875" customWidth="1"/>
    <col min="15889" max="15889" width="41.53515625" customWidth="1"/>
    <col min="15890" max="15890" width="8.53515625" customWidth="1"/>
    <col min="15891" max="15892" width="6.3046875" customWidth="1"/>
    <col min="15893" max="15893" width="6.69140625" customWidth="1"/>
    <col min="15894" max="15894" width="12.69140625" customWidth="1"/>
    <col min="15895" max="15895" width="14.53515625" customWidth="1"/>
    <col min="15896" max="15900" width="12.69140625" customWidth="1"/>
    <col min="16140" max="16140" width="8.15234375" customWidth="1"/>
    <col min="16141" max="16141" width="53.3828125" customWidth="1"/>
    <col min="16142" max="16142" width="22.3046875" customWidth="1"/>
    <col min="16143" max="16143" width="12.53515625" customWidth="1"/>
    <col min="16144" max="16144" width="6.3046875" customWidth="1"/>
    <col min="16145" max="16145" width="41.53515625" customWidth="1"/>
    <col min="16146" max="16146" width="8.53515625" customWidth="1"/>
    <col min="16147" max="16148" width="6.3046875" customWidth="1"/>
    <col min="16149" max="16149" width="6.69140625" customWidth="1"/>
    <col min="16150" max="16150" width="12.69140625" customWidth="1"/>
    <col min="16151" max="16151" width="14.53515625" customWidth="1"/>
    <col min="16152" max="16156" width="12.69140625" customWidth="1"/>
  </cols>
  <sheetData>
    <row r="1" spans="2:25" s="687" customFormat="1" ht="24.9" x14ac:dyDescent="0.55000000000000004">
      <c r="B1" s="686" t="s">
        <v>1030</v>
      </c>
      <c r="C1" s="1823"/>
      <c r="D1" s="79"/>
      <c r="E1" s="79"/>
      <c r="F1" s="79"/>
      <c r="G1" s="79"/>
      <c r="H1" s="79"/>
      <c r="I1" s="79"/>
      <c r="J1" s="79"/>
      <c r="K1" s="79"/>
      <c r="L1" s="79"/>
      <c r="M1" s="79"/>
      <c r="N1" s="79"/>
      <c r="O1" s="79"/>
      <c r="P1" s="79"/>
      <c r="Q1" s="79"/>
      <c r="R1" s="3360"/>
      <c r="S1" s="3425"/>
      <c r="T1" s="3425"/>
      <c r="U1" s="3425"/>
      <c r="V1" s="3425"/>
      <c r="W1" s="3425"/>
      <c r="X1" s="3425"/>
      <c r="Y1" s="2424"/>
    </row>
    <row r="2" spans="2:25" ht="15" thickBot="1" x14ac:dyDescent="0.45"/>
    <row r="3" spans="2:25" ht="20.6" thickBot="1" x14ac:dyDescent="0.55000000000000004">
      <c r="B3" s="690" t="s">
        <v>1031</v>
      </c>
      <c r="C3" s="1824"/>
      <c r="D3" s="692"/>
      <c r="E3" s="692"/>
      <c r="F3" s="692"/>
      <c r="G3" s="692"/>
      <c r="H3" s="692"/>
      <c r="I3" s="692"/>
      <c r="J3" s="692"/>
      <c r="K3" s="692"/>
      <c r="L3" s="692"/>
      <c r="M3" s="692"/>
      <c r="N3" s="692"/>
      <c r="O3" s="692"/>
      <c r="P3" s="693"/>
      <c r="Q3" s="690" t="s">
        <v>2656</v>
      </c>
      <c r="R3" s="3361"/>
      <c r="S3" s="3426"/>
      <c r="T3" s="3426"/>
      <c r="U3" s="3427"/>
      <c r="V3" s="3428"/>
    </row>
    <row r="4" spans="2:25" ht="20.149999999999999" x14ac:dyDescent="0.5">
      <c r="B4" s="698" t="s">
        <v>1033</v>
      </c>
      <c r="C4" s="1825"/>
      <c r="D4" s="700"/>
      <c r="E4" s="701"/>
      <c r="F4" s="700"/>
      <c r="G4" s="700"/>
      <c r="H4" s="702"/>
      <c r="I4" s="700"/>
      <c r="J4" s="700"/>
      <c r="K4" s="700"/>
      <c r="L4" s="703"/>
      <c r="M4" s="700"/>
      <c r="N4" s="700"/>
      <c r="O4" s="700"/>
      <c r="P4" s="700"/>
      <c r="U4" s="3429"/>
      <c r="V4" s="3429"/>
      <c r="W4" s="3429"/>
      <c r="X4" s="3429"/>
    </row>
    <row r="5" spans="2:25" x14ac:dyDescent="0.4">
      <c r="B5" s="704" t="s">
        <v>1034</v>
      </c>
      <c r="C5" s="1826"/>
    </row>
    <row r="6" spans="2:25" x14ac:dyDescent="0.4">
      <c r="B6" s="704" t="s">
        <v>1035</v>
      </c>
      <c r="C6" s="1826"/>
    </row>
    <row r="7" spans="2:25" x14ac:dyDescent="0.4">
      <c r="B7" s="704" t="s">
        <v>1036</v>
      </c>
      <c r="C7" s="1826"/>
      <c r="O7" s="7"/>
      <c r="P7" s="7"/>
      <c r="Q7" s="7"/>
      <c r="X7" s="3429"/>
    </row>
    <row r="8" spans="2:25" x14ac:dyDescent="0.4">
      <c r="B8" s="704" t="s">
        <v>1037</v>
      </c>
      <c r="C8" s="1826"/>
      <c r="L8" s="19"/>
      <c r="M8" s="705"/>
      <c r="N8" s="705"/>
      <c r="O8" s="700"/>
      <c r="P8" s="700"/>
      <c r="Q8" s="700"/>
      <c r="X8" s="3428"/>
    </row>
    <row r="9" spans="2:25" x14ac:dyDescent="0.4">
      <c r="B9" s="704" t="s">
        <v>1038</v>
      </c>
      <c r="C9" s="1826"/>
      <c r="L9" s="19"/>
      <c r="M9" s="706"/>
      <c r="N9" s="706"/>
      <c r="O9" s="706"/>
      <c r="P9" s="706"/>
      <c r="Q9" s="706"/>
      <c r="X9" s="3430"/>
    </row>
    <row r="10" spans="2:25" x14ac:dyDescent="0.4">
      <c r="B10" s="704" t="s">
        <v>1039</v>
      </c>
      <c r="C10" s="1826"/>
      <c r="L10" s="707"/>
      <c r="M10" s="290"/>
      <c r="N10" s="290"/>
      <c r="O10" s="290"/>
      <c r="P10" s="290"/>
      <c r="Q10" s="290"/>
      <c r="X10" s="3429"/>
    </row>
    <row r="11" spans="2:25" x14ac:dyDescent="0.4">
      <c r="B11" s="704" t="s">
        <v>1040</v>
      </c>
      <c r="C11" s="1826"/>
      <c r="L11" s="707"/>
      <c r="M11" s="290"/>
      <c r="N11" s="290"/>
      <c r="O11" s="290"/>
      <c r="P11" s="290"/>
      <c r="Q11" s="290"/>
      <c r="X11" s="3429"/>
    </row>
    <row r="12" spans="2:25" x14ac:dyDescent="0.4">
      <c r="B12" s="704" t="s">
        <v>2660</v>
      </c>
      <c r="C12" s="1826"/>
      <c r="L12" s="707"/>
      <c r="M12" s="290"/>
      <c r="N12" s="290"/>
      <c r="O12" s="290"/>
      <c r="P12" s="290"/>
      <c r="Q12" s="290"/>
      <c r="X12" s="3429"/>
    </row>
    <row r="13" spans="2:25" ht="20.149999999999999" x14ac:dyDescent="0.5">
      <c r="B13" s="698" t="s">
        <v>1041</v>
      </c>
      <c r="C13" s="1825"/>
      <c r="L13" s="707"/>
      <c r="M13" s="290"/>
      <c r="N13" s="290"/>
      <c r="O13" s="290"/>
      <c r="P13" s="290"/>
      <c r="Q13" s="290"/>
      <c r="X13" s="3429"/>
    </row>
    <row r="14" spans="2:25" x14ac:dyDescent="0.4">
      <c r="B14" s="704" t="s">
        <v>1042</v>
      </c>
      <c r="C14" s="1826"/>
      <c r="L14" s="707"/>
      <c r="M14" s="290"/>
      <c r="N14" s="290"/>
      <c r="O14" s="290"/>
      <c r="P14" s="290"/>
      <c r="Q14" s="290"/>
      <c r="X14" s="3429"/>
    </row>
    <row r="15" spans="2:25" x14ac:dyDescent="0.4">
      <c r="B15" s="704" t="s">
        <v>1043</v>
      </c>
      <c r="C15" s="1826"/>
      <c r="L15" s="707"/>
      <c r="M15" s="290"/>
      <c r="N15" s="290"/>
      <c r="O15" s="290"/>
      <c r="P15" s="290"/>
      <c r="Q15" s="290"/>
      <c r="X15" s="3429"/>
    </row>
    <row r="16" spans="2:25" x14ac:dyDescent="0.4">
      <c r="B16" s="704" t="s">
        <v>1036</v>
      </c>
      <c r="C16" s="1826"/>
      <c r="L16" s="707"/>
      <c r="M16" s="7"/>
      <c r="N16" s="7"/>
      <c r="O16" s="7"/>
      <c r="P16" s="7"/>
      <c r="Q16" s="7"/>
      <c r="X16" s="3429"/>
    </row>
    <row r="17" spans="1:28" x14ac:dyDescent="0.4">
      <c r="B17" s="704" t="s">
        <v>1037</v>
      </c>
      <c r="C17" s="1826"/>
      <c r="L17" s="707"/>
      <c r="M17" s="7"/>
      <c r="N17" s="7"/>
      <c r="O17" s="7"/>
      <c r="P17" s="7"/>
      <c r="Q17" s="7"/>
    </row>
    <row r="18" spans="1:28" x14ac:dyDescent="0.4">
      <c r="B18" s="704"/>
      <c r="L18" s="707"/>
      <c r="M18" s="7"/>
      <c r="N18" s="7"/>
      <c r="O18" s="7"/>
      <c r="P18" s="7"/>
      <c r="Q18" s="7"/>
      <c r="R18" s="3362"/>
      <c r="S18" s="3431"/>
      <c r="T18" s="3431"/>
      <c r="U18" s="3429"/>
      <c r="V18" s="3429"/>
      <c r="W18" s="3429"/>
    </row>
    <row r="19" spans="1:28" ht="15" thickBot="1" x14ac:dyDescent="0.45">
      <c r="L19" s="707"/>
      <c r="M19" s="7"/>
      <c r="N19" s="7"/>
      <c r="W19" s="3428"/>
    </row>
    <row r="20" spans="1:28" ht="15" thickBot="1" x14ac:dyDescent="0.45">
      <c r="C20" s="1491"/>
      <c r="D20" s="3241" t="s">
        <v>23</v>
      </c>
      <c r="E20" s="3847" t="s">
        <v>1044</v>
      </c>
      <c r="F20" s="3848"/>
      <c r="G20" s="3848"/>
      <c r="H20" s="3848"/>
      <c r="I20" s="3849"/>
      <c r="L20" s="707"/>
      <c r="M20" s="7"/>
      <c r="N20" s="7"/>
    </row>
    <row r="21" spans="1:28" ht="15" thickBot="1" x14ac:dyDescent="0.45">
      <c r="C21" s="1830" t="s">
        <v>1045</v>
      </c>
      <c r="D21" s="1831">
        <v>1</v>
      </c>
      <c r="E21" s="1081">
        <v>1</v>
      </c>
      <c r="F21" s="1081">
        <v>2</v>
      </c>
      <c r="G21" s="719">
        <v>3</v>
      </c>
      <c r="H21" s="719">
        <v>4</v>
      </c>
      <c r="I21" s="715">
        <v>6</v>
      </c>
      <c r="L21" s="707"/>
      <c r="M21" s="7"/>
      <c r="N21" s="7"/>
    </row>
    <row r="22" spans="1:28" s="177" customFormat="1" ht="15" thickBot="1" x14ac:dyDescent="0.45">
      <c r="A22"/>
      <c r="B22"/>
      <c r="C22" s="1832" t="s">
        <v>717</v>
      </c>
      <c r="D22" s="740"/>
      <c r="E22" s="1832"/>
      <c r="F22" s="1832"/>
      <c r="G22" s="1833"/>
      <c r="H22" s="1833"/>
      <c r="I22" s="740"/>
      <c r="K22"/>
      <c r="L22" s="707"/>
      <c r="M22" s="7"/>
      <c r="N22" s="7"/>
      <c r="O22"/>
      <c r="P22"/>
      <c r="Q22"/>
      <c r="R22" s="3360"/>
      <c r="S22" s="2424"/>
      <c r="T22" s="2424"/>
      <c r="U22" s="2424"/>
      <c r="V22" s="2424"/>
      <c r="W22" s="2424"/>
      <c r="X22" s="2424"/>
      <c r="Y22" s="2424"/>
      <c r="Z22"/>
      <c r="AA22"/>
      <c r="AB22"/>
    </row>
    <row r="23" spans="1:28" s="177" customFormat="1" x14ac:dyDescent="0.4">
      <c r="A23"/>
      <c r="B23"/>
      <c r="C23" s="1834" t="s">
        <v>1048</v>
      </c>
      <c r="D23" s="2979">
        <f t="shared" ref="D23:I25" si="0">S42+S131+S204+S393+S269+S324+S362+S423+S500+S571</f>
        <v>244.93517525979391</v>
      </c>
      <c r="E23" s="2976">
        <f t="shared" si="0"/>
        <v>3918.9628041567025</v>
      </c>
      <c r="F23" s="2976">
        <f t="shared" si="0"/>
        <v>1959.4814020783513</v>
      </c>
      <c r="G23" s="2980">
        <f t="shared" si="0"/>
        <v>1469.6110515587636</v>
      </c>
      <c r="H23" s="2980">
        <f t="shared" si="0"/>
        <v>979.74070103917563</v>
      </c>
      <c r="I23" s="2979">
        <f t="shared" si="0"/>
        <v>734.80552577938181</v>
      </c>
      <c r="K23"/>
      <c r="L23" s="707"/>
      <c r="M23" s="7"/>
      <c r="N23" s="7"/>
      <c r="O23"/>
      <c r="P23"/>
      <c r="Q23"/>
      <c r="R23" s="3360"/>
      <c r="S23" s="2424"/>
      <c r="T23" s="2424"/>
      <c r="U23" s="2424"/>
      <c r="V23" s="2424"/>
      <c r="W23" s="2424"/>
      <c r="X23" s="2424"/>
      <c r="Y23" s="2424"/>
      <c r="Z23"/>
      <c r="AA23"/>
      <c r="AB23"/>
    </row>
    <row r="24" spans="1:28" s="177" customFormat="1" x14ac:dyDescent="0.4">
      <c r="A24"/>
      <c r="B24"/>
      <c r="C24" s="1836" t="s">
        <v>2658</v>
      </c>
      <c r="D24" s="2981">
        <f t="shared" si="0"/>
        <v>68.159461408888092</v>
      </c>
      <c r="E24" s="2977">
        <f t="shared" si="0"/>
        <v>1090.5513825422095</v>
      </c>
      <c r="F24" s="2977">
        <f t="shared" si="0"/>
        <v>545.27569127110473</v>
      </c>
      <c r="G24" s="2982">
        <f t="shared" si="0"/>
        <v>408.95676845332855</v>
      </c>
      <c r="H24" s="2982">
        <f t="shared" si="0"/>
        <v>272.63784563555237</v>
      </c>
      <c r="I24" s="2981">
        <f t="shared" si="0"/>
        <v>204.47838422666428</v>
      </c>
      <c r="K24"/>
      <c r="L24" s="707"/>
      <c r="M24" s="7"/>
      <c r="N24" s="7"/>
      <c r="O24"/>
      <c r="P24"/>
      <c r="Q24"/>
      <c r="R24" s="3360"/>
      <c r="S24" s="2424"/>
      <c r="T24" s="2424"/>
      <c r="U24" s="2424"/>
      <c r="V24" s="2424"/>
      <c r="W24" s="2424"/>
      <c r="X24" s="2424"/>
      <c r="Y24" s="2424"/>
      <c r="Z24"/>
      <c r="AA24"/>
      <c r="AB24"/>
    </row>
    <row r="25" spans="1:28" s="177" customFormat="1" ht="15" thickBot="1" x14ac:dyDescent="0.45">
      <c r="A25"/>
      <c r="B25"/>
      <c r="C25" s="1838" t="s">
        <v>2657</v>
      </c>
      <c r="D25" s="2983">
        <f t="shared" si="0"/>
        <v>160.17141341944679</v>
      </c>
      <c r="E25" s="2978">
        <f t="shared" si="0"/>
        <v>2562.7426147111487</v>
      </c>
      <c r="F25" s="2978">
        <f t="shared" si="0"/>
        <v>1281.3713073555743</v>
      </c>
      <c r="G25" s="2984">
        <f t="shared" si="0"/>
        <v>961.02848051668047</v>
      </c>
      <c r="H25" s="2984">
        <f t="shared" si="0"/>
        <v>640.68565367778717</v>
      </c>
      <c r="I25" s="2983">
        <f t="shared" si="0"/>
        <v>480.51424025834024</v>
      </c>
      <c r="K25"/>
      <c r="L25" s="707"/>
      <c r="M25" s="7"/>
      <c r="N25" s="7"/>
      <c r="O25"/>
      <c r="P25"/>
      <c r="Q25"/>
      <c r="R25" s="3360"/>
      <c r="S25" s="2424"/>
      <c r="T25" s="2424"/>
      <c r="U25" s="2424"/>
      <c r="V25" s="2424"/>
      <c r="W25" s="2424"/>
      <c r="X25" s="2424"/>
      <c r="Y25" s="2424"/>
      <c r="Z25"/>
      <c r="AA25"/>
      <c r="AB25"/>
    </row>
    <row r="26" spans="1:28" s="177" customFormat="1" ht="15" thickBot="1" x14ac:dyDescent="0.45">
      <c r="A26"/>
      <c r="B26"/>
      <c r="C26" s="1840" t="s">
        <v>1050</v>
      </c>
      <c r="D26" s="2985">
        <f>$S$426+$S$503+$S$574+$S$45+$S$134+$S$207+$S$272+$S$396+$S$365+$S$327</f>
        <v>473.26605008812874</v>
      </c>
      <c r="E26" s="2986">
        <f>T$426+T$503+T$574+T$45+T$134+T$207+T$272+T$396+T$365+T$327</f>
        <v>7572.2568014100598</v>
      </c>
      <c r="F26" s="2986">
        <f>U$426+U$503+U$574+U$45+U$134+U$207+U$272+U$396+U$365+U$327</f>
        <v>3786.1284007050299</v>
      </c>
      <c r="G26" s="2987">
        <f>V$426+V$503+V$574+V$45+V$134+V$207+V$272+V$396+V$365+V$327</f>
        <v>2839.5963005287722</v>
      </c>
      <c r="H26" s="2987">
        <f>W$426+W$503+W$574+W$45+W$134+W$207+W$272+W$396+W$365+W$327</f>
        <v>1893.0642003525149</v>
      </c>
      <c r="I26" s="2985">
        <f>X$426+X$503+X$574+X$45+X$134+X$207+X$272+X$396+X$365+X$327</f>
        <v>1419.7981502643861</v>
      </c>
      <c r="K26"/>
      <c r="L26" s="707"/>
      <c r="M26" s="7"/>
      <c r="N26" s="7"/>
      <c r="O26"/>
      <c r="P26"/>
      <c r="Q26"/>
      <c r="R26" s="3360"/>
      <c r="S26" s="2424"/>
      <c r="T26" s="2424"/>
      <c r="U26" s="2424"/>
      <c r="V26" s="2424"/>
      <c r="W26" s="2424"/>
      <c r="X26" s="2424"/>
      <c r="Y26" s="2424"/>
      <c r="Z26"/>
      <c r="AA26"/>
      <c r="AB26"/>
    </row>
    <row r="27" spans="1:28" s="177" customFormat="1" ht="15" thickBot="1" x14ac:dyDescent="0.45">
      <c r="A27"/>
      <c r="B27"/>
      <c r="C27" s="1843" t="s">
        <v>1858</v>
      </c>
      <c r="D27" s="1842"/>
      <c r="E27" s="1843"/>
      <c r="F27" s="1843"/>
      <c r="G27" s="1844"/>
      <c r="H27" s="1844"/>
      <c r="I27" s="1842"/>
      <c r="K27"/>
      <c r="L27" s="707"/>
      <c r="M27" s="7"/>
      <c r="N27" s="7"/>
      <c r="O27"/>
      <c r="P27"/>
      <c r="Q27"/>
      <c r="R27" s="3360"/>
      <c r="S27" s="2424"/>
      <c r="T27" s="2424"/>
      <c r="U27" s="2424"/>
      <c r="V27" s="2424"/>
      <c r="W27" s="2424"/>
      <c r="X27" s="2424"/>
      <c r="Y27" s="2424"/>
      <c r="Z27"/>
      <c r="AA27"/>
      <c r="AB27"/>
    </row>
    <row r="28" spans="1:28" s="177" customFormat="1" x14ac:dyDescent="0.4">
      <c r="A28"/>
      <c r="B28"/>
      <c r="C28" s="1845" t="s">
        <v>1048</v>
      </c>
      <c r="D28" s="3247">
        <f t="shared" ref="D28:I30" si="1">S423+S500+S571</f>
        <v>30.808503762444825</v>
      </c>
      <c r="E28" s="3248">
        <f t="shared" si="1"/>
        <v>492.93606019911721</v>
      </c>
      <c r="F28" s="3248">
        <f t="shared" si="1"/>
        <v>246.4680300995586</v>
      </c>
      <c r="G28" s="3249">
        <f t="shared" si="1"/>
        <v>184.851022574669</v>
      </c>
      <c r="H28" s="3249">
        <f t="shared" si="1"/>
        <v>123.2340150497793</v>
      </c>
      <c r="I28" s="3247">
        <f t="shared" si="1"/>
        <v>92.425511287334501</v>
      </c>
      <c r="K28"/>
      <c r="L28" s="707"/>
      <c r="M28" s="7"/>
      <c r="N28" s="7"/>
      <c r="O28"/>
      <c r="P28"/>
      <c r="Q28"/>
      <c r="R28" s="3360"/>
      <c r="S28" s="2424"/>
      <c r="T28" s="2424"/>
      <c r="U28" s="2424"/>
      <c r="V28" s="2424"/>
      <c r="W28" s="2424"/>
      <c r="X28" s="2424"/>
      <c r="Y28" s="2424"/>
      <c r="Z28"/>
      <c r="AA28"/>
      <c r="AB28"/>
    </row>
    <row r="29" spans="1:28" s="177" customFormat="1" x14ac:dyDescent="0.4">
      <c r="A29"/>
      <c r="B29"/>
      <c r="C29" s="1846" t="s">
        <v>2658</v>
      </c>
      <c r="D29" s="3250">
        <f t="shared" si="1"/>
        <v>21.449600558244068</v>
      </c>
      <c r="E29" s="3251">
        <f t="shared" si="1"/>
        <v>343.19360893190509</v>
      </c>
      <c r="F29" s="3251">
        <f t="shared" si="1"/>
        <v>171.59680446595254</v>
      </c>
      <c r="G29" s="3252">
        <f t="shared" si="1"/>
        <v>128.69760334946443</v>
      </c>
      <c r="H29" s="3252">
        <f t="shared" si="1"/>
        <v>85.798402232976272</v>
      </c>
      <c r="I29" s="3250">
        <f t="shared" si="1"/>
        <v>64.348801674732215</v>
      </c>
      <c r="K29"/>
      <c r="L29" s="707"/>
      <c r="M29" s="7"/>
      <c r="N29" s="7"/>
      <c r="O29"/>
      <c r="P29"/>
      <c r="Q29"/>
      <c r="R29" s="3360"/>
      <c r="S29" s="2424"/>
      <c r="T29" s="2424"/>
      <c r="U29" s="2424"/>
      <c r="V29" s="2424"/>
      <c r="W29" s="2424"/>
      <c r="X29" s="2424"/>
      <c r="Y29" s="2424"/>
      <c r="Z29"/>
      <c r="AA29"/>
      <c r="AB29"/>
    </row>
    <row r="30" spans="1:28" s="177" customFormat="1" ht="20.6" thickBot="1" x14ac:dyDescent="0.55000000000000004">
      <c r="A30"/>
      <c r="B30" s="698"/>
      <c r="C30" s="1847" t="s">
        <v>2657</v>
      </c>
      <c r="D30" s="3253">
        <f t="shared" si="1"/>
        <v>9.724609617075</v>
      </c>
      <c r="E30" s="3254">
        <f t="shared" si="1"/>
        <v>155.5937538732</v>
      </c>
      <c r="F30" s="3254">
        <f t="shared" si="1"/>
        <v>77.7968769366</v>
      </c>
      <c r="G30" s="3255">
        <f t="shared" si="1"/>
        <v>58.347657702450007</v>
      </c>
      <c r="H30" s="3255">
        <f t="shared" si="1"/>
        <v>38.8984384683</v>
      </c>
      <c r="I30" s="3253">
        <f t="shared" si="1"/>
        <v>29.173828851225004</v>
      </c>
      <c r="K30"/>
      <c r="L30" s="707"/>
      <c r="M30" s="7"/>
      <c r="N30" s="7"/>
      <c r="O30"/>
      <c r="P30"/>
      <c r="Q30"/>
      <c r="R30" s="3360"/>
      <c r="S30" s="2424"/>
      <c r="T30" s="2424"/>
      <c r="U30" s="2424"/>
      <c r="V30" s="2424"/>
      <c r="W30" s="2424"/>
      <c r="X30" s="2424"/>
      <c r="Y30" s="2424"/>
      <c r="Z30"/>
      <c r="AA30"/>
      <c r="AB30"/>
    </row>
    <row r="31" spans="1:28" s="177" customFormat="1" ht="15" thickBot="1" x14ac:dyDescent="0.45">
      <c r="A31"/>
      <c r="B31"/>
      <c r="C31" s="1848" t="s">
        <v>1050</v>
      </c>
      <c r="D31" s="2985">
        <f>$S$426+$S$503+$S$574</f>
        <v>61.982713937763883</v>
      </c>
      <c r="E31" s="2986">
        <f>T$426+T$503+T$574</f>
        <v>991.72342300422213</v>
      </c>
      <c r="F31" s="2986">
        <f>U$426+U$503+U$574</f>
        <v>495.86171150211106</v>
      </c>
      <c r="G31" s="2987">
        <f>V$426+V$503+V$574</f>
        <v>371.89628362658328</v>
      </c>
      <c r="H31" s="2987">
        <f>W$426+W$503+W$574</f>
        <v>247.93085575105553</v>
      </c>
      <c r="I31" s="2985">
        <f>X$426+X$503+X$574</f>
        <v>185.94814181329164</v>
      </c>
      <c r="K31"/>
      <c r="L31" s="689"/>
      <c r="M31"/>
      <c r="N31"/>
      <c r="O31"/>
      <c r="P31"/>
      <c r="Q31"/>
      <c r="R31" s="3360"/>
      <c r="S31" s="2424"/>
      <c r="T31" s="2424"/>
      <c r="U31" s="2424"/>
      <c r="V31" s="2424"/>
      <c r="W31" s="2424"/>
      <c r="X31" s="2424"/>
      <c r="Y31" s="2424"/>
      <c r="Z31"/>
      <c r="AA31"/>
      <c r="AB31"/>
    </row>
    <row r="32" spans="1:28" s="177" customFormat="1" ht="15" thickBot="1" x14ac:dyDescent="0.45">
      <c r="A32"/>
      <c r="B32"/>
      <c r="C32" s="2419" t="s">
        <v>1859</v>
      </c>
      <c r="D32" s="2988">
        <f t="shared" ref="D32:I32" si="2">D31+D26</f>
        <v>535.24876402589257</v>
      </c>
      <c r="E32" s="2989">
        <f t="shared" si="2"/>
        <v>8563.9802244142811</v>
      </c>
      <c r="F32" s="2989">
        <f t="shared" si="2"/>
        <v>4281.9901122071406</v>
      </c>
      <c r="G32" s="2990">
        <f t="shared" si="2"/>
        <v>3211.4925841553554</v>
      </c>
      <c r="H32" s="2990">
        <f t="shared" si="2"/>
        <v>2140.9950561035703</v>
      </c>
      <c r="I32" s="2988">
        <f t="shared" si="2"/>
        <v>1605.7462920776777</v>
      </c>
      <c r="K32"/>
      <c r="L32" s="689"/>
      <c r="M32"/>
      <c r="N32"/>
      <c r="O32"/>
      <c r="P32"/>
      <c r="Q32"/>
      <c r="R32" s="3360"/>
      <c r="S32" s="2424"/>
      <c r="T32" s="2424"/>
      <c r="U32" s="2424"/>
      <c r="V32" s="2424"/>
      <c r="W32" s="2424"/>
      <c r="X32" s="2424"/>
      <c r="Y32" s="2424"/>
      <c r="Z32"/>
      <c r="AA32"/>
      <c r="AB32"/>
    </row>
    <row r="33" spans="1:28" s="177" customFormat="1" x14ac:dyDescent="0.4">
      <c r="A33"/>
      <c r="B33"/>
      <c r="C33" s="689"/>
      <c r="D33"/>
      <c r="E33" s="741"/>
      <c r="F33"/>
      <c r="G33"/>
      <c r="H33" s="89"/>
      <c r="J33"/>
      <c r="K33"/>
      <c r="L33" s="689"/>
      <c r="M33"/>
      <c r="N33"/>
      <c r="O33"/>
      <c r="P33"/>
      <c r="Q33"/>
      <c r="R33" s="3360"/>
      <c r="S33" s="2424"/>
      <c r="T33" s="2424"/>
      <c r="U33" s="3431"/>
      <c r="V33" s="3431"/>
      <c r="W33" s="2424"/>
      <c r="X33" s="2424"/>
      <c r="Y33" s="2424"/>
      <c r="Z33"/>
      <c r="AA33"/>
      <c r="AB33"/>
    </row>
    <row r="34" spans="1:28" s="177" customFormat="1" ht="20.149999999999999" x14ac:dyDescent="0.5">
      <c r="A34"/>
      <c r="B34" s="698" t="s">
        <v>1051</v>
      </c>
      <c r="C34" s="689"/>
      <c r="D34"/>
      <c r="E34" s="741"/>
      <c r="F34"/>
      <c r="G34"/>
      <c r="H34" s="89"/>
      <c r="J34"/>
      <c r="K34"/>
      <c r="L34" s="689"/>
      <c r="M34"/>
      <c r="N34"/>
      <c r="O34"/>
      <c r="P34"/>
      <c r="Q34"/>
      <c r="R34" s="3360"/>
      <c r="S34" s="2424"/>
      <c r="T34" s="2424"/>
      <c r="U34" s="2424"/>
      <c r="V34" s="2424"/>
      <c r="W34" s="2424"/>
      <c r="X34" s="2424"/>
      <c r="Y34" s="2424"/>
      <c r="Z34"/>
      <c r="AA34"/>
      <c r="AB34"/>
    </row>
    <row r="35" spans="1:28" s="8" customFormat="1" ht="15.45" x14ac:dyDescent="0.4">
      <c r="A35"/>
      <c r="B35" s="1769"/>
      <c r="C35" s="1849"/>
      <c r="D35" s="1770" t="s">
        <v>1860</v>
      </c>
      <c r="E35" s="1798"/>
      <c r="F35" s="1798"/>
      <c r="G35" s="1798"/>
      <c r="H35" s="1798"/>
      <c r="I35" s="1798"/>
      <c r="J35" s="1798"/>
      <c r="K35" s="1798"/>
      <c r="L35" s="1798"/>
      <c r="M35" s="1798"/>
      <c r="N35" s="1798"/>
      <c r="O35" s="1798"/>
      <c r="P35" s="1798"/>
      <c r="Q35" s="1798"/>
      <c r="R35" s="3363"/>
      <c r="S35" s="3432"/>
      <c r="T35" s="3432"/>
      <c r="U35" s="3432"/>
      <c r="V35" s="3432"/>
      <c r="W35" s="3432"/>
      <c r="X35" s="3432"/>
      <c r="Y35" s="2424"/>
      <c r="Z35"/>
      <c r="AA35"/>
      <c r="AB35"/>
    </row>
    <row r="36" spans="1:28" s="8" customFormat="1" hidden="1" outlineLevel="1" x14ac:dyDescent="0.4">
      <c r="A36"/>
      <c r="B36" s="1850"/>
      <c r="C36" s="1826"/>
      <c r="D36" s="748" t="s">
        <v>1053</v>
      </c>
      <c r="E36" s="749"/>
      <c r="F36" s="704"/>
      <c r="G36" s="704"/>
      <c r="H36" s="704"/>
      <c r="I36" s="750"/>
      <c r="J36" s="704"/>
      <c r="K36" s="704"/>
      <c r="L36" s="704"/>
      <c r="M36" s="704"/>
      <c r="N36" s="704"/>
      <c r="O36" s="704"/>
      <c r="P36" s="704"/>
      <c r="Q36" s="704"/>
      <c r="R36" s="3364"/>
      <c r="S36" s="3433"/>
      <c r="T36" s="3433"/>
      <c r="U36" s="3433"/>
      <c r="V36" s="3433"/>
      <c r="W36" s="3433"/>
      <c r="X36" s="3433"/>
      <c r="Y36" s="2424"/>
      <c r="Z36"/>
      <c r="AA36"/>
      <c r="AB36"/>
    </row>
    <row r="37" spans="1:28" s="8" customFormat="1" ht="15" hidden="1" outlineLevel="1" thickBot="1" x14ac:dyDescent="0.45">
      <c r="A37"/>
      <c r="B37" s="1850"/>
      <c r="C37" s="1826"/>
      <c r="D37" s="704" t="s">
        <v>1034</v>
      </c>
      <c r="E37" s="749"/>
      <c r="F37" s="704"/>
      <c r="G37" s="704"/>
      <c r="H37" s="704"/>
      <c r="I37" s="750"/>
      <c r="J37" s="704"/>
      <c r="K37" s="704"/>
      <c r="L37" s="704"/>
      <c r="M37" s="704"/>
      <c r="N37" s="704"/>
      <c r="O37" s="704"/>
      <c r="P37" s="704"/>
      <c r="Q37" s="704"/>
      <c r="R37" s="3364"/>
      <c r="S37" s="3433"/>
      <c r="T37" s="3434"/>
      <c r="U37" s="3433"/>
      <c r="V37" s="3433"/>
      <c r="W37" s="3433"/>
      <c r="X37" s="3433"/>
      <c r="Y37" s="2424"/>
      <c r="Z37"/>
      <c r="AA37"/>
      <c r="AB37"/>
    </row>
    <row r="38" spans="1:28" s="8" customFormat="1" hidden="1" outlineLevel="1" x14ac:dyDescent="0.4">
      <c r="A38"/>
      <c r="B38" s="1850"/>
      <c r="C38" s="1826"/>
      <c r="D38" t="s">
        <v>1861</v>
      </c>
      <c r="E38" s="749"/>
      <c r="F38" s="704"/>
      <c r="G38" s="704"/>
      <c r="H38" s="704"/>
      <c r="I38" s="750"/>
      <c r="J38" s="704"/>
      <c r="K38" s="704"/>
      <c r="L38" s="704"/>
      <c r="M38" s="704"/>
      <c r="N38" s="704"/>
      <c r="O38" s="704"/>
      <c r="P38" s="704"/>
      <c r="Q38" s="704"/>
      <c r="R38" s="3365"/>
      <c r="S38" s="3435" t="s">
        <v>23</v>
      </c>
      <c r="T38" s="3436" t="s">
        <v>1054</v>
      </c>
      <c r="U38" s="3437"/>
      <c r="V38" s="3437"/>
      <c r="W38" s="3437"/>
      <c r="X38" s="3438"/>
      <c r="Y38" s="2424"/>
      <c r="Z38"/>
      <c r="AA38"/>
      <c r="AB38"/>
    </row>
    <row r="39" spans="1:28" s="8" customFormat="1" hidden="1" outlineLevel="1" x14ac:dyDescent="0.4">
      <c r="A39"/>
      <c r="B39" s="1850"/>
      <c r="C39" s="1826"/>
      <c r="D39" s="704" t="s">
        <v>1035</v>
      </c>
      <c r="E39" s="749"/>
      <c r="F39" s="704"/>
      <c r="G39" s="704"/>
      <c r="H39" s="704"/>
      <c r="I39" s="750"/>
      <c r="J39" s="704"/>
      <c r="K39" s="704"/>
      <c r="L39" s="704"/>
      <c r="M39" s="704"/>
      <c r="N39" s="704"/>
      <c r="O39" s="704"/>
      <c r="P39" s="704"/>
      <c r="Q39" s="704"/>
      <c r="R39" s="3354" t="s">
        <v>1055</v>
      </c>
      <c r="S39" s="1122">
        <v>1</v>
      </c>
      <c r="T39" s="1512">
        <v>1</v>
      </c>
      <c r="U39" s="916">
        <v>2</v>
      </c>
      <c r="V39" s="916">
        <v>3</v>
      </c>
      <c r="W39" s="916">
        <v>4</v>
      </c>
      <c r="X39" s="1045">
        <v>6</v>
      </c>
      <c r="Y39" s="2424"/>
      <c r="Z39"/>
      <c r="AA39"/>
      <c r="AB39"/>
    </row>
    <row r="40" spans="1:28" s="8" customFormat="1" hidden="1" outlineLevel="1" x14ac:dyDescent="0.4">
      <c r="A40"/>
      <c r="B40" s="1850"/>
      <c r="C40" s="1826"/>
      <c r="D40" s="704" t="s">
        <v>1036</v>
      </c>
      <c r="E40" s="749"/>
      <c r="F40" s="704"/>
      <c r="G40" s="704"/>
      <c r="H40" s="704"/>
      <c r="I40" s="750"/>
      <c r="J40" s="704"/>
      <c r="K40" s="704"/>
      <c r="L40" s="704"/>
      <c r="M40" s="704"/>
      <c r="N40" s="704"/>
      <c r="O40" s="704"/>
      <c r="P40" s="704"/>
      <c r="Q40" s="704"/>
      <c r="R40" s="3333" t="s">
        <v>2665</v>
      </c>
      <c r="S40" s="3439">
        <f>(connect_lower_blanket_pipework)</f>
        <v>26.773271037841543</v>
      </c>
      <c r="T40" s="3440">
        <f>(ROUNDUP(Tokamak_Segmts/T39,0)*(connect_lower_blanket_pipework))</f>
        <v>428.37233660546468</v>
      </c>
      <c r="U40" s="3441">
        <f>(ROUNDUP(Tokamak_Segmts/U39,0)*(connect_lower_blanket_pipework))</f>
        <v>214.18616830273234</v>
      </c>
      <c r="V40" s="3441">
        <f>(ROUNDUP(Tokamak_Segmts/V39,0)*(connect_lower_blanket_pipework))</f>
        <v>160.63962622704926</v>
      </c>
      <c r="W40" s="3441">
        <f>(ROUNDUP(Tokamak_Segmts/W39,0)*(connect_lower_blanket_pipework))</f>
        <v>107.09308415136617</v>
      </c>
      <c r="X40" s="3442">
        <f>(ROUNDUP(Tokamak_Segmts/X39,0)*(connect_lower_blanket_pipework))</f>
        <v>80.319813113524631</v>
      </c>
      <c r="Y40" s="2424"/>
      <c r="Z40"/>
      <c r="AA40"/>
      <c r="AB40"/>
    </row>
    <row r="41" spans="1:28" s="8" customFormat="1" ht="15" hidden="1" outlineLevel="1" thickBot="1" x14ac:dyDescent="0.45">
      <c r="A41"/>
      <c r="B41" s="1850"/>
      <c r="C41" s="1826"/>
      <c r="D41" s="704" t="s">
        <v>1037</v>
      </c>
      <c r="E41" s="749"/>
      <c r="F41" s="704"/>
      <c r="G41" s="704"/>
      <c r="H41" s="704"/>
      <c r="I41" s="750"/>
      <c r="J41" s="704"/>
      <c r="K41" s="704"/>
      <c r="L41" s="704"/>
      <c r="M41" s="704"/>
      <c r="N41" s="704"/>
      <c r="O41" s="704"/>
      <c r="P41" s="704"/>
      <c r="Q41" s="704"/>
      <c r="R41" s="3141" t="s">
        <v>2693</v>
      </c>
      <c r="S41" s="3443">
        <f>S$40*$E$45</f>
        <v>0.29450598141625695</v>
      </c>
      <c r="T41" s="3444">
        <f t="shared" ref="T41:X41" si="3">T$40*$E$45</f>
        <v>4.7120957026601111</v>
      </c>
      <c r="U41" s="3445">
        <f t="shared" si="3"/>
        <v>2.3560478513300556</v>
      </c>
      <c r="V41" s="3445">
        <f t="shared" si="3"/>
        <v>1.7670358884975419</v>
      </c>
      <c r="W41" s="3445">
        <f t="shared" si="3"/>
        <v>1.1780239256650278</v>
      </c>
      <c r="X41" s="3446">
        <f t="shared" si="3"/>
        <v>0.88351794424877095</v>
      </c>
      <c r="Y41" s="2424"/>
      <c r="Z41"/>
      <c r="AA41"/>
      <c r="AB41"/>
    </row>
    <row r="42" spans="1:28" s="8" customFormat="1" hidden="1" outlineLevel="1" x14ac:dyDescent="0.4">
      <c r="A42"/>
      <c r="B42" s="1850"/>
      <c r="C42" s="1826"/>
      <c r="D42" s="704" t="s">
        <v>1038</v>
      </c>
      <c r="E42" s="749"/>
      <c r="F42" s="704"/>
      <c r="G42" s="704"/>
      <c r="H42" s="704"/>
      <c r="I42" s="750"/>
      <c r="J42" s="704"/>
      <c r="K42" s="704"/>
      <c r="L42" s="704"/>
      <c r="M42" s="704"/>
      <c r="N42" s="704"/>
      <c r="O42" s="704"/>
      <c r="P42" s="704"/>
      <c r="Q42" s="704"/>
      <c r="R42" s="3366" t="s">
        <v>1048</v>
      </c>
      <c r="S42" s="3447">
        <f t="shared" ref="S42:X42" si="4">S41*(SUMIF($E$53:$E$119,"Operation",$F$53:$F$119))</f>
        <v>53.148834842027732</v>
      </c>
      <c r="T42" s="3448">
        <f t="shared" si="4"/>
        <v>850.38135747244371</v>
      </c>
      <c r="U42" s="3449">
        <f t="shared" si="4"/>
        <v>425.19067873622186</v>
      </c>
      <c r="V42" s="3449">
        <f t="shared" si="4"/>
        <v>318.89300905216641</v>
      </c>
      <c r="W42" s="3449">
        <f t="shared" si="4"/>
        <v>212.59533936811093</v>
      </c>
      <c r="X42" s="3450">
        <f t="shared" si="4"/>
        <v>159.4465045260832</v>
      </c>
      <c r="Y42" s="2424"/>
      <c r="Z42"/>
      <c r="AA42"/>
      <c r="AB42"/>
    </row>
    <row r="43" spans="1:28" s="8" customFormat="1" hidden="1" outlineLevel="1" x14ac:dyDescent="0.4">
      <c r="A43"/>
      <c r="B43" s="1850"/>
      <c r="C43" s="1826"/>
      <c r="D43" s="704"/>
      <c r="E43" s="749"/>
      <c r="F43" s="704"/>
      <c r="G43" s="704"/>
      <c r="H43" s="704"/>
      <c r="I43" s="750"/>
      <c r="J43" s="704"/>
      <c r="K43" s="704"/>
      <c r="L43" s="704"/>
      <c r="M43" s="704"/>
      <c r="N43" s="704"/>
      <c r="O43" s="704"/>
      <c r="P43" s="704"/>
      <c r="Q43" s="704"/>
      <c r="R43" s="3354" t="s">
        <v>2658</v>
      </c>
      <c r="S43" s="3451">
        <f t="shared" ref="S43:X43" si="5">S41*(SUMIF($E$53:$E$119,"Movement",$F$53:$F$119)+(SUMIF($E$53:$E$119,"Logistics",$F$53:$F$119)))</f>
        <v>10.746523261879222</v>
      </c>
      <c r="T43" s="3452">
        <f t="shared" si="5"/>
        <v>171.94437219006755</v>
      </c>
      <c r="U43" s="3453">
        <f t="shared" si="5"/>
        <v>85.972186095033777</v>
      </c>
      <c r="V43" s="3453">
        <f t="shared" si="5"/>
        <v>64.47913957127534</v>
      </c>
      <c r="W43" s="3453">
        <f t="shared" si="5"/>
        <v>42.986093047516889</v>
      </c>
      <c r="X43" s="3454">
        <f t="shared" si="5"/>
        <v>32.23956978563767</v>
      </c>
      <c r="Y43" s="2424"/>
      <c r="Z43"/>
      <c r="AA43"/>
      <c r="AB43"/>
    </row>
    <row r="44" spans="1:28" s="8" customFormat="1" ht="15" hidden="1" outlineLevel="1" thickBot="1" x14ac:dyDescent="0.45">
      <c r="A44"/>
      <c r="B44" s="1850"/>
      <c r="C44" s="1826"/>
      <c r="D44" s="704"/>
      <c r="E44" s="749"/>
      <c r="F44" s="704"/>
      <c r="G44" s="704"/>
      <c r="H44" s="704"/>
      <c r="I44" s="750"/>
      <c r="J44" s="704"/>
      <c r="K44" s="704"/>
      <c r="L44" s="704"/>
      <c r="M44" s="704"/>
      <c r="N44" s="704"/>
      <c r="O44" s="704"/>
      <c r="P44" s="704"/>
      <c r="Q44" s="704"/>
      <c r="R44" s="3367" t="s">
        <v>2657</v>
      </c>
      <c r="S44" s="3455">
        <f t="shared" ref="S44:X44" si="6">S41*(-SUMIF($T$53:$T$119,"&lt;0"))</f>
        <v>26.853191871966978</v>
      </c>
      <c r="T44" s="3456">
        <f t="shared" si="6"/>
        <v>429.65106995147164</v>
      </c>
      <c r="U44" s="3457">
        <f t="shared" si="6"/>
        <v>214.82553497573582</v>
      </c>
      <c r="V44" s="3457">
        <f t="shared" si="6"/>
        <v>161.11915123180188</v>
      </c>
      <c r="W44" s="3457">
        <f t="shared" si="6"/>
        <v>107.41276748786791</v>
      </c>
      <c r="X44" s="3458">
        <f t="shared" si="6"/>
        <v>80.55957561590094</v>
      </c>
      <c r="Y44" s="2424"/>
      <c r="Z44"/>
      <c r="AA44"/>
      <c r="AB44"/>
    </row>
    <row r="45" spans="1:28" s="8" customFormat="1" ht="15" hidden="1" outlineLevel="1" thickBot="1" x14ac:dyDescent="0.45">
      <c r="A45"/>
      <c r="B45" s="1850"/>
      <c r="C45" s="1826"/>
      <c r="D45" s="748" t="s">
        <v>1056</v>
      </c>
      <c r="E45" s="709">
        <f>SUM(E46:E47)</f>
        <v>1.0999999999999999E-2</v>
      </c>
      <c r="F45" s="709"/>
      <c r="G45" s="709"/>
      <c r="H45" s="709"/>
      <c r="I45" s="919"/>
      <c r="J45" s="918"/>
      <c r="K45" s="918"/>
      <c r="L45" s="918"/>
      <c r="M45" s="918"/>
      <c r="N45" s="918"/>
      <c r="O45" s="918"/>
      <c r="P45" s="704"/>
      <c r="Q45" s="704"/>
      <c r="R45" s="3368" t="s">
        <v>2667</v>
      </c>
      <c r="S45" s="3459">
        <f t="shared" ref="S45:X45" si="7">S41*$G$120</f>
        <v>90.748549975873914</v>
      </c>
      <c r="T45" s="3460">
        <f t="shared" si="7"/>
        <v>1451.9767996139826</v>
      </c>
      <c r="U45" s="3426">
        <f t="shared" si="7"/>
        <v>725.98839980699131</v>
      </c>
      <c r="V45" s="3426">
        <f t="shared" si="7"/>
        <v>544.49129985524348</v>
      </c>
      <c r="W45" s="3426">
        <f t="shared" si="7"/>
        <v>362.99419990349566</v>
      </c>
      <c r="X45" s="3461">
        <f t="shared" si="7"/>
        <v>272.24564992762174</v>
      </c>
      <c r="Y45" s="2424"/>
      <c r="Z45"/>
      <c r="AA45"/>
      <c r="AB45"/>
    </row>
    <row r="46" spans="1:28" s="8" customFormat="1" hidden="1" outlineLevel="1" x14ac:dyDescent="0.4">
      <c r="A46"/>
      <c r="B46" s="1771"/>
      <c r="C46" s="906"/>
      <c r="D46" s="7" t="s">
        <v>1057</v>
      </c>
      <c r="E46" s="763">
        <f>Weld_Failure_Rate</f>
        <v>1E-3</v>
      </c>
      <c r="F46" s="922"/>
      <c r="G46" s="922"/>
      <c r="H46" s="924"/>
      <c r="I46" s="290"/>
      <c r="J46" s="922"/>
      <c r="K46" s="922"/>
      <c r="L46" s="925"/>
      <c r="M46" s="922"/>
      <c r="N46" s="922"/>
      <c r="O46" s="922"/>
      <c r="P46" s="706"/>
      <c r="Q46" s="7"/>
      <c r="R46" s="3014"/>
      <c r="S46" s="3434"/>
      <c r="T46" s="3434"/>
      <c r="U46" s="3434"/>
      <c r="V46" s="3434"/>
      <c r="W46" s="3434"/>
      <c r="X46" s="3434"/>
      <c r="Y46" s="2424"/>
      <c r="Z46"/>
      <c r="AA46"/>
      <c r="AB46"/>
    </row>
    <row r="47" spans="1:28" s="8" customFormat="1" hidden="1" outlineLevel="1" x14ac:dyDescent="0.4">
      <c r="A47"/>
      <c r="B47" s="1771"/>
      <c r="C47" s="906"/>
      <c r="D47" s="7" t="s">
        <v>1058</v>
      </c>
      <c r="E47" s="763">
        <f>SJS_welder_failure</f>
        <v>0.01</v>
      </c>
      <c r="F47" s="922"/>
      <c r="G47" s="922"/>
      <c r="H47" s="924"/>
      <c r="I47" s="290"/>
      <c r="J47" s="922"/>
      <c r="K47" s="922"/>
      <c r="L47" s="925"/>
      <c r="M47" s="922"/>
      <c r="N47" s="922"/>
      <c r="O47" s="922"/>
      <c r="P47" s="706"/>
      <c r="Q47" s="7"/>
      <c r="R47" s="3014"/>
      <c r="S47" s="3434"/>
      <c r="T47" s="3434"/>
      <c r="U47" s="3434"/>
      <c r="V47" s="3434"/>
      <c r="W47" s="3434"/>
      <c r="X47" s="3434"/>
      <c r="Y47" s="2424"/>
      <c r="Z47"/>
      <c r="AA47"/>
      <c r="AB47"/>
    </row>
    <row r="48" spans="1:28" s="8" customFormat="1" hidden="1" outlineLevel="1" x14ac:dyDescent="0.4">
      <c r="A48"/>
      <c r="B48" s="1771"/>
      <c r="C48" s="906"/>
      <c r="D48" s="926" t="s">
        <v>1059</v>
      </c>
      <c r="E48" s="709">
        <f>E45*(1-(1-E45)^(Divertor_port_pipes_per_blanket))</f>
        <v>3.5902164100000021E-4</v>
      </c>
      <c r="F48" s="927"/>
      <c r="G48" s="927"/>
      <c r="H48" s="927"/>
      <c r="I48" s="919"/>
      <c r="J48" s="927"/>
      <c r="K48" s="927"/>
      <c r="L48" s="927"/>
      <c r="M48" s="927"/>
      <c r="N48" s="927"/>
      <c r="O48" s="927"/>
      <c r="P48" s="706"/>
      <c r="Q48" s="7"/>
      <c r="R48" s="3014"/>
      <c r="S48" s="3434"/>
      <c r="T48" s="3434"/>
      <c r="U48" s="3434"/>
      <c r="V48" s="3434"/>
      <c r="W48" s="3434"/>
      <c r="X48" s="3434"/>
      <c r="Y48" s="2424"/>
      <c r="Z48"/>
      <c r="AA48"/>
      <c r="AB48"/>
    </row>
    <row r="49" spans="1:28" s="8" customFormat="1" hidden="1" outlineLevel="1" x14ac:dyDescent="0.4">
      <c r="A49"/>
      <c r="B49" s="1771"/>
      <c r="C49" s="906"/>
      <c r="D49" s="926"/>
      <c r="E49" s="928"/>
      <c r="F49" s="927"/>
      <c r="G49" s="927"/>
      <c r="H49" s="927"/>
      <c r="I49" s="919"/>
      <c r="J49" s="927"/>
      <c r="K49" s="927"/>
      <c r="L49" s="927"/>
      <c r="M49" s="927"/>
      <c r="N49" s="927"/>
      <c r="O49" s="927"/>
      <c r="P49" s="706"/>
      <c r="Q49" s="7"/>
      <c r="R49" s="3369"/>
      <c r="S49" s="3429"/>
      <c r="T49" s="3429"/>
      <c r="U49" s="3429"/>
      <c r="V49" s="3429"/>
      <c r="W49" s="3429"/>
      <c r="X49" s="3429"/>
      <c r="Y49" s="2424"/>
      <c r="Z49"/>
      <c r="AA49"/>
      <c r="AB49"/>
    </row>
    <row r="50" spans="1:28" s="8" customFormat="1" ht="15" hidden="1" outlineLevel="2" thickBot="1" x14ac:dyDescent="0.45">
      <c r="A50"/>
      <c r="B50" s="1771"/>
      <c r="C50" s="906"/>
      <c r="D50" s="926"/>
      <c r="E50" s="928"/>
      <c r="F50" s="927"/>
      <c r="G50" s="927"/>
      <c r="H50" s="927"/>
      <c r="I50" s="919"/>
      <c r="J50" s="927"/>
      <c r="K50" s="927"/>
      <c r="L50" s="927"/>
      <c r="M50" s="927"/>
      <c r="N50" s="927"/>
      <c r="O50" s="927"/>
      <c r="P50" s="706"/>
      <c r="Q50" s="7"/>
      <c r="R50" s="3369"/>
      <c r="S50" s="3429"/>
      <c r="T50" s="3429"/>
      <c r="U50" s="3429"/>
      <c r="V50" s="3429"/>
      <c r="W50" s="3429"/>
      <c r="X50" s="3429"/>
      <c r="Y50" s="2424"/>
      <c r="Z50"/>
      <c r="AA50"/>
      <c r="AB50"/>
    </row>
    <row r="51" spans="1:28" s="8" customFormat="1" ht="15" hidden="1" outlineLevel="2" thickBot="1" x14ac:dyDescent="0.45">
      <c r="A51"/>
      <c r="B51" s="1771"/>
      <c r="C51" s="906"/>
      <c r="D51" s="926"/>
      <c r="E51" s="701"/>
      <c r="F51" s="7"/>
      <c r="G51" s="1150"/>
      <c r="H51" s="930" t="s">
        <v>18</v>
      </c>
      <c r="I51" s="931"/>
      <c r="J51" s="933" t="s">
        <v>778</v>
      </c>
      <c r="K51" s="933"/>
      <c r="L51" s="933"/>
      <c r="M51" s="933"/>
      <c r="N51" s="933"/>
      <c r="O51" s="1854"/>
      <c r="P51" s="933" t="s">
        <v>3</v>
      </c>
      <c r="Q51" s="1854"/>
      <c r="R51" s="3370" t="s">
        <v>779</v>
      </c>
      <c r="S51" s="3462"/>
      <c r="T51" s="3463"/>
      <c r="U51" s="2424"/>
      <c r="V51" s="2424"/>
      <c r="W51" s="2424"/>
      <c r="X51" s="2424"/>
      <c r="Y51" s="3434"/>
    </row>
    <row r="52" spans="1:28" s="8" customFormat="1" ht="29.6" hidden="1" outlineLevel="2" thickBot="1" x14ac:dyDescent="0.45">
      <c r="A52"/>
      <c r="B52" s="1771"/>
      <c r="C52" s="939" t="s">
        <v>780</v>
      </c>
      <c r="D52" s="940" t="s">
        <v>1060</v>
      </c>
      <c r="E52" s="941" t="s">
        <v>782</v>
      </c>
      <c r="F52" s="942" t="s">
        <v>783</v>
      </c>
      <c r="G52" s="1151" t="s">
        <v>784</v>
      </c>
      <c r="H52" s="562" t="s">
        <v>785</v>
      </c>
      <c r="I52" s="944" t="s">
        <v>783</v>
      </c>
      <c r="J52" s="940" t="s">
        <v>786</v>
      </c>
      <c r="K52" s="563" t="s">
        <v>787</v>
      </c>
      <c r="L52" s="563" t="s">
        <v>788</v>
      </c>
      <c r="M52" s="563" t="s">
        <v>789</v>
      </c>
      <c r="N52" s="564" t="s">
        <v>790</v>
      </c>
      <c r="O52" s="1152" t="s">
        <v>783</v>
      </c>
      <c r="P52" s="1446" t="s">
        <v>785</v>
      </c>
      <c r="Q52" s="1152" t="s">
        <v>783</v>
      </c>
      <c r="R52" s="3371" t="s">
        <v>781</v>
      </c>
      <c r="S52" s="3464" t="s">
        <v>791</v>
      </c>
      <c r="T52" s="3465" t="s">
        <v>792</v>
      </c>
      <c r="U52" s="2424"/>
      <c r="V52" s="2424"/>
      <c r="W52" s="2424"/>
      <c r="X52" s="2424"/>
      <c r="Y52" s="3434"/>
    </row>
    <row r="53" spans="1:28" s="8" customFormat="1" hidden="1" outlineLevel="2" x14ac:dyDescent="0.4">
      <c r="A53"/>
      <c r="B53" s="1771"/>
      <c r="C53" s="3850" t="s">
        <v>1062</v>
      </c>
      <c r="D53" s="797" t="s">
        <v>1862</v>
      </c>
      <c r="E53" s="799" t="s">
        <v>251</v>
      </c>
      <c r="F53" s="456">
        <f>MAX($Q53,$O53,$I53)</f>
        <v>0</v>
      </c>
      <c r="G53" s="1855">
        <f>F53</f>
        <v>0</v>
      </c>
      <c r="H53" s="568" t="s">
        <v>557</v>
      </c>
      <c r="I53" s="621">
        <v>0</v>
      </c>
      <c r="J53" s="803"/>
      <c r="K53" s="566"/>
      <c r="L53" s="801"/>
      <c r="M53" s="802" t="str">
        <f>IFERROR(INDEX('Lower Cask Movement &amp; Logistics'!$I$29:$O$35,MATCH($K53,'Lower Cask Movement &amp; Logistics'!$H$29:$H$35,0),MATCH($L53,'Lower Cask Movement &amp; Logistics'!$H$29:$H$35,0)),"N/A")</f>
        <v>N/A</v>
      </c>
      <c r="N53" s="571" t="str">
        <f>IFERROR(VLOOKUP($J53,'Lower Cask Movement &amp; Logistics'!$H$4:$I$8,2,FALSE),"N/A")</f>
        <v>N/A</v>
      </c>
      <c r="O53" s="379" t="str">
        <f t="shared" ref="O53:O116" si="8">IF(E53="Movement",IFERROR((M53/N53)/(60*60),"Error"),"N/A")</f>
        <v>N/A</v>
      </c>
      <c r="P53" s="1856"/>
      <c r="Q53" s="1857" t="str">
        <f>IF($E53="Logistics",VLOOKUP($P53,'Lower Cask Movement &amp; Logistics'!$C$4:$D$53,2,FALSE),"N/A")</f>
        <v>N/A</v>
      </c>
      <c r="R53" s="3372"/>
      <c r="S53" s="3466" t="str">
        <f>IFERROR(VLOOKUP($R53,'LowerCask Recovery Dependencies'!$C$6:$F$71,4,FALSE),"N/A")</f>
        <v>N/A</v>
      </c>
      <c r="T53" s="3467" t="str">
        <f>IFERROR(G53-F53-S53,"N/A")</f>
        <v>N/A</v>
      </c>
      <c r="U53" s="2424"/>
      <c r="V53" s="2424"/>
      <c r="W53" s="2424"/>
      <c r="X53" s="2424"/>
      <c r="Y53" s="3434"/>
    </row>
    <row r="54" spans="1:28" s="8" customFormat="1" ht="15" hidden="1" outlineLevel="2" thickBot="1" x14ac:dyDescent="0.45">
      <c r="A54"/>
      <c r="B54" s="1771"/>
      <c r="C54" s="3851"/>
      <c r="D54" s="807" t="s">
        <v>1064</v>
      </c>
      <c r="E54" s="809" t="s">
        <v>251</v>
      </c>
      <c r="F54" s="471">
        <f t="shared" ref="F54:F117" si="9">MAX($Q54,$O54,$I54)</f>
        <v>12.602967059728389</v>
      </c>
      <c r="G54" s="1858">
        <f t="shared" ref="G54:G117" si="10">IF(T54&lt;0,F54+G53+(-T54),F54+G53)</f>
        <v>12.602967059728389</v>
      </c>
      <c r="H54" s="586" t="s">
        <v>1863</v>
      </c>
      <c r="I54" s="811">
        <v>12.602967059728389</v>
      </c>
      <c r="J54" s="1136"/>
      <c r="K54" s="584"/>
      <c r="L54" s="812"/>
      <c r="M54" s="813" t="s">
        <v>263</v>
      </c>
      <c r="N54" s="1464" t="s">
        <v>263</v>
      </c>
      <c r="O54" s="1859" t="str">
        <f t="shared" si="8"/>
        <v>N/A</v>
      </c>
      <c r="P54" s="1860"/>
      <c r="Q54" s="1861" t="str">
        <f>IF($E54="Logistics",VLOOKUP($P54,'Lower Cask Movement &amp; Logistics'!$C$4:$D$53,2,FALSE),"N/A")</f>
        <v>N/A</v>
      </c>
      <c r="R54" s="3373"/>
      <c r="S54" s="3468" t="str">
        <f>IFERROR(VLOOKUP($R54,'LowerCask Recovery Dependencies'!$C$6:$F$71,4,FALSE),"N/A")</f>
        <v>N/A</v>
      </c>
      <c r="T54" s="3469" t="str">
        <f t="shared" ref="T54:T117" si="11">IFERROR(G53-S54,"N/A")</f>
        <v>N/A</v>
      </c>
      <c r="U54" s="2424"/>
      <c r="V54" s="2424"/>
      <c r="W54" s="2424"/>
      <c r="X54" s="2424"/>
      <c r="Y54" s="3434"/>
    </row>
    <row r="55" spans="1:28" s="8" customFormat="1" hidden="1" outlineLevel="2" x14ac:dyDescent="0.4">
      <c r="A55"/>
      <c r="B55" s="1771"/>
      <c r="C55" s="3852" t="s">
        <v>1864</v>
      </c>
      <c r="D55" s="818" t="s">
        <v>1623</v>
      </c>
      <c r="E55" s="1862" t="s">
        <v>3</v>
      </c>
      <c r="F55" s="821">
        <f t="shared" si="9"/>
        <v>0.38</v>
      </c>
      <c r="G55" s="1863">
        <f t="shared" si="10"/>
        <v>12.98296705972839</v>
      </c>
      <c r="H55" s="825"/>
      <c r="I55" s="824" t="s">
        <v>263</v>
      </c>
      <c r="J55" s="829"/>
      <c r="K55" s="823"/>
      <c r="L55" s="826"/>
      <c r="M55" s="827" t="s">
        <v>263</v>
      </c>
      <c r="N55" s="1864" t="s">
        <v>263</v>
      </c>
      <c r="O55" s="1865" t="str">
        <f t="shared" si="8"/>
        <v>N/A</v>
      </c>
      <c r="P55" s="1866" t="s">
        <v>1546</v>
      </c>
      <c r="Q55" s="1867">
        <f>IF($E55="Logistics",VLOOKUP($P55,'Lower Cask Movement &amp; Logistics'!$C$4:$D$53,2,FALSE),"N/A")</f>
        <v>0.38</v>
      </c>
      <c r="R55" s="3374"/>
      <c r="S55" s="3470" t="str">
        <f>IFERROR(VLOOKUP($R55,'LowerCask Recovery Dependencies'!$C$6:$F$71,4,FALSE),"N/A")</f>
        <v>N/A</v>
      </c>
      <c r="T55" s="3471" t="str">
        <f t="shared" si="11"/>
        <v>N/A</v>
      </c>
      <c r="U55" s="2424"/>
      <c r="V55" s="2424"/>
      <c r="W55" s="2424"/>
      <c r="X55" s="2424"/>
      <c r="Y55" s="3434"/>
    </row>
    <row r="56" spans="1:28" s="8" customFormat="1" ht="15" hidden="1" outlineLevel="2" thickBot="1" x14ac:dyDescent="0.45">
      <c r="A56"/>
      <c r="B56" s="1771"/>
      <c r="C56" s="3853"/>
      <c r="D56" s="833" t="s">
        <v>1599</v>
      </c>
      <c r="E56" s="1868" t="s">
        <v>3</v>
      </c>
      <c r="F56" s="835">
        <f t="shared" si="9"/>
        <v>0.38</v>
      </c>
      <c r="G56" s="499">
        <f t="shared" si="10"/>
        <v>13.36296705972839</v>
      </c>
      <c r="H56" s="839"/>
      <c r="I56" s="1345" t="s">
        <v>263</v>
      </c>
      <c r="J56" s="1869"/>
      <c r="K56" s="837"/>
      <c r="L56" s="840"/>
      <c r="M56" s="841" t="s">
        <v>263</v>
      </c>
      <c r="N56" s="1870" t="s">
        <v>263</v>
      </c>
      <c r="O56" s="1871" t="str">
        <f t="shared" si="8"/>
        <v>N/A</v>
      </c>
      <c r="P56" s="1872" t="s">
        <v>1546</v>
      </c>
      <c r="Q56" s="1873">
        <f>IF($E56="Logistics",VLOOKUP($P56,'Lower Cask Movement &amp; Logistics'!$C$4:$D$53,2,FALSE),"N/A")</f>
        <v>0.38</v>
      </c>
      <c r="R56" s="3375"/>
      <c r="S56" s="3472" t="str">
        <f>IFERROR(VLOOKUP($R56,'LowerCask Recovery Dependencies'!$C$6:$F$71,4,FALSE),"N/A")</f>
        <v>N/A</v>
      </c>
      <c r="T56" s="3473" t="str">
        <f t="shared" si="11"/>
        <v>N/A</v>
      </c>
      <c r="U56" s="2424"/>
      <c r="V56" s="2424"/>
      <c r="W56" s="2424"/>
      <c r="X56" s="2424"/>
      <c r="Y56" s="3434"/>
    </row>
    <row r="57" spans="1:28" s="88" customFormat="1" hidden="1" outlineLevel="2" x14ac:dyDescent="0.4">
      <c r="B57" s="1771"/>
      <c r="C57" s="3850" t="s">
        <v>1865</v>
      </c>
      <c r="D57" s="1129" t="s">
        <v>1252</v>
      </c>
      <c r="E57" s="1620" t="s">
        <v>3</v>
      </c>
      <c r="F57" s="1621">
        <f t="shared" si="9"/>
        <v>0.38</v>
      </c>
      <c r="G57" s="377">
        <f t="shared" si="10"/>
        <v>13.742967059728391</v>
      </c>
      <c r="H57" s="1874"/>
      <c r="I57" s="1130" t="s">
        <v>263</v>
      </c>
      <c r="J57" s="1129"/>
      <c r="K57" s="1619"/>
      <c r="L57" s="1619"/>
      <c r="M57" s="1623" t="str">
        <f>IFERROR(INDEX('Lower Cask Movement &amp; Logistics'!$I$13:$O$19,MATCH($K57,'Lower Cask Movement &amp; Logistics'!$H$13:$H$19,0),MATCH($L57,'Lower Cask Movement &amp; Logistics'!$H$13:$H$19,0)),"N/A")</f>
        <v>N/A</v>
      </c>
      <c r="N57" s="1875" t="str">
        <f>IFERROR(VLOOKUP($J57,'Lower Cask Movement &amp; Logistics'!$H$4:$I$9,2,FALSE),"N/A")</f>
        <v>N/A</v>
      </c>
      <c r="O57" s="1876" t="str">
        <f t="shared" si="8"/>
        <v>N/A</v>
      </c>
      <c r="P57" s="1877" t="s">
        <v>1544</v>
      </c>
      <c r="Q57" s="1876">
        <f>IF($E57="Logistics",VLOOKUP($P57,'Lower Cask Movement &amp; Logistics'!$C$4:$D$54,2,FALSE),"N/A")</f>
        <v>0.38</v>
      </c>
      <c r="R57" s="3376"/>
      <c r="S57" s="3474" t="str">
        <f>IFERROR(VLOOKUP($R57,'LowerCask Recovery Dependencies'!$C$6:$F$71,4,FALSE),"N/A")</f>
        <v>N/A</v>
      </c>
      <c r="T57" s="3475" t="str">
        <f t="shared" si="11"/>
        <v>N/A</v>
      </c>
      <c r="U57" s="1719"/>
      <c r="V57" s="1719"/>
      <c r="W57" s="1719"/>
      <c r="X57" s="1719"/>
      <c r="Y57" s="1719"/>
    </row>
    <row r="58" spans="1:28" s="88" customFormat="1" hidden="1" outlineLevel="2" x14ac:dyDescent="0.4">
      <c r="B58" s="1771"/>
      <c r="C58" s="3854"/>
      <c r="D58" s="1579" t="s">
        <v>1624</v>
      </c>
      <c r="E58" s="1611" t="s">
        <v>251</v>
      </c>
      <c r="F58" s="626">
        <f t="shared" si="9"/>
        <v>3.83</v>
      </c>
      <c r="G58" s="630">
        <f t="shared" si="10"/>
        <v>17.572967059728391</v>
      </c>
      <c r="H58" s="627" t="s">
        <v>269</v>
      </c>
      <c r="I58" s="632">
        <v>3.83</v>
      </c>
      <c r="J58" s="1579"/>
      <c r="K58" s="582"/>
      <c r="L58" s="582"/>
      <c r="M58" s="1478" t="str">
        <f>IFERROR(INDEX('Lower Cask Movement &amp; Logistics'!$I$13:$O$19,MATCH($K58,'Lower Cask Movement &amp; Logistics'!$H$13:$H$19,0),MATCH($L58,'Lower Cask Movement &amp; Logistics'!$H$13:$H$19,0)),"N/A")</f>
        <v>N/A</v>
      </c>
      <c r="N58" s="1878" t="str">
        <f>IFERROR(VLOOKUP($J58,'Lower Cask Movement &amp; Logistics'!$H$4:$I$9,2,FALSE),"N/A")</f>
        <v>N/A</v>
      </c>
      <c r="O58" s="1879" t="str">
        <f t="shared" si="8"/>
        <v>N/A</v>
      </c>
      <c r="P58" s="1880"/>
      <c r="Q58" s="1879" t="str">
        <f>IF($E58="Logistics",VLOOKUP($P58,'Lower Cask Movement &amp; Logistics'!$C$4:$D$54,2,FALSE),"N/A")</f>
        <v>N/A</v>
      </c>
      <c r="R58" s="3377"/>
      <c r="S58" s="3476" t="str">
        <f>IFERROR(VLOOKUP($R58,'LowerCask Recovery Dependencies'!$C$6:$F$71,4,FALSE),"N/A")</f>
        <v>N/A</v>
      </c>
      <c r="T58" s="3477" t="str">
        <f t="shared" si="11"/>
        <v>N/A</v>
      </c>
      <c r="U58" s="1719"/>
      <c r="V58" s="1719"/>
      <c r="W58" s="1719"/>
      <c r="X58" s="1719"/>
      <c r="Y58" s="1719"/>
    </row>
    <row r="59" spans="1:28" s="88" customFormat="1" hidden="1" outlineLevel="2" x14ac:dyDescent="0.4">
      <c r="B59" s="1771"/>
      <c r="C59" s="3854"/>
      <c r="D59" s="1579" t="s">
        <v>1625</v>
      </c>
      <c r="E59" s="1611" t="s">
        <v>251</v>
      </c>
      <c r="F59" s="626">
        <f t="shared" si="9"/>
        <v>3.83</v>
      </c>
      <c r="G59" s="630">
        <f t="shared" si="10"/>
        <v>21.40296705972839</v>
      </c>
      <c r="H59" s="627" t="s">
        <v>269</v>
      </c>
      <c r="I59" s="632">
        <v>3.83</v>
      </c>
      <c r="J59" s="1579"/>
      <c r="K59" s="582"/>
      <c r="L59" s="582"/>
      <c r="M59" s="1478" t="str">
        <f>IFERROR(INDEX('Lower Cask Movement &amp; Logistics'!$I$13:$O$19,MATCH($K59,'Lower Cask Movement &amp; Logistics'!$H$13:$H$19,0),MATCH($L59,'Lower Cask Movement &amp; Logistics'!$H$13:$H$19,0)),"N/A")</f>
        <v>N/A</v>
      </c>
      <c r="N59" s="1878" t="str">
        <f>IFERROR(VLOOKUP($J59,'Lower Cask Movement &amp; Logistics'!$H$4:$I$9,2,FALSE),"N/A")</f>
        <v>N/A</v>
      </c>
      <c r="O59" s="1879" t="str">
        <f t="shared" si="8"/>
        <v>N/A</v>
      </c>
      <c r="P59" s="1880" t="s">
        <v>1546</v>
      </c>
      <c r="Q59" s="1879" t="str">
        <f>IF($E59="Logistics",VLOOKUP($P59,'Lower Cask Movement &amp; Logistics'!$C$4:$D$54,2,FALSE),"N/A")</f>
        <v>N/A</v>
      </c>
      <c r="R59" s="3377"/>
      <c r="S59" s="3476" t="str">
        <f>IFERROR(VLOOKUP($R59,'LowerCask Recovery Dependencies'!$C$6:$F$71,4,FALSE),"N/A")</f>
        <v>N/A</v>
      </c>
      <c r="T59" s="3477" t="str">
        <f t="shared" si="11"/>
        <v>N/A</v>
      </c>
      <c r="U59" s="1719"/>
      <c r="V59" s="1719"/>
      <c r="W59" s="1719"/>
      <c r="X59" s="1719"/>
      <c r="Y59" s="1719"/>
    </row>
    <row r="60" spans="1:28" s="88" customFormat="1" hidden="1" outlineLevel="2" x14ac:dyDescent="0.4">
      <c r="B60" s="1771"/>
      <c r="C60" s="3854"/>
      <c r="D60" s="1579" t="s">
        <v>1593</v>
      </c>
      <c r="E60" s="1611" t="s">
        <v>3</v>
      </c>
      <c r="F60" s="626">
        <f t="shared" si="9"/>
        <v>0.53</v>
      </c>
      <c r="G60" s="630">
        <f t="shared" si="10"/>
        <v>21.932967059728391</v>
      </c>
      <c r="H60" s="627"/>
      <c r="I60" s="632" t="s">
        <v>263</v>
      </c>
      <c r="J60" s="1579"/>
      <c r="K60" s="582"/>
      <c r="L60" s="582"/>
      <c r="M60" s="1478" t="str">
        <f>IFERROR(INDEX('Lower Cask Movement &amp; Logistics'!$I$13:$O$19,MATCH($K60,'Lower Cask Movement &amp; Logistics'!$H$13:$H$19,0),MATCH($L60,'Lower Cask Movement &amp; Logistics'!$H$13:$H$19,0)),"N/A")</f>
        <v>N/A</v>
      </c>
      <c r="N60" s="1878" t="str">
        <f>IFERROR(VLOOKUP($J60,'Lower Cask Movement &amp; Logistics'!$H$4:$I$9,2,FALSE),"N/A")</f>
        <v>N/A</v>
      </c>
      <c r="O60" s="1879" t="str">
        <f t="shared" si="8"/>
        <v>N/A</v>
      </c>
      <c r="P60" s="1880" t="s">
        <v>1558</v>
      </c>
      <c r="Q60" s="1879">
        <f>IF($E60="Logistics",VLOOKUP($P60,'Lower Cask Movement &amp; Logistics'!$C$4:$D$54,2,FALSE),"N/A")</f>
        <v>0.53</v>
      </c>
      <c r="R60" s="3377"/>
      <c r="S60" s="3476" t="str">
        <f>IFERROR(VLOOKUP($R60,'LowerCask Recovery Dependencies'!$C$6:$F$71,4,FALSE),"N/A")</f>
        <v>N/A</v>
      </c>
      <c r="T60" s="3477" t="str">
        <f t="shared" si="11"/>
        <v>N/A</v>
      </c>
      <c r="U60" s="1719"/>
      <c r="V60" s="1719"/>
      <c r="W60" s="1719"/>
      <c r="X60" s="1719"/>
      <c r="Y60" s="1719"/>
    </row>
    <row r="61" spans="1:28" s="88" customFormat="1" hidden="1" outlineLevel="2" x14ac:dyDescent="0.4">
      <c r="B61" s="1771"/>
      <c r="C61" s="3854"/>
      <c r="D61" s="1579" t="s">
        <v>947</v>
      </c>
      <c r="E61" s="1611" t="s">
        <v>251</v>
      </c>
      <c r="F61" s="626">
        <f t="shared" si="9"/>
        <v>12.602967059728389</v>
      </c>
      <c r="G61" s="630">
        <f t="shared" si="10"/>
        <v>34.535934119456783</v>
      </c>
      <c r="H61" s="627" t="s">
        <v>441</v>
      </c>
      <c r="I61" s="632">
        <v>12.602967059728389</v>
      </c>
      <c r="J61" s="1579"/>
      <c r="K61" s="582"/>
      <c r="L61" s="582"/>
      <c r="M61" s="1478" t="str">
        <f>IFERROR(INDEX('Lower Cask Movement &amp; Logistics'!$I$13:$O$19,MATCH($K61,'Lower Cask Movement &amp; Logistics'!$H$13:$H$19,0),MATCH($L61,'Lower Cask Movement &amp; Logistics'!$H$13:$H$19,0)),"N/A")</f>
        <v>N/A</v>
      </c>
      <c r="N61" s="1878" t="str">
        <f>IFERROR(VLOOKUP($J61,'Lower Cask Movement &amp; Logistics'!$H$4:$I$9,2,FALSE),"N/A")</f>
        <v>N/A</v>
      </c>
      <c r="O61" s="1879" t="str">
        <f t="shared" si="8"/>
        <v>N/A</v>
      </c>
      <c r="P61" s="1880"/>
      <c r="Q61" s="1879" t="str">
        <f>IF($E61="Logistics",VLOOKUP($P61,'Lower Cask Movement &amp; Logistics'!$C$4:$D$54,2,FALSE),"N/A")</f>
        <v>N/A</v>
      </c>
      <c r="R61" s="3377"/>
      <c r="S61" s="3476" t="str">
        <f>IFERROR(VLOOKUP($R61,'LowerCask Recovery Dependencies'!$C$6:$F$71,4,FALSE),"N/A")</f>
        <v>N/A</v>
      </c>
      <c r="T61" s="3477" t="str">
        <f t="shared" si="11"/>
        <v>N/A</v>
      </c>
      <c r="U61" s="1719"/>
      <c r="V61" s="1719"/>
      <c r="W61" s="1719"/>
      <c r="X61" s="1719"/>
      <c r="Y61" s="1719"/>
    </row>
    <row r="62" spans="1:28" s="88" customFormat="1" hidden="1" outlineLevel="2" x14ac:dyDescent="0.4">
      <c r="B62" s="1771"/>
      <c r="C62" s="3854"/>
      <c r="D62" s="1579" t="s">
        <v>1626</v>
      </c>
      <c r="E62" s="1611" t="s">
        <v>3</v>
      </c>
      <c r="F62" s="626">
        <f t="shared" si="9"/>
        <v>0.38</v>
      </c>
      <c r="G62" s="630">
        <f t="shared" si="10"/>
        <v>34.915934119456786</v>
      </c>
      <c r="H62" s="627"/>
      <c r="I62" s="632" t="s">
        <v>263</v>
      </c>
      <c r="J62" s="1579"/>
      <c r="K62" s="582"/>
      <c r="L62" s="582"/>
      <c r="M62" s="1478" t="str">
        <f>IFERROR(INDEX('Lower Cask Movement &amp; Logistics'!$I$13:$O$19,MATCH($K62,'Lower Cask Movement &amp; Logistics'!$H$13:$H$19,0),MATCH($L62,'Lower Cask Movement &amp; Logistics'!$H$13:$H$19,0)),"N/A")</f>
        <v>N/A</v>
      </c>
      <c r="N62" s="1878" t="str">
        <f>IFERROR(VLOOKUP($J62,'Lower Cask Movement &amp; Logistics'!$H$4:$I$9,2,FALSE),"N/A")</f>
        <v>N/A</v>
      </c>
      <c r="O62" s="1879" t="str">
        <f t="shared" si="8"/>
        <v>N/A</v>
      </c>
      <c r="P62" s="1880" t="s">
        <v>1546</v>
      </c>
      <c r="Q62" s="1879">
        <f>IF($E62="Logistics",VLOOKUP($P62,'Lower Cask Movement &amp; Logistics'!$C$4:$D$54,2,FALSE),"N/A")</f>
        <v>0.38</v>
      </c>
      <c r="R62" s="3377"/>
      <c r="S62" s="3476" t="str">
        <f>IFERROR(VLOOKUP($R62,'LowerCask Recovery Dependencies'!$C$6:$F$71,4,FALSE),"N/A")</f>
        <v>N/A</v>
      </c>
      <c r="T62" s="3477" t="str">
        <f t="shared" si="11"/>
        <v>N/A</v>
      </c>
      <c r="U62" s="1719"/>
      <c r="V62" s="1719"/>
      <c r="W62" s="1719"/>
      <c r="X62" s="1719"/>
      <c r="Y62" s="1719"/>
    </row>
    <row r="63" spans="1:28" s="88" customFormat="1" hidden="1" outlineLevel="2" x14ac:dyDescent="0.4">
      <c r="B63" s="1771"/>
      <c r="C63" s="3854"/>
      <c r="D63" s="1579" t="s">
        <v>1596</v>
      </c>
      <c r="E63" s="1611" t="s">
        <v>3</v>
      </c>
      <c r="F63" s="626">
        <f t="shared" si="9"/>
        <v>0.53</v>
      </c>
      <c r="G63" s="630">
        <f t="shared" si="10"/>
        <v>35.445934119456787</v>
      </c>
      <c r="H63" s="627"/>
      <c r="I63" s="632" t="s">
        <v>263</v>
      </c>
      <c r="J63" s="1579"/>
      <c r="K63" s="582"/>
      <c r="L63" s="582"/>
      <c r="M63" s="1478" t="str">
        <f>IFERROR(INDEX('Lower Cask Movement &amp; Logistics'!$I$13:$O$19,MATCH($K63,'Lower Cask Movement &amp; Logistics'!$H$13:$H$19,0),MATCH($L63,'Lower Cask Movement &amp; Logistics'!$H$13:$H$19,0)),"N/A")</f>
        <v>N/A</v>
      </c>
      <c r="N63" s="1878" t="str">
        <f>IFERROR(VLOOKUP($J63,'Lower Cask Movement &amp; Logistics'!$H$4:$I$9,2,FALSE),"N/A")</f>
        <v>N/A</v>
      </c>
      <c r="O63" s="1879" t="str">
        <f t="shared" si="8"/>
        <v>N/A</v>
      </c>
      <c r="P63" s="1880" t="s">
        <v>1558</v>
      </c>
      <c r="Q63" s="1879">
        <f>IF($E63="Logistics",VLOOKUP($P63,'Lower Cask Movement &amp; Logistics'!$C$4:$D$54,2,FALSE),"N/A")</f>
        <v>0.53</v>
      </c>
      <c r="R63" s="3377"/>
      <c r="S63" s="3476" t="str">
        <f>IFERROR(VLOOKUP($R63,'LowerCask Recovery Dependencies'!$C$6:$F$71,4,FALSE),"N/A")</f>
        <v>N/A</v>
      </c>
      <c r="T63" s="3477" t="str">
        <f t="shared" si="11"/>
        <v>N/A</v>
      </c>
      <c r="U63" s="1719"/>
      <c r="V63" s="1719"/>
      <c r="W63" s="1719"/>
      <c r="X63" s="1719"/>
      <c r="Y63" s="1719"/>
    </row>
    <row r="64" spans="1:28" s="88" customFormat="1" hidden="1" outlineLevel="2" x14ac:dyDescent="0.4">
      <c r="B64" s="1771"/>
      <c r="C64" s="3854"/>
      <c r="D64" s="1579" t="s">
        <v>949</v>
      </c>
      <c r="E64" s="1611" t="s">
        <v>251</v>
      </c>
      <c r="F64" s="626">
        <f t="shared" si="9"/>
        <v>12.602967059728389</v>
      </c>
      <c r="G64" s="630">
        <f t="shared" si="10"/>
        <v>48.048901179185179</v>
      </c>
      <c r="H64" s="627" t="s">
        <v>441</v>
      </c>
      <c r="I64" s="632">
        <v>12.602967059728389</v>
      </c>
      <c r="J64" s="1579"/>
      <c r="K64" s="582"/>
      <c r="L64" s="582"/>
      <c r="M64" s="1478" t="str">
        <f>IFERROR(INDEX('Lower Cask Movement &amp; Logistics'!$I$13:$O$19,MATCH($K64,'Lower Cask Movement &amp; Logistics'!$H$13:$H$19,0),MATCH($L64,'Lower Cask Movement &amp; Logistics'!$H$13:$H$19,0)),"N/A")</f>
        <v>N/A</v>
      </c>
      <c r="N64" s="1878" t="str">
        <f>IFERROR(VLOOKUP($J64,'Lower Cask Movement &amp; Logistics'!$H$4:$I$9,2,FALSE),"N/A")</f>
        <v>N/A</v>
      </c>
      <c r="O64" s="1879" t="str">
        <f t="shared" si="8"/>
        <v>N/A</v>
      </c>
      <c r="P64" s="1880"/>
      <c r="Q64" s="1879" t="str">
        <f>IF($E64="Logistics",VLOOKUP($P64,'Lower Cask Movement &amp; Logistics'!$C$4:$D$54,2,FALSE),"N/A")</f>
        <v>N/A</v>
      </c>
      <c r="R64" s="3377"/>
      <c r="S64" s="3476" t="str">
        <f>IFERROR(VLOOKUP($R64,'LowerCask Recovery Dependencies'!$C$6:$F$71,4,FALSE),"N/A")</f>
        <v>N/A</v>
      </c>
      <c r="T64" s="3477" t="str">
        <f t="shared" si="11"/>
        <v>N/A</v>
      </c>
      <c r="U64" s="1719"/>
      <c r="V64" s="1719"/>
      <c r="W64" s="1719"/>
      <c r="X64" s="1719"/>
      <c r="Y64" s="1719"/>
    </row>
    <row r="65" spans="2:25" s="88" customFormat="1" hidden="1" outlineLevel="2" x14ac:dyDescent="0.4">
      <c r="B65" s="1771"/>
      <c r="C65" s="3854"/>
      <c r="D65" s="1579" t="s">
        <v>1599</v>
      </c>
      <c r="E65" s="1611" t="s">
        <v>3</v>
      </c>
      <c r="F65" s="626">
        <f t="shared" si="9"/>
        <v>0.38</v>
      </c>
      <c r="G65" s="630">
        <f t="shared" si="10"/>
        <v>48.428901179185182</v>
      </c>
      <c r="H65" s="627"/>
      <c r="I65" s="632" t="s">
        <v>263</v>
      </c>
      <c r="J65" s="1579"/>
      <c r="K65" s="582"/>
      <c r="L65" s="582"/>
      <c r="M65" s="1478" t="str">
        <f>IFERROR(INDEX('Lower Cask Movement &amp; Logistics'!$I$13:$O$19,MATCH($K65,'Lower Cask Movement &amp; Logistics'!$H$13:$H$19,0),MATCH($L65,'Lower Cask Movement &amp; Logistics'!$H$13:$H$19,0)),"N/A")</f>
        <v>N/A</v>
      </c>
      <c r="N65" s="1878" t="str">
        <f>IFERROR(VLOOKUP($J65,'Lower Cask Movement &amp; Logistics'!$H$4:$I$9,2,FALSE),"N/A")</f>
        <v>N/A</v>
      </c>
      <c r="O65" s="1879" t="str">
        <f t="shared" si="8"/>
        <v>N/A</v>
      </c>
      <c r="P65" s="1880" t="s">
        <v>1546</v>
      </c>
      <c r="Q65" s="1879">
        <f>IF($E65="Logistics",VLOOKUP($P65,'Lower Cask Movement &amp; Logistics'!$C$4:$D$54,2,FALSE),"N/A")</f>
        <v>0.38</v>
      </c>
      <c r="R65" s="3377"/>
      <c r="S65" s="3476" t="str">
        <f>IFERROR(VLOOKUP($R65,'LowerCask Recovery Dependencies'!$C$6:$F$71,4,FALSE),"N/A")</f>
        <v>N/A</v>
      </c>
      <c r="T65" s="3477" t="str">
        <f t="shared" si="11"/>
        <v>N/A</v>
      </c>
      <c r="U65" s="1719"/>
      <c r="V65" s="1719"/>
      <c r="W65" s="1719"/>
      <c r="X65" s="1719"/>
      <c r="Y65" s="1719"/>
    </row>
    <row r="66" spans="2:25" s="88" customFormat="1" hidden="1" outlineLevel="2" x14ac:dyDescent="0.4">
      <c r="B66" s="1771"/>
      <c r="C66" s="3854"/>
      <c r="D66" s="1579" t="s">
        <v>1627</v>
      </c>
      <c r="E66" s="1611" t="s">
        <v>3</v>
      </c>
      <c r="F66" s="626">
        <f t="shared" si="9"/>
        <v>0.38</v>
      </c>
      <c r="G66" s="630">
        <f t="shared" si="10"/>
        <v>48.808901179185185</v>
      </c>
      <c r="H66" s="627"/>
      <c r="I66" s="632" t="s">
        <v>263</v>
      </c>
      <c r="J66" s="1579"/>
      <c r="K66" s="582"/>
      <c r="L66" s="582"/>
      <c r="M66" s="1478" t="str">
        <f>IFERROR(INDEX('Lower Cask Movement &amp; Logistics'!$I$13:$O$19,MATCH($K66,'Lower Cask Movement &amp; Logistics'!$H$13:$H$19,0),MATCH($L66,'Lower Cask Movement &amp; Logistics'!$H$13:$H$19,0)),"N/A")</f>
        <v>N/A</v>
      </c>
      <c r="N66" s="1878" t="str">
        <f>IFERROR(VLOOKUP($J66,'Lower Cask Movement &amp; Logistics'!$H$4:$I$9,2,FALSE),"N/A")</f>
        <v>N/A</v>
      </c>
      <c r="O66" s="1879" t="str">
        <f t="shared" si="8"/>
        <v>N/A</v>
      </c>
      <c r="P66" s="1880" t="s">
        <v>1546</v>
      </c>
      <c r="Q66" s="1879">
        <f>IF($E66="Logistics",VLOOKUP($P66,'Lower Cask Movement &amp; Logistics'!$C$4:$D$54,2,FALSE),"N/A")</f>
        <v>0.38</v>
      </c>
      <c r="R66" s="3377"/>
      <c r="S66" s="3476" t="str">
        <f>IFERROR(VLOOKUP($R66,'LowerCask Recovery Dependencies'!$C$6:$F$71,4,FALSE),"N/A")</f>
        <v>N/A</v>
      </c>
      <c r="T66" s="3477" t="str">
        <f t="shared" si="11"/>
        <v>N/A</v>
      </c>
      <c r="U66" s="1719"/>
      <c r="V66" s="1719"/>
      <c r="W66" s="1719"/>
      <c r="X66" s="1719"/>
      <c r="Y66" s="1719"/>
    </row>
    <row r="67" spans="2:25" s="88" customFormat="1" ht="15" hidden="1" outlineLevel="2" thickBot="1" x14ac:dyDescent="0.45">
      <c r="B67" s="1771"/>
      <c r="C67" s="3851"/>
      <c r="D67" s="1136" t="s">
        <v>1628</v>
      </c>
      <c r="E67" s="1581" t="s">
        <v>3</v>
      </c>
      <c r="F67" s="585">
        <f t="shared" si="9"/>
        <v>2.3000000000000003</v>
      </c>
      <c r="G67" s="589">
        <f t="shared" si="10"/>
        <v>51.108901179185182</v>
      </c>
      <c r="H67" s="586"/>
      <c r="I67" s="591" t="s">
        <v>263</v>
      </c>
      <c r="J67" s="1136"/>
      <c r="K67" s="584"/>
      <c r="L67" s="584"/>
      <c r="M67" s="814" t="str">
        <f>IFERROR(INDEX('Lower Cask Movement &amp; Logistics'!$I$13:$O$19,MATCH($K67,'Lower Cask Movement &amp; Logistics'!$H$13:$H$19,0),MATCH($L67,'Lower Cask Movement &amp; Logistics'!$H$13:$H$19,0)),"N/A")</f>
        <v>N/A</v>
      </c>
      <c r="N67" s="1464" t="str">
        <f>IFERROR(VLOOKUP($J67,'Lower Cask Movement &amp; Logistics'!$H$4:$I$9,2,FALSE),"N/A")</f>
        <v>N/A</v>
      </c>
      <c r="O67" s="1881" t="str">
        <f t="shared" si="8"/>
        <v>N/A</v>
      </c>
      <c r="P67" s="1882" t="s">
        <v>1552</v>
      </c>
      <c r="Q67" s="1881">
        <f>IF($E67="Logistics",VLOOKUP($P67,'Lower Cask Movement &amp; Logistics'!$C$4:$D$54,2,FALSE),"N/A")</f>
        <v>2.3000000000000003</v>
      </c>
      <c r="R67" s="3378"/>
      <c r="S67" s="3478" t="str">
        <f>IFERROR(VLOOKUP($R67,'LowerCask Recovery Dependencies'!$C$6:$F$71,4,FALSE),"N/A")</f>
        <v>N/A</v>
      </c>
      <c r="T67" s="3469" t="str">
        <f t="shared" si="11"/>
        <v>N/A</v>
      </c>
      <c r="U67" s="1719"/>
      <c r="V67" s="1719"/>
      <c r="W67" s="1719"/>
      <c r="X67" s="1719"/>
      <c r="Y67" s="1719"/>
    </row>
    <row r="68" spans="2:25" s="88" customFormat="1" ht="29.15" hidden="1" outlineLevel="2" x14ac:dyDescent="0.4">
      <c r="B68" s="1771"/>
      <c r="C68" s="3855" t="s">
        <v>1629</v>
      </c>
      <c r="D68" s="1883" t="s">
        <v>1630</v>
      </c>
      <c r="E68" s="1884" t="s">
        <v>3</v>
      </c>
      <c r="F68" s="1885">
        <f t="shared" si="9"/>
        <v>1.9</v>
      </c>
      <c r="G68" s="1886">
        <f t="shared" si="10"/>
        <v>53.00890117918518</v>
      </c>
      <c r="H68" s="1887"/>
      <c r="I68" s="1888" t="s">
        <v>263</v>
      </c>
      <c r="J68" s="1883"/>
      <c r="K68" s="1889"/>
      <c r="L68" s="1889"/>
      <c r="M68" s="1890" t="str">
        <f>IFERROR(INDEX('Lower Cask Movement &amp; Logistics'!$I$13:$O$19,MATCH($K68,'Lower Cask Movement &amp; Logistics'!$H$13:$H$19,0),MATCH($L68,'Lower Cask Movement &amp; Logistics'!$H$13:$H$19,0)),"N/A")</f>
        <v>N/A</v>
      </c>
      <c r="N68" s="1891" t="str">
        <f>IFERROR(VLOOKUP($J68,'Lower Cask Movement &amp; Logistics'!$H$4:$I$9,2,FALSE),"N/A")</f>
        <v>N/A</v>
      </c>
      <c r="O68" s="1892" t="str">
        <f t="shared" si="8"/>
        <v>N/A</v>
      </c>
      <c r="P68" s="1535" t="s">
        <v>1541</v>
      </c>
      <c r="Q68" s="1892">
        <f>IF($E68="Logistics",VLOOKUP($P68,'Lower Cask Movement &amp; Logistics'!$C$4:$D$54,2,FALSE),"N/A")</f>
        <v>1.9</v>
      </c>
      <c r="R68" s="3379" t="s">
        <v>1631</v>
      </c>
      <c r="S68" s="3479">
        <f>IFERROR(VLOOKUP($R68,'LowerCask Recovery Dependencies'!$C$6:$F$71,4,FALSE),"N/A")</f>
        <v>4.213703703703704</v>
      </c>
      <c r="T68" s="3480">
        <f t="shared" si="11"/>
        <v>46.895197475481481</v>
      </c>
      <c r="U68" s="1719"/>
      <c r="V68" s="1719"/>
      <c r="W68" s="1719"/>
      <c r="X68" s="1719"/>
      <c r="Y68" s="1719"/>
    </row>
    <row r="69" spans="2:25" s="88" customFormat="1" hidden="1" outlineLevel="2" x14ac:dyDescent="0.4">
      <c r="B69" s="1771"/>
      <c r="C69" s="3855"/>
      <c r="D69" s="1895" t="s">
        <v>1247</v>
      </c>
      <c r="E69" s="1896" t="s">
        <v>3</v>
      </c>
      <c r="F69" s="1347">
        <f t="shared" si="9"/>
        <v>0.38</v>
      </c>
      <c r="G69" s="1351">
        <f t="shared" si="10"/>
        <v>53.388901179185183</v>
      </c>
      <c r="H69" s="1348"/>
      <c r="I69" s="1353" t="s">
        <v>263</v>
      </c>
      <c r="J69" s="1895"/>
      <c r="K69" s="1897"/>
      <c r="L69" s="1897"/>
      <c r="M69" s="1898" t="str">
        <f>IFERROR(INDEX('Lower Cask Movement &amp; Logistics'!$I$13:$O$19,MATCH($K69,'Lower Cask Movement &amp; Logistics'!$H$13:$H$19,0),MATCH($L69,'Lower Cask Movement &amp; Logistics'!$H$13:$H$19,0)),"N/A")</f>
        <v>N/A</v>
      </c>
      <c r="N69" s="1899" t="str">
        <f>IFERROR(VLOOKUP($J69,'Lower Cask Movement &amp; Logistics'!$H$4:$I$9,2,FALSE),"N/A")</f>
        <v>N/A</v>
      </c>
      <c r="O69" s="1900" t="str">
        <f t="shared" si="8"/>
        <v>N/A</v>
      </c>
      <c r="P69" s="1901" t="s">
        <v>1544</v>
      </c>
      <c r="Q69" s="1900">
        <f>IF($E69="Logistics",VLOOKUP($P69,'Lower Cask Movement &amp; Logistics'!$C$4:$D$54,2,FALSE),"N/A")</f>
        <v>0.38</v>
      </c>
      <c r="R69" s="3380"/>
      <c r="S69" s="3481" t="str">
        <f>IFERROR(VLOOKUP($R69,'LowerCask Recovery Dependencies'!$C$6:$F$71,4,FALSE),"N/A")</f>
        <v>N/A</v>
      </c>
      <c r="T69" s="3482" t="str">
        <f t="shared" si="11"/>
        <v>N/A</v>
      </c>
      <c r="U69" s="1719"/>
      <c r="V69" s="1719"/>
      <c r="W69" s="1719"/>
      <c r="X69" s="1719"/>
      <c r="Y69" s="1719"/>
    </row>
    <row r="70" spans="2:25" s="88" customFormat="1" hidden="1" outlineLevel="2" x14ac:dyDescent="0.4">
      <c r="B70" s="1771"/>
      <c r="C70" s="3855"/>
      <c r="D70" s="1895" t="s">
        <v>951</v>
      </c>
      <c r="E70" s="1896" t="s">
        <v>251</v>
      </c>
      <c r="F70" s="1347">
        <f t="shared" si="9"/>
        <v>12.602967059728389</v>
      </c>
      <c r="G70" s="1351">
        <f t="shared" si="10"/>
        <v>65.991868238913568</v>
      </c>
      <c r="H70" s="1348" t="s">
        <v>441</v>
      </c>
      <c r="I70" s="1353">
        <v>12.602967059728389</v>
      </c>
      <c r="J70" s="1895"/>
      <c r="K70" s="1897"/>
      <c r="L70" s="1897"/>
      <c r="M70" s="1898" t="str">
        <f>IFERROR(INDEX('Lower Cask Movement &amp; Logistics'!$I$13:$O$19,MATCH($K70,'Lower Cask Movement &amp; Logistics'!$H$13:$H$19,0),MATCH($L70,'Lower Cask Movement &amp; Logistics'!$H$13:$H$19,0)),"N/A")</f>
        <v>N/A</v>
      </c>
      <c r="N70" s="1899" t="str">
        <f>IFERROR(VLOOKUP($J70,'Lower Cask Movement &amp; Logistics'!$H$4:$I$9,2,FALSE),"N/A")</f>
        <v>N/A</v>
      </c>
      <c r="O70" s="1900" t="str">
        <f t="shared" si="8"/>
        <v>N/A</v>
      </c>
      <c r="P70" s="1901"/>
      <c r="Q70" s="1900" t="str">
        <f>IF($E70="Logistics",VLOOKUP($P70,'Lower Cask Movement &amp; Logistics'!$C$4:$D$54,2,FALSE),"N/A")</f>
        <v>N/A</v>
      </c>
      <c r="R70" s="3380"/>
      <c r="S70" s="3481" t="str">
        <f>IFERROR(VLOOKUP($R70,'LowerCask Recovery Dependencies'!$C$6:$F$71,4,FALSE),"N/A")</f>
        <v>N/A</v>
      </c>
      <c r="T70" s="3482" t="str">
        <f t="shared" si="11"/>
        <v>N/A</v>
      </c>
      <c r="U70" s="1719"/>
      <c r="V70" s="1719"/>
      <c r="W70" s="1719"/>
      <c r="X70" s="1719"/>
      <c r="Y70" s="1719"/>
    </row>
    <row r="71" spans="2:25" s="88" customFormat="1" hidden="1" outlineLevel="2" x14ac:dyDescent="0.4">
      <c r="B71" s="1771"/>
      <c r="C71" s="3855"/>
      <c r="D71" s="1895" t="s">
        <v>1632</v>
      </c>
      <c r="E71" s="1896" t="s">
        <v>3</v>
      </c>
      <c r="F71" s="1347">
        <f t="shared" si="9"/>
        <v>0.38</v>
      </c>
      <c r="G71" s="1351">
        <f t="shared" si="10"/>
        <v>66.371868238913564</v>
      </c>
      <c r="H71" s="1348"/>
      <c r="I71" s="1353" t="s">
        <v>263</v>
      </c>
      <c r="J71" s="1895"/>
      <c r="K71" s="1897"/>
      <c r="L71" s="1897"/>
      <c r="M71" s="1898" t="str">
        <f>IFERROR(INDEX('Lower Cask Movement &amp; Logistics'!$I$13:$O$19,MATCH($K71,'Lower Cask Movement &amp; Logistics'!$H$13:$H$19,0),MATCH($L71,'Lower Cask Movement &amp; Logistics'!$H$13:$H$19,0)),"N/A")</f>
        <v>N/A</v>
      </c>
      <c r="N71" s="1899" t="str">
        <f>IFERROR(VLOOKUP($J71,'Lower Cask Movement &amp; Logistics'!$H$4:$I$9,2,FALSE),"N/A")</f>
        <v>N/A</v>
      </c>
      <c r="O71" s="1900" t="str">
        <f t="shared" si="8"/>
        <v>N/A</v>
      </c>
      <c r="P71" s="1901" t="s">
        <v>1546</v>
      </c>
      <c r="Q71" s="1900">
        <f>IF($E71="Logistics",VLOOKUP($P71,'Lower Cask Movement &amp; Logistics'!$C$4:$D$54,2,FALSE),"N/A")</f>
        <v>0.38</v>
      </c>
      <c r="R71" s="3380"/>
      <c r="S71" s="3481" t="str">
        <f>IFERROR(VLOOKUP($R71,'LowerCask Recovery Dependencies'!$C$6:$F$71,4,FALSE),"N/A")</f>
        <v>N/A</v>
      </c>
      <c r="T71" s="3482" t="str">
        <f t="shared" si="11"/>
        <v>N/A</v>
      </c>
      <c r="U71" s="1719"/>
      <c r="V71" s="1719"/>
      <c r="W71" s="1719"/>
      <c r="X71" s="1719"/>
      <c r="Y71" s="1719"/>
    </row>
    <row r="72" spans="2:25" s="88" customFormat="1" hidden="1" outlineLevel="2" x14ac:dyDescent="0.4">
      <c r="B72" s="1771"/>
      <c r="C72" s="3855"/>
      <c r="D72" s="1895" t="s">
        <v>1593</v>
      </c>
      <c r="E72" s="1896" t="s">
        <v>3</v>
      </c>
      <c r="F72" s="1347">
        <f t="shared" si="9"/>
        <v>0.53</v>
      </c>
      <c r="G72" s="1351">
        <f t="shared" si="10"/>
        <v>66.901868238913565</v>
      </c>
      <c r="H72" s="1348"/>
      <c r="I72" s="1353" t="s">
        <v>263</v>
      </c>
      <c r="J72" s="1895"/>
      <c r="K72" s="1897"/>
      <c r="L72" s="1897"/>
      <c r="M72" s="1898" t="str">
        <f>IFERROR(INDEX('Lower Cask Movement &amp; Logistics'!$I$13:$O$19,MATCH($K72,'Lower Cask Movement &amp; Logistics'!$H$13:$H$19,0),MATCH($L72,'Lower Cask Movement &amp; Logistics'!$H$13:$H$19,0)),"N/A")</f>
        <v>N/A</v>
      </c>
      <c r="N72" s="1899" t="str">
        <f>IFERROR(VLOOKUP($J72,'Lower Cask Movement &amp; Logistics'!$H$4:$I$9,2,FALSE),"N/A")</f>
        <v>N/A</v>
      </c>
      <c r="O72" s="1900" t="str">
        <f t="shared" si="8"/>
        <v>N/A</v>
      </c>
      <c r="P72" s="1901" t="s">
        <v>1558</v>
      </c>
      <c r="Q72" s="1900">
        <f>IF($E72="Logistics",VLOOKUP($P72,'Lower Cask Movement &amp; Logistics'!$C$4:$D$54,2,FALSE),"N/A")</f>
        <v>0.53</v>
      </c>
      <c r="R72" s="3380"/>
      <c r="S72" s="3481" t="str">
        <f>IFERROR(VLOOKUP($R72,'LowerCask Recovery Dependencies'!$C$6:$F$71,4,FALSE),"N/A")</f>
        <v>N/A</v>
      </c>
      <c r="T72" s="3482" t="str">
        <f t="shared" si="11"/>
        <v>N/A</v>
      </c>
      <c r="U72" s="1719"/>
      <c r="V72" s="1719"/>
      <c r="W72" s="1719"/>
      <c r="X72" s="1719"/>
      <c r="Y72" s="1719"/>
    </row>
    <row r="73" spans="2:25" s="88" customFormat="1" hidden="1" outlineLevel="2" x14ac:dyDescent="0.4">
      <c r="B73" s="1771"/>
      <c r="C73" s="3855"/>
      <c r="D73" s="1895" t="s">
        <v>953</v>
      </c>
      <c r="E73" s="1896" t="s">
        <v>251</v>
      </c>
      <c r="F73" s="1347">
        <f t="shared" si="9"/>
        <v>12.602967059728389</v>
      </c>
      <c r="G73" s="1351">
        <f t="shared" si="10"/>
        <v>79.50483529864195</v>
      </c>
      <c r="H73" s="1348" t="s">
        <v>441</v>
      </c>
      <c r="I73" s="1353">
        <v>12.602967059728389</v>
      </c>
      <c r="J73" s="1895"/>
      <c r="K73" s="1897"/>
      <c r="L73" s="1897"/>
      <c r="M73" s="1898" t="str">
        <f>IFERROR(INDEX('Lower Cask Movement &amp; Logistics'!$I$13:$O$19,MATCH($K73,'Lower Cask Movement &amp; Logistics'!$H$13:$H$19,0),MATCH($L73,'Lower Cask Movement &amp; Logistics'!$H$13:$H$19,0)),"N/A")</f>
        <v>N/A</v>
      </c>
      <c r="N73" s="1899" t="str">
        <f>IFERROR(VLOOKUP($J73,'Lower Cask Movement &amp; Logistics'!$H$4:$I$9,2,FALSE),"N/A")</f>
        <v>N/A</v>
      </c>
      <c r="O73" s="1900" t="str">
        <f t="shared" si="8"/>
        <v>N/A</v>
      </c>
      <c r="P73" s="1901"/>
      <c r="Q73" s="1900" t="str">
        <f>IF($E73="Logistics",VLOOKUP($P73,'Lower Cask Movement &amp; Logistics'!$C$4:$D$54,2,FALSE),"N/A")</f>
        <v>N/A</v>
      </c>
      <c r="R73" s="3380"/>
      <c r="S73" s="3481" t="str">
        <f>IFERROR(VLOOKUP($R73,'LowerCask Recovery Dependencies'!$C$6:$F$71,4,FALSE),"N/A")</f>
        <v>N/A</v>
      </c>
      <c r="T73" s="3482" t="str">
        <f t="shared" si="11"/>
        <v>N/A</v>
      </c>
      <c r="U73" s="3483"/>
      <c r="V73" s="3483"/>
      <c r="W73" s="3484"/>
      <c r="X73" s="1719"/>
      <c r="Y73" s="1719"/>
    </row>
    <row r="74" spans="2:25" s="88" customFormat="1" hidden="1" outlineLevel="2" x14ac:dyDescent="0.4">
      <c r="B74" s="1771"/>
      <c r="C74" s="3855"/>
      <c r="D74" s="1895" t="s">
        <v>1633</v>
      </c>
      <c r="E74" s="1896" t="s">
        <v>3</v>
      </c>
      <c r="F74" s="1347">
        <f t="shared" si="9"/>
        <v>0.38</v>
      </c>
      <c r="G74" s="1351">
        <f t="shared" si="10"/>
        <v>79.884835298641946</v>
      </c>
      <c r="H74" s="1348"/>
      <c r="I74" s="1353" t="s">
        <v>263</v>
      </c>
      <c r="J74" s="1895"/>
      <c r="K74" s="1897"/>
      <c r="L74" s="1897"/>
      <c r="M74" s="1898" t="str">
        <f>IFERROR(INDEX('Lower Cask Movement &amp; Logistics'!$I$13:$O$19,MATCH($K74,'Lower Cask Movement &amp; Logistics'!$H$13:$H$19,0),MATCH($L74,'Lower Cask Movement &amp; Logistics'!$H$13:$H$19,0)),"N/A")</f>
        <v>N/A</v>
      </c>
      <c r="N74" s="1899" t="str">
        <f>IFERROR(VLOOKUP($J74,'Lower Cask Movement &amp; Logistics'!$H$4:$I$9,2,FALSE),"N/A")</f>
        <v>N/A</v>
      </c>
      <c r="O74" s="1900" t="str">
        <f t="shared" si="8"/>
        <v>N/A</v>
      </c>
      <c r="P74" s="1901" t="s">
        <v>1546</v>
      </c>
      <c r="Q74" s="1900">
        <f>IF($E74="Logistics",VLOOKUP($P74,'Lower Cask Movement &amp; Logistics'!$C$4:$D$54,2,FALSE),"N/A")</f>
        <v>0.38</v>
      </c>
      <c r="R74" s="3380"/>
      <c r="S74" s="3481" t="str">
        <f>IFERROR(VLOOKUP($R74,'LowerCask Recovery Dependencies'!$C$6:$F$71,4,FALSE),"N/A")</f>
        <v>N/A</v>
      </c>
      <c r="T74" s="3482" t="str">
        <f t="shared" si="11"/>
        <v>N/A</v>
      </c>
      <c r="U74" s="3483"/>
      <c r="V74" s="3483"/>
      <c r="W74" s="3484"/>
      <c r="X74" s="1719"/>
      <c r="Y74" s="1719"/>
    </row>
    <row r="75" spans="2:25" s="88" customFormat="1" hidden="1" outlineLevel="2" x14ac:dyDescent="0.4">
      <c r="B75" s="1771"/>
      <c r="C75" s="3855"/>
      <c r="D75" s="1895" t="s">
        <v>1599</v>
      </c>
      <c r="E75" s="1896" t="s">
        <v>3</v>
      </c>
      <c r="F75" s="1347">
        <f t="shared" si="9"/>
        <v>0.38</v>
      </c>
      <c r="G75" s="1351">
        <f t="shared" si="10"/>
        <v>80.264835298641941</v>
      </c>
      <c r="H75" s="1348"/>
      <c r="I75" s="1353" t="s">
        <v>263</v>
      </c>
      <c r="J75" s="1895"/>
      <c r="K75" s="1897"/>
      <c r="L75" s="1897"/>
      <c r="M75" s="1898" t="str">
        <f>IFERROR(INDEX('Lower Cask Movement &amp; Logistics'!$I$13:$O$19,MATCH($K75,'Lower Cask Movement &amp; Logistics'!$H$13:$H$19,0),MATCH($L75,'Lower Cask Movement &amp; Logistics'!$H$13:$H$19,0)),"N/A")</f>
        <v>N/A</v>
      </c>
      <c r="N75" s="1899" t="str">
        <f>IFERROR(VLOOKUP($J75,'Lower Cask Movement &amp; Logistics'!$H$4:$I$9,2,FALSE),"N/A")</f>
        <v>N/A</v>
      </c>
      <c r="O75" s="1900" t="str">
        <f t="shared" si="8"/>
        <v>N/A</v>
      </c>
      <c r="P75" s="1901" t="s">
        <v>1546</v>
      </c>
      <c r="Q75" s="1900">
        <f>IF($E75="Logistics",VLOOKUP($P75,'Lower Cask Movement &amp; Logistics'!$C$4:$D$54,2,FALSE),"N/A")</f>
        <v>0.38</v>
      </c>
      <c r="R75" s="3380"/>
      <c r="S75" s="3481" t="str">
        <f>IFERROR(VLOOKUP($R75,'LowerCask Recovery Dependencies'!$C$6:$F$71,4,FALSE),"N/A")</f>
        <v>N/A</v>
      </c>
      <c r="T75" s="3482" t="str">
        <f t="shared" si="11"/>
        <v>N/A</v>
      </c>
      <c r="U75" s="3483"/>
      <c r="V75" s="3483"/>
      <c r="W75" s="3484"/>
      <c r="X75" s="1719"/>
      <c r="Y75" s="1719"/>
    </row>
    <row r="76" spans="2:25" s="88" customFormat="1" ht="15" hidden="1" outlineLevel="2" thickBot="1" x14ac:dyDescent="0.45">
      <c r="B76" s="1771"/>
      <c r="C76" s="3855"/>
      <c r="D76" s="1895" t="s">
        <v>1634</v>
      </c>
      <c r="E76" s="1896" t="s">
        <v>3</v>
      </c>
      <c r="F76" s="1347">
        <f t="shared" si="9"/>
        <v>2.3000000000000003</v>
      </c>
      <c r="G76" s="1351">
        <f t="shared" si="10"/>
        <v>82.564835298641938</v>
      </c>
      <c r="H76" s="1348"/>
      <c r="I76" s="1353" t="s">
        <v>263</v>
      </c>
      <c r="J76" s="1895"/>
      <c r="K76" s="1897"/>
      <c r="L76" s="1897"/>
      <c r="M76" s="1898" t="str">
        <f>IFERROR(INDEX('Lower Cask Movement &amp; Logistics'!$I$13:$O$19,MATCH($K76,'Lower Cask Movement &amp; Logistics'!$H$13:$H$19,0),MATCH($L76,'Lower Cask Movement &amp; Logistics'!$H$13:$H$19,0)),"N/A")</f>
        <v>N/A</v>
      </c>
      <c r="N76" s="1899" t="str">
        <f>IFERROR(VLOOKUP($J76,'Lower Cask Movement &amp; Logistics'!$H$4:$I$9,2,FALSE),"N/A")</f>
        <v>N/A</v>
      </c>
      <c r="O76" s="1900" t="str">
        <f t="shared" si="8"/>
        <v>N/A</v>
      </c>
      <c r="P76" s="1901" t="s">
        <v>1552</v>
      </c>
      <c r="Q76" s="1900">
        <f>IF($E76="Logistics",VLOOKUP($P76,'Lower Cask Movement &amp; Logistics'!$C$4:$D$54,2,FALSE),"N/A")</f>
        <v>2.3000000000000003</v>
      </c>
      <c r="R76" s="3380"/>
      <c r="S76" s="3481" t="str">
        <f>IFERROR(VLOOKUP($R76,'LowerCask Recovery Dependencies'!$C$6:$F$71,4,FALSE),"N/A")</f>
        <v>N/A</v>
      </c>
      <c r="T76" s="3482" t="str">
        <f t="shared" si="11"/>
        <v>N/A</v>
      </c>
      <c r="U76" s="3483"/>
      <c r="V76" s="3483"/>
      <c r="W76" s="3484"/>
      <c r="X76" s="1719"/>
      <c r="Y76" s="1719"/>
    </row>
    <row r="77" spans="2:25" s="88" customFormat="1" hidden="1" outlineLevel="2" x14ac:dyDescent="0.4">
      <c r="B77" s="1771"/>
      <c r="C77" s="3787" t="s">
        <v>1635</v>
      </c>
      <c r="D77" s="1129" t="s">
        <v>1619</v>
      </c>
      <c r="E77" s="1620" t="s">
        <v>3</v>
      </c>
      <c r="F77" s="1621">
        <f t="shared" si="9"/>
        <v>1.9</v>
      </c>
      <c r="G77" s="1621">
        <f t="shared" si="10"/>
        <v>84.464835298641944</v>
      </c>
      <c r="H77" s="1129"/>
      <c r="I77" s="1575" t="s">
        <v>263</v>
      </c>
      <c r="J77" s="1129"/>
      <c r="K77" s="1619"/>
      <c r="L77" s="1619"/>
      <c r="M77" s="1623" t="str">
        <f>IFERROR(INDEX('Lower Cask Movement &amp; Logistics'!$I$13:$O$19,MATCH($K77,'Lower Cask Movement &amp; Logistics'!$H$13:$H$19,0),MATCH($L77,'Lower Cask Movement &amp; Logistics'!$H$13:$H$19,0)),"N/A")</f>
        <v>N/A</v>
      </c>
      <c r="N77" s="1623" t="str">
        <f>IFERROR(VLOOKUP($J77,'Lower Cask Movement &amp; Logistics'!$H$4:$I$9,2,FALSE),"N/A")</f>
        <v>N/A</v>
      </c>
      <c r="O77" s="1575" t="str">
        <f t="shared" si="8"/>
        <v>N/A</v>
      </c>
      <c r="P77" s="1576" t="s">
        <v>1541</v>
      </c>
      <c r="Q77" s="1575">
        <f>IF($E77="Logistics",VLOOKUP($P77,'Lower Cask Movement &amp; Logistics'!$C$4:$D$54,2,FALSE),"N/A")</f>
        <v>1.9</v>
      </c>
      <c r="R77" s="3376" t="s">
        <v>1636</v>
      </c>
      <c r="S77" s="3474">
        <f>IFERROR(VLOOKUP($R77,'LowerCask Recovery Dependencies'!$C$6:$F$71,4,FALSE),"N/A")</f>
        <v>53.522604882888885</v>
      </c>
      <c r="T77" s="3475">
        <f t="shared" si="11"/>
        <v>29.042230415753053</v>
      </c>
      <c r="U77" s="3483"/>
      <c r="V77" s="3483"/>
      <c r="W77" s="3484"/>
      <c r="X77" s="1719"/>
      <c r="Y77" s="1719"/>
    </row>
    <row r="78" spans="2:25" s="88" customFormat="1" hidden="1" outlineLevel="2" x14ac:dyDescent="0.4">
      <c r="B78" s="1771"/>
      <c r="C78" s="3786"/>
      <c r="D78" s="1579" t="s">
        <v>1622</v>
      </c>
      <c r="E78" s="1611" t="s">
        <v>3</v>
      </c>
      <c r="F78" s="626">
        <f t="shared" si="9"/>
        <v>0.38</v>
      </c>
      <c r="G78" s="626">
        <f t="shared" si="10"/>
        <v>84.844835298641939</v>
      </c>
      <c r="H78" s="1579"/>
      <c r="I78" s="1183" t="s">
        <v>263</v>
      </c>
      <c r="J78" s="1579"/>
      <c r="K78" s="582"/>
      <c r="L78" s="582"/>
      <c r="M78" s="1478" t="str">
        <f>IFERROR(INDEX('Lower Cask Movement &amp; Logistics'!$I$13:$O$19,MATCH($K78,'Lower Cask Movement &amp; Logistics'!$H$13:$H$19,0),MATCH($L78,'Lower Cask Movement &amp; Logistics'!$H$13:$H$19,0)),"N/A")</f>
        <v>N/A</v>
      </c>
      <c r="N78" s="1478" t="str">
        <f>IFERROR(VLOOKUP($J78,'Lower Cask Movement &amp; Logistics'!$H$4:$I$9,2,FALSE),"N/A")</f>
        <v>N/A</v>
      </c>
      <c r="O78" s="1183" t="str">
        <f t="shared" si="8"/>
        <v>N/A</v>
      </c>
      <c r="P78" s="1578" t="s">
        <v>1544</v>
      </c>
      <c r="Q78" s="1183">
        <f>IF($E78="Logistics",VLOOKUP($P78,'Lower Cask Movement &amp; Logistics'!$C$4:$D$54,2,FALSE),"N/A")</f>
        <v>0.38</v>
      </c>
      <c r="R78" s="3377"/>
      <c r="S78" s="3476" t="str">
        <f>IFERROR(VLOOKUP($R78,'LowerCask Recovery Dependencies'!$C$6:$F$71,4,FALSE),"N/A")</f>
        <v>N/A</v>
      </c>
      <c r="T78" s="3477" t="str">
        <f t="shared" si="11"/>
        <v>N/A</v>
      </c>
      <c r="U78" s="3483"/>
      <c r="V78" s="3483"/>
      <c r="W78" s="3484"/>
      <c r="X78" s="1719"/>
      <c r="Y78" s="1719"/>
    </row>
    <row r="79" spans="2:25" s="88" customFormat="1" hidden="1" outlineLevel="2" x14ac:dyDescent="0.4">
      <c r="B79" s="1771"/>
      <c r="C79" s="3786"/>
      <c r="D79" s="1579" t="s">
        <v>1637</v>
      </c>
      <c r="E79" s="1611" t="s">
        <v>251</v>
      </c>
      <c r="F79" s="626">
        <f t="shared" si="9"/>
        <v>7.5229670597283897</v>
      </c>
      <c r="G79" s="626">
        <f t="shared" si="10"/>
        <v>92.367802358370326</v>
      </c>
      <c r="H79" s="1579" t="s">
        <v>442</v>
      </c>
      <c r="I79" s="1183">
        <v>7.5229670597283897</v>
      </c>
      <c r="J79" s="1579"/>
      <c r="K79" s="582"/>
      <c r="L79" s="582"/>
      <c r="M79" s="1478" t="str">
        <f>IFERROR(INDEX('Lower Cask Movement &amp; Logistics'!$I$13:$O$19,MATCH($K79,'Lower Cask Movement &amp; Logistics'!$H$13:$H$19,0),MATCH($L79,'Lower Cask Movement &amp; Logistics'!$H$13:$H$19,0)),"N/A")</f>
        <v>N/A</v>
      </c>
      <c r="N79" s="1478" t="str">
        <f>IFERROR(VLOOKUP($J79,'Lower Cask Movement &amp; Logistics'!$H$4:$I$9,2,FALSE),"N/A")</f>
        <v>N/A</v>
      </c>
      <c r="O79" s="1183" t="str">
        <f t="shared" si="8"/>
        <v>N/A</v>
      </c>
      <c r="P79" s="1578"/>
      <c r="Q79" s="1183" t="str">
        <f>IF($E79="Logistics",VLOOKUP($P79,'Lower Cask Movement &amp; Logistics'!$C$4:$D$54,2,FALSE),"N/A")</f>
        <v>N/A</v>
      </c>
      <c r="R79" s="3377"/>
      <c r="S79" s="3476" t="str">
        <f>IFERROR(VLOOKUP($R79,'LowerCask Recovery Dependencies'!$C$6:$F$71,4,FALSE),"N/A")</f>
        <v>N/A</v>
      </c>
      <c r="T79" s="3477" t="str">
        <f t="shared" si="11"/>
        <v>N/A</v>
      </c>
      <c r="U79" s="3483"/>
      <c r="V79" s="3483"/>
      <c r="W79" s="3484"/>
      <c r="X79" s="1719"/>
      <c r="Y79" s="1719"/>
    </row>
    <row r="80" spans="2:25" s="88" customFormat="1" hidden="1" outlineLevel="2" x14ac:dyDescent="0.4">
      <c r="B80" s="1771"/>
      <c r="C80" s="3786"/>
      <c r="D80" s="1579" t="s">
        <v>1638</v>
      </c>
      <c r="E80" s="1611" t="s">
        <v>3</v>
      </c>
      <c r="F80" s="626">
        <f t="shared" si="9"/>
        <v>0.38</v>
      </c>
      <c r="G80" s="626">
        <f t="shared" si="10"/>
        <v>92.747802358370322</v>
      </c>
      <c r="H80" s="1579"/>
      <c r="I80" s="1183" t="s">
        <v>263</v>
      </c>
      <c r="J80" s="1579"/>
      <c r="K80" s="582"/>
      <c r="L80" s="582"/>
      <c r="M80" s="1478" t="str">
        <f>IFERROR(INDEX('Lower Cask Movement &amp; Logistics'!$I$13:$O$19,MATCH($K80,'Lower Cask Movement &amp; Logistics'!$H$13:$H$19,0),MATCH($L80,'Lower Cask Movement &amp; Logistics'!$H$13:$H$19,0)),"N/A")</f>
        <v>N/A</v>
      </c>
      <c r="N80" s="1478" t="str">
        <f>IFERROR(VLOOKUP($J80,'Lower Cask Movement &amp; Logistics'!$H$4:$I$9,2,FALSE),"N/A")</f>
        <v>N/A</v>
      </c>
      <c r="O80" s="1183" t="str">
        <f t="shared" si="8"/>
        <v>N/A</v>
      </c>
      <c r="P80" s="1578" t="s">
        <v>1546</v>
      </c>
      <c r="Q80" s="1183">
        <f>IF($E80="Logistics",VLOOKUP($P80,'Lower Cask Movement &amp; Logistics'!$C$4:$D$54,2,FALSE),"N/A")</f>
        <v>0.38</v>
      </c>
      <c r="R80" s="3377"/>
      <c r="S80" s="3476" t="str">
        <f>IFERROR(VLOOKUP($R80,'LowerCask Recovery Dependencies'!$C$6:$F$71,4,FALSE),"N/A")</f>
        <v>N/A</v>
      </c>
      <c r="T80" s="3477" t="str">
        <f t="shared" si="11"/>
        <v>N/A</v>
      </c>
      <c r="U80" s="3483"/>
      <c r="V80" s="3483"/>
      <c r="W80" s="3484"/>
      <c r="X80" s="1719"/>
      <c r="Y80" s="1719"/>
    </row>
    <row r="81" spans="2:25" s="88" customFormat="1" hidden="1" outlineLevel="2" x14ac:dyDescent="0.4">
      <c r="B81" s="1771"/>
      <c r="C81" s="3786"/>
      <c r="D81" s="1579" t="s">
        <v>1639</v>
      </c>
      <c r="E81" s="1611" t="s">
        <v>3</v>
      </c>
      <c r="F81" s="626">
        <f t="shared" si="9"/>
        <v>0.53</v>
      </c>
      <c r="G81" s="626">
        <f t="shared" si="10"/>
        <v>93.277802358370323</v>
      </c>
      <c r="H81" s="1579"/>
      <c r="I81" s="1183" t="s">
        <v>263</v>
      </c>
      <c r="J81" s="1579"/>
      <c r="K81" s="582"/>
      <c r="L81" s="582"/>
      <c r="M81" s="1478" t="str">
        <f>IFERROR(INDEX('Lower Cask Movement &amp; Logistics'!$I$13:$O$19,MATCH($K81,'Lower Cask Movement &amp; Logistics'!$H$13:$H$19,0),MATCH($L81,'Lower Cask Movement &amp; Logistics'!$H$13:$H$19,0)),"N/A")</f>
        <v>N/A</v>
      </c>
      <c r="N81" s="1478" t="str">
        <f>IFERROR(VLOOKUP($J81,'Lower Cask Movement &amp; Logistics'!$H$4:$I$9,2,FALSE),"N/A")</f>
        <v>N/A</v>
      </c>
      <c r="O81" s="1183" t="str">
        <f t="shared" si="8"/>
        <v>N/A</v>
      </c>
      <c r="P81" s="1578" t="s">
        <v>1558</v>
      </c>
      <c r="Q81" s="1183">
        <f>IF($E81="Logistics",VLOOKUP($P81,'Lower Cask Movement &amp; Logistics'!$C$4:$D$54,2,FALSE),"N/A")</f>
        <v>0.53</v>
      </c>
      <c r="R81" s="3377"/>
      <c r="S81" s="3476" t="str">
        <f>IFERROR(VLOOKUP($R81,'LowerCask Recovery Dependencies'!$C$6:$F$71,4,FALSE),"N/A")</f>
        <v>N/A</v>
      </c>
      <c r="T81" s="3477" t="str">
        <f t="shared" si="11"/>
        <v>N/A</v>
      </c>
      <c r="U81" s="3483"/>
      <c r="V81" s="3483"/>
      <c r="W81" s="3484"/>
      <c r="X81" s="1719"/>
      <c r="Y81" s="1719"/>
    </row>
    <row r="82" spans="2:25" s="88" customFormat="1" hidden="1" outlineLevel="2" x14ac:dyDescent="0.4">
      <c r="B82" s="1771"/>
      <c r="C82" s="3786"/>
      <c r="D82" s="1579" t="s">
        <v>953</v>
      </c>
      <c r="E82" s="1611" t="s">
        <v>251</v>
      </c>
      <c r="F82" s="626">
        <f t="shared" si="9"/>
        <v>7.5229670597283897</v>
      </c>
      <c r="G82" s="626">
        <f t="shared" si="10"/>
        <v>100.80076941809871</v>
      </c>
      <c r="H82" s="1579" t="s">
        <v>442</v>
      </c>
      <c r="I82" s="1183">
        <v>7.5229670597283897</v>
      </c>
      <c r="J82" s="1579"/>
      <c r="K82" s="582"/>
      <c r="L82" s="582"/>
      <c r="M82" s="1478" t="str">
        <f>IFERROR(INDEX('Lower Cask Movement &amp; Logistics'!$I$13:$O$19,MATCH($K82,'Lower Cask Movement &amp; Logistics'!$H$13:$H$19,0),MATCH($L82,'Lower Cask Movement &amp; Logistics'!$H$13:$H$19,0)),"N/A")</f>
        <v>N/A</v>
      </c>
      <c r="N82" s="1478" t="str">
        <f>IFERROR(VLOOKUP($J82,'Lower Cask Movement &amp; Logistics'!$H$4:$I$9,2,FALSE),"N/A")</f>
        <v>N/A</v>
      </c>
      <c r="O82" s="1183" t="str">
        <f t="shared" si="8"/>
        <v>N/A</v>
      </c>
      <c r="P82" s="1578"/>
      <c r="Q82" s="1183" t="str">
        <f>IF($E82="Logistics",VLOOKUP($P82,'Lower Cask Movement &amp; Logistics'!$C$4:$D$54,2,FALSE),"N/A")</f>
        <v>N/A</v>
      </c>
      <c r="R82" s="3377"/>
      <c r="S82" s="3476" t="str">
        <f>IFERROR(VLOOKUP($R82,'LowerCask Recovery Dependencies'!$C$6:$F$71,4,FALSE),"N/A")</f>
        <v>N/A</v>
      </c>
      <c r="T82" s="3477" t="str">
        <f t="shared" si="11"/>
        <v>N/A</v>
      </c>
      <c r="U82" s="3483"/>
      <c r="V82" s="3483"/>
      <c r="W82" s="3484"/>
      <c r="X82" s="1719"/>
      <c r="Y82" s="1719"/>
    </row>
    <row r="83" spans="2:25" s="88" customFormat="1" hidden="1" outlineLevel="2" x14ac:dyDescent="0.4">
      <c r="B83" s="1771"/>
      <c r="C83" s="3786"/>
      <c r="D83" s="1579" t="s">
        <v>1640</v>
      </c>
      <c r="E83" s="1611" t="s">
        <v>3</v>
      </c>
      <c r="F83" s="626">
        <f t="shared" si="9"/>
        <v>0.38</v>
      </c>
      <c r="G83" s="626">
        <f t="shared" si="10"/>
        <v>101.18076941809871</v>
      </c>
      <c r="H83" s="1579"/>
      <c r="I83" s="1183" t="s">
        <v>263</v>
      </c>
      <c r="J83" s="1579"/>
      <c r="K83" s="582"/>
      <c r="L83" s="582"/>
      <c r="M83" s="1478" t="str">
        <f>IFERROR(INDEX('Lower Cask Movement &amp; Logistics'!$I$13:$O$19,MATCH($K83,'Lower Cask Movement &amp; Logistics'!$H$13:$H$19,0),MATCH($L83,'Lower Cask Movement &amp; Logistics'!$H$13:$H$19,0)),"N/A")</f>
        <v>N/A</v>
      </c>
      <c r="N83" s="1478" t="str">
        <f>IFERROR(VLOOKUP($J83,'Lower Cask Movement &amp; Logistics'!$H$4:$I$9,2,FALSE),"N/A")</f>
        <v>N/A</v>
      </c>
      <c r="O83" s="1183" t="str">
        <f t="shared" si="8"/>
        <v>N/A</v>
      </c>
      <c r="P83" s="1578" t="s">
        <v>1546</v>
      </c>
      <c r="Q83" s="1183">
        <f>IF($E83="Logistics",VLOOKUP($P83,'Lower Cask Movement &amp; Logistics'!$C$4:$D$54,2,FALSE),"N/A")</f>
        <v>0.38</v>
      </c>
      <c r="R83" s="3377"/>
      <c r="S83" s="3476" t="str">
        <f>IFERROR(VLOOKUP($R83,'LowerCask Recovery Dependencies'!$C$6:$F$71,4,FALSE),"N/A")</f>
        <v>N/A</v>
      </c>
      <c r="T83" s="3477" t="str">
        <f t="shared" si="11"/>
        <v>N/A</v>
      </c>
      <c r="U83" s="3483"/>
      <c r="V83" s="3483"/>
      <c r="W83" s="3484"/>
      <c r="X83" s="1719"/>
      <c r="Y83" s="1719"/>
    </row>
    <row r="84" spans="2:25" s="88" customFormat="1" hidden="1" outlineLevel="2" x14ac:dyDescent="0.4">
      <c r="B84" s="1771"/>
      <c r="C84" s="3786"/>
      <c r="D84" s="1579" t="s">
        <v>1599</v>
      </c>
      <c r="E84" s="1611" t="s">
        <v>3</v>
      </c>
      <c r="F84" s="626">
        <f t="shared" si="9"/>
        <v>0.38</v>
      </c>
      <c r="G84" s="626">
        <f t="shared" si="10"/>
        <v>101.5607694180987</v>
      </c>
      <c r="H84" s="1579"/>
      <c r="I84" s="1183" t="s">
        <v>263</v>
      </c>
      <c r="J84" s="1579"/>
      <c r="K84" s="582"/>
      <c r="L84" s="582"/>
      <c r="M84" s="1478" t="str">
        <f>IFERROR(INDEX('Lower Cask Movement &amp; Logistics'!$I$13:$O$19,MATCH($K84,'Lower Cask Movement &amp; Logistics'!$H$13:$H$19,0),MATCH($L84,'Lower Cask Movement &amp; Logistics'!$H$13:$H$19,0)),"N/A")</f>
        <v>N/A</v>
      </c>
      <c r="N84" s="1478" t="str">
        <f>IFERROR(VLOOKUP($J84,'Lower Cask Movement &amp; Logistics'!$H$4:$I$9,2,FALSE),"N/A")</f>
        <v>N/A</v>
      </c>
      <c r="O84" s="1183" t="str">
        <f t="shared" si="8"/>
        <v>N/A</v>
      </c>
      <c r="P84" s="1578" t="s">
        <v>1546</v>
      </c>
      <c r="Q84" s="1183">
        <f>IF($E84="Logistics",VLOOKUP($P84,'Lower Cask Movement &amp; Logistics'!$C$4:$D$54,2,FALSE),"N/A")</f>
        <v>0.38</v>
      </c>
      <c r="R84" s="3377"/>
      <c r="S84" s="3476" t="str">
        <f>IFERROR(VLOOKUP($R84,'LowerCask Recovery Dependencies'!$C$6:$F$71,4,FALSE),"N/A")</f>
        <v>N/A</v>
      </c>
      <c r="T84" s="3477" t="str">
        <f t="shared" si="11"/>
        <v>N/A</v>
      </c>
      <c r="U84" s="3483"/>
      <c r="V84" s="3483"/>
      <c r="W84" s="3484"/>
      <c r="X84" s="1719"/>
      <c r="Y84" s="1719"/>
    </row>
    <row r="85" spans="2:25" s="88" customFormat="1" ht="15" hidden="1" outlineLevel="2" thickBot="1" x14ac:dyDescent="0.45">
      <c r="B85" s="1771"/>
      <c r="C85" s="3788"/>
      <c r="D85" s="1136" t="s">
        <v>1641</v>
      </c>
      <c r="E85" s="1581" t="s">
        <v>3</v>
      </c>
      <c r="F85" s="585">
        <f t="shared" si="9"/>
        <v>2.3000000000000003</v>
      </c>
      <c r="G85" s="585">
        <f t="shared" si="10"/>
        <v>103.8607694180987</v>
      </c>
      <c r="H85" s="1136"/>
      <c r="I85" s="1179" t="s">
        <v>263</v>
      </c>
      <c r="J85" s="1136"/>
      <c r="K85" s="584"/>
      <c r="L85" s="584"/>
      <c r="M85" s="814" t="str">
        <f>IFERROR(INDEX('Lower Cask Movement &amp; Logistics'!$I$13:$O$19,MATCH($K85,'Lower Cask Movement &amp; Logistics'!$H$13:$H$19,0),MATCH($L85,'Lower Cask Movement &amp; Logistics'!$H$13:$H$19,0)),"N/A")</f>
        <v>N/A</v>
      </c>
      <c r="N85" s="814" t="str">
        <f>IFERROR(VLOOKUP($J85,'Lower Cask Movement &amp; Logistics'!$H$4:$I$9,2,FALSE),"N/A")</f>
        <v>N/A</v>
      </c>
      <c r="O85" s="1179" t="str">
        <f t="shared" si="8"/>
        <v>N/A</v>
      </c>
      <c r="P85" s="1582" t="s">
        <v>1552</v>
      </c>
      <c r="Q85" s="1179">
        <f>IF($E85="Logistics",VLOOKUP($P85,'Lower Cask Movement &amp; Logistics'!$C$4:$D$54,2,FALSE),"N/A")</f>
        <v>2.3000000000000003</v>
      </c>
      <c r="R85" s="3378"/>
      <c r="S85" s="3478" t="str">
        <f>IFERROR(VLOOKUP($R85,'LowerCask Recovery Dependencies'!$C$6:$F$71,4,FALSE),"N/A")</f>
        <v>N/A</v>
      </c>
      <c r="T85" s="3469" t="str">
        <f t="shared" si="11"/>
        <v>N/A</v>
      </c>
      <c r="U85" s="3483"/>
      <c r="V85" s="3483"/>
      <c r="W85" s="3484"/>
      <c r="X85" s="1719"/>
      <c r="Y85" s="1719"/>
    </row>
    <row r="86" spans="2:25" s="88" customFormat="1" hidden="1" outlineLevel="2" x14ac:dyDescent="0.4">
      <c r="B86" s="1771"/>
      <c r="C86" s="3856" t="s">
        <v>1649</v>
      </c>
      <c r="D86" s="1883" t="s">
        <v>1619</v>
      </c>
      <c r="E86" s="1884" t="s">
        <v>3</v>
      </c>
      <c r="F86" s="1885">
        <f t="shared" si="9"/>
        <v>1.9</v>
      </c>
      <c r="G86" s="1886">
        <f t="shared" si="10"/>
        <v>105.7607694180987</v>
      </c>
      <c r="H86" s="1887"/>
      <c r="I86" s="1888" t="s">
        <v>263</v>
      </c>
      <c r="J86" s="1883"/>
      <c r="K86" s="1889"/>
      <c r="L86" s="1889"/>
      <c r="M86" s="1890" t="str">
        <f>IFERROR(INDEX('Lower Cask Movement &amp; Logistics'!$I$13:$O$19,MATCH($K86,'Lower Cask Movement &amp; Logistics'!$H$13:$H$19,0),MATCH($L86,'Lower Cask Movement &amp; Logistics'!$H$13:$H$19,0)),"N/A")</f>
        <v>N/A</v>
      </c>
      <c r="N86" s="1891" t="str">
        <f>IFERROR(VLOOKUP($J86,'Lower Cask Movement &amp; Logistics'!$H$4:$I$9,2,FALSE),"N/A")</f>
        <v>N/A</v>
      </c>
      <c r="O86" s="1892" t="str">
        <f t="shared" si="8"/>
        <v>N/A</v>
      </c>
      <c r="P86" s="1535" t="s">
        <v>1541</v>
      </c>
      <c r="Q86" s="1892">
        <f>IF($E86="Logistics",VLOOKUP($P86,'Lower Cask Movement &amp; Logistics'!$C$4:$D$54,2,FALSE),"N/A")</f>
        <v>1.9</v>
      </c>
      <c r="R86" s="3379" t="s">
        <v>1866</v>
      </c>
      <c r="S86" s="3479">
        <f>IFERROR(VLOOKUP($R86,'LowerCask Recovery Dependencies'!$C$6:$F$71,4,FALSE),"N/A")</f>
        <v>84.878539002345633</v>
      </c>
      <c r="T86" s="3480">
        <f t="shared" si="11"/>
        <v>18.982230415753065</v>
      </c>
      <c r="U86" s="3483"/>
      <c r="V86" s="3483"/>
      <c r="W86" s="3484"/>
      <c r="X86" s="1719"/>
      <c r="Y86" s="1719"/>
    </row>
    <row r="87" spans="2:25" s="88" customFormat="1" hidden="1" outlineLevel="2" x14ac:dyDescent="0.4">
      <c r="B87" s="1771"/>
      <c r="C87" s="3856"/>
      <c r="D87" s="1895" t="s">
        <v>1247</v>
      </c>
      <c r="E87" s="1896" t="s">
        <v>3</v>
      </c>
      <c r="F87" s="1347">
        <f t="shared" si="9"/>
        <v>0.38</v>
      </c>
      <c r="G87" s="1351">
        <f t="shared" si="10"/>
        <v>106.1407694180987</v>
      </c>
      <c r="H87" s="1348"/>
      <c r="I87" s="1353" t="s">
        <v>263</v>
      </c>
      <c r="J87" s="1895"/>
      <c r="K87" s="1897"/>
      <c r="L87" s="1897"/>
      <c r="M87" s="1898" t="str">
        <f>IFERROR(INDEX('Lower Cask Movement &amp; Logistics'!$I$13:$O$19,MATCH($K87,'Lower Cask Movement &amp; Logistics'!$H$13:$H$19,0),MATCH($L87,'Lower Cask Movement &amp; Logistics'!$H$13:$H$19,0)),"N/A")</f>
        <v>N/A</v>
      </c>
      <c r="N87" s="1899" t="str">
        <f>IFERROR(VLOOKUP($J87,'Lower Cask Movement &amp; Logistics'!$H$4:$I$9,2,FALSE),"N/A")</f>
        <v>N/A</v>
      </c>
      <c r="O87" s="1900" t="str">
        <f t="shared" si="8"/>
        <v>N/A</v>
      </c>
      <c r="P87" s="1901" t="s">
        <v>1544</v>
      </c>
      <c r="Q87" s="1900">
        <f>IF($E87="Logistics",VLOOKUP($P87,'Lower Cask Movement &amp; Logistics'!$C$4:$D$54,2,FALSE),"N/A")</f>
        <v>0.38</v>
      </c>
      <c r="R87" s="3380"/>
      <c r="S87" s="3481" t="str">
        <f>IFERROR(VLOOKUP($R87,'LowerCask Recovery Dependencies'!$C$6:$F$71,4,FALSE),"N/A")</f>
        <v>N/A</v>
      </c>
      <c r="T87" s="3482" t="str">
        <f t="shared" si="11"/>
        <v>N/A</v>
      </c>
      <c r="U87" s="3483"/>
      <c r="V87" s="3483"/>
      <c r="W87" s="3484"/>
      <c r="X87" s="1719"/>
      <c r="Y87" s="1719"/>
    </row>
    <row r="88" spans="2:25" s="88" customFormat="1" hidden="1" outlineLevel="2" x14ac:dyDescent="0.4">
      <c r="B88" s="1771"/>
      <c r="C88" s="3856"/>
      <c r="D88" s="1895" t="s">
        <v>117</v>
      </c>
      <c r="E88" s="1896" t="s">
        <v>251</v>
      </c>
      <c r="F88" s="1347">
        <f t="shared" si="9"/>
        <v>17.622664625997164</v>
      </c>
      <c r="G88" s="1351">
        <f t="shared" si="10"/>
        <v>123.76343404409586</v>
      </c>
      <c r="H88" s="1348" t="s">
        <v>556</v>
      </c>
      <c r="I88" s="1353">
        <v>17.622664625997164</v>
      </c>
      <c r="J88" s="1895"/>
      <c r="K88" s="1897"/>
      <c r="L88" s="1897"/>
      <c r="M88" s="1898" t="str">
        <f>IFERROR(INDEX('Lower Cask Movement &amp; Logistics'!$I$13:$O$19,MATCH($K88,'Lower Cask Movement &amp; Logistics'!$H$13:$H$19,0),MATCH($L88,'Lower Cask Movement &amp; Logistics'!$H$13:$H$19,0)),"N/A")</f>
        <v>N/A</v>
      </c>
      <c r="N88" s="1899" t="str">
        <f>IFERROR(VLOOKUP($J88,'Lower Cask Movement &amp; Logistics'!$H$4:$I$9,2,FALSE),"N/A")</f>
        <v>N/A</v>
      </c>
      <c r="O88" s="1900" t="str">
        <f t="shared" si="8"/>
        <v>N/A</v>
      </c>
      <c r="P88" s="1901" t="s">
        <v>1546</v>
      </c>
      <c r="Q88" s="1900" t="str">
        <f>IF($E88="Logistics",VLOOKUP($P88,'Lower Cask Movement &amp; Logistics'!$C$4:$D$54,2,FALSE),"N/A")</f>
        <v>N/A</v>
      </c>
      <c r="R88" s="3380" t="s">
        <v>1867</v>
      </c>
      <c r="S88" s="3481">
        <f>IFERROR(VLOOKUP($R88,'LowerCask Recovery Dependencies'!$C$6:$F$71,4,FALSE),"N/A")</f>
        <v>91.46166666666663</v>
      </c>
      <c r="T88" s="3482">
        <f t="shared" si="11"/>
        <v>14.679102751432069</v>
      </c>
      <c r="U88" s="3485"/>
      <c r="V88" s="3485"/>
      <c r="W88" s="1719"/>
      <c r="X88" s="1719"/>
      <c r="Y88" s="1719"/>
    </row>
    <row r="89" spans="2:25" s="88" customFormat="1" hidden="1" outlineLevel="2" x14ac:dyDescent="0.4">
      <c r="B89" s="1771"/>
      <c r="C89" s="3856"/>
      <c r="D89" s="1895" t="s">
        <v>1652</v>
      </c>
      <c r="E89" s="1896" t="s">
        <v>3</v>
      </c>
      <c r="F89" s="1347">
        <f t="shared" si="9"/>
        <v>0.38</v>
      </c>
      <c r="G89" s="1351">
        <f t="shared" si="10"/>
        <v>124.14343404409586</v>
      </c>
      <c r="H89" s="1348"/>
      <c r="I89" s="1353" t="s">
        <v>263</v>
      </c>
      <c r="J89" s="1895"/>
      <c r="K89" s="1897"/>
      <c r="L89" s="1897"/>
      <c r="M89" s="1898" t="str">
        <f>IFERROR(INDEX('Lower Cask Movement &amp; Logistics'!$I$13:$O$19,MATCH($K89,'Lower Cask Movement &amp; Logistics'!$H$13:$H$19,0),MATCH($L89,'Lower Cask Movement &amp; Logistics'!$H$13:$H$19,0)),"N/A")</f>
        <v>N/A</v>
      </c>
      <c r="N89" s="1899" t="str">
        <f>IFERROR(VLOOKUP($J89,'Lower Cask Movement &amp; Logistics'!$H$4:$I$9,2,FALSE),"N/A")</f>
        <v>N/A</v>
      </c>
      <c r="O89" s="1900" t="str">
        <f t="shared" si="8"/>
        <v>N/A</v>
      </c>
      <c r="P89" s="1901" t="s">
        <v>1544</v>
      </c>
      <c r="Q89" s="1900">
        <f>IF($E89="Logistics",VLOOKUP($P89,'Lower Cask Movement &amp; Logistics'!$C$4:$D$54,2,FALSE),"N/A")</f>
        <v>0.38</v>
      </c>
      <c r="R89" s="3380"/>
      <c r="S89" s="3481" t="str">
        <f>IFERROR(VLOOKUP($R89,'LowerCask Recovery Dependencies'!$C$6:$F$71,4,FALSE),"N/A")</f>
        <v>N/A</v>
      </c>
      <c r="T89" s="3482" t="str">
        <f t="shared" si="11"/>
        <v>N/A</v>
      </c>
      <c r="U89" s="3485"/>
      <c r="V89" s="3485"/>
      <c r="W89" s="1719"/>
      <c r="X89" s="1719"/>
      <c r="Y89" s="1719"/>
    </row>
    <row r="90" spans="2:25" s="88" customFormat="1" hidden="1" outlineLevel="2" x14ac:dyDescent="0.4">
      <c r="B90" s="1771"/>
      <c r="C90" s="3856"/>
      <c r="D90" s="1895" t="s">
        <v>1653</v>
      </c>
      <c r="E90" s="1896" t="s">
        <v>251</v>
      </c>
      <c r="F90" s="1347">
        <f t="shared" si="9"/>
        <v>17.622664625997164</v>
      </c>
      <c r="G90" s="1351">
        <f t="shared" si="10"/>
        <v>232.94656211206461</v>
      </c>
      <c r="H90" s="1348" t="s">
        <v>1654</v>
      </c>
      <c r="I90" s="1353">
        <v>17.622664625997164</v>
      </c>
      <c r="J90" s="1895"/>
      <c r="K90" s="1897"/>
      <c r="L90" s="1897"/>
      <c r="M90" s="1898" t="str">
        <f>IFERROR(INDEX('Lower Cask Movement &amp; Logistics'!$I$13:$O$19,MATCH($K90,'Lower Cask Movement &amp; Logistics'!$H$13:$H$19,0),MATCH($L90,'Lower Cask Movement &amp; Logistics'!$H$13:$H$19,0)),"N/A")</f>
        <v>N/A</v>
      </c>
      <c r="N90" s="1899" t="str">
        <f>IFERROR(VLOOKUP($J90,'Lower Cask Movement &amp; Logistics'!$H$4:$I$9,2,FALSE),"N/A")</f>
        <v>N/A</v>
      </c>
      <c r="O90" s="1900" t="str">
        <f t="shared" si="8"/>
        <v>N/A</v>
      </c>
      <c r="P90" s="1901"/>
      <c r="Q90" s="1900" t="str">
        <f>IF($E90="Logistics",VLOOKUP($P90,'Lower Cask Movement &amp; Logistics'!$C$4:$D$54,2,FALSE),"N/A")</f>
        <v>N/A</v>
      </c>
      <c r="R90" s="3380" t="s">
        <v>1868</v>
      </c>
      <c r="S90" s="3481">
        <f>IFERROR(VLOOKUP($R90,'LowerCask Recovery Dependencies'!$C$6:$F$71,4,FALSE),"N/A")</f>
        <v>215.32389748606744</v>
      </c>
      <c r="T90" s="3482">
        <f t="shared" si="11"/>
        <v>-91.180463441971582</v>
      </c>
      <c r="U90" s="1719"/>
      <c r="V90" s="1719"/>
      <c r="W90" s="1719"/>
      <c r="X90" s="1719"/>
      <c r="Y90" s="1719"/>
    </row>
    <row r="91" spans="2:25" s="88" customFormat="1" hidden="1" outlineLevel="2" x14ac:dyDescent="0.4">
      <c r="B91" s="1771"/>
      <c r="C91" s="3856"/>
      <c r="D91" s="1895" t="s">
        <v>1599</v>
      </c>
      <c r="E91" s="1896" t="s">
        <v>3</v>
      </c>
      <c r="F91" s="1347">
        <f t="shared" si="9"/>
        <v>0.38</v>
      </c>
      <c r="G91" s="1351">
        <f t="shared" si="10"/>
        <v>233.32656211206461</v>
      </c>
      <c r="H91" s="1348"/>
      <c r="I91" s="1353" t="s">
        <v>263</v>
      </c>
      <c r="J91" s="1895"/>
      <c r="K91" s="1897"/>
      <c r="L91" s="1897"/>
      <c r="M91" s="1898" t="str">
        <f>IFERROR(INDEX('Lower Cask Movement &amp; Logistics'!$I$13:$O$19,MATCH($K91,'Lower Cask Movement &amp; Logistics'!$H$13:$H$19,0),MATCH($L91,'Lower Cask Movement &amp; Logistics'!$H$13:$H$19,0)),"N/A")</f>
        <v>N/A</v>
      </c>
      <c r="N91" s="1899" t="str">
        <f>IFERROR(VLOOKUP($J91,'Lower Cask Movement &amp; Logistics'!$H$4:$I$9,2,FALSE),"N/A")</f>
        <v>N/A</v>
      </c>
      <c r="O91" s="1900" t="str">
        <f t="shared" si="8"/>
        <v>N/A</v>
      </c>
      <c r="P91" s="1901" t="s">
        <v>1546</v>
      </c>
      <c r="Q91" s="1900">
        <f>IF($E91="Logistics",VLOOKUP($P91,'Lower Cask Movement &amp; Logistics'!$C$4:$D$54,2,FALSE),"N/A")</f>
        <v>0.38</v>
      </c>
      <c r="R91" s="3380"/>
      <c r="S91" s="3481" t="str">
        <f>IFERROR(VLOOKUP($R91,'LowerCask Recovery Dependencies'!$C$6:$F$71,4,FALSE),"N/A")</f>
        <v>N/A</v>
      </c>
      <c r="T91" s="3482" t="str">
        <f t="shared" si="11"/>
        <v>N/A</v>
      </c>
      <c r="U91" s="1719"/>
      <c r="V91" s="1719"/>
      <c r="W91" s="1719"/>
      <c r="X91" s="1719"/>
      <c r="Y91" s="1719"/>
    </row>
    <row r="92" spans="2:25" s="88" customFormat="1" ht="15" hidden="1" outlineLevel="2" thickBot="1" x14ac:dyDescent="0.45">
      <c r="B92" s="1771"/>
      <c r="C92" s="3856"/>
      <c r="D92" s="1895" t="s">
        <v>1656</v>
      </c>
      <c r="E92" s="1896" t="s">
        <v>3</v>
      </c>
      <c r="F92" s="1347">
        <f t="shared" si="9"/>
        <v>2.3000000000000003</v>
      </c>
      <c r="G92" s="1351">
        <f t="shared" si="10"/>
        <v>235.62656211206462</v>
      </c>
      <c r="H92" s="1348"/>
      <c r="I92" s="1353" t="s">
        <v>263</v>
      </c>
      <c r="J92" s="1895"/>
      <c r="K92" s="1897"/>
      <c r="L92" s="1897"/>
      <c r="M92" s="1898" t="str">
        <f>IFERROR(INDEX('Lower Cask Movement &amp; Logistics'!$I$13:$O$19,MATCH($K92,'Lower Cask Movement &amp; Logistics'!$H$13:$H$19,0),MATCH($L92,'Lower Cask Movement &amp; Logistics'!$H$13:$H$19,0)),"N/A")</f>
        <v>N/A</v>
      </c>
      <c r="N92" s="1899" t="str">
        <f>IFERROR(VLOOKUP($J92,'Lower Cask Movement &amp; Logistics'!$H$4:$I$9,2,FALSE),"N/A")</f>
        <v>N/A</v>
      </c>
      <c r="O92" s="1900" t="str">
        <f t="shared" si="8"/>
        <v>N/A</v>
      </c>
      <c r="P92" s="1901" t="s">
        <v>1552</v>
      </c>
      <c r="Q92" s="1900">
        <f>IF($E92="Logistics",VLOOKUP($P92,'Lower Cask Movement &amp; Logistics'!$C$4:$D$54,2,FALSE),"N/A")</f>
        <v>2.3000000000000003</v>
      </c>
      <c r="R92" s="3380"/>
      <c r="S92" s="3481" t="str">
        <f>IFERROR(VLOOKUP($R92,'LowerCask Recovery Dependencies'!$C$6:$F$71,4,FALSE),"N/A")</f>
        <v>N/A</v>
      </c>
      <c r="T92" s="3482" t="str">
        <f t="shared" si="11"/>
        <v>N/A</v>
      </c>
      <c r="U92" s="1719"/>
      <c r="V92" s="1719"/>
      <c r="W92" s="1719"/>
      <c r="X92" s="1719"/>
      <c r="Y92" s="1719"/>
    </row>
    <row r="93" spans="2:25" s="88" customFormat="1" hidden="1" outlineLevel="2" x14ac:dyDescent="0.4">
      <c r="B93" s="1771"/>
      <c r="C93" s="3850" t="s">
        <v>1657</v>
      </c>
      <c r="D93" s="1129" t="s">
        <v>1619</v>
      </c>
      <c r="E93" s="1620" t="s">
        <v>3</v>
      </c>
      <c r="F93" s="1621">
        <f t="shared" si="9"/>
        <v>1.9</v>
      </c>
      <c r="G93" s="1905">
        <f t="shared" si="10"/>
        <v>237.52656211206462</v>
      </c>
      <c r="H93" s="1874"/>
      <c r="I93" s="1130" t="s">
        <v>263</v>
      </c>
      <c r="J93" s="1129"/>
      <c r="K93" s="1619"/>
      <c r="L93" s="1619"/>
      <c r="M93" s="1623" t="str">
        <f>IFERROR(INDEX('Lower Cask Movement &amp; Logistics'!$I$13:$O$19,MATCH($K93,'Lower Cask Movement &amp; Logistics'!$H$13:$H$19,0),MATCH($L93,'Lower Cask Movement &amp; Logistics'!$H$13:$H$19,0)),"N/A")</f>
        <v>N/A</v>
      </c>
      <c r="N93" s="1875" t="str">
        <f>IFERROR(VLOOKUP($J93,'Lower Cask Movement &amp; Logistics'!$H$4:$I$9,2,FALSE),"N/A")</f>
        <v>N/A</v>
      </c>
      <c r="O93" s="1876" t="str">
        <f t="shared" si="8"/>
        <v>N/A</v>
      </c>
      <c r="P93" s="1877" t="s">
        <v>1541</v>
      </c>
      <c r="Q93" s="1876">
        <f>IF($E93="Logistics",VLOOKUP($P93,'Lower Cask Movement &amp; Logistics'!$C$4:$D$54,2,FALSE),"N/A")</f>
        <v>1.9</v>
      </c>
      <c r="R93" s="3376" t="s">
        <v>1869</v>
      </c>
      <c r="S93" s="3474">
        <f>IFERROR(VLOOKUP($R93,'LowerCask Recovery Dependencies'!$C$6:$F$71,4,FALSE),"N/A")</f>
        <v>106.17447312180239</v>
      </c>
      <c r="T93" s="3475">
        <f t="shared" si="11"/>
        <v>129.45208899026221</v>
      </c>
      <c r="U93" s="1719"/>
      <c r="V93" s="1719"/>
      <c r="W93" s="1719"/>
      <c r="X93" s="1719"/>
      <c r="Y93" s="1719"/>
    </row>
    <row r="94" spans="2:25" s="88" customFormat="1" hidden="1" outlineLevel="2" x14ac:dyDescent="0.4">
      <c r="B94" s="1771"/>
      <c r="C94" s="3854"/>
      <c r="D94" s="1579" t="s">
        <v>1247</v>
      </c>
      <c r="E94" s="1611" t="s">
        <v>3</v>
      </c>
      <c r="F94" s="626">
        <f t="shared" si="9"/>
        <v>0.38</v>
      </c>
      <c r="G94" s="630">
        <f t="shared" si="10"/>
        <v>237.90656211206462</v>
      </c>
      <c r="H94" s="627"/>
      <c r="I94" s="632" t="s">
        <v>263</v>
      </c>
      <c r="J94" s="1579"/>
      <c r="K94" s="582"/>
      <c r="L94" s="582"/>
      <c r="M94" s="1478" t="str">
        <f>IFERROR(INDEX('Lower Cask Movement &amp; Logistics'!$I$13:$O$19,MATCH($K94,'Lower Cask Movement &amp; Logistics'!$H$13:$H$19,0),MATCH($L94,'Lower Cask Movement &amp; Logistics'!$H$13:$H$19,0)),"N/A")</f>
        <v>N/A</v>
      </c>
      <c r="N94" s="1878" t="str">
        <f>IFERROR(VLOOKUP($J94,'Lower Cask Movement &amp; Logistics'!$H$4:$I$9,2,FALSE),"N/A")</f>
        <v>N/A</v>
      </c>
      <c r="O94" s="1879" t="str">
        <f t="shared" si="8"/>
        <v>N/A</v>
      </c>
      <c r="P94" s="1880" t="s">
        <v>1544</v>
      </c>
      <c r="Q94" s="1879">
        <f>IF($E94="Logistics",VLOOKUP($P94,'Lower Cask Movement &amp; Logistics'!$C$4:$D$54,2,FALSE),"N/A")</f>
        <v>0.38</v>
      </c>
      <c r="R94" s="3377"/>
      <c r="S94" s="3476" t="str">
        <f>IFERROR(VLOOKUP($R94,'LowerCask Recovery Dependencies'!$C$6:$F$71,4,FALSE),"N/A")</f>
        <v>N/A</v>
      </c>
      <c r="T94" s="3477" t="str">
        <f t="shared" si="11"/>
        <v>N/A</v>
      </c>
      <c r="U94" s="1719"/>
      <c r="V94" s="1719"/>
      <c r="W94" s="1719"/>
      <c r="X94" s="1719"/>
      <c r="Y94" s="1719"/>
    </row>
    <row r="95" spans="2:25" s="88" customFormat="1" hidden="1" outlineLevel="2" x14ac:dyDescent="0.4">
      <c r="B95" s="1771"/>
      <c r="C95" s="3854"/>
      <c r="D95" s="1579" t="s">
        <v>1659</v>
      </c>
      <c r="E95" s="1611" t="s">
        <v>3</v>
      </c>
      <c r="F95" s="626">
        <f t="shared" si="9"/>
        <v>0.38</v>
      </c>
      <c r="G95" s="630">
        <f t="shared" si="10"/>
        <v>238.28656211206462</v>
      </c>
      <c r="H95" s="627"/>
      <c r="I95" s="632" t="s">
        <v>263</v>
      </c>
      <c r="J95" s="1579"/>
      <c r="K95" s="582"/>
      <c r="L95" s="582"/>
      <c r="M95" s="1478" t="str">
        <f>IFERROR(INDEX('Lower Cask Movement &amp; Logistics'!$I$13:$O$19,MATCH($K95,'Lower Cask Movement &amp; Logistics'!$H$13:$H$19,0),MATCH($L95,'Lower Cask Movement &amp; Logistics'!$H$13:$H$19,0)),"N/A")</f>
        <v>N/A</v>
      </c>
      <c r="N95" s="1878" t="str">
        <f>IFERROR(VLOOKUP($J95,'Lower Cask Movement &amp; Logistics'!$H$4:$I$9,2,FALSE),"N/A")</f>
        <v>N/A</v>
      </c>
      <c r="O95" s="1879" t="str">
        <f t="shared" si="8"/>
        <v>N/A</v>
      </c>
      <c r="P95" s="1880" t="s">
        <v>1544</v>
      </c>
      <c r="Q95" s="1879">
        <f>IF($E95="Logistics",VLOOKUP($P95,'Lower Cask Movement &amp; Logistics'!$C$4:$D$54,2,FALSE),"N/A")</f>
        <v>0.38</v>
      </c>
      <c r="R95" s="3377"/>
      <c r="S95" s="3476" t="str">
        <f>IFERROR(VLOOKUP($R95,'LowerCask Recovery Dependencies'!$C$6:$F$71,4,FALSE),"N/A")</f>
        <v>N/A</v>
      </c>
      <c r="T95" s="3477" t="str">
        <f t="shared" si="11"/>
        <v>N/A</v>
      </c>
      <c r="U95" s="1719"/>
      <c r="V95" s="1719"/>
      <c r="W95" s="1719"/>
      <c r="X95" s="1719"/>
      <c r="Y95" s="1719"/>
    </row>
    <row r="96" spans="2:25" s="88" customFormat="1" hidden="1" outlineLevel="2" x14ac:dyDescent="0.4">
      <c r="B96" s="1771"/>
      <c r="C96" s="3854"/>
      <c r="D96" s="1579" t="s">
        <v>1660</v>
      </c>
      <c r="E96" s="1611" t="s">
        <v>251</v>
      </c>
      <c r="F96" s="626">
        <f t="shared" si="9"/>
        <v>10.036332312998582</v>
      </c>
      <c r="G96" s="630">
        <f t="shared" si="10"/>
        <v>248.3228944250632</v>
      </c>
      <c r="H96" s="627" t="s">
        <v>450</v>
      </c>
      <c r="I96" s="632">
        <v>10.036332312998582</v>
      </c>
      <c r="J96" s="1579"/>
      <c r="K96" s="582"/>
      <c r="L96" s="582"/>
      <c r="M96" s="1478" t="str">
        <f>IFERROR(INDEX('Lower Cask Movement &amp; Logistics'!$I$13:$O$19,MATCH($K96,'Lower Cask Movement &amp; Logistics'!$H$13:$H$19,0),MATCH($L96,'Lower Cask Movement &amp; Logistics'!$H$13:$H$19,0)),"N/A")</f>
        <v>N/A</v>
      </c>
      <c r="N96" s="1878" t="str">
        <f>IFERROR(VLOOKUP($J96,'Lower Cask Movement &amp; Logistics'!$H$4:$I$9,2,FALSE),"N/A")</f>
        <v>N/A</v>
      </c>
      <c r="O96" s="1879" t="str">
        <f t="shared" si="8"/>
        <v>N/A</v>
      </c>
      <c r="P96" s="1880"/>
      <c r="Q96" s="1879" t="str">
        <f>IF($E96="Logistics",VLOOKUP($P96,'Lower Cask Movement &amp; Logistics'!$C$4:$D$54,2,FALSE),"N/A")</f>
        <v>N/A</v>
      </c>
      <c r="R96" s="3377" t="s">
        <v>1867</v>
      </c>
      <c r="S96" s="3476">
        <f>IFERROR(VLOOKUP($R96,'LowerCask Recovery Dependencies'!$C$6:$F$71,4,FALSE),"N/A")</f>
        <v>91.46166666666663</v>
      </c>
      <c r="T96" s="3477">
        <f t="shared" si="11"/>
        <v>146.824895445398</v>
      </c>
      <c r="U96" s="1719"/>
      <c r="V96" s="1719"/>
      <c r="W96" s="1719"/>
      <c r="X96" s="1719"/>
      <c r="Y96" s="1719"/>
    </row>
    <row r="97" spans="2:25" s="88" customFormat="1" hidden="1" outlineLevel="2" x14ac:dyDescent="0.4">
      <c r="B97" s="1771"/>
      <c r="C97" s="3854"/>
      <c r="D97" s="1579" t="s">
        <v>1593</v>
      </c>
      <c r="E97" s="1611" t="s">
        <v>3</v>
      </c>
      <c r="F97" s="626">
        <f t="shared" si="9"/>
        <v>0.53</v>
      </c>
      <c r="G97" s="630">
        <f t="shared" si="10"/>
        <v>248.8528944250632</v>
      </c>
      <c r="H97" s="627"/>
      <c r="I97" s="632" t="s">
        <v>263</v>
      </c>
      <c r="J97" s="1579"/>
      <c r="K97" s="582"/>
      <c r="L97" s="582"/>
      <c r="M97" s="1478" t="str">
        <f>IFERROR(INDEX('Lower Cask Movement &amp; Logistics'!$I$13:$O$19,MATCH($K97,'Lower Cask Movement &amp; Logistics'!$H$13:$H$19,0),MATCH($L97,'Lower Cask Movement &amp; Logistics'!$H$13:$H$19,0)),"N/A")</f>
        <v>N/A</v>
      </c>
      <c r="N97" s="1878" t="str">
        <f>IFERROR(VLOOKUP($J97,'Lower Cask Movement &amp; Logistics'!$H$4:$I$9,2,FALSE),"N/A")</f>
        <v>N/A</v>
      </c>
      <c r="O97" s="1879" t="str">
        <f t="shared" si="8"/>
        <v>N/A</v>
      </c>
      <c r="P97" s="1880" t="s">
        <v>1558</v>
      </c>
      <c r="Q97" s="1879">
        <f>IF($E97="Logistics",VLOOKUP($P97,'Lower Cask Movement &amp; Logistics'!$C$4:$D$54,2,FALSE),"N/A")</f>
        <v>0.53</v>
      </c>
      <c r="R97" s="3377"/>
      <c r="S97" s="3476" t="str">
        <f>IFERROR(VLOOKUP($R97,'LowerCask Recovery Dependencies'!$C$6:$F$71,4,FALSE),"N/A")</f>
        <v>N/A</v>
      </c>
      <c r="T97" s="3477" t="str">
        <f t="shared" si="11"/>
        <v>N/A</v>
      </c>
      <c r="U97" s="1719"/>
      <c r="V97" s="1719"/>
      <c r="W97" s="1719"/>
      <c r="X97" s="1719"/>
      <c r="Y97" s="1719"/>
    </row>
    <row r="98" spans="2:25" s="88" customFormat="1" hidden="1" outlineLevel="2" x14ac:dyDescent="0.4">
      <c r="B98" s="1771"/>
      <c r="C98" s="3854"/>
      <c r="D98" s="1579" t="s">
        <v>1661</v>
      </c>
      <c r="E98" s="1611" t="s">
        <v>3</v>
      </c>
      <c r="F98" s="626">
        <f t="shared" si="9"/>
        <v>0.38</v>
      </c>
      <c r="G98" s="630">
        <f t="shared" si="10"/>
        <v>249.23289442506319</v>
      </c>
      <c r="H98" s="627"/>
      <c r="I98" s="632" t="s">
        <v>263</v>
      </c>
      <c r="J98" s="1579"/>
      <c r="K98" s="582"/>
      <c r="L98" s="582"/>
      <c r="M98" s="1478" t="str">
        <f>IFERROR(INDEX('Lower Cask Movement &amp; Logistics'!$I$13:$O$19,MATCH($K98,'Lower Cask Movement &amp; Logistics'!$H$13:$H$19,0),MATCH($L98,'Lower Cask Movement &amp; Logistics'!$H$13:$H$19,0)),"N/A")</f>
        <v>N/A</v>
      </c>
      <c r="N98" s="1878" t="str">
        <f>IFERROR(VLOOKUP($J98,'Lower Cask Movement &amp; Logistics'!$H$4:$I$9,2,FALSE),"N/A")</f>
        <v>N/A</v>
      </c>
      <c r="O98" s="1879" t="str">
        <f t="shared" si="8"/>
        <v>N/A</v>
      </c>
      <c r="P98" s="1880" t="s">
        <v>1544</v>
      </c>
      <c r="Q98" s="1879">
        <f>IF($E98="Logistics",VLOOKUP($P98,'Lower Cask Movement &amp; Logistics'!$C$4:$D$54,2,FALSE),"N/A")</f>
        <v>0.38</v>
      </c>
      <c r="R98" s="3377"/>
      <c r="S98" s="3476" t="str">
        <f>IFERROR(VLOOKUP($R98,'LowerCask Recovery Dependencies'!$C$6:$F$71,4,FALSE),"N/A")</f>
        <v>N/A</v>
      </c>
      <c r="T98" s="3477" t="str">
        <f t="shared" si="11"/>
        <v>N/A</v>
      </c>
      <c r="U98" s="1719"/>
      <c r="V98" s="1719"/>
      <c r="W98" s="1719"/>
      <c r="X98" s="1719"/>
      <c r="Y98" s="1719"/>
    </row>
    <row r="99" spans="2:25" s="88" customFormat="1" hidden="1" outlineLevel="2" x14ac:dyDescent="0.4">
      <c r="B99" s="1771"/>
      <c r="C99" s="3854"/>
      <c r="D99" s="1579" t="s">
        <v>1662</v>
      </c>
      <c r="E99" s="1611" t="s">
        <v>251</v>
      </c>
      <c r="F99" s="626">
        <f t="shared" si="9"/>
        <v>10.036332312998582</v>
      </c>
      <c r="G99" s="630">
        <f t="shared" si="10"/>
        <v>259.26922673806177</v>
      </c>
      <c r="H99" s="627" t="s">
        <v>450</v>
      </c>
      <c r="I99" s="632">
        <v>10.036332312998582</v>
      </c>
      <c r="J99" s="1579"/>
      <c r="K99" s="582"/>
      <c r="L99" s="582"/>
      <c r="M99" s="1478" t="str">
        <f>IFERROR(INDEX('Lower Cask Movement &amp; Logistics'!$I$13:$O$19,MATCH($K99,'Lower Cask Movement &amp; Logistics'!$H$13:$H$19,0),MATCH($L99,'Lower Cask Movement &amp; Logistics'!$H$13:$H$19,0)),"N/A")</f>
        <v>N/A</v>
      </c>
      <c r="N99" s="1878" t="str">
        <f>IFERROR(VLOOKUP($J99,'Lower Cask Movement &amp; Logistics'!$H$4:$I$9,2,FALSE),"N/A")</f>
        <v>N/A</v>
      </c>
      <c r="O99" s="1879" t="str">
        <f t="shared" si="8"/>
        <v>N/A</v>
      </c>
      <c r="P99" s="1880"/>
      <c r="Q99" s="1879" t="str">
        <f>IF($E99="Logistics",VLOOKUP($P99,'Lower Cask Movement &amp; Logistics'!$C$4:$D$54,2,FALSE),"N/A")</f>
        <v>N/A</v>
      </c>
      <c r="R99" s="3377" t="s">
        <v>1868</v>
      </c>
      <c r="S99" s="3476">
        <f>IFERROR(VLOOKUP($R99,'LowerCask Recovery Dependencies'!$C$6:$F$71,4,FALSE),"N/A")</f>
        <v>215.32389748606744</v>
      </c>
      <c r="T99" s="3477">
        <f t="shared" si="11"/>
        <v>33.908996938995756</v>
      </c>
      <c r="U99" s="1719"/>
      <c r="V99" s="1719"/>
      <c r="W99" s="1719"/>
      <c r="X99" s="1719"/>
      <c r="Y99" s="1719"/>
    </row>
    <row r="100" spans="2:25" s="88" customFormat="1" hidden="1" outlineLevel="2" x14ac:dyDescent="0.4">
      <c r="B100" s="1771"/>
      <c r="C100" s="3854"/>
      <c r="D100" s="1579" t="s">
        <v>1599</v>
      </c>
      <c r="E100" s="1611" t="s">
        <v>3</v>
      </c>
      <c r="F100" s="626">
        <f t="shared" si="9"/>
        <v>0.38</v>
      </c>
      <c r="G100" s="630">
        <f t="shared" si="10"/>
        <v>259.64922673806177</v>
      </c>
      <c r="H100" s="627"/>
      <c r="I100" s="632" t="s">
        <v>263</v>
      </c>
      <c r="J100" s="1579"/>
      <c r="K100" s="582"/>
      <c r="L100" s="582"/>
      <c r="M100" s="1478" t="str">
        <f>IFERROR(INDEX('Lower Cask Movement &amp; Logistics'!$I$13:$O$19,MATCH($K100,'Lower Cask Movement &amp; Logistics'!$H$13:$H$19,0),MATCH($L100,'Lower Cask Movement &amp; Logistics'!$H$13:$H$19,0)),"N/A")</f>
        <v>N/A</v>
      </c>
      <c r="N100" s="1878" t="str">
        <f>IFERROR(VLOOKUP($J100,'Lower Cask Movement &amp; Logistics'!$H$4:$I$9,2,FALSE),"N/A")</f>
        <v>N/A</v>
      </c>
      <c r="O100" s="1879" t="str">
        <f t="shared" si="8"/>
        <v>N/A</v>
      </c>
      <c r="P100" s="1880" t="s">
        <v>1546</v>
      </c>
      <c r="Q100" s="1879">
        <f>IF($E100="Logistics",VLOOKUP($P100,'Lower Cask Movement &amp; Logistics'!$C$4:$D$54,2,FALSE),"N/A")</f>
        <v>0.38</v>
      </c>
      <c r="R100" s="3377"/>
      <c r="S100" s="3476" t="str">
        <f>IFERROR(VLOOKUP($R100,'LowerCask Recovery Dependencies'!$C$6:$F$71,4,FALSE),"N/A")</f>
        <v>N/A</v>
      </c>
      <c r="T100" s="3477" t="str">
        <f t="shared" si="11"/>
        <v>N/A</v>
      </c>
      <c r="U100" s="1719"/>
      <c r="V100" s="1719"/>
      <c r="W100" s="1719"/>
      <c r="X100" s="1719"/>
      <c r="Y100" s="1719"/>
    </row>
    <row r="101" spans="2:25" s="88" customFormat="1" hidden="1" outlineLevel="2" x14ac:dyDescent="0.4">
      <c r="B101" s="1771"/>
      <c r="C101" s="3854"/>
      <c r="D101" s="1579" t="s">
        <v>1590</v>
      </c>
      <c r="E101" s="1611" t="s">
        <v>3</v>
      </c>
      <c r="F101" s="626">
        <f t="shared" si="9"/>
        <v>0.38</v>
      </c>
      <c r="G101" s="630">
        <f t="shared" si="10"/>
        <v>260.02922673806177</v>
      </c>
      <c r="H101" s="627"/>
      <c r="I101" s="632" t="s">
        <v>263</v>
      </c>
      <c r="J101" s="1579"/>
      <c r="K101" s="582"/>
      <c r="L101" s="582"/>
      <c r="M101" s="1478" t="str">
        <f>IFERROR(INDEX('Lower Cask Movement &amp; Logistics'!$I$13:$O$19,MATCH($K101,'Lower Cask Movement &amp; Logistics'!$H$13:$H$19,0),MATCH($L101,'Lower Cask Movement &amp; Logistics'!$H$13:$H$19,0)),"N/A")</f>
        <v>N/A</v>
      </c>
      <c r="N101" s="1878" t="str">
        <f>IFERROR(VLOOKUP($J101,'Lower Cask Movement &amp; Logistics'!$H$4:$I$9,2,FALSE),"N/A")</f>
        <v>N/A</v>
      </c>
      <c r="O101" s="1879" t="str">
        <f t="shared" si="8"/>
        <v>N/A</v>
      </c>
      <c r="P101" s="1880" t="s">
        <v>1546</v>
      </c>
      <c r="Q101" s="1879">
        <f>IF($E101="Logistics",VLOOKUP($P101,'Lower Cask Movement &amp; Logistics'!$C$4:$D$54,2,FALSE),"N/A")</f>
        <v>0.38</v>
      </c>
      <c r="R101" s="3377"/>
      <c r="S101" s="3476" t="str">
        <f>IFERROR(VLOOKUP($R101,'LowerCask Recovery Dependencies'!$C$6:$F$71,4,FALSE),"N/A")</f>
        <v>N/A</v>
      </c>
      <c r="T101" s="3477" t="str">
        <f t="shared" si="11"/>
        <v>N/A</v>
      </c>
      <c r="U101" s="1719"/>
      <c r="V101" s="1719"/>
      <c r="W101" s="1719"/>
      <c r="X101" s="1719"/>
      <c r="Y101" s="1719"/>
    </row>
    <row r="102" spans="2:25" s="88" customFormat="1" ht="15" hidden="1" outlineLevel="2" thickBot="1" x14ac:dyDescent="0.45">
      <c r="B102" s="1771"/>
      <c r="C102" s="3851"/>
      <c r="D102" s="1136" t="s">
        <v>1663</v>
      </c>
      <c r="E102" s="1581" t="s">
        <v>3</v>
      </c>
      <c r="F102" s="585">
        <f t="shared" si="9"/>
        <v>2.3000000000000003</v>
      </c>
      <c r="G102" s="589">
        <f t="shared" si="10"/>
        <v>262.32922673806178</v>
      </c>
      <c r="H102" s="586"/>
      <c r="I102" s="591" t="s">
        <v>263</v>
      </c>
      <c r="J102" s="1136"/>
      <c r="K102" s="584"/>
      <c r="L102" s="584"/>
      <c r="M102" s="814" t="str">
        <f>IFERROR(INDEX('Lower Cask Movement &amp; Logistics'!$I$13:$O$19,MATCH($K102,'Lower Cask Movement &amp; Logistics'!$H$13:$H$19,0),MATCH($L102,'Lower Cask Movement &amp; Logistics'!$H$13:$H$19,0)),"N/A")</f>
        <v>N/A</v>
      </c>
      <c r="N102" s="1464" t="str">
        <f>IFERROR(VLOOKUP($J102,'Lower Cask Movement &amp; Logistics'!$H$4:$I$9,2,FALSE),"N/A")</f>
        <v>N/A</v>
      </c>
      <c r="O102" s="1881" t="str">
        <f t="shared" si="8"/>
        <v>N/A</v>
      </c>
      <c r="P102" s="1882" t="s">
        <v>1552</v>
      </c>
      <c r="Q102" s="1881">
        <f>IF($E102="Logistics",VLOOKUP($P102,'Lower Cask Movement &amp; Logistics'!$C$4:$D$54,2,FALSE),"N/A")</f>
        <v>2.3000000000000003</v>
      </c>
      <c r="R102" s="3378"/>
      <c r="S102" s="3478" t="str">
        <f>IFERROR(VLOOKUP($R102,'LowerCask Recovery Dependencies'!$C$6:$F$71,4,FALSE),"N/A")</f>
        <v>N/A</v>
      </c>
      <c r="T102" s="3469" t="str">
        <f t="shared" si="11"/>
        <v>N/A</v>
      </c>
      <c r="U102" s="1719"/>
      <c r="V102" s="1719"/>
      <c r="W102" s="1719"/>
      <c r="X102" s="1719"/>
      <c r="Y102" s="1719"/>
    </row>
    <row r="103" spans="2:25" s="88" customFormat="1" hidden="1" outlineLevel="2" x14ac:dyDescent="0.4">
      <c r="B103" s="1771"/>
      <c r="C103" s="3852" t="s">
        <v>1664</v>
      </c>
      <c r="D103" s="1906" t="s">
        <v>1619</v>
      </c>
      <c r="E103" s="1907" t="s">
        <v>3</v>
      </c>
      <c r="F103" s="1739">
        <f t="shared" si="9"/>
        <v>1.9</v>
      </c>
      <c r="G103" s="1908">
        <f t="shared" si="10"/>
        <v>264.22922673806175</v>
      </c>
      <c r="H103" s="1909"/>
      <c r="I103" s="1910" t="s">
        <v>263</v>
      </c>
      <c r="J103" s="1906"/>
      <c r="K103" s="1911"/>
      <c r="L103" s="1911"/>
      <c r="M103" s="1912" t="str">
        <f>IFERROR(INDEX('Lower Cask Movement &amp; Logistics'!$I$13:$O$19,MATCH($K103,'Lower Cask Movement &amp; Logistics'!$H$13:$H$19,0),MATCH($L103,'Lower Cask Movement &amp; Logistics'!$H$13:$H$19,0)),"N/A")</f>
        <v>N/A</v>
      </c>
      <c r="N103" s="1913" t="str">
        <f>IFERROR(VLOOKUP($J103,'Lower Cask Movement &amp; Logistics'!$H$4:$I$9,2,FALSE),"N/A")</f>
        <v>N/A</v>
      </c>
      <c r="O103" s="1914" t="str">
        <f t="shared" si="8"/>
        <v>N/A</v>
      </c>
      <c r="P103" s="1915" t="s">
        <v>1541</v>
      </c>
      <c r="Q103" s="1914">
        <f>IF($E103="Logistics",VLOOKUP($P103,'Lower Cask Movement &amp; Logistics'!$C$4:$D$54,2,FALSE),"N/A")</f>
        <v>1.9</v>
      </c>
      <c r="R103" s="3381" t="s">
        <v>1870</v>
      </c>
      <c r="S103" s="3486">
        <f>IFERROR(VLOOKUP($R103,'LowerCask Recovery Dependencies'!$C$6:$F$71,4,FALSE),"N/A")</f>
        <v>237.94026581576836</v>
      </c>
      <c r="T103" s="3487">
        <f t="shared" si="11"/>
        <v>24.388960922293421</v>
      </c>
      <c r="U103" s="1719"/>
      <c r="V103" s="1719"/>
      <c r="W103" s="1719"/>
      <c r="X103" s="1719"/>
      <c r="Y103" s="1719"/>
    </row>
    <row r="104" spans="2:25" s="88" customFormat="1" hidden="1" outlineLevel="2" x14ac:dyDescent="0.4">
      <c r="B104" s="1771"/>
      <c r="C104" s="3856"/>
      <c r="D104" s="1895" t="s">
        <v>1247</v>
      </c>
      <c r="E104" s="1896" t="s">
        <v>3</v>
      </c>
      <c r="F104" s="1347">
        <f t="shared" si="9"/>
        <v>0.38</v>
      </c>
      <c r="G104" s="1351">
        <f t="shared" si="10"/>
        <v>264.60922673806175</v>
      </c>
      <c r="H104" s="1348"/>
      <c r="I104" s="1353" t="s">
        <v>263</v>
      </c>
      <c r="J104" s="1895"/>
      <c r="K104" s="1897"/>
      <c r="L104" s="1897"/>
      <c r="M104" s="1898" t="str">
        <f>IFERROR(INDEX('Lower Cask Movement &amp; Logistics'!$I$13:$O$19,MATCH($K104,'Lower Cask Movement &amp; Logistics'!$H$13:$H$19,0),MATCH($L104,'Lower Cask Movement &amp; Logistics'!$H$13:$H$19,0)),"N/A")</f>
        <v>N/A</v>
      </c>
      <c r="N104" s="1899" t="str">
        <f>IFERROR(VLOOKUP($J104,'Lower Cask Movement &amp; Logistics'!$H$4:$I$9,2,FALSE),"N/A")</f>
        <v>N/A</v>
      </c>
      <c r="O104" s="1900" t="str">
        <f t="shared" si="8"/>
        <v>N/A</v>
      </c>
      <c r="P104" s="1901" t="s">
        <v>1544</v>
      </c>
      <c r="Q104" s="1900">
        <f>IF($E104="Logistics",VLOOKUP($P104,'Lower Cask Movement &amp; Logistics'!$C$4:$D$54,2,FALSE),"N/A")</f>
        <v>0.38</v>
      </c>
      <c r="R104" s="3380"/>
      <c r="S104" s="3481" t="str">
        <f>IFERROR(VLOOKUP($R104,'LowerCask Recovery Dependencies'!$C$6:$F$71,4,FALSE),"N/A")</f>
        <v>N/A</v>
      </c>
      <c r="T104" s="3482" t="str">
        <f t="shared" si="11"/>
        <v>N/A</v>
      </c>
      <c r="U104" s="1719"/>
      <c r="V104" s="1719"/>
      <c r="W104" s="1719"/>
      <c r="X104" s="1719"/>
      <c r="Y104" s="1719"/>
    </row>
    <row r="105" spans="2:25" s="88" customFormat="1" hidden="1" outlineLevel="2" x14ac:dyDescent="0.4">
      <c r="B105" s="1771"/>
      <c r="C105" s="3856"/>
      <c r="D105" s="1895" t="s">
        <v>1666</v>
      </c>
      <c r="E105" s="1896" t="s">
        <v>3</v>
      </c>
      <c r="F105" s="1347">
        <f t="shared" si="9"/>
        <v>0.38</v>
      </c>
      <c r="G105" s="1351">
        <f t="shared" si="10"/>
        <v>264.98922673806175</v>
      </c>
      <c r="H105" s="1348"/>
      <c r="I105" s="1353" t="s">
        <v>263</v>
      </c>
      <c r="J105" s="1895"/>
      <c r="K105" s="1897"/>
      <c r="L105" s="1897"/>
      <c r="M105" s="1898" t="str">
        <f>IFERROR(INDEX('Lower Cask Movement &amp; Logistics'!$I$13:$O$19,MATCH($K105,'Lower Cask Movement &amp; Logistics'!$H$13:$H$19,0),MATCH($L105,'Lower Cask Movement &amp; Logistics'!$H$13:$H$19,0)),"N/A")</f>
        <v>N/A</v>
      </c>
      <c r="N105" s="1899" t="str">
        <f>IFERROR(VLOOKUP($J105,'Lower Cask Movement &amp; Logistics'!$H$4:$I$9,2,FALSE),"N/A")</f>
        <v>N/A</v>
      </c>
      <c r="O105" s="1900" t="str">
        <f t="shared" si="8"/>
        <v>N/A</v>
      </c>
      <c r="P105" s="1901" t="s">
        <v>1544</v>
      </c>
      <c r="Q105" s="1900">
        <f>IF($E105="Logistics",VLOOKUP($P105,'Lower Cask Movement &amp; Logistics'!$C$4:$D$54,2,FALSE),"N/A")</f>
        <v>0.38</v>
      </c>
      <c r="R105" s="3380"/>
      <c r="S105" s="3481" t="str">
        <f>IFERROR(VLOOKUP($R105,'LowerCask Recovery Dependencies'!$C$6:$F$71,4,FALSE),"N/A")</f>
        <v>N/A</v>
      </c>
      <c r="T105" s="3482" t="str">
        <f t="shared" si="11"/>
        <v>N/A</v>
      </c>
      <c r="U105" s="1719"/>
      <c r="V105" s="1719"/>
      <c r="W105" s="1719"/>
      <c r="X105" s="1719"/>
      <c r="Y105" s="1719"/>
    </row>
    <row r="106" spans="2:25" s="88" customFormat="1" hidden="1" outlineLevel="2" x14ac:dyDescent="0.4">
      <c r="B106" s="1771"/>
      <c r="C106" s="3856"/>
      <c r="D106" s="1895" t="s">
        <v>1667</v>
      </c>
      <c r="E106" s="1896" t="s">
        <v>251</v>
      </c>
      <c r="F106" s="1347">
        <f t="shared" si="9"/>
        <v>10.036332312998582</v>
      </c>
      <c r="G106" s="1351">
        <f t="shared" si="10"/>
        <v>275.02555905106033</v>
      </c>
      <c r="H106" s="1348" t="s">
        <v>450</v>
      </c>
      <c r="I106" s="1353">
        <v>10.036332312998582</v>
      </c>
      <c r="J106" s="1895"/>
      <c r="K106" s="1897"/>
      <c r="L106" s="1897"/>
      <c r="M106" s="1898" t="str">
        <f>IFERROR(INDEX('Lower Cask Movement &amp; Logistics'!$I$13:$O$19,MATCH($K106,'Lower Cask Movement &amp; Logistics'!$H$13:$H$19,0),MATCH($L106,'Lower Cask Movement &amp; Logistics'!$H$13:$H$19,0)),"N/A")</f>
        <v>N/A</v>
      </c>
      <c r="N106" s="1899" t="str">
        <f>IFERROR(VLOOKUP($J106,'Lower Cask Movement &amp; Logistics'!$H$4:$I$9,2,FALSE),"N/A")</f>
        <v>N/A</v>
      </c>
      <c r="O106" s="1900" t="str">
        <f t="shared" si="8"/>
        <v>N/A</v>
      </c>
      <c r="P106" s="1901"/>
      <c r="Q106" s="1900" t="str">
        <f>IF($E106="Logistics",VLOOKUP($P106,'Lower Cask Movement &amp; Logistics'!$C$4:$D$54,2,FALSE),"N/A")</f>
        <v>N/A</v>
      </c>
      <c r="R106" s="3380" t="s">
        <v>1871</v>
      </c>
      <c r="S106" s="3481">
        <f>IFERROR(VLOOKUP($R106,'LowerCask Recovery Dependencies'!$C$6:$F$71,4,FALSE),"N/A")</f>
        <v>100.26055555555551</v>
      </c>
      <c r="T106" s="3482">
        <f t="shared" si="11"/>
        <v>164.72867118250622</v>
      </c>
      <c r="U106" s="1719"/>
      <c r="V106" s="1719"/>
      <c r="W106" s="1719"/>
      <c r="X106" s="1719"/>
      <c r="Y106" s="1719"/>
    </row>
    <row r="107" spans="2:25" s="88" customFormat="1" hidden="1" outlineLevel="2" x14ac:dyDescent="0.4">
      <c r="B107" s="1771"/>
      <c r="C107" s="3856"/>
      <c r="D107" s="1895" t="s">
        <v>1669</v>
      </c>
      <c r="E107" s="1896" t="s">
        <v>3</v>
      </c>
      <c r="F107" s="1347">
        <f t="shared" si="9"/>
        <v>0.38</v>
      </c>
      <c r="G107" s="1351">
        <f t="shared" si="10"/>
        <v>275.40555905106032</v>
      </c>
      <c r="H107" s="1348"/>
      <c r="I107" s="1353" t="s">
        <v>263</v>
      </c>
      <c r="J107" s="1895"/>
      <c r="K107" s="1897"/>
      <c r="L107" s="1897"/>
      <c r="M107" s="1898" t="str">
        <f>IFERROR(INDEX('Lower Cask Movement &amp; Logistics'!$I$13:$O$19,MATCH($K107,'Lower Cask Movement &amp; Logistics'!$H$13:$H$19,0),MATCH($L107,'Lower Cask Movement &amp; Logistics'!$H$13:$H$19,0)),"N/A")</f>
        <v>N/A</v>
      </c>
      <c r="N107" s="1899" t="str">
        <f>IFERROR(VLOOKUP($J107,'Lower Cask Movement &amp; Logistics'!$H$4:$I$9,2,FALSE),"N/A")</f>
        <v>N/A</v>
      </c>
      <c r="O107" s="1900" t="str">
        <f t="shared" si="8"/>
        <v>N/A</v>
      </c>
      <c r="P107" s="1901" t="s">
        <v>1544</v>
      </c>
      <c r="Q107" s="1900">
        <f>IF($E107="Logistics",VLOOKUP($P107,'Lower Cask Movement &amp; Logistics'!$C$4:$D$54,2,FALSE),"N/A")</f>
        <v>0.38</v>
      </c>
      <c r="R107" s="3380"/>
      <c r="S107" s="3481" t="str">
        <f>IFERROR(VLOOKUP($R107,'LowerCask Recovery Dependencies'!$C$6:$F$71,4,FALSE),"N/A")</f>
        <v>N/A</v>
      </c>
      <c r="T107" s="3482" t="str">
        <f t="shared" si="11"/>
        <v>N/A</v>
      </c>
      <c r="U107" s="1719"/>
      <c r="V107" s="1719"/>
      <c r="W107" s="1719"/>
      <c r="X107" s="1719"/>
      <c r="Y107" s="1719"/>
    </row>
    <row r="108" spans="2:25" s="88" customFormat="1" hidden="1" outlineLevel="2" x14ac:dyDescent="0.4">
      <c r="B108" s="1771"/>
      <c r="C108" s="3856"/>
      <c r="D108" s="1895" t="s">
        <v>1670</v>
      </c>
      <c r="E108" s="1896" t="s">
        <v>3</v>
      </c>
      <c r="F108" s="1347">
        <f t="shared" si="9"/>
        <v>0.53</v>
      </c>
      <c r="G108" s="1351">
        <f t="shared" si="10"/>
        <v>275.9355590510603</v>
      </c>
      <c r="H108" s="1348"/>
      <c r="I108" s="1353" t="s">
        <v>263</v>
      </c>
      <c r="J108" s="1895"/>
      <c r="K108" s="1897"/>
      <c r="L108" s="1897"/>
      <c r="M108" s="1898" t="str">
        <f>IFERROR(INDEX('Lower Cask Movement &amp; Logistics'!$I$13:$O$19,MATCH($K108,'Lower Cask Movement &amp; Logistics'!$H$13:$H$19,0),MATCH($L108,'Lower Cask Movement &amp; Logistics'!$H$13:$H$19,0)),"N/A")</f>
        <v>N/A</v>
      </c>
      <c r="N108" s="1899" t="str">
        <f>IFERROR(VLOOKUP($J108,'Lower Cask Movement &amp; Logistics'!$H$4:$I$9,2,FALSE),"N/A")</f>
        <v>N/A</v>
      </c>
      <c r="O108" s="1900" t="str">
        <f t="shared" si="8"/>
        <v>N/A</v>
      </c>
      <c r="P108" s="1901" t="s">
        <v>1558</v>
      </c>
      <c r="Q108" s="1900">
        <f>IF($E108="Logistics",VLOOKUP($P108,'Lower Cask Movement &amp; Logistics'!$C$4:$D$54,2,FALSE),"N/A")</f>
        <v>0.53</v>
      </c>
      <c r="R108" s="3380"/>
      <c r="S108" s="3481" t="str">
        <f>IFERROR(VLOOKUP($R108,'LowerCask Recovery Dependencies'!$C$6:$F$71,4,FALSE),"N/A")</f>
        <v>N/A</v>
      </c>
      <c r="T108" s="3482" t="str">
        <f t="shared" si="11"/>
        <v>N/A</v>
      </c>
      <c r="U108" s="1719"/>
      <c r="V108" s="1719"/>
      <c r="W108" s="1719"/>
      <c r="X108" s="1719"/>
      <c r="Y108" s="1719"/>
    </row>
    <row r="109" spans="2:25" s="88" customFormat="1" hidden="1" outlineLevel="2" x14ac:dyDescent="0.4">
      <c r="B109" s="1771"/>
      <c r="C109" s="3856"/>
      <c r="D109" s="1895" t="s">
        <v>1186</v>
      </c>
      <c r="E109" s="1896" t="s">
        <v>251</v>
      </c>
      <c r="F109" s="1347">
        <f t="shared" si="9"/>
        <v>10.036332312998582</v>
      </c>
      <c r="G109" s="1351">
        <f t="shared" si="10"/>
        <v>285.97189136405888</v>
      </c>
      <c r="H109" s="1348" t="s">
        <v>450</v>
      </c>
      <c r="I109" s="1353">
        <v>10.036332312998582</v>
      </c>
      <c r="J109" s="1895"/>
      <c r="K109" s="1897"/>
      <c r="L109" s="1897"/>
      <c r="M109" s="1898" t="str">
        <f>IFERROR(INDEX('Lower Cask Movement &amp; Logistics'!$I$13:$O$19,MATCH($K109,'Lower Cask Movement &amp; Logistics'!$H$13:$H$19,0),MATCH($L109,'Lower Cask Movement &amp; Logistics'!$H$13:$H$19,0)),"N/A")</f>
        <v>N/A</v>
      </c>
      <c r="N109" s="1899" t="str">
        <f>IFERROR(VLOOKUP($J109,'Lower Cask Movement &amp; Logistics'!$H$4:$I$9,2,FALSE),"N/A")</f>
        <v>N/A</v>
      </c>
      <c r="O109" s="1900" t="str">
        <f t="shared" si="8"/>
        <v>N/A</v>
      </c>
      <c r="P109" s="1901"/>
      <c r="Q109" s="1900" t="str">
        <f>IF($E109="Logistics",VLOOKUP($P109,'Lower Cask Movement &amp; Logistics'!$C$4:$D$54,2,FALSE),"N/A")</f>
        <v>N/A</v>
      </c>
      <c r="R109" s="3380" t="s">
        <v>1872</v>
      </c>
      <c r="S109" s="3481">
        <f>IFERROR(VLOOKUP($R109,'LowerCask Recovery Dependencies'!$C$6:$F$71,4,FALSE),"N/A")</f>
        <v>106.06999999999995</v>
      </c>
      <c r="T109" s="3482">
        <f t="shared" si="11"/>
        <v>169.86555905106036</v>
      </c>
      <c r="U109" s="1719"/>
      <c r="V109" s="1719"/>
      <c r="W109" s="1719"/>
      <c r="X109" s="1719"/>
      <c r="Y109" s="1719"/>
    </row>
    <row r="110" spans="2:25" s="88" customFormat="1" hidden="1" outlineLevel="2" x14ac:dyDescent="0.4">
      <c r="B110" s="1771"/>
      <c r="C110" s="3856"/>
      <c r="D110" s="1895" t="s">
        <v>1599</v>
      </c>
      <c r="E110" s="1896" t="s">
        <v>3</v>
      </c>
      <c r="F110" s="1347">
        <f t="shared" si="9"/>
        <v>0.38</v>
      </c>
      <c r="G110" s="1351">
        <f t="shared" si="10"/>
        <v>286.35189136405887</v>
      </c>
      <c r="H110" s="1348"/>
      <c r="I110" s="1353" t="s">
        <v>263</v>
      </c>
      <c r="J110" s="1895"/>
      <c r="K110" s="1897"/>
      <c r="L110" s="1897"/>
      <c r="M110" s="1898" t="str">
        <f>IFERROR(INDEX('Lower Cask Movement &amp; Logistics'!$I$13:$O$19,MATCH($K110,'Lower Cask Movement &amp; Logistics'!$H$13:$H$19,0),MATCH($L110,'Lower Cask Movement &amp; Logistics'!$H$13:$H$19,0)),"N/A")</f>
        <v>N/A</v>
      </c>
      <c r="N110" s="1899" t="str">
        <f>IFERROR(VLOOKUP($J110,'Lower Cask Movement &amp; Logistics'!$H$4:$I$9,2,FALSE),"N/A")</f>
        <v>N/A</v>
      </c>
      <c r="O110" s="1900" t="str">
        <f t="shared" si="8"/>
        <v>N/A</v>
      </c>
      <c r="P110" s="1901" t="s">
        <v>1546</v>
      </c>
      <c r="Q110" s="1900">
        <f>IF($E110="Logistics",VLOOKUP($P110,'Lower Cask Movement &amp; Logistics'!$C$4:$D$54,2,FALSE),"N/A")</f>
        <v>0.38</v>
      </c>
      <c r="R110" s="3380"/>
      <c r="S110" s="3481" t="str">
        <f>IFERROR(VLOOKUP($R110,'LowerCask Recovery Dependencies'!$C$6:$F$71,4,FALSE),"N/A")</f>
        <v>N/A</v>
      </c>
      <c r="T110" s="3482" t="str">
        <f t="shared" si="11"/>
        <v>N/A</v>
      </c>
      <c r="U110" s="1719"/>
      <c r="V110" s="1719"/>
      <c r="W110" s="1719"/>
      <c r="X110" s="1719"/>
      <c r="Y110" s="1719"/>
    </row>
    <row r="111" spans="2:25" s="88" customFormat="1" hidden="1" outlineLevel="2" x14ac:dyDescent="0.4">
      <c r="B111" s="1771"/>
      <c r="C111" s="3856"/>
      <c r="D111" s="1895" t="s">
        <v>1252</v>
      </c>
      <c r="E111" s="1896" t="s">
        <v>3</v>
      </c>
      <c r="F111" s="1347">
        <f t="shared" si="9"/>
        <v>0.38</v>
      </c>
      <c r="G111" s="1351">
        <f t="shared" si="10"/>
        <v>286.73189136405887</v>
      </c>
      <c r="H111" s="1348"/>
      <c r="I111" s="1353" t="s">
        <v>263</v>
      </c>
      <c r="J111" s="1895"/>
      <c r="K111" s="1897"/>
      <c r="L111" s="1897"/>
      <c r="M111" s="1898" t="str">
        <f>IFERROR(INDEX('Lower Cask Movement &amp; Logistics'!$I$13:$O$19,MATCH($K111,'Lower Cask Movement &amp; Logistics'!$H$13:$H$19,0),MATCH($L111,'Lower Cask Movement &amp; Logistics'!$H$13:$H$19,0)),"N/A")</f>
        <v>N/A</v>
      </c>
      <c r="N111" s="1899" t="str">
        <f>IFERROR(VLOOKUP($J111,'Lower Cask Movement &amp; Logistics'!$H$4:$I$9,2,FALSE),"N/A")</f>
        <v>N/A</v>
      </c>
      <c r="O111" s="1900" t="str">
        <f t="shared" si="8"/>
        <v>N/A</v>
      </c>
      <c r="P111" s="1901" t="s">
        <v>1544</v>
      </c>
      <c r="Q111" s="1900">
        <f>IF($E111="Logistics",VLOOKUP($P111,'Lower Cask Movement &amp; Logistics'!$C$4:$D$54,2,FALSE),"N/A")</f>
        <v>0.38</v>
      </c>
      <c r="R111" s="3380"/>
      <c r="S111" s="3481" t="str">
        <f>IFERROR(VLOOKUP($R111,'LowerCask Recovery Dependencies'!$C$6:$F$71,4,FALSE),"N/A")</f>
        <v>N/A</v>
      </c>
      <c r="T111" s="3482" t="str">
        <f t="shared" si="11"/>
        <v>N/A</v>
      </c>
      <c r="U111" s="1719"/>
      <c r="V111" s="1719"/>
      <c r="W111" s="1719"/>
      <c r="X111" s="1719"/>
      <c r="Y111" s="1719"/>
    </row>
    <row r="112" spans="2:25" s="88" customFormat="1" hidden="1" outlineLevel="2" x14ac:dyDescent="0.4">
      <c r="B112" s="1771"/>
      <c r="C112" s="3856"/>
      <c r="D112" s="1895" t="s">
        <v>1672</v>
      </c>
      <c r="E112" s="1896" t="s">
        <v>251</v>
      </c>
      <c r="F112" s="1347">
        <f t="shared" si="9"/>
        <v>4.66</v>
      </c>
      <c r="G112" s="1351">
        <f t="shared" si="10"/>
        <v>291.39189136405889</v>
      </c>
      <c r="H112" s="1348" t="s">
        <v>273</v>
      </c>
      <c r="I112" s="1353">
        <v>4.66</v>
      </c>
      <c r="J112" s="1895"/>
      <c r="K112" s="1897"/>
      <c r="L112" s="1897"/>
      <c r="M112" s="1898" t="str">
        <f>IFERROR(INDEX('Lower Cask Movement &amp; Logistics'!$I$13:$O$19,MATCH($K112,'Lower Cask Movement &amp; Logistics'!$H$13:$H$19,0),MATCH($L112,'Lower Cask Movement &amp; Logistics'!$H$13:$H$19,0)),"N/A")</f>
        <v>N/A</v>
      </c>
      <c r="N112" s="1899" t="str">
        <f>IFERROR(VLOOKUP($J112,'Lower Cask Movement &amp; Logistics'!$H$4:$I$9,2,FALSE),"N/A")</f>
        <v>N/A</v>
      </c>
      <c r="O112" s="1900" t="str">
        <f t="shared" si="8"/>
        <v>N/A</v>
      </c>
      <c r="P112" s="1901"/>
      <c r="Q112" s="1900" t="str">
        <f>IF($E112="Logistics",VLOOKUP($P112,'Lower Cask Movement &amp; Logistics'!$C$4:$D$54,2,FALSE),"N/A")</f>
        <v>N/A</v>
      </c>
      <c r="R112" s="3380"/>
      <c r="S112" s="3481" t="str">
        <f>IFERROR(VLOOKUP($R112,'LowerCask Recovery Dependencies'!$C$6:$F$71,4,FALSE),"N/A")</f>
        <v>N/A</v>
      </c>
      <c r="T112" s="3482" t="str">
        <f t="shared" si="11"/>
        <v>N/A</v>
      </c>
      <c r="U112" s="1719"/>
      <c r="V112" s="1719"/>
      <c r="W112" s="1719"/>
      <c r="X112" s="1719"/>
      <c r="Y112" s="1719"/>
    </row>
    <row r="113" spans="1:28" s="88" customFormat="1" hidden="1" outlineLevel="2" x14ac:dyDescent="0.4">
      <c r="B113" s="1771"/>
      <c r="C113" s="3856"/>
      <c r="D113" s="1895" t="s">
        <v>1673</v>
      </c>
      <c r="E113" s="1896" t="s">
        <v>251</v>
      </c>
      <c r="F113" s="1347">
        <f t="shared" si="9"/>
        <v>4.66</v>
      </c>
      <c r="G113" s="1351">
        <f t="shared" si="10"/>
        <v>296.05189136405892</v>
      </c>
      <c r="H113" s="1348" t="s">
        <v>273</v>
      </c>
      <c r="I113" s="1353">
        <v>4.66</v>
      </c>
      <c r="J113" s="1895"/>
      <c r="K113" s="1897"/>
      <c r="L113" s="1897"/>
      <c r="M113" s="1898" t="str">
        <f>IFERROR(INDEX('Lower Cask Movement &amp; Logistics'!$I$13:$O$19,MATCH($K113,'Lower Cask Movement &amp; Logistics'!$H$13:$H$19,0),MATCH($L113,'Lower Cask Movement &amp; Logistics'!$H$13:$H$19,0)),"N/A")</f>
        <v>N/A</v>
      </c>
      <c r="N113" s="1899" t="str">
        <f>IFERROR(VLOOKUP($J113,'Lower Cask Movement &amp; Logistics'!$H$4:$I$9,2,FALSE),"N/A")</f>
        <v>N/A</v>
      </c>
      <c r="O113" s="1900" t="str">
        <f t="shared" si="8"/>
        <v>N/A</v>
      </c>
      <c r="P113" s="1901"/>
      <c r="Q113" s="1900" t="str">
        <f>IF($E113="Logistics",VLOOKUP($P113,'Lower Cask Movement &amp; Logistics'!$C$4:$D$54,2,FALSE),"N/A")</f>
        <v>N/A</v>
      </c>
      <c r="R113" s="3380"/>
      <c r="S113" s="3481" t="str">
        <f>IFERROR(VLOOKUP($R113,'LowerCask Recovery Dependencies'!$C$6:$F$71,4,FALSE),"N/A")</f>
        <v>N/A</v>
      </c>
      <c r="T113" s="3482" t="str">
        <f t="shared" si="11"/>
        <v>N/A</v>
      </c>
      <c r="U113" s="1719"/>
      <c r="V113" s="1719"/>
      <c r="W113" s="1719"/>
      <c r="X113" s="1719"/>
      <c r="Y113" s="1719"/>
    </row>
    <row r="114" spans="1:28" s="88" customFormat="1" hidden="1" outlineLevel="2" x14ac:dyDescent="0.4">
      <c r="B114" s="1771"/>
      <c r="C114" s="3856"/>
      <c r="D114" s="1895" t="s">
        <v>1590</v>
      </c>
      <c r="E114" s="1896" t="s">
        <v>3</v>
      </c>
      <c r="F114" s="1347">
        <f t="shared" si="9"/>
        <v>0.38</v>
      </c>
      <c r="G114" s="1351">
        <f t="shared" si="10"/>
        <v>296.43189136405891</v>
      </c>
      <c r="H114" s="1348"/>
      <c r="I114" s="1353" t="s">
        <v>263</v>
      </c>
      <c r="J114" s="1895"/>
      <c r="K114" s="1897"/>
      <c r="L114" s="1897"/>
      <c r="M114" s="1898" t="str">
        <f>IFERROR(INDEX('Lower Cask Movement &amp; Logistics'!$I$13:$O$19,MATCH($K114,'Lower Cask Movement &amp; Logistics'!$H$13:$H$19,0),MATCH($L114,'Lower Cask Movement &amp; Logistics'!$H$13:$H$19,0)),"N/A")</f>
        <v>N/A</v>
      </c>
      <c r="N114" s="1899" t="str">
        <f>IFERROR(VLOOKUP($J114,'Lower Cask Movement &amp; Logistics'!$H$4:$I$9,2,FALSE),"N/A")</f>
        <v>N/A</v>
      </c>
      <c r="O114" s="1900" t="str">
        <f t="shared" si="8"/>
        <v>N/A</v>
      </c>
      <c r="P114" s="1901" t="s">
        <v>1546</v>
      </c>
      <c r="Q114" s="1900">
        <f>IF($E114="Logistics",VLOOKUP($P114,'Lower Cask Movement &amp; Logistics'!$C$4:$D$54,2,FALSE),"N/A")</f>
        <v>0.38</v>
      </c>
      <c r="R114" s="3380"/>
      <c r="S114" s="3481" t="str">
        <f>IFERROR(VLOOKUP($R114,'LowerCask Recovery Dependencies'!$C$6:$F$71,4,FALSE),"N/A")</f>
        <v>N/A</v>
      </c>
      <c r="T114" s="3482" t="str">
        <f t="shared" si="11"/>
        <v>N/A</v>
      </c>
      <c r="U114" s="1719"/>
      <c r="V114" s="1719"/>
      <c r="W114" s="1719"/>
      <c r="X114" s="1719"/>
      <c r="Y114" s="1719"/>
    </row>
    <row r="115" spans="1:28" s="88" customFormat="1" hidden="1" outlineLevel="2" x14ac:dyDescent="0.4">
      <c r="B115" s="1771"/>
      <c r="C115" s="3856"/>
      <c r="D115" s="1895" t="s">
        <v>1247</v>
      </c>
      <c r="E115" s="1896" t="s">
        <v>3</v>
      </c>
      <c r="F115" s="1347">
        <f t="shared" si="9"/>
        <v>0.38</v>
      </c>
      <c r="G115" s="1351">
        <f t="shared" si="10"/>
        <v>296.81189136405891</v>
      </c>
      <c r="H115" s="1348"/>
      <c r="I115" s="1353" t="s">
        <v>263</v>
      </c>
      <c r="J115" s="1895"/>
      <c r="K115" s="1897"/>
      <c r="L115" s="1897"/>
      <c r="M115" s="1898" t="str">
        <f>IFERROR(INDEX('Lower Cask Movement &amp; Logistics'!$I$13:$O$19,MATCH($K115,'Lower Cask Movement &amp; Logistics'!$H$13:$H$19,0),MATCH($L115,'Lower Cask Movement &amp; Logistics'!$H$13:$H$19,0)),"N/A")</f>
        <v>N/A</v>
      </c>
      <c r="N115" s="1899" t="str">
        <f>IFERROR(VLOOKUP($J115,'Lower Cask Movement &amp; Logistics'!$H$4:$I$9,2,FALSE),"N/A")</f>
        <v>N/A</v>
      </c>
      <c r="O115" s="1900" t="str">
        <f t="shared" si="8"/>
        <v>N/A</v>
      </c>
      <c r="P115" s="1901" t="s">
        <v>1544</v>
      </c>
      <c r="Q115" s="1900">
        <f>IF($E115="Logistics",VLOOKUP($P115,'Lower Cask Movement &amp; Logistics'!$C$4:$D$54,2,FALSE),"N/A")</f>
        <v>0.38</v>
      </c>
      <c r="R115" s="3380"/>
      <c r="S115" s="3481" t="str">
        <f>IFERROR(VLOOKUP($R115,'LowerCask Recovery Dependencies'!$C$6:$F$71,4,FALSE),"N/A")</f>
        <v>N/A</v>
      </c>
      <c r="T115" s="3482" t="str">
        <f t="shared" si="11"/>
        <v>N/A</v>
      </c>
      <c r="U115" s="1719"/>
      <c r="V115" s="1719"/>
      <c r="W115" s="1719"/>
      <c r="X115" s="1719"/>
      <c r="Y115" s="1719"/>
    </row>
    <row r="116" spans="1:28" s="88" customFormat="1" hidden="1" outlineLevel="2" x14ac:dyDescent="0.4">
      <c r="B116" s="1771"/>
      <c r="C116" s="3856"/>
      <c r="D116" s="1895" t="s">
        <v>1674</v>
      </c>
      <c r="E116" s="1896" t="s">
        <v>3</v>
      </c>
      <c r="F116" s="1347">
        <f t="shared" si="9"/>
        <v>0.38</v>
      </c>
      <c r="G116" s="1351">
        <f t="shared" si="10"/>
        <v>297.1918913640589</v>
      </c>
      <c r="H116" s="1348"/>
      <c r="I116" s="1353" t="s">
        <v>263</v>
      </c>
      <c r="J116" s="1895"/>
      <c r="K116" s="1897"/>
      <c r="L116" s="1897"/>
      <c r="M116" s="1898" t="str">
        <f>IFERROR(INDEX('Lower Cask Movement &amp; Logistics'!$I$13:$O$19,MATCH($K116,'Lower Cask Movement &amp; Logistics'!$H$13:$H$19,0),MATCH($L116,'Lower Cask Movement &amp; Logistics'!$H$13:$H$19,0)),"N/A")</f>
        <v>N/A</v>
      </c>
      <c r="N116" s="1899" t="str">
        <f>IFERROR(VLOOKUP($J116,'Lower Cask Movement &amp; Logistics'!$H$4:$I$9,2,FALSE),"N/A")</f>
        <v>N/A</v>
      </c>
      <c r="O116" s="1900" t="str">
        <f t="shared" si="8"/>
        <v>N/A</v>
      </c>
      <c r="P116" s="1901" t="s">
        <v>1544</v>
      </c>
      <c r="Q116" s="1900">
        <f>IF($E116="Logistics",VLOOKUP($P116,'Lower Cask Movement &amp; Logistics'!$C$4:$D$54,2,FALSE),"N/A")</f>
        <v>0.38</v>
      </c>
      <c r="R116" s="3380"/>
      <c r="S116" s="3481" t="str">
        <f>IFERROR(VLOOKUP($R116,'LowerCask Recovery Dependencies'!$C$6:$F$71,4,FALSE),"N/A")</f>
        <v>N/A</v>
      </c>
      <c r="T116" s="3482" t="str">
        <f t="shared" si="11"/>
        <v>N/A</v>
      </c>
      <c r="U116" s="1719"/>
      <c r="V116" s="1719"/>
      <c r="W116" s="1719"/>
      <c r="X116" s="1719"/>
      <c r="Y116" s="1719"/>
    </row>
    <row r="117" spans="1:28" s="88" customFormat="1" hidden="1" outlineLevel="2" x14ac:dyDescent="0.4">
      <c r="B117" s="1771"/>
      <c r="C117" s="3856"/>
      <c r="D117" s="1895" t="s">
        <v>1596</v>
      </c>
      <c r="E117" s="1896" t="s">
        <v>3</v>
      </c>
      <c r="F117" s="1347">
        <f t="shared" si="9"/>
        <v>0.53</v>
      </c>
      <c r="G117" s="1351">
        <f t="shared" si="10"/>
        <v>297.72189136405888</v>
      </c>
      <c r="H117" s="1348"/>
      <c r="I117" s="1353" t="s">
        <v>263</v>
      </c>
      <c r="J117" s="1895"/>
      <c r="K117" s="1897"/>
      <c r="L117" s="1897"/>
      <c r="M117" s="1898" t="str">
        <f>IFERROR(INDEX('Lower Cask Movement &amp; Logistics'!$I$13:$O$19,MATCH($K117,'Lower Cask Movement &amp; Logistics'!$H$13:$H$19,0),MATCH($L117,'Lower Cask Movement &amp; Logistics'!$H$13:$H$19,0)),"N/A")</f>
        <v>N/A</v>
      </c>
      <c r="N117" s="1899" t="str">
        <f>IFERROR(VLOOKUP($J117,'Lower Cask Movement &amp; Logistics'!$H$4:$I$9,2,FALSE),"N/A")</f>
        <v>N/A</v>
      </c>
      <c r="O117" s="1900" t="str">
        <f>IF(E117="Movement",IFERROR((M117/N117)/(60*60),"Error"),"N/A")</f>
        <v>N/A</v>
      </c>
      <c r="P117" s="1901" t="s">
        <v>1558</v>
      </c>
      <c r="Q117" s="1900">
        <f>IF($E117="Logistics",VLOOKUP($P117,'Lower Cask Movement &amp; Logistics'!$C$4:$D$54,2,FALSE),"N/A")</f>
        <v>0.53</v>
      </c>
      <c r="R117" s="3380"/>
      <c r="S117" s="3481" t="str">
        <f>IFERROR(VLOOKUP($R117,'LowerCask Recovery Dependencies'!$C$6:$F$71,4,FALSE),"N/A")</f>
        <v>N/A</v>
      </c>
      <c r="T117" s="3482" t="str">
        <f t="shared" si="11"/>
        <v>N/A</v>
      </c>
      <c r="U117" s="1719"/>
      <c r="V117" s="1719"/>
      <c r="W117" s="1719"/>
      <c r="X117" s="1719"/>
      <c r="Y117" s="1719"/>
    </row>
    <row r="118" spans="1:28" s="88" customFormat="1" hidden="1" outlineLevel="2" x14ac:dyDescent="0.4">
      <c r="B118" s="1771"/>
      <c r="C118" s="3856"/>
      <c r="D118" s="1895" t="s">
        <v>1187</v>
      </c>
      <c r="E118" s="1896" t="s">
        <v>251</v>
      </c>
      <c r="F118" s="1347">
        <f>MAX($Q118,$O118,$I118)</f>
        <v>10.036332312998582</v>
      </c>
      <c r="G118" s="1351">
        <f>IF(T118&lt;0,F118+G117+(-T118),F118+G117)</f>
        <v>307.75822367705746</v>
      </c>
      <c r="H118" s="1348" t="s">
        <v>450</v>
      </c>
      <c r="I118" s="1353">
        <v>10.036332312998582</v>
      </c>
      <c r="J118" s="1895"/>
      <c r="K118" s="1897"/>
      <c r="L118" s="1897"/>
      <c r="M118" s="1898" t="str">
        <f>IFERROR(INDEX('Lower Cask Movement &amp; Logistics'!$I$13:$O$19,MATCH($K118,'Lower Cask Movement &amp; Logistics'!$H$13:$H$19,0),MATCH($L118,'Lower Cask Movement &amp; Logistics'!$H$13:$H$19,0)),"N/A")</f>
        <v>N/A</v>
      </c>
      <c r="N118" s="1899" t="str">
        <f>IFERROR(VLOOKUP($J118,'Lower Cask Movement &amp; Logistics'!$H$4:$I$9,2,FALSE),"N/A")</f>
        <v>N/A</v>
      </c>
      <c r="O118" s="1900" t="str">
        <f>IF(E118="Movement",IFERROR((M118/N118)/(60*60),"Error"),"N/A")</f>
        <v>N/A</v>
      </c>
      <c r="P118" s="1901"/>
      <c r="Q118" s="1900" t="str">
        <f>IF($E118="Logistics",VLOOKUP($P118,'Lower Cask Movement &amp; Logistics'!$C$4:$D$54,2,FALSE),"N/A")</f>
        <v>N/A</v>
      </c>
      <c r="R118" s="3380" t="s">
        <v>1873</v>
      </c>
      <c r="S118" s="3481">
        <f>IFERROR(VLOOKUP($R118,'LowerCask Recovery Dependencies'!$C$6:$F$71,4,FALSE),"N/A")</f>
        <v>111.87944444444439</v>
      </c>
      <c r="T118" s="3482">
        <f>IFERROR(G117-S118,"N/A")</f>
        <v>185.84244691961447</v>
      </c>
      <c r="U118" s="1719"/>
      <c r="V118" s="1719"/>
      <c r="W118" s="1719"/>
      <c r="X118" s="1719"/>
      <c r="Y118" s="1719"/>
    </row>
    <row r="119" spans="1:28" s="88" customFormat="1" ht="15" hidden="1" outlineLevel="2" thickBot="1" x14ac:dyDescent="0.45">
      <c r="B119" s="1771"/>
      <c r="C119" s="3853"/>
      <c r="D119" s="1869" t="s">
        <v>1599</v>
      </c>
      <c r="E119" s="1918" t="s">
        <v>3</v>
      </c>
      <c r="F119" s="1295">
        <f>MAX($Q119,$O119,$I119)</f>
        <v>0.38</v>
      </c>
      <c r="G119" s="1343">
        <f>IF(T119&lt;0,F119+G118+(-T119),F119+G118)</f>
        <v>308.13822367705745</v>
      </c>
      <c r="H119" s="839"/>
      <c r="I119" s="1345" t="s">
        <v>263</v>
      </c>
      <c r="J119" s="1869"/>
      <c r="K119" s="837"/>
      <c r="L119" s="837"/>
      <c r="M119" s="842" t="str">
        <f>IFERROR(INDEX('Lower Cask Movement &amp; Logistics'!$I$13:$O$19,MATCH($K119,'Lower Cask Movement &amp; Logistics'!$H$13:$H$19,0),MATCH($L119,'Lower Cask Movement &amp; Logistics'!$H$13:$H$19,0)),"N/A")</f>
        <v>N/A</v>
      </c>
      <c r="N119" s="1870" t="str">
        <f>IFERROR(VLOOKUP($J119,'Lower Cask Movement &amp; Logistics'!$H$4:$I$9,2,FALSE),"N/A")</f>
        <v>N/A</v>
      </c>
      <c r="O119" s="1919" t="str">
        <f>IF(E119="Movement",IFERROR((M119/N119)/(60*60),"Error"),"N/A")</f>
        <v>N/A</v>
      </c>
      <c r="P119" s="1920" t="s">
        <v>1546</v>
      </c>
      <c r="Q119" s="1919">
        <f>IF($E119="Logistics",VLOOKUP($P119,'Lower Cask Movement &amp; Logistics'!$C$4:$D$54,2,FALSE),"N/A")</f>
        <v>0.38</v>
      </c>
      <c r="R119" s="3382"/>
      <c r="S119" s="3488" t="str">
        <f>IFERROR(VLOOKUP($R119,'LowerCask Recovery Dependencies'!$C$6:$F$71,4,FALSE),"N/A")</f>
        <v>N/A</v>
      </c>
      <c r="T119" s="3473" t="str">
        <f>IFERROR(G118-S119,"N/A")</f>
        <v>N/A</v>
      </c>
      <c r="U119" s="1719"/>
      <c r="V119" s="1719"/>
      <c r="W119" s="1719"/>
      <c r="X119" s="1719"/>
      <c r="Y119" s="1719"/>
    </row>
    <row r="120" spans="1:28" s="8" customFormat="1" hidden="1" outlineLevel="1" x14ac:dyDescent="0.4">
      <c r="A120"/>
      <c r="B120" s="1771"/>
      <c r="C120" s="1923"/>
      <c r="D120" s="892"/>
      <c r="E120" s="1439" t="s">
        <v>11</v>
      </c>
      <c r="F120" s="1439"/>
      <c r="G120" s="894">
        <f>G119</f>
        <v>308.13822367705745</v>
      </c>
      <c r="H120" s="94"/>
      <c r="I120" s="895"/>
      <c r="J120" s="94"/>
      <c r="K120" s="94"/>
      <c r="L120" s="896"/>
      <c r="M120" s="897"/>
      <c r="N120" s="897"/>
      <c r="O120" s="894"/>
      <c r="P120" s="94"/>
      <c r="Q120" s="897"/>
      <c r="R120" s="3383"/>
      <c r="S120" s="3489"/>
      <c r="T120" s="3489"/>
      <c r="U120" s="2424"/>
      <c r="V120" s="2424"/>
      <c r="W120" s="2424"/>
      <c r="X120" s="2424"/>
      <c r="Y120" s="3434"/>
    </row>
    <row r="121" spans="1:28" s="8" customFormat="1" hidden="1" outlineLevel="1" x14ac:dyDescent="0.4">
      <c r="A121"/>
      <c r="B121" s="1771"/>
      <c r="C121" s="1923"/>
      <c r="D121" s="892"/>
      <c r="E121" s="898"/>
      <c r="F121" s="894"/>
      <c r="G121" s="894"/>
      <c r="H121" s="94"/>
      <c r="I121" s="895"/>
      <c r="J121" s="94"/>
      <c r="K121" s="94"/>
      <c r="L121" s="896"/>
      <c r="M121" s="897"/>
      <c r="N121" s="897"/>
      <c r="O121" s="894"/>
      <c r="P121" s="94"/>
      <c r="Q121" s="897"/>
      <c r="R121" s="3383"/>
      <c r="S121" s="3489"/>
      <c r="T121" s="3489"/>
      <c r="U121" s="3429"/>
      <c r="V121" s="3429"/>
      <c r="W121" s="3429"/>
      <c r="X121" s="3429"/>
      <c r="Y121" s="2424"/>
      <c r="Z121"/>
      <c r="AA121"/>
      <c r="AB121"/>
    </row>
    <row r="122" spans="1:28" s="8" customFormat="1" collapsed="1" x14ac:dyDescent="0.4">
      <c r="A122"/>
      <c r="B122" s="1783"/>
      <c r="C122" s="1924"/>
      <c r="D122" s="1784"/>
      <c r="E122" s="1925"/>
      <c r="F122" s="1784"/>
      <c r="G122" s="1784"/>
      <c r="H122" s="1926"/>
      <c r="I122" s="1796"/>
      <c r="J122" s="1784"/>
      <c r="K122" s="1784"/>
      <c r="L122" s="1924"/>
      <c r="M122" s="1784"/>
      <c r="N122" s="1784"/>
      <c r="O122" s="1784"/>
      <c r="P122" s="1784"/>
      <c r="Q122" s="1784"/>
      <c r="R122" s="3384"/>
      <c r="S122" s="3490"/>
      <c r="T122" s="3490"/>
      <c r="U122" s="3490"/>
      <c r="V122" s="3490"/>
      <c r="W122" s="3490"/>
      <c r="X122" s="3490"/>
      <c r="Y122" s="2424"/>
      <c r="Z122"/>
      <c r="AA122"/>
      <c r="AB122"/>
    </row>
    <row r="124" spans="1:28" s="8" customFormat="1" ht="15.45" x14ac:dyDescent="0.4">
      <c r="A124"/>
      <c r="B124" s="1927"/>
      <c r="C124" s="1928"/>
      <c r="D124" s="1929" t="s">
        <v>1874</v>
      </c>
      <c r="E124" s="1930"/>
      <c r="F124" s="1930"/>
      <c r="G124" s="1930"/>
      <c r="H124" s="1930"/>
      <c r="I124" s="1930"/>
      <c r="J124" s="1930"/>
      <c r="K124" s="1930"/>
      <c r="L124" s="1930"/>
      <c r="M124" s="1930"/>
      <c r="N124" s="1930"/>
      <c r="O124" s="1930"/>
      <c r="P124" s="1930"/>
      <c r="Q124" s="1930"/>
      <c r="R124" s="3385"/>
      <c r="S124" s="3491"/>
      <c r="T124" s="3491"/>
      <c r="U124" s="3491"/>
      <c r="V124" s="3491"/>
      <c r="W124" s="3491"/>
      <c r="X124" s="3491"/>
      <c r="Y124" s="2424"/>
      <c r="Z124"/>
      <c r="AA124"/>
      <c r="AB124"/>
    </row>
    <row r="125" spans="1:28" s="8" customFormat="1" hidden="1" outlineLevel="1" x14ac:dyDescent="0.4">
      <c r="A125"/>
      <c r="B125" s="1931"/>
      <c r="C125" s="1826"/>
      <c r="D125" s="748" t="s">
        <v>1053</v>
      </c>
      <c r="E125" s="749"/>
      <c r="F125" s="704"/>
      <c r="G125" s="704"/>
      <c r="H125" s="704"/>
      <c r="I125" s="750"/>
      <c r="J125" s="704"/>
      <c r="K125" s="704"/>
      <c r="L125" s="704"/>
      <c r="M125" s="704"/>
      <c r="N125" s="704"/>
      <c r="O125" s="704"/>
      <c r="P125" s="704"/>
      <c r="Q125" s="704"/>
      <c r="R125" s="3364"/>
      <c r="S125" s="3433"/>
      <c r="T125" s="3433"/>
      <c r="U125" s="3433"/>
      <c r="V125" s="3433"/>
      <c r="W125" s="3433"/>
      <c r="X125" s="3433"/>
      <c r="Y125" s="2424"/>
      <c r="Z125"/>
      <c r="AA125"/>
      <c r="AB125"/>
    </row>
    <row r="126" spans="1:28" s="8" customFormat="1" ht="15" hidden="1" outlineLevel="1" thickBot="1" x14ac:dyDescent="0.45">
      <c r="A126"/>
      <c r="B126" s="1931"/>
      <c r="C126" s="1826"/>
      <c r="D126" s="704" t="s">
        <v>1034</v>
      </c>
      <c r="E126" s="749"/>
      <c r="F126" s="704"/>
      <c r="G126" s="704"/>
      <c r="H126" s="704"/>
      <c r="I126" s="750"/>
      <c r="J126" s="704"/>
      <c r="K126" s="704"/>
      <c r="L126" s="704"/>
      <c r="M126" s="704"/>
      <c r="N126" s="704"/>
      <c r="O126" s="704"/>
      <c r="P126" s="704"/>
      <c r="Q126" s="704"/>
      <c r="R126" s="3364"/>
      <c r="S126" s="3433"/>
      <c r="T126" s="3434"/>
      <c r="U126" s="3433"/>
      <c r="V126" s="3433"/>
      <c r="W126" s="3433"/>
      <c r="X126" s="3433"/>
      <c r="Y126" s="2424"/>
      <c r="Z126"/>
      <c r="AA126"/>
      <c r="AB126"/>
    </row>
    <row r="127" spans="1:28" s="8" customFormat="1" hidden="1" outlineLevel="1" x14ac:dyDescent="0.4">
      <c r="A127"/>
      <c r="B127" s="1931"/>
      <c r="C127" s="1826"/>
      <c r="D127" t="s">
        <v>1861</v>
      </c>
      <c r="E127" s="749"/>
      <c r="F127" s="704"/>
      <c r="G127" s="704"/>
      <c r="H127" s="704"/>
      <c r="I127" s="750"/>
      <c r="J127" s="704"/>
      <c r="K127" s="704"/>
      <c r="L127" s="704"/>
      <c r="M127" s="704"/>
      <c r="N127" s="704"/>
      <c r="O127" s="704"/>
      <c r="P127" s="704"/>
      <c r="Q127" s="704"/>
      <c r="R127" s="3365"/>
      <c r="S127" s="3435" t="s">
        <v>23</v>
      </c>
      <c r="T127" s="3437" t="s">
        <v>1054</v>
      </c>
      <c r="U127" s="3492"/>
      <c r="V127" s="3437"/>
      <c r="W127" s="3437"/>
      <c r="X127" s="3438"/>
      <c r="Y127" s="2424"/>
      <c r="Z127"/>
      <c r="AA127"/>
      <c r="AB127"/>
    </row>
    <row r="128" spans="1:28" s="8" customFormat="1" hidden="1" outlineLevel="1" x14ac:dyDescent="0.4">
      <c r="A128"/>
      <c r="B128" s="1931"/>
      <c r="C128" s="1826"/>
      <c r="D128" s="704" t="s">
        <v>1035</v>
      </c>
      <c r="E128" s="749"/>
      <c r="F128" s="704"/>
      <c r="G128" s="704"/>
      <c r="H128" s="704"/>
      <c r="I128" s="750"/>
      <c r="J128" s="704"/>
      <c r="K128" s="704"/>
      <c r="L128" s="704"/>
      <c r="M128" s="704"/>
      <c r="N128" s="704"/>
      <c r="O128" s="704"/>
      <c r="P128" s="704"/>
      <c r="Q128" s="704"/>
      <c r="R128" s="3354" t="s">
        <v>1055</v>
      </c>
      <c r="S128" s="1122">
        <v>1</v>
      </c>
      <c r="T128" s="1513">
        <v>1</v>
      </c>
      <c r="U128" s="916">
        <v>2</v>
      </c>
      <c r="V128" s="916">
        <v>3</v>
      </c>
      <c r="W128" s="916">
        <v>4</v>
      </c>
      <c r="X128" s="1045">
        <v>6</v>
      </c>
      <c r="Y128" s="2424"/>
      <c r="Z128"/>
      <c r="AA128"/>
      <c r="AB128"/>
    </row>
    <row r="129" spans="1:28" s="8" customFormat="1" hidden="1" outlineLevel="1" x14ac:dyDescent="0.4">
      <c r="A129"/>
      <c r="B129" s="1931"/>
      <c r="C129" s="1826"/>
      <c r="D129" s="704" t="s">
        <v>1036</v>
      </c>
      <c r="E129" s="749"/>
      <c r="F129" s="704"/>
      <c r="G129" s="704"/>
      <c r="H129" s="704"/>
      <c r="I129" s="750"/>
      <c r="J129" s="704"/>
      <c r="K129" s="704"/>
      <c r="L129" s="704"/>
      <c r="M129" s="704"/>
      <c r="N129" s="704"/>
      <c r="O129" s="704"/>
      <c r="P129" s="704"/>
      <c r="Q129" s="704"/>
      <c r="R129" s="3333" t="s">
        <v>2665</v>
      </c>
      <c r="S129" s="3439">
        <f>(connect_lower_blanket_pipework)</f>
        <v>26.773271037841543</v>
      </c>
      <c r="T129" s="3429">
        <f>(ROUNDUP(Tokamak_Segmts/T128,0)*(connect_lower_blanket_pipework))</f>
        <v>428.37233660546468</v>
      </c>
      <c r="U129" s="3441">
        <f>(ROUNDUP(Tokamak_Segmts/U128,0)*(connect_lower_blanket_pipework))</f>
        <v>214.18616830273234</v>
      </c>
      <c r="V129" s="3441">
        <f>(ROUNDUP(Tokamak_Segmts/V128,0)*(connect_lower_blanket_pipework))</f>
        <v>160.63962622704926</v>
      </c>
      <c r="W129" s="3441">
        <f>(ROUNDUP(Tokamak_Segmts/W128,0)*(connect_lower_blanket_pipework))</f>
        <v>107.09308415136617</v>
      </c>
      <c r="X129" s="3442">
        <f>(ROUNDUP(Tokamak_Segmts/X128,0)*(connect_lower_blanket_pipework))</f>
        <v>80.319813113524631</v>
      </c>
      <c r="Y129" s="2424"/>
      <c r="Z129"/>
      <c r="AA129"/>
      <c r="AB129"/>
    </row>
    <row r="130" spans="1:28" s="8" customFormat="1" ht="15" hidden="1" outlineLevel="1" thickBot="1" x14ac:dyDescent="0.45">
      <c r="A130"/>
      <c r="B130" s="1931"/>
      <c r="C130" s="1826"/>
      <c r="D130" s="704" t="s">
        <v>1037</v>
      </c>
      <c r="E130" s="749"/>
      <c r="F130" s="704"/>
      <c r="G130" s="704"/>
      <c r="H130" s="704"/>
      <c r="I130" s="750"/>
      <c r="J130" s="704"/>
      <c r="K130" s="704"/>
      <c r="L130" s="704"/>
      <c r="M130" s="704"/>
      <c r="N130" s="704"/>
      <c r="O130" s="704"/>
      <c r="P130" s="704"/>
      <c r="Q130" s="704"/>
      <c r="R130" s="3141" t="s">
        <v>2693</v>
      </c>
      <c r="S130" s="3443">
        <f>S$129*$E$134</f>
        <v>0.29450598141625695</v>
      </c>
      <c r="T130" s="3493">
        <f t="shared" ref="T130:X130" si="12">T$129*$E$134</f>
        <v>4.7120957026601111</v>
      </c>
      <c r="U130" s="3445">
        <f t="shared" si="12"/>
        <v>2.3560478513300556</v>
      </c>
      <c r="V130" s="3445">
        <f t="shared" si="12"/>
        <v>1.7670358884975419</v>
      </c>
      <c r="W130" s="3445">
        <f t="shared" si="12"/>
        <v>1.1780239256650278</v>
      </c>
      <c r="X130" s="3446">
        <f t="shared" si="12"/>
        <v>0.88351794424877095</v>
      </c>
      <c r="Y130" s="2424"/>
      <c r="Z130"/>
      <c r="AA130"/>
      <c r="AB130"/>
    </row>
    <row r="131" spans="1:28" s="8" customFormat="1" hidden="1" outlineLevel="1" x14ac:dyDescent="0.4">
      <c r="A131"/>
      <c r="B131" s="1931"/>
      <c r="C131" s="1826"/>
      <c r="D131" s="704" t="s">
        <v>1038</v>
      </c>
      <c r="E131" s="749"/>
      <c r="F131" s="704"/>
      <c r="G131" s="704"/>
      <c r="H131" s="704"/>
      <c r="I131" s="750"/>
      <c r="J131" s="704"/>
      <c r="K131" s="704"/>
      <c r="L131" s="704"/>
      <c r="M131" s="704"/>
      <c r="N131" s="704"/>
      <c r="O131" s="704"/>
      <c r="P131" s="704"/>
      <c r="Q131" s="704"/>
      <c r="R131" s="3366" t="s">
        <v>1048</v>
      </c>
      <c r="S131" s="3447">
        <f t="shared" ref="S131:X131" si="13">S130*(SUMIF($E$142:$E$192,"Operation",$F$142:$F$192))</f>
        <v>41.480714197238292</v>
      </c>
      <c r="T131" s="3494">
        <f t="shared" si="13"/>
        <v>663.69142715581268</v>
      </c>
      <c r="U131" s="3449">
        <f t="shared" si="13"/>
        <v>331.84571357790634</v>
      </c>
      <c r="V131" s="3449">
        <f t="shared" si="13"/>
        <v>248.88428518342977</v>
      </c>
      <c r="W131" s="3449">
        <f t="shared" si="13"/>
        <v>165.92285678895317</v>
      </c>
      <c r="X131" s="3450">
        <f t="shared" si="13"/>
        <v>124.44214259171488</v>
      </c>
      <c r="Y131" s="2424"/>
      <c r="Z131"/>
      <c r="AA131"/>
      <c r="AB131"/>
    </row>
    <row r="132" spans="1:28" s="8" customFormat="1" hidden="1" outlineLevel="1" x14ac:dyDescent="0.4">
      <c r="A132"/>
      <c r="B132" s="1931"/>
      <c r="C132" s="1826"/>
      <c r="D132" s="704"/>
      <c r="E132" s="749"/>
      <c r="F132" s="704"/>
      <c r="G132" s="704"/>
      <c r="H132" s="704"/>
      <c r="I132" s="750"/>
      <c r="J132" s="704"/>
      <c r="K132" s="704"/>
      <c r="L132" s="704"/>
      <c r="M132" s="704"/>
      <c r="N132" s="704"/>
      <c r="O132" s="704"/>
      <c r="P132" s="704"/>
      <c r="Q132" s="704"/>
      <c r="R132" s="3354" t="s">
        <v>2658</v>
      </c>
      <c r="S132" s="3451">
        <f t="shared" ref="S132:X132" si="14">S130*(SUMIF($E$142:$E$192,"Movement",$F$142:$F$192)+(SUMIF($E$142:$E$192,"Logistics",$F$142:$F$192)))</f>
        <v>9.5390487380725606</v>
      </c>
      <c r="T132" s="3495">
        <f t="shared" si="14"/>
        <v>152.62477980916097</v>
      </c>
      <c r="U132" s="3453">
        <f t="shared" si="14"/>
        <v>76.312389904580485</v>
      </c>
      <c r="V132" s="3453">
        <f t="shared" si="14"/>
        <v>57.234292428435367</v>
      </c>
      <c r="W132" s="3453">
        <f t="shared" si="14"/>
        <v>38.156194952290242</v>
      </c>
      <c r="X132" s="3454">
        <f t="shared" si="14"/>
        <v>28.617146214217684</v>
      </c>
      <c r="Y132" s="2424"/>
      <c r="Z132"/>
      <c r="AA132"/>
      <c r="AB132"/>
    </row>
    <row r="133" spans="1:28" s="8" customFormat="1" ht="15" hidden="1" outlineLevel="1" thickBot="1" x14ac:dyDescent="0.45">
      <c r="A133"/>
      <c r="B133" s="1931"/>
      <c r="C133" s="1826"/>
      <c r="D133" s="704"/>
      <c r="E133" s="749"/>
      <c r="F133" s="704"/>
      <c r="G133" s="704"/>
      <c r="H133" s="704"/>
      <c r="I133" s="750"/>
      <c r="J133" s="704"/>
      <c r="K133" s="704"/>
      <c r="L133" s="704">
        <v>48</v>
      </c>
      <c r="M133" s="704"/>
      <c r="N133" s="704"/>
      <c r="O133" s="704"/>
      <c r="P133" s="704"/>
      <c r="Q133" s="704"/>
      <c r="R133" s="3367" t="s">
        <v>2657</v>
      </c>
      <c r="S133" s="3455">
        <f t="shared" ref="S133:X133" si="15">S130*(-SUMIF($T$142:$T$192,"&lt;0"))</f>
        <v>0</v>
      </c>
      <c r="T133" s="3496">
        <f t="shared" si="15"/>
        <v>0</v>
      </c>
      <c r="U133" s="3457">
        <f t="shared" si="15"/>
        <v>0</v>
      </c>
      <c r="V133" s="3457">
        <f t="shared" si="15"/>
        <v>0</v>
      </c>
      <c r="W133" s="3457">
        <f t="shared" si="15"/>
        <v>0</v>
      </c>
      <c r="X133" s="3458">
        <f t="shared" si="15"/>
        <v>0</v>
      </c>
      <c r="Y133" s="2424"/>
      <c r="Z133"/>
      <c r="AA133"/>
      <c r="AB133"/>
    </row>
    <row r="134" spans="1:28" s="8" customFormat="1" ht="15" hidden="1" outlineLevel="1" thickBot="1" x14ac:dyDescent="0.45">
      <c r="A134"/>
      <c r="B134" s="1931"/>
      <c r="C134" s="1826"/>
      <c r="D134" s="748" t="s">
        <v>1056</v>
      </c>
      <c r="E134" s="709">
        <f>SUM(E135:E136)</f>
        <v>1.0999999999999999E-2</v>
      </c>
      <c r="F134" s="709"/>
      <c r="G134" s="709"/>
      <c r="H134" s="709"/>
      <c r="I134" s="919"/>
      <c r="J134" s="918"/>
      <c r="K134" s="918"/>
      <c r="L134" s="918"/>
      <c r="M134" s="918"/>
      <c r="N134" s="918"/>
      <c r="O134" s="918"/>
      <c r="P134" s="704"/>
      <c r="Q134" s="704"/>
      <c r="R134" s="3368" t="s">
        <v>2667</v>
      </c>
      <c r="S134" s="3459">
        <f t="shared" ref="S134:X134" si="16">S130*$G$193</f>
        <v>51.019762935310844</v>
      </c>
      <c r="T134" s="3426">
        <f t="shared" si="16"/>
        <v>816.3162069649735</v>
      </c>
      <c r="U134" s="3426">
        <f t="shared" si="16"/>
        <v>408.15810348248675</v>
      </c>
      <c r="V134" s="3426">
        <f t="shared" si="16"/>
        <v>306.11857761186508</v>
      </c>
      <c r="W134" s="3426">
        <f t="shared" si="16"/>
        <v>204.07905174124338</v>
      </c>
      <c r="X134" s="3461">
        <f t="shared" si="16"/>
        <v>153.05928880593254</v>
      </c>
      <c r="Y134" s="2424"/>
      <c r="Z134"/>
      <c r="AA134"/>
      <c r="AB134"/>
    </row>
    <row r="135" spans="1:28" s="8" customFormat="1" hidden="1" outlineLevel="1" x14ac:dyDescent="0.4">
      <c r="A135"/>
      <c r="B135" s="1932"/>
      <c r="C135" s="906"/>
      <c r="D135" s="7" t="s">
        <v>1057</v>
      </c>
      <c r="E135" s="763">
        <f>Weld_Failure_Rate</f>
        <v>1E-3</v>
      </c>
      <c r="F135" s="922"/>
      <c r="G135" s="922"/>
      <c r="H135" s="924"/>
      <c r="I135" s="290"/>
      <c r="J135" s="922"/>
      <c r="K135" s="922"/>
      <c r="L135" s="925"/>
      <c r="M135" s="922"/>
      <c r="N135" s="922"/>
      <c r="O135" s="922"/>
      <c r="P135" s="706"/>
      <c r="Q135" s="7"/>
      <c r="S135" s="3434"/>
      <c r="T135" s="3434"/>
      <c r="U135" s="3434"/>
      <c r="V135" s="3434"/>
      <c r="W135" s="3434"/>
      <c r="X135" s="3434"/>
      <c r="Y135" s="2424"/>
      <c r="Z135"/>
      <c r="AA135"/>
      <c r="AB135"/>
    </row>
    <row r="136" spans="1:28" s="8" customFormat="1" hidden="1" outlineLevel="1" x14ac:dyDescent="0.4">
      <c r="A136"/>
      <c r="B136" s="1932"/>
      <c r="C136" s="906"/>
      <c r="D136" s="7" t="s">
        <v>1058</v>
      </c>
      <c r="E136" s="763">
        <f>SJS_welder_failure</f>
        <v>0.01</v>
      </c>
      <c r="F136" s="922"/>
      <c r="G136" s="922"/>
      <c r="H136" s="924"/>
      <c r="I136" s="290"/>
      <c r="J136" s="922"/>
      <c r="K136" s="922"/>
      <c r="L136" s="925"/>
      <c r="M136" s="922"/>
      <c r="N136" s="922"/>
      <c r="O136" s="922"/>
      <c r="P136" s="706"/>
      <c r="Q136" s="7"/>
      <c r="S136" s="3434"/>
      <c r="T136" s="3434"/>
      <c r="U136" s="3434"/>
      <c r="V136" s="3434"/>
      <c r="W136" s="3434"/>
      <c r="X136" s="3434"/>
      <c r="Y136" s="2424"/>
      <c r="Z136"/>
      <c r="AA136"/>
      <c r="AB136"/>
    </row>
    <row r="137" spans="1:28" s="8" customFormat="1" hidden="1" outlineLevel="1" x14ac:dyDescent="0.4">
      <c r="A137"/>
      <c r="B137" s="1932"/>
      <c r="C137" s="906"/>
      <c r="D137" s="926" t="s">
        <v>1059</v>
      </c>
      <c r="E137" s="709">
        <f>E134*(1-(1-E134)^(Divertor_port_pipes_per_blanket))</f>
        <v>3.5902164100000021E-4</v>
      </c>
      <c r="F137" s="927"/>
      <c r="G137" s="927"/>
      <c r="H137" s="927"/>
      <c r="I137" s="919"/>
      <c r="J137" s="927"/>
      <c r="K137" s="927"/>
      <c r="L137" s="927"/>
      <c r="M137" s="927"/>
      <c r="N137" s="927"/>
      <c r="O137" s="927"/>
      <c r="P137" s="706"/>
      <c r="Q137" s="7"/>
      <c r="S137" s="3434"/>
      <c r="T137" s="3434"/>
      <c r="U137" s="3434"/>
      <c r="V137" s="3434"/>
      <c r="W137" s="3434"/>
      <c r="X137" s="3434"/>
      <c r="Y137" s="2424"/>
      <c r="Z137"/>
      <c r="AA137"/>
      <c r="AB137"/>
    </row>
    <row r="138" spans="1:28" s="8" customFormat="1" hidden="1" outlineLevel="1" x14ac:dyDescent="0.4">
      <c r="A138"/>
      <c r="B138" s="1932"/>
      <c r="C138" s="906"/>
      <c r="D138" s="926"/>
      <c r="E138" s="928"/>
      <c r="F138" s="927"/>
      <c r="G138" s="927"/>
      <c r="H138" s="927"/>
      <c r="I138" s="919"/>
      <c r="J138" s="927"/>
      <c r="K138" s="927"/>
      <c r="L138" s="927"/>
      <c r="M138" s="927"/>
      <c r="N138" s="927"/>
      <c r="O138" s="927"/>
      <c r="P138" s="706"/>
      <c r="Q138" s="7"/>
      <c r="R138" s="3369"/>
      <c r="S138" s="3429"/>
      <c r="T138" s="3429"/>
      <c r="U138" s="3429"/>
      <c r="V138" s="3429"/>
      <c r="W138" s="3429"/>
      <c r="X138" s="3429"/>
      <c r="Y138" s="2424"/>
      <c r="Z138"/>
      <c r="AA138"/>
      <c r="AB138"/>
    </row>
    <row r="139" spans="1:28" s="8" customFormat="1" ht="15" hidden="1" outlineLevel="2" thickBot="1" x14ac:dyDescent="0.45">
      <c r="A139"/>
      <c r="B139" s="1932"/>
      <c r="C139" s="906"/>
      <c r="D139" s="926"/>
      <c r="E139" s="928"/>
      <c r="F139" s="927"/>
      <c r="G139" s="927"/>
      <c r="H139" s="927"/>
      <c r="I139" s="919"/>
      <c r="J139" s="927"/>
      <c r="K139" s="927"/>
      <c r="L139" s="927"/>
      <c r="M139" s="927"/>
      <c r="N139" s="927"/>
      <c r="O139" s="927"/>
      <c r="P139" s="706"/>
      <c r="Q139" s="7"/>
      <c r="R139" s="3369"/>
      <c r="S139" s="3429"/>
      <c r="T139" s="3429"/>
      <c r="U139" s="3429"/>
      <c r="V139" s="3429"/>
      <c r="W139" s="3429"/>
      <c r="X139" s="3429"/>
      <c r="Y139" s="2424"/>
      <c r="Z139"/>
      <c r="AA139"/>
      <c r="AB139"/>
    </row>
    <row r="140" spans="1:28" s="8" customFormat="1" ht="15" hidden="1" outlineLevel="2" thickBot="1" x14ac:dyDescent="0.45">
      <c r="A140"/>
      <c r="B140" s="1932"/>
      <c r="C140" s="906"/>
      <c r="D140" s="926"/>
      <c r="E140" s="701"/>
      <c r="F140" s="7"/>
      <c r="G140" s="929"/>
      <c r="H140" s="930" t="s">
        <v>18</v>
      </c>
      <c r="I140" s="931"/>
      <c r="J140" s="932" t="s">
        <v>778</v>
      </c>
      <c r="K140" s="933"/>
      <c r="L140" s="933"/>
      <c r="M140" s="933"/>
      <c r="N140" s="933"/>
      <c r="O140" s="934"/>
      <c r="P140" s="933" t="s">
        <v>3</v>
      </c>
      <c r="Q140" s="934"/>
      <c r="R140" s="3386" t="s">
        <v>779</v>
      </c>
      <c r="S140" s="3462"/>
      <c r="T140" s="3462"/>
      <c r="U140" s="2424"/>
      <c r="V140" s="2424"/>
      <c r="W140" s="2424"/>
      <c r="X140" s="3434"/>
      <c r="Y140" s="3434"/>
    </row>
    <row r="141" spans="1:28" s="8" customFormat="1" ht="60.75" hidden="1" customHeight="1" outlineLevel="2" thickBot="1" x14ac:dyDescent="0.45">
      <c r="A141"/>
      <c r="B141" s="1932"/>
      <c r="C141" s="939" t="s">
        <v>780</v>
      </c>
      <c r="D141" s="940" t="s">
        <v>1060</v>
      </c>
      <c r="E141" s="941" t="s">
        <v>782</v>
      </c>
      <c r="F141" s="942" t="s">
        <v>783</v>
      </c>
      <c r="G141" s="943" t="s">
        <v>784</v>
      </c>
      <c r="H141" s="562" t="s">
        <v>785</v>
      </c>
      <c r="I141" s="944" t="s">
        <v>783</v>
      </c>
      <c r="J141" s="562" t="s">
        <v>786</v>
      </c>
      <c r="K141" s="563" t="s">
        <v>787</v>
      </c>
      <c r="L141" s="563" t="s">
        <v>788</v>
      </c>
      <c r="M141" s="563" t="s">
        <v>789</v>
      </c>
      <c r="N141" s="563" t="s">
        <v>790</v>
      </c>
      <c r="O141" s="945" t="s">
        <v>783</v>
      </c>
      <c r="P141" s="560" t="s">
        <v>785</v>
      </c>
      <c r="Q141" s="946" t="s">
        <v>783</v>
      </c>
      <c r="R141" s="3387" t="s">
        <v>781</v>
      </c>
      <c r="S141" s="3464" t="s">
        <v>791</v>
      </c>
      <c r="T141" s="3465" t="s">
        <v>792</v>
      </c>
      <c r="U141" s="2424"/>
      <c r="V141" s="2424"/>
      <c r="W141" s="2424"/>
      <c r="X141" s="3434"/>
      <c r="Y141" s="3434"/>
    </row>
    <row r="142" spans="1:28" s="8" customFormat="1" hidden="1" outlineLevel="2" x14ac:dyDescent="0.4">
      <c r="A142"/>
      <c r="B142" s="1932"/>
      <c r="C142" s="3852" t="s">
        <v>1062</v>
      </c>
      <c r="D142" s="818" t="s">
        <v>1875</v>
      </c>
      <c r="E142" s="820" t="s">
        <v>251</v>
      </c>
      <c r="F142" s="821">
        <f t="shared" ref="F142:F192" si="17">MAX($Q142,$O142,$I142)</f>
        <v>0</v>
      </c>
      <c r="G142" s="1933">
        <f>F142</f>
        <v>0</v>
      </c>
      <c r="H142" s="825" t="s">
        <v>557</v>
      </c>
      <c r="I142" s="824">
        <v>0</v>
      </c>
      <c r="J142" s="829"/>
      <c r="K142" s="823"/>
      <c r="L142" s="826"/>
      <c r="M142" s="827" t="str">
        <f>IFERROR(INDEX('Lower Cask Movement &amp; Logistics'!$I$29:$O$35,MATCH($K142,'Lower Cask Movement &amp; Logistics'!$H$29:$H$35,0),MATCH($L142,'Lower Cask Movement &amp; Logistics'!$H$29:$H$35,0)),"N/A")</f>
        <v>N/A</v>
      </c>
      <c r="N142" s="1864" t="str">
        <f>IFERROR(VLOOKUP($J142,'Lower Cask Movement &amp; Logistics'!$H$4:$I$8,2,FALSE),"N/A")</f>
        <v>N/A</v>
      </c>
      <c r="O142" s="1865" t="str">
        <f t="shared" ref="O142:O192" si="18">IF(E142="Movement",IFERROR((M142/N142)/(60*60),"Error"),"N/A")</f>
        <v>N/A</v>
      </c>
      <c r="P142" s="1934"/>
      <c r="Q142" s="1867" t="str">
        <f>IF($E142="Logistics",VLOOKUP($P142,'Lower Cask Movement &amp; Logistics'!$C$4:$D$53,2,FALSE),"N/A")</f>
        <v>N/A</v>
      </c>
      <c r="R142" s="3374"/>
      <c r="S142" s="3470" t="str">
        <f>IFERROR(VLOOKUP($R142,'LowerCask Recovery Dependencies'!$C$75:$F$134,4,FALSE),"N/A")</f>
        <v>N/A</v>
      </c>
      <c r="T142" s="3471" t="str">
        <f t="shared" ref="T142:T192" si="19">IFERROR(G141-S142,"N/A")</f>
        <v>N/A</v>
      </c>
      <c r="U142" s="2424"/>
      <c r="V142" s="2424"/>
      <c r="W142" s="2424"/>
      <c r="X142" s="3434"/>
      <c r="Y142" s="3434"/>
    </row>
    <row r="143" spans="1:28" s="8" customFormat="1" ht="15" hidden="1" outlineLevel="2" thickBot="1" x14ac:dyDescent="0.45">
      <c r="A143"/>
      <c r="B143" s="1932"/>
      <c r="C143" s="3853"/>
      <c r="D143" s="832" t="s">
        <v>1103</v>
      </c>
      <c r="E143" s="834" t="s">
        <v>251</v>
      </c>
      <c r="F143" s="835">
        <f t="shared" si="17"/>
        <v>12.602967059728389</v>
      </c>
      <c r="G143" s="1935">
        <f t="shared" ref="G143:G192" si="20">IF(T143&lt;0,F143+G142+(-T143),F143+G142)</f>
        <v>12.602967059728389</v>
      </c>
      <c r="H143" s="839" t="s">
        <v>1863</v>
      </c>
      <c r="I143" s="838">
        <v>12.602967059728389</v>
      </c>
      <c r="J143" s="1869"/>
      <c r="K143" s="837"/>
      <c r="L143" s="840"/>
      <c r="M143" s="841" t="s">
        <v>263</v>
      </c>
      <c r="N143" s="1870" t="s">
        <v>263</v>
      </c>
      <c r="O143" s="1936" t="str">
        <f t="shared" si="18"/>
        <v>N/A</v>
      </c>
      <c r="P143" s="1539"/>
      <c r="Q143" s="1873" t="str">
        <f>IF($E143="Logistics",VLOOKUP($P143,'Lower Cask Movement &amp; Logistics'!$C$4:$D$53,2,FALSE),"N/A")</f>
        <v>N/A</v>
      </c>
      <c r="R143" s="3375"/>
      <c r="S143" s="3497" t="str">
        <f>IFERROR(VLOOKUP($R143,'LowerCask Recovery Dependencies'!$C$75:$F$134,4,FALSE),"N/A")</f>
        <v>N/A</v>
      </c>
      <c r="T143" s="3473" t="str">
        <f t="shared" si="19"/>
        <v>N/A</v>
      </c>
      <c r="U143" s="2424"/>
      <c r="V143" s="2424"/>
      <c r="W143" s="2424"/>
      <c r="X143" s="3434"/>
      <c r="Y143" s="3434"/>
    </row>
    <row r="144" spans="1:28" s="8" customFormat="1" hidden="1" outlineLevel="2" x14ac:dyDescent="0.4">
      <c r="A144"/>
      <c r="B144" s="1932"/>
      <c r="C144" s="3850" t="s">
        <v>1876</v>
      </c>
      <c r="D144" s="797" t="s">
        <v>1626</v>
      </c>
      <c r="E144" s="1937" t="s">
        <v>3</v>
      </c>
      <c r="F144" s="456">
        <f t="shared" si="17"/>
        <v>0.38</v>
      </c>
      <c r="G144" s="1938">
        <f t="shared" si="20"/>
        <v>12.98296705972839</v>
      </c>
      <c r="H144" s="568"/>
      <c r="I144" s="621" t="s">
        <v>263</v>
      </c>
      <c r="J144" s="803"/>
      <c r="K144" s="566"/>
      <c r="L144" s="801"/>
      <c r="M144" s="802" t="s">
        <v>263</v>
      </c>
      <c r="N144" s="571" t="s">
        <v>263</v>
      </c>
      <c r="O144" s="379" t="str">
        <f t="shared" si="18"/>
        <v>N/A</v>
      </c>
      <c r="P144" s="1939" t="s">
        <v>1546</v>
      </c>
      <c r="Q144" s="1857">
        <f>IF($E144="Logistics",VLOOKUP($P144,'Lower Cask Movement &amp; Logistics'!$C$4:$D$53,2,FALSE),"N/A")</f>
        <v>0.38</v>
      </c>
      <c r="R144" s="3372"/>
      <c r="S144" s="3466" t="str">
        <f>IFERROR(VLOOKUP($R144,'LowerCask Recovery Dependencies'!$C$75:$F$134,4,FALSE),"N/A")</f>
        <v>N/A</v>
      </c>
      <c r="T144" s="3477" t="str">
        <f t="shared" si="19"/>
        <v>N/A</v>
      </c>
      <c r="U144" s="2424"/>
      <c r="V144" s="2424"/>
      <c r="W144" s="2424"/>
      <c r="X144" s="3434"/>
      <c r="Y144" s="3434"/>
    </row>
    <row r="145" spans="2:25" s="88" customFormat="1" hidden="1" outlineLevel="2" x14ac:dyDescent="0.4">
      <c r="B145" s="1932"/>
      <c r="C145" s="3854"/>
      <c r="D145" s="1579" t="s">
        <v>1596</v>
      </c>
      <c r="E145" s="1611" t="s">
        <v>3</v>
      </c>
      <c r="F145" s="626">
        <f t="shared" si="17"/>
        <v>0.53</v>
      </c>
      <c r="G145" s="630">
        <f t="shared" si="20"/>
        <v>13.512967059728389</v>
      </c>
      <c r="H145" s="627"/>
      <c r="I145" s="632" t="s">
        <v>263</v>
      </c>
      <c r="J145" s="1579"/>
      <c r="K145" s="582"/>
      <c r="L145" s="582"/>
      <c r="M145" s="1478" t="str">
        <f>IFERROR(INDEX('Lower Cask Movement &amp; Logistics'!$I$13:$O$19,MATCH($K145,'Lower Cask Movement &amp; Logistics'!$H$13:$H$19,0),MATCH($L145,'Lower Cask Movement &amp; Logistics'!$H$13:$H$19,0)),"N/A")</f>
        <v>N/A</v>
      </c>
      <c r="N145" s="1878" t="str">
        <f>IFERROR(VLOOKUP($J145,'Lower Cask Movement &amp; Logistics'!$H$4:$I$9,2,FALSE),"N/A")</f>
        <v>N/A</v>
      </c>
      <c r="O145" s="1879" t="str">
        <f t="shared" si="18"/>
        <v>N/A</v>
      </c>
      <c r="P145" s="1880" t="s">
        <v>1558</v>
      </c>
      <c r="Q145" s="1879">
        <f>IF($E145="Logistics",VLOOKUP($P145,'Lower Cask Movement &amp; Logistics'!$C$4:$D$54,2,FALSE),"N/A")</f>
        <v>0.53</v>
      </c>
      <c r="R145" s="3377"/>
      <c r="S145" s="3476" t="str">
        <f>IFERROR(VLOOKUP($R145,'LowerCask Recovery Dependencies'!$C$75:$F$134,4,FALSE),"N/A")</f>
        <v>N/A</v>
      </c>
      <c r="T145" s="3477" t="str">
        <f t="shared" si="19"/>
        <v>N/A</v>
      </c>
      <c r="U145" s="1719"/>
      <c r="V145" s="1719"/>
      <c r="W145" s="1719"/>
      <c r="X145" s="1719"/>
      <c r="Y145" s="1719"/>
    </row>
    <row r="146" spans="2:25" s="88" customFormat="1" hidden="1" outlineLevel="2" x14ac:dyDescent="0.4">
      <c r="B146" s="1932"/>
      <c r="C146" s="3854"/>
      <c r="D146" s="1579" t="s">
        <v>949</v>
      </c>
      <c r="E146" s="1611" t="s">
        <v>251</v>
      </c>
      <c r="F146" s="626">
        <f t="shared" si="17"/>
        <v>12.602967059728389</v>
      </c>
      <c r="G146" s="630">
        <f t="shared" si="20"/>
        <v>26.115934119456778</v>
      </c>
      <c r="H146" s="627" t="s">
        <v>441</v>
      </c>
      <c r="I146" s="632">
        <v>12.602967059728389</v>
      </c>
      <c r="J146" s="1579"/>
      <c r="K146" s="582"/>
      <c r="L146" s="582"/>
      <c r="M146" s="1478" t="str">
        <f>IFERROR(INDEX('Lower Cask Movement &amp; Logistics'!$I$13:$O$19,MATCH($K146,'Lower Cask Movement &amp; Logistics'!$H$13:$H$19,0),MATCH($L146,'Lower Cask Movement &amp; Logistics'!$H$13:$H$19,0)),"N/A")</f>
        <v>N/A</v>
      </c>
      <c r="N146" s="1878" t="str">
        <f>IFERROR(VLOOKUP($J146,'Lower Cask Movement &amp; Logistics'!$H$4:$I$9,2,FALSE),"N/A")</f>
        <v>N/A</v>
      </c>
      <c r="O146" s="1879" t="str">
        <f t="shared" si="18"/>
        <v>N/A</v>
      </c>
      <c r="P146" s="1880"/>
      <c r="Q146" s="1879" t="str">
        <f>IF($E146="Logistics",VLOOKUP($P146,'Lower Cask Movement &amp; Logistics'!$C$4:$D$54,2,FALSE),"N/A")</f>
        <v>N/A</v>
      </c>
      <c r="R146" s="3377"/>
      <c r="S146" s="3476" t="str">
        <f>IFERROR(VLOOKUP($R146,'LowerCask Recovery Dependencies'!$C$75:$F$134,4,FALSE),"N/A")</f>
        <v>N/A</v>
      </c>
      <c r="T146" s="3477" t="str">
        <f t="shared" si="19"/>
        <v>N/A</v>
      </c>
      <c r="U146" s="1719"/>
      <c r="V146" s="1719"/>
      <c r="W146" s="1719"/>
      <c r="X146" s="1719"/>
      <c r="Y146" s="1719"/>
    </row>
    <row r="147" spans="2:25" s="88" customFormat="1" hidden="1" outlineLevel="2" x14ac:dyDescent="0.4">
      <c r="B147" s="1932"/>
      <c r="C147" s="3854"/>
      <c r="D147" s="1579" t="s">
        <v>1599</v>
      </c>
      <c r="E147" s="1611" t="s">
        <v>3</v>
      </c>
      <c r="F147" s="626">
        <f t="shared" si="17"/>
        <v>0.38</v>
      </c>
      <c r="G147" s="630">
        <f t="shared" si="20"/>
        <v>26.495934119456777</v>
      </c>
      <c r="H147" s="627"/>
      <c r="I147" s="632" t="s">
        <v>263</v>
      </c>
      <c r="J147" s="1579"/>
      <c r="K147" s="582"/>
      <c r="L147" s="582"/>
      <c r="M147" s="1478" t="str">
        <f>IFERROR(INDEX('Lower Cask Movement &amp; Logistics'!$I$13:$O$19,MATCH($K147,'Lower Cask Movement &amp; Logistics'!$H$13:$H$19,0),MATCH($L147,'Lower Cask Movement &amp; Logistics'!$H$13:$H$19,0)),"N/A")</f>
        <v>N/A</v>
      </c>
      <c r="N147" s="1878" t="str">
        <f>IFERROR(VLOOKUP($J147,'Lower Cask Movement &amp; Logistics'!$H$4:$I$9,2,FALSE),"N/A")</f>
        <v>N/A</v>
      </c>
      <c r="O147" s="1879" t="str">
        <f t="shared" si="18"/>
        <v>N/A</v>
      </c>
      <c r="P147" s="1880" t="s">
        <v>1546</v>
      </c>
      <c r="Q147" s="1879">
        <f>IF($E147="Logistics",VLOOKUP($P147,'Lower Cask Movement &amp; Logistics'!$C$4:$D$54,2,FALSE),"N/A")</f>
        <v>0.38</v>
      </c>
      <c r="R147" s="3377"/>
      <c r="S147" s="3476" t="str">
        <f>IFERROR(VLOOKUP($R147,'LowerCask Recovery Dependencies'!$C$75:$F$134,4,FALSE),"N/A")</f>
        <v>N/A</v>
      </c>
      <c r="T147" s="3477" t="str">
        <f t="shared" si="19"/>
        <v>N/A</v>
      </c>
      <c r="U147" s="1719"/>
      <c r="V147" s="1719"/>
      <c r="W147" s="1719"/>
      <c r="X147" s="1719"/>
      <c r="Y147" s="1719"/>
    </row>
    <row r="148" spans="2:25" s="88" customFormat="1" hidden="1" outlineLevel="2" x14ac:dyDescent="0.4">
      <c r="B148" s="1932"/>
      <c r="C148" s="3854"/>
      <c r="D148" s="1579" t="s">
        <v>1627</v>
      </c>
      <c r="E148" s="1611" t="s">
        <v>3</v>
      </c>
      <c r="F148" s="626">
        <f t="shared" si="17"/>
        <v>0.38</v>
      </c>
      <c r="G148" s="630">
        <f t="shared" si="20"/>
        <v>26.875934119456776</v>
      </c>
      <c r="H148" s="627"/>
      <c r="I148" s="632" t="s">
        <v>263</v>
      </c>
      <c r="J148" s="1579"/>
      <c r="K148" s="582"/>
      <c r="L148" s="582"/>
      <c r="M148" s="1478" t="str">
        <f>IFERROR(INDEX('Lower Cask Movement &amp; Logistics'!$I$13:$O$19,MATCH($K148,'Lower Cask Movement &amp; Logistics'!$H$13:$H$19,0),MATCH($L148,'Lower Cask Movement &amp; Logistics'!$H$13:$H$19,0)),"N/A")</f>
        <v>N/A</v>
      </c>
      <c r="N148" s="1878" t="str">
        <f>IFERROR(VLOOKUP($J148,'Lower Cask Movement &amp; Logistics'!$H$4:$I$9,2,FALSE),"N/A")</f>
        <v>N/A</v>
      </c>
      <c r="O148" s="1879" t="str">
        <f t="shared" si="18"/>
        <v>N/A</v>
      </c>
      <c r="P148" s="1880" t="s">
        <v>1546</v>
      </c>
      <c r="Q148" s="1879">
        <f>IF($E148="Logistics",VLOOKUP($P148,'Lower Cask Movement &amp; Logistics'!$C$4:$D$54,2,FALSE),"N/A")</f>
        <v>0.38</v>
      </c>
      <c r="R148" s="3377"/>
      <c r="S148" s="3476" t="str">
        <f>IFERROR(VLOOKUP($R148,'LowerCask Recovery Dependencies'!$C$75:$F$134,4,FALSE),"N/A")</f>
        <v>N/A</v>
      </c>
      <c r="T148" s="3477" t="str">
        <f t="shared" si="19"/>
        <v>N/A</v>
      </c>
      <c r="U148" s="1719"/>
      <c r="V148" s="1719"/>
      <c r="W148" s="1719"/>
      <c r="X148" s="1719"/>
      <c r="Y148" s="1719"/>
    </row>
    <row r="149" spans="2:25" s="88" customFormat="1" ht="15" hidden="1" outlineLevel="2" thickBot="1" x14ac:dyDescent="0.45">
      <c r="B149" s="1932"/>
      <c r="C149" s="3851"/>
      <c r="D149" s="1136" t="s">
        <v>1628</v>
      </c>
      <c r="E149" s="1581" t="s">
        <v>3</v>
      </c>
      <c r="F149" s="585">
        <f t="shared" si="17"/>
        <v>2.3000000000000003</v>
      </c>
      <c r="G149" s="589">
        <f t="shared" si="20"/>
        <v>29.175934119456777</v>
      </c>
      <c r="H149" s="586"/>
      <c r="I149" s="591" t="s">
        <v>263</v>
      </c>
      <c r="J149" s="1136"/>
      <c r="K149" s="584"/>
      <c r="L149" s="584"/>
      <c r="M149" s="814" t="str">
        <f>IFERROR(INDEX('Lower Cask Movement &amp; Logistics'!$I$13:$O$19,MATCH($K149,'Lower Cask Movement &amp; Logistics'!$H$13:$H$19,0),MATCH($L149,'Lower Cask Movement &amp; Logistics'!$H$13:$H$19,0)),"N/A")</f>
        <v>N/A</v>
      </c>
      <c r="N149" s="1464" t="str">
        <f>IFERROR(VLOOKUP($J149,'Lower Cask Movement &amp; Logistics'!$H$4:$I$9,2,FALSE),"N/A")</f>
        <v>N/A</v>
      </c>
      <c r="O149" s="1881" t="str">
        <f t="shared" si="18"/>
        <v>N/A</v>
      </c>
      <c r="P149" s="1882" t="s">
        <v>1552</v>
      </c>
      <c r="Q149" s="1881">
        <f>IF($E149="Logistics",VLOOKUP($P149,'Lower Cask Movement &amp; Logistics'!$C$4:$D$54,2,FALSE),"N/A")</f>
        <v>2.3000000000000003</v>
      </c>
      <c r="R149" s="3378"/>
      <c r="S149" s="3478" t="str">
        <f>IFERROR(VLOOKUP($R149,'LowerCask Recovery Dependencies'!$C$75:$F$134,4,FALSE),"N/A")</f>
        <v>N/A</v>
      </c>
      <c r="T149" s="3469" t="str">
        <f t="shared" si="19"/>
        <v>N/A</v>
      </c>
      <c r="U149" s="1719"/>
      <c r="V149" s="1719"/>
      <c r="W149" s="1719"/>
      <c r="X149" s="1719"/>
      <c r="Y149" s="1719"/>
    </row>
    <row r="150" spans="2:25" s="88" customFormat="1" ht="29.15" hidden="1" outlineLevel="2" x14ac:dyDescent="0.4">
      <c r="B150" s="1932"/>
      <c r="C150" s="3856" t="s">
        <v>1629</v>
      </c>
      <c r="D150" s="1883" t="s">
        <v>1630</v>
      </c>
      <c r="E150" s="1884" t="s">
        <v>3</v>
      </c>
      <c r="F150" s="1885">
        <f t="shared" si="17"/>
        <v>1.9</v>
      </c>
      <c r="G150" s="1886">
        <f t="shared" si="20"/>
        <v>31.075934119456775</v>
      </c>
      <c r="H150" s="1887"/>
      <c r="I150" s="1888" t="s">
        <v>263</v>
      </c>
      <c r="J150" s="1883"/>
      <c r="K150" s="1889"/>
      <c r="L150" s="1889"/>
      <c r="M150" s="1890" t="str">
        <f>IFERROR(INDEX('Lower Cask Movement &amp; Logistics'!$I$13:$O$19,MATCH($K150,'Lower Cask Movement &amp; Logistics'!$H$13:$H$19,0),MATCH($L150,'Lower Cask Movement &amp; Logistics'!$H$13:$H$19,0)),"N/A")</f>
        <v>N/A</v>
      </c>
      <c r="N150" s="1891" t="str">
        <f>IFERROR(VLOOKUP($J150,'Lower Cask Movement &amp; Logistics'!$H$4:$I$9,2,FALSE),"N/A")</f>
        <v>N/A</v>
      </c>
      <c r="O150" s="1892" t="str">
        <f t="shared" si="18"/>
        <v>N/A</v>
      </c>
      <c r="P150" s="1535" t="s">
        <v>1541</v>
      </c>
      <c r="Q150" s="1892">
        <f>IF($E150="Logistics",VLOOKUP($P150,'Lower Cask Movement &amp; Logistics'!$C$4:$D$54,2,FALSE),"N/A")</f>
        <v>1.9</v>
      </c>
      <c r="R150" s="3379" t="s">
        <v>1631</v>
      </c>
      <c r="S150" s="3479">
        <f>IFERROR(VLOOKUP($R150,'LowerCask Recovery Dependencies'!$C$75:$F$134,4,FALSE),"N/A")</f>
        <v>4.213703703703704</v>
      </c>
      <c r="T150" s="3480">
        <f t="shared" si="19"/>
        <v>24.962230415753073</v>
      </c>
      <c r="U150" s="1719"/>
      <c r="V150" s="1719"/>
      <c r="W150" s="1719"/>
      <c r="X150" s="1719"/>
      <c r="Y150" s="1719"/>
    </row>
    <row r="151" spans="2:25" s="88" customFormat="1" hidden="1" outlineLevel="2" x14ac:dyDescent="0.4">
      <c r="B151" s="1932"/>
      <c r="C151" s="3856"/>
      <c r="D151" s="1895" t="s">
        <v>1247</v>
      </c>
      <c r="E151" s="1896" t="s">
        <v>3</v>
      </c>
      <c r="F151" s="1347">
        <f t="shared" si="17"/>
        <v>0.38</v>
      </c>
      <c r="G151" s="1351">
        <f t="shared" si="20"/>
        <v>31.455934119456774</v>
      </c>
      <c r="H151" s="1348"/>
      <c r="I151" s="1353" t="s">
        <v>263</v>
      </c>
      <c r="J151" s="1895"/>
      <c r="K151" s="1897"/>
      <c r="L151" s="1897"/>
      <c r="M151" s="1898" t="str">
        <f>IFERROR(INDEX('Lower Cask Movement &amp; Logistics'!$I$13:$O$19,MATCH($K151,'Lower Cask Movement &amp; Logistics'!$H$13:$H$19,0),MATCH($L151,'Lower Cask Movement &amp; Logistics'!$H$13:$H$19,0)),"N/A")</f>
        <v>N/A</v>
      </c>
      <c r="N151" s="1899" t="str">
        <f>IFERROR(VLOOKUP($J151,'Lower Cask Movement &amp; Logistics'!$H$4:$I$9,2,FALSE),"N/A")</f>
        <v>N/A</v>
      </c>
      <c r="O151" s="1900" t="str">
        <f t="shared" si="18"/>
        <v>N/A</v>
      </c>
      <c r="P151" s="1901" t="s">
        <v>1544</v>
      </c>
      <c r="Q151" s="1900">
        <f>IF($E151="Logistics",VLOOKUP($P151,'Lower Cask Movement &amp; Logistics'!$C$4:$D$54,2,FALSE),"N/A")</f>
        <v>0.38</v>
      </c>
      <c r="R151" s="3380"/>
      <c r="S151" s="3481" t="str">
        <f>IFERROR(VLOOKUP($R151,'LowerCask Recovery Dependencies'!$C$75:$F$134,4,FALSE),"N/A")</f>
        <v>N/A</v>
      </c>
      <c r="T151" s="3482" t="str">
        <f t="shared" si="19"/>
        <v>N/A</v>
      </c>
      <c r="U151" s="1719"/>
      <c r="V151" s="1719"/>
      <c r="W151" s="1719"/>
      <c r="X151" s="1719"/>
      <c r="Y151" s="1719"/>
    </row>
    <row r="152" spans="2:25" s="88" customFormat="1" hidden="1" outlineLevel="2" x14ac:dyDescent="0.4">
      <c r="B152" s="1932"/>
      <c r="C152" s="3856"/>
      <c r="D152" s="1895" t="s">
        <v>951</v>
      </c>
      <c r="E152" s="1896" t="s">
        <v>251</v>
      </c>
      <c r="F152" s="1347">
        <f t="shared" si="17"/>
        <v>12.602967059728389</v>
      </c>
      <c r="G152" s="1351">
        <f t="shared" si="20"/>
        <v>44.058901179185163</v>
      </c>
      <c r="H152" s="1348" t="s">
        <v>441</v>
      </c>
      <c r="I152" s="1353">
        <v>12.602967059728389</v>
      </c>
      <c r="J152" s="1895"/>
      <c r="K152" s="1897"/>
      <c r="L152" s="1897"/>
      <c r="M152" s="1898" t="str">
        <f>IFERROR(INDEX('Lower Cask Movement &amp; Logistics'!$I$13:$O$19,MATCH($K152,'Lower Cask Movement &amp; Logistics'!$H$13:$H$19,0),MATCH($L152,'Lower Cask Movement &amp; Logistics'!$H$13:$H$19,0)),"N/A")</f>
        <v>N/A</v>
      </c>
      <c r="N152" s="1899" t="str">
        <f>IFERROR(VLOOKUP($J152,'Lower Cask Movement &amp; Logistics'!$H$4:$I$9,2,FALSE),"N/A")</f>
        <v>N/A</v>
      </c>
      <c r="O152" s="1900" t="str">
        <f t="shared" si="18"/>
        <v>N/A</v>
      </c>
      <c r="P152" s="1901"/>
      <c r="Q152" s="1900" t="str">
        <f>IF($E152="Logistics",VLOOKUP($P152,'Lower Cask Movement &amp; Logistics'!$C$4:$D$54,2,FALSE),"N/A")</f>
        <v>N/A</v>
      </c>
      <c r="R152" s="3380"/>
      <c r="S152" s="3481" t="str">
        <f>IFERROR(VLOOKUP($R152,'LowerCask Recovery Dependencies'!$C$75:$F$134,4,FALSE),"N/A")</f>
        <v>N/A</v>
      </c>
      <c r="T152" s="3482" t="str">
        <f t="shared" si="19"/>
        <v>N/A</v>
      </c>
      <c r="U152" s="1719"/>
      <c r="V152" s="1719"/>
      <c r="W152" s="1719"/>
      <c r="X152" s="1719"/>
      <c r="Y152" s="1719"/>
    </row>
    <row r="153" spans="2:25" s="88" customFormat="1" hidden="1" outlineLevel="2" x14ac:dyDescent="0.4">
      <c r="B153" s="1932"/>
      <c r="C153" s="3856"/>
      <c r="D153" s="1895" t="s">
        <v>1632</v>
      </c>
      <c r="E153" s="1896" t="s">
        <v>3</v>
      </c>
      <c r="F153" s="1347">
        <f t="shared" si="17"/>
        <v>0.38</v>
      </c>
      <c r="G153" s="1351">
        <f t="shared" si="20"/>
        <v>44.438901179185166</v>
      </c>
      <c r="H153" s="1348"/>
      <c r="I153" s="1353" t="s">
        <v>263</v>
      </c>
      <c r="J153" s="1895"/>
      <c r="K153" s="1897"/>
      <c r="L153" s="1897"/>
      <c r="M153" s="1898" t="str">
        <f>IFERROR(INDEX('Lower Cask Movement &amp; Logistics'!$I$13:$O$19,MATCH($K153,'Lower Cask Movement &amp; Logistics'!$H$13:$H$19,0),MATCH($L153,'Lower Cask Movement &amp; Logistics'!$H$13:$H$19,0)),"N/A")</f>
        <v>N/A</v>
      </c>
      <c r="N153" s="1899" t="str">
        <f>IFERROR(VLOOKUP($J153,'Lower Cask Movement &amp; Logistics'!$H$4:$I$9,2,FALSE),"N/A")</f>
        <v>N/A</v>
      </c>
      <c r="O153" s="1900" t="str">
        <f t="shared" si="18"/>
        <v>N/A</v>
      </c>
      <c r="P153" s="1901" t="s">
        <v>1546</v>
      </c>
      <c r="Q153" s="1900">
        <f>IF($E153="Logistics",VLOOKUP($P153,'Lower Cask Movement &amp; Logistics'!$C$4:$D$54,2,FALSE),"N/A")</f>
        <v>0.38</v>
      </c>
      <c r="R153" s="3380"/>
      <c r="S153" s="3481" t="str">
        <f>IFERROR(VLOOKUP($R153,'LowerCask Recovery Dependencies'!$C$75:$F$134,4,FALSE),"N/A")</f>
        <v>N/A</v>
      </c>
      <c r="T153" s="3482" t="str">
        <f t="shared" si="19"/>
        <v>N/A</v>
      </c>
      <c r="U153" s="1719"/>
      <c r="V153" s="1719"/>
      <c r="W153" s="1719"/>
      <c r="X153" s="1719"/>
      <c r="Y153" s="1719"/>
    </row>
    <row r="154" spans="2:25" s="88" customFormat="1" hidden="1" outlineLevel="2" x14ac:dyDescent="0.4">
      <c r="B154" s="1932"/>
      <c r="C154" s="3856"/>
      <c r="D154" s="1895" t="s">
        <v>1593</v>
      </c>
      <c r="E154" s="1896" t="s">
        <v>3</v>
      </c>
      <c r="F154" s="1347">
        <f t="shared" si="17"/>
        <v>0.53</v>
      </c>
      <c r="G154" s="1351">
        <f t="shared" si="20"/>
        <v>44.968901179185167</v>
      </c>
      <c r="H154" s="1348"/>
      <c r="I154" s="1353" t="s">
        <v>263</v>
      </c>
      <c r="J154" s="1895"/>
      <c r="K154" s="1897"/>
      <c r="L154" s="1897"/>
      <c r="M154" s="1898" t="str">
        <f>IFERROR(INDEX('Lower Cask Movement &amp; Logistics'!$I$13:$O$19,MATCH($K154,'Lower Cask Movement &amp; Logistics'!$H$13:$H$19,0),MATCH($L154,'Lower Cask Movement &amp; Logistics'!$H$13:$H$19,0)),"N/A")</f>
        <v>N/A</v>
      </c>
      <c r="N154" s="1899" t="str">
        <f>IFERROR(VLOOKUP($J154,'Lower Cask Movement &amp; Logistics'!$H$4:$I$9,2,FALSE),"N/A")</f>
        <v>N/A</v>
      </c>
      <c r="O154" s="1900" t="str">
        <f t="shared" si="18"/>
        <v>N/A</v>
      </c>
      <c r="P154" s="1901" t="s">
        <v>1558</v>
      </c>
      <c r="Q154" s="1900">
        <f>IF($E154="Logistics",VLOOKUP($P154,'Lower Cask Movement &amp; Logistics'!$C$4:$D$54,2,FALSE),"N/A")</f>
        <v>0.53</v>
      </c>
      <c r="R154" s="3380"/>
      <c r="S154" s="3481" t="str">
        <f>IFERROR(VLOOKUP($R154,'LowerCask Recovery Dependencies'!$C$75:$F$134,4,FALSE),"N/A")</f>
        <v>N/A</v>
      </c>
      <c r="T154" s="3482" t="str">
        <f t="shared" si="19"/>
        <v>N/A</v>
      </c>
      <c r="U154" s="1719"/>
      <c r="V154" s="1719"/>
      <c r="W154" s="1719"/>
      <c r="X154" s="1719"/>
      <c r="Y154" s="1719"/>
    </row>
    <row r="155" spans="2:25" s="88" customFormat="1" hidden="1" outlineLevel="2" x14ac:dyDescent="0.4">
      <c r="B155" s="1932"/>
      <c r="C155" s="3856"/>
      <c r="D155" s="1895" t="s">
        <v>953</v>
      </c>
      <c r="E155" s="1896" t="s">
        <v>251</v>
      </c>
      <c r="F155" s="1347">
        <f t="shared" si="17"/>
        <v>12.602967059728389</v>
      </c>
      <c r="G155" s="1351">
        <f t="shared" si="20"/>
        <v>57.571868238913552</v>
      </c>
      <c r="H155" s="1348" t="s">
        <v>441</v>
      </c>
      <c r="I155" s="1353">
        <v>12.602967059728389</v>
      </c>
      <c r="J155" s="1895"/>
      <c r="K155" s="1897"/>
      <c r="L155" s="1897"/>
      <c r="M155" s="1898" t="str">
        <f>IFERROR(INDEX('Lower Cask Movement &amp; Logistics'!$I$13:$O$19,MATCH($K155,'Lower Cask Movement &amp; Logistics'!$H$13:$H$19,0),MATCH($L155,'Lower Cask Movement &amp; Logistics'!$H$13:$H$19,0)),"N/A")</f>
        <v>N/A</v>
      </c>
      <c r="N155" s="1899" t="str">
        <f>IFERROR(VLOOKUP($J155,'Lower Cask Movement &amp; Logistics'!$H$4:$I$9,2,FALSE),"N/A")</f>
        <v>N/A</v>
      </c>
      <c r="O155" s="1900" t="str">
        <f t="shared" si="18"/>
        <v>N/A</v>
      </c>
      <c r="P155" s="1901"/>
      <c r="Q155" s="1900" t="str">
        <f>IF($E155="Logistics",VLOOKUP($P155,'Lower Cask Movement &amp; Logistics'!$C$4:$D$54,2,FALSE),"N/A")</f>
        <v>N/A</v>
      </c>
      <c r="R155" s="3380"/>
      <c r="S155" s="3481" t="str">
        <f>IFERROR(VLOOKUP($R155,'LowerCask Recovery Dependencies'!$C$75:$F$134,4,FALSE),"N/A")</f>
        <v>N/A</v>
      </c>
      <c r="T155" s="3482" t="str">
        <f t="shared" si="19"/>
        <v>N/A</v>
      </c>
      <c r="U155" s="1719"/>
      <c r="V155" s="1719"/>
      <c r="W155" s="1719"/>
      <c r="X155" s="1719"/>
      <c r="Y155" s="1719"/>
    </row>
    <row r="156" spans="2:25" s="88" customFormat="1" hidden="1" outlineLevel="2" x14ac:dyDescent="0.4">
      <c r="B156" s="1932"/>
      <c r="C156" s="3856"/>
      <c r="D156" s="1895" t="s">
        <v>1633</v>
      </c>
      <c r="E156" s="1896" t="s">
        <v>3</v>
      </c>
      <c r="F156" s="1347">
        <f t="shared" si="17"/>
        <v>0.38</v>
      </c>
      <c r="G156" s="1351">
        <f t="shared" si="20"/>
        <v>57.951868238913555</v>
      </c>
      <c r="H156" s="1348"/>
      <c r="I156" s="1353" t="s">
        <v>263</v>
      </c>
      <c r="J156" s="1895"/>
      <c r="K156" s="1897"/>
      <c r="L156" s="1897"/>
      <c r="M156" s="1898" t="str">
        <f>IFERROR(INDEX('Lower Cask Movement &amp; Logistics'!$I$13:$O$19,MATCH($K156,'Lower Cask Movement &amp; Logistics'!$H$13:$H$19,0),MATCH($L156,'Lower Cask Movement &amp; Logistics'!$H$13:$H$19,0)),"N/A")</f>
        <v>N/A</v>
      </c>
      <c r="N156" s="1899" t="str">
        <f>IFERROR(VLOOKUP($J156,'Lower Cask Movement &amp; Logistics'!$H$4:$I$9,2,FALSE),"N/A")</f>
        <v>N/A</v>
      </c>
      <c r="O156" s="1900" t="str">
        <f t="shared" si="18"/>
        <v>N/A</v>
      </c>
      <c r="P156" s="1901" t="s">
        <v>1546</v>
      </c>
      <c r="Q156" s="1900">
        <f>IF($E156="Logistics",VLOOKUP($P156,'Lower Cask Movement &amp; Logistics'!$C$4:$D$54,2,FALSE),"N/A")</f>
        <v>0.38</v>
      </c>
      <c r="R156" s="3380"/>
      <c r="S156" s="3481" t="str">
        <f>IFERROR(VLOOKUP($R156,'LowerCask Recovery Dependencies'!$C$75:$F$134,4,FALSE),"N/A")</f>
        <v>N/A</v>
      </c>
      <c r="T156" s="3482" t="str">
        <f t="shared" si="19"/>
        <v>N/A</v>
      </c>
      <c r="U156" s="1719"/>
      <c r="V156" s="1719"/>
      <c r="W156" s="1719"/>
      <c r="X156" s="1719"/>
      <c r="Y156" s="1719"/>
    </row>
    <row r="157" spans="2:25" s="88" customFormat="1" hidden="1" outlineLevel="2" x14ac:dyDescent="0.4">
      <c r="B157" s="1932"/>
      <c r="C157" s="3856"/>
      <c r="D157" s="1895" t="s">
        <v>1599</v>
      </c>
      <c r="E157" s="1896" t="s">
        <v>3</v>
      </c>
      <c r="F157" s="1347">
        <f t="shared" si="17"/>
        <v>0.38</v>
      </c>
      <c r="G157" s="1351">
        <f t="shared" si="20"/>
        <v>58.331868238913557</v>
      </c>
      <c r="H157" s="1348"/>
      <c r="I157" s="1353" t="s">
        <v>263</v>
      </c>
      <c r="J157" s="1895"/>
      <c r="K157" s="1897"/>
      <c r="L157" s="1897"/>
      <c r="M157" s="1898" t="str">
        <f>IFERROR(INDEX('Lower Cask Movement &amp; Logistics'!$I$13:$O$19,MATCH($K157,'Lower Cask Movement &amp; Logistics'!$H$13:$H$19,0),MATCH($L157,'Lower Cask Movement &amp; Logistics'!$H$13:$H$19,0)),"N/A")</f>
        <v>N/A</v>
      </c>
      <c r="N157" s="1899" t="str">
        <f>IFERROR(VLOOKUP($J157,'Lower Cask Movement &amp; Logistics'!$H$4:$I$9,2,FALSE),"N/A")</f>
        <v>N/A</v>
      </c>
      <c r="O157" s="1900" t="str">
        <f t="shared" si="18"/>
        <v>N/A</v>
      </c>
      <c r="P157" s="1901" t="s">
        <v>1546</v>
      </c>
      <c r="Q157" s="1900">
        <f>IF($E157="Logistics",VLOOKUP($P157,'Lower Cask Movement &amp; Logistics'!$C$4:$D$54,2,FALSE),"N/A")</f>
        <v>0.38</v>
      </c>
      <c r="R157" s="3380"/>
      <c r="S157" s="3481" t="str">
        <f>IFERROR(VLOOKUP($R157,'LowerCask Recovery Dependencies'!$C$75:$F$134,4,FALSE),"N/A")</f>
        <v>N/A</v>
      </c>
      <c r="T157" s="3482" t="str">
        <f t="shared" si="19"/>
        <v>N/A</v>
      </c>
      <c r="U157" s="1719"/>
      <c r="V157" s="1719"/>
      <c r="W157" s="1719"/>
      <c r="X157" s="1719"/>
      <c r="Y157" s="1719"/>
    </row>
    <row r="158" spans="2:25" s="88" customFormat="1" ht="15" hidden="1" outlineLevel="2" thickBot="1" x14ac:dyDescent="0.45">
      <c r="B158" s="1932"/>
      <c r="C158" s="3856"/>
      <c r="D158" s="1895" t="s">
        <v>1634</v>
      </c>
      <c r="E158" s="1896" t="s">
        <v>3</v>
      </c>
      <c r="F158" s="1347">
        <f t="shared" si="17"/>
        <v>2.3000000000000003</v>
      </c>
      <c r="G158" s="1351">
        <f t="shared" si="20"/>
        <v>60.631868238913555</v>
      </c>
      <c r="H158" s="1348"/>
      <c r="I158" s="1353" t="s">
        <v>263</v>
      </c>
      <c r="J158" s="1895"/>
      <c r="K158" s="1897"/>
      <c r="L158" s="1897"/>
      <c r="M158" s="1898" t="str">
        <f>IFERROR(INDEX('Lower Cask Movement &amp; Logistics'!$I$13:$O$19,MATCH($K158,'Lower Cask Movement &amp; Logistics'!$H$13:$H$19,0),MATCH($L158,'Lower Cask Movement &amp; Logistics'!$H$13:$H$19,0)),"N/A")</f>
        <v>N/A</v>
      </c>
      <c r="N158" s="1899" t="str">
        <f>IFERROR(VLOOKUP($J158,'Lower Cask Movement &amp; Logistics'!$H$4:$I$9,2,FALSE),"N/A")</f>
        <v>N/A</v>
      </c>
      <c r="O158" s="1900" t="str">
        <f t="shared" si="18"/>
        <v>N/A</v>
      </c>
      <c r="P158" s="1901" t="s">
        <v>1552</v>
      </c>
      <c r="Q158" s="1900">
        <f>IF($E158="Logistics",VLOOKUP($P158,'Lower Cask Movement &amp; Logistics'!$C$4:$D$54,2,FALSE),"N/A")</f>
        <v>2.3000000000000003</v>
      </c>
      <c r="R158" s="3380"/>
      <c r="S158" s="3481" t="str">
        <f>IFERROR(VLOOKUP($R158,'LowerCask Recovery Dependencies'!$C$75:$F$134,4,FALSE),"N/A")</f>
        <v>N/A</v>
      </c>
      <c r="T158" s="3482" t="str">
        <f t="shared" si="19"/>
        <v>N/A</v>
      </c>
      <c r="U158" s="1719"/>
      <c r="V158" s="1719"/>
      <c r="W158" s="1719"/>
      <c r="X158" s="1719"/>
      <c r="Y158" s="1719"/>
    </row>
    <row r="159" spans="2:25" s="88" customFormat="1" hidden="1" outlineLevel="2" x14ac:dyDescent="0.4">
      <c r="B159" s="1932"/>
      <c r="C159" s="3787" t="s">
        <v>1635</v>
      </c>
      <c r="D159" s="1129" t="s">
        <v>1619</v>
      </c>
      <c r="E159" s="1620" t="s">
        <v>3</v>
      </c>
      <c r="F159" s="1621">
        <f t="shared" si="17"/>
        <v>1.9</v>
      </c>
      <c r="G159" s="1621">
        <f t="shared" si="20"/>
        <v>62.531868238913553</v>
      </c>
      <c r="H159" s="1129"/>
      <c r="I159" s="1575" t="s">
        <v>263</v>
      </c>
      <c r="J159" s="1129"/>
      <c r="K159" s="1619"/>
      <c r="L159" s="1619"/>
      <c r="M159" s="1623" t="str">
        <f>IFERROR(INDEX('Lower Cask Movement &amp; Logistics'!$I$13:$O$19,MATCH($K159,'Lower Cask Movement &amp; Logistics'!$H$13:$H$19,0),MATCH($L159,'Lower Cask Movement &amp; Logistics'!$H$13:$H$19,0)),"N/A")</f>
        <v>N/A</v>
      </c>
      <c r="N159" s="1623" t="str">
        <f>IFERROR(VLOOKUP($J159,'Lower Cask Movement &amp; Logistics'!$H$4:$I$9,2,FALSE),"N/A")</f>
        <v>N/A</v>
      </c>
      <c r="O159" s="1575" t="str">
        <f t="shared" si="18"/>
        <v>N/A</v>
      </c>
      <c r="P159" s="1576" t="s">
        <v>1541</v>
      </c>
      <c r="Q159" s="1575">
        <f>IF($E159="Logistics",VLOOKUP($P159,'Lower Cask Movement &amp; Logistics'!$C$4:$D$54,2,FALSE),"N/A")</f>
        <v>1.9</v>
      </c>
      <c r="R159" s="3376" t="s">
        <v>1636</v>
      </c>
      <c r="S159" s="3474">
        <f>IFERROR(VLOOKUP($R159,'LowerCask Recovery Dependencies'!$C$75:$F$134,4,FALSE),"N/A")</f>
        <v>31.589637823160476</v>
      </c>
      <c r="T159" s="3487">
        <f t="shared" si="19"/>
        <v>29.042230415753078</v>
      </c>
      <c r="U159" s="3483"/>
      <c r="V159" s="3484"/>
      <c r="W159" s="1719"/>
      <c r="X159" s="1719"/>
      <c r="Y159" s="1719"/>
    </row>
    <row r="160" spans="2:25" s="88" customFormat="1" hidden="1" outlineLevel="2" x14ac:dyDescent="0.4">
      <c r="B160" s="1932"/>
      <c r="C160" s="3786"/>
      <c r="D160" s="1579" t="s">
        <v>1622</v>
      </c>
      <c r="E160" s="1611" t="s">
        <v>3</v>
      </c>
      <c r="F160" s="626">
        <f t="shared" si="17"/>
        <v>0.38</v>
      </c>
      <c r="G160" s="626">
        <f t="shared" si="20"/>
        <v>62.911868238913556</v>
      </c>
      <c r="H160" s="1579"/>
      <c r="I160" s="1183" t="s">
        <v>263</v>
      </c>
      <c r="J160" s="1579"/>
      <c r="K160" s="582"/>
      <c r="L160" s="582"/>
      <c r="M160" s="1478" t="str">
        <f>IFERROR(INDEX('Lower Cask Movement &amp; Logistics'!$I$13:$O$19,MATCH($K160,'Lower Cask Movement &amp; Logistics'!$H$13:$H$19,0),MATCH($L160,'Lower Cask Movement &amp; Logistics'!$H$13:$H$19,0)),"N/A")</f>
        <v>N/A</v>
      </c>
      <c r="N160" s="1478" t="str">
        <f>IFERROR(VLOOKUP($J160,'Lower Cask Movement &amp; Logistics'!$H$4:$I$9,2,FALSE),"N/A")</f>
        <v>N/A</v>
      </c>
      <c r="O160" s="1183" t="str">
        <f t="shared" si="18"/>
        <v>N/A</v>
      </c>
      <c r="P160" s="1578" t="s">
        <v>1544</v>
      </c>
      <c r="Q160" s="1183">
        <f>IF($E160="Logistics",VLOOKUP($P160,'Lower Cask Movement &amp; Logistics'!$C$4:$D$54,2,FALSE),"N/A")</f>
        <v>0.38</v>
      </c>
      <c r="R160" s="3377"/>
      <c r="S160" s="3476" t="str">
        <f>IFERROR(VLOOKUP($R160,'LowerCask Recovery Dependencies'!$C$75:$F$134,4,FALSE),"N/A")</f>
        <v>N/A</v>
      </c>
      <c r="T160" s="3482" t="str">
        <f t="shared" si="19"/>
        <v>N/A</v>
      </c>
      <c r="U160" s="3483"/>
      <c r="V160" s="3484"/>
      <c r="W160" s="1719"/>
      <c r="X160" s="1719"/>
      <c r="Y160" s="1719"/>
    </row>
    <row r="161" spans="2:25" s="88" customFormat="1" hidden="1" outlineLevel="2" x14ac:dyDescent="0.4">
      <c r="B161" s="1932"/>
      <c r="C161" s="3786"/>
      <c r="D161" s="1579" t="s">
        <v>1637</v>
      </c>
      <c r="E161" s="1611" t="s">
        <v>251</v>
      </c>
      <c r="F161" s="626">
        <f t="shared" si="17"/>
        <v>7.5229670597283897</v>
      </c>
      <c r="G161" s="626">
        <f t="shared" si="20"/>
        <v>70.434835298641943</v>
      </c>
      <c r="H161" s="1579" t="s">
        <v>442</v>
      </c>
      <c r="I161" s="1183">
        <v>7.5229670597283897</v>
      </c>
      <c r="J161" s="1579"/>
      <c r="K161" s="582"/>
      <c r="L161" s="582"/>
      <c r="M161" s="1478" t="str">
        <f>IFERROR(INDEX('Lower Cask Movement &amp; Logistics'!$I$13:$O$19,MATCH($K161,'Lower Cask Movement &amp; Logistics'!$H$13:$H$19,0),MATCH($L161,'Lower Cask Movement &amp; Logistics'!$H$13:$H$19,0)),"N/A")</f>
        <v>N/A</v>
      </c>
      <c r="N161" s="1478" t="str">
        <f>IFERROR(VLOOKUP($J161,'Lower Cask Movement &amp; Logistics'!$H$4:$I$9,2,FALSE),"N/A")</f>
        <v>N/A</v>
      </c>
      <c r="O161" s="1183" t="str">
        <f t="shared" si="18"/>
        <v>N/A</v>
      </c>
      <c r="P161" s="1578"/>
      <c r="Q161" s="1183" t="str">
        <f>IF($E161="Logistics",VLOOKUP($P161,'Lower Cask Movement &amp; Logistics'!$C$4:$D$54,2,FALSE),"N/A")</f>
        <v>N/A</v>
      </c>
      <c r="R161" s="3377"/>
      <c r="S161" s="3476" t="str">
        <f>IFERROR(VLOOKUP($R161,'LowerCask Recovery Dependencies'!$C$75:$F$134,4,FALSE),"N/A")</f>
        <v>N/A</v>
      </c>
      <c r="T161" s="3482" t="str">
        <f t="shared" si="19"/>
        <v>N/A</v>
      </c>
      <c r="U161" s="3483"/>
      <c r="V161" s="3484"/>
      <c r="W161" s="1719"/>
      <c r="X161" s="1719"/>
      <c r="Y161" s="1719"/>
    </row>
    <row r="162" spans="2:25" s="88" customFormat="1" hidden="1" outlineLevel="2" x14ac:dyDescent="0.4">
      <c r="B162" s="1932"/>
      <c r="C162" s="3786"/>
      <c r="D162" s="1579" t="s">
        <v>1638</v>
      </c>
      <c r="E162" s="1611" t="s">
        <v>3</v>
      </c>
      <c r="F162" s="626">
        <f t="shared" si="17"/>
        <v>0.38</v>
      </c>
      <c r="G162" s="626">
        <f t="shared" si="20"/>
        <v>70.814835298641938</v>
      </c>
      <c r="H162" s="1579"/>
      <c r="I162" s="1183" t="s">
        <v>263</v>
      </c>
      <c r="J162" s="1579"/>
      <c r="K162" s="582"/>
      <c r="L162" s="582"/>
      <c r="M162" s="1478" t="str">
        <f>IFERROR(INDEX('Lower Cask Movement &amp; Logistics'!$I$13:$O$19,MATCH($K162,'Lower Cask Movement &amp; Logistics'!$H$13:$H$19,0),MATCH($L162,'Lower Cask Movement &amp; Logistics'!$H$13:$H$19,0)),"N/A")</f>
        <v>N/A</v>
      </c>
      <c r="N162" s="1478" t="str">
        <f>IFERROR(VLOOKUP($J162,'Lower Cask Movement &amp; Logistics'!$H$4:$I$9,2,FALSE),"N/A")</f>
        <v>N/A</v>
      </c>
      <c r="O162" s="1183" t="str">
        <f t="shared" si="18"/>
        <v>N/A</v>
      </c>
      <c r="P162" s="1578" t="s">
        <v>1546</v>
      </c>
      <c r="Q162" s="1183">
        <f>IF($E162="Logistics",VLOOKUP($P162,'Lower Cask Movement &amp; Logistics'!$C$4:$D$54,2,FALSE),"N/A")</f>
        <v>0.38</v>
      </c>
      <c r="R162" s="3377"/>
      <c r="S162" s="3476" t="str">
        <f>IFERROR(VLOOKUP($R162,'LowerCask Recovery Dependencies'!$C$75:$F$134,4,FALSE),"N/A")</f>
        <v>N/A</v>
      </c>
      <c r="T162" s="3482" t="str">
        <f t="shared" si="19"/>
        <v>N/A</v>
      </c>
      <c r="U162" s="3483"/>
      <c r="V162" s="3484"/>
      <c r="W162" s="1719"/>
      <c r="X162" s="1719"/>
      <c r="Y162" s="1719"/>
    </row>
    <row r="163" spans="2:25" s="88" customFormat="1" hidden="1" outlineLevel="2" x14ac:dyDescent="0.4">
      <c r="B163" s="1932"/>
      <c r="C163" s="3786"/>
      <c r="D163" s="1579" t="s">
        <v>1639</v>
      </c>
      <c r="E163" s="1611" t="s">
        <v>3</v>
      </c>
      <c r="F163" s="626">
        <f t="shared" si="17"/>
        <v>0.53</v>
      </c>
      <c r="G163" s="626">
        <f t="shared" si="20"/>
        <v>71.344835298641939</v>
      </c>
      <c r="H163" s="1579"/>
      <c r="I163" s="1183" t="s">
        <v>263</v>
      </c>
      <c r="J163" s="1579"/>
      <c r="K163" s="582"/>
      <c r="L163" s="582"/>
      <c r="M163" s="1478" t="str">
        <f>IFERROR(INDEX('Lower Cask Movement &amp; Logistics'!$I$13:$O$19,MATCH($K163,'Lower Cask Movement &amp; Logistics'!$H$13:$H$19,0),MATCH($L163,'Lower Cask Movement &amp; Logistics'!$H$13:$H$19,0)),"N/A")</f>
        <v>N/A</v>
      </c>
      <c r="N163" s="1478" t="str">
        <f>IFERROR(VLOOKUP($J163,'Lower Cask Movement &amp; Logistics'!$H$4:$I$9,2,FALSE),"N/A")</f>
        <v>N/A</v>
      </c>
      <c r="O163" s="1183" t="str">
        <f t="shared" si="18"/>
        <v>N/A</v>
      </c>
      <c r="P163" s="1578" t="s">
        <v>1558</v>
      </c>
      <c r="Q163" s="1183">
        <f>IF($E163="Logistics",VLOOKUP($P163,'Lower Cask Movement &amp; Logistics'!$C$4:$D$54,2,FALSE),"N/A")</f>
        <v>0.53</v>
      </c>
      <c r="R163" s="3377"/>
      <c r="S163" s="3476" t="str">
        <f>IFERROR(VLOOKUP($R163,'LowerCask Recovery Dependencies'!$C$75:$F$134,4,FALSE),"N/A")</f>
        <v>N/A</v>
      </c>
      <c r="T163" s="3482" t="str">
        <f t="shared" si="19"/>
        <v>N/A</v>
      </c>
      <c r="U163" s="3483"/>
      <c r="V163" s="3484"/>
      <c r="W163" s="1719"/>
      <c r="X163" s="1719"/>
      <c r="Y163" s="1719"/>
    </row>
    <row r="164" spans="2:25" s="88" customFormat="1" hidden="1" outlineLevel="2" x14ac:dyDescent="0.4">
      <c r="B164" s="1932"/>
      <c r="C164" s="3786"/>
      <c r="D164" s="1579" t="s">
        <v>953</v>
      </c>
      <c r="E164" s="1611" t="s">
        <v>251</v>
      </c>
      <c r="F164" s="626">
        <f t="shared" si="17"/>
        <v>7.5229670597283897</v>
      </c>
      <c r="G164" s="626">
        <f t="shared" si="20"/>
        <v>78.867802358370326</v>
      </c>
      <c r="H164" s="1579" t="s">
        <v>442</v>
      </c>
      <c r="I164" s="1183">
        <v>7.5229670597283897</v>
      </c>
      <c r="J164" s="1579"/>
      <c r="K164" s="582"/>
      <c r="L164" s="582"/>
      <c r="M164" s="1478" t="str">
        <f>IFERROR(INDEX('Lower Cask Movement &amp; Logistics'!$I$13:$O$19,MATCH($K164,'Lower Cask Movement &amp; Logistics'!$H$13:$H$19,0),MATCH($L164,'Lower Cask Movement &amp; Logistics'!$H$13:$H$19,0)),"N/A")</f>
        <v>N/A</v>
      </c>
      <c r="N164" s="1478" t="str">
        <f>IFERROR(VLOOKUP($J164,'Lower Cask Movement &amp; Logistics'!$H$4:$I$9,2,FALSE),"N/A")</f>
        <v>N/A</v>
      </c>
      <c r="O164" s="1183" t="str">
        <f t="shared" si="18"/>
        <v>N/A</v>
      </c>
      <c r="P164" s="1578"/>
      <c r="Q164" s="1183" t="str">
        <f>IF($E164="Logistics",VLOOKUP($P164,'Lower Cask Movement &amp; Logistics'!$C$4:$D$54,2,FALSE),"N/A")</f>
        <v>N/A</v>
      </c>
      <c r="R164" s="3377"/>
      <c r="S164" s="3476" t="str">
        <f>IFERROR(VLOOKUP($R164,'LowerCask Recovery Dependencies'!$C$75:$F$134,4,FALSE),"N/A")</f>
        <v>N/A</v>
      </c>
      <c r="T164" s="3482" t="str">
        <f t="shared" si="19"/>
        <v>N/A</v>
      </c>
      <c r="U164" s="3483"/>
      <c r="V164" s="3484"/>
      <c r="W164" s="1719"/>
      <c r="X164" s="1719"/>
      <c r="Y164" s="1719"/>
    </row>
    <row r="165" spans="2:25" s="88" customFormat="1" hidden="1" outlineLevel="2" x14ac:dyDescent="0.4">
      <c r="B165" s="1932"/>
      <c r="C165" s="3786"/>
      <c r="D165" s="1579" t="s">
        <v>1640</v>
      </c>
      <c r="E165" s="1611" t="s">
        <v>3</v>
      </c>
      <c r="F165" s="626">
        <f t="shared" si="17"/>
        <v>0.38</v>
      </c>
      <c r="G165" s="626">
        <f t="shared" si="20"/>
        <v>79.247802358370322</v>
      </c>
      <c r="H165" s="1579"/>
      <c r="I165" s="1183" t="s">
        <v>263</v>
      </c>
      <c r="J165" s="1579"/>
      <c r="K165" s="582"/>
      <c r="L165" s="582"/>
      <c r="M165" s="1478" t="str">
        <f>IFERROR(INDEX('Lower Cask Movement &amp; Logistics'!$I$13:$O$19,MATCH($K165,'Lower Cask Movement &amp; Logistics'!$H$13:$H$19,0),MATCH($L165,'Lower Cask Movement &amp; Logistics'!$H$13:$H$19,0)),"N/A")</f>
        <v>N/A</v>
      </c>
      <c r="N165" s="1478" t="str">
        <f>IFERROR(VLOOKUP($J165,'Lower Cask Movement &amp; Logistics'!$H$4:$I$9,2,FALSE),"N/A")</f>
        <v>N/A</v>
      </c>
      <c r="O165" s="1183" t="str">
        <f t="shared" si="18"/>
        <v>N/A</v>
      </c>
      <c r="P165" s="1578" t="s">
        <v>1546</v>
      </c>
      <c r="Q165" s="1183">
        <f>IF($E165="Logistics",VLOOKUP($P165,'Lower Cask Movement &amp; Logistics'!$C$4:$D$54,2,FALSE),"N/A")</f>
        <v>0.38</v>
      </c>
      <c r="R165" s="3377"/>
      <c r="S165" s="3476" t="str">
        <f>IFERROR(VLOOKUP($R165,'LowerCask Recovery Dependencies'!$C$75:$F$134,4,FALSE),"N/A")</f>
        <v>N/A</v>
      </c>
      <c r="T165" s="3482" t="str">
        <f t="shared" si="19"/>
        <v>N/A</v>
      </c>
      <c r="U165" s="3483"/>
      <c r="V165" s="3484"/>
      <c r="W165" s="1719"/>
      <c r="X165" s="1719"/>
      <c r="Y165" s="1719"/>
    </row>
    <row r="166" spans="2:25" s="88" customFormat="1" hidden="1" outlineLevel="2" x14ac:dyDescent="0.4">
      <c r="B166" s="1932"/>
      <c r="C166" s="3786"/>
      <c r="D166" s="1579" t="s">
        <v>1599</v>
      </c>
      <c r="E166" s="1611" t="s">
        <v>3</v>
      </c>
      <c r="F166" s="626">
        <f t="shared" si="17"/>
        <v>0.38</v>
      </c>
      <c r="G166" s="626">
        <f t="shared" si="20"/>
        <v>79.627802358370317</v>
      </c>
      <c r="H166" s="1579"/>
      <c r="I166" s="1183" t="s">
        <v>263</v>
      </c>
      <c r="J166" s="1579"/>
      <c r="K166" s="582"/>
      <c r="L166" s="582"/>
      <c r="M166" s="1478" t="str">
        <f>IFERROR(INDEX('Lower Cask Movement &amp; Logistics'!$I$13:$O$19,MATCH($K166,'Lower Cask Movement &amp; Logistics'!$H$13:$H$19,0),MATCH($L166,'Lower Cask Movement &amp; Logistics'!$H$13:$H$19,0)),"N/A")</f>
        <v>N/A</v>
      </c>
      <c r="N166" s="1478" t="str">
        <f>IFERROR(VLOOKUP($J166,'Lower Cask Movement &amp; Logistics'!$H$4:$I$9,2,FALSE),"N/A")</f>
        <v>N/A</v>
      </c>
      <c r="O166" s="1183" t="str">
        <f t="shared" si="18"/>
        <v>N/A</v>
      </c>
      <c r="P166" s="1578" t="s">
        <v>1546</v>
      </c>
      <c r="Q166" s="1183">
        <f>IF($E166="Logistics",VLOOKUP($P166,'Lower Cask Movement &amp; Logistics'!$C$4:$D$54,2,FALSE),"N/A")</f>
        <v>0.38</v>
      </c>
      <c r="R166" s="3377"/>
      <c r="S166" s="3476" t="str">
        <f>IFERROR(VLOOKUP($R166,'LowerCask Recovery Dependencies'!$C$75:$F$134,4,FALSE),"N/A")</f>
        <v>N/A</v>
      </c>
      <c r="T166" s="3482" t="str">
        <f t="shared" si="19"/>
        <v>N/A</v>
      </c>
      <c r="U166" s="3483"/>
      <c r="V166" s="3484"/>
      <c r="W166" s="1719"/>
      <c r="X166" s="1719"/>
      <c r="Y166" s="1719"/>
    </row>
    <row r="167" spans="2:25" s="88" customFormat="1" ht="15" hidden="1" outlineLevel="2" thickBot="1" x14ac:dyDescent="0.45">
      <c r="B167" s="1932"/>
      <c r="C167" s="3788"/>
      <c r="D167" s="1136" t="s">
        <v>1641</v>
      </c>
      <c r="E167" s="1581" t="s">
        <v>3</v>
      </c>
      <c r="F167" s="585">
        <f t="shared" si="17"/>
        <v>2.3000000000000003</v>
      </c>
      <c r="G167" s="585">
        <f t="shared" si="20"/>
        <v>81.927802358370315</v>
      </c>
      <c r="H167" s="1136"/>
      <c r="I167" s="1179" t="s">
        <v>263</v>
      </c>
      <c r="J167" s="1136"/>
      <c r="K167" s="584"/>
      <c r="L167" s="584"/>
      <c r="M167" s="814" t="str">
        <f>IFERROR(INDEX('Lower Cask Movement &amp; Logistics'!$I$13:$O$19,MATCH($K167,'Lower Cask Movement &amp; Logistics'!$H$13:$H$19,0),MATCH($L167,'Lower Cask Movement &amp; Logistics'!$H$13:$H$19,0)),"N/A")</f>
        <v>N/A</v>
      </c>
      <c r="N167" s="814" t="str">
        <f>IFERROR(VLOOKUP($J167,'Lower Cask Movement &amp; Logistics'!$H$4:$I$9,2,FALSE),"N/A")</f>
        <v>N/A</v>
      </c>
      <c r="O167" s="1179" t="str">
        <f t="shared" si="18"/>
        <v>N/A</v>
      </c>
      <c r="P167" s="1582" t="s">
        <v>1552</v>
      </c>
      <c r="Q167" s="1179">
        <f>IF($E167="Logistics",VLOOKUP($P167,'Lower Cask Movement &amp; Logistics'!$C$4:$D$54,2,FALSE),"N/A")</f>
        <v>2.3000000000000003</v>
      </c>
      <c r="R167" s="3378"/>
      <c r="S167" s="3478" t="str">
        <f>IFERROR(VLOOKUP($R167,'LowerCask Recovery Dependencies'!$C$75:$F$134,4,FALSE),"N/A")</f>
        <v>N/A</v>
      </c>
      <c r="T167" s="3473" t="str">
        <f t="shared" si="19"/>
        <v>N/A</v>
      </c>
      <c r="U167" s="3483"/>
      <c r="V167" s="3484"/>
      <c r="W167" s="1719"/>
      <c r="X167" s="1719"/>
      <c r="Y167" s="1719"/>
    </row>
    <row r="168" spans="2:25" s="88" customFormat="1" hidden="1" outlineLevel="2" x14ac:dyDescent="0.4">
      <c r="B168" s="1932"/>
      <c r="C168" s="3852" t="s">
        <v>1649</v>
      </c>
      <c r="D168" s="1906" t="s">
        <v>1619</v>
      </c>
      <c r="E168" s="1907" t="s">
        <v>3</v>
      </c>
      <c r="F168" s="1739">
        <f t="shared" si="17"/>
        <v>1.9</v>
      </c>
      <c r="G168" s="1908">
        <f t="shared" si="20"/>
        <v>83.82780235837032</v>
      </c>
      <c r="H168" s="1909"/>
      <c r="I168" s="1910" t="s">
        <v>263</v>
      </c>
      <c r="J168" s="1906"/>
      <c r="K168" s="1911"/>
      <c r="L168" s="1911"/>
      <c r="M168" s="1912" t="str">
        <f>IFERROR(INDEX('Lower Cask Movement &amp; Logistics'!$I$13:$O$19,MATCH($K168,'Lower Cask Movement &amp; Logistics'!$H$13:$H$19,0),MATCH($L168,'Lower Cask Movement &amp; Logistics'!$H$13:$H$19,0)),"N/A")</f>
        <v>N/A</v>
      </c>
      <c r="N168" s="1913" t="str">
        <f>IFERROR(VLOOKUP($J168,'Lower Cask Movement &amp; Logistics'!$H$4:$I$9,2,FALSE),"N/A")</f>
        <v>N/A</v>
      </c>
      <c r="O168" s="1914" t="str">
        <f t="shared" si="18"/>
        <v>N/A</v>
      </c>
      <c r="P168" s="1915" t="s">
        <v>1541</v>
      </c>
      <c r="Q168" s="1914">
        <f>IF($E168="Logistics",VLOOKUP($P168,'Lower Cask Movement &amp; Logistics'!$C$4:$D$54,2,FALSE),"N/A")</f>
        <v>1.9</v>
      </c>
      <c r="R168" s="3381" t="s">
        <v>1866</v>
      </c>
      <c r="S168" s="3486">
        <f>IFERROR(VLOOKUP($R168,'LowerCask Recovery Dependencies'!$C$75:$F$134,4,FALSE),"N/A")</f>
        <v>62.945571942617256</v>
      </c>
      <c r="T168" s="3487">
        <f t="shared" si="19"/>
        <v>18.982230415753058</v>
      </c>
      <c r="U168" s="1719"/>
      <c r="V168" s="1719"/>
      <c r="W168" s="1719"/>
      <c r="X168" s="1719"/>
      <c r="Y168" s="1719"/>
    </row>
    <row r="169" spans="2:25" s="88" customFormat="1" hidden="1" outlineLevel="2" x14ac:dyDescent="0.4">
      <c r="B169" s="1932"/>
      <c r="C169" s="3856"/>
      <c r="D169" s="1895" t="s">
        <v>1247</v>
      </c>
      <c r="E169" s="1896" t="s">
        <v>3</v>
      </c>
      <c r="F169" s="1347">
        <f t="shared" si="17"/>
        <v>0.38</v>
      </c>
      <c r="G169" s="1351">
        <f t="shared" si="20"/>
        <v>84.207802358370316</v>
      </c>
      <c r="H169" s="1348"/>
      <c r="I169" s="1353" t="s">
        <v>263</v>
      </c>
      <c r="J169" s="1895"/>
      <c r="K169" s="1897"/>
      <c r="L169" s="1897"/>
      <c r="M169" s="1898" t="str">
        <f>IFERROR(INDEX('Lower Cask Movement &amp; Logistics'!$I$13:$O$19,MATCH($K169,'Lower Cask Movement &amp; Logistics'!$H$13:$H$19,0),MATCH($L169,'Lower Cask Movement &amp; Logistics'!$H$13:$H$19,0)),"N/A")</f>
        <v>N/A</v>
      </c>
      <c r="N169" s="1899" t="str">
        <f>IFERROR(VLOOKUP($J169,'Lower Cask Movement &amp; Logistics'!$H$4:$I$9,2,FALSE),"N/A")</f>
        <v>N/A</v>
      </c>
      <c r="O169" s="1900" t="str">
        <f t="shared" si="18"/>
        <v>N/A</v>
      </c>
      <c r="P169" s="1901" t="s">
        <v>1544</v>
      </c>
      <c r="Q169" s="1900">
        <f>IF($E169="Logistics",VLOOKUP($P169,'Lower Cask Movement &amp; Logistics'!$C$4:$D$54,2,FALSE),"N/A")</f>
        <v>0.38</v>
      </c>
      <c r="R169" s="3380"/>
      <c r="S169" s="3481" t="str">
        <f>IFERROR(VLOOKUP($R169,'LowerCask Recovery Dependencies'!$C$75:$F$134,4,FALSE),"N/A")</f>
        <v>N/A</v>
      </c>
      <c r="T169" s="3482" t="str">
        <f t="shared" si="19"/>
        <v>N/A</v>
      </c>
      <c r="U169" s="1719"/>
      <c r="V169" s="1719"/>
      <c r="W169" s="1719"/>
      <c r="X169" s="1719"/>
      <c r="Y169" s="1719"/>
    </row>
    <row r="170" spans="2:25" s="88" customFormat="1" hidden="1" outlineLevel="2" x14ac:dyDescent="0.4">
      <c r="B170" s="1932"/>
      <c r="C170" s="3856"/>
      <c r="D170" s="1895" t="s">
        <v>117</v>
      </c>
      <c r="E170" s="1896" t="s">
        <v>251</v>
      </c>
      <c r="F170" s="1347">
        <f t="shared" si="17"/>
        <v>17.622664625997164</v>
      </c>
      <c r="G170" s="1351">
        <f t="shared" si="20"/>
        <v>101.83046698436748</v>
      </c>
      <c r="H170" s="1348" t="s">
        <v>556</v>
      </c>
      <c r="I170" s="1353">
        <v>17.622664625997164</v>
      </c>
      <c r="J170" s="1895"/>
      <c r="K170" s="1897"/>
      <c r="L170" s="1897"/>
      <c r="M170" s="1898" t="str">
        <f>IFERROR(INDEX('Lower Cask Movement &amp; Logistics'!$I$13:$O$19,MATCH($K170,'Lower Cask Movement &amp; Logistics'!$H$13:$H$19,0),MATCH($L170,'Lower Cask Movement &amp; Logistics'!$H$13:$H$19,0)),"N/A")</f>
        <v>N/A</v>
      </c>
      <c r="N170" s="1899" t="str">
        <f>IFERROR(VLOOKUP($J170,'Lower Cask Movement &amp; Logistics'!$H$4:$I$9,2,FALSE),"N/A")</f>
        <v>N/A</v>
      </c>
      <c r="O170" s="1900" t="str">
        <f t="shared" si="18"/>
        <v>N/A</v>
      </c>
      <c r="P170" s="1901" t="s">
        <v>1546</v>
      </c>
      <c r="Q170" s="1900" t="str">
        <f>IF($E170="Logistics",VLOOKUP($P170,'Lower Cask Movement &amp; Logistics'!$C$4:$D$54,2,FALSE),"N/A")</f>
        <v>N/A</v>
      </c>
      <c r="R170" s="3380" t="s">
        <v>1867</v>
      </c>
      <c r="S170" s="3481">
        <f>IFERROR(VLOOKUP($R170,'LowerCask Recovery Dependencies'!$C$75:$F$134,4,FALSE),"N/A")</f>
        <v>63.652246595150302</v>
      </c>
      <c r="T170" s="3482">
        <f t="shared" si="19"/>
        <v>20.555555763220013</v>
      </c>
      <c r="U170" s="1719"/>
      <c r="V170" s="1719"/>
      <c r="W170" s="1719"/>
      <c r="X170" s="1719"/>
      <c r="Y170" s="1719"/>
    </row>
    <row r="171" spans="2:25" s="88" customFormat="1" hidden="1" outlineLevel="2" x14ac:dyDescent="0.4">
      <c r="B171" s="1932"/>
      <c r="C171" s="3856"/>
      <c r="D171" s="1895" t="s">
        <v>1652</v>
      </c>
      <c r="E171" s="1896" t="s">
        <v>3</v>
      </c>
      <c r="F171" s="1347">
        <f t="shared" si="17"/>
        <v>0.38</v>
      </c>
      <c r="G171" s="1351">
        <f t="shared" si="20"/>
        <v>102.21046698436747</v>
      </c>
      <c r="H171" s="1348"/>
      <c r="I171" s="1353" t="s">
        <v>263</v>
      </c>
      <c r="J171" s="1895"/>
      <c r="K171" s="1897"/>
      <c r="L171" s="1897"/>
      <c r="M171" s="1898" t="str">
        <f>IFERROR(INDEX('Lower Cask Movement &amp; Logistics'!$I$13:$O$19,MATCH($K171,'Lower Cask Movement &amp; Logistics'!$H$13:$H$19,0),MATCH($L171,'Lower Cask Movement &amp; Logistics'!$H$13:$H$19,0)),"N/A")</f>
        <v>N/A</v>
      </c>
      <c r="N171" s="1899" t="str">
        <f>IFERROR(VLOOKUP($J171,'Lower Cask Movement &amp; Logistics'!$H$4:$I$9,2,FALSE),"N/A")</f>
        <v>N/A</v>
      </c>
      <c r="O171" s="1900" t="str">
        <f t="shared" si="18"/>
        <v>N/A</v>
      </c>
      <c r="P171" s="1901" t="s">
        <v>1544</v>
      </c>
      <c r="Q171" s="1900">
        <f>IF($E171="Logistics",VLOOKUP($P171,'Lower Cask Movement &amp; Logistics'!$C$4:$D$54,2,FALSE),"N/A")</f>
        <v>0.38</v>
      </c>
      <c r="R171" s="3380"/>
      <c r="S171" s="3481" t="str">
        <f>IFERROR(VLOOKUP($R171,'LowerCask Recovery Dependencies'!$C$75:$F$134,4,FALSE),"N/A")</f>
        <v>N/A</v>
      </c>
      <c r="T171" s="3482" t="str">
        <f t="shared" si="19"/>
        <v>N/A</v>
      </c>
      <c r="U171" s="1719"/>
      <c r="V171" s="1719"/>
      <c r="W171" s="1719"/>
      <c r="X171" s="1719"/>
      <c r="Y171" s="1719"/>
    </row>
    <row r="172" spans="2:25" s="88" customFormat="1" hidden="1" outlineLevel="2" x14ac:dyDescent="0.4">
      <c r="B172" s="1932"/>
      <c r="C172" s="3856"/>
      <c r="D172" s="1895" t="s">
        <v>1653</v>
      </c>
      <c r="E172" s="1896" t="s">
        <v>251</v>
      </c>
      <c r="F172" s="1347">
        <f t="shared" si="17"/>
        <v>17.622664625997164</v>
      </c>
      <c r="G172" s="1351">
        <f t="shared" si="20"/>
        <v>119.83313161036463</v>
      </c>
      <c r="H172" s="1348" t="s">
        <v>1654</v>
      </c>
      <c r="I172" s="1353">
        <v>17.622664625997164</v>
      </c>
      <c r="J172" s="1895"/>
      <c r="K172" s="1897"/>
      <c r="L172" s="1897"/>
      <c r="M172" s="1898" t="str">
        <f>IFERROR(INDEX('Lower Cask Movement &amp; Logistics'!$I$13:$O$19,MATCH($K172,'Lower Cask Movement &amp; Logistics'!$H$13:$H$19,0),MATCH($L172,'Lower Cask Movement &amp; Logistics'!$H$13:$H$19,0)),"N/A")</f>
        <v>N/A</v>
      </c>
      <c r="N172" s="1899" t="str">
        <f>IFERROR(VLOOKUP($J172,'Lower Cask Movement &amp; Logistics'!$H$4:$I$9,2,FALSE),"N/A")</f>
        <v>N/A</v>
      </c>
      <c r="O172" s="1900" t="str">
        <f t="shared" si="18"/>
        <v>N/A</v>
      </c>
      <c r="P172" s="1901"/>
      <c r="Q172" s="1900" t="str">
        <f>IF($E172="Logistics",VLOOKUP($P172,'Lower Cask Movement &amp; Logistics'!$C$4:$D$54,2,FALSE),"N/A")</f>
        <v>N/A</v>
      </c>
      <c r="R172" s="3380" t="s">
        <v>1868</v>
      </c>
      <c r="S172" s="3481">
        <f>IFERROR(VLOOKUP($R172,'LowerCask Recovery Dependencies'!$C$75:$F$134,4,FALSE),"N/A")</f>
        <v>68.051691039594743</v>
      </c>
      <c r="T172" s="3482">
        <f t="shared" si="19"/>
        <v>34.158775944772728</v>
      </c>
      <c r="U172" s="1719"/>
      <c r="V172" s="1719"/>
      <c r="W172" s="1719"/>
      <c r="X172" s="1719"/>
      <c r="Y172" s="1719"/>
    </row>
    <row r="173" spans="2:25" s="88" customFormat="1" hidden="1" outlineLevel="2" x14ac:dyDescent="0.4">
      <c r="B173" s="1932"/>
      <c r="C173" s="3856"/>
      <c r="D173" s="1895" t="s">
        <v>1599</v>
      </c>
      <c r="E173" s="1896" t="s">
        <v>3</v>
      </c>
      <c r="F173" s="1347">
        <f t="shared" si="17"/>
        <v>0.38</v>
      </c>
      <c r="G173" s="1351">
        <f t="shared" si="20"/>
        <v>120.21313161036463</v>
      </c>
      <c r="H173" s="1348"/>
      <c r="I173" s="1353" t="s">
        <v>263</v>
      </c>
      <c r="J173" s="1895"/>
      <c r="K173" s="1897"/>
      <c r="L173" s="1897"/>
      <c r="M173" s="1898" t="str">
        <f>IFERROR(INDEX('Lower Cask Movement &amp; Logistics'!$I$13:$O$19,MATCH($K173,'Lower Cask Movement &amp; Logistics'!$H$13:$H$19,0),MATCH($L173,'Lower Cask Movement &amp; Logistics'!$H$13:$H$19,0)),"N/A")</f>
        <v>N/A</v>
      </c>
      <c r="N173" s="1899" t="str">
        <f>IFERROR(VLOOKUP($J173,'Lower Cask Movement &amp; Logistics'!$H$4:$I$9,2,FALSE),"N/A")</f>
        <v>N/A</v>
      </c>
      <c r="O173" s="1900" t="str">
        <f t="shared" si="18"/>
        <v>N/A</v>
      </c>
      <c r="P173" s="1901" t="s">
        <v>1546</v>
      </c>
      <c r="Q173" s="1900">
        <f>IF($E173="Logistics",VLOOKUP($P173,'Lower Cask Movement &amp; Logistics'!$C$4:$D$54,2,FALSE),"N/A")</f>
        <v>0.38</v>
      </c>
      <c r="R173" s="3380"/>
      <c r="S173" s="3481" t="str">
        <f>IFERROR(VLOOKUP($R173,'LowerCask Recovery Dependencies'!$C$75:$F$134,4,FALSE),"N/A")</f>
        <v>N/A</v>
      </c>
      <c r="T173" s="3482" t="str">
        <f t="shared" si="19"/>
        <v>N/A</v>
      </c>
      <c r="U173" s="1719"/>
      <c r="V173" s="1719"/>
      <c r="W173" s="1719"/>
      <c r="X173" s="1719"/>
      <c r="Y173" s="1719"/>
    </row>
    <row r="174" spans="2:25" s="88" customFormat="1" ht="15" hidden="1" outlineLevel="2" thickBot="1" x14ac:dyDescent="0.45">
      <c r="B174" s="1932"/>
      <c r="C174" s="3853"/>
      <c r="D174" s="1869" t="s">
        <v>1656</v>
      </c>
      <c r="E174" s="1918" t="s">
        <v>3</v>
      </c>
      <c r="F174" s="1295">
        <f t="shared" si="17"/>
        <v>2.3000000000000003</v>
      </c>
      <c r="G174" s="1343">
        <f t="shared" si="20"/>
        <v>122.51313161036462</v>
      </c>
      <c r="H174" s="839"/>
      <c r="I174" s="1345" t="s">
        <v>263</v>
      </c>
      <c r="J174" s="1869"/>
      <c r="K174" s="837"/>
      <c r="L174" s="837"/>
      <c r="M174" s="842" t="str">
        <f>IFERROR(INDEX('Lower Cask Movement &amp; Logistics'!$I$13:$O$19,MATCH($K174,'Lower Cask Movement &amp; Logistics'!$H$13:$H$19,0),MATCH($L174,'Lower Cask Movement &amp; Logistics'!$H$13:$H$19,0)),"N/A")</f>
        <v>N/A</v>
      </c>
      <c r="N174" s="1870" t="str">
        <f>IFERROR(VLOOKUP($J174,'Lower Cask Movement &amp; Logistics'!$H$4:$I$9,2,FALSE),"N/A")</f>
        <v>N/A</v>
      </c>
      <c r="O174" s="1919" t="str">
        <f t="shared" si="18"/>
        <v>N/A</v>
      </c>
      <c r="P174" s="1920" t="s">
        <v>1552</v>
      </c>
      <c r="Q174" s="1919">
        <f>IF($E174="Logistics",VLOOKUP($P174,'Lower Cask Movement &amp; Logistics'!$C$4:$D$54,2,FALSE),"N/A")</f>
        <v>2.3000000000000003</v>
      </c>
      <c r="R174" s="3382"/>
      <c r="S174" s="3488" t="str">
        <f>IFERROR(VLOOKUP($R174,'LowerCask Recovery Dependencies'!$C$75:$F$134,4,FALSE),"N/A")</f>
        <v>N/A</v>
      </c>
      <c r="T174" s="3473" t="str">
        <f t="shared" si="19"/>
        <v>N/A</v>
      </c>
      <c r="U174" s="1719"/>
      <c r="V174" s="1719"/>
      <c r="W174" s="1719"/>
      <c r="X174" s="1719"/>
      <c r="Y174" s="1719"/>
    </row>
    <row r="175" spans="2:25" s="88" customFormat="1" hidden="1" outlineLevel="2" x14ac:dyDescent="0.4">
      <c r="B175" s="1932"/>
      <c r="C175" s="3854" t="s">
        <v>1657</v>
      </c>
      <c r="D175" s="1638" t="s">
        <v>1619</v>
      </c>
      <c r="E175" s="1639" t="s">
        <v>3</v>
      </c>
      <c r="F175" s="1640">
        <f t="shared" si="17"/>
        <v>1.9</v>
      </c>
      <c r="G175" s="1940">
        <f t="shared" si="20"/>
        <v>124.41313161036463</v>
      </c>
      <c r="H175" s="1941"/>
      <c r="I175" s="1476" t="s">
        <v>263</v>
      </c>
      <c r="J175" s="1638"/>
      <c r="K175" s="1642"/>
      <c r="L175" s="1642"/>
      <c r="M175" s="1643" t="str">
        <f>IFERROR(INDEX('Lower Cask Movement &amp; Logistics'!$I$13:$O$19,MATCH($K175,'Lower Cask Movement &amp; Logistics'!$H$13:$H$19,0),MATCH($L175,'Lower Cask Movement &amp; Logistics'!$H$13:$H$19,0)),"N/A")</f>
        <v>N/A</v>
      </c>
      <c r="N175" s="1942" t="str">
        <f>IFERROR(VLOOKUP($J175,'Lower Cask Movement &amp; Logistics'!$H$4:$I$9,2,FALSE),"N/A")</f>
        <v>N/A</v>
      </c>
      <c r="O175" s="1943" t="str">
        <f t="shared" si="18"/>
        <v>N/A</v>
      </c>
      <c r="P175" s="1944" t="s">
        <v>1541</v>
      </c>
      <c r="Q175" s="1943">
        <f>IF($E175="Logistics",VLOOKUP($P175,'Lower Cask Movement &amp; Logistics'!$C$4:$D$54,2,FALSE),"N/A")</f>
        <v>1.9</v>
      </c>
      <c r="R175" s="3388" t="s">
        <v>1869</v>
      </c>
      <c r="S175" s="3498">
        <f>IFERROR(VLOOKUP($R175,'LowerCask Recovery Dependencies'!$C$75:$F$134,4,FALSE),"N/A")</f>
        <v>84.241506062074009</v>
      </c>
      <c r="T175" s="3499">
        <f t="shared" si="19"/>
        <v>38.271625548290615</v>
      </c>
      <c r="U175" s="1719"/>
      <c r="V175" s="1719"/>
      <c r="W175" s="1719"/>
      <c r="X175" s="1719"/>
      <c r="Y175" s="1719"/>
    </row>
    <row r="176" spans="2:25" s="88" customFormat="1" hidden="1" outlineLevel="2" x14ac:dyDescent="0.4">
      <c r="B176" s="1932"/>
      <c r="C176" s="3854"/>
      <c r="D176" s="1579" t="s">
        <v>1247</v>
      </c>
      <c r="E176" s="1611" t="s">
        <v>3</v>
      </c>
      <c r="F176" s="626">
        <f t="shared" si="17"/>
        <v>0.38</v>
      </c>
      <c r="G176" s="630">
        <f t="shared" si="20"/>
        <v>124.79313161036463</v>
      </c>
      <c r="H176" s="627"/>
      <c r="I176" s="632" t="s">
        <v>263</v>
      </c>
      <c r="J176" s="1579"/>
      <c r="K176" s="582"/>
      <c r="L176" s="582"/>
      <c r="M176" s="1478" t="str">
        <f>IFERROR(INDEX('Lower Cask Movement &amp; Logistics'!$I$13:$O$19,MATCH($K176,'Lower Cask Movement &amp; Logistics'!$H$13:$H$19,0),MATCH($L176,'Lower Cask Movement &amp; Logistics'!$H$13:$H$19,0)),"N/A")</f>
        <v>N/A</v>
      </c>
      <c r="N176" s="1878" t="str">
        <f>IFERROR(VLOOKUP($J176,'Lower Cask Movement &amp; Logistics'!$H$4:$I$9,2,FALSE),"N/A")</f>
        <v>N/A</v>
      </c>
      <c r="O176" s="1879" t="str">
        <f t="shared" si="18"/>
        <v>N/A</v>
      </c>
      <c r="P176" s="1880" t="s">
        <v>1544</v>
      </c>
      <c r="Q176" s="1879">
        <f>IF($E176="Logistics",VLOOKUP($P176,'Lower Cask Movement &amp; Logistics'!$C$4:$D$54,2,FALSE),"N/A")</f>
        <v>0.38</v>
      </c>
      <c r="R176" s="3377"/>
      <c r="S176" s="3476" t="str">
        <f>IFERROR(VLOOKUP($R176,'LowerCask Recovery Dependencies'!$C$75:$F$134,4,FALSE),"N/A")</f>
        <v>N/A</v>
      </c>
      <c r="T176" s="3477" t="str">
        <f t="shared" si="19"/>
        <v>N/A</v>
      </c>
      <c r="U176" s="1719"/>
      <c r="V176" s="1719"/>
      <c r="W176" s="1719"/>
      <c r="X176" s="1719"/>
      <c r="Y176" s="1719"/>
    </row>
    <row r="177" spans="2:25" s="88" customFormat="1" hidden="1" outlineLevel="2" x14ac:dyDescent="0.4">
      <c r="B177" s="1932"/>
      <c r="C177" s="3854"/>
      <c r="D177" s="1579" t="s">
        <v>1659</v>
      </c>
      <c r="E177" s="1611" t="s">
        <v>3</v>
      </c>
      <c r="F177" s="626">
        <f t="shared" si="17"/>
        <v>0.38</v>
      </c>
      <c r="G177" s="630">
        <f t="shared" si="20"/>
        <v>125.17313161036462</v>
      </c>
      <c r="H177" s="627"/>
      <c r="I177" s="632" t="s">
        <v>263</v>
      </c>
      <c r="J177" s="1579"/>
      <c r="K177" s="582"/>
      <c r="L177" s="582"/>
      <c r="M177" s="1478" t="str">
        <f>IFERROR(INDEX('Lower Cask Movement &amp; Logistics'!$I$13:$O$19,MATCH($K177,'Lower Cask Movement &amp; Logistics'!$H$13:$H$19,0),MATCH($L177,'Lower Cask Movement &amp; Logistics'!$H$13:$H$19,0)),"N/A")</f>
        <v>N/A</v>
      </c>
      <c r="N177" s="1878" t="str">
        <f>IFERROR(VLOOKUP($J177,'Lower Cask Movement &amp; Logistics'!$H$4:$I$9,2,FALSE),"N/A")</f>
        <v>N/A</v>
      </c>
      <c r="O177" s="1879" t="str">
        <f t="shared" si="18"/>
        <v>N/A</v>
      </c>
      <c r="P177" s="1880" t="s">
        <v>1544</v>
      </c>
      <c r="Q177" s="1879">
        <f>IF($E177="Logistics",VLOOKUP($P177,'Lower Cask Movement &amp; Logistics'!$C$4:$D$54,2,FALSE),"N/A")</f>
        <v>0.38</v>
      </c>
      <c r="R177" s="3377"/>
      <c r="S177" s="3476" t="str">
        <f>IFERROR(VLOOKUP($R177,'LowerCask Recovery Dependencies'!$C$75:$F$134,4,FALSE),"N/A")</f>
        <v>N/A</v>
      </c>
      <c r="T177" s="3477" t="str">
        <f t="shared" si="19"/>
        <v>N/A</v>
      </c>
      <c r="U177" s="1719"/>
      <c r="V177" s="1719"/>
      <c r="W177" s="1719"/>
      <c r="X177" s="1719"/>
      <c r="Y177" s="1719"/>
    </row>
    <row r="178" spans="2:25" s="88" customFormat="1" hidden="1" outlineLevel="2" x14ac:dyDescent="0.4">
      <c r="B178" s="1932"/>
      <c r="C178" s="3854"/>
      <c r="D178" s="1579" t="s">
        <v>1660</v>
      </c>
      <c r="E178" s="1611" t="s">
        <v>251</v>
      </c>
      <c r="F178" s="626">
        <f t="shared" si="17"/>
        <v>10.036332312998582</v>
      </c>
      <c r="G178" s="630">
        <f t="shared" si="20"/>
        <v>135.20946392336322</v>
      </c>
      <c r="H178" s="627" t="s">
        <v>450</v>
      </c>
      <c r="I178" s="632">
        <v>10.036332312998582</v>
      </c>
      <c r="J178" s="1579"/>
      <c r="K178" s="582"/>
      <c r="L178" s="582"/>
      <c r="M178" s="1478" t="str">
        <f>IFERROR(INDEX('Lower Cask Movement &amp; Logistics'!$I$13:$O$19,MATCH($K178,'Lower Cask Movement &amp; Logistics'!$H$13:$H$19,0),MATCH($L178,'Lower Cask Movement &amp; Logistics'!$H$13:$H$19,0)),"N/A")</f>
        <v>N/A</v>
      </c>
      <c r="N178" s="1878" t="str">
        <f>IFERROR(VLOOKUP($J178,'Lower Cask Movement &amp; Logistics'!$H$4:$I$9,2,FALSE),"N/A")</f>
        <v>N/A</v>
      </c>
      <c r="O178" s="1879" t="str">
        <f t="shared" si="18"/>
        <v>N/A</v>
      </c>
      <c r="P178" s="1880"/>
      <c r="Q178" s="1879" t="str">
        <f>IF($E178="Logistics",VLOOKUP($P178,'Lower Cask Movement &amp; Logistics'!$C$4:$D$54,2,FALSE),"N/A")</f>
        <v>N/A</v>
      </c>
      <c r="R178" s="3377" t="s">
        <v>1868</v>
      </c>
      <c r="S178" s="3476">
        <f>IFERROR(VLOOKUP($R178,'LowerCask Recovery Dependencies'!$C$75:$F$134,4,FALSE),"N/A")</f>
        <v>68.051691039594743</v>
      </c>
      <c r="T178" s="3477">
        <f t="shared" si="19"/>
        <v>57.121440570769877</v>
      </c>
      <c r="U178" s="1719"/>
      <c r="V178" s="1719"/>
      <c r="W178" s="1719"/>
      <c r="X178" s="1719"/>
      <c r="Y178" s="1719"/>
    </row>
    <row r="179" spans="2:25" s="88" customFormat="1" hidden="1" outlineLevel="2" x14ac:dyDescent="0.4">
      <c r="B179" s="1932"/>
      <c r="C179" s="3854"/>
      <c r="D179" s="1579" t="s">
        <v>1593</v>
      </c>
      <c r="E179" s="1611" t="s">
        <v>3</v>
      </c>
      <c r="F179" s="626">
        <f t="shared" si="17"/>
        <v>0.53</v>
      </c>
      <c r="G179" s="630">
        <f t="shared" si="20"/>
        <v>135.73946392336322</v>
      </c>
      <c r="H179" s="627"/>
      <c r="I179" s="632" t="s">
        <v>263</v>
      </c>
      <c r="J179" s="1579"/>
      <c r="K179" s="582"/>
      <c r="L179" s="582"/>
      <c r="M179" s="1478" t="str">
        <f>IFERROR(INDEX('Lower Cask Movement &amp; Logistics'!$I$13:$O$19,MATCH($K179,'Lower Cask Movement &amp; Logistics'!$H$13:$H$19,0),MATCH($L179,'Lower Cask Movement &amp; Logistics'!$H$13:$H$19,0)),"N/A")</f>
        <v>N/A</v>
      </c>
      <c r="N179" s="1878" t="str">
        <f>IFERROR(VLOOKUP($J179,'Lower Cask Movement &amp; Logistics'!$H$4:$I$9,2,FALSE),"N/A")</f>
        <v>N/A</v>
      </c>
      <c r="O179" s="1879" t="str">
        <f t="shared" si="18"/>
        <v>N/A</v>
      </c>
      <c r="P179" s="1880" t="s">
        <v>1558</v>
      </c>
      <c r="Q179" s="1879">
        <f>IF($E179="Logistics",VLOOKUP($P179,'Lower Cask Movement &amp; Logistics'!$C$4:$D$54,2,FALSE),"N/A")</f>
        <v>0.53</v>
      </c>
      <c r="R179" s="3377"/>
      <c r="S179" s="3476" t="str">
        <f>IFERROR(VLOOKUP($R179,'LowerCask Recovery Dependencies'!$C$75:$F$134,4,FALSE),"N/A")</f>
        <v>N/A</v>
      </c>
      <c r="T179" s="3477" t="str">
        <f t="shared" si="19"/>
        <v>N/A</v>
      </c>
      <c r="U179" s="1719"/>
      <c r="V179" s="1719"/>
      <c r="W179" s="1719"/>
      <c r="X179" s="1719"/>
      <c r="Y179" s="1719"/>
    </row>
    <row r="180" spans="2:25" s="88" customFormat="1" hidden="1" outlineLevel="2" x14ac:dyDescent="0.4">
      <c r="B180" s="1932"/>
      <c r="C180" s="3854"/>
      <c r="D180" s="1579" t="s">
        <v>1661</v>
      </c>
      <c r="E180" s="1611" t="s">
        <v>3</v>
      </c>
      <c r="F180" s="626">
        <f t="shared" si="17"/>
        <v>0.38</v>
      </c>
      <c r="G180" s="630">
        <f t="shared" si="20"/>
        <v>136.11946392336321</v>
      </c>
      <c r="H180" s="627"/>
      <c r="I180" s="632" t="s">
        <v>263</v>
      </c>
      <c r="J180" s="1579"/>
      <c r="K180" s="582"/>
      <c r="L180" s="582"/>
      <c r="M180" s="1478" t="str">
        <f>IFERROR(INDEX('Lower Cask Movement &amp; Logistics'!$I$13:$O$19,MATCH($K180,'Lower Cask Movement &amp; Logistics'!$H$13:$H$19,0),MATCH($L180,'Lower Cask Movement &amp; Logistics'!$H$13:$H$19,0)),"N/A")</f>
        <v>N/A</v>
      </c>
      <c r="N180" s="1878" t="str">
        <f>IFERROR(VLOOKUP($J180,'Lower Cask Movement &amp; Logistics'!$H$4:$I$9,2,FALSE),"N/A")</f>
        <v>N/A</v>
      </c>
      <c r="O180" s="1879" t="str">
        <f t="shared" si="18"/>
        <v>N/A</v>
      </c>
      <c r="P180" s="1880" t="s">
        <v>1544</v>
      </c>
      <c r="Q180" s="1879">
        <f>IF($E180="Logistics",VLOOKUP($P180,'Lower Cask Movement &amp; Logistics'!$C$4:$D$54,2,FALSE),"N/A")</f>
        <v>0.38</v>
      </c>
      <c r="R180" s="3377"/>
      <c r="S180" s="3476" t="str">
        <f>IFERROR(VLOOKUP($R180,'LowerCask Recovery Dependencies'!$C$75:$F$134,4,FALSE),"N/A")</f>
        <v>N/A</v>
      </c>
      <c r="T180" s="3477" t="str">
        <f t="shared" si="19"/>
        <v>N/A</v>
      </c>
      <c r="U180" s="1719"/>
      <c r="V180" s="1719"/>
      <c r="W180" s="1719"/>
      <c r="X180" s="1719"/>
      <c r="Y180" s="1719"/>
    </row>
    <row r="181" spans="2:25" s="88" customFormat="1" hidden="1" outlineLevel="2" x14ac:dyDescent="0.4">
      <c r="B181" s="1932"/>
      <c r="C181" s="3854"/>
      <c r="D181" s="1579" t="s">
        <v>1662</v>
      </c>
      <c r="E181" s="1611" t="s">
        <v>251</v>
      </c>
      <c r="F181" s="626">
        <f t="shared" si="17"/>
        <v>10.036332312998582</v>
      </c>
      <c r="G181" s="630">
        <f t="shared" si="20"/>
        <v>146.15579623636179</v>
      </c>
      <c r="H181" s="627" t="s">
        <v>450</v>
      </c>
      <c r="I181" s="632">
        <v>10.036332312998582</v>
      </c>
      <c r="J181" s="1579"/>
      <c r="K181" s="582"/>
      <c r="L181" s="582"/>
      <c r="M181" s="1478" t="str">
        <f>IFERROR(INDEX('Lower Cask Movement &amp; Logistics'!$I$13:$O$19,MATCH($K181,'Lower Cask Movement &amp; Logistics'!$H$13:$H$19,0),MATCH($L181,'Lower Cask Movement &amp; Logistics'!$H$13:$H$19,0)),"N/A")</f>
        <v>N/A</v>
      </c>
      <c r="N181" s="1878" t="str">
        <f>IFERROR(VLOOKUP($J181,'Lower Cask Movement &amp; Logistics'!$H$4:$I$9,2,FALSE),"N/A")</f>
        <v>N/A</v>
      </c>
      <c r="O181" s="1879" t="str">
        <f t="shared" si="18"/>
        <v>N/A</v>
      </c>
      <c r="P181" s="1880"/>
      <c r="Q181" s="1879" t="str">
        <f>IF($E181="Logistics",VLOOKUP($P181,'Lower Cask Movement &amp; Logistics'!$C$4:$D$54,2,FALSE),"N/A")</f>
        <v>N/A</v>
      </c>
      <c r="R181" s="3377" t="s">
        <v>1867</v>
      </c>
      <c r="S181" s="3476">
        <f>IFERROR(VLOOKUP($R181,'LowerCask Recovery Dependencies'!$C$75:$F$134,4,FALSE),"N/A")</f>
        <v>63.652246595150302</v>
      </c>
      <c r="T181" s="3477">
        <f t="shared" si="19"/>
        <v>72.467217328212911</v>
      </c>
      <c r="U181" s="1719"/>
      <c r="V181" s="1719"/>
      <c r="W181" s="1719"/>
      <c r="X181" s="1719"/>
      <c r="Y181" s="1719"/>
    </row>
    <row r="182" spans="2:25" s="88" customFormat="1" hidden="1" outlineLevel="2" x14ac:dyDescent="0.4">
      <c r="B182" s="1932"/>
      <c r="C182" s="3854"/>
      <c r="D182" s="1579" t="s">
        <v>1599</v>
      </c>
      <c r="E182" s="1611" t="s">
        <v>3</v>
      </c>
      <c r="F182" s="626">
        <f t="shared" si="17"/>
        <v>0.38</v>
      </c>
      <c r="G182" s="630">
        <f t="shared" si="20"/>
        <v>146.53579623636179</v>
      </c>
      <c r="H182" s="627"/>
      <c r="I182" s="632" t="s">
        <v>263</v>
      </c>
      <c r="J182" s="1579"/>
      <c r="K182" s="582"/>
      <c r="L182" s="582"/>
      <c r="M182" s="1478" t="str">
        <f>IFERROR(INDEX('Lower Cask Movement &amp; Logistics'!$I$13:$O$19,MATCH($K182,'Lower Cask Movement &amp; Logistics'!$H$13:$H$19,0),MATCH($L182,'Lower Cask Movement &amp; Logistics'!$H$13:$H$19,0)),"N/A")</f>
        <v>N/A</v>
      </c>
      <c r="N182" s="1878" t="str">
        <f>IFERROR(VLOOKUP($J182,'Lower Cask Movement &amp; Logistics'!$H$4:$I$9,2,FALSE),"N/A")</f>
        <v>N/A</v>
      </c>
      <c r="O182" s="1879" t="str">
        <f t="shared" si="18"/>
        <v>N/A</v>
      </c>
      <c r="P182" s="1880" t="s">
        <v>1546</v>
      </c>
      <c r="Q182" s="1879">
        <f>IF($E182="Logistics",VLOOKUP($P182,'Lower Cask Movement &amp; Logistics'!$C$4:$D$54,2,FALSE),"N/A")</f>
        <v>0.38</v>
      </c>
      <c r="R182" s="3377"/>
      <c r="S182" s="3476" t="str">
        <f>IFERROR(VLOOKUP($R182,'LowerCask Recovery Dependencies'!$C$75:$F$134,4,FALSE),"N/A")</f>
        <v>N/A</v>
      </c>
      <c r="T182" s="3477" t="str">
        <f t="shared" si="19"/>
        <v>N/A</v>
      </c>
      <c r="U182" s="1719"/>
      <c r="V182" s="1719"/>
      <c r="W182" s="1719"/>
      <c r="X182" s="1719"/>
      <c r="Y182" s="1719"/>
    </row>
    <row r="183" spans="2:25" s="88" customFormat="1" hidden="1" outlineLevel="2" x14ac:dyDescent="0.4">
      <c r="B183" s="1932"/>
      <c r="C183" s="3854"/>
      <c r="D183" s="1579" t="s">
        <v>1590</v>
      </c>
      <c r="E183" s="1611" t="s">
        <v>3</v>
      </c>
      <c r="F183" s="626">
        <f t="shared" si="17"/>
        <v>0.38</v>
      </c>
      <c r="G183" s="630">
        <f t="shared" si="20"/>
        <v>146.91579623636179</v>
      </c>
      <c r="H183" s="627"/>
      <c r="I183" s="632" t="s">
        <v>263</v>
      </c>
      <c r="J183" s="1579"/>
      <c r="K183" s="582"/>
      <c r="L183" s="582"/>
      <c r="M183" s="1478" t="str">
        <f>IFERROR(INDEX('Lower Cask Movement &amp; Logistics'!$I$13:$O$19,MATCH($K183,'Lower Cask Movement &amp; Logistics'!$H$13:$H$19,0),MATCH($L183,'Lower Cask Movement &amp; Logistics'!$H$13:$H$19,0)),"N/A")</f>
        <v>N/A</v>
      </c>
      <c r="N183" s="1878" t="str">
        <f>IFERROR(VLOOKUP($J183,'Lower Cask Movement &amp; Logistics'!$H$4:$I$9,2,FALSE),"N/A")</f>
        <v>N/A</v>
      </c>
      <c r="O183" s="1879" t="str">
        <f t="shared" si="18"/>
        <v>N/A</v>
      </c>
      <c r="P183" s="1880" t="s">
        <v>1546</v>
      </c>
      <c r="Q183" s="1879">
        <f>IF($E183="Logistics",VLOOKUP($P183,'Lower Cask Movement &amp; Logistics'!$C$4:$D$54,2,FALSE),"N/A")</f>
        <v>0.38</v>
      </c>
      <c r="R183" s="3377"/>
      <c r="S183" s="3476" t="str">
        <f>IFERROR(VLOOKUP($R183,'LowerCask Recovery Dependencies'!$C$75:$F$134,4,FALSE),"N/A")</f>
        <v>N/A</v>
      </c>
      <c r="T183" s="3477" t="str">
        <f t="shared" si="19"/>
        <v>N/A</v>
      </c>
      <c r="U183" s="1719"/>
      <c r="V183" s="1719"/>
      <c r="W183" s="1719"/>
      <c r="X183" s="1719"/>
      <c r="Y183" s="1719"/>
    </row>
    <row r="184" spans="2:25" s="88" customFormat="1" ht="15" hidden="1" outlineLevel="2" thickBot="1" x14ac:dyDescent="0.45">
      <c r="B184" s="1932"/>
      <c r="C184" s="3854"/>
      <c r="D184" s="1579" t="s">
        <v>1663</v>
      </c>
      <c r="E184" s="1611" t="s">
        <v>3</v>
      </c>
      <c r="F184" s="626">
        <f t="shared" si="17"/>
        <v>2.3000000000000003</v>
      </c>
      <c r="G184" s="630">
        <f t="shared" si="20"/>
        <v>149.2157962363618</v>
      </c>
      <c r="H184" s="627"/>
      <c r="I184" s="632" t="s">
        <v>263</v>
      </c>
      <c r="J184" s="1579"/>
      <c r="K184" s="582"/>
      <c r="L184" s="582"/>
      <c r="M184" s="1478" t="str">
        <f>IFERROR(INDEX('Lower Cask Movement &amp; Logistics'!$I$13:$O$19,MATCH($K184,'Lower Cask Movement &amp; Logistics'!$H$13:$H$19,0),MATCH($L184,'Lower Cask Movement &amp; Logistics'!$H$13:$H$19,0)),"N/A")</f>
        <v>N/A</v>
      </c>
      <c r="N184" s="1878" t="str">
        <f>IFERROR(VLOOKUP($J184,'Lower Cask Movement &amp; Logistics'!$H$4:$I$9,2,FALSE),"N/A")</f>
        <v>N/A</v>
      </c>
      <c r="O184" s="1879" t="str">
        <f t="shared" si="18"/>
        <v>N/A</v>
      </c>
      <c r="P184" s="1880" t="s">
        <v>1552</v>
      </c>
      <c r="Q184" s="1879">
        <f>IF($E184="Logistics",VLOOKUP($P184,'Lower Cask Movement &amp; Logistics'!$C$4:$D$54,2,FALSE),"N/A")</f>
        <v>2.3000000000000003</v>
      </c>
      <c r="R184" s="3377"/>
      <c r="S184" s="3476" t="str">
        <f>IFERROR(VLOOKUP($R184,'LowerCask Recovery Dependencies'!$C$75:$F$134,4,FALSE),"N/A")</f>
        <v>N/A</v>
      </c>
      <c r="T184" s="3477" t="str">
        <f t="shared" si="19"/>
        <v>N/A</v>
      </c>
      <c r="U184" s="1719"/>
      <c r="V184" s="1719"/>
      <c r="W184" s="1719"/>
      <c r="X184" s="1719"/>
      <c r="Y184" s="1719"/>
    </row>
    <row r="185" spans="2:25" s="88" customFormat="1" hidden="1" outlineLevel="2" x14ac:dyDescent="0.4">
      <c r="B185" s="1932"/>
      <c r="C185" s="3857" t="s">
        <v>1877</v>
      </c>
      <c r="D185" s="1906" t="s">
        <v>1619</v>
      </c>
      <c r="E185" s="1907" t="s">
        <v>3</v>
      </c>
      <c r="F185" s="1739">
        <f t="shared" si="17"/>
        <v>1.9</v>
      </c>
      <c r="G185" s="1908">
        <f t="shared" si="20"/>
        <v>151.1157962363618</v>
      </c>
      <c r="H185" s="1909"/>
      <c r="I185" s="1910" t="s">
        <v>263</v>
      </c>
      <c r="J185" s="1906"/>
      <c r="K185" s="1911"/>
      <c r="L185" s="1911"/>
      <c r="M185" s="1912" t="str">
        <f>IFERROR(INDEX('Lower Cask Movement &amp; Logistics'!$I$13:$O$19,MATCH($K185,'Lower Cask Movement &amp; Logistics'!$H$13:$H$19,0),MATCH($L185,'Lower Cask Movement &amp; Logistics'!$H$13:$H$19,0)),"N/A")</f>
        <v>N/A</v>
      </c>
      <c r="N185" s="1913" t="str">
        <f>IFERROR(VLOOKUP($J185,'Lower Cask Movement &amp; Logistics'!$H$4:$I$9,2,FALSE),"N/A")</f>
        <v>N/A</v>
      </c>
      <c r="O185" s="1914" t="str">
        <f t="shared" si="18"/>
        <v>N/A</v>
      </c>
      <c r="P185" s="1915" t="s">
        <v>1541</v>
      </c>
      <c r="Q185" s="1914">
        <f>IF($E185="Logistics",VLOOKUP($P185,'Lower Cask Movement &amp; Logistics'!$C$4:$D$54,2,FALSE),"N/A")</f>
        <v>1.9</v>
      </c>
      <c r="R185" s="3381" t="s">
        <v>1869</v>
      </c>
      <c r="S185" s="3486">
        <f>IFERROR(VLOOKUP($R185,'LowerCask Recovery Dependencies'!$C$75:$F$134,4,FALSE),"N/A")</f>
        <v>84.241506062074009</v>
      </c>
      <c r="T185" s="3487">
        <f t="shared" si="19"/>
        <v>64.974290174287788</v>
      </c>
      <c r="U185" s="1719"/>
      <c r="V185" s="1719"/>
      <c r="W185" s="1719"/>
      <c r="X185" s="1719"/>
      <c r="Y185" s="1719"/>
    </row>
    <row r="186" spans="2:25" s="88" customFormat="1" hidden="1" outlineLevel="2" x14ac:dyDescent="0.4">
      <c r="B186" s="1932"/>
      <c r="C186" s="3858"/>
      <c r="D186" s="1895" t="s">
        <v>1247</v>
      </c>
      <c r="E186" s="1896" t="s">
        <v>3</v>
      </c>
      <c r="F186" s="1347">
        <f t="shared" si="17"/>
        <v>0.38</v>
      </c>
      <c r="G186" s="1351">
        <f t="shared" si="20"/>
        <v>151.4957962363618</v>
      </c>
      <c r="H186" s="1348"/>
      <c r="I186" s="1353" t="s">
        <v>263</v>
      </c>
      <c r="J186" s="1895"/>
      <c r="K186" s="1897"/>
      <c r="L186" s="1897"/>
      <c r="M186" s="1898" t="str">
        <f>IFERROR(INDEX('Lower Cask Movement &amp; Logistics'!$I$13:$O$19,MATCH($K186,'Lower Cask Movement &amp; Logistics'!$H$13:$H$19,0),MATCH($L186,'Lower Cask Movement &amp; Logistics'!$H$13:$H$19,0)),"N/A")</f>
        <v>N/A</v>
      </c>
      <c r="N186" s="1899" t="str">
        <f>IFERROR(VLOOKUP($J186,'Lower Cask Movement &amp; Logistics'!$H$4:$I$9,2,FALSE),"N/A")</f>
        <v>N/A</v>
      </c>
      <c r="O186" s="1900" t="str">
        <f t="shared" si="18"/>
        <v>N/A</v>
      </c>
      <c r="P186" s="1901" t="s">
        <v>1544</v>
      </c>
      <c r="Q186" s="1900">
        <f>IF($E186="Logistics",VLOOKUP($P186,'Lower Cask Movement &amp; Logistics'!$C$4:$D$54,2,FALSE),"N/A")</f>
        <v>0.38</v>
      </c>
      <c r="R186" s="3380"/>
      <c r="S186" s="3481" t="str">
        <f>IFERROR(VLOOKUP($R186,'LowerCask Recovery Dependencies'!$C$75:$F$134,4,FALSE),"N/A")</f>
        <v>N/A</v>
      </c>
      <c r="T186" s="3482" t="str">
        <f t="shared" si="19"/>
        <v>N/A</v>
      </c>
      <c r="U186" s="1719"/>
      <c r="V186" s="1719"/>
      <c r="W186" s="1719"/>
      <c r="X186" s="1719"/>
      <c r="Y186" s="1719"/>
    </row>
    <row r="187" spans="2:25" s="88" customFormat="1" hidden="1" outlineLevel="2" x14ac:dyDescent="0.4">
      <c r="B187" s="1932"/>
      <c r="C187" s="3858"/>
      <c r="D187" s="1895" t="s">
        <v>1666</v>
      </c>
      <c r="E187" s="1896" t="s">
        <v>3</v>
      </c>
      <c r="F187" s="1347">
        <f t="shared" si="17"/>
        <v>0.38</v>
      </c>
      <c r="G187" s="1351">
        <f t="shared" si="20"/>
        <v>151.87579623636179</v>
      </c>
      <c r="H187" s="1348"/>
      <c r="I187" s="1353" t="s">
        <v>263</v>
      </c>
      <c r="J187" s="1895"/>
      <c r="K187" s="1897"/>
      <c r="L187" s="1897"/>
      <c r="M187" s="1898" t="str">
        <f>IFERROR(INDEX('Lower Cask Movement &amp; Logistics'!$I$13:$O$19,MATCH($K187,'Lower Cask Movement &amp; Logistics'!$H$13:$H$19,0),MATCH($L187,'Lower Cask Movement &amp; Logistics'!$H$13:$H$19,0)),"N/A")</f>
        <v>N/A</v>
      </c>
      <c r="N187" s="1899" t="str">
        <f>IFERROR(VLOOKUP($J187,'Lower Cask Movement &amp; Logistics'!$H$4:$I$9,2,FALSE),"N/A")</f>
        <v>N/A</v>
      </c>
      <c r="O187" s="1900" t="str">
        <f t="shared" si="18"/>
        <v>N/A</v>
      </c>
      <c r="P187" s="1901" t="s">
        <v>1544</v>
      </c>
      <c r="Q187" s="1900">
        <f>IF($E187="Logistics",VLOOKUP($P187,'Lower Cask Movement &amp; Logistics'!$C$4:$D$54,2,FALSE),"N/A")</f>
        <v>0.38</v>
      </c>
      <c r="R187" s="3380"/>
      <c r="S187" s="3481" t="str">
        <f>IFERROR(VLOOKUP($R187,'LowerCask Recovery Dependencies'!$C$75:$F$134,4,FALSE),"N/A")</f>
        <v>N/A</v>
      </c>
      <c r="T187" s="3482" t="str">
        <f t="shared" si="19"/>
        <v>N/A</v>
      </c>
      <c r="U187" s="1719"/>
      <c r="V187" s="1719"/>
      <c r="W187" s="1719"/>
      <c r="X187" s="1719"/>
      <c r="Y187" s="1719"/>
    </row>
    <row r="188" spans="2:25" s="88" customFormat="1" hidden="1" outlineLevel="2" x14ac:dyDescent="0.4">
      <c r="B188" s="1932"/>
      <c r="C188" s="3858"/>
      <c r="D188" s="1895" t="s">
        <v>1667</v>
      </c>
      <c r="E188" s="1896" t="s">
        <v>251</v>
      </c>
      <c r="F188" s="1347">
        <f t="shared" si="17"/>
        <v>10.036332312998582</v>
      </c>
      <c r="G188" s="1351">
        <f t="shared" si="20"/>
        <v>161.91212854936038</v>
      </c>
      <c r="H188" s="1348" t="s">
        <v>450</v>
      </c>
      <c r="I188" s="1353">
        <v>10.036332312998582</v>
      </c>
      <c r="J188" s="1895"/>
      <c r="K188" s="1897"/>
      <c r="L188" s="1897"/>
      <c r="M188" s="1898" t="str">
        <f>IFERROR(INDEX('Lower Cask Movement &amp; Logistics'!$I$13:$O$19,MATCH($K188,'Lower Cask Movement &amp; Logistics'!$H$13:$H$19,0),MATCH($L188,'Lower Cask Movement &amp; Logistics'!$H$13:$H$19,0)),"N/A")</f>
        <v>N/A</v>
      </c>
      <c r="N188" s="1899" t="str">
        <f>IFERROR(VLOOKUP($J188,'Lower Cask Movement &amp; Logistics'!$H$4:$I$9,2,FALSE),"N/A")</f>
        <v>N/A</v>
      </c>
      <c r="O188" s="1900" t="str">
        <f t="shared" si="18"/>
        <v>N/A</v>
      </c>
      <c r="P188" s="1901"/>
      <c r="Q188" s="1900" t="str">
        <f>IF($E188="Logistics",VLOOKUP($P188,'Lower Cask Movement &amp; Logistics'!$C$4:$D$54,2,FALSE),"N/A")</f>
        <v>N/A</v>
      </c>
      <c r="R188" s="3380" t="s">
        <v>1871</v>
      </c>
      <c r="S188" s="3481">
        <f>IFERROR(VLOOKUP($R188,'LowerCask Recovery Dependencies'!$C$75:$F$134,4,FALSE),"N/A")</f>
        <v>72.451135484039185</v>
      </c>
      <c r="T188" s="3482">
        <f t="shared" si="19"/>
        <v>79.424660752322609</v>
      </c>
      <c r="U188" s="1719"/>
      <c r="V188" s="1719"/>
      <c r="W188" s="1719"/>
      <c r="X188" s="1719"/>
      <c r="Y188" s="1719"/>
    </row>
    <row r="189" spans="2:25" s="88" customFormat="1" hidden="1" outlineLevel="2" x14ac:dyDescent="0.4">
      <c r="B189" s="1932"/>
      <c r="C189" s="3858"/>
      <c r="D189" s="1895" t="s">
        <v>1669</v>
      </c>
      <c r="E189" s="1896" t="s">
        <v>3</v>
      </c>
      <c r="F189" s="1347">
        <f t="shared" si="17"/>
        <v>0.38</v>
      </c>
      <c r="G189" s="1351">
        <f t="shared" si="20"/>
        <v>162.29212854936037</v>
      </c>
      <c r="H189" s="1348"/>
      <c r="I189" s="1353" t="s">
        <v>263</v>
      </c>
      <c r="J189" s="1895"/>
      <c r="K189" s="1897"/>
      <c r="L189" s="1897"/>
      <c r="M189" s="1898" t="str">
        <f>IFERROR(INDEX('Lower Cask Movement &amp; Logistics'!$I$13:$O$19,MATCH($K189,'Lower Cask Movement &amp; Logistics'!$H$13:$H$19,0),MATCH($L189,'Lower Cask Movement &amp; Logistics'!$H$13:$H$19,0)),"N/A")</f>
        <v>N/A</v>
      </c>
      <c r="N189" s="1899" t="str">
        <f>IFERROR(VLOOKUP($J189,'Lower Cask Movement &amp; Logistics'!$H$4:$I$9,2,FALSE),"N/A")</f>
        <v>N/A</v>
      </c>
      <c r="O189" s="1900" t="str">
        <f t="shared" si="18"/>
        <v>N/A</v>
      </c>
      <c r="P189" s="1901" t="s">
        <v>1544</v>
      </c>
      <c r="Q189" s="1900">
        <f>IF($E189="Logistics",VLOOKUP($P189,'Lower Cask Movement &amp; Logistics'!$C$4:$D$54,2,FALSE),"N/A")</f>
        <v>0.38</v>
      </c>
      <c r="R189" s="3380"/>
      <c r="S189" s="3481" t="str">
        <f>IFERROR(VLOOKUP($R189,'LowerCask Recovery Dependencies'!$C$75:$F$134,4,FALSE),"N/A")</f>
        <v>N/A</v>
      </c>
      <c r="T189" s="3482" t="str">
        <f t="shared" si="19"/>
        <v>N/A</v>
      </c>
      <c r="U189" s="1719"/>
      <c r="V189" s="1719"/>
      <c r="W189" s="1719"/>
      <c r="X189" s="1719"/>
      <c r="Y189" s="1719"/>
    </row>
    <row r="190" spans="2:25" s="88" customFormat="1" hidden="1" outlineLevel="2" x14ac:dyDescent="0.4">
      <c r="B190" s="1932"/>
      <c r="C190" s="3858"/>
      <c r="D190" s="1895" t="s">
        <v>1670</v>
      </c>
      <c r="E190" s="1896" t="s">
        <v>3</v>
      </c>
      <c r="F190" s="1347">
        <f t="shared" si="17"/>
        <v>0.53</v>
      </c>
      <c r="G190" s="1351">
        <f t="shared" si="20"/>
        <v>162.82212854936037</v>
      </c>
      <c r="H190" s="1348"/>
      <c r="I190" s="1353" t="s">
        <v>263</v>
      </c>
      <c r="J190" s="1895"/>
      <c r="K190" s="1897"/>
      <c r="L190" s="1897"/>
      <c r="M190" s="1898" t="str">
        <f>IFERROR(INDEX('Lower Cask Movement &amp; Logistics'!$I$13:$O$19,MATCH($K190,'Lower Cask Movement &amp; Logistics'!$H$13:$H$19,0),MATCH($L190,'Lower Cask Movement &amp; Logistics'!$H$13:$H$19,0)),"N/A")</f>
        <v>N/A</v>
      </c>
      <c r="N190" s="1899" t="str">
        <f>IFERROR(VLOOKUP($J190,'Lower Cask Movement &amp; Logistics'!$H$4:$I$9,2,FALSE),"N/A")</f>
        <v>N/A</v>
      </c>
      <c r="O190" s="1900" t="str">
        <f t="shared" si="18"/>
        <v>N/A</v>
      </c>
      <c r="P190" s="1901" t="s">
        <v>1558</v>
      </c>
      <c r="Q190" s="1900">
        <f>IF($E190="Logistics",VLOOKUP($P190,'Lower Cask Movement &amp; Logistics'!$C$4:$D$54,2,FALSE),"N/A")</f>
        <v>0.53</v>
      </c>
      <c r="R190" s="3380"/>
      <c r="S190" s="3481" t="str">
        <f>IFERROR(VLOOKUP($R190,'LowerCask Recovery Dependencies'!$C$75:$F$134,4,FALSE),"N/A")</f>
        <v>N/A</v>
      </c>
      <c r="T190" s="3482" t="str">
        <f t="shared" si="19"/>
        <v>N/A</v>
      </c>
      <c r="U190" s="1719"/>
      <c r="V190" s="1719"/>
      <c r="W190" s="1719"/>
      <c r="X190" s="1719"/>
      <c r="Y190" s="1719"/>
    </row>
    <row r="191" spans="2:25" s="88" customFormat="1" hidden="1" outlineLevel="2" x14ac:dyDescent="0.4">
      <c r="B191" s="1932"/>
      <c r="C191" s="3858"/>
      <c r="D191" s="1895" t="s">
        <v>1186</v>
      </c>
      <c r="E191" s="1896" t="s">
        <v>251</v>
      </c>
      <c r="F191" s="1347">
        <f t="shared" si="17"/>
        <v>10.036332312998582</v>
      </c>
      <c r="G191" s="1351">
        <f t="shared" si="20"/>
        <v>172.85846086235895</v>
      </c>
      <c r="H191" s="1348" t="s">
        <v>450</v>
      </c>
      <c r="I191" s="1353">
        <v>10.036332312998582</v>
      </c>
      <c r="J191" s="1895"/>
      <c r="K191" s="1897"/>
      <c r="L191" s="1897"/>
      <c r="M191" s="1898" t="str">
        <f>IFERROR(INDEX('Lower Cask Movement &amp; Logistics'!$I$13:$O$19,MATCH($K191,'Lower Cask Movement &amp; Logistics'!$H$13:$H$19,0),MATCH($L191,'Lower Cask Movement &amp; Logistics'!$H$13:$H$19,0)),"N/A")</f>
        <v>N/A</v>
      </c>
      <c r="N191" s="1899" t="str">
        <f>IFERROR(VLOOKUP($J191,'Lower Cask Movement &amp; Logistics'!$H$4:$I$9,2,FALSE),"N/A")</f>
        <v>N/A</v>
      </c>
      <c r="O191" s="1900" t="str">
        <f t="shared" si="18"/>
        <v>N/A</v>
      </c>
      <c r="P191" s="1901"/>
      <c r="Q191" s="1900" t="str">
        <f>IF($E191="Logistics",VLOOKUP($P191,'Lower Cask Movement &amp; Logistics'!$C$4:$D$54,2,FALSE),"N/A")</f>
        <v>N/A</v>
      </c>
      <c r="R191" s="3380" t="s">
        <v>1872</v>
      </c>
      <c r="S191" s="3481">
        <f>IFERROR(VLOOKUP($R191,'LowerCask Recovery Dependencies'!$C$75:$F$134,4,FALSE),"N/A")</f>
        <v>78.260579928483622</v>
      </c>
      <c r="T191" s="3482">
        <f t="shared" si="19"/>
        <v>84.561548620876749</v>
      </c>
      <c r="U191" s="1719"/>
      <c r="V191" s="1719"/>
      <c r="W191" s="1719"/>
      <c r="X191" s="1719"/>
      <c r="Y191" s="1719"/>
    </row>
    <row r="192" spans="2:25" s="88" customFormat="1" ht="15" hidden="1" outlineLevel="2" thickBot="1" x14ac:dyDescent="0.45">
      <c r="B192" s="1932"/>
      <c r="C192" s="3859"/>
      <c r="D192" s="1869" t="s">
        <v>1599</v>
      </c>
      <c r="E192" s="1918" t="s">
        <v>3</v>
      </c>
      <c r="F192" s="1295">
        <f t="shared" si="17"/>
        <v>0.38</v>
      </c>
      <c r="G192" s="1343">
        <f t="shared" si="20"/>
        <v>173.23846086235895</v>
      </c>
      <c r="H192" s="839"/>
      <c r="I192" s="1345" t="s">
        <v>263</v>
      </c>
      <c r="J192" s="1869"/>
      <c r="K192" s="837"/>
      <c r="L192" s="837"/>
      <c r="M192" s="842" t="str">
        <f>IFERROR(INDEX('Lower Cask Movement &amp; Logistics'!$I$13:$O$19,MATCH($K192,'Lower Cask Movement &amp; Logistics'!$H$13:$H$19,0),MATCH($L192,'Lower Cask Movement &amp; Logistics'!$H$13:$H$19,0)),"N/A")</f>
        <v>N/A</v>
      </c>
      <c r="N192" s="1870" t="str">
        <f>IFERROR(VLOOKUP($J192,'Lower Cask Movement &amp; Logistics'!$H$4:$I$9,2,FALSE),"N/A")</f>
        <v>N/A</v>
      </c>
      <c r="O192" s="1919" t="str">
        <f t="shared" si="18"/>
        <v>N/A</v>
      </c>
      <c r="P192" s="1920" t="s">
        <v>1546</v>
      </c>
      <c r="Q192" s="1919">
        <f>IF($E192="Logistics",VLOOKUP($P192,'Lower Cask Movement &amp; Logistics'!$C$4:$D$54,2,FALSE),"N/A")</f>
        <v>0.38</v>
      </c>
      <c r="R192" s="3382"/>
      <c r="S192" s="3488" t="str">
        <f>IFERROR(VLOOKUP($R192,'LowerCask Recovery Dependencies'!$C$75:$F$134,4,FALSE),"N/A")</f>
        <v>N/A</v>
      </c>
      <c r="T192" s="3473" t="str">
        <f t="shared" si="19"/>
        <v>N/A</v>
      </c>
      <c r="U192" s="1719"/>
      <c r="V192" s="1719"/>
      <c r="W192" s="1719"/>
      <c r="X192" s="1719"/>
      <c r="Y192" s="1719"/>
    </row>
    <row r="193" spans="1:28" s="8" customFormat="1" hidden="1" outlineLevel="1" x14ac:dyDescent="0.4">
      <c r="A193"/>
      <c r="B193" s="1932"/>
      <c r="C193" s="1923"/>
      <c r="D193" s="892"/>
      <c r="E193" s="1439" t="s">
        <v>11</v>
      </c>
      <c r="F193" s="1439"/>
      <c r="G193" s="894">
        <f>G192</f>
        <v>173.23846086235895</v>
      </c>
      <c r="H193" s="94"/>
      <c r="I193" s="895"/>
      <c r="J193" s="94"/>
      <c r="K193" s="94"/>
      <c r="L193" s="896"/>
      <c r="M193" s="897"/>
      <c r="N193" s="897"/>
      <c r="O193" s="894"/>
      <c r="P193" s="94"/>
      <c r="Q193" s="897"/>
      <c r="R193" s="3383"/>
      <c r="S193" s="3489"/>
      <c r="T193" s="3489"/>
      <c r="U193" s="2424"/>
      <c r="V193" s="2424"/>
      <c r="W193" s="2424"/>
      <c r="X193" s="3434"/>
      <c r="Y193" s="3434"/>
    </row>
    <row r="194" spans="1:28" s="8" customFormat="1" hidden="1" outlineLevel="1" x14ac:dyDescent="0.4">
      <c r="A194"/>
      <c r="B194" s="1932"/>
      <c r="C194" s="1923"/>
      <c r="D194" s="892"/>
      <c r="E194" s="898"/>
      <c r="F194" s="894"/>
      <c r="G194" s="894"/>
      <c r="H194" s="94"/>
      <c r="I194" s="895"/>
      <c r="J194" s="94"/>
      <c r="K194" s="94"/>
      <c r="L194" s="896"/>
      <c r="M194" s="897"/>
      <c r="N194" s="897"/>
      <c r="O194" s="894"/>
      <c r="P194" s="94"/>
      <c r="Q194" s="897"/>
      <c r="R194" s="3383"/>
      <c r="S194" s="3489"/>
      <c r="T194" s="3489"/>
      <c r="U194" s="3429"/>
      <c r="V194" s="3429"/>
      <c r="W194" s="3429"/>
      <c r="X194" s="3429"/>
      <c r="Y194" s="2424"/>
      <c r="Z194"/>
      <c r="AA194"/>
      <c r="AB194"/>
    </row>
    <row r="195" spans="1:28" s="8" customFormat="1" collapsed="1" x14ac:dyDescent="0.4">
      <c r="A195"/>
      <c r="B195" s="1945"/>
      <c r="C195" s="1946"/>
      <c r="D195" s="1947"/>
      <c r="E195" s="1948"/>
      <c r="F195" s="1947"/>
      <c r="G195" s="1947"/>
      <c r="H195" s="1949"/>
      <c r="I195" s="1950"/>
      <c r="J195" s="1947"/>
      <c r="K195" s="1947"/>
      <c r="L195" s="1946"/>
      <c r="M195" s="1947"/>
      <c r="N195" s="1947"/>
      <c r="O195" s="1947"/>
      <c r="P195" s="1947"/>
      <c r="Q195" s="1947"/>
      <c r="R195" s="3389"/>
      <c r="S195" s="3500"/>
      <c r="T195" s="3500"/>
      <c r="U195" s="3500"/>
      <c r="V195" s="3500"/>
      <c r="W195" s="3500"/>
      <c r="X195" s="3500"/>
      <c r="Y195" s="2424"/>
      <c r="Z195"/>
      <c r="AA195"/>
      <c r="AB195"/>
    </row>
    <row r="197" spans="1:28" s="8" customFormat="1" ht="15.45" x14ac:dyDescent="0.4">
      <c r="A197"/>
      <c r="B197" s="1951"/>
      <c r="C197" s="1952"/>
      <c r="D197" s="1953" t="s">
        <v>1878</v>
      </c>
      <c r="E197" s="1954"/>
      <c r="F197" s="1954"/>
      <c r="G197" s="1954"/>
      <c r="H197" s="1954"/>
      <c r="I197" s="1954"/>
      <c r="J197" s="1954"/>
      <c r="K197" s="1954"/>
      <c r="L197" s="1954"/>
      <c r="M197" s="1954"/>
      <c r="N197" s="1954"/>
      <c r="O197" s="1954"/>
      <c r="P197" s="1954"/>
      <c r="Q197" s="1954"/>
      <c r="R197" s="3390"/>
      <c r="S197" s="3501"/>
      <c r="T197" s="3501"/>
      <c r="U197" s="3501"/>
      <c r="V197" s="3501"/>
      <c r="W197" s="3501"/>
      <c r="X197" s="3501"/>
      <c r="Y197" s="2424"/>
      <c r="Z197"/>
      <c r="AA197"/>
      <c r="AB197"/>
    </row>
    <row r="198" spans="1:28" s="8" customFormat="1" hidden="1" outlineLevel="1" x14ac:dyDescent="0.4">
      <c r="A198"/>
      <c r="B198" s="1955"/>
      <c r="C198" s="1826"/>
      <c r="D198" s="748" t="s">
        <v>1053</v>
      </c>
      <c r="E198" s="749"/>
      <c r="F198" s="704"/>
      <c r="G198" s="704"/>
      <c r="H198" s="704"/>
      <c r="I198" s="750"/>
      <c r="J198" s="704"/>
      <c r="K198" s="704"/>
      <c r="L198" s="704"/>
      <c r="M198" s="704"/>
      <c r="N198" s="704"/>
      <c r="O198" s="704"/>
      <c r="P198" s="704"/>
      <c r="Q198" s="704"/>
      <c r="R198" s="3364"/>
      <c r="S198" s="3433"/>
      <c r="T198" s="3433"/>
      <c r="U198" s="3433"/>
      <c r="V198" s="3433"/>
      <c r="W198" s="3433"/>
      <c r="X198" s="3433"/>
      <c r="Y198" s="2424"/>
      <c r="Z198"/>
      <c r="AA198"/>
      <c r="AB198"/>
    </row>
    <row r="199" spans="1:28" s="8" customFormat="1" ht="15" hidden="1" outlineLevel="1" thickBot="1" x14ac:dyDescent="0.45">
      <c r="A199"/>
      <c r="B199" s="1955"/>
      <c r="C199" s="1826"/>
      <c r="D199" s="704" t="s">
        <v>1034</v>
      </c>
      <c r="E199" s="749"/>
      <c r="F199" s="704"/>
      <c r="G199" s="704"/>
      <c r="H199" s="704"/>
      <c r="I199" s="750"/>
      <c r="J199" s="704"/>
      <c r="K199" s="704"/>
      <c r="L199" s="704"/>
      <c r="M199" s="704"/>
      <c r="N199" s="704"/>
      <c r="O199" s="704"/>
      <c r="P199" s="704"/>
      <c r="Q199" s="704"/>
      <c r="R199" s="3364"/>
      <c r="S199" s="3433"/>
      <c r="T199" s="3434"/>
      <c r="U199" s="3433"/>
      <c r="V199" s="3433"/>
      <c r="W199" s="3433"/>
      <c r="X199" s="3433"/>
      <c r="Y199" s="2424"/>
      <c r="Z199"/>
      <c r="AA199"/>
      <c r="AB199"/>
    </row>
    <row r="200" spans="1:28" s="8" customFormat="1" hidden="1" outlineLevel="1" x14ac:dyDescent="0.4">
      <c r="A200"/>
      <c r="B200" s="1955"/>
      <c r="C200" s="1826"/>
      <c r="D200" t="s">
        <v>1861</v>
      </c>
      <c r="E200" s="749"/>
      <c r="F200" s="704"/>
      <c r="G200" s="704"/>
      <c r="H200" s="704"/>
      <c r="I200" s="750"/>
      <c r="J200" s="704"/>
      <c r="K200" s="704"/>
      <c r="L200" s="704"/>
      <c r="M200" s="704"/>
      <c r="N200" s="704"/>
      <c r="O200" s="704"/>
      <c r="P200" s="704"/>
      <c r="Q200" s="704"/>
      <c r="R200" s="3365"/>
      <c r="S200" s="3435" t="s">
        <v>23</v>
      </c>
      <c r="T200" s="3842" t="s">
        <v>2604</v>
      </c>
      <c r="U200" s="3843"/>
      <c r="V200" s="3843"/>
      <c r="W200" s="3843"/>
      <c r="X200" s="3844"/>
      <c r="Y200" s="2424"/>
      <c r="Z200"/>
      <c r="AA200"/>
      <c r="AB200"/>
    </row>
    <row r="201" spans="1:28" s="8" customFormat="1" hidden="1" outlineLevel="1" x14ac:dyDescent="0.4">
      <c r="A201"/>
      <c r="B201" s="1955"/>
      <c r="C201" s="1826"/>
      <c r="D201" s="704" t="s">
        <v>1035</v>
      </c>
      <c r="E201" s="749"/>
      <c r="F201" s="704"/>
      <c r="G201" s="704"/>
      <c r="H201" s="704"/>
      <c r="I201" s="750"/>
      <c r="J201" s="704"/>
      <c r="K201" s="704"/>
      <c r="L201" s="704"/>
      <c r="M201" s="704"/>
      <c r="N201" s="704"/>
      <c r="O201" s="704"/>
      <c r="P201" s="704"/>
      <c r="Q201" s="704"/>
      <c r="R201" s="3354" t="s">
        <v>1055</v>
      </c>
      <c r="S201" s="1122">
        <v>1</v>
      </c>
      <c r="T201" s="916">
        <v>1</v>
      </c>
      <c r="U201" s="916">
        <v>2</v>
      </c>
      <c r="V201" s="916">
        <v>3</v>
      </c>
      <c r="W201" s="916">
        <v>4</v>
      </c>
      <c r="X201" s="1045">
        <v>6</v>
      </c>
      <c r="Y201" s="2424"/>
      <c r="Z201"/>
      <c r="AA201"/>
      <c r="AB201"/>
    </row>
    <row r="202" spans="1:28" s="8" customFormat="1" hidden="1" outlineLevel="1" x14ac:dyDescent="0.4">
      <c r="A202"/>
      <c r="B202" s="1955"/>
      <c r="C202" s="1826"/>
      <c r="D202" s="704" t="s">
        <v>1036</v>
      </c>
      <c r="E202" s="749"/>
      <c r="F202" s="704"/>
      <c r="G202" s="704"/>
      <c r="H202" s="704"/>
      <c r="I202" s="750"/>
      <c r="J202" s="704"/>
      <c r="K202" s="704"/>
      <c r="L202" s="704"/>
      <c r="M202" s="704"/>
      <c r="N202" s="704"/>
      <c r="O202" s="704"/>
      <c r="P202" s="704"/>
      <c r="Q202" s="704"/>
      <c r="R202" s="3333" t="s">
        <v>2665</v>
      </c>
      <c r="S202" s="3439">
        <f>(connect_lower_blanket_pipework)</f>
        <v>26.773271037841543</v>
      </c>
      <c r="T202" s="3441">
        <f>(ROUNDUP(Tokamak_Segmts/T201,0)*(connect_lower_blanket_pipework))</f>
        <v>428.37233660546468</v>
      </c>
      <c r="U202" s="3441">
        <f>(ROUNDUP(Tokamak_Segmts/U201,0)*(connect_lower_blanket_pipework))</f>
        <v>214.18616830273234</v>
      </c>
      <c r="V202" s="3441">
        <f>(ROUNDUP(Tokamak_Segmts/V201,0)*(connect_lower_blanket_pipework))</f>
        <v>160.63962622704926</v>
      </c>
      <c r="W202" s="3441">
        <f>(ROUNDUP(Tokamak_Segmts/W201,0)*(connect_lower_blanket_pipework))</f>
        <v>107.09308415136617</v>
      </c>
      <c r="X202" s="3442">
        <f>(ROUNDUP(Tokamak_Segmts/X201,0)*(connect_lower_blanket_pipework))</f>
        <v>80.319813113524631</v>
      </c>
      <c r="Y202" s="2424"/>
      <c r="Z202"/>
      <c r="AA202"/>
      <c r="AB202"/>
    </row>
    <row r="203" spans="1:28" s="8" customFormat="1" ht="15" hidden="1" outlineLevel="1" thickBot="1" x14ac:dyDescent="0.45">
      <c r="A203"/>
      <c r="B203" s="1955"/>
      <c r="C203" s="1826"/>
      <c r="D203" s="704" t="s">
        <v>1037</v>
      </c>
      <c r="E203" s="749"/>
      <c r="F203" s="704"/>
      <c r="G203" s="704"/>
      <c r="H203" s="704"/>
      <c r="I203" s="750"/>
      <c r="J203" s="704"/>
      <c r="K203" s="704"/>
      <c r="L203" s="704"/>
      <c r="M203" s="704"/>
      <c r="N203" s="704"/>
      <c r="O203" s="704"/>
      <c r="P203" s="704"/>
      <c r="Q203" s="704"/>
      <c r="R203" s="3141" t="s">
        <v>2693</v>
      </c>
      <c r="S203" s="3443">
        <f>S$202*$E$207</f>
        <v>0.29450598141625695</v>
      </c>
      <c r="T203" s="3445">
        <f t="shared" ref="T203:W203" si="21">T$202*$E$207</f>
        <v>4.7120957026601111</v>
      </c>
      <c r="U203" s="3445">
        <f t="shared" si="21"/>
        <v>2.3560478513300556</v>
      </c>
      <c r="V203" s="3445">
        <f t="shared" si="21"/>
        <v>1.7670358884975419</v>
      </c>
      <c r="W203" s="3445">
        <f t="shared" si="21"/>
        <v>1.1780239256650278</v>
      </c>
      <c r="X203" s="3446">
        <f>X$202*$E$207</f>
        <v>0.88351794424877095</v>
      </c>
      <c r="Y203" s="2424"/>
      <c r="Z203"/>
      <c r="AA203"/>
      <c r="AB203"/>
    </row>
    <row r="204" spans="1:28" s="8" customFormat="1" hidden="1" outlineLevel="1" x14ac:dyDescent="0.4">
      <c r="A204"/>
      <c r="B204" s="1955"/>
      <c r="C204" s="1826"/>
      <c r="D204" s="704" t="s">
        <v>1038</v>
      </c>
      <c r="E204" s="749"/>
      <c r="F204" s="704"/>
      <c r="G204" s="704"/>
      <c r="H204" s="704"/>
      <c r="I204" s="750"/>
      <c r="J204" s="704"/>
      <c r="K204" s="704"/>
      <c r="L204" s="704"/>
      <c r="M204" s="704"/>
      <c r="N204" s="704"/>
      <c r="O204" s="704"/>
      <c r="P204" s="704"/>
      <c r="Q204" s="704"/>
      <c r="R204" s="3366" t="s">
        <v>1048</v>
      </c>
      <c r="S204" s="3447">
        <f t="shared" ref="S204:W204" si="22">S203*(SUMIF($E$215:$E$256,"Operation",$F$215:$F$256))</f>
        <v>34.813305116896878</v>
      </c>
      <c r="T204" s="3449">
        <f t="shared" si="22"/>
        <v>557.01288187035004</v>
      </c>
      <c r="U204" s="3449">
        <f t="shared" si="22"/>
        <v>278.50644093517502</v>
      </c>
      <c r="V204" s="3449">
        <f t="shared" si="22"/>
        <v>208.87983070138131</v>
      </c>
      <c r="W204" s="3449">
        <f t="shared" si="22"/>
        <v>139.25322046758751</v>
      </c>
      <c r="X204" s="3450">
        <f>X203*(SUMIF($E$215:$E$256,"Operation",$F$215:$F$256))</f>
        <v>104.43991535069065</v>
      </c>
      <c r="Y204" s="2424"/>
      <c r="Z204"/>
      <c r="AA204"/>
      <c r="AB204"/>
    </row>
    <row r="205" spans="1:28" s="8" customFormat="1" hidden="1" outlineLevel="1" x14ac:dyDescent="0.4">
      <c r="A205"/>
      <c r="B205" s="1955"/>
      <c r="C205" s="1826"/>
      <c r="D205" s="704"/>
      <c r="E205" s="749"/>
      <c r="F205" s="704"/>
      <c r="G205" s="704"/>
      <c r="H205" s="704"/>
      <c r="I205" s="750"/>
      <c r="J205" s="704"/>
      <c r="K205" s="704"/>
      <c r="L205" s="704"/>
      <c r="M205" s="704"/>
      <c r="N205" s="704"/>
      <c r="O205" s="704"/>
      <c r="P205" s="704"/>
      <c r="Q205" s="704"/>
      <c r="R205" s="3354" t="s">
        <v>2658</v>
      </c>
      <c r="S205" s="3451">
        <f t="shared" ref="S205:X205" si="23">S203*(SUMIF($E$215:$E$256,"Movement",$F$215:$F$256)+(SUMIF($E$215:$E$256,"Logistics",$F$215:$F$256)))</f>
        <v>8.2196619413277308</v>
      </c>
      <c r="T205" s="3453">
        <f t="shared" si="23"/>
        <v>131.51459106124369</v>
      </c>
      <c r="U205" s="3453">
        <f t="shared" si="23"/>
        <v>65.757295530621846</v>
      </c>
      <c r="V205" s="3453">
        <f t="shared" si="23"/>
        <v>49.317971647966388</v>
      </c>
      <c r="W205" s="3453">
        <f t="shared" si="23"/>
        <v>32.878647765310923</v>
      </c>
      <c r="X205" s="3454">
        <f t="shared" si="23"/>
        <v>24.658985823983194</v>
      </c>
      <c r="Y205" s="2424"/>
      <c r="Z205"/>
      <c r="AA205"/>
      <c r="AB205"/>
    </row>
    <row r="206" spans="1:28" s="8" customFormat="1" ht="15" hidden="1" outlineLevel="1" thickBot="1" x14ac:dyDescent="0.45">
      <c r="A206"/>
      <c r="B206" s="1955"/>
      <c r="C206" s="1826"/>
      <c r="D206" s="704"/>
      <c r="E206" s="749"/>
      <c r="F206" s="704"/>
      <c r="G206" s="704"/>
      <c r="H206" s="704"/>
      <c r="I206" s="750"/>
      <c r="J206" s="704"/>
      <c r="K206" s="704"/>
      <c r="L206" s="704"/>
      <c r="M206" s="704"/>
      <c r="N206" s="704"/>
      <c r="O206" s="704"/>
      <c r="P206" s="704"/>
      <c r="Q206" s="704"/>
      <c r="R206" s="3367" t="s">
        <v>2657</v>
      </c>
      <c r="S206" s="3455">
        <f t="shared" ref="S206:X206" si="24">S203*(-SUMIF($T$215:$T$256,"&lt;0"))</f>
        <v>1.2704115427982012</v>
      </c>
      <c r="T206" s="3457">
        <f t="shared" si="24"/>
        <v>20.32658468477122</v>
      </c>
      <c r="U206" s="3457">
        <f t="shared" si="24"/>
        <v>10.16329234238561</v>
      </c>
      <c r="V206" s="3457">
        <f t="shared" si="24"/>
        <v>7.6224692567892083</v>
      </c>
      <c r="W206" s="3457">
        <f t="shared" si="24"/>
        <v>5.0816461711928049</v>
      </c>
      <c r="X206" s="3458">
        <f t="shared" si="24"/>
        <v>3.8112346283946041</v>
      </c>
      <c r="Y206" s="2424"/>
      <c r="Z206"/>
      <c r="AA206"/>
      <c r="AB206"/>
    </row>
    <row r="207" spans="1:28" s="8" customFormat="1" ht="15" hidden="1" outlineLevel="1" thickBot="1" x14ac:dyDescent="0.45">
      <c r="A207"/>
      <c r="B207" s="1955"/>
      <c r="C207" s="1826"/>
      <c r="D207" s="748" t="s">
        <v>1056</v>
      </c>
      <c r="E207" s="709">
        <f>SUM(E208:E209)</f>
        <v>1.0999999999999999E-2</v>
      </c>
      <c r="F207" s="709"/>
      <c r="G207" s="709"/>
      <c r="H207" s="709"/>
      <c r="I207" s="919"/>
      <c r="J207" s="918"/>
      <c r="K207" s="918"/>
      <c r="L207" s="918"/>
      <c r="M207" s="918"/>
      <c r="N207" s="918"/>
      <c r="O207" s="918"/>
      <c r="P207" s="704"/>
      <c r="Q207" s="704"/>
      <c r="R207" s="3368" t="s">
        <v>2667</v>
      </c>
      <c r="S207" s="3459">
        <f t="shared" ref="S207:X207" si="25">S203*$G$258</f>
        <v>44.303378601022807</v>
      </c>
      <c r="T207" s="3502">
        <f t="shared" si="25"/>
        <v>708.85405761636491</v>
      </c>
      <c r="U207" s="3426">
        <f t="shared" si="25"/>
        <v>354.42702880818246</v>
      </c>
      <c r="V207" s="3426">
        <f t="shared" si="25"/>
        <v>265.82027160613688</v>
      </c>
      <c r="W207" s="3426">
        <f t="shared" si="25"/>
        <v>177.21351440409123</v>
      </c>
      <c r="X207" s="3461">
        <f t="shared" si="25"/>
        <v>132.91013580306844</v>
      </c>
      <c r="Y207" s="2424"/>
      <c r="Z207"/>
      <c r="AA207"/>
      <c r="AB207"/>
    </row>
    <row r="208" spans="1:28" s="8" customFormat="1" hidden="1" outlineLevel="1" x14ac:dyDescent="0.4">
      <c r="A208"/>
      <c r="B208" s="1956"/>
      <c r="C208" s="906"/>
      <c r="D208" s="7" t="s">
        <v>1057</v>
      </c>
      <c r="E208" s="763">
        <f>Weld_Failure_Rate</f>
        <v>1E-3</v>
      </c>
      <c r="F208" s="922"/>
      <c r="G208" s="922"/>
      <c r="H208" s="924"/>
      <c r="I208" s="290"/>
      <c r="J208" s="922"/>
      <c r="K208" s="922"/>
      <c r="L208" s="925"/>
      <c r="M208" s="922"/>
      <c r="N208" s="922"/>
      <c r="O208" s="922"/>
      <c r="P208" s="706"/>
      <c r="Q208" s="7"/>
      <c r="R208" s="3391"/>
      <c r="S208" s="3434"/>
      <c r="T208" s="3434"/>
      <c r="U208" s="3434"/>
      <c r="V208" s="3434"/>
      <c r="W208" s="3434"/>
      <c r="X208" s="3434"/>
      <c r="Y208" s="2424"/>
      <c r="Z208"/>
      <c r="AA208"/>
      <c r="AB208"/>
    </row>
    <row r="209" spans="1:28" s="8" customFormat="1" hidden="1" outlineLevel="1" x14ac:dyDescent="0.4">
      <c r="A209"/>
      <c r="B209" s="1956"/>
      <c r="C209" s="906"/>
      <c r="D209" s="7" t="s">
        <v>1058</v>
      </c>
      <c r="E209" s="763">
        <f>SJS_welder_failure</f>
        <v>0.01</v>
      </c>
      <c r="F209" s="922"/>
      <c r="G209" s="922"/>
      <c r="H209" s="924"/>
      <c r="I209" s="290"/>
      <c r="J209" s="922"/>
      <c r="K209" s="922"/>
      <c r="L209" s="925"/>
      <c r="M209" s="922"/>
      <c r="N209" s="922"/>
      <c r="O209" s="922"/>
      <c r="P209" s="706"/>
      <c r="Q209" s="7"/>
      <c r="R209" s="3391"/>
      <c r="S209" s="3434"/>
      <c r="T209" s="3434"/>
      <c r="U209" s="3434"/>
      <c r="V209" s="3434"/>
      <c r="W209" s="3434"/>
      <c r="X209" s="3434"/>
      <c r="Y209" s="2424"/>
      <c r="Z209"/>
      <c r="AA209"/>
      <c r="AB209"/>
    </row>
    <row r="210" spans="1:28" s="8" customFormat="1" hidden="1" outlineLevel="1" x14ac:dyDescent="0.4">
      <c r="A210"/>
      <c r="B210" s="1956"/>
      <c r="C210" s="906"/>
      <c r="D210" s="926" t="s">
        <v>1059</v>
      </c>
      <c r="E210" s="709">
        <f>E207*(1-(1-E207)^(Divertor_port_pipes_per_blanket))</f>
        <v>3.5902164100000021E-4</v>
      </c>
      <c r="F210" s="927"/>
      <c r="G210" s="927"/>
      <c r="H210" s="927"/>
      <c r="I210" s="919"/>
      <c r="J210" s="927"/>
      <c r="K210" s="927"/>
      <c r="L210" s="927"/>
      <c r="M210" s="927"/>
      <c r="N210" s="927"/>
      <c r="O210" s="927"/>
      <c r="P210" s="706"/>
      <c r="Q210" s="7"/>
      <c r="R210" s="3391"/>
      <c r="S210" s="3434"/>
      <c r="T210" s="3434"/>
      <c r="U210" s="3434"/>
      <c r="V210" s="3434"/>
      <c r="W210" s="3434"/>
      <c r="X210" s="3434"/>
      <c r="Y210" s="2424"/>
      <c r="Z210"/>
      <c r="AA210"/>
      <c r="AB210"/>
    </row>
    <row r="211" spans="1:28" s="8" customFormat="1" hidden="1" outlineLevel="1" x14ac:dyDescent="0.4">
      <c r="A211"/>
      <c r="B211" s="1956"/>
      <c r="C211" s="906"/>
      <c r="D211" s="926"/>
      <c r="E211" s="928"/>
      <c r="F211" s="927"/>
      <c r="G211" s="927"/>
      <c r="H211" s="927"/>
      <c r="I211" s="919"/>
      <c r="J211" s="927"/>
      <c r="K211" s="927"/>
      <c r="L211" s="927"/>
      <c r="M211" s="927"/>
      <c r="N211" s="927"/>
      <c r="O211" s="927"/>
      <c r="P211" s="706"/>
      <c r="Q211" s="7"/>
      <c r="R211" s="3369"/>
      <c r="S211" s="3429"/>
      <c r="T211" s="3429"/>
      <c r="U211" s="3429"/>
      <c r="V211" s="3429"/>
      <c r="W211" s="3429"/>
      <c r="X211" s="3429"/>
      <c r="Y211" s="2424"/>
      <c r="Z211"/>
      <c r="AA211"/>
      <c r="AB211"/>
    </row>
    <row r="212" spans="1:28" s="8" customFormat="1" ht="15" hidden="1" outlineLevel="2" thickBot="1" x14ac:dyDescent="0.45">
      <c r="A212"/>
      <c r="B212" s="1956"/>
      <c r="C212" s="906"/>
      <c r="D212" s="926"/>
      <c r="E212" s="928"/>
      <c r="F212" s="927"/>
      <c r="G212" s="927"/>
      <c r="H212" s="927"/>
      <c r="I212" s="919"/>
      <c r="J212" s="927"/>
      <c r="K212" s="927"/>
      <c r="L212" s="927"/>
      <c r="M212" s="927"/>
      <c r="N212" s="927"/>
      <c r="O212" s="927"/>
      <c r="P212" s="706"/>
      <c r="Q212" s="7"/>
      <c r="R212" s="3369"/>
      <c r="S212" s="3429"/>
      <c r="T212" s="3429"/>
      <c r="U212" s="3429"/>
      <c r="V212" s="3429"/>
      <c r="W212" s="3429"/>
      <c r="X212" s="3429"/>
      <c r="Y212" s="2424"/>
      <c r="Z212"/>
      <c r="AA212"/>
      <c r="AB212"/>
    </row>
    <row r="213" spans="1:28" s="8" customFormat="1" ht="15" hidden="1" outlineLevel="2" thickBot="1" x14ac:dyDescent="0.45">
      <c r="A213"/>
      <c r="B213" s="1956"/>
      <c r="C213" s="906"/>
      <c r="D213" s="926"/>
      <c r="E213" s="701"/>
      <c r="F213" s="7"/>
      <c r="G213" s="929"/>
      <c r="H213" s="930" t="s">
        <v>18</v>
      </c>
      <c r="I213" s="931"/>
      <c r="J213" s="932" t="s">
        <v>778</v>
      </c>
      <c r="K213" s="933"/>
      <c r="L213" s="933"/>
      <c r="M213" s="933"/>
      <c r="N213" s="933"/>
      <c r="O213" s="934"/>
      <c r="P213" s="933" t="s">
        <v>3</v>
      </c>
      <c r="Q213" s="934"/>
      <c r="R213" s="3386" t="s">
        <v>779</v>
      </c>
      <c r="S213" s="3462"/>
      <c r="T213" s="3462"/>
      <c r="U213" s="2424"/>
      <c r="V213" s="2424"/>
      <c r="W213" s="2424"/>
      <c r="X213" s="2424"/>
      <c r="Y213" s="3434"/>
    </row>
    <row r="214" spans="1:28" s="8" customFormat="1" ht="29.6" hidden="1" outlineLevel="2" thickBot="1" x14ac:dyDescent="0.45">
      <c r="A214"/>
      <c r="B214" s="1956"/>
      <c r="C214" s="939" t="s">
        <v>780</v>
      </c>
      <c r="D214" s="940" t="s">
        <v>1060</v>
      </c>
      <c r="E214" s="941" t="s">
        <v>782</v>
      </c>
      <c r="F214" s="942" t="s">
        <v>783</v>
      </c>
      <c r="G214" s="943" t="s">
        <v>784</v>
      </c>
      <c r="H214" s="562" t="s">
        <v>785</v>
      </c>
      <c r="I214" s="944" t="s">
        <v>783</v>
      </c>
      <c r="J214" s="562" t="s">
        <v>786</v>
      </c>
      <c r="K214" s="563" t="s">
        <v>787</v>
      </c>
      <c r="L214" s="563" t="s">
        <v>788</v>
      </c>
      <c r="M214" s="563" t="s">
        <v>789</v>
      </c>
      <c r="N214" s="563" t="s">
        <v>790</v>
      </c>
      <c r="O214" s="945" t="s">
        <v>783</v>
      </c>
      <c r="P214" s="560" t="s">
        <v>785</v>
      </c>
      <c r="Q214" s="946" t="s">
        <v>783</v>
      </c>
      <c r="R214" s="3387" t="s">
        <v>781</v>
      </c>
      <c r="S214" s="3464" t="s">
        <v>791</v>
      </c>
      <c r="T214" s="3465" t="s">
        <v>792</v>
      </c>
      <c r="U214" s="2424"/>
      <c r="V214" s="2424"/>
      <c r="W214" s="2424"/>
      <c r="X214" s="2424"/>
      <c r="Y214" s="3434"/>
    </row>
    <row r="215" spans="1:28" s="8" customFormat="1" hidden="1" outlineLevel="2" x14ac:dyDescent="0.4">
      <c r="A215"/>
      <c r="B215" s="1956"/>
      <c r="C215" s="3850" t="s">
        <v>1062</v>
      </c>
      <c r="D215" s="1957" t="s">
        <v>1879</v>
      </c>
      <c r="E215" s="1937" t="s">
        <v>251</v>
      </c>
      <c r="F215" s="1624">
        <f t="shared" ref="F215:F257" si="26">MAX($Q215,$O215,$I215)</f>
        <v>0</v>
      </c>
      <c r="G215" s="1938">
        <f>F215</f>
        <v>0</v>
      </c>
      <c r="H215" s="1874" t="s">
        <v>557</v>
      </c>
      <c r="I215" s="1130">
        <v>0</v>
      </c>
      <c r="J215" s="1129"/>
      <c r="K215" s="1619"/>
      <c r="L215" s="1958"/>
      <c r="M215" s="1622" t="str">
        <f>IFERROR(INDEX('Lower Cask Movement &amp; Logistics'!$I$29:$O$35,MATCH($K215,'Lower Cask Movement &amp; Logistics'!$H$29:$H$35,0),MATCH($L215,'Lower Cask Movement &amp; Logistics'!$H$29:$H$35,0)),"N/A")</f>
        <v>N/A</v>
      </c>
      <c r="N215" s="1875" t="str">
        <f>IFERROR(VLOOKUP($J215,'Lower Cask Movement &amp; Logistics'!$H$4:$I$8,2,FALSE),"N/A")</f>
        <v>N/A</v>
      </c>
      <c r="O215" s="1959" t="str">
        <f t="shared" ref="O215:O257" si="27">IF(E215="Movement",IFERROR((M215/N215)/(60*60),"Error"),"N/A")</f>
        <v>N/A</v>
      </c>
      <c r="P215" s="1939"/>
      <c r="Q215" s="1960" t="str">
        <f>IF($E215="Logistics",VLOOKUP($P215,'Lower Cask Movement &amp; Logistics'!$C$4:$D$53,2,FALSE),"N/A")</f>
        <v>N/A</v>
      </c>
      <c r="R215" s="3392"/>
      <c r="S215" s="3503" t="str">
        <f>IFERROR(VLOOKUP($R215,'LowerCask Recovery Dependencies'!$C$138:$F$191,4,FALSE),"N/A")</f>
        <v>N/A</v>
      </c>
      <c r="T215" s="3475" t="str">
        <f>IFERROR(G214-F215-S215,"N/A")</f>
        <v>N/A</v>
      </c>
      <c r="U215" s="2424"/>
      <c r="V215" s="2424"/>
      <c r="W215" s="2424"/>
      <c r="X215" s="2424"/>
      <c r="Y215" s="3434"/>
    </row>
    <row r="216" spans="1:28" s="8" customFormat="1" hidden="1" outlineLevel="2" x14ac:dyDescent="0.4">
      <c r="A216"/>
      <c r="B216" s="1956"/>
      <c r="C216" s="3854"/>
      <c r="D216" s="1474" t="s">
        <v>1110</v>
      </c>
      <c r="E216" s="1961" t="s">
        <v>251</v>
      </c>
      <c r="F216" s="335">
        <f t="shared" si="26"/>
        <v>12.602967059728389</v>
      </c>
      <c r="G216" s="341">
        <f t="shared" ref="G216:G257" si="28">IF(T216&lt;0,F216+G215+(-T216),F216+G215)</f>
        <v>12.602967059728389</v>
      </c>
      <c r="H216" s="627" t="s">
        <v>1863</v>
      </c>
      <c r="I216" s="632">
        <v>12.602967059728389</v>
      </c>
      <c r="J216" s="1579"/>
      <c r="K216" s="582"/>
      <c r="L216" s="1962"/>
      <c r="M216" s="1479" t="s">
        <v>263</v>
      </c>
      <c r="N216" s="1878" t="s">
        <v>263</v>
      </c>
      <c r="O216" s="1963" t="str">
        <f t="shared" si="27"/>
        <v>N/A</v>
      </c>
      <c r="P216" s="1964"/>
      <c r="Q216" s="1965" t="str">
        <f>IF($E216="Logistics",VLOOKUP($P216,'Lower Cask Movement &amp; Logistics'!$C$4:$D$53,2,FALSE),"N/A")</f>
        <v>N/A</v>
      </c>
      <c r="R216" s="3393"/>
      <c r="S216" s="3504" t="str">
        <f>IFERROR(VLOOKUP($R216,'LowerCask Recovery Dependencies'!$C$138:$F$191,4,FALSE),"N/A")</f>
        <v>N/A</v>
      </c>
      <c r="T216" s="3477" t="str">
        <f t="shared" ref="T216:T257" si="29">IFERROR(G215-F216-S216,"N/A")</f>
        <v>N/A</v>
      </c>
      <c r="U216" s="2424"/>
      <c r="V216" s="2424"/>
      <c r="W216" s="2424"/>
      <c r="X216" s="2424"/>
      <c r="Y216" s="3434"/>
    </row>
    <row r="217" spans="1:28" s="88" customFormat="1" hidden="1" outlineLevel="2" x14ac:dyDescent="0.4">
      <c r="B217" s="1956"/>
      <c r="C217" s="3854"/>
      <c r="D217" s="1474" t="s">
        <v>1627</v>
      </c>
      <c r="E217" s="1961" t="s">
        <v>3</v>
      </c>
      <c r="F217" s="335">
        <f t="shared" si="26"/>
        <v>0.38</v>
      </c>
      <c r="G217" s="341">
        <f t="shared" si="28"/>
        <v>12.98296705972839</v>
      </c>
      <c r="H217" s="627"/>
      <c r="I217" s="632" t="s">
        <v>263</v>
      </c>
      <c r="J217" s="1579"/>
      <c r="K217" s="582"/>
      <c r="L217" s="1962"/>
      <c r="M217" s="1479" t="str">
        <f>IFERROR(INDEX('Lower Cask Movement &amp; Logistics'!$I$13:$O$19,MATCH($K217,'Lower Cask Movement &amp; Logistics'!$H$13:$H$19,0),MATCH($L217,'Lower Cask Movement &amp; Logistics'!$H$13:$H$19,0)),"N/A")</f>
        <v>N/A</v>
      </c>
      <c r="N217" s="1878" t="str">
        <f>IFERROR(VLOOKUP($J217,'Lower Cask Movement &amp; Logistics'!$H$4:$I$9,2,FALSE),"N/A")</f>
        <v>N/A</v>
      </c>
      <c r="O217" s="1963" t="str">
        <f t="shared" si="27"/>
        <v>N/A</v>
      </c>
      <c r="P217" s="1964" t="s">
        <v>1546</v>
      </c>
      <c r="Q217" s="1965">
        <f>IF($E217="Logistics",VLOOKUP($P217,'Lower Cask Movement &amp; Logistics'!$C$4:$D$54,2,FALSE),"N/A")</f>
        <v>0.38</v>
      </c>
      <c r="R217" s="3393"/>
      <c r="S217" s="3504" t="str">
        <f>IFERROR(VLOOKUP($R217,'LowerCask Recovery Dependencies'!$C$138:$F$191,4,FALSE),"N/A")</f>
        <v>N/A</v>
      </c>
      <c r="T217" s="3477" t="str">
        <f t="shared" si="29"/>
        <v>N/A</v>
      </c>
      <c r="U217" s="1719"/>
      <c r="V217" s="1719"/>
      <c r="W217" s="1719"/>
      <c r="X217" s="1719"/>
      <c r="Y217" s="1719"/>
    </row>
    <row r="218" spans="1:28" s="88" customFormat="1" ht="15" hidden="1" outlineLevel="2" thickBot="1" x14ac:dyDescent="0.45">
      <c r="B218" s="1956"/>
      <c r="C218" s="3851"/>
      <c r="D218" s="808" t="s">
        <v>1628</v>
      </c>
      <c r="E218" s="1966" t="s">
        <v>3</v>
      </c>
      <c r="F218" s="471">
        <f t="shared" si="26"/>
        <v>2.3000000000000003</v>
      </c>
      <c r="G218" s="350">
        <f t="shared" si="28"/>
        <v>15.28296705972839</v>
      </c>
      <c r="H218" s="586"/>
      <c r="I218" s="591" t="s">
        <v>263</v>
      </c>
      <c r="J218" s="1136"/>
      <c r="K218" s="584"/>
      <c r="L218" s="812"/>
      <c r="M218" s="813" t="str">
        <f>IFERROR(INDEX('Lower Cask Movement &amp; Logistics'!$I$13:$O$19,MATCH($K218,'Lower Cask Movement &amp; Logistics'!$H$13:$H$19,0),MATCH($L218,'Lower Cask Movement &amp; Logistics'!$H$13:$H$19,0)),"N/A")</f>
        <v>N/A</v>
      </c>
      <c r="N218" s="1464" t="str">
        <f>IFERROR(VLOOKUP($J218,'Lower Cask Movement &amp; Logistics'!$H$4:$I$9,2,FALSE),"N/A")</f>
        <v>N/A</v>
      </c>
      <c r="O218" s="402" t="str">
        <f t="shared" si="27"/>
        <v>N/A</v>
      </c>
      <c r="P218" s="1967" t="s">
        <v>1552</v>
      </c>
      <c r="Q218" s="1861">
        <f>IF($E218="Logistics",VLOOKUP($P218,'Lower Cask Movement &amp; Logistics'!$C$4:$D$54,2,FALSE),"N/A")</f>
        <v>2.3000000000000003</v>
      </c>
      <c r="R218" s="3373"/>
      <c r="S218" s="3505" t="str">
        <f>IFERROR(VLOOKUP($R218,'LowerCask Recovery Dependencies'!$C$138:$F$191,4,FALSE),"N/A")</f>
        <v>N/A</v>
      </c>
      <c r="T218" s="3469" t="str">
        <f t="shared" si="29"/>
        <v>N/A</v>
      </c>
      <c r="U218" s="1719"/>
      <c r="V218" s="1719"/>
      <c r="W218" s="1719"/>
      <c r="X218" s="1719"/>
      <c r="Y218" s="1719"/>
    </row>
    <row r="219" spans="1:28" s="88" customFormat="1" ht="29.15" hidden="1" outlineLevel="2" x14ac:dyDescent="0.4">
      <c r="B219" s="1956"/>
      <c r="C219" s="3852" t="s">
        <v>1629</v>
      </c>
      <c r="D219" s="1906" t="s">
        <v>1247</v>
      </c>
      <c r="E219" s="1907" t="s">
        <v>3</v>
      </c>
      <c r="F219" s="1739">
        <f t="shared" si="26"/>
        <v>0.38</v>
      </c>
      <c r="G219" s="1908">
        <f t="shared" si="28"/>
        <v>15.662967059728391</v>
      </c>
      <c r="H219" s="1909"/>
      <c r="I219" s="1910" t="s">
        <v>263</v>
      </c>
      <c r="J219" s="1906"/>
      <c r="K219" s="1911"/>
      <c r="L219" s="1911"/>
      <c r="M219" s="1912" t="str">
        <f>IFERROR(INDEX('Lower Cask Movement &amp; Logistics'!$I$13:$O$19,MATCH($K219,'Lower Cask Movement &amp; Logistics'!$H$13:$H$19,0),MATCH($L219,'Lower Cask Movement &amp; Logistics'!$H$13:$H$19,0)),"N/A")</f>
        <v>N/A</v>
      </c>
      <c r="N219" s="1913" t="str">
        <f>IFERROR(VLOOKUP($J219,'Lower Cask Movement &amp; Logistics'!$H$4:$I$9,2,FALSE),"N/A")</f>
        <v>N/A</v>
      </c>
      <c r="O219" s="1914" t="str">
        <f t="shared" si="27"/>
        <v>N/A</v>
      </c>
      <c r="P219" s="1915" t="s">
        <v>1544</v>
      </c>
      <c r="Q219" s="1914">
        <f>IF($E219="Logistics",VLOOKUP($P219,'Lower Cask Movement &amp; Logistics'!$C$4:$D$54,2,FALSE),"N/A")</f>
        <v>0.38</v>
      </c>
      <c r="R219" s="3381" t="s">
        <v>1631</v>
      </c>
      <c r="S219" s="3486">
        <f>IFERROR(VLOOKUP($R219,'LowerCask Recovery Dependencies'!$C$138:$F$191,4,FALSE),"N/A")</f>
        <v>4.213703703703704</v>
      </c>
      <c r="T219" s="3487">
        <f t="shared" si="29"/>
        <v>10.689263356024686</v>
      </c>
      <c r="U219" s="1719"/>
      <c r="V219" s="1719"/>
      <c r="W219" s="1719"/>
      <c r="X219" s="1719"/>
      <c r="Y219" s="1719"/>
    </row>
    <row r="220" spans="1:28" s="88" customFormat="1" hidden="1" outlineLevel="2" x14ac:dyDescent="0.4">
      <c r="B220" s="1956"/>
      <c r="C220" s="3856"/>
      <c r="D220" s="1895" t="s">
        <v>951</v>
      </c>
      <c r="E220" s="1896" t="s">
        <v>251</v>
      </c>
      <c r="F220" s="1347">
        <f t="shared" si="26"/>
        <v>12.602967059728389</v>
      </c>
      <c r="G220" s="1351">
        <f t="shared" si="28"/>
        <v>28.26593411945678</v>
      </c>
      <c r="H220" s="1348" t="s">
        <v>441</v>
      </c>
      <c r="I220" s="1353">
        <v>12.602967059728389</v>
      </c>
      <c r="J220" s="1895"/>
      <c r="K220" s="1897"/>
      <c r="L220" s="1897"/>
      <c r="M220" s="1898" t="str">
        <f>IFERROR(INDEX('Lower Cask Movement &amp; Logistics'!$I$13:$O$19,MATCH($K220,'Lower Cask Movement &amp; Logistics'!$H$13:$H$19,0),MATCH($L220,'Lower Cask Movement &amp; Logistics'!$H$13:$H$19,0)),"N/A")</f>
        <v>N/A</v>
      </c>
      <c r="N220" s="1899" t="str">
        <f>IFERROR(VLOOKUP($J220,'Lower Cask Movement &amp; Logistics'!$H$4:$I$9,2,FALSE),"N/A")</f>
        <v>N/A</v>
      </c>
      <c r="O220" s="1900" t="str">
        <f t="shared" si="27"/>
        <v>N/A</v>
      </c>
      <c r="P220" s="1901"/>
      <c r="Q220" s="1900" t="str">
        <f>IF($E220="Logistics",VLOOKUP($P220,'Lower Cask Movement &amp; Logistics'!$C$4:$D$54,2,FALSE),"N/A")</f>
        <v>N/A</v>
      </c>
      <c r="R220" s="3380"/>
      <c r="S220" s="3481" t="str">
        <f>IFERROR(VLOOKUP($R220,'LowerCask Recovery Dependencies'!$C$138:$F$191,4,FALSE),"N/A")</f>
        <v>N/A</v>
      </c>
      <c r="T220" s="3482" t="str">
        <f t="shared" si="29"/>
        <v>N/A</v>
      </c>
      <c r="U220" s="1719"/>
      <c r="V220" s="1719"/>
      <c r="W220" s="1719"/>
      <c r="X220" s="1719"/>
      <c r="Y220" s="1719"/>
    </row>
    <row r="221" spans="1:28" s="88" customFormat="1" hidden="1" outlineLevel="2" x14ac:dyDescent="0.4">
      <c r="B221" s="1956"/>
      <c r="C221" s="3856"/>
      <c r="D221" s="1895" t="s">
        <v>1632</v>
      </c>
      <c r="E221" s="1896" t="s">
        <v>3</v>
      </c>
      <c r="F221" s="1347">
        <f t="shared" si="26"/>
        <v>0.38</v>
      </c>
      <c r="G221" s="1351">
        <f t="shared" si="28"/>
        <v>28.645934119456779</v>
      </c>
      <c r="H221" s="1348"/>
      <c r="I221" s="1353" t="s">
        <v>263</v>
      </c>
      <c r="J221" s="1895"/>
      <c r="K221" s="1897"/>
      <c r="L221" s="1897"/>
      <c r="M221" s="1898" t="str">
        <f>IFERROR(INDEX('Lower Cask Movement &amp; Logistics'!$I$13:$O$19,MATCH($K221,'Lower Cask Movement &amp; Logistics'!$H$13:$H$19,0),MATCH($L221,'Lower Cask Movement &amp; Logistics'!$H$13:$H$19,0)),"N/A")</f>
        <v>N/A</v>
      </c>
      <c r="N221" s="1899" t="str">
        <f>IFERROR(VLOOKUP($J221,'Lower Cask Movement &amp; Logistics'!$H$4:$I$9,2,FALSE),"N/A")</f>
        <v>N/A</v>
      </c>
      <c r="O221" s="1900" t="str">
        <f t="shared" si="27"/>
        <v>N/A</v>
      </c>
      <c r="P221" s="1901" t="s">
        <v>1546</v>
      </c>
      <c r="Q221" s="1900">
        <f>IF($E221="Logistics",VLOOKUP($P221,'Lower Cask Movement &amp; Logistics'!$C$4:$D$54,2,FALSE),"N/A")</f>
        <v>0.38</v>
      </c>
      <c r="R221" s="3380"/>
      <c r="S221" s="3481" t="str">
        <f>IFERROR(VLOOKUP($R221,'LowerCask Recovery Dependencies'!$C$138:$F$191,4,FALSE),"N/A")</f>
        <v>N/A</v>
      </c>
      <c r="T221" s="3482" t="str">
        <f t="shared" si="29"/>
        <v>N/A</v>
      </c>
      <c r="U221" s="1719"/>
      <c r="V221" s="1719"/>
      <c r="W221" s="1719"/>
      <c r="X221" s="1719"/>
      <c r="Y221" s="1719"/>
    </row>
    <row r="222" spans="1:28" s="88" customFormat="1" hidden="1" outlineLevel="2" x14ac:dyDescent="0.4">
      <c r="B222" s="1956"/>
      <c r="C222" s="3856"/>
      <c r="D222" s="1895" t="s">
        <v>1593</v>
      </c>
      <c r="E222" s="1896" t="s">
        <v>3</v>
      </c>
      <c r="F222" s="1347">
        <f t="shared" si="26"/>
        <v>0.53</v>
      </c>
      <c r="G222" s="1351">
        <f t="shared" si="28"/>
        <v>29.17593411945678</v>
      </c>
      <c r="H222" s="1348"/>
      <c r="I222" s="1353" t="s">
        <v>263</v>
      </c>
      <c r="J222" s="1895"/>
      <c r="K222" s="1897"/>
      <c r="L222" s="1897"/>
      <c r="M222" s="1898" t="str">
        <f>IFERROR(INDEX('Lower Cask Movement &amp; Logistics'!$I$13:$O$19,MATCH($K222,'Lower Cask Movement &amp; Logistics'!$H$13:$H$19,0),MATCH($L222,'Lower Cask Movement &amp; Logistics'!$H$13:$H$19,0)),"N/A")</f>
        <v>N/A</v>
      </c>
      <c r="N222" s="1899" t="str">
        <f>IFERROR(VLOOKUP($J222,'Lower Cask Movement &amp; Logistics'!$H$4:$I$9,2,FALSE),"N/A")</f>
        <v>N/A</v>
      </c>
      <c r="O222" s="1900" t="str">
        <f t="shared" si="27"/>
        <v>N/A</v>
      </c>
      <c r="P222" s="1901" t="s">
        <v>1558</v>
      </c>
      <c r="Q222" s="1900">
        <f>IF($E222="Logistics",VLOOKUP($P222,'Lower Cask Movement &amp; Logistics'!$C$4:$D$54,2,FALSE),"N/A")</f>
        <v>0.53</v>
      </c>
      <c r="R222" s="3380"/>
      <c r="S222" s="3481" t="str">
        <f>IFERROR(VLOOKUP($R222,'LowerCask Recovery Dependencies'!$C$138:$F$191,4,FALSE),"N/A")</f>
        <v>N/A</v>
      </c>
      <c r="T222" s="3482" t="str">
        <f t="shared" si="29"/>
        <v>N/A</v>
      </c>
      <c r="U222" s="1719"/>
      <c r="V222" s="1719"/>
      <c r="W222" s="1719"/>
      <c r="X222" s="1719"/>
      <c r="Y222" s="1719"/>
    </row>
    <row r="223" spans="1:28" s="88" customFormat="1" hidden="1" outlineLevel="2" x14ac:dyDescent="0.4">
      <c r="B223" s="1956"/>
      <c r="C223" s="3856"/>
      <c r="D223" s="1895" t="s">
        <v>953</v>
      </c>
      <c r="E223" s="1896" t="s">
        <v>251</v>
      </c>
      <c r="F223" s="1347">
        <f t="shared" si="26"/>
        <v>12.602967059728389</v>
      </c>
      <c r="G223" s="1351">
        <f t="shared" si="28"/>
        <v>41.778901179185169</v>
      </c>
      <c r="H223" s="1348" t="s">
        <v>441</v>
      </c>
      <c r="I223" s="1353">
        <v>12.602967059728389</v>
      </c>
      <c r="J223" s="1895"/>
      <c r="K223" s="1897"/>
      <c r="L223" s="1897"/>
      <c r="M223" s="1898" t="str">
        <f>IFERROR(INDEX('Lower Cask Movement &amp; Logistics'!$I$13:$O$19,MATCH($K223,'Lower Cask Movement &amp; Logistics'!$H$13:$H$19,0),MATCH($L223,'Lower Cask Movement &amp; Logistics'!$H$13:$H$19,0)),"N/A")</f>
        <v>N/A</v>
      </c>
      <c r="N223" s="1899" t="str">
        <f>IFERROR(VLOOKUP($J223,'Lower Cask Movement &amp; Logistics'!$H$4:$I$9,2,FALSE),"N/A")</f>
        <v>N/A</v>
      </c>
      <c r="O223" s="1900" t="str">
        <f t="shared" si="27"/>
        <v>N/A</v>
      </c>
      <c r="P223" s="1901"/>
      <c r="Q223" s="1900" t="str">
        <f>IF($E223="Logistics",VLOOKUP($P223,'Lower Cask Movement &amp; Logistics'!$C$4:$D$54,2,FALSE),"N/A")</f>
        <v>N/A</v>
      </c>
      <c r="R223" s="3380"/>
      <c r="S223" s="3481" t="str">
        <f>IFERROR(VLOOKUP($R223,'LowerCask Recovery Dependencies'!$C$138:$F$191,4,FALSE),"N/A")</f>
        <v>N/A</v>
      </c>
      <c r="T223" s="3482" t="str">
        <f t="shared" si="29"/>
        <v>N/A</v>
      </c>
      <c r="U223" s="1719"/>
      <c r="V223" s="1719"/>
      <c r="W223" s="1719"/>
      <c r="X223" s="1719"/>
      <c r="Y223" s="1719"/>
    </row>
    <row r="224" spans="1:28" s="88" customFormat="1" hidden="1" outlineLevel="2" x14ac:dyDescent="0.4">
      <c r="B224" s="1956"/>
      <c r="C224" s="3856"/>
      <c r="D224" s="1895" t="s">
        <v>1633</v>
      </c>
      <c r="E224" s="1896" t="s">
        <v>3</v>
      </c>
      <c r="F224" s="1347">
        <f t="shared" si="26"/>
        <v>0.38</v>
      </c>
      <c r="G224" s="1351">
        <f t="shared" si="28"/>
        <v>42.158901179185172</v>
      </c>
      <c r="H224" s="1348"/>
      <c r="I224" s="1353" t="s">
        <v>263</v>
      </c>
      <c r="J224" s="1895"/>
      <c r="K224" s="1897"/>
      <c r="L224" s="1897"/>
      <c r="M224" s="1898" t="str">
        <f>IFERROR(INDEX('Lower Cask Movement &amp; Logistics'!$I$13:$O$19,MATCH($K224,'Lower Cask Movement &amp; Logistics'!$H$13:$H$19,0),MATCH($L224,'Lower Cask Movement &amp; Logistics'!$H$13:$H$19,0)),"N/A")</f>
        <v>N/A</v>
      </c>
      <c r="N224" s="1899" t="str">
        <f>IFERROR(VLOOKUP($J224,'Lower Cask Movement &amp; Logistics'!$H$4:$I$9,2,FALSE),"N/A")</f>
        <v>N/A</v>
      </c>
      <c r="O224" s="1900" t="str">
        <f t="shared" si="27"/>
        <v>N/A</v>
      </c>
      <c r="P224" s="1901" t="s">
        <v>1546</v>
      </c>
      <c r="Q224" s="1900">
        <f>IF($E224="Logistics",VLOOKUP($P224,'Lower Cask Movement &amp; Logistics'!$C$4:$D$54,2,FALSE),"N/A")</f>
        <v>0.38</v>
      </c>
      <c r="R224" s="3380"/>
      <c r="S224" s="3481" t="str">
        <f>IFERROR(VLOOKUP($R224,'LowerCask Recovery Dependencies'!$C$138:$F$191,4,FALSE),"N/A")</f>
        <v>N/A</v>
      </c>
      <c r="T224" s="3482" t="str">
        <f t="shared" si="29"/>
        <v>N/A</v>
      </c>
      <c r="U224" s="1719"/>
      <c r="V224" s="1719"/>
      <c r="W224" s="1719"/>
      <c r="X224" s="1719"/>
      <c r="Y224" s="1719"/>
    </row>
    <row r="225" spans="2:25" s="88" customFormat="1" hidden="1" outlineLevel="2" x14ac:dyDescent="0.4">
      <c r="B225" s="1956"/>
      <c r="C225" s="3856"/>
      <c r="D225" s="1895" t="s">
        <v>1599</v>
      </c>
      <c r="E225" s="1896" t="s">
        <v>3</v>
      </c>
      <c r="F225" s="1347">
        <f t="shared" si="26"/>
        <v>0.38</v>
      </c>
      <c r="G225" s="1351">
        <f t="shared" si="28"/>
        <v>42.538901179185174</v>
      </c>
      <c r="H225" s="1348"/>
      <c r="I225" s="1353" t="s">
        <v>263</v>
      </c>
      <c r="J225" s="1895"/>
      <c r="K225" s="1897"/>
      <c r="L225" s="1897"/>
      <c r="M225" s="1898" t="str">
        <f>IFERROR(INDEX('Lower Cask Movement &amp; Logistics'!$I$13:$O$19,MATCH($K225,'Lower Cask Movement &amp; Logistics'!$H$13:$H$19,0),MATCH($L225,'Lower Cask Movement &amp; Logistics'!$H$13:$H$19,0)),"N/A")</f>
        <v>N/A</v>
      </c>
      <c r="N225" s="1899" t="str">
        <f>IFERROR(VLOOKUP($J225,'Lower Cask Movement &amp; Logistics'!$H$4:$I$9,2,FALSE),"N/A")</f>
        <v>N/A</v>
      </c>
      <c r="O225" s="1900" t="str">
        <f t="shared" si="27"/>
        <v>N/A</v>
      </c>
      <c r="P225" s="1901" t="s">
        <v>1546</v>
      </c>
      <c r="Q225" s="1900">
        <f>IF($E225="Logistics",VLOOKUP($P225,'Lower Cask Movement &amp; Logistics'!$C$4:$D$54,2,FALSE),"N/A")</f>
        <v>0.38</v>
      </c>
      <c r="R225" s="3380"/>
      <c r="S225" s="3481" t="str">
        <f>IFERROR(VLOOKUP($R225,'LowerCask Recovery Dependencies'!$C$138:$F$191,4,FALSE),"N/A")</f>
        <v>N/A</v>
      </c>
      <c r="T225" s="3482" t="str">
        <f t="shared" si="29"/>
        <v>N/A</v>
      </c>
      <c r="U225" s="1719"/>
      <c r="V225" s="1719"/>
      <c r="W225" s="1719"/>
      <c r="X225" s="1719"/>
      <c r="Y225" s="1719"/>
    </row>
    <row r="226" spans="2:25" s="88" customFormat="1" ht="15" hidden="1" outlineLevel="2" thickBot="1" x14ac:dyDescent="0.45">
      <c r="B226" s="1956"/>
      <c r="C226" s="3853"/>
      <c r="D226" s="1869" t="s">
        <v>1634</v>
      </c>
      <c r="E226" s="1918" t="s">
        <v>3</v>
      </c>
      <c r="F226" s="1295">
        <f t="shared" si="26"/>
        <v>2.3000000000000003</v>
      </c>
      <c r="G226" s="1343">
        <f t="shared" si="28"/>
        <v>44.838901179185171</v>
      </c>
      <c r="H226" s="839"/>
      <c r="I226" s="1345" t="s">
        <v>263</v>
      </c>
      <c r="J226" s="1869"/>
      <c r="K226" s="837"/>
      <c r="L226" s="837"/>
      <c r="M226" s="842" t="str">
        <f>IFERROR(INDEX('Lower Cask Movement &amp; Logistics'!$I$13:$O$19,MATCH($K226,'Lower Cask Movement &amp; Logistics'!$H$13:$H$19,0),MATCH($L226,'Lower Cask Movement &amp; Logistics'!$H$13:$H$19,0)),"N/A")</f>
        <v>N/A</v>
      </c>
      <c r="N226" s="1870" t="str">
        <f>IFERROR(VLOOKUP($J226,'Lower Cask Movement &amp; Logistics'!$H$4:$I$9,2,FALSE),"N/A")</f>
        <v>N/A</v>
      </c>
      <c r="O226" s="1919" t="str">
        <f t="shared" si="27"/>
        <v>N/A</v>
      </c>
      <c r="P226" s="1920" t="s">
        <v>1552</v>
      </c>
      <c r="Q226" s="1919">
        <f>IF($E226="Logistics",VLOOKUP($P226,'Lower Cask Movement &amp; Logistics'!$C$4:$D$54,2,FALSE),"N/A")</f>
        <v>2.3000000000000003</v>
      </c>
      <c r="R226" s="3382"/>
      <c r="S226" s="3488" t="str">
        <f>IFERROR(VLOOKUP($R226,'LowerCask Recovery Dependencies'!$C$138:$F$191,4,FALSE),"N/A")</f>
        <v>N/A</v>
      </c>
      <c r="T226" s="3473" t="str">
        <f t="shared" si="29"/>
        <v>N/A</v>
      </c>
      <c r="U226" s="1719"/>
      <c r="V226" s="1719"/>
      <c r="W226" s="1719"/>
      <c r="X226" s="1719"/>
      <c r="Y226" s="1719"/>
    </row>
    <row r="227" spans="2:25" s="88" customFormat="1" hidden="1" outlineLevel="2" x14ac:dyDescent="0.4">
      <c r="B227" s="1956"/>
      <c r="C227" s="3787" t="s">
        <v>1635</v>
      </c>
      <c r="D227" s="1129" t="s">
        <v>1619</v>
      </c>
      <c r="E227" s="1620" t="s">
        <v>3</v>
      </c>
      <c r="F227" s="1621">
        <f t="shared" si="26"/>
        <v>1.9</v>
      </c>
      <c r="G227" s="1621">
        <f t="shared" si="28"/>
        <v>51.052604882888872</v>
      </c>
      <c r="H227" s="1129"/>
      <c r="I227" s="1575" t="s">
        <v>263</v>
      </c>
      <c r="J227" s="1129"/>
      <c r="K227" s="1619"/>
      <c r="L227" s="1619"/>
      <c r="M227" s="1623" t="str">
        <f>IFERROR(INDEX('Lower Cask Movement &amp; Logistics'!$I$13:$O$19,MATCH($K227,'Lower Cask Movement &amp; Logistics'!$H$13:$H$19,0),MATCH($L227,'Lower Cask Movement &amp; Logistics'!$H$13:$H$19,0)),"N/A")</f>
        <v>N/A</v>
      </c>
      <c r="N227" s="1623" t="str">
        <f>IFERROR(VLOOKUP($J227,'Lower Cask Movement &amp; Logistics'!$H$4:$I$9,2,FALSE),"N/A")</f>
        <v>N/A</v>
      </c>
      <c r="O227" s="1575" t="str">
        <f t="shared" si="27"/>
        <v>N/A</v>
      </c>
      <c r="P227" s="1576" t="s">
        <v>1541</v>
      </c>
      <c r="Q227" s="1575">
        <f>IF($E227="Logistics",VLOOKUP($P227,'Lower Cask Movement &amp; Logistics'!$C$4:$D$54,2,FALSE),"N/A")</f>
        <v>1.9</v>
      </c>
      <c r="R227" s="3376" t="s">
        <v>1636</v>
      </c>
      <c r="S227" s="3474">
        <f>IFERROR(VLOOKUP($R227,'LowerCask Recovery Dependencies'!$C$138:$F$191,4,FALSE),"N/A")</f>
        <v>47.252604882888875</v>
      </c>
      <c r="T227" s="3487">
        <f t="shared" si="29"/>
        <v>-4.3137037037037018</v>
      </c>
      <c r="U227" s="3483"/>
      <c r="V227" s="3483"/>
      <c r="W227" s="3484"/>
      <c r="X227" s="1719"/>
      <c r="Y227" s="1719"/>
    </row>
    <row r="228" spans="2:25" s="88" customFormat="1" hidden="1" outlineLevel="2" x14ac:dyDescent="0.4">
      <c r="B228" s="1956"/>
      <c r="C228" s="3786"/>
      <c r="D228" s="1579" t="s">
        <v>1622</v>
      </c>
      <c r="E228" s="1611" t="s">
        <v>3</v>
      </c>
      <c r="F228" s="626">
        <f t="shared" si="26"/>
        <v>0.38</v>
      </c>
      <c r="G228" s="626">
        <f t="shared" si="28"/>
        <v>51.432604882888874</v>
      </c>
      <c r="H228" s="1579"/>
      <c r="I228" s="1183" t="s">
        <v>263</v>
      </c>
      <c r="J228" s="1579"/>
      <c r="K228" s="582"/>
      <c r="L228" s="582"/>
      <c r="M228" s="1478" t="str">
        <f>IFERROR(INDEX('Lower Cask Movement &amp; Logistics'!$I$13:$O$19,MATCH($K228,'Lower Cask Movement &amp; Logistics'!$H$13:$H$19,0),MATCH($L228,'Lower Cask Movement &amp; Logistics'!$H$13:$H$19,0)),"N/A")</f>
        <v>N/A</v>
      </c>
      <c r="N228" s="1478" t="str">
        <f>IFERROR(VLOOKUP($J228,'Lower Cask Movement &amp; Logistics'!$H$4:$I$9,2,FALSE),"N/A")</f>
        <v>N/A</v>
      </c>
      <c r="O228" s="1183" t="str">
        <f t="shared" si="27"/>
        <v>N/A</v>
      </c>
      <c r="P228" s="1578" t="s">
        <v>1544</v>
      </c>
      <c r="Q228" s="1183">
        <f>IF($E228="Logistics",VLOOKUP($P228,'Lower Cask Movement &amp; Logistics'!$C$4:$D$54,2,FALSE),"N/A")</f>
        <v>0.38</v>
      </c>
      <c r="R228" s="3377"/>
      <c r="S228" s="3476" t="str">
        <f>IFERROR(VLOOKUP($R228,'LowerCask Recovery Dependencies'!$C$138:$F$191,4,FALSE),"N/A")</f>
        <v>N/A</v>
      </c>
      <c r="T228" s="3482" t="str">
        <f t="shared" si="29"/>
        <v>N/A</v>
      </c>
      <c r="U228" s="3483"/>
      <c r="V228" s="3483"/>
      <c r="W228" s="3484"/>
      <c r="X228" s="1719"/>
      <c r="Y228" s="1719"/>
    </row>
    <row r="229" spans="2:25" s="88" customFormat="1" hidden="1" outlineLevel="2" x14ac:dyDescent="0.4">
      <c r="B229" s="1956"/>
      <c r="C229" s="3786"/>
      <c r="D229" s="1579" t="s">
        <v>1637</v>
      </c>
      <c r="E229" s="1611" t="s">
        <v>251</v>
      </c>
      <c r="F229" s="626">
        <f t="shared" si="26"/>
        <v>7.5229670597283897</v>
      </c>
      <c r="G229" s="626">
        <f t="shared" si="28"/>
        <v>58.955571942617262</v>
      </c>
      <c r="H229" s="1579" t="s">
        <v>442</v>
      </c>
      <c r="I229" s="1183">
        <v>7.5229670597283897</v>
      </c>
      <c r="J229" s="1579"/>
      <c r="K229" s="582"/>
      <c r="L229" s="582"/>
      <c r="M229" s="1478" t="str">
        <f>IFERROR(INDEX('Lower Cask Movement &amp; Logistics'!$I$13:$O$19,MATCH($K229,'Lower Cask Movement &amp; Logistics'!$H$13:$H$19,0),MATCH($L229,'Lower Cask Movement &amp; Logistics'!$H$13:$H$19,0)),"N/A")</f>
        <v>N/A</v>
      </c>
      <c r="N229" s="1478" t="str">
        <f>IFERROR(VLOOKUP($J229,'Lower Cask Movement &amp; Logistics'!$H$4:$I$9,2,FALSE),"N/A")</f>
        <v>N/A</v>
      </c>
      <c r="O229" s="1183" t="str">
        <f t="shared" si="27"/>
        <v>N/A</v>
      </c>
      <c r="P229" s="1578"/>
      <c r="Q229" s="1183" t="str">
        <f>IF($E229="Logistics",VLOOKUP($P229,'Lower Cask Movement &amp; Logistics'!$C$4:$D$54,2,FALSE),"N/A")</f>
        <v>N/A</v>
      </c>
      <c r="R229" s="3377"/>
      <c r="S229" s="3476" t="str">
        <f>IFERROR(VLOOKUP($R229,'LowerCask Recovery Dependencies'!$C$138:$F$191,4,FALSE),"N/A")</f>
        <v>N/A</v>
      </c>
      <c r="T229" s="3482" t="str">
        <f t="shared" si="29"/>
        <v>N/A</v>
      </c>
      <c r="U229" s="3483"/>
      <c r="V229" s="3483"/>
      <c r="W229" s="3484"/>
      <c r="X229" s="1719"/>
      <c r="Y229" s="1719"/>
    </row>
    <row r="230" spans="2:25" s="88" customFormat="1" hidden="1" outlineLevel="2" x14ac:dyDescent="0.4">
      <c r="B230" s="1956"/>
      <c r="C230" s="3786"/>
      <c r="D230" s="1579" t="s">
        <v>1638</v>
      </c>
      <c r="E230" s="1611" t="s">
        <v>3</v>
      </c>
      <c r="F230" s="626">
        <f t="shared" si="26"/>
        <v>0.38</v>
      </c>
      <c r="G230" s="626">
        <f t="shared" si="28"/>
        <v>59.335571942617264</v>
      </c>
      <c r="H230" s="1579"/>
      <c r="I230" s="1183" t="s">
        <v>263</v>
      </c>
      <c r="J230" s="1579"/>
      <c r="K230" s="582"/>
      <c r="L230" s="582"/>
      <c r="M230" s="1478" t="str">
        <f>IFERROR(INDEX('Lower Cask Movement &amp; Logistics'!$I$13:$O$19,MATCH($K230,'Lower Cask Movement &amp; Logistics'!$H$13:$H$19,0),MATCH($L230,'Lower Cask Movement &amp; Logistics'!$H$13:$H$19,0)),"N/A")</f>
        <v>N/A</v>
      </c>
      <c r="N230" s="1478" t="str">
        <f>IFERROR(VLOOKUP($J230,'Lower Cask Movement &amp; Logistics'!$H$4:$I$9,2,FALSE),"N/A")</f>
        <v>N/A</v>
      </c>
      <c r="O230" s="1183" t="str">
        <f t="shared" si="27"/>
        <v>N/A</v>
      </c>
      <c r="P230" s="1578" t="s">
        <v>1546</v>
      </c>
      <c r="Q230" s="1183">
        <f>IF($E230="Logistics",VLOOKUP($P230,'Lower Cask Movement &amp; Logistics'!$C$4:$D$54,2,FALSE),"N/A")</f>
        <v>0.38</v>
      </c>
      <c r="R230" s="3377"/>
      <c r="S230" s="3476" t="str">
        <f>IFERROR(VLOOKUP($R230,'LowerCask Recovery Dependencies'!$C$138:$F$191,4,FALSE),"N/A")</f>
        <v>N/A</v>
      </c>
      <c r="T230" s="3482" t="str">
        <f t="shared" si="29"/>
        <v>N/A</v>
      </c>
      <c r="U230" s="3483"/>
      <c r="V230" s="3483"/>
      <c r="W230" s="3484"/>
      <c r="X230" s="1719"/>
      <c r="Y230" s="1719"/>
    </row>
    <row r="231" spans="2:25" s="88" customFormat="1" hidden="1" outlineLevel="2" x14ac:dyDescent="0.4">
      <c r="B231" s="1956"/>
      <c r="C231" s="3786"/>
      <c r="D231" s="1579" t="s">
        <v>1639</v>
      </c>
      <c r="E231" s="1611" t="s">
        <v>3</v>
      </c>
      <c r="F231" s="626">
        <f t="shared" si="26"/>
        <v>0.53</v>
      </c>
      <c r="G231" s="626">
        <f t="shared" si="28"/>
        <v>59.865571942617265</v>
      </c>
      <c r="H231" s="1579"/>
      <c r="I231" s="1183" t="s">
        <v>263</v>
      </c>
      <c r="J231" s="1579"/>
      <c r="K231" s="582"/>
      <c r="L231" s="582"/>
      <c r="M231" s="1478" t="str">
        <f>IFERROR(INDEX('Lower Cask Movement &amp; Logistics'!$I$13:$O$19,MATCH($K231,'Lower Cask Movement &amp; Logistics'!$H$13:$H$19,0),MATCH($L231,'Lower Cask Movement &amp; Logistics'!$H$13:$H$19,0)),"N/A")</f>
        <v>N/A</v>
      </c>
      <c r="N231" s="1478" t="str">
        <f>IFERROR(VLOOKUP($J231,'Lower Cask Movement &amp; Logistics'!$H$4:$I$9,2,FALSE),"N/A")</f>
        <v>N/A</v>
      </c>
      <c r="O231" s="1183" t="str">
        <f t="shared" si="27"/>
        <v>N/A</v>
      </c>
      <c r="P231" s="1578" t="s">
        <v>1558</v>
      </c>
      <c r="Q231" s="1183">
        <f>IF($E231="Logistics",VLOOKUP($P231,'Lower Cask Movement &amp; Logistics'!$C$4:$D$54,2,FALSE),"N/A")</f>
        <v>0.53</v>
      </c>
      <c r="R231" s="3377"/>
      <c r="S231" s="3476" t="str">
        <f>IFERROR(VLOOKUP($R231,'LowerCask Recovery Dependencies'!$C$138:$F$191,4,FALSE),"N/A")</f>
        <v>N/A</v>
      </c>
      <c r="T231" s="3482" t="str">
        <f t="shared" si="29"/>
        <v>N/A</v>
      </c>
      <c r="U231" s="3483"/>
      <c r="V231" s="3483"/>
      <c r="W231" s="3484"/>
      <c r="X231" s="1719"/>
      <c r="Y231" s="1719"/>
    </row>
    <row r="232" spans="2:25" s="88" customFormat="1" hidden="1" outlineLevel="2" x14ac:dyDescent="0.4">
      <c r="B232" s="1956"/>
      <c r="C232" s="3786"/>
      <c r="D232" s="1579" t="s">
        <v>953</v>
      </c>
      <c r="E232" s="1611" t="s">
        <v>251</v>
      </c>
      <c r="F232" s="626">
        <f t="shared" si="26"/>
        <v>7.5229670597283897</v>
      </c>
      <c r="G232" s="626">
        <f t="shared" si="28"/>
        <v>67.388539002345652</v>
      </c>
      <c r="H232" s="1579" t="s">
        <v>442</v>
      </c>
      <c r="I232" s="1183">
        <v>7.5229670597283897</v>
      </c>
      <c r="J232" s="1579"/>
      <c r="K232" s="582"/>
      <c r="L232" s="582"/>
      <c r="M232" s="1478" t="str">
        <f>IFERROR(INDEX('Lower Cask Movement &amp; Logistics'!$I$13:$O$19,MATCH($K232,'Lower Cask Movement &amp; Logistics'!$H$13:$H$19,0),MATCH($L232,'Lower Cask Movement &amp; Logistics'!$H$13:$H$19,0)),"N/A")</f>
        <v>N/A</v>
      </c>
      <c r="N232" s="1478" t="str">
        <f>IFERROR(VLOOKUP($J232,'Lower Cask Movement &amp; Logistics'!$H$4:$I$9,2,FALSE),"N/A")</f>
        <v>N/A</v>
      </c>
      <c r="O232" s="1183" t="str">
        <f t="shared" si="27"/>
        <v>N/A</v>
      </c>
      <c r="P232" s="1578"/>
      <c r="Q232" s="1183" t="str">
        <f>IF($E232="Logistics",VLOOKUP($P232,'Lower Cask Movement &amp; Logistics'!$C$4:$D$54,2,FALSE),"N/A")</f>
        <v>N/A</v>
      </c>
      <c r="R232" s="3377"/>
      <c r="S232" s="3476" t="str">
        <f>IFERROR(VLOOKUP($R232,'LowerCask Recovery Dependencies'!$C$138:$F$191,4,FALSE),"N/A")</f>
        <v>N/A</v>
      </c>
      <c r="T232" s="3482" t="str">
        <f t="shared" si="29"/>
        <v>N/A</v>
      </c>
      <c r="U232" s="3483"/>
      <c r="V232" s="3483"/>
      <c r="W232" s="3484"/>
      <c r="X232" s="1719"/>
      <c r="Y232" s="1719"/>
    </row>
    <row r="233" spans="2:25" s="88" customFormat="1" hidden="1" outlineLevel="2" x14ac:dyDescent="0.4">
      <c r="B233" s="1956"/>
      <c r="C233" s="3786"/>
      <c r="D233" s="1579" t="s">
        <v>1640</v>
      </c>
      <c r="E233" s="1611" t="s">
        <v>3</v>
      </c>
      <c r="F233" s="626">
        <f t="shared" si="26"/>
        <v>0.38</v>
      </c>
      <c r="G233" s="626">
        <f t="shared" si="28"/>
        <v>67.768539002345648</v>
      </c>
      <c r="H233" s="1579"/>
      <c r="I233" s="1183" t="s">
        <v>263</v>
      </c>
      <c r="J233" s="1579"/>
      <c r="K233" s="582"/>
      <c r="L233" s="582"/>
      <c r="M233" s="1478" t="str">
        <f>IFERROR(INDEX('Lower Cask Movement &amp; Logistics'!$I$13:$O$19,MATCH($K233,'Lower Cask Movement &amp; Logistics'!$H$13:$H$19,0),MATCH($L233,'Lower Cask Movement &amp; Logistics'!$H$13:$H$19,0)),"N/A")</f>
        <v>N/A</v>
      </c>
      <c r="N233" s="1478" t="str">
        <f>IFERROR(VLOOKUP($J233,'Lower Cask Movement &amp; Logistics'!$H$4:$I$9,2,FALSE),"N/A")</f>
        <v>N/A</v>
      </c>
      <c r="O233" s="1183" t="str">
        <f t="shared" si="27"/>
        <v>N/A</v>
      </c>
      <c r="P233" s="1578" t="s">
        <v>1546</v>
      </c>
      <c r="Q233" s="1183">
        <f>IF($E233="Logistics",VLOOKUP($P233,'Lower Cask Movement &amp; Logistics'!$C$4:$D$54,2,FALSE),"N/A")</f>
        <v>0.38</v>
      </c>
      <c r="R233" s="3377"/>
      <c r="S233" s="3476" t="str">
        <f>IFERROR(VLOOKUP($R233,'LowerCask Recovery Dependencies'!$C$138:$F$191,4,FALSE),"N/A")</f>
        <v>N/A</v>
      </c>
      <c r="T233" s="3482" t="str">
        <f t="shared" si="29"/>
        <v>N/A</v>
      </c>
      <c r="U233" s="3483"/>
      <c r="V233" s="3483"/>
      <c r="W233" s="3484"/>
      <c r="X233" s="1719"/>
      <c r="Y233" s="1719"/>
    </row>
    <row r="234" spans="2:25" s="88" customFormat="1" hidden="1" outlineLevel="2" x14ac:dyDescent="0.4">
      <c r="B234" s="1956"/>
      <c r="C234" s="3786"/>
      <c r="D234" s="1579" t="s">
        <v>1599</v>
      </c>
      <c r="E234" s="1611" t="s">
        <v>3</v>
      </c>
      <c r="F234" s="626">
        <f t="shared" si="26"/>
        <v>0.38</v>
      </c>
      <c r="G234" s="626">
        <f t="shared" si="28"/>
        <v>68.148539002345643</v>
      </c>
      <c r="H234" s="1579"/>
      <c r="I234" s="1183" t="s">
        <v>263</v>
      </c>
      <c r="J234" s="1579"/>
      <c r="K234" s="582"/>
      <c r="L234" s="582"/>
      <c r="M234" s="1478" t="str">
        <f>IFERROR(INDEX('Lower Cask Movement &amp; Logistics'!$I$13:$O$19,MATCH($K234,'Lower Cask Movement &amp; Logistics'!$H$13:$H$19,0),MATCH($L234,'Lower Cask Movement &amp; Logistics'!$H$13:$H$19,0)),"N/A")</f>
        <v>N/A</v>
      </c>
      <c r="N234" s="1478" t="str">
        <f>IFERROR(VLOOKUP($J234,'Lower Cask Movement &amp; Logistics'!$H$4:$I$9,2,FALSE),"N/A")</f>
        <v>N/A</v>
      </c>
      <c r="O234" s="1183" t="str">
        <f t="shared" si="27"/>
        <v>N/A</v>
      </c>
      <c r="P234" s="1578" t="s">
        <v>1546</v>
      </c>
      <c r="Q234" s="1183">
        <f>IF($E234="Logistics",VLOOKUP($P234,'Lower Cask Movement &amp; Logistics'!$C$4:$D$54,2,FALSE),"N/A")</f>
        <v>0.38</v>
      </c>
      <c r="R234" s="3377"/>
      <c r="S234" s="3476" t="str">
        <f>IFERROR(VLOOKUP($R234,'LowerCask Recovery Dependencies'!$C$138:$F$191,4,FALSE),"N/A")</f>
        <v>N/A</v>
      </c>
      <c r="T234" s="3482" t="str">
        <f t="shared" si="29"/>
        <v>N/A</v>
      </c>
      <c r="U234" s="3483"/>
      <c r="V234" s="3483"/>
      <c r="W234" s="3484"/>
      <c r="X234" s="1719"/>
      <c r="Y234" s="1719"/>
    </row>
    <row r="235" spans="2:25" s="88" customFormat="1" ht="15" hidden="1" outlineLevel="2" thickBot="1" x14ac:dyDescent="0.45">
      <c r="B235" s="1956"/>
      <c r="C235" s="3788"/>
      <c r="D235" s="1136" t="s">
        <v>1641</v>
      </c>
      <c r="E235" s="1581" t="s">
        <v>3</v>
      </c>
      <c r="F235" s="585">
        <f t="shared" si="26"/>
        <v>2.3000000000000003</v>
      </c>
      <c r="G235" s="585">
        <f t="shared" si="28"/>
        <v>70.44853900234564</v>
      </c>
      <c r="H235" s="1136"/>
      <c r="I235" s="1179" t="s">
        <v>263</v>
      </c>
      <c r="J235" s="1136"/>
      <c r="K235" s="584"/>
      <c r="L235" s="584"/>
      <c r="M235" s="814" t="str">
        <f>IFERROR(INDEX('Lower Cask Movement &amp; Logistics'!$I$13:$O$19,MATCH($K235,'Lower Cask Movement &amp; Logistics'!$H$13:$H$19,0),MATCH($L235,'Lower Cask Movement &amp; Logistics'!$H$13:$H$19,0)),"N/A")</f>
        <v>N/A</v>
      </c>
      <c r="N235" s="814" t="str">
        <f>IFERROR(VLOOKUP($J235,'Lower Cask Movement &amp; Logistics'!$H$4:$I$9,2,FALSE),"N/A")</f>
        <v>N/A</v>
      </c>
      <c r="O235" s="1179" t="str">
        <f t="shared" si="27"/>
        <v>N/A</v>
      </c>
      <c r="P235" s="1582" t="s">
        <v>1552</v>
      </c>
      <c r="Q235" s="1179">
        <f>IF($E235="Logistics",VLOOKUP($P235,'Lower Cask Movement &amp; Logistics'!$C$4:$D$54,2,FALSE),"N/A")</f>
        <v>2.3000000000000003</v>
      </c>
      <c r="R235" s="3378"/>
      <c r="S235" s="3478" t="str">
        <f>IFERROR(VLOOKUP($R235,'LowerCask Recovery Dependencies'!$C$138:$F$191,4,FALSE),"N/A")</f>
        <v>N/A</v>
      </c>
      <c r="T235" s="3473" t="str">
        <f t="shared" si="29"/>
        <v>N/A</v>
      </c>
      <c r="U235" s="3483"/>
      <c r="V235" s="3483"/>
      <c r="W235" s="3484"/>
      <c r="X235" s="1719"/>
      <c r="Y235" s="1719"/>
    </row>
    <row r="236" spans="2:25" s="88" customFormat="1" hidden="1" outlineLevel="2" x14ac:dyDescent="0.4">
      <c r="B236" s="1956"/>
      <c r="C236" s="3852" t="s">
        <v>1649</v>
      </c>
      <c r="D236" s="1906" t="s">
        <v>1619</v>
      </c>
      <c r="E236" s="1907" t="s">
        <v>3</v>
      </c>
      <c r="F236" s="1739">
        <f t="shared" si="26"/>
        <v>1.9</v>
      </c>
      <c r="G236" s="1908">
        <f t="shared" si="28"/>
        <v>72.348539002345646</v>
      </c>
      <c r="H236" s="1909"/>
      <c r="I236" s="1910" t="s">
        <v>263</v>
      </c>
      <c r="J236" s="1906"/>
      <c r="K236" s="1911"/>
      <c r="L236" s="1911"/>
      <c r="M236" s="1912" t="str">
        <f>IFERROR(INDEX('Lower Cask Movement &amp; Logistics'!$I$13:$O$19,MATCH($K236,'Lower Cask Movement &amp; Logistics'!$H$13:$H$19,0),MATCH($L236,'Lower Cask Movement &amp; Logistics'!$H$13:$H$19,0)),"N/A")</f>
        <v>N/A</v>
      </c>
      <c r="N236" s="1913" t="str">
        <f>IFERROR(VLOOKUP($J236,'Lower Cask Movement &amp; Logistics'!$H$4:$I$9,2,FALSE),"N/A")</f>
        <v>N/A</v>
      </c>
      <c r="O236" s="1914" t="str">
        <f t="shared" si="27"/>
        <v>N/A</v>
      </c>
      <c r="P236" s="1915" t="s">
        <v>1541</v>
      </c>
      <c r="Q236" s="1914">
        <f>IF($E236="Logistics",VLOOKUP($P236,'Lower Cask Movement &amp; Logistics'!$C$4:$D$54,2,FALSE),"N/A")</f>
        <v>1.9</v>
      </c>
      <c r="R236" s="3381" t="s">
        <v>1866</v>
      </c>
      <c r="S236" s="3486">
        <f>IFERROR(VLOOKUP($R236,'LowerCask Recovery Dependencies'!$C$138:$F$191,4,FALSE),"N/A")</f>
        <v>47.152604882888873</v>
      </c>
      <c r="T236" s="3487">
        <f t="shared" si="29"/>
        <v>21.395934119456761</v>
      </c>
      <c r="U236" s="1719"/>
      <c r="V236" s="1719"/>
      <c r="W236" s="1719"/>
      <c r="X236" s="1719"/>
      <c r="Y236" s="1719"/>
    </row>
    <row r="237" spans="2:25" s="88" customFormat="1" hidden="1" outlineLevel="2" x14ac:dyDescent="0.4">
      <c r="B237" s="1956"/>
      <c r="C237" s="3856"/>
      <c r="D237" s="1895" t="s">
        <v>1247</v>
      </c>
      <c r="E237" s="1896" t="s">
        <v>3</v>
      </c>
      <c r="F237" s="1347">
        <f t="shared" si="26"/>
        <v>0.38</v>
      </c>
      <c r="G237" s="1351">
        <f t="shared" si="28"/>
        <v>72.728539002345642</v>
      </c>
      <c r="H237" s="1348"/>
      <c r="I237" s="1353" t="s">
        <v>263</v>
      </c>
      <c r="J237" s="1895"/>
      <c r="K237" s="1897"/>
      <c r="L237" s="1897"/>
      <c r="M237" s="1898" t="str">
        <f>IFERROR(INDEX('Lower Cask Movement &amp; Logistics'!$I$13:$O$19,MATCH($K237,'Lower Cask Movement &amp; Logistics'!$H$13:$H$19,0),MATCH($L237,'Lower Cask Movement &amp; Logistics'!$H$13:$H$19,0)),"N/A")</f>
        <v>N/A</v>
      </c>
      <c r="N237" s="1899" t="str">
        <f>IFERROR(VLOOKUP($J237,'Lower Cask Movement &amp; Logistics'!$H$4:$I$9,2,FALSE),"N/A")</f>
        <v>N/A</v>
      </c>
      <c r="O237" s="1900" t="str">
        <f t="shared" si="27"/>
        <v>N/A</v>
      </c>
      <c r="P237" s="1901" t="s">
        <v>1544</v>
      </c>
      <c r="Q237" s="1900">
        <f>IF($E237="Logistics",VLOOKUP($P237,'Lower Cask Movement &amp; Logistics'!$C$4:$D$54,2,FALSE),"N/A")</f>
        <v>0.38</v>
      </c>
      <c r="R237" s="3380"/>
      <c r="S237" s="3481" t="str">
        <f>IFERROR(VLOOKUP($R237,'LowerCask Recovery Dependencies'!$C$138:$F$191,4,FALSE),"N/A")</f>
        <v>N/A</v>
      </c>
      <c r="T237" s="3482" t="str">
        <f t="shared" si="29"/>
        <v>N/A</v>
      </c>
      <c r="U237" s="1719"/>
      <c r="V237" s="1719"/>
      <c r="W237" s="1719"/>
      <c r="X237" s="1719"/>
      <c r="Y237" s="1719"/>
    </row>
    <row r="238" spans="2:25" s="88" customFormat="1" hidden="1" outlineLevel="2" x14ac:dyDescent="0.4">
      <c r="B238" s="1956"/>
      <c r="C238" s="3856"/>
      <c r="D238" s="1895" t="s">
        <v>117</v>
      </c>
      <c r="E238" s="1896" t="s">
        <v>251</v>
      </c>
      <c r="F238" s="1347">
        <f t="shared" si="26"/>
        <v>17.622664625997164</v>
      </c>
      <c r="G238" s="1351">
        <f t="shared" si="28"/>
        <v>90.351203628342802</v>
      </c>
      <c r="H238" s="1348" t="s">
        <v>556</v>
      </c>
      <c r="I238" s="1353">
        <v>17.622664625997164</v>
      </c>
      <c r="J238" s="1895"/>
      <c r="K238" s="1897"/>
      <c r="L238" s="1897"/>
      <c r="M238" s="1898" t="str">
        <f>IFERROR(INDEX('Lower Cask Movement &amp; Logistics'!$I$13:$O$19,MATCH($K238,'Lower Cask Movement &amp; Logistics'!$H$13:$H$19,0),MATCH($L238,'Lower Cask Movement &amp; Logistics'!$H$13:$H$19,0)),"N/A")</f>
        <v>N/A</v>
      </c>
      <c r="N238" s="1899" t="str">
        <f>IFERROR(VLOOKUP($J238,'Lower Cask Movement &amp; Logistics'!$H$4:$I$9,2,FALSE),"N/A")</f>
        <v>N/A</v>
      </c>
      <c r="O238" s="1900" t="str">
        <f t="shared" si="27"/>
        <v>N/A</v>
      </c>
      <c r="P238" s="1901" t="s">
        <v>1546</v>
      </c>
      <c r="Q238" s="1900" t="str">
        <f>IF($E238="Logistics",VLOOKUP($P238,'Lower Cask Movement &amp; Logistics'!$C$4:$D$54,2,FALSE),"N/A")</f>
        <v>N/A</v>
      </c>
      <c r="R238" s="3380" t="s">
        <v>1880</v>
      </c>
      <c r="S238" s="3481">
        <f>IFERROR(VLOOKUP($R238,'LowerCask Recovery Dependencies'!$C$138:$F$191,4,FALSE),"N/A")</f>
        <v>54.748719952322425</v>
      </c>
      <c r="T238" s="3482">
        <f t="shared" si="29"/>
        <v>0.35715442402605646</v>
      </c>
      <c r="U238" s="1719"/>
      <c r="V238" s="1719"/>
      <c r="W238" s="1719"/>
      <c r="X238" s="1719"/>
      <c r="Y238" s="1719"/>
    </row>
    <row r="239" spans="2:25" s="88" customFormat="1" hidden="1" outlineLevel="2" x14ac:dyDescent="0.4">
      <c r="B239" s="1956"/>
      <c r="C239" s="3856"/>
      <c r="D239" s="1895" t="s">
        <v>1652</v>
      </c>
      <c r="E239" s="1896" t="s">
        <v>3</v>
      </c>
      <c r="F239" s="1347">
        <f t="shared" si="26"/>
        <v>0.38</v>
      </c>
      <c r="G239" s="1351">
        <f t="shared" si="28"/>
        <v>90.731203628342797</v>
      </c>
      <c r="H239" s="1348"/>
      <c r="I239" s="1353" t="s">
        <v>263</v>
      </c>
      <c r="J239" s="1895"/>
      <c r="K239" s="1897"/>
      <c r="L239" s="1897"/>
      <c r="M239" s="1898" t="str">
        <f>IFERROR(INDEX('Lower Cask Movement &amp; Logistics'!$I$13:$O$19,MATCH($K239,'Lower Cask Movement &amp; Logistics'!$H$13:$H$19,0),MATCH($L239,'Lower Cask Movement &amp; Logistics'!$H$13:$H$19,0)),"N/A")</f>
        <v>N/A</v>
      </c>
      <c r="N239" s="1899" t="str">
        <f>IFERROR(VLOOKUP($J239,'Lower Cask Movement &amp; Logistics'!$H$4:$I$9,2,FALSE),"N/A")</f>
        <v>N/A</v>
      </c>
      <c r="O239" s="1900" t="str">
        <f t="shared" si="27"/>
        <v>N/A</v>
      </c>
      <c r="P239" s="1901" t="s">
        <v>1544</v>
      </c>
      <c r="Q239" s="1900">
        <f>IF($E239="Logistics",VLOOKUP($P239,'Lower Cask Movement &amp; Logistics'!$C$4:$D$54,2,FALSE),"N/A")</f>
        <v>0.38</v>
      </c>
      <c r="R239" s="3380"/>
      <c r="S239" s="3481" t="str">
        <f>IFERROR(VLOOKUP($R239,'LowerCask Recovery Dependencies'!$C$138:$F$191,4,FALSE),"N/A")</f>
        <v>N/A</v>
      </c>
      <c r="T239" s="3482" t="str">
        <f t="shared" si="29"/>
        <v>N/A</v>
      </c>
      <c r="U239" s="1719"/>
      <c r="V239" s="1719"/>
      <c r="W239" s="1719"/>
      <c r="X239" s="1719"/>
      <c r="Y239" s="1719"/>
    </row>
    <row r="240" spans="2:25" s="88" customFormat="1" hidden="1" outlineLevel="2" x14ac:dyDescent="0.4">
      <c r="B240" s="1956"/>
      <c r="C240" s="3856"/>
      <c r="D240" s="1895" t="s">
        <v>1653</v>
      </c>
      <c r="E240" s="1896" t="s">
        <v>251</v>
      </c>
      <c r="F240" s="1347">
        <f t="shared" si="26"/>
        <v>17.622664625997164</v>
      </c>
      <c r="G240" s="1351">
        <f t="shared" si="28"/>
        <v>108.35386825433996</v>
      </c>
      <c r="H240" s="1348" t="s">
        <v>1654</v>
      </c>
      <c r="I240" s="1353">
        <v>17.622664625997164</v>
      </c>
      <c r="J240" s="1895"/>
      <c r="K240" s="1897"/>
      <c r="L240" s="1897"/>
      <c r="M240" s="1898" t="str">
        <f>IFERROR(INDEX('Lower Cask Movement &amp; Logistics'!$I$13:$O$19,MATCH($K240,'Lower Cask Movement &amp; Logistics'!$H$13:$H$19,0),MATCH($L240,'Lower Cask Movement &amp; Logistics'!$H$13:$H$19,0)),"N/A")</f>
        <v>N/A</v>
      </c>
      <c r="N240" s="1899" t="str">
        <f>IFERROR(VLOOKUP($J240,'Lower Cask Movement &amp; Logistics'!$H$4:$I$9,2,FALSE),"N/A")</f>
        <v>N/A</v>
      </c>
      <c r="O240" s="1900" t="str">
        <f t="shared" si="27"/>
        <v>N/A</v>
      </c>
      <c r="P240" s="1901"/>
      <c r="Q240" s="1900" t="str">
        <f>IF($E240="Logistics",VLOOKUP($P240,'Lower Cask Movement &amp; Logistics'!$C$4:$D$54,2,FALSE),"N/A")</f>
        <v>N/A</v>
      </c>
      <c r="R240" s="3380" t="s">
        <v>1881</v>
      </c>
      <c r="S240" s="3481">
        <f>IFERROR(VLOOKUP($R240,'LowerCask Recovery Dependencies'!$C$138:$F$191,4,FALSE),"N/A")</f>
        <v>59.148164396766866</v>
      </c>
      <c r="T240" s="3482">
        <f t="shared" si="29"/>
        <v>13.960374605578771</v>
      </c>
      <c r="U240" s="1719"/>
      <c r="V240" s="1719"/>
      <c r="W240" s="1719"/>
      <c r="X240" s="1719"/>
      <c r="Y240" s="1719"/>
    </row>
    <row r="241" spans="2:25" s="88" customFormat="1" hidden="1" outlineLevel="2" x14ac:dyDescent="0.4">
      <c r="B241" s="1956"/>
      <c r="C241" s="3856"/>
      <c r="D241" s="1895" t="s">
        <v>1599</v>
      </c>
      <c r="E241" s="1896" t="s">
        <v>3</v>
      </c>
      <c r="F241" s="1347">
        <f t="shared" si="26"/>
        <v>0.38</v>
      </c>
      <c r="G241" s="1351">
        <f t="shared" si="28"/>
        <v>108.73386825433995</v>
      </c>
      <c r="H241" s="1348"/>
      <c r="I241" s="1353" t="s">
        <v>263</v>
      </c>
      <c r="J241" s="1895"/>
      <c r="K241" s="1897"/>
      <c r="L241" s="1897"/>
      <c r="M241" s="1898" t="str">
        <f>IFERROR(INDEX('Lower Cask Movement &amp; Logistics'!$I$13:$O$19,MATCH($K241,'Lower Cask Movement &amp; Logistics'!$H$13:$H$19,0),MATCH($L241,'Lower Cask Movement &amp; Logistics'!$H$13:$H$19,0)),"N/A")</f>
        <v>N/A</v>
      </c>
      <c r="N241" s="1899" t="str">
        <f>IFERROR(VLOOKUP($J241,'Lower Cask Movement &amp; Logistics'!$H$4:$I$9,2,FALSE),"N/A")</f>
        <v>N/A</v>
      </c>
      <c r="O241" s="1900" t="str">
        <f t="shared" si="27"/>
        <v>N/A</v>
      </c>
      <c r="P241" s="1901" t="s">
        <v>1546</v>
      </c>
      <c r="Q241" s="1900">
        <f>IF($E241="Logistics",VLOOKUP($P241,'Lower Cask Movement &amp; Logistics'!$C$4:$D$54,2,FALSE),"N/A")</f>
        <v>0.38</v>
      </c>
      <c r="R241" s="3380"/>
      <c r="S241" s="3481" t="str">
        <f>IFERROR(VLOOKUP($R241,'LowerCask Recovery Dependencies'!$C$138:$F$191,4,FALSE),"N/A")</f>
        <v>N/A</v>
      </c>
      <c r="T241" s="3482" t="str">
        <f t="shared" si="29"/>
        <v>N/A</v>
      </c>
      <c r="U241" s="1719"/>
      <c r="V241" s="1719"/>
      <c r="W241" s="1719"/>
      <c r="X241" s="1719"/>
      <c r="Y241" s="1719"/>
    </row>
    <row r="242" spans="2:25" s="88" customFormat="1" ht="15" hidden="1" outlineLevel="2" thickBot="1" x14ac:dyDescent="0.45">
      <c r="B242" s="1956"/>
      <c r="C242" s="3853"/>
      <c r="D242" s="1869" t="s">
        <v>1656</v>
      </c>
      <c r="E242" s="1918" t="s">
        <v>3</v>
      </c>
      <c r="F242" s="1295">
        <f t="shared" si="26"/>
        <v>2.3000000000000003</v>
      </c>
      <c r="G242" s="1343">
        <f t="shared" si="28"/>
        <v>111.03386825433995</v>
      </c>
      <c r="H242" s="839"/>
      <c r="I242" s="1345" t="s">
        <v>263</v>
      </c>
      <c r="J242" s="1869"/>
      <c r="K242" s="837"/>
      <c r="L242" s="837"/>
      <c r="M242" s="842" t="str">
        <f>IFERROR(INDEX('Lower Cask Movement &amp; Logistics'!$I$13:$O$19,MATCH($K242,'Lower Cask Movement &amp; Logistics'!$H$13:$H$19,0),MATCH($L242,'Lower Cask Movement &amp; Logistics'!$H$13:$H$19,0)),"N/A")</f>
        <v>N/A</v>
      </c>
      <c r="N242" s="1870" t="str">
        <f>IFERROR(VLOOKUP($J242,'Lower Cask Movement &amp; Logistics'!$H$4:$I$9,2,FALSE),"N/A")</f>
        <v>N/A</v>
      </c>
      <c r="O242" s="1919" t="str">
        <f t="shared" si="27"/>
        <v>N/A</v>
      </c>
      <c r="P242" s="1920" t="s">
        <v>1552</v>
      </c>
      <c r="Q242" s="1919">
        <f>IF($E242="Logistics",VLOOKUP($P242,'Lower Cask Movement &amp; Logistics'!$C$4:$D$54,2,FALSE),"N/A")</f>
        <v>2.3000000000000003</v>
      </c>
      <c r="R242" s="3382"/>
      <c r="S242" s="3488" t="str">
        <f>IFERROR(VLOOKUP($R242,'LowerCask Recovery Dependencies'!$C$138:$F$191,4,FALSE),"N/A")</f>
        <v>N/A</v>
      </c>
      <c r="T242" s="3473" t="str">
        <f t="shared" si="29"/>
        <v>N/A</v>
      </c>
      <c r="U242" s="1719"/>
      <c r="V242" s="1719"/>
      <c r="W242" s="1719"/>
      <c r="X242" s="1719"/>
      <c r="Y242" s="1719"/>
    </row>
    <row r="243" spans="2:25" s="88" customFormat="1" hidden="1" outlineLevel="2" x14ac:dyDescent="0.4">
      <c r="B243" s="1956"/>
      <c r="C243" s="3854" t="s">
        <v>1657</v>
      </c>
      <c r="D243" s="1638" t="s">
        <v>1619</v>
      </c>
      <c r="E243" s="1639" t="s">
        <v>3</v>
      </c>
      <c r="F243" s="1640">
        <f t="shared" si="26"/>
        <v>1.9</v>
      </c>
      <c r="G243" s="1940">
        <f t="shared" si="28"/>
        <v>112.93386825433996</v>
      </c>
      <c r="H243" s="1941"/>
      <c r="I243" s="1476" t="s">
        <v>263</v>
      </c>
      <c r="J243" s="1638"/>
      <c r="K243" s="1642"/>
      <c r="L243" s="1642"/>
      <c r="M243" s="1643" t="str">
        <f>IFERROR(INDEX('Lower Cask Movement &amp; Logistics'!$I$13:$O$19,MATCH($K243,'Lower Cask Movement &amp; Logistics'!$H$13:$H$19,0),MATCH($L243,'Lower Cask Movement &amp; Logistics'!$H$13:$H$19,0)),"N/A")</f>
        <v>N/A</v>
      </c>
      <c r="N243" s="1942" t="str">
        <f>IFERROR(VLOOKUP($J243,'Lower Cask Movement &amp; Logistics'!$H$4:$I$9,2,FALSE),"N/A")</f>
        <v>N/A</v>
      </c>
      <c r="O243" s="1943" t="str">
        <f t="shared" si="27"/>
        <v>N/A</v>
      </c>
      <c r="P243" s="1944" t="s">
        <v>1541</v>
      </c>
      <c r="Q243" s="1943">
        <f>IF($E243="Logistics",VLOOKUP($P243,'Lower Cask Movement &amp; Logistics'!$C$4:$D$54,2,FALSE),"N/A")</f>
        <v>1.9</v>
      </c>
      <c r="R243" s="3388" t="s">
        <v>1869</v>
      </c>
      <c r="S243" s="3498">
        <f>IFERROR(VLOOKUP($R243,'LowerCask Recovery Dependencies'!$C$138:$F$191,4,FALSE),"N/A")</f>
        <v>72.762242706049335</v>
      </c>
      <c r="T243" s="3499">
        <f t="shared" si="29"/>
        <v>36.371625548290609</v>
      </c>
      <c r="U243" s="1719"/>
      <c r="V243" s="1719"/>
      <c r="W243" s="1719"/>
      <c r="X243" s="1719"/>
      <c r="Y243" s="1719"/>
    </row>
    <row r="244" spans="2:25" s="88" customFormat="1" hidden="1" outlineLevel="2" x14ac:dyDescent="0.4">
      <c r="B244" s="1956"/>
      <c r="C244" s="3854"/>
      <c r="D244" s="1579" t="s">
        <v>1247</v>
      </c>
      <c r="E244" s="1611" t="s">
        <v>3</v>
      </c>
      <c r="F244" s="626">
        <f t="shared" si="26"/>
        <v>0.38</v>
      </c>
      <c r="G244" s="630">
        <f t="shared" si="28"/>
        <v>113.31386825433995</v>
      </c>
      <c r="H244" s="627"/>
      <c r="I244" s="632" t="s">
        <v>263</v>
      </c>
      <c r="J244" s="1579"/>
      <c r="K244" s="582"/>
      <c r="L244" s="582"/>
      <c r="M244" s="1478" t="str">
        <f>IFERROR(INDEX('Lower Cask Movement &amp; Logistics'!$I$13:$O$19,MATCH($K244,'Lower Cask Movement &amp; Logistics'!$H$13:$H$19,0),MATCH($L244,'Lower Cask Movement &amp; Logistics'!$H$13:$H$19,0)),"N/A")</f>
        <v>N/A</v>
      </c>
      <c r="N244" s="1878" t="str">
        <f>IFERROR(VLOOKUP($J244,'Lower Cask Movement &amp; Logistics'!$H$4:$I$9,2,FALSE),"N/A")</f>
        <v>N/A</v>
      </c>
      <c r="O244" s="1879" t="str">
        <f t="shared" si="27"/>
        <v>N/A</v>
      </c>
      <c r="P244" s="1880" t="s">
        <v>1544</v>
      </c>
      <c r="Q244" s="1879">
        <f>IF($E244="Logistics",VLOOKUP($P244,'Lower Cask Movement &amp; Logistics'!$C$4:$D$54,2,FALSE),"N/A")</f>
        <v>0.38</v>
      </c>
      <c r="R244" s="3377"/>
      <c r="S244" s="3476" t="str">
        <f>IFERROR(VLOOKUP($R244,'LowerCask Recovery Dependencies'!$C$138:$F$191,4,FALSE),"N/A")</f>
        <v>N/A</v>
      </c>
      <c r="T244" s="3477" t="str">
        <f t="shared" si="29"/>
        <v>N/A</v>
      </c>
      <c r="U244" s="1719"/>
      <c r="V244" s="1719"/>
      <c r="W244" s="1719"/>
      <c r="X244" s="1719"/>
      <c r="Y244" s="1719"/>
    </row>
    <row r="245" spans="2:25" s="88" customFormat="1" hidden="1" outlineLevel="2" x14ac:dyDescent="0.4">
      <c r="B245" s="1956"/>
      <c r="C245" s="3854"/>
      <c r="D245" s="1579" t="s">
        <v>1659</v>
      </c>
      <c r="E245" s="1611" t="s">
        <v>3</v>
      </c>
      <c r="F245" s="626">
        <f t="shared" si="26"/>
        <v>0.38</v>
      </c>
      <c r="G245" s="630">
        <f t="shared" si="28"/>
        <v>113.69386825433995</v>
      </c>
      <c r="H245" s="627"/>
      <c r="I245" s="632" t="s">
        <v>263</v>
      </c>
      <c r="J245" s="1579"/>
      <c r="K245" s="582"/>
      <c r="L245" s="582"/>
      <c r="M245" s="1478" t="str">
        <f>IFERROR(INDEX('Lower Cask Movement &amp; Logistics'!$I$13:$O$19,MATCH($K245,'Lower Cask Movement &amp; Logistics'!$H$13:$H$19,0),MATCH($L245,'Lower Cask Movement &amp; Logistics'!$H$13:$H$19,0)),"N/A")</f>
        <v>N/A</v>
      </c>
      <c r="N245" s="1878" t="str">
        <f>IFERROR(VLOOKUP($J245,'Lower Cask Movement &amp; Logistics'!$H$4:$I$9,2,FALSE),"N/A")</f>
        <v>N/A</v>
      </c>
      <c r="O245" s="1879" t="str">
        <f t="shared" si="27"/>
        <v>N/A</v>
      </c>
      <c r="P245" s="1880" t="s">
        <v>1544</v>
      </c>
      <c r="Q245" s="1879">
        <f>IF($E245="Logistics",VLOOKUP($P245,'Lower Cask Movement &amp; Logistics'!$C$4:$D$54,2,FALSE),"N/A")</f>
        <v>0.38</v>
      </c>
      <c r="R245" s="3377"/>
      <c r="S245" s="3476" t="str">
        <f>IFERROR(VLOOKUP($R245,'LowerCask Recovery Dependencies'!$C$138:$F$191,4,FALSE),"N/A")</f>
        <v>N/A</v>
      </c>
      <c r="T245" s="3477" t="str">
        <f t="shared" si="29"/>
        <v>N/A</v>
      </c>
      <c r="U245" s="1719"/>
      <c r="V245" s="1719"/>
      <c r="W245" s="1719"/>
      <c r="X245" s="1719"/>
      <c r="Y245" s="1719"/>
    </row>
    <row r="246" spans="2:25" s="88" customFormat="1" hidden="1" outlineLevel="2" x14ac:dyDescent="0.4">
      <c r="B246" s="1956"/>
      <c r="C246" s="3854"/>
      <c r="D246" s="1579" t="s">
        <v>1660</v>
      </c>
      <c r="E246" s="1611" t="s">
        <v>251</v>
      </c>
      <c r="F246" s="626">
        <f t="shared" si="26"/>
        <v>10.036332312998582</v>
      </c>
      <c r="G246" s="630">
        <f t="shared" si="28"/>
        <v>123.73020056733853</v>
      </c>
      <c r="H246" s="627" t="s">
        <v>450</v>
      </c>
      <c r="I246" s="632">
        <v>10.036332312998582</v>
      </c>
      <c r="J246" s="1579"/>
      <c r="K246" s="582"/>
      <c r="L246" s="582"/>
      <c r="M246" s="1478" t="str">
        <f>IFERROR(INDEX('Lower Cask Movement &amp; Logistics'!$I$13:$O$19,MATCH($K246,'Lower Cask Movement &amp; Logistics'!$H$13:$H$19,0),MATCH($L246,'Lower Cask Movement &amp; Logistics'!$H$13:$H$19,0)),"N/A")</f>
        <v>N/A</v>
      </c>
      <c r="N246" s="1878" t="str">
        <f>IFERROR(VLOOKUP($J246,'Lower Cask Movement &amp; Logistics'!$H$4:$I$9,2,FALSE),"N/A")</f>
        <v>N/A</v>
      </c>
      <c r="O246" s="1879" t="str">
        <f t="shared" si="27"/>
        <v>N/A</v>
      </c>
      <c r="P246" s="1880"/>
      <c r="Q246" s="1879" t="str">
        <f>IF($E246="Logistics",VLOOKUP($P246,'Lower Cask Movement &amp; Logistics'!$C$4:$D$54,2,FALSE),"N/A")</f>
        <v>N/A</v>
      </c>
      <c r="R246" s="3377"/>
      <c r="S246" s="3476" t="str">
        <f>IFERROR(VLOOKUP($R246,'LowerCask Recovery Dependencies'!$C$138:$F$191,4,FALSE),"N/A")</f>
        <v>N/A</v>
      </c>
      <c r="T246" s="3477" t="str">
        <f t="shared" si="29"/>
        <v>N/A</v>
      </c>
      <c r="U246" s="1719"/>
      <c r="V246" s="1719"/>
      <c r="W246" s="1719"/>
      <c r="X246" s="1719"/>
      <c r="Y246" s="1719"/>
    </row>
    <row r="247" spans="2:25" s="88" customFormat="1" hidden="1" outlineLevel="2" x14ac:dyDescent="0.4">
      <c r="B247" s="1956"/>
      <c r="C247" s="3854"/>
      <c r="D247" s="1579" t="s">
        <v>1593</v>
      </c>
      <c r="E247" s="1611" t="s">
        <v>3</v>
      </c>
      <c r="F247" s="626">
        <f t="shared" si="26"/>
        <v>0.53</v>
      </c>
      <c r="G247" s="630">
        <f t="shared" si="28"/>
        <v>124.26020056733853</v>
      </c>
      <c r="H247" s="627"/>
      <c r="I247" s="632" t="s">
        <v>263</v>
      </c>
      <c r="J247" s="1579"/>
      <c r="K247" s="582"/>
      <c r="L247" s="582"/>
      <c r="M247" s="1478" t="str">
        <f>IFERROR(INDEX('Lower Cask Movement &amp; Logistics'!$I$13:$O$19,MATCH($K247,'Lower Cask Movement &amp; Logistics'!$H$13:$H$19,0),MATCH($L247,'Lower Cask Movement &amp; Logistics'!$H$13:$H$19,0)),"N/A")</f>
        <v>N/A</v>
      </c>
      <c r="N247" s="1878" t="str">
        <f>IFERROR(VLOOKUP($J247,'Lower Cask Movement &amp; Logistics'!$H$4:$I$9,2,FALSE),"N/A")</f>
        <v>N/A</v>
      </c>
      <c r="O247" s="1879" t="str">
        <f t="shared" si="27"/>
        <v>N/A</v>
      </c>
      <c r="P247" s="1880" t="s">
        <v>1558</v>
      </c>
      <c r="Q247" s="1879">
        <f>IF($E247="Logistics",VLOOKUP($P247,'Lower Cask Movement &amp; Logistics'!$C$4:$D$54,2,FALSE),"N/A")</f>
        <v>0.53</v>
      </c>
      <c r="R247" s="3377"/>
      <c r="S247" s="3476" t="str">
        <f>IFERROR(VLOOKUP($R247,'LowerCask Recovery Dependencies'!$C$138:$F$191,4,FALSE),"N/A")</f>
        <v>N/A</v>
      </c>
      <c r="T247" s="3477" t="str">
        <f t="shared" si="29"/>
        <v>N/A</v>
      </c>
      <c r="U247" s="1719"/>
      <c r="V247" s="1719"/>
      <c r="W247" s="1719"/>
      <c r="X247" s="1719"/>
      <c r="Y247" s="1719"/>
    </row>
    <row r="248" spans="2:25" s="88" customFormat="1" hidden="1" outlineLevel="2" x14ac:dyDescent="0.4">
      <c r="B248" s="1956"/>
      <c r="C248" s="3854"/>
      <c r="D248" s="1579" t="s">
        <v>1661</v>
      </c>
      <c r="E248" s="1611" t="s">
        <v>3</v>
      </c>
      <c r="F248" s="626">
        <f t="shared" si="26"/>
        <v>0.38</v>
      </c>
      <c r="G248" s="630">
        <f t="shared" si="28"/>
        <v>124.64020056733852</v>
      </c>
      <c r="H248" s="627"/>
      <c r="I248" s="632" t="s">
        <v>263</v>
      </c>
      <c r="J248" s="1579"/>
      <c r="K248" s="582"/>
      <c r="L248" s="582"/>
      <c r="M248" s="1478" t="str">
        <f>IFERROR(INDEX('Lower Cask Movement &amp; Logistics'!$I$13:$O$19,MATCH($K248,'Lower Cask Movement &amp; Logistics'!$H$13:$H$19,0),MATCH($L248,'Lower Cask Movement &amp; Logistics'!$H$13:$H$19,0)),"N/A")</f>
        <v>N/A</v>
      </c>
      <c r="N248" s="1878" t="str">
        <f>IFERROR(VLOOKUP($J248,'Lower Cask Movement &amp; Logistics'!$H$4:$I$9,2,FALSE),"N/A")</f>
        <v>N/A</v>
      </c>
      <c r="O248" s="1879" t="str">
        <f t="shared" si="27"/>
        <v>N/A</v>
      </c>
      <c r="P248" s="1880" t="s">
        <v>1544</v>
      </c>
      <c r="Q248" s="1879">
        <f>IF($E248="Logistics",VLOOKUP($P248,'Lower Cask Movement &amp; Logistics'!$C$4:$D$54,2,FALSE),"N/A")</f>
        <v>0.38</v>
      </c>
      <c r="R248" s="3377"/>
      <c r="S248" s="3476" t="str">
        <f>IFERROR(VLOOKUP($R248,'LowerCask Recovery Dependencies'!$C$138:$F$191,4,FALSE),"N/A")</f>
        <v>N/A</v>
      </c>
      <c r="T248" s="3477" t="str">
        <f t="shared" si="29"/>
        <v>N/A</v>
      </c>
      <c r="U248" s="1719"/>
      <c r="V248" s="1719"/>
      <c r="W248" s="1719"/>
      <c r="X248" s="1719"/>
      <c r="Y248" s="1719"/>
    </row>
    <row r="249" spans="2:25" s="88" customFormat="1" hidden="1" outlineLevel="2" x14ac:dyDescent="0.4">
      <c r="B249" s="1956"/>
      <c r="C249" s="3854"/>
      <c r="D249" s="1579" t="s">
        <v>1662</v>
      </c>
      <c r="E249" s="1611" t="s">
        <v>251</v>
      </c>
      <c r="F249" s="626">
        <f t="shared" si="26"/>
        <v>10.036332312998582</v>
      </c>
      <c r="G249" s="630">
        <f t="shared" si="28"/>
        <v>134.67653288033711</v>
      </c>
      <c r="H249" s="627" t="s">
        <v>450</v>
      </c>
      <c r="I249" s="632">
        <v>10.036332312998582</v>
      </c>
      <c r="J249" s="1579"/>
      <c r="K249" s="582"/>
      <c r="L249" s="582"/>
      <c r="M249" s="1478" t="str">
        <f>IFERROR(INDEX('Lower Cask Movement &amp; Logistics'!$I$13:$O$19,MATCH($K249,'Lower Cask Movement &amp; Logistics'!$H$13:$H$19,0),MATCH($L249,'Lower Cask Movement &amp; Logistics'!$H$13:$H$19,0)),"N/A")</f>
        <v>N/A</v>
      </c>
      <c r="N249" s="1878" t="str">
        <f>IFERROR(VLOOKUP($J249,'Lower Cask Movement &amp; Logistics'!$H$4:$I$9,2,FALSE),"N/A")</f>
        <v>N/A</v>
      </c>
      <c r="O249" s="1879" t="str">
        <f t="shared" si="27"/>
        <v>N/A</v>
      </c>
      <c r="P249" s="1880"/>
      <c r="Q249" s="1879" t="str">
        <f>IF($E249="Logistics",VLOOKUP($P249,'Lower Cask Movement &amp; Logistics'!$C$4:$D$54,2,FALSE),"N/A")</f>
        <v>N/A</v>
      </c>
      <c r="R249" s="3377"/>
      <c r="S249" s="3476" t="str">
        <f>IFERROR(VLOOKUP($R249,'LowerCask Recovery Dependencies'!$C$138:$F$191,4,FALSE),"N/A")</f>
        <v>N/A</v>
      </c>
      <c r="T249" s="3477" t="str">
        <f t="shared" si="29"/>
        <v>N/A</v>
      </c>
      <c r="U249" s="1719"/>
      <c r="V249" s="1719"/>
      <c r="W249" s="1719"/>
      <c r="X249" s="1719"/>
      <c r="Y249" s="1719"/>
    </row>
    <row r="250" spans="2:25" s="88" customFormat="1" hidden="1" outlineLevel="2" x14ac:dyDescent="0.4">
      <c r="B250" s="1956"/>
      <c r="C250" s="3854"/>
      <c r="D250" s="1579" t="s">
        <v>1599</v>
      </c>
      <c r="E250" s="1611" t="s">
        <v>3</v>
      </c>
      <c r="F250" s="626">
        <f t="shared" si="26"/>
        <v>0.38</v>
      </c>
      <c r="G250" s="630">
        <f t="shared" si="28"/>
        <v>135.0565328803371</v>
      </c>
      <c r="H250" s="627"/>
      <c r="I250" s="632" t="s">
        <v>263</v>
      </c>
      <c r="J250" s="1579"/>
      <c r="K250" s="582"/>
      <c r="L250" s="582"/>
      <c r="M250" s="1478" t="str">
        <f>IFERROR(INDEX('Lower Cask Movement &amp; Logistics'!$I$13:$O$19,MATCH($K250,'Lower Cask Movement &amp; Logistics'!$H$13:$H$19,0),MATCH($L250,'Lower Cask Movement &amp; Logistics'!$H$13:$H$19,0)),"N/A")</f>
        <v>N/A</v>
      </c>
      <c r="N250" s="1878" t="str">
        <f>IFERROR(VLOOKUP($J250,'Lower Cask Movement &amp; Logistics'!$H$4:$I$9,2,FALSE),"N/A")</f>
        <v>N/A</v>
      </c>
      <c r="O250" s="1879" t="str">
        <f t="shared" si="27"/>
        <v>N/A</v>
      </c>
      <c r="P250" s="1880" t="s">
        <v>1546</v>
      </c>
      <c r="Q250" s="1879">
        <f>IF($E250="Logistics",VLOOKUP($P250,'Lower Cask Movement &amp; Logistics'!$C$4:$D$54,2,FALSE),"N/A")</f>
        <v>0.38</v>
      </c>
      <c r="R250" s="3377"/>
      <c r="S250" s="3476" t="str">
        <f>IFERROR(VLOOKUP($R250,'LowerCask Recovery Dependencies'!$C$138:$F$191,4,FALSE),"N/A")</f>
        <v>N/A</v>
      </c>
      <c r="T250" s="3477" t="str">
        <f t="shared" si="29"/>
        <v>N/A</v>
      </c>
      <c r="U250" s="1719"/>
      <c r="V250" s="1719"/>
      <c r="W250" s="1719"/>
      <c r="X250" s="1719"/>
      <c r="Y250" s="1719"/>
    </row>
    <row r="251" spans="2:25" s="88" customFormat="1" hidden="1" outlineLevel="2" x14ac:dyDescent="0.4">
      <c r="B251" s="1956"/>
      <c r="C251" s="3854"/>
      <c r="D251" s="1579" t="s">
        <v>1590</v>
      </c>
      <c r="E251" s="1611" t="s">
        <v>3</v>
      </c>
      <c r="F251" s="626">
        <f t="shared" si="26"/>
        <v>0.38</v>
      </c>
      <c r="G251" s="630">
        <f t="shared" si="28"/>
        <v>135.4365328803371</v>
      </c>
      <c r="H251" s="627"/>
      <c r="I251" s="632" t="s">
        <v>263</v>
      </c>
      <c r="J251" s="1579"/>
      <c r="K251" s="582"/>
      <c r="L251" s="582"/>
      <c r="M251" s="1478" t="str">
        <f>IFERROR(INDEX('Lower Cask Movement &amp; Logistics'!$I$13:$O$19,MATCH($K251,'Lower Cask Movement &amp; Logistics'!$H$13:$H$19,0),MATCH($L251,'Lower Cask Movement &amp; Logistics'!$H$13:$H$19,0)),"N/A")</f>
        <v>N/A</v>
      </c>
      <c r="N251" s="1878" t="str">
        <f>IFERROR(VLOOKUP($J251,'Lower Cask Movement &amp; Logistics'!$H$4:$I$9,2,FALSE),"N/A")</f>
        <v>N/A</v>
      </c>
      <c r="O251" s="1879" t="str">
        <f t="shared" si="27"/>
        <v>N/A</v>
      </c>
      <c r="P251" s="1880" t="s">
        <v>1546</v>
      </c>
      <c r="Q251" s="1879">
        <f>IF($E251="Logistics",VLOOKUP($P251,'Lower Cask Movement &amp; Logistics'!$C$4:$D$54,2,FALSE),"N/A")</f>
        <v>0.38</v>
      </c>
      <c r="R251" s="3377"/>
      <c r="S251" s="3476" t="str">
        <f>IFERROR(VLOOKUP($R251,'LowerCask Recovery Dependencies'!$C$138:$F$191,4,FALSE),"N/A")</f>
        <v>N/A</v>
      </c>
      <c r="T251" s="3477" t="str">
        <f t="shared" si="29"/>
        <v>N/A</v>
      </c>
      <c r="U251" s="1719"/>
      <c r="V251" s="1719"/>
      <c r="W251" s="1719"/>
      <c r="X251" s="1719"/>
      <c r="Y251" s="1719"/>
    </row>
    <row r="252" spans="2:25" s="88" customFormat="1" ht="15" hidden="1" outlineLevel="2" thickBot="1" x14ac:dyDescent="0.45">
      <c r="B252" s="1956"/>
      <c r="C252" s="3854"/>
      <c r="D252" s="1579" t="s">
        <v>1663</v>
      </c>
      <c r="E252" s="1611" t="s">
        <v>3</v>
      </c>
      <c r="F252" s="626">
        <f t="shared" si="26"/>
        <v>2.3000000000000003</v>
      </c>
      <c r="G252" s="630">
        <f t="shared" si="28"/>
        <v>137.73653288033711</v>
      </c>
      <c r="H252" s="627"/>
      <c r="I252" s="632" t="s">
        <v>263</v>
      </c>
      <c r="J252" s="1579"/>
      <c r="K252" s="582"/>
      <c r="L252" s="582"/>
      <c r="M252" s="1478" t="str">
        <f>IFERROR(INDEX('Lower Cask Movement &amp; Logistics'!$I$13:$O$19,MATCH($K252,'Lower Cask Movement &amp; Logistics'!$H$13:$H$19,0),MATCH($L252,'Lower Cask Movement &amp; Logistics'!$H$13:$H$19,0)),"N/A")</f>
        <v>N/A</v>
      </c>
      <c r="N252" s="1878" t="str">
        <f>IFERROR(VLOOKUP($J252,'Lower Cask Movement &amp; Logistics'!$H$4:$I$9,2,FALSE),"N/A")</f>
        <v>N/A</v>
      </c>
      <c r="O252" s="1879" t="str">
        <f t="shared" si="27"/>
        <v>N/A</v>
      </c>
      <c r="P252" s="1880" t="s">
        <v>1552</v>
      </c>
      <c r="Q252" s="1879">
        <f>IF($E252="Logistics",VLOOKUP($P252,'Lower Cask Movement &amp; Logistics'!$C$4:$D$54,2,FALSE),"N/A")</f>
        <v>2.3000000000000003</v>
      </c>
      <c r="R252" s="3377"/>
      <c r="S252" s="3476" t="str">
        <f>IFERROR(VLOOKUP($R252,'LowerCask Recovery Dependencies'!$C$138:$F$191,4,FALSE),"N/A")</f>
        <v>N/A</v>
      </c>
      <c r="T252" s="3477" t="str">
        <f t="shared" si="29"/>
        <v>N/A</v>
      </c>
      <c r="U252" s="1719"/>
      <c r="V252" s="1719"/>
      <c r="W252" s="1719"/>
      <c r="X252" s="1719"/>
      <c r="Y252" s="1719"/>
    </row>
    <row r="253" spans="2:25" s="88" customFormat="1" hidden="1" outlineLevel="2" x14ac:dyDescent="0.4">
      <c r="B253" s="1956"/>
      <c r="C253" s="3852" t="s">
        <v>1882</v>
      </c>
      <c r="D253" s="1906" t="s">
        <v>1619</v>
      </c>
      <c r="E253" s="1907" t="s">
        <v>3</v>
      </c>
      <c r="F253" s="1739">
        <f t="shared" si="26"/>
        <v>1.9</v>
      </c>
      <c r="G253" s="1908">
        <f t="shared" si="28"/>
        <v>139.63653288033711</v>
      </c>
      <c r="H253" s="1909"/>
      <c r="I253" s="1910" t="s">
        <v>263</v>
      </c>
      <c r="J253" s="1906"/>
      <c r="K253" s="1911"/>
      <c r="L253" s="1911"/>
      <c r="M253" s="1912" t="str">
        <f>IFERROR(INDEX('Lower Cask Movement &amp; Logistics'!$I$13:$O$19,MATCH($K253,'Lower Cask Movement &amp; Logistics'!$H$13:$H$19,0),MATCH($L253,'Lower Cask Movement &amp; Logistics'!$H$13:$H$19,0)),"N/A")</f>
        <v>N/A</v>
      </c>
      <c r="N253" s="1913" t="str">
        <f>IFERROR(VLOOKUP($J253,'Lower Cask Movement &amp; Logistics'!$H$4:$I$9,2,FALSE),"N/A")</f>
        <v>N/A</v>
      </c>
      <c r="O253" s="1914" t="str">
        <f t="shared" si="27"/>
        <v>N/A</v>
      </c>
      <c r="P253" s="1915" t="s">
        <v>1541</v>
      </c>
      <c r="Q253" s="1914">
        <f>IF($E253="Logistics",VLOOKUP($P253,'Lower Cask Movement &amp; Logistics'!$C$4:$D$54,2,FALSE),"N/A")</f>
        <v>1.9</v>
      </c>
      <c r="R253" s="3381" t="s">
        <v>1870</v>
      </c>
      <c r="S253" s="3486">
        <f>IFERROR(VLOOKUP($R253,'LowerCask Recovery Dependencies'!$C$138:$F$191,4,FALSE),"N/A")</f>
        <v>113.34757195804364</v>
      </c>
      <c r="T253" s="3487">
        <f t="shared" si="29"/>
        <v>22.488960922293458</v>
      </c>
      <c r="U253" s="1719"/>
      <c r="V253" s="1719"/>
      <c r="W253" s="1719"/>
      <c r="X253" s="1719"/>
      <c r="Y253" s="1719"/>
    </row>
    <row r="254" spans="2:25" s="88" customFormat="1" hidden="1" outlineLevel="2" x14ac:dyDescent="0.4">
      <c r="B254" s="1956"/>
      <c r="C254" s="3856"/>
      <c r="D254" s="1895" t="s">
        <v>1247</v>
      </c>
      <c r="E254" s="1896" t="s">
        <v>3</v>
      </c>
      <c r="F254" s="1347">
        <f t="shared" si="26"/>
        <v>0.38</v>
      </c>
      <c r="G254" s="1351">
        <f t="shared" si="28"/>
        <v>140.01653288033711</v>
      </c>
      <c r="H254" s="1348"/>
      <c r="I254" s="1353" t="s">
        <v>263</v>
      </c>
      <c r="J254" s="1895"/>
      <c r="K254" s="1897"/>
      <c r="L254" s="1897"/>
      <c r="M254" s="1898" t="str">
        <f>IFERROR(INDEX('Lower Cask Movement &amp; Logistics'!$I$13:$O$19,MATCH($K254,'Lower Cask Movement &amp; Logistics'!$H$13:$H$19,0),MATCH($L254,'Lower Cask Movement &amp; Logistics'!$H$13:$H$19,0)),"N/A")</f>
        <v>N/A</v>
      </c>
      <c r="N254" s="1899" t="str">
        <f>IFERROR(VLOOKUP($J254,'Lower Cask Movement &amp; Logistics'!$H$4:$I$9,2,FALSE),"N/A")</f>
        <v>N/A</v>
      </c>
      <c r="O254" s="1900" t="str">
        <f t="shared" si="27"/>
        <v>N/A</v>
      </c>
      <c r="P254" s="1901" t="s">
        <v>1544</v>
      </c>
      <c r="Q254" s="1900">
        <f>IF($E254="Logistics",VLOOKUP($P254,'Lower Cask Movement &amp; Logistics'!$C$4:$D$54,2,FALSE),"N/A")</f>
        <v>0.38</v>
      </c>
      <c r="R254" s="3380"/>
      <c r="S254" s="3481" t="str">
        <f>IFERROR(VLOOKUP($R254,'LowerCask Recovery Dependencies'!$C$138:$F$191,4,FALSE),"N/A")</f>
        <v>N/A</v>
      </c>
      <c r="T254" s="3482" t="str">
        <f t="shared" si="29"/>
        <v>N/A</v>
      </c>
      <c r="U254" s="1719"/>
      <c r="V254" s="1719"/>
      <c r="W254" s="1719"/>
      <c r="X254" s="1719"/>
      <c r="Y254" s="1719"/>
    </row>
    <row r="255" spans="2:25" s="88" customFormat="1" hidden="1" outlineLevel="2" x14ac:dyDescent="0.4">
      <c r="B255" s="1956"/>
      <c r="C255" s="3856"/>
      <c r="D255" s="1895" t="s">
        <v>1666</v>
      </c>
      <c r="E255" s="1896" t="s">
        <v>3</v>
      </c>
      <c r="F255" s="1347">
        <f t="shared" si="26"/>
        <v>0.38</v>
      </c>
      <c r="G255" s="1351">
        <f t="shared" si="28"/>
        <v>140.39653288033711</v>
      </c>
      <c r="H255" s="1348"/>
      <c r="I255" s="1353" t="s">
        <v>263</v>
      </c>
      <c r="J255" s="1895"/>
      <c r="K255" s="1897"/>
      <c r="L255" s="1897"/>
      <c r="M255" s="1898" t="str">
        <f>IFERROR(INDEX('Lower Cask Movement &amp; Logistics'!$I$13:$O$19,MATCH($K255,'Lower Cask Movement &amp; Logistics'!$H$13:$H$19,0),MATCH($L255,'Lower Cask Movement &amp; Logistics'!$H$13:$H$19,0)),"N/A")</f>
        <v>N/A</v>
      </c>
      <c r="N255" s="1899" t="str">
        <f>IFERROR(VLOOKUP($J255,'Lower Cask Movement &amp; Logistics'!$H$4:$I$9,2,FALSE),"N/A")</f>
        <v>N/A</v>
      </c>
      <c r="O255" s="1900" t="str">
        <f t="shared" si="27"/>
        <v>N/A</v>
      </c>
      <c r="P255" s="1901" t="s">
        <v>1544</v>
      </c>
      <c r="Q255" s="1900">
        <f>IF($E255="Logistics",VLOOKUP($P255,'Lower Cask Movement &amp; Logistics'!$C$4:$D$54,2,FALSE),"N/A")</f>
        <v>0.38</v>
      </c>
      <c r="R255" s="3380"/>
      <c r="S255" s="3481" t="str">
        <f>IFERROR(VLOOKUP($R255,'LowerCask Recovery Dependencies'!$C$138:$F$191,4,FALSE),"N/A")</f>
        <v>N/A</v>
      </c>
      <c r="T255" s="3482" t="str">
        <f t="shared" si="29"/>
        <v>N/A</v>
      </c>
      <c r="U255" s="1719"/>
      <c r="V255" s="1719"/>
      <c r="W255" s="1719"/>
      <c r="X255" s="1719"/>
      <c r="Y255" s="1719"/>
    </row>
    <row r="256" spans="2:25" s="88" customFormat="1" hidden="1" outlineLevel="2" x14ac:dyDescent="0.4">
      <c r="B256" s="1956"/>
      <c r="C256" s="3856"/>
      <c r="D256" s="1895" t="s">
        <v>1667</v>
      </c>
      <c r="E256" s="1896" t="s">
        <v>251</v>
      </c>
      <c r="F256" s="1347">
        <f t="shared" si="26"/>
        <v>10.036332312998582</v>
      </c>
      <c r="G256" s="1351">
        <f t="shared" si="28"/>
        <v>150.43286519333569</v>
      </c>
      <c r="H256" s="1348" t="s">
        <v>450</v>
      </c>
      <c r="I256" s="1353">
        <v>10.036332312998582</v>
      </c>
      <c r="J256" s="1895"/>
      <c r="K256" s="1897"/>
      <c r="L256" s="1897"/>
      <c r="M256" s="1898" t="str">
        <f>IFERROR(INDEX('Lower Cask Movement &amp; Logistics'!$I$13:$O$19,MATCH($K256,'Lower Cask Movement &amp; Logistics'!$H$13:$H$19,0),MATCH($L256,'Lower Cask Movement &amp; Logistics'!$H$13:$H$19,0)),"N/A")</f>
        <v>N/A</v>
      </c>
      <c r="N256" s="1899" t="str">
        <f>IFERROR(VLOOKUP($J256,'Lower Cask Movement &amp; Logistics'!$H$4:$I$9,2,FALSE),"N/A")</f>
        <v>N/A</v>
      </c>
      <c r="O256" s="1900" t="str">
        <f t="shared" si="27"/>
        <v>N/A</v>
      </c>
      <c r="P256" s="1901"/>
      <c r="Q256" s="1900" t="str">
        <f>IF($E256="Logistics",VLOOKUP($P256,'Lower Cask Movement &amp; Logistics'!$C$4:$D$54,2,FALSE),"N/A")</f>
        <v>N/A</v>
      </c>
      <c r="R256" s="3380" t="s">
        <v>1871</v>
      </c>
      <c r="S256" s="3481">
        <f>IFERROR(VLOOKUP($R256,'LowerCask Recovery Dependencies'!$C$138:$F$191,4,FALSE),"N/A")</f>
        <v>63.547608841211307</v>
      </c>
      <c r="T256" s="3482">
        <f t="shared" si="29"/>
        <v>66.812591726127209</v>
      </c>
      <c r="U256" s="1719"/>
      <c r="V256" s="1719"/>
      <c r="W256" s="1719"/>
      <c r="X256" s="1719"/>
      <c r="Y256" s="1719"/>
    </row>
    <row r="257" spans="1:28" s="8" customFormat="1" ht="15" hidden="1" outlineLevel="3" thickBot="1" x14ac:dyDescent="0.45">
      <c r="A257"/>
      <c r="B257" s="1956"/>
      <c r="C257" s="3853"/>
      <c r="D257" s="1869" t="s">
        <v>1599</v>
      </c>
      <c r="E257" s="1918" t="s">
        <v>3</v>
      </c>
      <c r="F257" s="1295">
        <f t="shared" si="26"/>
        <v>0.38</v>
      </c>
      <c r="G257" s="1343">
        <f t="shared" si="28"/>
        <v>150.81286519333568</v>
      </c>
      <c r="H257" s="839"/>
      <c r="I257" s="1345" t="s">
        <v>263</v>
      </c>
      <c r="J257" s="1869"/>
      <c r="K257" s="837"/>
      <c r="L257" s="837"/>
      <c r="M257" s="842" t="s">
        <v>263</v>
      </c>
      <c r="N257" s="1870" t="s">
        <v>263</v>
      </c>
      <c r="O257" s="1919" t="str">
        <f t="shared" si="27"/>
        <v>N/A</v>
      </c>
      <c r="P257" s="1920" t="s">
        <v>1546</v>
      </c>
      <c r="Q257" s="1919">
        <f>IF($E257="Logistics",VLOOKUP($P257,'Lower Cask Movement &amp; Logistics'!$C$4:$D$53,2,FALSE),"N/A")</f>
        <v>0.38</v>
      </c>
      <c r="R257" s="3382"/>
      <c r="S257" s="3488" t="str">
        <f>IFERROR(VLOOKUP($R257,'LowerCask Recovery Dependencies'!$C$195:$F$227,4,FALSE),"N/A")</f>
        <v>N/A</v>
      </c>
      <c r="T257" s="3473" t="str">
        <f t="shared" si="29"/>
        <v>N/A</v>
      </c>
      <c r="U257" s="2424"/>
      <c r="V257" s="2424"/>
      <c r="W257" s="2424"/>
      <c r="X257" s="2424"/>
      <c r="Y257" s="3434"/>
    </row>
    <row r="258" spans="1:28" s="8" customFormat="1" hidden="1" outlineLevel="1" x14ac:dyDescent="0.4">
      <c r="A258"/>
      <c r="B258" s="1956"/>
      <c r="C258" s="1923"/>
      <c r="D258" s="892"/>
      <c r="E258" s="1439" t="s">
        <v>11</v>
      </c>
      <c r="F258" s="1439"/>
      <c r="G258" s="894">
        <f>G256</f>
        <v>150.43286519333569</v>
      </c>
      <c r="H258" s="94"/>
      <c r="I258" s="895"/>
      <c r="J258" s="94"/>
      <c r="K258" s="94"/>
      <c r="L258" s="896"/>
      <c r="M258" s="897"/>
      <c r="N258" s="897"/>
      <c r="O258" s="894"/>
      <c r="P258" s="94"/>
      <c r="Q258" s="897"/>
      <c r="R258" s="3383"/>
      <c r="S258" s="3489"/>
      <c r="T258" s="3489"/>
      <c r="U258" s="2424"/>
      <c r="V258" s="2424"/>
      <c r="W258" s="2424"/>
      <c r="X258" s="2424"/>
      <c r="Y258" s="3434"/>
    </row>
    <row r="259" spans="1:28" s="8" customFormat="1" hidden="1" outlineLevel="1" x14ac:dyDescent="0.4">
      <c r="A259"/>
      <c r="B259" s="1956"/>
      <c r="C259" s="1923"/>
      <c r="D259" s="892"/>
      <c r="E259" s="898"/>
      <c r="F259" s="894"/>
      <c r="G259" s="894"/>
      <c r="H259" s="94"/>
      <c r="I259" s="895"/>
      <c r="J259" s="94"/>
      <c r="K259" s="94"/>
      <c r="L259" s="896"/>
      <c r="M259" s="897"/>
      <c r="N259" s="897"/>
      <c r="O259" s="894"/>
      <c r="P259" s="94"/>
      <c r="Q259" s="897"/>
      <c r="R259" s="3383"/>
      <c r="S259" s="3489"/>
      <c r="T259" s="3489"/>
      <c r="U259" s="3429"/>
      <c r="V259" s="3429"/>
      <c r="W259" s="3429"/>
      <c r="X259" s="3429"/>
      <c r="Y259" s="2424"/>
      <c r="Z259"/>
      <c r="AA259"/>
      <c r="AB259"/>
    </row>
    <row r="260" spans="1:28" s="8" customFormat="1" collapsed="1" x14ac:dyDescent="0.4">
      <c r="A260"/>
      <c r="B260" s="1969"/>
      <c r="C260" s="1970"/>
      <c r="D260" s="1971"/>
      <c r="E260" s="1972"/>
      <c r="F260" s="1971"/>
      <c r="G260" s="1971"/>
      <c r="H260" s="1973"/>
      <c r="I260" s="1974"/>
      <c r="J260" s="1971"/>
      <c r="K260" s="1971"/>
      <c r="L260" s="1970"/>
      <c r="M260" s="1971"/>
      <c r="N260" s="1971"/>
      <c r="O260" s="1971"/>
      <c r="P260" s="1971"/>
      <c r="Q260" s="1971"/>
      <c r="R260" s="3394"/>
      <c r="S260" s="3506"/>
      <c r="T260" s="3506"/>
      <c r="U260" s="3506"/>
      <c r="V260" s="3506"/>
      <c r="W260" s="3506"/>
      <c r="X260" s="3506"/>
      <c r="Y260" s="2424"/>
      <c r="Z260"/>
      <c r="AA260"/>
      <c r="AB260"/>
    </row>
    <row r="262" spans="1:28" s="8" customFormat="1" ht="15.45" x14ac:dyDescent="0.4">
      <c r="A262"/>
      <c r="B262" s="1975"/>
      <c r="C262" s="1976"/>
      <c r="D262" s="1977" t="s">
        <v>1883</v>
      </c>
      <c r="E262" s="1978"/>
      <c r="F262" s="1978"/>
      <c r="G262" s="1978"/>
      <c r="H262" s="1978"/>
      <c r="I262" s="1978"/>
      <c r="J262" s="1978"/>
      <c r="K262" s="1978"/>
      <c r="L262" s="1978"/>
      <c r="M262" s="1978"/>
      <c r="N262" s="1978"/>
      <c r="O262" s="1978"/>
      <c r="P262" s="1978"/>
      <c r="Q262" s="1978"/>
      <c r="R262" s="3395"/>
      <c r="S262" s="3507"/>
      <c r="T262" s="3507"/>
      <c r="U262" s="3507"/>
      <c r="V262" s="3507"/>
      <c r="W262" s="3507"/>
      <c r="X262" s="3507"/>
      <c r="Y262" s="2424"/>
      <c r="Z262"/>
      <c r="AA262"/>
      <c r="AB262"/>
    </row>
    <row r="263" spans="1:28" s="8" customFormat="1" hidden="1" outlineLevel="1" x14ac:dyDescent="0.4">
      <c r="A263"/>
      <c r="B263" s="1979"/>
      <c r="C263" s="1826"/>
      <c r="D263" s="748" t="s">
        <v>1053</v>
      </c>
      <c r="E263" s="749"/>
      <c r="F263" s="704"/>
      <c r="G263" s="704"/>
      <c r="H263" s="704"/>
      <c r="I263" s="750"/>
      <c r="J263" s="704"/>
      <c r="K263" s="704"/>
      <c r="L263" s="704"/>
      <c r="M263" s="704"/>
      <c r="N263" s="704"/>
      <c r="O263" s="704"/>
      <c r="P263" s="704"/>
      <c r="Q263" s="704"/>
      <c r="R263" s="3364"/>
      <c r="S263" s="3433"/>
      <c r="T263" s="3433"/>
      <c r="U263" s="3433"/>
      <c r="V263" s="3433"/>
      <c r="W263" s="3433"/>
      <c r="X263" s="3433"/>
      <c r="Y263" s="2424"/>
      <c r="Z263"/>
      <c r="AA263"/>
      <c r="AB263"/>
    </row>
    <row r="264" spans="1:28" s="8" customFormat="1" ht="15" hidden="1" outlineLevel="1" thickBot="1" x14ac:dyDescent="0.45">
      <c r="A264"/>
      <c r="B264" s="1979"/>
      <c r="C264" s="1826"/>
      <c r="D264" s="704" t="s">
        <v>1034</v>
      </c>
      <c r="E264" s="749"/>
      <c r="F264" s="704"/>
      <c r="G264" s="704"/>
      <c r="H264" s="704"/>
      <c r="I264" s="750"/>
      <c r="J264" s="704"/>
      <c r="K264" s="704"/>
      <c r="L264" s="704"/>
      <c r="M264" s="704"/>
      <c r="N264" s="704"/>
      <c r="O264" s="704"/>
      <c r="P264" s="704"/>
      <c r="Q264" s="704"/>
      <c r="R264" s="3364"/>
      <c r="S264" s="3433"/>
      <c r="T264" s="3434"/>
      <c r="U264" s="3433"/>
      <c r="V264" s="3433"/>
      <c r="W264" s="3433"/>
      <c r="X264" s="3433"/>
      <c r="Y264" s="2424"/>
      <c r="Z264"/>
      <c r="AA264"/>
      <c r="AB264"/>
    </row>
    <row r="265" spans="1:28" s="8" customFormat="1" hidden="1" outlineLevel="1" x14ac:dyDescent="0.4">
      <c r="A265"/>
      <c r="B265" s="1979"/>
      <c r="C265" s="1826"/>
      <c r="D265" t="s">
        <v>1861</v>
      </c>
      <c r="E265" s="749"/>
      <c r="F265" s="704"/>
      <c r="G265" s="704"/>
      <c r="H265" s="704"/>
      <c r="I265" s="750"/>
      <c r="J265" s="704"/>
      <c r="K265" s="704"/>
      <c r="L265" s="704"/>
      <c r="M265" s="704"/>
      <c r="N265" s="704"/>
      <c r="O265" s="704"/>
      <c r="P265" s="704"/>
      <c r="Q265" s="704"/>
      <c r="R265" s="3365" t="s">
        <v>1101</v>
      </c>
      <c r="S265" s="3435" t="s">
        <v>23</v>
      </c>
      <c r="T265" s="3842" t="s">
        <v>2604</v>
      </c>
      <c r="U265" s="3843"/>
      <c r="V265" s="3843"/>
      <c r="W265" s="3843"/>
      <c r="X265" s="3844"/>
      <c r="Y265" s="2424"/>
      <c r="Z265"/>
      <c r="AA265"/>
      <c r="AB265"/>
    </row>
    <row r="266" spans="1:28" s="8" customFormat="1" hidden="1" outlineLevel="1" x14ac:dyDescent="0.4">
      <c r="A266"/>
      <c r="B266" s="1979"/>
      <c r="C266" s="1826"/>
      <c r="D266" s="704" t="s">
        <v>1035</v>
      </c>
      <c r="E266" s="749"/>
      <c r="F266" s="704"/>
      <c r="G266" s="704"/>
      <c r="H266" s="704"/>
      <c r="I266" s="750"/>
      <c r="J266" s="704"/>
      <c r="K266" s="704"/>
      <c r="L266" s="704"/>
      <c r="M266" s="704"/>
      <c r="N266" s="704"/>
      <c r="O266" s="704"/>
      <c r="P266" s="704"/>
      <c r="Q266" s="704"/>
      <c r="R266" s="3354" t="s">
        <v>1055</v>
      </c>
      <c r="S266" s="1122">
        <v>1</v>
      </c>
      <c r="T266" s="1513">
        <v>1</v>
      </c>
      <c r="U266" s="916">
        <v>2</v>
      </c>
      <c r="V266" s="916">
        <v>3</v>
      </c>
      <c r="W266" s="916">
        <v>4</v>
      </c>
      <c r="X266" s="1045">
        <v>6</v>
      </c>
      <c r="Y266" s="2424"/>
      <c r="Z266"/>
      <c r="AA266"/>
      <c r="AB266"/>
    </row>
    <row r="267" spans="1:28" s="8" customFormat="1" hidden="1" outlineLevel="1" x14ac:dyDescent="0.4">
      <c r="A267"/>
      <c r="B267" s="1979"/>
      <c r="C267" s="1826"/>
      <c r="D267" s="704" t="s">
        <v>1036</v>
      </c>
      <c r="E267" s="749"/>
      <c r="F267" s="704"/>
      <c r="G267" s="704"/>
      <c r="H267" s="704"/>
      <c r="I267" s="750"/>
      <c r="J267" s="704"/>
      <c r="K267" s="704"/>
      <c r="L267" s="704"/>
      <c r="M267" s="704"/>
      <c r="N267" s="704"/>
      <c r="O267" s="704"/>
      <c r="P267" s="704"/>
      <c r="Q267" s="704"/>
      <c r="R267" s="3333" t="s">
        <v>2665</v>
      </c>
      <c r="S267" s="3439">
        <f>(connect_lower_blanket_pipework)</f>
        <v>26.773271037841543</v>
      </c>
      <c r="T267" s="3429">
        <f>(ROUNDUP(Tokamak_Segmts/T266,0)*(connect_lower_blanket_pipework))</f>
        <v>428.37233660546468</v>
      </c>
      <c r="U267" s="3441">
        <f>(ROUNDUP(Tokamak_Segmts/U266,0)*(connect_lower_blanket_pipework))</f>
        <v>214.18616830273234</v>
      </c>
      <c r="V267" s="3441">
        <f>(ROUNDUP(Tokamak_Segmts/V266,0)*(connect_lower_blanket_pipework))</f>
        <v>160.63962622704926</v>
      </c>
      <c r="W267" s="3441">
        <f>(ROUNDUP(Tokamak_Segmts/W266,0)*(connect_lower_blanket_pipework))</f>
        <v>107.09308415136617</v>
      </c>
      <c r="X267" s="3442">
        <f>(ROUNDUP(Tokamak_Segmts/X266,0)*(connect_lower_blanket_pipework))</f>
        <v>80.319813113524631</v>
      </c>
      <c r="Y267" s="2424"/>
      <c r="Z267"/>
      <c r="AA267"/>
      <c r="AB267"/>
    </row>
    <row r="268" spans="1:28" s="8" customFormat="1" ht="15" hidden="1" outlineLevel="1" thickBot="1" x14ac:dyDescent="0.45">
      <c r="A268"/>
      <c r="B268" s="1979"/>
      <c r="C268" s="1826"/>
      <c r="D268" s="704" t="s">
        <v>1037</v>
      </c>
      <c r="E268" s="749"/>
      <c r="F268" s="704"/>
      <c r="G268" s="704"/>
      <c r="H268" s="704"/>
      <c r="I268" s="750"/>
      <c r="J268" s="704"/>
      <c r="K268" s="704"/>
      <c r="L268" s="704"/>
      <c r="M268" s="704"/>
      <c r="N268" s="704"/>
      <c r="O268" s="704"/>
      <c r="P268" s="704"/>
      <c r="Q268" s="704"/>
      <c r="R268" s="3141" t="s">
        <v>2693</v>
      </c>
      <c r="S268" s="3443">
        <f>S$267*$E$207</f>
        <v>0.29450598141625695</v>
      </c>
      <c r="T268" s="3445">
        <f t="shared" ref="T268:X268" si="30">T$267*$E$207</f>
        <v>4.7120957026601111</v>
      </c>
      <c r="U268" s="3445">
        <f t="shared" si="30"/>
        <v>2.3560478513300556</v>
      </c>
      <c r="V268" s="3445">
        <f t="shared" si="30"/>
        <v>1.7670358884975419</v>
      </c>
      <c r="W268" s="3445">
        <f t="shared" si="30"/>
        <v>1.1780239256650278</v>
      </c>
      <c r="X268" s="3446">
        <f t="shared" si="30"/>
        <v>0.88351794424877095</v>
      </c>
      <c r="Y268" s="2424"/>
      <c r="Z268"/>
      <c r="AA268"/>
      <c r="AB268"/>
    </row>
    <row r="269" spans="1:28" s="8" customFormat="1" hidden="1" outlineLevel="1" x14ac:dyDescent="0.4">
      <c r="A269"/>
      <c r="B269" s="1979"/>
      <c r="C269" s="1826"/>
      <c r="D269" s="704" t="s">
        <v>1038</v>
      </c>
      <c r="E269" s="749"/>
      <c r="F269" s="704"/>
      <c r="G269" s="704"/>
      <c r="H269" s="704"/>
      <c r="I269" s="750"/>
      <c r="J269" s="704"/>
      <c r="K269" s="704"/>
      <c r="L269" s="704"/>
      <c r="M269" s="704"/>
      <c r="N269" s="704"/>
      <c r="O269" s="704"/>
      <c r="P269" s="704"/>
      <c r="Q269" s="704"/>
      <c r="R269" s="3366" t="s">
        <v>1048</v>
      </c>
      <c r="S269" s="3447">
        <f t="shared" ref="S269:X269" si="31">S268*(SUMIF($E$280:$E$312,"Operation",$F$280:$F$312))</f>
        <v>28.145896036555474</v>
      </c>
      <c r="T269" s="3494">
        <f t="shared" si="31"/>
        <v>450.33433658488758</v>
      </c>
      <c r="U269" s="3449">
        <f t="shared" si="31"/>
        <v>225.16716829244379</v>
      </c>
      <c r="V269" s="3449">
        <f t="shared" si="31"/>
        <v>168.87537621933288</v>
      </c>
      <c r="W269" s="3449">
        <f t="shared" si="31"/>
        <v>112.5835841462219</v>
      </c>
      <c r="X269" s="3450">
        <f t="shared" si="31"/>
        <v>84.437688109666439</v>
      </c>
      <c r="Y269" s="2424"/>
      <c r="Z269"/>
      <c r="AA269"/>
      <c r="AB269"/>
    </row>
    <row r="270" spans="1:28" s="8" customFormat="1" hidden="1" outlineLevel="1" x14ac:dyDescent="0.4">
      <c r="A270"/>
      <c r="B270" s="1979"/>
      <c r="C270" s="1826"/>
      <c r="D270" s="704"/>
      <c r="E270" s="749"/>
      <c r="F270" s="704"/>
      <c r="G270" s="704"/>
      <c r="H270" s="704"/>
      <c r="I270" s="750"/>
      <c r="J270" s="704"/>
      <c r="K270" s="704"/>
      <c r="L270" s="704"/>
      <c r="M270" s="704"/>
      <c r="N270" s="704"/>
      <c r="O270" s="704"/>
      <c r="P270" s="704"/>
      <c r="Q270" s="704"/>
      <c r="R270" s="3354" t="s">
        <v>2658</v>
      </c>
      <c r="S270" s="3451">
        <f t="shared" ref="S270:X270" si="32">S268*(SUMIF($E$280:$E$312,"Movement",$F$280:$F$312)+(SUMIF($E$280:$E$312,"Logistics",$F$280:$F$312)))</f>
        <v>6.3789995574761251</v>
      </c>
      <c r="T270" s="3495">
        <f t="shared" si="32"/>
        <v>102.063992919618</v>
      </c>
      <c r="U270" s="3453">
        <f t="shared" si="32"/>
        <v>51.031996459809001</v>
      </c>
      <c r="V270" s="3453">
        <f t="shared" si="32"/>
        <v>38.27399734485676</v>
      </c>
      <c r="W270" s="3453">
        <f t="shared" si="32"/>
        <v>25.515998229904501</v>
      </c>
      <c r="X270" s="3454">
        <f t="shared" si="32"/>
        <v>19.13699867242838</v>
      </c>
      <c r="Y270" s="2424"/>
      <c r="Z270"/>
      <c r="AA270"/>
      <c r="AB270"/>
    </row>
    <row r="271" spans="1:28" s="8" customFormat="1" ht="15" hidden="1" outlineLevel="1" thickBot="1" x14ac:dyDescent="0.45">
      <c r="A271"/>
      <c r="B271" s="1979"/>
      <c r="C271" s="1826"/>
      <c r="D271" s="704"/>
      <c r="E271" s="749"/>
      <c r="F271" s="704"/>
      <c r="G271" s="704"/>
      <c r="H271" s="704"/>
      <c r="I271" s="750"/>
      <c r="J271" s="704"/>
      <c r="K271" s="704"/>
      <c r="L271" s="704"/>
      <c r="M271" s="704"/>
      <c r="N271" s="704"/>
      <c r="O271" s="704"/>
      <c r="P271" s="704"/>
      <c r="Q271" s="704"/>
      <c r="R271" s="3367" t="s">
        <v>2657</v>
      </c>
      <c r="S271" s="3455">
        <f t="shared" ref="S271:X271" si="33">S268*(-SUMIF($T$280:$T$312,"&lt;0"))</f>
        <v>2.2556915694935658</v>
      </c>
      <c r="T271" s="3496">
        <f t="shared" si="33"/>
        <v>36.091065111897052</v>
      </c>
      <c r="U271" s="3457">
        <f t="shared" si="33"/>
        <v>18.045532555948526</v>
      </c>
      <c r="V271" s="3457">
        <f t="shared" si="33"/>
        <v>13.534149416961396</v>
      </c>
      <c r="W271" s="3457">
        <f t="shared" si="33"/>
        <v>9.022766277974263</v>
      </c>
      <c r="X271" s="3458">
        <f t="shared" si="33"/>
        <v>6.7670747084806981</v>
      </c>
      <c r="Y271" s="2424"/>
      <c r="Z271"/>
      <c r="AA271"/>
      <c r="AB271"/>
    </row>
    <row r="272" spans="1:28" s="8" customFormat="1" ht="15" hidden="1" outlineLevel="1" thickBot="1" x14ac:dyDescent="0.45">
      <c r="A272"/>
      <c r="B272" s="1979"/>
      <c r="C272" s="1826"/>
      <c r="D272" s="748" t="s">
        <v>1056</v>
      </c>
      <c r="E272" s="709">
        <f>SUM(E273:E274)</f>
        <v>1.0999999999999999E-2</v>
      </c>
      <c r="F272" s="709"/>
      <c r="G272" s="709"/>
      <c r="H272" s="709"/>
      <c r="I272" s="919"/>
      <c r="J272" s="918"/>
      <c r="K272" s="918"/>
      <c r="L272" s="918"/>
      <c r="M272" s="918"/>
      <c r="N272" s="918"/>
      <c r="O272" s="918"/>
      <c r="P272" s="704"/>
      <c r="Q272" s="704"/>
      <c r="R272" s="3368" t="s">
        <v>2667</v>
      </c>
      <c r="S272" s="3459">
        <f t="shared" ref="S272:X272" si="34">S268*$G$313</f>
        <v>36.780587163525162</v>
      </c>
      <c r="T272" s="3426">
        <f t="shared" si="34"/>
        <v>588.48939461640259</v>
      </c>
      <c r="U272" s="3426">
        <f t="shared" si="34"/>
        <v>294.2446973082013</v>
      </c>
      <c r="V272" s="3426">
        <f t="shared" si="34"/>
        <v>220.68352298115099</v>
      </c>
      <c r="W272" s="3426">
        <f t="shared" si="34"/>
        <v>147.12234865410065</v>
      </c>
      <c r="X272" s="3461">
        <f t="shared" si="34"/>
        <v>110.34176149057549</v>
      </c>
      <c r="Y272" s="2424"/>
      <c r="Z272"/>
      <c r="AA272"/>
      <c r="AB272"/>
    </row>
    <row r="273" spans="1:28" s="8" customFormat="1" hidden="1" outlineLevel="1" x14ac:dyDescent="0.4">
      <c r="A273"/>
      <c r="B273" s="1980"/>
      <c r="C273" s="906"/>
      <c r="D273" s="7" t="s">
        <v>1057</v>
      </c>
      <c r="E273" s="763">
        <f>Weld_Failure_Rate</f>
        <v>1E-3</v>
      </c>
      <c r="F273" s="922"/>
      <c r="G273" s="922"/>
      <c r="H273" s="924"/>
      <c r="I273" s="290"/>
      <c r="J273" s="922"/>
      <c r="K273" s="922"/>
      <c r="L273" s="925"/>
      <c r="M273" s="922"/>
      <c r="N273" s="922"/>
      <c r="O273" s="922"/>
      <c r="P273" s="706"/>
      <c r="Q273" s="7"/>
      <c r="Y273" s="2424"/>
      <c r="Z273"/>
      <c r="AA273"/>
      <c r="AB273"/>
    </row>
    <row r="274" spans="1:28" s="8" customFormat="1" hidden="1" outlineLevel="1" x14ac:dyDescent="0.4">
      <c r="A274"/>
      <c r="B274" s="1980"/>
      <c r="C274" s="906"/>
      <c r="D274" s="7" t="s">
        <v>1058</v>
      </c>
      <c r="E274" s="763">
        <f>SJS_welder_failure</f>
        <v>0.01</v>
      </c>
      <c r="F274" s="922"/>
      <c r="G274" s="922"/>
      <c r="H274" s="924"/>
      <c r="I274" s="290"/>
      <c r="J274" s="922"/>
      <c r="K274" s="922"/>
      <c r="L274" s="925"/>
      <c r="M274" s="922"/>
      <c r="N274" s="922"/>
      <c r="O274" s="922"/>
      <c r="P274" s="706"/>
      <c r="Q274" s="7"/>
      <c r="Y274" s="2424"/>
      <c r="Z274"/>
      <c r="AA274"/>
      <c r="AB274"/>
    </row>
    <row r="275" spans="1:28" s="8" customFormat="1" hidden="1" outlineLevel="1" x14ac:dyDescent="0.4">
      <c r="A275"/>
      <c r="B275" s="1980"/>
      <c r="C275" s="906"/>
      <c r="D275" s="926" t="s">
        <v>1059</v>
      </c>
      <c r="E275" s="709">
        <f>E272*(1-(1-E272)^(Divertor_port_pipes_per_blanket))</f>
        <v>3.5902164100000021E-4</v>
      </c>
      <c r="F275" s="927"/>
      <c r="G275" s="927"/>
      <c r="H275" s="927"/>
      <c r="I275" s="919"/>
      <c r="J275" s="927"/>
      <c r="K275" s="927"/>
      <c r="L275" s="927"/>
      <c r="M275" s="927"/>
      <c r="N275" s="927"/>
      <c r="O275" s="927"/>
      <c r="P275" s="706"/>
      <c r="Q275" s="7"/>
      <c r="Y275" s="2424"/>
      <c r="Z275"/>
      <c r="AA275"/>
      <c r="AB275"/>
    </row>
    <row r="276" spans="1:28" s="8" customFormat="1" hidden="1" outlineLevel="1" x14ac:dyDescent="0.4">
      <c r="A276"/>
      <c r="B276" s="1980"/>
      <c r="C276" s="906"/>
      <c r="D276" s="926"/>
      <c r="E276" s="928"/>
      <c r="F276" s="927"/>
      <c r="G276" s="927"/>
      <c r="H276" s="927"/>
      <c r="I276" s="919"/>
      <c r="J276" s="927"/>
      <c r="K276" s="927"/>
      <c r="L276" s="927"/>
      <c r="M276" s="927"/>
      <c r="N276" s="927"/>
      <c r="O276" s="927"/>
      <c r="P276" s="706"/>
      <c r="Q276" s="7"/>
      <c r="R276" s="3369"/>
      <c r="S276" s="3429"/>
      <c r="T276" s="3429"/>
      <c r="U276" s="3429"/>
      <c r="V276" s="3429"/>
      <c r="W276" s="3429"/>
      <c r="X276" s="3429"/>
      <c r="Y276" s="2424"/>
      <c r="Z276"/>
      <c r="AA276"/>
      <c r="AB276"/>
    </row>
    <row r="277" spans="1:28" s="8" customFormat="1" ht="15" hidden="1" outlineLevel="2" thickBot="1" x14ac:dyDescent="0.45">
      <c r="A277"/>
      <c r="B277" s="1980"/>
      <c r="C277" s="906"/>
      <c r="D277" s="926"/>
      <c r="E277" s="928"/>
      <c r="F277" s="927"/>
      <c r="G277" s="927"/>
      <c r="H277" s="927"/>
      <c r="I277" s="919"/>
      <c r="J277" s="927"/>
      <c r="K277" s="927"/>
      <c r="L277" s="927"/>
      <c r="M277" s="927"/>
      <c r="N277" s="927"/>
      <c r="O277" s="927"/>
      <c r="P277" s="706"/>
      <c r="Q277" s="7"/>
      <c r="R277" s="3369"/>
      <c r="S277" s="3429"/>
      <c r="T277" s="3429"/>
      <c r="U277" s="2424"/>
      <c r="V277" s="2424"/>
      <c r="W277" s="2424"/>
      <c r="X277" s="2424"/>
      <c r="Y277" s="3434"/>
    </row>
    <row r="278" spans="1:28" s="8" customFormat="1" ht="15" hidden="1" outlineLevel="2" thickBot="1" x14ac:dyDescent="0.45">
      <c r="A278"/>
      <c r="B278" s="1980"/>
      <c r="C278" s="906"/>
      <c r="D278" s="926"/>
      <c r="E278" s="701"/>
      <c r="F278" s="7"/>
      <c r="G278" s="929"/>
      <c r="H278" s="930" t="s">
        <v>18</v>
      </c>
      <c r="I278" s="931"/>
      <c r="J278" s="932" t="s">
        <v>778</v>
      </c>
      <c r="K278" s="933"/>
      <c r="L278" s="933"/>
      <c r="M278" s="933"/>
      <c r="N278" s="933"/>
      <c r="O278" s="934"/>
      <c r="P278" s="933" t="s">
        <v>3</v>
      </c>
      <c r="Q278" s="934"/>
      <c r="R278" s="3386" t="s">
        <v>779</v>
      </c>
      <c r="S278" s="3462"/>
      <c r="T278" s="3462"/>
      <c r="U278" s="2424"/>
      <c r="V278" s="2424"/>
      <c r="W278" s="2424"/>
      <c r="X278" s="2424"/>
      <c r="Y278" s="3434"/>
    </row>
    <row r="279" spans="1:28" s="8" customFormat="1" ht="29.6" hidden="1" outlineLevel="2" thickBot="1" x14ac:dyDescent="0.45">
      <c r="A279"/>
      <c r="B279" s="1980"/>
      <c r="C279" s="939" t="s">
        <v>780</v>
      </c>
      <c r="D279" s="940" t="s">
        <v>1060</v>
      </c>
      <c r="E279" s="941" t="s">
        <v>782</v>
      </c>
      <c r="F279" s="942" t="s">
        <v>783</v>
      </c>
      <c r="G279" s="943" t="s">
        <v>784</v>
      </c>
      <c r="H279" s="562" t="s">
        <v>785</v>
      </c>
      <c r="I279" s="944" t="s">
        <v>783</v>
      </c>
      <c r="J279" s="562" t="s">
        <v>786</v>
      </c>
      <c r="K279" s="563" t="s">
        <v>787</v>
      </c>
      <c r="L279" s="563" t="s">
        <v>788</v>
      </c>
      <c r="M279" s="563" t="s">
        <v>789</v>
      </c>
      <c r="N279" s="563" t="s">
        <v>790</v>
      </c>
      <c r="O279" s="945" t="s">
        <v>783</v>
      </c>
      <c r="P279" s="560" t="s">
        <v>785</v>
      </c>
      <c r="Q279" s="946" t="s">
        <v>783</v>
      </c>
      <c r="R279" s="3387" t="s">
        <v>781</v>
      </c>
      <c r="S279" s="3464" t="s">
        <v>791</v>
      </c>
      <c r="T279" s="3465" t="s">
        <v>792</v>
      </c>
      <c r="U279" s="2424"/>
      <c r="V279" s="2424"/>
      <c r="W279" s="2424"/>
      <c r="X279" s="2424"/>
      <c r="Y279" s="3434"/>
    </row>
    <row r="280" spans="1:28" s="8" customFormat="1" hidden="1" outlineLevel="2" x14ac:dyDescent="0.4">
      <c r="A280"/>
      <c r="B280" s="1980"/>
      <c r="C280" s="3852" t="s">
        <v>1062</v>
      </c>
      <c r="D280" s="818" t="s">
        <v>1884</v>
      </c>
      <c r="E280" s="820" t="s">
        <v>251</v>
      </c>
      <c r="F280" s="821">
        <f t="shared" ref="F280:F312" si="35">MAX($Q280,$O280,$I280)</f>
        <v>0</v>
      </c>
      <c r="G280" s="822">
        <f>F280</f>
        <v>0</v>
      </c>
      <c r="H280" s="823" t="s">
        <v>557</v>
      </c>
      <c r="I280" s="824">
        <v>0</v>
      </c>
      <c r="J280" s="825"/>
      <c r="K280" s="823"/>
      <c r="L280" s="826"/>
      <c r="M280" s="827" t="str">
        <f>IFERROR(INDEX('Lower Cask Movement &amp; Logistics'!$I$29:$O$35,MATCH($K280,'Lower Cask Movement &amp; Logistics'!$H$29:$H$35,0),MATCH($L280,'Lower Cask Movement &amp; Logistics'!$H$29:$H$35,0)),"N/A")</f>
        <v>N/A</v>
      </c>
      <c r="N280" s="828" t="str">
        <f>IFERROR(VLOOKUP($J280,'Lower Cask Movement &amp; Logistics'!$H$4:$I$8,2,FALSE),"N/A")</f>
        <v>N/A</v>
      </c>
      <c r="O280" s="822" t="str">
        <f t="shared" ref="O280:O312" si="36">IF(E280="Movement",IFERROR((M280/N280)/(60*60),"Error"),"N/A")</f>
        <v>N/A</v>
      </c>
      <c r="P280" s="829"/>
      <c r="Q280" s="827" t="str">
        <f>IF($E280="Logistics",VLOOKUP($P280,'Lower Cask Movement &amp; Logistics'!$C$4:$D$53,2,FALSE),"N/A")</f>
        <v>N/A</v>
      </c>
      <c r="R280" s="3396"/>
      <c r="S280" s="3470" t="str">
        <f>IFERROR(VLOOKUP($R280,'LowerCask Recovery Dependencies'!$C$195:$F$227,4,FALSE),"N/A")</f>
        <v>N/A</v>
      </c>
      <c r="T280" s="3471" t="str">
        <f>IFERROR(G279-F280-S280,"N/A")</f>
        <v>N/A</v>
      </c>
      <c r="U280" s="2424"/>
      <c r="V280" s="2424"/>
      <c r="W280" s="2424"/>
      <c r="X280" s="2424"/>
      <c r="Y280" s="3434"/>
    </row>
    <row r="281" spans="1:28" s="8" customFormat="1" ht="15" hidden="1" outlineLevel="2" thickBot="1" x14ac:dyDescent="0.45">
      <c r="A281"/>
      <c r="B281" s="1980"/>
      <c r="C281" s="3853"/>
      <c r="D281" s="832" t="s">
        <v>1885</v>
      </c>
      <c r="E281" s="834" t="s">
        <v>251</v>
      </c>
      <c r="F281" s="835">
        <f t="shared" si="35"/>
        <v>12.602967059728389</v>
      </c>
      <c r="G281" s="836">
        <f>IF(T281&lt;0,F281+G280+(-T281),F281+G280)</f>
        <v>12.602967059728389</v>
      </c>
      <c r="H281" s="837" t="s">
        <v>441</v>
      </c>
      <c r="I281" s="838">
        <v>12.602967059728389</v>
      </c>
      <c r="J281" s="839"/>
      <c r="K281" s="837"/>
      <c r="L281" s="840"/>
      <c r="M281" s="841" t="s">
        <v>263</v>
      </c>
      <c r="N281" s="842" t="s">
        <v>263</v>
      </c>
      <c r="O281" s="836" t="str">
        <f t="shared" si="36"/>
        <v>N/A</v>
      </c>
      <c r="P281" s="843"/>
      <c r="Q281" s="841" t="str">
        <f>IF($E281="Logistics",VLOOKUP($P281,'Lower Cask Movement &amp; Logistics'!$C$4:$D$53,2,FALSE),"N/A")</f>
        <v>N/A</v>
      </c>
      <c r="R281" s="3397"/>
      <c r="S281" s="3497" t="str">
        <f>IFERROR(VLOOKUP($R281,'LowerCask Recovery Dependencies'!$C$195:$F$227,4,FALSE),"N/A")</f>
        <v>N/A</v>
      </c>
      <c r="T281" s="3473" t="str">
        <f t="shared" ref="T281:T312" si="37">IFERROR(G280-F281-S281,"N/A")</f>
        <v>N/A</v>
      </c>
      <c r="U281" s="2424"/>
      <c r="V281" s="2424"/>
      <c r="W281" s="2424"/>
      <c r="X281" s="2424"/>
      <c r="Y281" s="3434"/>
    </row>
    <row r="282" spans="1:28" s="8" customFormat="1" hidden="1" outlineLevel="2" x14ac:dyDescent="0.4">
      <c r="A282"/>
      <c r="B282" s="1980"/>
      <c r="C282" s="3850" t="s">
        <v>1864</v>
      </c>
      <c r="D282" s="797" t="s">
        <v>1886</v>
      </c>
      <c r="E282" s="1937" t="s">
        <v>3</v>
      </c>
      <c r="F282" s="456">
        <f t="shared" si="35"/>
        <v>0.38</v>
      </c>
      <c r="G282" s="1981">
        <f t="shared" ref="G282:G312" si="38">IF(T282&lt;0,F282+G281+(-T282),F282+G281)</f>
        <v>12.98296705972839</v>
      </c>
      <c r="H282" s="803"/>
      <c r="I282" s="621" t="s">
        <v>263</v>
      </c>
      <c r="J282" s="568"/>
      <c r="K282" s="566"/>
      <c r="L282" s="801"/>
      <c r="M282" s="802" t="s">
        <v>263</v>
      </c>
      <c r="N282" s="570" t="s">
        <v>263</v>
      </c>
      <c r="O282" s="800" t="str">
        <f t="shared" si="36"/>
        <v>N/A</v>
      </c>
      <c r="P282" s="1129" t="s">
        <v>1546</v>
      </c>
      <c r="Q282" s="802">
        <f>IF($E282="Logistics",VLOOKUP($P282,'Lower Cask Movement &amp; Logistics'!$C$4:$D$53,2,FALSE),"N/A")</f>
        <v>0.38</v>
      </c>
      <c r="R282" s="3398"/>
      <c r="S282" s="3466" t="str">
        <f>IFERROR(VLOOKUP($R282,'LowerCask Recovery Dependencies'!$C$195:$F$227,4,FALSE),"N/A")</f>
        <v>N/A</v>
      </c>
      <c r="T282" s="3467" t="str">
        <f t="shared" si="37"/>
        <v>N/A</v>
      </c>
      <c r="U282" s="2424"/>
      <c r="V282" s="2424"/>
      <c r="W282" s="2424"/>
      <c r="X282" s="2424"/>
      <c r="Y282" s="3434"/>
    </row>
    <row r="283" spans="1:28" s="8" customFormat="1" hidden="1" outlineLevel="2" x14ac:dyDescent="0.4">
      <c r="A283"/>
      <c r="B283" s="1980"/>
      <c r="C283" s="3854"/>
      <c r="D283" s="847" t="s">
        <v>1599</v>
      </c>
      <c r="E283" s="1961" t="s">
        <v>3</v>
      </c>
      <c r="F283" s="464">
        <f t="shared" si="35"/>
        <v>0.38</v>
      </c>
      <c r="G283" s="385">
        <f t="shared" si="38"/>
        <v>13.36296705972839</v>
      </c>
      <c r="H283" s="627"/>
      <c r="I283" s="632" t="s">
        <v>263</v>
      </c>
      <c r="J283" s="627"/>
      <c r="K283" s="582"/>
      <c r="L283" s="1962"/>
      <c r="M283" s="1479" t="s">
        <v>263</v>
      </c>
      <c r="N283" s="1478" t="s">
        <v>263</v>
      </c>
      <c r="O283" s="1982" t="str">
        <f t="shared" si="36"/>
        <v>N/A</v>
      </c>
      <c r="P283" s="627" t="s">
        <v>1546</v>
      </c>
      <c r="Q283" s="1479">
        <f>IF($E283="Logistics",VLOOKUP($P283,'Lower Cask Movement &amp; Logistics'!$C$4:$D$53,2,FALSE),"N/A")</f>
        <v>0.38</v>
      </c>
      <c r="R283" s="3399"/>
      <c r="S283" s="3504" t="str">
        <f>IFERROR(VLOOKUP($R283,'LowerCask Recovery Dependencies'!$C$195:$F$227,4,FALSE),"N/A")</f>
        <v>N/A</v>
      </c>
      <c r="T283" s="3477" t="str">
        <f t="shared" si="37"/>
        <v>N/A</v>
      </c>
      <c r="U283" s="2424"/>
      <c r="V283" s="2424"/>
      <c r="W283" s="2424"/>
      <c r="X283" s="2424"/>
      <c r="Y283" s="3434"/>
    </row>
    <row r="284" spans="1:28" s="8" customFormat="1" ht="15" hidden="1" outlineLevel="2" thickBot="1" x14ac:dyDescent="0.45">
      <c r="A284"/>
      <c r="B284" s="1980"/>
      <c r="C284" s="3851"/>
      <c r="D284" s="808" t="s">
        <v>1887</v>
      </c>
      <c r="E284" s="1966" t="s">
        <v>3</v>
      </c>
      <c r="F284" s="471">
        <f t="shared" si="35"/>
        <v>2.3000000000000003</v>
      </c>
      <c r="G284" s="350">
        <f t="shared" si="38"/>
        <v>15.662967059728391</v>
      </c>
      <c r="H284" s="586"/>
      <c r="I284" s="591" t="s">
        <v>263</v>
      </c>
      <c r="J284" s="586"/>
      <c r="K284" s="584"/>
      <c r="L284" s="812"/>
      <c r="M284" s="813" t="s">
        <v>263</v>
      </c>
      <c r="N284" s="814" t="s">
        <v>263</v>
      </c>
      <c r="O284" s="887" t="str">
        <f t="shared" si="36"/>
        <v>N/A</v>
      </c>
      <c r="P284" s="586" t="s">
        <v>1552</v>
      </c>
      <c r="Q284" s="813">
        <f>IF($E284="Logistics",VLOOKUP($P284,'Lower Cask Movement &amp; Logistics'!$C$4:$D$53,2,FALSE),"N/A")</f>
        <v>2.3000000000000003</v>
      </c>
      <c r="R284" s="3400"/>
      <c r="S284" s="3505" t="str">
        <f>IFERROR(VLOOKUP($R284,'LowerCask Recovery Dependencies'!$C$195:$F$227,4,FALSE),"N/A")</f>
        <v>N/A</v>
      </c>
      <c r="T284" s="3469" t="str">
        <f t="shared" si="37"/>
        <v>N/A</v>
      </c>
      <c r="U284" s="2424"/>
      <c r="V284" s="2424"/>
      <c r="W284" s="2424"/>
      <c r="X284" s="2424"/>
      <c r="Y284" s="3434"/>
    </row>
    <row r="285" spans="1:28" s="88" customFormat="1" hidden="1" outlineLevel="2" x14ac:dyDescent="0.4">
      <c r="B285" s="1980"/>
      <c r="C285" s="3852" t="s">
        <v>1888</v>
      </c>
      <c r="D285" s="1906" t="s">
        <v>1593</v>
      </c>
      <c r="E285" s="1907" t="s">
        <v>3</v>
      </c>
      <c r="F285" s="1739">
        <f t="shared" si="35"/>
        <v>0.53</v>
      </c>
      <c r="G285" s="1908">
        <f t="shared" si="38"/>
        <v>16.192967059728392</v>
      </c>
      <c r="H285" s="1909"/>
      <c r="I285" s="1910" t="s">
        <v>263</v>
      </c>
      <c r="J285" s="1906"/>
      <c r="K285" s="1911"/>
      <c r="L285" s="1911"/>
      <c r="M285" s="1912" t="str">
        <f>IFERROR(INDEX('Lower Cask Movement &amp; Logistics'!$I$13:$O$19,MATCH($K285,'Lower Cask Movement &amp; Logistics'!$H$13:$H$19,0),MATCH($L285,'Lower Cask Movement &amp; Logistics'!$H$13:$H$19,0)),"N/A")</f>
        <v>N/A</v>
      </c>
      <c r="N285" s="1913" t="str">
        <f>IFERROR(VLOOKUP($J285,'Lower Cask Movement &amp; Logistics'!$H$4:$I$9,2,FALSE),"N/A")</f>
        <v>N/A</v>
      </c>
      <c r="O285" s="1914" t="str">
        <f t="shared" si="36"/>
        <v>N/A</v>
      </c>
      <c r="P285" s="1915" t="s">
        <v>1558</v>
      </c>
      <c r="Q285" s="1914">
        <f>IF($E285="Logistics",VLOOKUP($P285,'Lower Cask Movement &amp; Logistics'!$C$4:$D$54,2,FALSE),"N/A")</f>
        <v>0.53</v>
      </c>
      <c r="R285" s="3381"/>
      <c r="S285" s="3486" t="str">
        <f>IFERROR(VLOOKUP($R285,'LowerCask Recovery Dependencies'!$C$195:$F$227,4,FALSE),"N/A")</f>
        <v>N/A</v>
      </c>
      <c r="T285" s="3487" t="str">
        <f t="shared" si="37"/>
        <v>N/A</v>
      </c>
      <c r="U285" s="1719"/>
      <c r="V285" s="1719"/>
      <c r="W285" s="1719"/>
      <c r="X285" s="1719"/>
      <c r="Y285" s="1719"/>
    </row>
    <row r="286" spans="1:28" s="88" customFormat="1" hidden="1" outlineLevel="2" x14ac:dyDescent="0.4">
      <c r="B286" s="1980"/>
      <c r="C286" s="3856"/>
      <c r="D286" s="1895" t="s">
        <v>953</v>
      </c>
      <c r="E286" s="1896" t="s">
        <v>251</v>
      </c>
      <c r="F286" s="1347">
        <f t="shared" si="35"/>
        <v>12.602967059728389</v>
      </c>
      <c r="G286" s="1351">
        <f t="shared" si="38"/>
        <v>28.795934119456781</v>
      </c>
      <c r="H286" s="1348" t="s">
        <v>441</v>
      </c>
      <c r="I286" s="1353">
        <v>12.602967059728389</v>
      </c>
      <c r="J286" s="1895"/>
      <c r="K286" s="1897"/>
      <c r="L286" s="1897"/>
      <c r="M286" s="1898" t="str">
        <f>IFERROR(INDEX('Lower Cask Movement &amp; Logistics'!$I$13:$O$19,MATCH($K286,'Lower Cask Movement &amp; Logistics'!$H$13:$H$19,0),MATCH($L286,'Lower Cask Movement &amp; Logistics'!$H$13:$H$19,0)),"N/A")</f>
        <v>N/A</v>
      </c>
      <c r="N286" s="1899" t="str">
        <f>IFERROR(VLOOKUP($J286,'Lower Cask Movement &amp; Logistics'!$H$4:$I$9,2,FALSE),"N/A")</f>
        <v>N/A</v>
      </c>
      <c r="O286" s="1900" t="str">
        <f t="shared" si="36"/>
        <v>N/A</v>
      </c>
      <c r="P286" s="1901"/>
      <c r="Q286" s="1900" t="str">
        <f>IF($E286="Logistics",VLOOKUP($P286,'Lower Cask Movement &amp; Logistics'!$C$4:$D$54,2,FALSE),"N/A")</f>
        <v>N/A</v>
      </c>
      <c r="R286" s="3380"/>
      <c r="S286" s="3481" t="str">
        <f>IFERROR(VLOOKUP($R286,'LowerCask Recovery Dependencies'!$C$195:$F$227,4,FALSE),"N/A")</f>
        <v>N/A</v>
      </c>
      <c r="T286" s="3482" t="str">
        <f t="shared" si="37"/>
        <v>N/A</v>
      </c>
      <c r="U286" s="1719"/>
      <c r="V286" s="1719"/>
      <c r="W286" s="1719"/>
      <c r="X286" s="1719"/>
      <c r="Y286" s="1719"/>
    </row>
    <row r="287" spans="1:28" s="88" customFormat="1" hidden="1" outlineLevel="2" x14ac:dyDescent="0.4">
      <c r="B287" s="1980"/>
      <c r="C287" s="3856"/>
      <c r="D287" s="1895" t="s">
        <v>1633</v>
      </c>
      <c r="E287" s="1896" t="s">
        <v>3</v>
      </c>
      <c r="F287" s="1347">
        <f t="shared" si="35"/>
        <v>0.38</v>
      </c>
      <c r="G287" s="1351">
        <f t="shared" si="38"/>
        <v>29.17593411945678</v>
      </c>
      <c r="H287" s="1348"/>
      <c r="I287" s="1353" t="s">
        <v>263</v>
      </c>
      <c r="J287" s="1895"/>
      <c r="K287" s="1897"/>
      <c r="L287" s="1897"/>
      <c r="M287" s="1898" t="str">
        <f>IFERROR(INDEX('Lower Cask Movement &amp; Logistics'!$I$13:$O$19,MATCH($K287,'Lower Cask Movement &amp; Logistics'!$H$13:$H$19,0),MATCH($L287,'Lower Cask Movement &amp; Logistics'!$H$13:$H$19,0)),"N/A")</f>
        <v>N/A</v>
      </c>
      <c r="N287" s="1899" t="str">
        <f>IFERROR(VLOOKUP($J287,'Lower Cask Movement &amp; Logistics'!$H$4:$I$9,2,FALSE),"N/A")</f>
        <v>N/A</v>
      </c>
      <c r="O287" s="1900" t="str">
        <f t="shared" si="36"/>
        <v>N/A</v>
      </c>
      <c r="P287" s="1901" t="s">
        <v>1546</v>
      </c>
      <c r="Q287" s="1900">
        <f>IF($E287="Logistics",VLOOKUP($P287,'Lower Cask Movement &amp; Logistics'!$C$4:$D$54,2,FALSE),"N/A")</f>
        <v>0.38</v>
      </c>
      <c r="R287" s="3380"/>
      <c r="S287" s="3481" t="str">
        <f>IFERROR(VLOOKUP($R287,'LowerCask Recovery Dependencies'!$C$195:$F$227,4,FALSE),"N/A")</f>
        <v>N/A</v>
      </c>
      <c r="T287" s="3482" t="str">
        <f t="shared" si="37"/>
        <v>N/A</v>
      </c>
      <c r="U287" s="1719"/>
      <c r="V287" s="1719"/>
      <c r="W287" s="1719"/>
      <c r="X287" s="1719"/>
      <c r="Y287" s="1719"/>
    </row>
    <row r="288" spans="1:28" s="88" customFormat="1" hidden="1" outlineLevel="2" x14ac:dyDescent="0.4">
      <c r="B288" s="1980"/>
      <c r="C288" s="3856"/>
      <c r="D288" s="1895" t="s">
        <v>1599</v>
      </c>
      <c r="E288" s="1896" t="s">
        <v>3</v>
      </c>
      <c r="F288" s="1347">
        <f t="shared" si="35"/>
        <v>0.38</v>
      </c>
      <c r="G288" s="1351">
        <f t="shared" si="38"/>
        <v>29.555934119456779</v>
      </c>
      <c r="H288" s="1348"/>
      <c r="I288" s="1353" t="s">
        <v>263</v>
      </c>
      <c r="J288" s="1895"/>
      <c r="K288" s="1897"/>
      <c r="L288" s="1897"/>
      <c r="M288" s="1898" t="str">
        <f>IFERROR(INDEX('Lower Cask Movement &amp; Logistics'!$I$13:$O$19,MATCH($K288,'Lower Cask Movement &amp; Logistics'!$H$13:$H$19,0),MATCH($L288,'Lower Cask Movement &amp; Logistics'!$H$13:$H$19,0)),"N/A")</f>
        <v>N/A</v>
      </c>
      <c r="N288" s="1899" t="str">
        <f>IFERROR(VLOOKUP($J288,'Lower Cask Movement &amp; Logistics'!$H$4:$I$9,2,FALSE),"N/A")</f>
        <v>N/A</v>
      </c>
      <c r="O288" s="1900" t="str">
        <f t="shared" si="36"/>
        <v>N/A</v>
      </c>
      <c r="P288" s="1901" t="s">
        <v>1546</v>
      </c>
      <c r="Q288" s="1900">
        <f>IF($E288="Logistics",VLOOKUP($P288,'Lower Cask Movement &amp; Logistics'!$C$4:$D$54,2,FALSE),"N/A")</f>
        <v>0.38</v>
      </c>
      <c r="R288" s="3380"/>
      <c r="S288" s="3481" t="str">
        <f>IFERROR(VLOOKUP($R288,'LowerCask Recovery Dependencies'!$C$195:$F$227,4,FALSE),"N/A")</f>
        <v>N/A</v>
      </c>
      <c r="T288" s="3482" t="str">
        <f t="shared" si="37"/>
        <v>N/A</v>
      </c>
      <c r="U288" s="1719"/>
      <c r="V288" s="1719"/>
      <c r="W288" s="1719"/>
      <c r="X288" s="1719"/>
      <c r="Y288" s="1719"/>
    </row>
    <row r="289" spans="1:25" s="88" customFormat="1" ht="15" hidden="1" outlineLevel="2" thickBot="1" x14ac:dyDescent="0.45">
      <c r="B289" s="1980"/>
      <c r="C289" s="3853"/>
      <c r="D289" s="1869" t="s">
        <v>1634</v>
      </c>
      <c r="E289" s="1918" t="s">
        <v>3</v>
      </c>
      <c r="F289" s="1295">
        <f t="shared" si="35"/>
        <v>2.3000000000000003</v>
      </c>
      <c r="G289" s="1343">
        <f t="shared" si="38"/>
        <v>31.85593411945678</v>
      </c>
      <c r="H289" s="839"/>
      <c r="I289" s="1345" t="s">
        <v>263</v>
      </c>
      <c r="J289" s="1869"/>
      <c r="K289" s="837"/>
      <c r="L289" s="837"/>
      <c r="M289" s="842" t="str">
        <f>IFERROR(INDEX('Lower Cask Movement &amp; Logistics'!$I$13:$O$19,MATCH($K289,'Lower Cask Movement &amp; Logistics'!$H$13:$H$19,0),MATCH($L289,'Lower Cask Movement &amp; Logistics'!$H$13:$H$19,0)),"N/A")</f>
        <v>N/A</v>
      </c>
      <c r="N289" s="1870" t="str">
        <f>IFERROR(VLOOKUP($J289,'Lower Cask Movement &amp; Logistics'!$H$4:$I$9,2,FALSE),"N/A")</f>
        <v>N/A</v>
      </c>
      <c r="O289" s="1919" t="str">
        <f t="shared" si="36"/>
        <v>N/A</v>
      </c>
      <c r="P289" s="1920" t="s">
        <v>1552</v>
      </c>
      <c r="Q289" s="1919">
        <f>IF($E289="Logistics",VLOOKUP($P289,'Lower Cask Movement &amp; Logistics'!$C$4:$D$54,2,FALSE),"N/A")</f>
        <v>2.3000000000000003</v>
      </c>
      <c r="R289" s="3382"/>
      <c r="S289" s="3488" t="str">
        <f>IFERROR(VLOOKUP($R289,'LowerCask Recovery Dependencies'!$C$195:$F$227,4,FALSE),"N/A")</f>
        <v>N/A</v>
      </c>
      <c r="T289" s="3473" t="str">
        <f t="shared" si="37"/>
        <v>N/A</v>
      </c>
      <c r="U289" s="1719"/>
      <c r="V289" s="1719"/>
      <c r="W289" s="1719"/>
      <c r="X289" s="1719"/>
      <c r="Y289" s="1719"/>
    </row>
    <row r="290" spans="1:25" s="8" customFormat="1" hidden="1" outlineLevel="2" x14ac:dyDescent="0.4">
      <c r="A290"/>
      <c r="B290" s="1980"/>
      <c r="C290" s="3850" t="s">
        <v>1635</v>
      </c>
      <c r="D290" s="1129" t="s">
        <v>1619</v>
      </c>
      <c r="E290" s="1620" t="s">
        <v>3</v>
      </c>
      <c r="F290" s="1621">
        <f t="shared" si="35"/>
        <v>1.9</v>
      </c>
      <c r="G290" s="1621">
        <f t="shared" si="38"/>
        <v>33.755934119456782</v>
      </c>
      <c r="H290" s="1129"/>
      <c r="I290" s="1575" t="s">
        <v>263</v>
      </c>
      <c r="J290" s="1129"/>
      <c r="K290" s="1619"/>
      <c r="L290" s="1619"/>
      <c r="M290" s="1623" t="str">
        <f>IFERROR(INDEX('Lower Cask Movement &amp; Logistics'!$I$13:$O$19,MATCH($I290,'Lower Cask Movement &amp; Logistics'!$H$13:$H$19,0),MATCH($J290,'Lower Cask Movement &amp; Logistics'!$H$13:$H$19,0)),"N/A")</f>
        <v>N/A</v>
      </c>
      <c r="N290" s="1623" t="str">
        <f>IFERROR(VLOOKUP($H290,'Lower Cask Movement &amp; Logistics'!$H$4:$I$9,2,FALSE),"N/A")</f>
        <v>N/A</v>
      </c>
      <c r="O290" s="1575" t="str">
        <f t="shared" si="36"/>
        <v>N/A</v>
      </c>
      <c r="P290" s="1576" t="s">
        <v>1541</v>
      </c>
      <c r="Q290" s="1575">
        <f>IF($E290="Logistics",VLOOKUP($P290,'Lower Cask Movement &amp; Logistics'!$C$4:$D$53,2,FALSE),"N/A")</f>
        <v>1.9</v>
      </c>
      <c r="R290" s="3376" t="s">
        <v>1889</v>
      </c>
      <c r="S290" s="3474">
        <f>IFERROR(VLOOKUP($R290,'LowerCask Recovery Dependencies'!$C$195:$F$227,4,FALSE),"N/A")</f>
        <v>2.4137037037037041</v>
      </c>
      <c r="T290" s="3475">
        <f t="shared" si="37"/>
        <v>27.542230415753078</v>
      </c>
      <c r="U290" s="2424"/>
      <c r="V290" s="2424"/>
      <c r="W290" s="2424"/>
      <c r="X290" s="2424"/>
      <c r="Y290" s="3434"/>
    </row>
    <row r="291" spans="1:25" s="8" customFormat="1" hidden="1" outlineLevel="2" x14ac:dyDescent="0.4">
      <c r="A291"/>
      <c r="B291" s="1980"/>
      <c r="C291" s="3854"/>
      <c r="D291" s="1579" t="s">
        <v>1622</v>
      </c>
      <c r="E291" s="1611" t="s">
        <v>3</v>
      </c>
      <c r="F291" s="626">
        <f t="shared" si="35"/>
        <v>0.38</v>
      </c>
      <c r="G291" s="626">
        <f t="shared" si="38"/>
        <v>34.135934119456785</v>
      </c>
      <c r="H291" s="1579"/>
      <c r="I291" s="1183" t="s">
        <v>263</v>
      </c>
      <c r="J291" s="1579"/>
      <c r="K291" s="582"/>
      <c r="L291" s="582"/>
      <c r="M291" s="1478" t="str">
        <f>IFERROR(INDEX('Lower Cask Movement &amp; Logistics'!$I$13:$O$19,MATCH($I291,'Lower Cask Movement &amp; Logistics'!$H$13:$H$19,0),MATCH($J291,'Lower Cask Movement &amp; Logistics'!$H$13:$H$19,0)),"N/A")</f>
        <v>N/A</v>
      </c>
      <c r="N291" s="1478" t="str">
        <f>IFERROR(VLOOKUP($H291,'Lower Cask Movement &amp; Logistics'!$H$4:$I$9,2,FALSE),"N/A")</f>
        <v>N/A</v>
      </c>
      <c r="O291" s="1183" t="str">
        <f t="shared" si="36"/>
        <v>N/A</v>
      </c>
      <c r="P291" s="1578" t="s">
        <v>1544</v>
      </c>
      <c r="Q291" s="1183">
        <f>IF($E291="Logistics",VLOOKUP($P291,'Lower Cask Movement &amp; Logistics'!$C$4:$D$53,2,FALSE),"N/A")</f>
        <v>0.38</v>
      </c>
      <c r="R291" s="3377"/>
      <c r="S291" s="3476" t="str">
        <f>IFERROR(VLOOKUP($R291,'LowerCask Recovery Dependencies'!$C$195:$F$227,4,FALSE),"N/A")</f>
        <v>N/A</v>
      </c>
      <c r="T291" s="3477" t="str">
        <f t="shared" si="37"/>
        <v>N/A</v>
      </c>
      <c r="U291" s="2424"/>
      <c r="V291" s="2424"/>
      <c r="W291" s="2424"/>
      <c r="X291" s="2424"/>
      <c r="Y291" s="3434"/>
    </row>
    <row r="292" spans="1:25" s="8" customFormat="1" hidden="1" outlineLevel="2" x14ac:dyDescent="0.4">
      <c r="A292"/>
      <c r="B292" s="1980"/>
      <c r="C292" s="3854"/>
      <c r="D292" s="1579" t="s">
        <v>1637</v>
      </c>
      <c r="E292" s="1611" t="s">
        <v>251</v>
      </c>
      <c r="F292" s="626">
        <f t="shared" si="35"/>
        <v>7.5229670597283897</v>
      </c>
      <c r="G292" s="626">
        <f t="shared" si="38"/>
        <v>41.658901179185172</v>
      </c>
      <c r="H292" s="1579" t="s">
        <v>1728</v>
      </c>
      <c r="I292" s="1183">
        <v>7.5229670597283897</v>
      </c>
      <c r="J292" s="1579"/>
      <c r="K292" s="582"/>
      <c r="L292" s="582"/>
      <c r="M292" s="1478" t="str">
        <f>IFERROR(INDEX('Lower Cask Movement &amp; Logistics'!$I$13:$O$19,MATCH($I292,'Lower Cask Movement &amp; Logistics'!$H$13:$H$19,0),MATCH($J292,'Lower Cask Movement &amp; Logistics'!$H$13:$H$19,0)),"N/A")</f>
        <v>N/A</v>
      </c>
      <c r="N292" s="1478" t="str">
        <f>IFERROR(VLOOKUP($H292,'Lower Cask Movement &amp; Logistics'!$H$4:$I$9,2,FALSE),"N/A")</f>
        <v>N/A</v>
      </c>
      <c r="O292" s="1183" t="str">
        <f t="shared" si="36"/>
        <v>N/A</v>
      </c>
      <c r="P292" s="1578"/>
      <c r="Q292" s="1183" t="str">
        <f>IF($E292="Logistics",VLOOKUP($P292,'Lower Cask Movement &amp; Logistics'!$C$4:$D$53,2,FALSE),"N/A")</f>
        <v>N/A</v>
      </c>
      <c r="R292" s="3377"/>
      <c r="S292" s="3476" t="str">
        <f>IFERROR(VLOOKUP($R292,'LowerCask Recovery Dependencies'!$C$195:$F$227,4,FALSE),"N/A")</f>
        <v>N/A</v>
      </c>
      <c r="T292" s="3477" t="str">
        <f t="shared" si="37"/>
        <v>N/A</v>
      </c>
      <c r="U292" s="2424"/>
      <c r="V292" s="2424"/>
      <c r="W292" s="2424"/>
      <c r="X292" s="2424"/>
      <c r="Y292" s="3434"/>
    </row>
    <row r="293" spans="1:25" s="8" customFormat="1" hidden="1" outlineLevel="2" x14ac:dyDescent="0.4">
      <c r="A293"/>
      <c r="B293" s="1980"/>
      <c r="C293" s="3854"/>
      <c r="D293" s="1579" t="s">
        <v>1638</v>
      </c>
      <c r="E293" s="1611" t="s">
        <v>3</v>
      </c>
      <c r="F293" s="626">
        <f t="shared" si="35"/>
        <v>0.38</v>
      </c>
      <c r="G293" s="626">
        <f t="shared" si="38"/>
        <v>42.038901179185174</v>
      </c>
      <c r="H293" s="1579"/>
      <c r="I293" s="1183" t="s">
        <v>263</v>
      </c>
      <c r="J293" s="1579"/>
      <c r="K293" s="582"/>
      <c r="L293" s="582"/>
      <c r="M293" s="1478" t="str">
        <f>IFERROR(INDEX('Lower Cask Movement &amp; Logistics'!$I$13:$O$19,MATCH($I293,'Lower Cask Movement &amp; Logistics'!$H$13:$H$19,0),MATCH($J293,'Lower Cask Movement &amp; Logistics'!$H$13:$H$19,0)),"N/A")</f>
        <v>N/A</v>
      </c>
      <c r="N293" s="1478" t="str">
        <f>IFERROR(VLOOKUP($H293,'Lower Cask Movement &amp; Logistics'!$H$4:$I$9,2,FALSE),"N/A")</f>
        <v>N/A</v>
      </c>
      <c r="O293" s="1183" t="str">
        <f t="shared" si="36"/>
        <v>N/A</v>
      </c>
      <c r="P293" s="1578" t="s">
        <v>1546</v>
      </c>
      <c r="Q293" s="1183">
        <f>IF($E293="Logistics",VLOOKUP($P293,'Lower Cask Movement &amp; Logistics'!$C$4:$D$53,2,FALSE),"N/A")</f>
        <v>0.38</v>
      </c>
      <c r="R293" s="3377"/>
      <c r="S293" s="3476" t="str">
        <f>IFERROR(VLOOKUP($R293,'LowerCask Recovery Dependencies'!$C$195:$F$227,4,FALSE),"N/A")</f>
        <v>N/A</v>
      </c>
      <c r="T293" s="3477" t="str">
        <f t="shared" si="37"/>
        <v>N/A</v>
      </c>
      <c r="U293" s="2424"/>
      <c r="V293" s="2424"/>
      <c r="W293" s="2424"/>
      <c r="X293" s="2424"/>
      <c r="Y293" s="3434"/>
    </row>
    <row r="294" spans="1:25" s="8" customFormat="1" hidden="1" outlineLevel="2" x14ac:dyDescent="0.4">
      <c r="A294"/>
      <c r="B294" s="1980"/>
      <c r="C294" s="3854"/>
      <c r="D294" s="1579" t="s">
        <v>1639</v>
      </c>
      <c r="E294" s="1611" t="s">
        <v>3</v>
      </c>
      <c r="F294" s="626">
        <f t="shared" si="35"/>
        <v>0.53</v>
      </c>
      <c r="G294" s="626">
        <f t="shared" si="38"/>
        <v>42.568901179185175</v>
      </c>
      <c r="H294" s="1579"/>
      <c r="I294" s="1183" t="s">
        <v>263</v>
      </c>
      <c r="J294" s="1579"/>
      <c r="K294" s="582"/>
      <c r="L294" s="582"/>
      <c r="M294" s="1478" t="str">
        <f>IFERROR(INDEX('Lower Cask Movement &amp; Logistics'!$I$13:$O$19,MATCH($I294,'Lower Cask Movement &amp; Logistics'!$H$13:$H$19,0),MATCH($J294,'Lower Cask Movement &amp; Logistics'!$H$13:$H$19,0)),"N/A")</f>
        <v>N/A</v>
      </c>
      <c r="N294" s="1478" t="str">
        <f>IFERROR(VLOOKUP($H294,'Lower Cask Movement &amp; Logistics'!$H$4:$I$9,2,FALSE),"N/A")</f>
        <v>N/A</v>
      </c>
      <c r="O294" s="1183" t="str">
        <f t="shared" si="36"/>
        <v>N/A</v>
      </c>
      <c r="P294" s="1578" t="s">
        <v>1558</v>
      </c>
      <c r="Q294" s="1183">
        <f>IF($E294="Logistics",VLOOKUP($P294,'Lower Cask Movement &amp; Logistics'!$C$4:$D$53,2,FALSE),"N/A")</f>
        <v>0.53</v>
      </c>
      <c r="R294" s="3377"/>
      <c r="S294" s="3476" t="str">
        <f>IFERROR(VLOOKUP($R294,'LowerCask Recovery Dependencies'!$C$195:$F$227,4,FALSE),"N/A")</f>
        <v>N/A</v>
      </c>
      <c r="T294" s="3477" t="str">
        <f t="shared" si="37"/>
        <v>N/A</v>
      </c>
      <c r="U294" s="2424"/>
      <c r="V294" s="2424"/>
      <c r="W294" s="2424"/>
      <c r="X294" s="2424"/>
      <c r="Y294" s="3434"/>
    </row>
    <row r="295" spans="1:25" s="8" customFormat="1" hidden="1" outlineLevel="2" x14ac:dyDescent="0.4">
      <c r="A295"/>
      <c r="B295" s="1980"/>
      <c r="C295" s="3854"/>
      <c r="D295" s="1579" t="s">
        <v>953</v>
      </c>
      <c r="E295" s="1611" t="s">
        <v>251</v>
      </c>
      <c r="F295" s="626">
        <f t="shared" si="35"/>
        <v>7.5229670597283897</v>
      </c>
      <c r="G295" s="626">
        <f t="shared" si="38"/>
        <v>50.091868238913563</v>
      </c>
      <c r="H295" s="1579" t="s">
        <v>1728</v>
      </c>
      <c r="I295" s="1183">
        <v>7.5229670597283897</v>
      </c>
      <c r="J295" s="1579"/>
      <c r="K295" s="582"/>
      <c r="L295" s="582"/>
      <c r="M295" s="1478" t="str">
        <f>IFERROR(INDEX('Lower Cask Movement &amp; Logistics'!$I$13:$O$19,MATCH($I295,'Lower Cask Movement &amp; Logistics'!$H$13:$H$19,0),MATCH($J295,'Lower Cask Movement &amp; Logistics'!$H$13:$H$19,0)),"N/A")</f>
        <v>N/A</v>
      </c>
      <c r="N295" s="1478" t="str">
        <f>IFERROR(VLOOKUP($H295,'Lower Cask Movement &amp; Logistics'!$H$4:$I$9,2,FALSE),"N/A")</f>
        <v>N/A</v>
      </c>
      <c r="O295" s="1183" t="str">
        <f t="shared" si="36"/>
        <v>N/A</v>
      </c>
      <c r="P295" s="1578"/>
      <c r="Q295" s="1183" t="str">
        <f>IF($E295="Logistics",VLOOKUP($P295,'Lower Cask Movement &amp; Logistics'!$C$4:$D$53,2,FALSE),"N/A")</f>
        <v>N/A</v>
      </c>
      <c r="R295" s="3377"/>
      <c r="S295" s="3476" t="str">
        <f>IFERROR(VLOOKUP($R295,'LowerCask Recovery Dependencies'!$C$195:$F$227,4,FALSE),"N/A")</f>
        <v>N/A</v>
      </c>
      <c r="T295" s="3477" t="str">
        <f t="shared" si="37"/>
        <v>N/A</v>
      </c>
      <c r="U295" s="2424"/>
      <c r="V295" s="2424"/>
      <c r="W295" s="2424"/>
      <c r="X295" s="2424"/>
      <c r="Y295" s="3434"/>
    </row>
    <row r="296" spans="1:25" s="8" customFormat="1" hidden="1" outlineLevel="2" x14ac:dyDescent="0.4">
      <c r="A296"/>
      <c r="B296" s="1980"/>
      <c r="C296" s="3854"/>
      <c r="D296" s="1579" t="s">
        <v>1640</v>
      </c>
      <c r="E296" s="1611" t="s">
        <v>3</v>
      </c>
      <c r="F296" s="626">
        <f t="shared" si="35"/>
        <v>0.38</v>
      </c>
      <c r="G296" s="626">
        <f t="shared" si="38"/>
        <v>50.471868238913565</v>
      </c>
      <c r="H296" s="1579"/>
      <c r="I296" s="1183" t="s">
        <v>263</v>
      </c>
      <c r="J296" s="1579"/>
      <c r="K296" s="582"/>
      <c r="L296" s="582"/>
      <c r="M296" s="1478" t="str">
        <f>IFERROR(INDEX('Lower Cask Movement &amp; Logistics'!$I$13:$O$19,MATCH($I296,'Lower Cask Movement &amp; Logistics'!$H$13:$H$19,0),MATCH($J296,'Lower Cask Movement &amp; Logistics'!$H$13:$H$19,0)),"N/A")</f>
        <v>N/A</v>
      </c>
      <c r="N296" s="1478" t="str">
        <f>IFERROR(VLOOKUP($H296,'Lower Cask Movement &amp; Logistics'!$H$4:$I$9,2,FALSE),"N/A")</f>
        <v>N/A</v>
      </c>
      <c r="O296" s="1183" t="str">
        <f t="shared" si="36"/>
        <v>N/A</v>
      </c>
      <c r="P296" s="1578" t="s">
        <v>1546</v>
      </c>
      <c r="Q296" s="1183">
        <f>IF($E296="Logistics",VLOOKUP($P296,'Lower Cask Movement &amp; Logistics'!$C$4:$D$53,2,FALSE),"N/A")</f>
        <v>0.38</v>
      </c>
      <c r="R296" s="3377"/>
      <c r="S296" s="3476" t="str">
        <f>IFERROR(VLOOKUP($R296,'LowerCask Recovery Dependencies'!$C$195:$F$227,4,FALSE),"N/A")</f>
        <v>N/A</v>
      </c>
      <c r="T296" s="3477" t="str">
        <f t="shared" si="37"/>
        <v>N/A</v>
      </c>
      <c r="U296" s="2424"/>
      <c r="V296" s="2424"/>
      <c r="W296" s="2424"/>
      <c r="X296" s="2424"/>
      <c r="Y296" s="3434"/>
    </row>
    <row r="297" spans="1:25" s="8" customFormat="1" hidden="1" outlineLevel="2" x14ac:dyDescent="0.4">
      <c r="A297"/>
      <c r="B297" s="1980"/>
      <c r="C297" s="3854"/>
      <c r="D297" s="1579" t="s">
        <v>1599</v>
      </c>
      <c r="E297" s="1611" t="s">
        <v>3</v>
      </c>
      <c r="F297" s="626">
        <f t="shared" si="35"/>
        <v>0.38</v>
      </c>
      <c r="G297" s="626">
        <f t="shared" si="38"/>
        <v>50.851868238913568</v>
      </c>
      <c r="H297" s="1579"/>
      <c r="I297" s="1183" t="s">
        <v>263</v>
      </c>
      <c r="J297" s="1579"/>
      <c r="K297" s="582"/>
      <c r="L297" s="582"/>
      <c r="M297" s="1478" t="str">
        <f>IFERROR(INDEX('Lower Cask Movement &amp; Logistics'!$I$13:$O$19,MATCH($I297,'Lower Cask Movement &amp; Logistics'!$H$13:$H$19,0),MATCH($J297,'Lower Cask Movement &amp; Logistics'!$H$13:$H$19,0)),"N/A")</f>
        <v>N/A</v>
      </c>
      <c r="N297" s="1478" t="str">
        <f>IFERROR(VLOOKUP($H297,'Lower Cask Movement &amp; Logistics'!$H$4:$I$9,2,FALSE),"N/A")</f>
        <v>N/A</v>
      </c>
      <c r="O297" s="1183" t="str">
        <f t="shared" si="36"/>
        <v>N/A</v>
      </c>
      <c r="P297" s="1578" t="s">
        <v>1546</v>
      </c>
      <c r="Q297" s="1183">
        <f>IF($E297="Logistics",VLOOKUP($P297,'Lower Cask Movement &amp; Logistics'!$C$4:$D$53,2,FALSE),"N/A")</f>
        <v>0.38</v>
      </c>
      <c r="R297" s="3377"/>
      <c r="S297" s="3476" t="str">
        <f>IFERROR(VLOOKUP($R297,'LowerCask Recovery Dependencies'!$C$195:$F$227,4,FALSE),"N/A")</f>
        <v>N/A</v>
      </c>
      <c r="T297" s="3477" t="str">
        <f t="shared" si="37"/>
        <v>N/A</v>
      </c>
      <c r="U297" s="2424"/>
      <c r="V297" s="2424"/>
      <c r="W297" s="2424"/>
      <c r="X297" s="2424"/>
      <c r="Y297" s="3434"/>
    </row>
    <row r="298" spans="1:25" s="8" customFormat="1" ht="15" hidden="1" outlineLevel="2" thickBot="1" x14ac:dyDescent="0.45">
      <c r="A298"/>
      <c r="B298" s="1980"/>
      <c r="C298" s="3851"/>
      <c r="D298" s="1136" t="s">
        <v>1641</v>
      </c>
      <c r="E298" s="1581" t="s">
        <v>3</v>
      </c>
      <c r="F298" s="585">
        <f t="shared" si="35"/>
        <v>2.3000000000000003</v>
      </c>
      <c r="G298" s="585">
        <f t="shared" si="38"/>
        <v>53.151868238913565</v>
      </c>
      <c r="H298" s="1136"/>
      <c r="I298" s="1179" t="s">
        <v>263</v>
      </c>
      <c r="J298" s="1136"/>
      <c r="K298" s="584"/>
      <c r="L298" s="584"/>
      <c r="M298" s="814" t="str">
        <f>IFERROR(INDEX('Lower Cask Movement &amp; Logistics'!$I$13:$O$19,MATCH($I298,'Lower Cask Movement &amp; Logistics'!$H$13:$H$19,0),MATCH($J298,'Lower Cask Movement &amp; Logistics'!$H$13:$H$19,0)),"N/A")</f>
        <v>N/A</v>
      </c>
      <c r="N298" s="814" t="str">
        <f>IFERROR(VLOOKUP($H298,'Lower Cask Movement &amp; Logistics'!$H$4:$I$9,2,FALSE),"N/A")</f>
        <v>N/A</v>
      </c>
      <c r="O298" s="1179" t="str">
        <f t="shared" si="36"/>
        <v>N/A</v>
      </c>
      <c r="P298" s="1582" t="s">
        <v>1552</v>
      </c>
      <c r="Q298" s="1179">
        <f>IF($E298="Logistics",VLOOKUP($P298,'Lower Cask Movement &amp; Logistics'!$C$4:$D$53,2,FALSE),"N/A")</f>
        <v>2.3000000000000003</v>
      </c>
      <c r="R298" s="3378"/>
      <c r="S298" s="3478" t="str">
        <f>IFERROR(VLOOKUP($R298,'LowerCask Recovery Dependencies'!$C$195:$F$227,4,FALSE),"N/A")</f>
        <v>N/A</v>
      </c>
      <c r="T298" s="3469" t="str">
        <f t="shared" si="37"/>
        <v>N/A</v>
      </c>
      <c r="U298" s="2424"/>
      <c r="V298" s="2424"/>
      <c r="W298" s="2424"/>
      <c r="X298" s="2424"/>
      <c r="Y298" s="3434"/>
    </row>
    <row r="299" spans="1:25" s="8" customFormat="1" hidden="1" outlineLevel="2" x14ac:dyDescent="0.4">
      <c r="A299"/>
      <c r="B299" s="1980"/>
      <c r="C299" s="3852" t="s">
        <v>1649</v>
      </c>
      <c r="D299" s="1906" t="s">
        <v>1619</v>
      </c>
      <c r="E299" s="1907" t="s">
        <v>3</v>
      </c>
      <c r="F299" s="1739">
        <f t="shared" si="35"/>
        <v>1.9</v>
      </c>
      <c r="G299" s="1739">
        <f t="shared" si="38"/>
        <v>55.051868238913563</v>
      </c>
      <c r="H299" s="1906"/>
      <c r="I299" s="1917" t="s">
        <v>263</v>
      </c>
      <c r="J299" s="1906"/>
      <c r="K299" s="1911"/>
      <c r="L299" s="1911"/>
      <c r="M299" s="1912" t="str">
        <f>IFERROR(INDEX('Lower Cask Movement &amp; Logistics'!$I$13:$O$19,MATCH($I299,'Lower Cask Movement &amp; Logistics'!$H$13:$H$19,0),MATCH($J299,'Lower Cask Movement &amp; Logistics'!$H$13:$H$19,0)),"N/A")</f>
        <v>N/A</v>
      </c>
      <c r="N299" s="1912" t="str">
        <f>IFERROR(VLOOKUP($H299,'Lower Cask Movement &amp; Logistics'!$H$4:$I$9,2,FALSE),"N/A")</f>
        <v>N/A</v>
      </c>
      <c r="O299" s="1917" t="str">
        <f t="shared" si="36"/>
        <v>N/A</v>
      </c>
      <c r="P299" s="1916" t="s">
        <v>1541</v>
      </c>
      <c r="Q299" s="1917">
        <f>IF($E299="Logistics",VLOOKUP($P299,'Lower Cask Movement &amp; Logistics'!$C$4:$D$53,2,FALSE),"N/A")</f>
        <v>1.9</v>
      </c>
      <c r="R299" s="3381" t="s">
        <v>1866</v>
      </c>
      <c r="S299" s="3486">
        <f>IFERROR(VLOOKUP($R299,'LowerCask Recovery Dependencies'!$C$195:$F$227,4,FALSE),"N/A")</f>
        <v>34.169637823160485</v>
      </c>
      <c r="T299" s="3487">
        <f t="shared" si="37"/>
        <v>17.082230415753081</v>
      </c>
      <c r="U299" s="2424"/>
      <c r="V299" s="2424"/>
      <c r="W299" s="2424"/>
      <c r="X299" s="2424"/>
      <c r="Y299" s="3434"/>
    </row>
    <row r="300" spans="1:25" s="8" customFormat="1" hidden="1" outlineLevel="2" x14ac:dyDescent="0.4">
      <c r="A300"/>
      <c r="B300" s="1980"/>
      <c r="C300" s="3856"/>
      <c r="D300" s="1895" t="s">
        <v>1247</v>
      </c>
      <c r="E300" s="1896" t="s">
        <v>3</v>
      </c>
      <c r="F300" s="1347">
        <f t="shared" si="35"/>
        <v>0.38</v>
      </c>
      <c r="G300" s="1347">
        <f t="shared" si="38"/>
        <v>55.431868238913566</v>
      </c>
      <c r="H300" s="1895"/>
      <c r="I300" s="1903" t="s">
        <v>263</v>
      </c>
      <c r="J300" s="1895"/>
      <c r="K300" s="1897"/>
      <c r="L300" s="1897"/>
      <c r="M300" s="1898" t="str">
        <f>IFERROR(INDEX('Lower Cask Movement &amp; Logistics'!$I$13:$O$19,MATCH($I300,'Lower Cask Movement &amp; Logistics'!$H$13:$H$19,0),MATCH($J300,'Lower Cask Movement &amp; Logistics'!$H$13:$H$19,0)),"N/A")</f>
        <v>N/A</v>
      </c>
      <c r="N300" s="1898" t="str">
        <f>IFERROR(VLOOKUP($H300,'Lower Cask Movement &amp; Logistics'!$H$4:$I$9,2,FALSE),"N/A")</f>
        <v>N/A</v>
      </c>
      <c r="O300" s="1903" t="str">
        <f t="shared" si="36"/>
        <v>N/A</v>
      </c>
      <c r="P300" s="1902" t="s">
        <v>1544</v>
      </c>
      <c r="Q300" s="1903">
        <f>IF($E300="Logistics",VLOOKUP($P300,'Lower Cask Movement &amp; Logistics'!$C$4:$D$53,2,FALSE),"N/A")</f>
        <v>0.38</v>
      </c>
      <c r="R300" s="3380"/>
      <c r="S300" s="3481" t="str">
        <f>IFERROR(VLOOKUP($R300,'LowerCask Recovery Dependencies'!$C$195:$F$227,4,FALSE),"N/A")</f>
        <v>N/A</v>
      </c>
      <c r="T300" s="3482" t="str">
        <f t="shared" si="37"/>
        <v>N/A</v>
      </c>
      <c r="U300" s="2424"/>
      <c r="V300" s="2424"/>
      <c r="W300" s="2424"/>
      <c r="X300" s="2424"/>
      <c r="Y300" s="3434"/>
    </row>
    <row r="301" spans="1:25" s="8" customFormat="1" hidden="1" outlineLevel="2" x14ac:dyDescent="0.4">
      <c r="A301"/>
      <c r="B301" s="1980"/>
      <c r="C301" s="3856"/>
      <c r="D301" s="1895" t="s">
        <v>117</v>
      </c>
      <c r="E301" s="1896" t="s">
        <v>251</v>
      </c>
      <c r="F301" s="1347">
        <f t="shared" si="35"/>
        <v>17.622664625997164</v>
      </c>
      <c r="G301" s="1347">
        <f t="shared" si="38"/>
        <v>80.713771426538969</v>
      </c>
      <c r="H301" s="1895" t="s">
        <v>556</v>
      </c>
      <c r="I301" s="1903">
        <v>17.622664625997164</v>
      </c>
      <c r="J301" s="1895"/>
      <c r="K301" s="1897"/>
      <c r="L301" s="1897"/>
      <c r="M301" s="1898" t="str">
        <f>IFERROR(INDEX('Lower Cask Movement &amp; Logistics'!$I$13:$O$19,MATCH($I301,'Lower Cask Movement &amp; Logistics'!$H$13:$H$19,0),MATCH($J301,'Lower Cask Movement &amp; Logistics'!$H$13:$H$19,0)),"N/A")</f>
        <v>N/A</v>
      </c>
      <c r="N301" s="1898" t="str">
        <f>IFERROR(VLOOKUP($H301,'Lower Cask Movement &amp; Logistics'!$H$4:$I$9,2,FALSE),"N/A")</f>
        <v>N/A</v>
      </c>
      <c r="O301" s="1903" t="str">
        <f t="shared" si="36"/>
        <v>N/A</v>
      </c>
      <c r="P301" s="1902" t="s">
        <v>1546</v>
      </c>
      <c r="Q301" s="1903" t="str">
        <f>IF($E301="Logistics",VLOOKUP($P301,'Lower Cask Movement &amp; Logistics'!$C$4:$D$53,2,FALSE),"N/A")</f>
        <v>N/A</v>
      </c>
      <c r="R301" s="3380" t="s">
        <v>1880</v>
      </c>
      <c r="S301" s="3481">
        <f>IFERROR(VLOOKUP($R301,'LowerCask Recovery Dependencies'!$C$195:$F$227,4,FALSE),"N/A")</f>
        <v>45.468442174544649</v>
      </c>
      <c r="T301" s="3482">
        <f t="shared" si="37"/>
        <v>-7.6592385616282428</v>
      </c>
      <c r="U301" s="2424"/>
      <c r="V301" s="2424"/>
      <c r="W301" s="2424"/>
      <c r="X301" s="2424"/>
      <c r="Y301" s="3434"/>
    </row>
    <row r="302" spans="1:25" s="8" customFormat="1" hidden="1" outlineLevel="2" x14ac:dyDescent="0.4">
      <c r="A302"/>
      <c r="B302" s="1980"/>
      <c r="C302" s="3856"/>
      <c r="D302" s="1895" t="s">
        <v>1652</v>
      </c>
      <c r="E302" s="1896" t="s">
        <v>3</v>
      </c>
      <c r="F302" s="1347">
        <f t="shared" si="35"/>
        <v>0.38</v>
      </c>
      <c r="G302" s="1347">
        <f t="shared" si="38"/>
        <v>81.093771426538964</v>
      </c>
      <c r="H302" s="1895"/>
      <c r="I302" s="1903" t="s">
        <v>263</v>
      </c>
      <c r="J302" s="1895"/>
      <c r="K302" s="1897"/>
      <c r="L302" s="1897"/>
      <c r="M302" s="1898" t="str">
        <f>IFERROR(INDEX('Lower Cask Movement &amp; Logistics'!$I$13:$O$19,MATCH($I302,'Lower Cask Movement &amp; Logistics'!$H$13:$H$19,0),MATCH($J302,'Lower Cask Movement &amp; Logistics'!$H$13:$H$19,0)),"N/A")</f>
        <v>N/A</v>
      </c>
      <c r="N302" s="1898" t="str">
        <f>IFERROR(VLOOKUP($H302,'Lower Cask Movement &amp; Logistics'!$H$4:$I$9,2,FALSE),"N/A")</f>
        <v>N/A</v>
      </c>
      <c r="O302" s="1903" t="str">
        <f t="shared" si="36"/>
        <v>N/A</v>
      </c>
      <c r="P302" s="1902" t="s">
        <v>1544</v>
      </c>
      <c r="Q302" s="1903">
        <f>IF($E302="Logistics",VLOOKUP($P302,'Lower Cask Movement &amp; Logistics'!$C$4:$D$53,2,FALSE),"N/A")</f>
        <v>0.38</v>
      </c>
      <c r="R302" s="3380"/>
      <c r="S302" s="3481" t="str">
        <f>IFERROR(VLOOKUP($R302,'LowerCask Recovery Dependencies'!$C$195:$F$227,4,FALSE),"N/A")</f>
        <v>N/A</v>
      </c>
      <c r="T302" s="3482" t="str">
        <f t="shared" si="37"/>
        <v>N/A</v>
      </c>
      <c r="U302" s="2424"/>
      <c r="V302" s="2424"/>
      <c r="W302" s="2424"/>
      <c r="X302" s="2424"/>
      <c r="Y302" s="3434"/>
    </row>
    <row r="303" spans="1:25" s="8" customFormat="1" hidden="1" outlineLevel="2" x14ac:dyDescent="0.4">
      <c r="A303"/>
      <c r="B303" s="1980"/>
      <c r="C303" s="3856"/>
      <c r="D303" s="1895" t="s">
        <v>1653</v>
      </c>
      <c r="E303" s="1896" t="s">
        <v>251</v>
      </c>
      <c r="F303" s="1347">
        <f t="shared" si="35"/>
        <v>17.622664625997164</v>
      </c>
      <c r="G303" s="1347">
        <f t="shared" si="38"/>
        <v>98.716436052536125</v>
      </c>
      <c r="H303" s="1895" t="s">
        <v>556</v>
      </c>
      <c r="I303" s="1903">
        <v>17.622664625997164</v>
      </c>
      <c r="J303" s="1895"/>
      <c r="K303" s="1897"/>
      <c r="L303" s="1897"/>
      <c r="M303" s="1898" t="str">
        <f>IFERROR(INDEX('Lower Cask Movement &amp; Logistics'!$I$13:$O$19,MATCH($I303,'Lower Cask Movement &amp; Logistics'!$H$13:$H$19,0),MATCH($J303,'Lower Cask Movement &amp; Logistics'!$H$13:$H$19,0)),"N/A")</f>
        <v>N/A</v>
      </c>
      <c r="N303" s="1898" t="str">
        <f>IFERROR(VLOOKUP($H303,'Lower Cask Movement &amp; Logistics'!$H$4:$I$9,2,FALSE),"N/A")</f>
        <v>N/A</v>
      </c>
      <c r="O303" s="1903" t="str">
        <f t="shared" si="36"/>
        <v>N/A</v>
      </c>
      <c r="P303" s="1902"/>
      <c r="Q303" s="1903" t="str">
        <f>IF($E303="Logistics",VLOOKUP($P303,'Lower Cask Movement &amp; Logistics'!$C$4:$D$53,2,FALSE),"N/A")</f>
        <v>N/A</v>
      </c>
      <c r="R303" s="3380" t="s">
        <v>1881</v>
      </c>
      <c r="S303" s="3481">
        <f>IFERROR(VLOOKUP($R303,'LowerCask Recovery Dependencies'!$C$195:$F$227,4,FALSE),"N/A")</f>
        <v>49.86788661898909</v>
      </c>
      <c r="T303" s="3482">
        <f t="shared" si="37"/>
        <v>13.603220181552715</v>
      </c>
      <c r="U303" s="2424"/>
      <c r="V303" s="2424"/>
      <c r="W303" s="2424"/>
      <c r="X303" s="2424"/>
      <c r="Y303" s="3434"/>
    </row>
    <row r="304" spans="1:25" s="8" customFormat="1" hidden="1" outlineLevel="2" x14ac:dyDescent="0.4">
      <c r="A304"/>
      <c r="B304" s="1980"/>
      <c r="C304" s="3856"/>
      <c r="D304" s="1895" t="s">
        <v>1599</v>
      </c>
      <c r="E304" s="1896" t="s">
        <v>3</v>
      </c>
      <c r="F304" s="1347">
        <f t="shared" si="35"/>
        <v>0.38</v>
      </c>
      <c r="G304" s="1347">
        <f t="shared" si="38"/>
        <v>99.09643605253612</v>
      </c>
      <c r="H304" s="1895"/>
      <c r="I304" s="1903" t="s">
        <v>263</v>
      </c>
      <c r="J304" s="1895"/>
      <c r="K304" s="1897"/>
      <c r="L304" s="1897"/>
      <c r="M304" s="1898" t="str">
        <f>IFERROR(INDEX('Lower Cask Movement &amp; Logistics'!$I$13:$O$19,MATCH($I304,'Lower Cask Movement &amp; Logistics'!$H$13:$H$19,0),MATCH($J304,'Lower Cask Movement &amp; Logistics'!$H$13:$H$19,0)),"N/A")</f>
        <v>N/A</v>
      </c>
      <c r="N304" s="1898" t="str">
        <f>IFERROR(VLOOKUP($H304,'Lower Cask Movement &amp; Logistics'!$H$4:$I$9,2,FALSE),"N/A")</f>
        <v>N/A</v>
      </c>
      <c r="O304" s="1903" t="str">
        <f t="shared" si="36"/>
        <v>N/A</v>
      </c>
      <c r="P304" s="1902" t="s">
        <v>1546</v>
      </c>
      <c r="Q304" s="1903">
        <f>IF($E304="Logistics",VLOOKUP($P304,'Lower Cask Movement &amp; Logistics'!$C$4:$D$53,2,FALSE),"N/A")</f>
        <v>0.38</v>
      </c>
      <c r="R304" s="3380"/>
      <c r="S304" s="3481" t="str">
        <f>IFERROR(VLOOKUP($R304,'LowerCask Recovery Dependencies'!$C$195:$F$227,4,FALSE),"N/A")</f>
        <v>N/A</v>
      </c>
      <c r="T304" s="3482" t="str">
        <f t="shared" si="37"/>
        <v>N/A</v>
      </c>
      <c r="U304" s="2424"/>
      <c r="V304" s="2424"/>
      <c r="W304" s="2424"/>
      <c r="X304" s="2424"/>
      <c r="Y304" s="3434"/>
    </row>
    <row r="305" spans="1:28" s="8" customFormat="1" ht="15" hidden="1" outlineLevel="2" thickBot="1" x14ac:dyDescent="0.45">
      <c r="A305"/>
      <c r="B305" s="1980"/>
      <c r="C305" s="3853"/>
      <c r="D305" s="1869" t="s">
        <v>1656</v>
      </c>
      <c r="E305" s="1918" t="s">
        <v>3</v>
      </c>
      <c r="F305" s="1295">
        <f t="shared" si="35"/>
        <v>2.3000000000000003</v>
      </c>
      <c r="G305" s="1295">
        <f t="shared" si="38"/>
        <v>101.39643605253612</v>
      </c>
      <c r="H305" s="1869"/>
      <c r="I305" s="1922" t="s">
        <v>263</v>
      </c>
      <c r="J305" s="1869"/>
      <c r="K305" s="837"/>
      <c r="L305" s="837"/>
      <c r="M305" s="842" t="str">
        <f>IFERROR(INDEX('Lower Cask Movement &amp; Logistics'!$I$13:$O$19,MATCH($I305,'Lower Cask Movement &amp; Logistics'!$H$13:$H$19,0),MATCH($J305,'Lower Cask Movement &amp; Logistics'!$H$13:$H$19,0)),"N/A")</f>
        <v>N/A</v>
      </c>
      <c r="N305" s="842" t="str">
        <f>IFERROR(VLOOKUP($H305,'Lower Cask Movement &amp; Logistics'!$H$4:$I$9,2,FALSE),"N/A")</f>
        <v>N/A</v>
      </c>
      <c r="O305" s="1922" t="str">
        <f t="shared" si="36"/>
        <v>N/A</v>
      </c>
      <c r="P305" s="1921" t="s">
        <v>1552</v>
      </c>
      <c r="Q305" s="1922">
        <f>IF($E305="Logistics",VLOOKUP($P305,'Lower Cask Movement &amp; Logistics'!$C$4:$D$53,2,FALSE),"N/A")</f>
        <v>2.3000000000000003</v>
      </c>
      <c r="R305" s="3382"/>
      <c r="S305" s="3488" t="str">
        <f>IFERROR(VLOOKUP($R305,'LowerCask Recovery Dependencies'!$C$195:$F$227,4,FALSE),"N/A")</f>
        <v>N/A</v>
      </c>
      <c r="T305" s="3473" t="str">
        <f t="shared" si="37"/>
        <v>N/A</v>
      </c>
      <c r="U305" s="2424"/>
      <c r="V305" s="2424"/>
      <c r="W305" s="2424"/>
      <c r="X305" s="2424"/>
      <c r="Y305" s="3434"/>
    </row>
    <row r="306" spans="1:28" s="8" customFormat="1" hidden="1" outlineLevel="2" x14ac:dyDescent="0.4">
      <c r="A306"/>
      <c r="B306" s="1980"/>
      <c r="C306" s="3850" t="s">
        <v>2659</v>
      </c>
      <c r="D306" s="798" t="s">
        <v>1890</v>
      </c>
      <c r="E306" s="799" t="s">
        <v>3</v>
      </c>
      <c r="F306" s="326">
        <f t="shared" si="35"/>
        <v>1.9</v>
      </c>
      <c r="G306" s="800">
        <f t="shared" si="38"/>
        <v>103.29643605253612</v>
      </c>
      <c r="H306" s="566"/>
      <c r="I306" s="621" t="s">
        <v>263</v>
      </c>
      <c r="J306" s="568"/>
      <c r="K306" s="566"/>
      <c r="L306" s="801"/>
      <c r="M306" s="802" t="s">
        <v>263</v>
      </c>
      <c r="N306" s="570" t="s">
        <v>263</v>
      </c>
      <c r="O306" s="800" t="str">
        <f t="shared" si="36"/>
        <v>N/A</v>
      </c>
      <c r="P306" s="803" t="s">
        <v>1541</v>
      </c>
      <c r="Q306" s="802">
        <f>IF($E306="Logistics",VLOOKUP($P306,'Lower Cask Movement &amp; Logistics'!$C$4:$D$53,2,FALSE),"N/A")</f>
        <v>1.9</v>
      </c>
      <c r="R306" s="3398" t="s">
        <v>1869</v>
      </c>
      <c r="S306" s="3466">
        <f>IFERROR(VLOOKUP($R306,'LowerCask Recovery Dependencies'!$C$195:$F$227,4,FALSE),"N/A")</f>
        <v>55.465571942617267</v>
      </c>
      <c r="T306" s="3467">
        <f t="shared" si="37"/>
        <v>44.030864109918845</v>
      </c>
      <c r="U306" s="2424"/>
      <c r="V306" s="2424"/>
      <c r="W306" s="2424"/>
      <c r="X306" s="2424"/>
      <c r="Y306" s="3434"/>
    </row>
    <row r="307" spans="1:28" s="8" customFormat="1" hidden="1" outlineLevel="2" x14ac:dyDescent="0.4">
      <c r="A307"/>
      <c r="B307" s="1980"/>
      <c r="C307" s="3854"/>
      <c r="D307" s="1781" t="s">
        <v>1247</v>
      </c>
      <c r="E307" s="848" t="s">
        <v>3</v>
      </c>
      <c r="F307" s="459">
        <f t="shared" si="35"/>
        <v>0.38</v>
      </c>
      <c r="G307" s="849">
        <f t="shared" si="38"/>
        <v>103.67643605253612</v>
      </c>
      <c r="H307" s="880"/>
      <c r="I307" s="850" t="s">
        <v>263</v>
      </c>
      <c r="J307" s="879"/>
      <c r="K307" s="880"/>
      <c r="L307" s="881"/>
      <c r="M307" s="1460" t="s">
        <v>263</v>
      </c>
      <c r="N307" s="1459" t="s">
        <v>263</v>
      </c>
      <c r="O307" s="849" t="str">
        <f t="shared" si="36"/>
        <v>N/A</v>
      </c>
      <c r="P307" s="854" t="s">
        <v>1544</v>
      </c>
      <c r="Q307" s="1460">
        <f>IF($E307="Logistics",VLOOKUP($P307,'Lower Cask Movement &amp; Logistics'!$C$4:$D$53,2,FALSE),"N/A")</f>
        <v>0.38</v>
      </c>
      <c r="R307" s="3401"/>
      <c r="S307" s="3508" t="str">
        <f>IFERROR(VLOOKUP($R307,'LowerCask Recovery Dependencies'!$C$195:$F$227,4,FALSE),"N/A")</f>
        <v>N/A</v>
      </c>
      <c r="T307" s="3509" t="str">
        <f t="shared" si="37"/>
        <v>N/A</v>
      </c>
      <c r="U307" s="2424"/>
      <c r="V307" s="2424"/>
      <c r="W307" s="2424"/>
      <c r="X307" s="2424"/>
      <c r="Y307" s="3434"/>
    </row>
    <row r="308" spans="1:28" s="8" customFormat="1" hidden="1" outlineLevel="2" x14ac:dyDescent="0.4">
      <c r="A308"/>
      <c r="B308" s="1980"/>
      <c r="C308" s="3854"/>
      <c r="D308" s="1781" t="s">
        <v>1891</v>
      </c>
      <c r="E308" s="848" t="s">
        <v>3</v>
      </c>
      <c r="F308" s="459">
        <f t="shared" si="35"/>
        <v>0.38</v>
      </c>
      <c r="G308" s="849">
        <f t="shared" si="38"/>
        <v>104.05643605253611</v>
      </c>
      <c r="H308" s="880"/>
      <c r="I308" s="850" t="s">
        <v>263</v>
      </c>
      <c r="J308" s="879"/>
      <c r="K308" s="880"/>
      <c r="L308" s="881"/>
      <c r="M308" s="1460" t="s">
        <v>263</v>
      </c>
      <c r="N308" s="1459" t="s">
        <v>263</v>
      </c>
      <c r="O308" s="849" t="str">
        <f t="shared" si="36"/>
        <v>N/A</v>
      </c>
      <c r="P308" s="854" t="s">
        <v>1544</v>
      </c>
      <c r="Q308" s="1460">
        <f>IF($E308="Logistics",VLOOKUP($P308,'Lower Cask Movement &amp; Logistics'!$C$4:$D$53,2,FALSE),"N/A")</f>
        <v>0.38</v>
      </c>
      <c r="R308" s="3401"/>
      <c r="S308" s="3508" t="str">
        <f>IFERROR(VLOOKUP($R308,'LowerCask Recovery Dependencies'!$C$195:$F$227,4,FALSE),"N/A")</f>
        <v>N/A</v>
      </c>
      <c r="T308" s="3509" t="str">
        <f t="shared" si="37"/>
        <v>N/A</v>
      </c>
      <c r="U308" s="2424"/>
      <c r="V308" s="2424"/>
      <c r="W308" s="2424"/>
      <c r="X308" s="2424"/>
      <c r="Y308" s="3434"/>
    </row>
    <row r="309" spans="1:28" s="8" customFormat="1" hidden="1" outlineLevel="2" x14ac:dyDescent="0.4">
      <c r="A309"/>
      <c r="B309" s="1980"/>
      <c r="C309" s="3854"/>
      <c r="D309" s="1781" t="s">
        <v>1892</v>
      </c>
      <c r="E309" s="848" t="s">
        <v>251</v>
      </c>
      <c r="F309" s="459">
        <f t="shared" si="35"/>
        <v>10.036332312998582</v>
      </c>
      <c r="G309" s="849">
        <f t="shared" si="38"/>
        <v>114.0927683655347</v>
      </c>
      <c r="H309" s="880" t="s">
        <v>450</v>
      </c>
      <c r="I309" s="850">
        <v>10.036332312998582</v>
      </c>
      <c r="J309" s="879"/>
      <c r="K309" s="880"/>
      <c r="L309" s="881"/>
      <c r="M309" s="1460" t="s">
        <v>263</v>
      </c>
      <c r="N309" s="1459" t="s">
        <v>263</v>
      </c>
      <c r="O309" s="849" t="str">
        <f t="shared" si="36"/>
        <v>N/A</v>
      </c>
      <c r="P309" s="854"/>
      <c r="Q309" s="1460" t="str">
        <f>IF($E309="Logistics",VLOOKUP($P309,'Lower Cask Movement &amp; Logistics'!$C$4:$D$53,2,FALSE),"N/A")</f>
        <v>N/A</v>
      </c>
      <c r="R309" s="3401"/>
      <c r="S309" s="3508" t="str">
        <f>IFERROR(VLOOKUP($R309,'LowerCask Recovery Dependencies'!$C$195:$F$227,4,FALSE),"N/A")</f>
        <v>N/A</v>
      </c>
      <c r="T309" s="3509" t="str">
        <f t="shared" si="37"/>
        <v>N/A</v>
      </c>
      <c r="U309" s="2424"/>
      <c r="V309" s="2424"/>
      <c r="W309" s="2424"/>
      <c r="X309" s="2424"/>
      <c r="Y309" s="3434"/>
    </row>
    <row r="310" spans="1:28" s="8" customFormat="1" hidden="1" outlineLevel="2" x14ac:dyDescent="0.4">
      <c r="A310"/>
      <c r="B310" s="1980"/>
      <c r="C310" s="3854"/>
      <c r="D310" s="1781" t="s">
        <v>1893</v>
      </c>
      <c r="E310" s="848" t="s">
        <v>3</v>
      </c>
      <c r="F310" s="459">
        <f t="shared" si="35"/>
        <v>0.38</v>
      </c>
      <c r="G310" s="849">
        <f t="shared" si="38"/>
        <v>114.47276836553469</v>
      </c>
      <c r="H310" s="880"/>
      <c r="I310" s="850" t="s">
        <v>263</v>
      </c>
      <c r="J310" s="879"/>
      <c r="K310" s="880"/>
      <c r="L310" s="881"/>
      <c r="M310" s="1460" t="s">
        <v>263</v>
      </c>
      <c r="N310" s="1459" t="s">
        <v>263</v>
      </c>
      <c r="O310" s="849" t="str">
        <f t="shared" si="36"/>
        <v>N/A</v>
      </c>
      <c r="P310" s="854" t="s">
        <v>1544</v>
      </c>
      <c r="Q310" s="1460">
        <f>IF($E310="Logistics",VLOOKUP($P310,'Lower Cask Movement &amp; Logistics'!$C$4:$D$53,2,FALSE),"N/A")</f>
        <v>0.38</v>
      </c>
      <c r="R310" s="3401" t="s">
        <v>1894</v>
      </c>
      <c r="S310" s="3508">
        <f>IFERROR(VLOOKUP($R310,'LowerCask Recovery Dependencies'!$C$195:$F$227,4,FALSE),"N/A")</f>
        <v>70.675664396766862</v>
      </c>
      <c r="T310" s="3509">
        <f t="shared" si="37"/>
        <v>43.037103968767838</v>
      </c>
      <c r="U310" s="2424"/>
      <c r="V310" s="2424"/>
      <c r="W310" s="2424"/>
      <c r="X310" s="2424"/>
      <c r="Y310" s="3434"/>
    </row>
    <row r="311" spans="1:28" s="8" customFormat="1" hidden="1" outlineLevel="2" x14ac:dyDescent="0.4">
      <c r="A311"/>
      <c r="B311" s="1980"/>
      <c r="C311" s="3854"/>
      <c r="D311" s="1781" t="s">
        <v>1184</v>
      </c>
      <c r="E311" s="848" t="s">
        <v>251</v>
      </c>
      <c r="F311" s="459">
        <f t="shared" si="35"/>
        <v>10.036332312998582</v>
      </c>
      <c r="G311" s="849">
        <f t="shared" si="38"/>
        <v>124.50910067853327</v>
      </c>
      <c r="H311" s="880" t="s">
        <v>450</v>
      </c>
      <c r="I311" s="850">
        <v>10.036332312998582</v>
      </c>
      <c r="J311" s="879"/>
      <c r="K311" s="880"/>
      <c r="L311" s="881"/>
      <c r="M311" s="1460" t="s">
        <v>263</v>
      </c>
      <c r="N311" s="1459" t="s">
        <v>263</v>
      </c>
      <c r="O311" s="849" t="str">
        <f t="shared" si="36"/>
        <v>N/A</v>
      </c>
      <c r="P311" s="854"/>
      <c r="Q311" s="1460" t="str">
        <f>IF($E311="Logistics",VLOOKUP($P311,'Lower Cask Movement &amp; Logistics'!$C$4:$D$53,2,FALSE),"N/A")</f>
        <v>N/A</v>
      </c>
      <c r="R311" s="3401"/>
      <c r="S311" s="3508" t="str">
        <f>IFERROR(VLOOKUP($R311,'LowerCask Recovery Dependencies'!$C$195:$F$227,4,FALSE),"N/A")</f>
        <v>N/A</v>
      </c>
      <c r="T311" s="3509" t="str">
        <f t="shared" si="37"/>
        <v>N/A</v>
      </c>
      <c r="U311" s="2424"/>
      <c r="V311" s="2424"/>
      <c r="W311" s="2424"/>
      <c r="X311" s="2424"/>
      <c r="Y311" s="3434"/>
    </row>
    <row r="312" spans="1:28" s="8" customFormat="1" ht="15" hidden="1" outlineLevel="2" thickBot="1" x14ac:dyDescent="0.45">
      <c r="A312"/>
      <c r="B312" s="1980"/>
      <c r="C312" s="3851"/>
      <c r="D312" s="584" t="s">
        <v>1599</v>
      </c>
      <c r="E312" s="809" t="s">
        <v>3</v>
      </c>
      <c r="F312" s="467">
        <f t="shared" si="35"/>
        <v>0.38</v>
      </c>
      <c r="G312" s="810">
        <f t="shared" si="38"/>
        <v>124.88910067853327</v>
      </c>
      <c r="H312" s="1983"/>
      <c r="I312" s="811" t="s">
        <v>263</v>
      </c>
      <c r="J312" s="1984"/>
      <c r="K312" s="1983"/>
      <c r="L312" s="1985"/>
      <c r="M312" s="1986" t="s">
        <v>263</v>
      </c>
      <c r="N312" s="1987" t="s">
        <v>263</v>
      </c>
      <c r="O312" s="810" t="str">
        <f t="shared" si="36"/>
        <v>N/A</v>
      </c>
      <c r="P312" s="815" t="s">
        <v>1546</v>
      </c>
      <c r="Q312" s="1986">
        <f>IF($E312="Logistics",VLOOKUP($P312,'Lower Cask Movement &amp; Logistics'!$C$4:$D$53,2,FALSE),"N/A")</f>
        <v>0.38</v>
      </c>
      <c r="R312" s="3402"/>
      <c r="S312" s="3468" t="str">
        <f>IFERROR(VLOOKUP($R312,'LowerCask Recovery Dependencies'!$C$195:$F$227,4,FALSE),"N/A")</f>
        <v>N/A</v>
      </c>
      <c r="T312" s="3510" t="str">
        <f t="shared" si="37"/>
        <v>N/A</v>
      </c>
      <c r="U312" s="2424"/>
      <c r="V312" s="2424"/>
      <c r="W312" s="2424"/>
      <c r="X312" s="2424"/>
      <c r="Y312" s="3434"/>
    </row>
    <row r="313" spans="1:28" s="8" customFormat="1" hidden="1" outlineLevel="1" x14ac:dyDescent="0.4">
      <c r="A313"/>
      <c r="B313" s="1980"/>
      <c r="C313" s="1923"/>
      <c r="D313" s="892"/>
      <c r="E313" s="1988" t="s">
        <v>11</v>
      </c>
      <c r="F313" s="1439"/>
      <c r="G313" s="894">
        <f>G312</f>
        <v>124.88910067853327</v>
      </c>
      <c r="H313" s="94"/>
      <c r="I313" s="895"/>
      <c r="J313" s="94"/>
      <c r="K313" s="94"/>
      <c r="L313" s="896"/>
      <c r="M313" s="897"/>
      <c r="N313" s="897"/>
      <c r="O313" s="894"/>
      <c r="P313" s="94"/>
      <c r="Q313" s="897"/>
      <c r="R313" s="3383"/>
      <c r="S313" s="3489"/>
      <c r="T313" s="3489"/>
      <c r="U313" s="2424"/>
      <c r="V313" s="2424"/>
      <c r="W313" s="2424"/>
      <c r="X313" s="2424"/>
      <c r="Y313" s="3434"/>
    </row>
    <row r="314" spans="1:28" s="8" customFormat="1" hidden="1" outlineLevel="1" x14ac:dyDescent="0.4">
      <c r="A314"/>
      <c r="B314" s="1980"/>
      <c r="C314" s="1923"/>
      <c r="D314" s="892"/>
      <c r="E314" s="898"/>
      <c r="F314" s="894"/>
      <c r="G314" s="894"/>
      <c r="H314" s="94"/>
      <c r="I314" s="895"/>
      <c r="J314" s="94"/>
      <c r="K314" s="94"/>
      <c r="L314" s="896"/>
      <c r="M314" s="897"/>
      <c r="N314" s="897"/>
      <c r="O314" s="894"/>
      <c r="P314" s="94"/>
      <c r="Q314" s="897"/>
      <c r="R314" s="3383"/>
      <c r="S314" s="3489"/>
      <c r="T314" s="3489"/>
      <c r="U314" s="3429"/>
      <c r="V314" s="3429"/>
      <c r="W314" s="3429"/>
      <c r="X314" s="3429"/>
      <c r="Y314" s="2424"/>
      <c r="Z314"/>
      <c r="AA314"/>
      <c r="AB314"/>
    </row>
    <row r="315" spans="1:28" s="8" customFormat="1" collapsed="1" x14ac:dyDescent="0.4">
      <c r="A315"/>
      <c r="B315" s="1989"/>
      <c r="C315" s="1990"/>
      <c r="D315" s="1991"/>
      <c r="E315" s="1992"/>
      <c r="F315" s="1991"/>
      <c r="G315" s="1991"/>
      <c r="H315" s="1993"/>
      <c r="I315" s="1994"/>
      <c r="J315" s="1991"/>
      <c r="K315" s="1991"/>
      <c r="L315" s="1990"/>
      <c r="M315" s="1991"/>
      <c r="N315" s="1991"/>
      <c r="O315" s="1991"/>
      <c r="P315" s="1991"/>
      <c r="Q315" s="1991"/>
      <c r="R315" s="3403"/>
      <c r="S315" s="3511"/>
      <c r="T315" s="3511"/>
      <c r="U315" s="3511"/>
      <c r="V315" s="3511"/>
      <c r="W315" s="3511"/>
      <c r="X315" s="3511"/>
      <c r="Y315" s="2424"/>
      <c r="Z315"/>
      <c r="AA315"/>
      <c r="AB315"/>
    </row>
    <row r="317" spans="1:28" s="8" customFormat="1" ht="15.45" x14ac:dyDescent="0.4">
      <c r="A317"/>
      <c r="B317" s="1995"/>
      <c r="C317" s="1996"/>
      <c r="D317" s="1997" t="s">
        <v>1895</v>
      </c>
      <c r="E317" s="1998"/>
      <c r="F317" s="1998"/>
      <c r="G317" s="1998"/>
      <c r="H317" s="1998"/>
      <c r="I317" s="1998"/>
      <c r="J317" s="1998"/>
      <c r="K317" s="1998"/>
      <c r="L317" s="1998"/>
      <c r="M317" s="1998"/>
      <c r="N317" s="1998"/>
      <c r="O317" s="1998"/>
      <c r="P317" s="1998"/>
      <c r="Q317" s="1998"/>
      <c r="R317" s="3404"/>
      <c r="S317" s="3512"/>
      <c r="T317" s="3512"/>
      <c r="U317" s="3512"/>
      <c r="V317" s="3512"/>
      <c r="W317" s="3512"/>
      <c r="X317" s="3512"/>
      <c r="Y317" s="2424"/>
      <c r="Z317"/>
      <c r="AA317"/>
      <c r="AB317"/>
    </row>
    <row r="318" spans="1:28" s="8" customFormat="1" hidden="1" outlineLevel="1" x14ac:dyDescent="0.4">
      <c r="A318"/>
      <c r="B318" s="1999"/>
      <c r="C318" s="1826"/>
      <c r="D318" s="748" t="s">
        <v>1053</v>
      </c>
      <c r="E318" s="749"/>
      <c r="F318" s="704"/>
      <c r="G318" s="704"/>
      <c r="H318" s="704"/>
      <c r="I318" s="750"/>
      <c r="J318" s="704"/>
      <c r="K318" s="704"/>
      <c r="L318" s="704"/>
      <c r="M318" s="704"/>
      <c r="N318" s="704"/>
      <c r="O318" s="704"/>
      <c r="P318" s="704"/>
      <c r="Q318" s="704"/>
      <c r="R318" s="3364"/>
      <c r="S318" s="3433"/>
      <c r="T318" s="3433"/>
      <c r="U318" s="3433"/>
      <c r="V318" s="3433"/>
      <c r="W318" s="3433"/>
      <c r="X318" s="3433"/>
      <c r="Y318" s="2424"/>
      <c r="Z318"/>
      <c r="AA318"/>
      <c r="AB318"/>
    </row>
    <row r="319" spans="1:28" s="8" customFormat="1" ht="15" hidden="1" outlineLevel="1" thickBot="1" x14ac:dyDescent="0.45">
      <c r="A319"/>
      <c r="B319" s="1999"/>
      <c r="C319" s="1826"/>
      <c r="D319" s="704" t="s">
        <v>1034</v>
      </c>
      <c r="E319" s="749"/>
      <c r="F319" s="704"/>
      <c r="G319" s="704"/>
      <c r="H319" s="704"/>
      <c r="I319" s="750"/>
      <c r="J319" s="704"/>
      <c r="K319" s="704"/>
      <c r="L319" s="704"/>
      <c r="M319" s="704"/>
      <c r="N319" s="704"/>
      <c r="O319" s="704"/>
      <c r="P319" s="704"/>
      <c r="Q319" s="704"/>
      <c r="R319" s="3364"/>
      <c r="S319" s="3433"/>
      <c r="T319" s="3434"/>
      <c r="U319" s="3433"/>
      <c r="V319" s="3433"/>
      <c r="W319" s="3433"/>
      <c r="X319" s="3433"/>
      <c r="Y319" s="2424"/>
      <c r="Z319"/>
      <c r="AA319"/>
      <c r="AB319"/>
    </row>
    <row r="320" spans="1:28" s="8" customFormat="1" hidden="1" outlineLevel="1" x14ac:dyDescent="0.4">
      <c r="A320"/>
      <c r="B320" s="1999"/>
      <c r="C320" s="1826"/>
      <c r="D320" t="s">
        <v>1861</v>
      </c>
      <c r="E320" s="749"/>
      <c r="F320" s="704"/>
      <c r="G320" s="704"/>
      <c r="H320" s="704"/>
      <c r="I320" s="750"/>
      <c r="J320" s="704"/>
      <c r="K320" s="704"/>
      <c r="L320" s="704"/>
      <c r="M320" s="704"/>
      <c r="N320" s="704"/>
      <c r="O320" s="704"/>
      <c r="P320" s="704"/>
      <c r="Q320" s="704"/>
      <c r="R320" s="3365"/>
      <c r="S320" s="3435" t="s">
        <v>23</v>
      </c>
      <c r="T320" s="3842" t="s">
        <v>2604</v>
      </c>
      <c r="U320" s="3843"/>
      <c r="V320" s="3843"/>
      <c r="W320" s="3843"/>
      <c r="X320" s="3844"/>
      <c r="Y320" s="2424"/>
      <c r="Z320"/>
      <c r="AA320"/>
      <c r="AB320"/>
    </row>
    <row r="321" spans="1:28" s="8" customFormat="1" hidden="1" outlineLevel="1" x14ac:dyDescent="0.4">
      <c r="A321"/>
      <c r="B321" s="1999"/>
      <c r="C321" s="1826"/>
      <c r="D321" s="704" t="s">
        <v>1035</v>
      </c>
      <c r="E321" s="749"/>
      <c r="F321" s="704"/>
      <c r="G321" s="704"/>
      <c r="H321" s="704"/>
      <c r="I321" s="750"/>
      <c r="J321" s="704"/>
      <c r="K321" s="704"/>
      <c r="L321" s="704"/>
      <c r="M321" s="704"/>
      <c r="N321" s="704"/>
      <c r="O321" s="704"/>
      <c r="P321" s="704"/>
      <c r="Q321" s="704"/>
      <c r="R321" s="3354" t="s">
        <v>1055</v>
      </c>
      <c r="S321" s="1122">
        <v>1</v>
      </c>
      <c r="T321" s="1513">
        <v>1</v>
      </c>
      <c r="U321" s="916">
        <v>2</v>
      </c>
      <c r="V321" s="916">
        <v>3</v>
      </c>
      <c r="W321" s="916">
        <v>4</v>
      </c>
      <c r="X321" s="1045">
        <v>6</v>
      </c>
      <c r="Y321" s="2424"/>
      <c r="Z321"/>
      <c r="AA321"/>
      <c r="AB321"/>
    </row>
    <row r="322" spans="1:28" s="8" customFormat="1" hidden="1" outlineLevel="1" x14ac:dyDescent="0.4">
      <c r="A322"/>
      <c r="B322" s="1999"/>
      <c r="C322" s="1826"/>
      <c r="D322" s="704" t="s">
        <v>1036</v>
      </c>
      <c r="E322" s="749"/>
      <c r="F322" s="704"/>
      <c r="G322" s="704"/>
      <c r="H322" s="704"/>
      <c r="I322" s="750"/>
      <c r="J322" s="704"/>
      <c r="K322" s="704"/>
      <c r="L322" s="704"/>
      <c r="M322" s="704"/>
      <c r="N322" s="704"/>
      <c r="O322" s="704"/>
      <c r="P322" s="704"/>
      <c r="Q322" s="704"/>
      <c r="R322" s="3333" t="s">
        <v>2665</v>
      </c>
      <c r="S322" s="3439">
        <f>(connect_inner_pipwork)</f>
        <v>53.784637313778319</v>
      </c>
      <c r="T322" s="3429">
        <f>(ROUNDUP(Tokamak_Segmts/T321,0)*(connect_inner_pipwork))</f>
        <v>860.5541970204531</v>
      </c>
      <c r="U322" s="3441">
        <f>(ROUNDUP(Tokamak_Segmts/U321,0)*(connect_inner_pipwork))</f>
        <v>430.27709851022655</v>
      </c>
      <c r="V322" s="3441">
        <f>(ROUNDUP(Tokamak_Segmts/V321,0)*(connect_inner_pipwork))</f>
        <v>322.70782388266991</v>
      </c>
      <c r="W322" s="3441">
        <f>(ROUNDUP(Tokamak_Segmts/W321,0)*(connect_inner_pipwork))</f>
        <v>215.13854925511328</v>
      </c>
      <c r="X322" s="3442">
        <f>(ROUNDUP(Tokamak_Segmts/X321,0)*(connect_inner_pipwork))</f>
        <v>161.35391194133496</v>
      </c>
      <c r="Y322" s="2424"/>
      <c r="Z322"/>
      <c r="AA322"/>
      <c r="AB322"/>
    </row>
    <row r="323" spans="1:28" s="8" customFormat="1" ht="15" hidden="1" outlineLevel="1" thickBot="1" x14ac:dyDescent="0.45">
      <c r="A323"/>
      <c r="B323" s="1999"/>
      <c r="C323" s="1826"/>
      <c r="D323" s="704" t="s">
        <v>1037</v>
      </c>
      <c r="E323" s="749"/>
      <c r="F323" s="704"/>
      <c r="G323" s="704"/>
      <c r="H323" s="704"/>
      <c r="I323" s="750"/>
      <c r="J323" s="704"/>
      <c r="K323" s="704"/>
      <c r="L323" s="704"/>
      <c r="M323" s="704"/>
      <c r="N323" s="704"/>
      <c r="O323" s="704"/>
      <c r="P323" s="704"/>
      <c r="Q323" s="704"/>
      <c r="R323" s="3141" t="s">
        <v>2693</v>
      </c>
      <c r="S323" s="3443">
        <f>S$322*$E$327</f>
        <v>0.59163101045156152</v>
      </c>
      <c r="T323" s="3445">
        <f t="shared" ref="T323:X323" si="39">T$322*$E$327</f>
        <v>9.4660961672249844</v>
      </c>
      <c r="U323" s="3445">
        <f t="shared" si="39"/>
        <v>4.7330480836124922</v>
      </c>
      <c r="V323" s="3445">
        <f t="shared" si="39"/>
        <v>3.5497860627093689</v>
      </c>
      <c r="W323" s="3445">
        <f t="shared" si="39"/>
        <v>2.3665240418062461</v>
      </c>
      <c r="X323" s="3446">
        <f t="shared" si="39"/>
        <v>1.7748930313546845</v>
      </c>
      <c r="Y323" s="2424"/>
      <c r="Z323"/>
      <c r="AA323"/>
      <c r="AB323"/>
    </row>
    <row r="324" spans="1:28" s="8" customFormat="1" hidden="1" outlineLevel="1" x14ac:dyDescent="0.4">
      <c r="A324"/>
      <c r="B324" s="1999"/>
      <c r="C324" s="1826"/>
      <c r="D324" s="704" t="s">
        <v>1038</v>
      </c>
      <c r="E324" s="749"/>
      <c r="F324" s="704"/>
      <c r="G324" s="704"/>
      <c r="H324" s="704"/>
      <c r="I324" s="750"/>
      <c r="J324" s="704"/>
      <c r="K324" s="704"/>
      <c r="L324" s="704"/>
      <c r="M324" s="704"/>
      <c r="N324" s="704"/>
      <c r="O324" s="704"/>
      <c r="P324" s="704"/>
      <c r="Q324" s="704"/>
      <c r="R324" s="3366" t="s">
        <v>1048</v>
      </c>
      <c r="S324" s="3447">
        <f t="shared" ref="S324:X324" si="40">S323*(SUMIF($E$335:$E$350,"Operation",$F$335:$F$350))</f>
        <v>29.753870965337224</v>
      </c>
      <c r="T324" s="3494">
        <f t="shared" si="40"/>
        <v>476.06193544539559</v>
      </c>
      <c r="U324" s="3449">
        <f t="shared" si="40"/>
        <v>238.0309677226978</v>
      </c>
      <c r="V324" s="3449">
        <f t="shared" si="40"/>
        <v>178.52322579202334</v>
      </c>
      <c r="W324" s="3449">
        <f t="shared" si="40"/>
        <v>119.0154838613489</v>
      </c>
      <c r="X324" s="3450">
        <f t="shared" si="40"/>
        <v>89.26161289601167</v>
      </c>
      <c r="Y324" s="2424"/>
      <c r="Z324"/>
      <c r="AA324"/>
      <c r="AB324"/>
    </row>
    <row r="325" spans="1:28" s="8" customFormat="1" hidden="1" outlineLevel="1" x14ac:dyDescent="0.4">
      <c r="A325"/>
      <c r="B325" s="1999"/>
      <c r="C325" s="1826"/>
      <c r="D325" s="704"/>
      <c r="E325" s="749"/>
      <c r="F325" s="704"/>
      <c r="G325" s="704"/>
      <c r="H325" s="704"/>
      <c r="I325" s="750"/>
      <c r="J325" s="704"/>
      <c r="K325" s="704"/>
      <c r="L325" s="704"/>
      <c r="M325" s="704"/>
      <c r="N325" s="704"/>
      <c r="O325" s="704"/>
      <c r="P325" s="704"/>
      <c r="Q325" s="704"/>
      <c r="R325" s="3354" t="s">
        <v>2658</v>
      </c>
      <c r="S325" s="3451">
        <f t="shared" ref="S325:X325" si="41">S323*(SUMIF($E$335:$E$350,"Movement",$F$335:$F$350)+(SUMIF($E$335:$E$350,"Logistics",$F$335:$F$350)))</f>
        <v>5.7329044912756331</v>
      </c>
      <c r="T325" s="3495">
        <f t="shared" si="41"/>
        <v>91.726471860410129</v>
      </c>
      <c r="U325" s="3453">
        <f t="shared" si="41"/>
        <v>45.863235930205065</v>
      </c>
      <c r="V325" s="3453">
        <f t="shared" si="41"/>
        <v>34.397426947653798</v>
      </c>
      <c r="W325" s="3453">
        <f t="shared" si="41"/>
        <v>22.931617965102532</v>
      </c>
      <c r="X325" s="3454">
        <f t="shared" si="41"/>
        <v>17.198713473826899</v>
      </c>
      <c r="Y325" s="2424"/>
      <c r="Z325"/>
      <c r="AA325"/>
      <c r="AB325"/>
    </row>
    <row r="326" spans="1:28" s="8" customFormat="1" ht="15" hidden="1" outlineLevel="1" thickBot="1" x14ac:dyDescent="0.45">
      <c r="A326"/>
      <c r="B326" s="1999"/>
      <c r="C326" s="1826"/>
      <c r="D326" s="704"/>
      <c r="E326" s="749"/>
      <c r="F326" s="704"/>
      <c r="G326" s="704"/>
      <c r="H326" s="704"/>
      <c r="I326" s="750"/>
      <c r="J326" s="704"/>
      <c r="K326" s="704"/>
      <c r="L326" s="704"/>
      <c r="M326" s="704"/>
      <c r="N326" s="704"/>
      <c r="O326" s="704"/>
      <c r="P326" s="704"/>
      <c r="Q326" s="704"/>
      <c r="R326" s="3367" t="s">
        <v>2657</v>
      </c>
      <c r="S326" s="3455">
        <f t="shared" ref="S326:X326" si="42">S323*(-SUMIF($T$335:$T$350,"&lt;0"))</f>
        <v>67.629251359946934</v>
      </c>
      <c r="T326" s="3496">
        <f t="shared" si="42"/>
        <v>1082.068021759151</v>
      </c>
      <c r="U326" s="3457">
        <f t="shared" si="42"/>
        <v>541.03401087957548</v>
      </c>
      <c r="V326" s="3457">
        <f t="shared" si="42"/>
        <v>405.77550815968152</v>
      </c>
      <c r="W326" s="3457">
        <f t="shared" si="42"/>
        <v>270.51700543978774</v>
      </c>
      <c r="X326" s="3458">
        <f t="shared" si="42"/>
        <v>202.88775407984076</v>
      </c>
      <c r="Y326" s="2424"/>
      <c r="Z326"/>
      <c r="AA326"/>
      <c r="AB326"/>
    </row>
    <row r="327" spans="1:28" s="8" customFormat="1" ht="15" hidden="1" outlineLevel="1" thickBot="1" x14ac:dyDescent="0.45">
      <c r="A327"/>
      <c r="B327" s="1999"/>
      <c r="C327" s="1826"/>
      <c r="D327" s="748" t="s">
        <v>1056</v>
      </c>
      <c r="E327" s="709">
        <f>SUM(E328:E329)</f>
        <v>1.0999999999999999E-2</v>
      </c>
      <c r="F327" s="709"/>
      <c r="G327" s="709"/>
      <c r="H327" s="709"/>
      <c r="I327" s="919"/>
      <c r="J327" s="918"/>
      <c r="K327" s="918"/>
      <c r="L327" s="918"/>
      <c r="M327" s="918"/>
      <c r="N327" s="918"/>
      <c r="O327" s="918"/>
      <c r="P327" s="704"/>
      <c r="Q327" s="704"/>
      <c r="R327" s="3368" t="s">
        <v>2667</v>
      </c>
      <c r="S327" s="3459">
        <f t="shared" ref="S327:X327" si="43">S323*$G$351</f>
        <v>103.1160268165598</v>
      </c>
      <c r="T327" s="3426">
        <f t="shared" si="43"/>
        <v>1649.8564290649567</v>
      </c>
      <c r="U327" s="3426">
        <f t="shared" si="43"/>
        <v>824.92821453247836</v>
      </c>
      <c r="V327" s="3426">
        <f t="shared" si="43"/>
        <v>618.69616089935869</v>
      </c>
      <c r="W327" s="3426">
        <f t="shared" si="43"/>
        <v>412.46410726623918</v>
      </c>
      <c r="X327" s="3461">
        <f t="shared" si="43"/>
        <v>309.34808044967934</v>
      </c>
      <c r="Y327" s="2424"/>
      <c r="Z327"/>
      <c r="AA327"/>
      <c r="AB327"/>
    </row>
    <row r="328" spans="1:28" s="8" customFormat="1" hidden="1" outlineLevel="1" x14ac:dyDescent="0.4">
      <c r="A328"/>
      <c r="B328" s="2000"/>
      <c r="C328" s="906"/>
      <c r="D328" s="7" t="s">
        <v>1057</v>
      </c>
      <c r="E328" s="763">
        <f>Weld_Failure_Rate</f>
        <v>1E-3</v>
      </c>
      <c r="F328" s="922"/>
      <c r="G328" s="922"/>
      <c r="H328" s="924"/>
      <c r="I328" s="290"/>
      <c r="J328" s="922"/>
      <c r="K328" s="922"/>
      <c r="L328" s="925"/>
      <c r="M328" s="922"/>
      <c r="N328" s="922"/>
      <c r="O328" s="922"/>
      <c r="P328" s="706"/>
      <c r="Q328" s="7"/>
      <c r="Y328" s="2424"/>
      <c r="Z328"/>
      <c r="AA328"/>
      <c r="AB328"/>
    </row>
    <row r="329" spans="1:28" s="8" customFormat="1" hidden="1" outlineLevel="1" x14ac:dyDescent="0.4">
      <c r="A329"/>
      <c r="B329" s="2000"/>
      <c r="C329" s="906"/>
      <c r="D329" s="7" t="s">
        <v>1058</v>
      </c>
      <c r="E329" s="763">
        <f>SJS_welder_failure</f>
        <v>0.01</v>
      </c>
      <c r="F329" s="922"/>
      <c r="G329" s="922"/>
      <c r="H329" s="924"/>
      <c r="I329" s="290"/>
      <c r="J329" s="922"/>
      <c r="K329" s="922"/>
      <c r="L329" s="925"/>
      <c r="M329" s="922"/>
      <c r="N329" s="922"/>
      <c r="O329" s="922"/>
      <c r="P329" s="706"/>
      <c r="Q329" s="7"/>
      <c r="Y329" s="2424"/>
      <c r="Z329"/>
      <c r="AA329"/>
      <c r="AB329"/>
    </row>
    <row r="330" spans="1:28" s="8" customFormat="1" hidden="1" outlineLevel="1" x14ac:dyDescent="0.4">
      <c r="A330"/>
      <c r="B330" s="2000"/>
      <c r="C330" s="906"/>
      <c r="D330" s="926" t="s">
        <v>1059</v>
      </c>
      <c r="E330" s="709">
        <f>E327*(1-(1-E327)^(Divertor_port_pipes_per_blanket))</f>
        <v>3.5902164100000021E-4</v>
      </c>
      <c r="F330" s="927"/>
      <c r="G330" s="927"/>
      <c r="H330" s="927"/>
      <c r="I330" s="919"/>
      <c r="J330" s="927"/>
      <c r="K330" s="927"/>
      <c r="L330" s="927"/>
      <c r="M330" s="927"/>
      <c r="N330" s="927"/>
      <c r="O330" s="927"/>
      <c r="P330" s="706"/>
      <c r="Q330" s="7"/>
      <c r="Y330" s="2424"/>
      <c r="Z330"/>
      <c r="AA330"/>
      <c r="AB330"/>
    </row>
    <row r="331" spans="1:28" s="8" customFormat="1" hidden="1" outlineLevel="1" x14ac:dyDescent="0.4">
      <c r="A331"/>
      <c r="B331" s="2000"/>
      <c r="C331" s="906"/>
      <c r="D331" s="926"/>
      <c r="E331" s="928"/>
      <c r="F331" s="927"/>
      <c r="G331" s="927"/>
      <c r="H331" s="927"/>
      <c r="I331" s="919"/>
      <c r="J331" s="927"/>
      <c r="K331" s="927"/>
      <c r="L331" s="927"/>
      <c r="M331" s="927"/>
      <c r="N331" s="927"/>
      <c r="O331" s="927"/>
      <c r="P331" s="706"/>
      <c r="Q331" s="7"/>
      <c r="R331" s="3369"/>
      <c r="S331" s="3429"/>
      <c r="T331" s="3429"/>
      <c r="U331" s="3429"/>
      <c r="V331" s="3429"/>
      <c r="W331" s="3429"/>
      <c r="X331" s="3429"/>
      <c r="Y331" s="2424"/>
      <c r="Z331"/>
      <c r="AA331"/>
      <c r="AB331"/>
    </row>
    <row r="332" spans="1:28" s="8" customFormat="1" ht="15" hidden="1" outlineLevel="2" thickBot="1" x14ac:dyDescent="0.45">
      <c r="A332"/>
      <c r="B332" s="2000"/>
      <c r="C332" s="906"/>
      <c r="D332" s="926"/>
      <c r="E332" s="928"/>
      <c r="F332" s="927"/>
      <c r="G332" s="927"/>
      <c r="H332" s="927"/>
      <c r="I332" s="919"/>
      <c r="J332" s="927"/>
      <c r="K332" s="927"/>
      <c r="L332" s="927"/>
      <c r="M332" s="927"/>
      <c r="N332" s="927"/>
      <c r="O332" s="927"/>
      <c r="P332" s="706"/>
      <c r="Q332" s="7"/>
      <c r="R332" s="3369"/>
      <c r="S332" s="3429"/>
      <c r="T332" s="3429"/>
      <c r="U332" s="2424"/>
      <c r="V332" s="2424"/>
      <c r="W332" s="2424"/>
      <c r="X332" s="2424"/>
      <c r="Y332" s="3434"/>
    </row>
    <row r="333" spans="1:28" s="8" customFormat="1" ht="15" hidden="1" outlineLevel="2" thickBot="1" x14ac:dyDescent="0.45">
      <c r="A333"/>
      <c r="B333" s="2000"/>
      <c r="C333" s="906"/>
      <c r="D333" s="926"/>
      <c r="E333" s="701"/>
      <c r="F333" s="7"/>
      <c r="G333" s="929"/>
      <c r="H333" s="930" t="s">
        <v>18</v>
      </c>
      <c r="I333" s="931"/>
      <c r="J333" s="932" t="s">
        <v>778</v>
      </c>
      <c r="K333" s="933"/>
      <c r="L333" s="933"/>
      <c r="M333" s="933"/>
      <c r="N333" s="933"/>
      <c r="O333" s="934"/>
      <c r="P333" s="933" t="s">
        <v>3</v>
      </c>
      <c r="Q333" s="934"/>
      <c r="R333" s="3386" t="s">
        <v>779</v>
      </c>
      <c r="S333" s="3462"/>
      <c r="T333" s="3462"/>
      <c r="U333" s="2424"/>
      <c r="V333" s="2424"/>
      <c r="W333" s="2424"/>
      <c r="X333" s="2424"/>
      <c r="Y333" s="3434"/>
    </row>
    <row r="334" spans="1:28" s="8" customFormat="1" ht="29.6" hidden="1" outlineLevel="2" thickBot="1" x14ac:dyDescent="0.45">
      <c r="A334"/>
      <c r="B334" s="2000"/>
      <c r="C334" s="939" t="s">
        <v>780</v>
      </c>
      <c r="D334" s="940" t="s">
        <v>1060</v>
      </c>
      <c r="E334" s="941" t="s">
        <v>782</v>
      </c>
      <c r="F334" s="942" t="s">
        <v>783</v>
      </c>
      <c r="G334" s="943" t="s">
        <v>784</v>
      </c>
      <c r="H334" s="562" t="s">
        <v>785</v>
      </c>
      <c r="I334" s="944" t="s">
        <v>783</v>
      </c>
      <c r="J334" s="562" t="s">
        <v>786</v>
      </c>
      <c r="K334" s="563" t="s">
        <v>787</v>
      </c>
      <c r="L334" s="563" t="s">
        <v>788</v>
      </c>
      <c r="M334" s="563" t="s">
        <v>789</v>
      </c>
      <c r="N334" s="563" t="s">
        <v>790</v>
      </c>
      <c r="O334" s="945" t="s">
        <v>783</v>
      </c>
      <c r="P334" s="560" t="s">
        <v>785</v>
      </c>
      <c r="Q334" s="946" t="s">
        <v>783</v>
      </c>
      <c r="R334" s="3387" t="s">
        <v>781</v>
      </c>
      <c r="S334" s="3464" t="s">
        <v>791</v>
      </c>
      <c r="T334" s="3465" t="s">
        <v>792</v>
      </c>
      <c r="U334" s="2424"/>
      <c r="V334" s="2424"/>
      <c r="W334" s="2424"/>
      <c r="X334" s="2424"/>
      <c r="Y334" s="3434"/>
    </row>
    <row r="335" spans="1:28" s="8" customFormat="1" hidden="1" outlineLevel="2" x14ac:dyDescent="0.4">
      <c r="A335"/>
      <c r="B335" s="2000"/>
      <c r="C335" s="3850" t="s">
        <v>1062</v>
      </c>
      <c r="D335" s="797" t="s">
        <v>1896</v>
      </c>
      <c r="E335" s="799" t="s">
        <v>251</v>
      </c>
      <c r="F335" s="456">
        <f t="shared" ref="F335:F350" si="44">MAX($Q335,$O335,$I335)</f>
        <v>0</v>
      </c>
      <c r="G335" s="800">
        <f>F335</f>
        <v>0</v>
      </c>
      <c r="H335" s="566" t="s">
        <v>557</v>
      </c>
      <c r="I335" s="621">
        <v>0</v>
      </c>
      <c r="J335" s="568"/>
      <c r="K335" s="566"/>
      <c r="L335" s="801"/>
      <c r="M335" s="802" t="str">
        <f>IFERROR(INDEX('Lower Cask Movement &amp; Logistics'!$I$29:$O$35,MATCH($K335,'Lower Cask Movement &amp; Logistics'!$H$29:$H$35,0),MATCH($L335,'Lower Cask Movement &amp; Logistics'!$H$29:$H$35,0)),"N/A")</f>
        <v>N/A</v>
      </c>
      <c r="N335" s="570" t="str">
        <f>IFERROR(VLOOKUP($J335,'Lower Cask Movement &amp; Logistics'!$H$4:$I$8,2,FALSE),"N/A")</f>
        <v>N/A</v>
      </c>
      <c r="O335" s="800" t="str">
        <f t="shared" ref="O335:O350" si="45">IF(E335="Movement",IFERROR((M335/N335)/(60*60),"Error"),"N/A")</f>
        <v>N/A</v>
      </c>
      <c r="P335" s="803"/>
      <c r="Q335" s="802" t="str">
        <f>IF($E335="Logistics",VLOOKUP($P335,'Lower Cask Movement &amp; Logistics'!$C$4:$D$53,2,FALSE),"N/A")</f>
        <v>N/A</v>
      </c>
      <c r="R335" s="3398"/>
      <c r="S335" s="3466" t="str">
        <f>IFERROR(VLOOKUP($R335,'LowerCask Recovery Dependencies'!$C$251:$F$269,4,FALSE),"N/A")</f>
        <v>N/A</v>
      </c>
      <c r="T335" s="3467" t="str">
        <f>IFERROR(G335-F335-S335,"N/A")</f>
        <v>N/A</v>
      </c>
      <c r="U335" s="2424"/>
      <c r="V335" s="2424"/>
      <c r="W335" s="2424"/>
      <c r="X335" s="2424"/>
      <c r="Y335" s="3434"/>
    </row>
    <row r="336" spans="1:28" s="8" customFormat="1" ht="15" hidden="1" outlineLevel="2" thickBot="1" x14ac:dyDescent="0.45">
      <c r="A336"/>
      <c r="B336" s="2000"/>
      <c r="C336" s="3854"/>
      <c r="D336" s="2001" t="s">
        <v>1885</v>
      </c>
      <c r="E336" s="2002" t="s">
        <v>251</v>
      </c>
      <c r="F336" s="335">
        <f t="shared" si="44"/>
        <v>7.5229670597283897</v>
      </c>
      <c r="G336" s="2003">
        <f t="shared" ref="G336:G350" si="46">IF(T336&lt;0,F336+G335+(-T336),F336+G335)</f>
        <v>7.5229670597283897</v>
      </c>
      <c r="H336" s="582" t="s">
        <v>442</v>
      </c>
      <c r="I336" s="1476">
        <v>7.5229670597283897</v>
      </c>
      <c r="J336" s="627"/>
      <c r="K336" s="582"/>
      <c r="L336" s="1962"/>
      <c r="M336" s="1479" t="s">
        <v>263</v>
      </c>
      <c r="N336" s="1478" t="s">
        <v>263</v>
      </c>
      <c r="O336" s="2003" t="str">
        <f t="shared" si="45"/>
        <v>N/A</v>
      </c>
      <c r="P336" s="1638"/>
      <c r="Q336" s="1479" t="str">
        <f>IF($E336="Logistics",VLOOKUP($P336,'Lower Cask Movement &amp; Logistics'!$C$4:$D$53,2,FALSE),"N/A")</f>
        <v>N/A</v>
      </c>
      <c r="R336" s="3399"/>
      <c r="S336" s="3513" t="str">
        <f>IFERROR(VLOOKUP($R336,'LowerCask Recovery Dependencies'!$C$251:$F$269,4,FALSE),"N/A")</f>
        <v>N/A</v>
      </c>
      <c r="T336" s="3477" t="str">
        <f>IFERROR(G335-S336,"N/A")</f>
        <v>N/A</v>
      </c>
      <c r="U336" s="2424"/>
      <c r="V336" s="2424"/>
      <c r="W336" s="2424"/>
      <c r="X336" s="2424"/>
      <c r="Y336" s="3434"/>
    </row>
    <row r="337" spans="1:28" s="8" customFormat="1" hidden="1" outlineLevel="2" x14ac:dyDescent="0.4">
      <c r="A337"/>
      <c r="B337" s="2000"/>
      <c r="C337" s="3852" t="s">
        <v>1864</v>
      </c>
      <c r="D337" s="818" t="s">
        <v>1886</v>
      </c>
      <c r="E337" s="1862" t="s">
        <v>3</v>
      </c>
      <c r="F337" s="821">
        <f t="shared" si="44"/>
        <v>0.38</v>
      </c>
      <c r="G337" s="2005">
        <f t="shared" si="46"/>
        <v>7.9029670597283896</v>
      </c>
      <c r="H337" s="829"/>
      <c r="I337" s="824" t="s">
        <v>263</v>
      </c>
      <c r="J337" s="825"/>
      <c r="K337" s="823"/>
      <c r="L337" s="826"/>
      <c r="M337" s="827" t="s">
        <v>263</v>
      </c>
      <c r="N337" s="828" t="s">
        <v>263</v>
      </c>
      <c r="O337" s="822" t="str">
        <f t="shared" si="45"/>
        <v>N/A</v>
      </c>
      <c r="P337" s="1906" t="s">
        <v>1546</v>
      </c>
      <c r="Q337" s="827">
        <f>IF($E337="Logistics",VLOOKUP($P337,'Lower Cask Movement &amp; Logistics'!$C$4:$D$53,2,FALSE),"N/A")</f>
        <v>0.38</v>
      </c>
      <c r="R337" s="3396"/>
      <c r="S337" s="3470" t="str">
        <f>IFERROR(VLOOKUP($R337,'LowerCask Recovery Dependencies'!$C$251:$F$269,4,FALSE),"N/A")</f>
        <v>N/A</v>
      </c>
      <c r="T337" s="3471" t="str">
        <f t="shared" ref="T337:T347" si="47">IFERROR(G336-S337,"N/A")</f>
        <v>N/A</v>
      </c>
      <c r="U337" s="2424"/>
      <c r="V337" s="2424"/>
      <c r="W337" s="2424"/>
      <c r="X337" s="2424"/>
      <c r="Y337" s="3434"/>
    </row>
    <row r="338" spans="1:28" s="8" customFormat="1" hidden="1" outlineLevel="2" x14ac:dyDescent="0.4">
      <c r="A338"/>
      <c r="B338" s="2000"/>
      <c r="C338" s="3856"/>
      <c r="D338" s="857" t="s">
        <v>1599</v>
      </c>
      <c r="E338" s="2006" t="s">
        <v>3</v>
      </c>
      <c r="F338" s="1904">
        <f t="shared" si="44"/>
        <v>0.38</v>
      </c>
      <c r="G338" s="484">
        <f t="shared" si="46"/>
        <v>8.2829670597283904</v>
      </c>
      <c r="H338" s="1348"/>
      <c r="I338" s="1353" t="s">
        <v>263</v>
      </c>
      <c r="J338" s="1348"/>
      <c r="K338" s="1897"/>
      <c r="L338" s="2007"/>
      <c r="M338" s="2008" t="s">
        <v>263</v>
      </c>
      <c r="N338" s="1898" t="s">
        <v>263</v>
      </c>
      <c r="O338" s="2009" t="str">
        <f t="shared" si="45"/>
        <v>N/A</v>
      </c>
      <c r="P338" s="1348" t="s">
        <v>1546</v>
      </c>
      <c r="Q338" s="2008">
        <f>IF($E338="Logistics",VLOOKUP($P338,'Lower Cask Movement &amp; Logistics'!$C$4:$D$53,2,FALSE),"N/A")</f>
        <v>0.38</v>
      </c>
      <c r="R338" s="3405"/>
      <c r="S338" s="3514" t="str">
        <f>IFERROR(VLOOKUP($R338,'LowerCask Recovery Dependencies'!$C$251:$F$269,4,FALSE),"N/A")</f>
        <v>N/A</v>
      </c>
      <c r="T338" s="3482" t="str">
        <f t="shared" si="47"/>
        <v>N/A</v>
      </c>
      <c r="U338" s="2424"/>
      <c r="V338" s="2424"/>
      <c r="W338" s="2424"/>
      <c r="X338" s="2424"/>
      <c r="Y338" s="3434"/>
    </row>
    <row r="339" spans="1:28" s="8" customFormat="1" ht="15" hidden="1" outlineLevel="2" thickBot="1" x14ac:dyDescent="0.45">
      <c r="A339"/>
      <c r="B339" s="2000"/>
      <c r="C339" s="3853"/>
      <c r="D339" s="833" t="s">
        <v>1897</v>
      </c>
      <c r="E339" s="1868" t="s">
        <v>3</v>
      </c>
      <c r="F339" s="835">
        <f t="shared" si="44"/>
        <v>2.3000000000000003</v>
      </c>
      <c r="G339" s="495">
        <f t="shared" si="46"/>
        <v>10.582967059728391</v>
      </c>
      <c r="H339" s="839"/>
      <c r="I339" s="1345" t="s">
        <v>263</v>
      </c>
      <c r="J339" s="839"/>
      <c r="K339" s="837"/>
      <c r="L339" s="840"/>
      <c r="M339" s="841" t="s">
        <v>263</v>
      </c>
      <c r="N339" s="842" t="s">
        <v>263</v>
      </c>
      <c r="O339" s="2010" t="str">
        <f t="shared" si="45"/>
        <v>N/A</v>
      </c>
      <c r="P339" s="839" t="s">
        <v>1552</v>
      </c>
      <c r="Q339" s="841">
        <f>IF($E339="Logistics",VLOOKUP($P339,'Lower Cask Movement &amp; Logistics'!$C$4:$D$53,2,FALSE),"N/A")</f>
        <v>2.3000000000000003</v>
      </c>
      <c r="R339" s="3397"/>
      <c r="S339" s="3472" t="str">
        <f>IFERROR(VLOOKUP($R339,'LowerCask Recovery Dependencies'!$C$251:$F$269,4,FALSE),"N/A")</f>
        <v>N/A</v>
      </c>
      <c r="T339" s="3473" t="str">
        <f t="shared" si="47"/>
        <v>N/A</v>
      </c>
      <c r="U339" s="2424"/>
      <c r="V339" s="2424"/>
      <c r="W339" s="2424"/>
      <c r="X339" s="2424"/>
      <c r="Y339" s="3434"/>
    </row>
    <row r="340" spans="1:28" s="88" customFormat="1" hidden="1" outlineLevel="2" x14ac:dyDescent="0.4">
      <c r="B340" s="2000"/>
      <c r="C340" s="3850" t="s">
        <v>1898</v>
      </c>
      <c r="D340" s="1579" t="s">
        <v>1639</v>
      </c>
      <c r="E340" s="1611" t="s">
        <v>3</v>
      </c>
      <c r="F340" s="626">
        <f t="shared" si="44"/>
        <v>0.53</v>
      </c>
      <c r="G340" s="626">
        <f t="shared" si="46"/>
        <v>11.11296705972839</v>
      </c>
      <c r="H340" s="1579"/>
      <c r="I340" s="1183" t="s">
        <v>263</v>
      </c>
      <c r="J340" s="1579"/>
      <c r="K340" s="582"/>
      <c r="L340" s="582"/>
      <c r="M340" s="1478" t="str">
        <f>IFERROR(INDEX('Lower Cask Movement &amp; Logistics'!$I$13:$O$19,MATCH($K340,'Lower Cask Movement &amp; Logistics'!$H$13:$H$19,0),MATCH($L340,'Lower Cask Movement &amp; Logistics'!$H$13:$H$19,0)),"N/A")</f>
        <v>N/A</v>
      </c>
      <c r="N340" s="1478" t="str">
        <f>IFERROR(VLOOKUP($J340,'Lower Cask Movement &amp; Logistics'!$H$4:$I$9,2,FALSE),"N/A")</f>
        <v>N/A</v>
      </c>
      <c r="O340" s="1183" t="str">
        <f t="shared" si="45"/>
        <v>N/A</v>
      </c>
      <c r="P340" s="1578" t="s">
        <v>1558</v>
      </c>
      <c r="Q340" s="1183">
        <f>IF($E340="Logistics",VLOOKUP($P340,'Lower Cask Movement &amp; Logistics'!$C$4:$D$54,2,FALSE),"N/A")</f>
        <v>0.53</v>
      </c>
      <c r="R340" s="3377"/>
      <c r="S340" s="3476" t="str">
        <f>IFERROR(VLOOKUP($R340,'LowerCask Recovery Dependencies'!$C$138:$F$191,4,FALSE),"N/A")</f>
        <v>N/A</v>
      </c>
      <c r="T340" s="3477" t="str">
        <f>IFERROR(G339-F340-S340,"N/A")</f>
        <v>N/A</v>
      </c>
      <c r="U340" s="3483"/>
      <c r="V340" s="3483"/>
      <c r="W340" s="3484"/>
      <c r="X340" s="1719"/>
      <c r="Y340" s="1719"/>
    </row>
    <row r="341" spans="1:28" s="88" customFormat="1" hidden="1" outlineLevel="2" x14ac:dyDescent="0.4">
      <c r="B341" s="2000"/>
      <c r="C341" s="3854"/>
      <c r="D341" s="1579" t="s">
        <v>953</v>
      </c>
      <c r="E341" s="1611" t="s">
        <v>251</v>
      </c>
      <c r="F341" s="626">
        <f t="shared" si="44"/>
        <v>7.5229670597283897</v>
      </c>
      <c r="G341" s="626">
        <f t="shared" si="46"/>
        <v>18.635934119456781</v>
      </c>
      <c r="H341" s="1579" t="s">
        <v>442</v>
      </c>
      <c r="I341" s="1183">
        <v>7.5229670597283897</v>
      </c>
      <c r="J341" s="1579"/>
      <c r="K341" s="582"/>
      <c r="L341" s="582"/>
      <c r="M341" s="1478" t="str">
        <f>IFERROR(INDEX('Lower Cask Movement &amp; Logistics'!$I$13:$O$19,MATCH($K341,'Lower Cask Movement &amp; Logistics'!$H$13:$H$19,0),MATCH($L341,'Lower Cask Movement &amp; Logistics'!$H$13:$H$19,0)),"N/A")</f>
        <v>N/A</v>
      </c>
      <c r="N341" s="1478" t="str">
        <f>IFERROR(VLOOKUP($J341,'Lower Cask Movement &amp; Logistics'!$H$4:$I$9,2,FALSE),"N/A")</f>
        <v>N/A</v>
      </c>
      <c r="O341" s="1183" t="str">
        <f t="shared" si="45"/>
        <v>N/A</v>
      </c>
      <c r="P341" s="1578"/>
      <c r="Q341" s="1183" t="str">
        <f>IF($E341="Logistics",VLOOKUP($P341,'Lower Cask Movement &amp; Logistics'!$C$4:$D$54,2,FALSE),"N/A")</f>
        <v>N/A</v>
      </c>
      <c r="R341" s="3377"/>
      <c r="S341" s="3476" t="str">
        <f>IFERROR(VLOOKUP($R341,'LowerCask Recovery Dependencies'!$C$138:$F$191,4,FALSE),"N/A")</f>
        <v>N/A</v>
      </c>
      <c r="T341" s="3477" t="str">
        <f>IFERROR(G340-F341-S341,"N/A")</f>
        <v>N/A</v>
      </c>
      <c r="U341" s="3483"/>
      <c r="V341" s="3483"/>
      <c r="W341" s="3484"/>
      <c r="X341" s="1719"/>
      <c r="Y341" s="1719"/>
    </row>
    <row r="342" spans="1:28" s="88" customFormat="1" hidden="1" outlineLevel="2" x14ac:dyDescent="0.4">
      <c r="B342" s="2000"/>
      <c r="C342" s="3854"/>
      <c r="D342" s="1579" t="s">
        <v>1640</v>
      </c>
      <c r="E342" s="1611" t="s">
        <v>3</v>
      </c>
      <c r="F342" s="626">
        <f t="shared" si="44"/>
        <v>0.38</v>
      </c>
      <c r="G342" s="626">
        <f t="shared" si="46"/>
        <v>19.01593411945678</v>
      </c>
      <c r="H342" s="1579"/>
      <c r="I342" s="1183" t="s">
        <v>263</v>
      </c>
      <c r="J342" s="1579"/>
      <c r="K342" s="582"/>
      <c r="L342" s="582"/>
      <c r="M342" s="1478" t="str">
        <f>IFERROR(INDEX('Lower Cask Movement &amp; Logistics'!$I$13:$O$19,MATCH($K342,'Lower Cask Movement &amp; Logistics'!$H$13:$H$19,0),MATCH($L342,'Lower Cask Movement &amp; Logistics'!$H$13:$H$19,0)),"N/A")</f>
        <v>N/A</v>
      </c>
      <c r="N342" s="1478" t="str">
        <f>IFERROR(VLOOKUP($J342,'Lower Cask Movement &amp; Logistics'!$H$4:$I$9,2,FALSE),"N/A")</f>
        <v>N/A</v>
      </c>
      <c r="O342" s="1183" t="str">
        <f t="shared" si="45"/>
        <v>N/A</v>
      </c>
      <c r="P342" s="1578" t="s">
        <v>1546</v>
      </c>
      <c r="Q342" s="1183">
        <f>IF($E342="Logistics",VLOOKUP($P342,'Lower Cask Movement &amp; Logistics'!$C$4:$D$54,2,FALSE),"N/A")</f>
        <v>0.38</v>
      </c>
      <c r="R342" s="3377"/>
      <c r="S342" s="3476" t="str">
        <f>IFERROR(VLOOKUP($R342,'LowerCask Recovery Dependencies'!$C$138:$F$191,4,FALSE),"N/A")</f>
        <v>N/A</v>
      </c>
      <c r="T342" s="3477" t="str">
        <f>IFERROR(G341-F342-S342,"N/A")</f>
        <v>N/A</v>
      </c>
      <c r="U342" s="3483"/>
      <c r="V342" s="3483"/>
      <c r="W342" s="3484"/>
      <c r="X342" s="1719"/>
      <c r="Y342" s="1719"/>
    </row>
    <row r="343" spans="1:28" s="88" customFormat="1" hidden="1" outlineLevel="2" x14ac:dyDescent="0.4">
      <c r="B343" s="2000"/>
      <c r="C343" s="3854"/>
      <c r="D343" s="1579" t="s">
        <v>1599</v>
      </c>
      <c r="E343" s="1611" t="s">
        <v>3</v>
      </c>
      <c r="F343" s="626">
        <f t="shared" si="44"/>
        <v>0.38</v>
      </c>
      <c r="G343" s="626">
        <f t="shared" si="46"/>
        <v>19.395934119456779</v>
      </c>
      <c r="H343" s="1579"/>
      <c r="I343" s="1183" t="s">
        <v>263</v>
      </c>
      <c r="J343" s="1579"/>
      <c r="K343" s="582"/>
      <c r="L343" s="582"/>
      <c r="M343" s="1478" t="str">
        <f>IFERROR(INDEX('Lower Cask Movement &amp; Logistics'!$I$13:$O$19,MATCH($K343,'Lower Cask Movement &amp; Logistics'!$H$13:$H$19,0),MATCH($L343,'Lower Cask Movement &amp; Logistics'!$H$13:$H$19,0)),"N/A")</f>
        <v>N/A</v>
      </c>
      <c r="N343" s="1478" t="str">
        <f>IFERROR(VLOOKUP($J343,'Lower Cask Movement &amp; Logistics'!$H$4:$I$9,2,FALSE),"N/A")</f>
        <v>N/A</v>
      </c>
      <c r="O343" s="1183" t="str">
        <f t="shared" si="45"/>
        <v>N/A</v>
      </c>
      <c r="P343" s="1578" t="s">
        <v>1546</v>
      </c>
      <c r="Q343" s="1183">
        <f>IF($E343="Logistics",VLOOKUP($P343,'Lower Cask Movement &amp; Logistics'!$C$4:$D$54,2,FALSE),"N/A")</f>
        <v>0.38</v>
      </c>
      <c r="R343" s="3377"/>
      <c r="S343" s="3476" t="str">
        <f>IFERROR(VLOOKUP($R343,'LowerCask Recovery Dependencies'!$C$138:$F$191,4,FALSE),"N/A")</f>
        <v>N/A</v>
      </c>
      <c r="T343" s="3477" t="str">
        <f>IFERROR(G342-F343-S343,"N/A")</f>
        <v>N/A</v>
      </c>
      <c r="U343" s="3483"/>
      <c r="V343" s="3483"/>
      <c r="W343" s="3484"/>
      <c r="X343" s="1719"/>
      <c r="Y343" s="1719"/>
    </row>
    <row r="344" spans="1:28" s="88" customFormat="1" ht="15" hidden="1" outlineLevel="2" thickBot="1" x14ac:dyDescent="0.45">
      <c r="B344" s="2000"/>
      <c r="C344" s="3854"/>
      <c r="D344" s="1579" t="s">
        <v>1641</v>
      </c>
      <c r="E344" s="1611" t="s">
        <v>3</v>
      </c>
      <c r="F344" s="626">
        <f t="shared" si="44"/>
        <v>2.3000000000000003</v>
      </c>
      <c r="G344" s="626">
        <f t="shared" si="46"/>
        <v>21.69593411945678</v>
      </c>
      <c r="H344" s="1579"/>
      <c r="I344" s="1183" t="s">
        <v>263</v>
      </c>
      <c r="J344" s="1579"/>
      <c r="K344" s="582"/>
      <c r="L344" s="582"/>
      <c r="M344" s="1478" t="str">
        <f>IFERROR(INDEX('Lower Cask Movement &amp; Logistics'!$I$13:$O$19,MATCH($K344,'Lower Cask Movement &amp; Logistics'!$H$13:$H$19,0),MATCH($L344,'Lower Cask Movement &amp; Logistics'!$H$13:$H$19,0)),"N/A")</f>
        <v>N/A</v>
      </c>
      <c r="N344" s="1478" t="str">
        <f>IFERROR(VLOOKUP($J344,'Lower Cask Movement &amp; Logistics'!$H$4:$I$9,2,FALSE),"N/A")</f>
        <v>N/A</v>
      </c>
      <c r="O344" s="1183" t="str">
        <f t="shared" si="45"/>
        <v>N/A</v>
      </c>
      <c r="P344" s="1578" t="s">
        <v>1552</v>
      </c>
      <c r="Q344" s="1183">
        <f>IF($E344="Logistics",VLOOKUP($P344,'Lower Cask Movement &amp; Logistics'!$C$4:$D$54,2,FALSE),"N/A")</f>
        <v>2.3000000000000003</v>
      </c>
      <c r="R344" s="3377"/>
      <c r="S344" s="3476" t="str">
        <f>IFERROR(VLOOKUP($R344,'LowerCask Recovery Dependencies'!$C$138:$F$191,4,FALSE),"N/A")</f>
        <v>N/A</v>
      </c>
      <c r="T344" s="3477" t="str">
        <f>IFERROR(G343-F344-S344,"N/A")</f>
        <v>N/A</v>
      </c>
      <c r="U344" s="3483"/>
      <c r="V344" s="3483"/>
      <c r="W344" s="3484"/>
      <c r="X344" s="1719"/>
      <c r="Y344" s="1719"/>
    </row>
    <row r="345" spans="1:28" s="88" customFormat="1" hidden="1" outlineLevel="2" x14ac:dyDescent="0.4">
      <c r="B345" s="2000"/>
      <c r="C345" s="3850" t="s">
        <v>1649</v>
      </c>
      <c r="D345" s="1129" t="s">
        <v>1619</v>
      </c>
      <c r="E345" s="1620" t="s">
        <v>3</v>
      </c>
      <c r="F345" s="1621">
        <f t="shared" si="44"/>
        <v>1.9</v>
      </c>
      <c r="G345" s="1905">
        <f t="shared" si="46"/>
        <v>23.595934119456778</v>
      </c>
      <c r="H345" s="1874"/>
      <c r="I345" s="1130" t="s">
        <v>263</v>
      </c>
      <c r="J345" s="1129"/>
      <c r="K345" s="1619"/>
      <c r="L345" s="1619"/>
      <c r="M345" s="1623" t="str">
        <f>IFERROR(INDEX('Lower Cask Movement &amp; Logistics'!$I$13:$O$19,MATCH($K345,'Lower Cask Movement &amp; Logistics'!$H$13:$H$19,0),MATCH($L345,'Lower Cask Movement &amp; Logistics'!$H$13:$H$19,0)),"N/A")</f>
        <v>N/A</v>
      </c>
      <c r="N345" s="1875" t="str">
        <f>IFERROR(VLOOKUP($J345,'Lower Cask Movement &amp; Logistics'!$H$4:$I$9,2,FALSE),"N/A")</f>
        <v>N/A</v>
      </c>
      <c r="O345" s="1876" t="str">
        <f t="shared" si="45"/>
        <v>N/A</v>
      </c>
      <c r="P345" s="1877" t="s">
        <v>1541</v>
      </c>
      <c r="Q345" s="1876">
        <f>IF($E345="Logistics",VLOOKUP($P345,'Lower Cask Movement &amp; Logistics'!$C$4:$D$54,2,FALSE),"N/A")</f>
        <v>1.9</v>
      </c>
      <c r="R345" s="3376" t="s">
        <v>1899</v>
      </c>
      <c r="S345" s="3474">
        <f>IFERROR(VLOOKUP($R345,'LowerCask Recovery Dependencies'!$C$251:$F$269,4,FALSE),"N/A")</f>
        <v>2.4137037037037041</v>
      </c>
      <c r="T345" s="3475">
        <f>IFERROR(G339-S345,"N/A")</f>
        <v>8.1692633560246861</v>
      </c>
      <c r="U345" s="1719"/>
      <c r="V345" s="1719"/>
      <c r="W345" s="1719"/>
      <c r="X345" s="1719"/>
      <c r="Y345" s="1719"/>
    </row>
    <row r="346" spans="1:28" s="88" customFormat="1" hidden="1" outlineLevel="2" x14ac:dyDescent="0.4">
      <c r="B346" s="2000"/>
      <c r="C346" s="3854"/>
      <c r="D346" s="1579" t="s">
        <v>1247</v>
      </c>
      <c r="E346" s="1611" t="s">
        <v>3</v>
      </c>
      <c r="F346" s="626">
        <f t="shared" si="44"/>
        <v>0.38</v>
      </c>
      <c r="G346" s="630">
        <f t="shared" si="46"/>
        <v>23.975934119456777</v>
      </c>
      <c r="H346" s="627"/>
      <c r="I346" s="632" t="s">
        <v>263</v>
      </c>
      <c r="J346" s="1579"/>
      <c r="K346" s="582"/>
      <c r="L346" s="582"/>
      <c r="M346" s="1478" t="str">
        <f>IFERROR(INDEX('Lower Cask Movement &amp; Logistics'!$I$13:$O$19,MATCH($K346,'Lower Cask Movement &amp; Logistics'!$H$13:$H$19,0),MATCH($L346,'Lower Cask Movement &amp; Logistics'!$H$13:$H$19,0)),"N/A")</f>
        <v>N/A</v>
      </c>
      <c r="N346" s="1878" t="str">
        <f>IFERROR(VLOOKUP($J346,'Lower Cask Movement &amp; Logistics'!$H$4:$I$9,2,FALSE),"N/A")</f>
        <v>N/A</v>
      </c>
      <c r="O346" s="1879" t="str">
        <f t="shared" si="45"/>
        <v>N/A</v>
      </c>
      <c r="P346" s="1880" t="s">
        <v>1544</v>
      </c>
      <c r="Q346" s="1879">
        <f>IF($E346="Logistics",VLOOKUP($P346,'Lower Cask Movement &amp; Logistics'!$C$4:$D$54,2,FALSE),"N/A")</f>
        <v>0.38</v>
      </c>
      <c r="R346" s="3377"/>
      <c r="S346" s="3476" t="str">
        <f>IFERROR(VLOOKUP($R346,'LowerCask Recovery Dependencies'!$C$251:$F$269,4,FALSE),"N/A")</f>
        <v>N/A</v>
      </c>
      <c r="T346" s="3477" t="str">
        <f t="shared" si="47"/>
        <v>N/A</v>
      </c>
      <c r="U346" s="1719"/>
      <c r="V346" s="1719"/>
      <c r="W346" s="1719"/>
      <c r="X346" s="1719"/>
      <c r="Y346" s="1719"/>
    </row>
    <row r="347" spans="1:28" s="88" customFormat="1" hidden="1" outlineLevel="2" x14ac:dyDescent="0.4">
      <c r="B347" s="2000"/>
      <c r="C347" s="3854"/>
      <c r="D347" s="1579" t="s">
        <v>117</v>
      </c>
      <c r="E347" s="1611" t="s">
        <v>251</v>
      </c>
      <c r="F347" s="626">
        <f t="shared" si="44"/>
        <v>17.622664625997164</v>
      </c>
      <c r="G347" s="630">
        <f t="shared" si="46"/>
        <v>155.90844756208207</v>
      </c>
      <c r="H347" s="627" t="s">
        <v>556</v>
      </c>
      <c r="I347" s="632">
        <v>17.622664625997164</v>
      </c>
      <c r="J347" s="1579"/>
      <c r="K347" s="582"/>
      <c r="L347" s="582"/>
      <c r="M347" s="1478" t="str">
        <f>IFERROR(INDEX('Lower Cask Movement &amp; Logistics'!$I$13:$O$19,MATCH($K347,'Lower Cask Movement &amp; Logistics'!$H$13:$H$19,0),MATCH($L347,'Lower Cask Movement &amp; Logistics'!$H$13:$H$19,0)),"N/A")</f>
        <v>N/A</v>
      </c>
      <c r="N347" s="1878" t="str">
        <f>IFERROR(VLOOKUP($J347,'Lower Cask Movement &amp; Logistics'!$H$4:$I$9,2,FALSE),"N/A")</f>
        <v>N/A</v>
      </c>
      <c r="O347" s="1879" t="str">
        <f t="shared" si="45"/>
        <v>N/A</v>
      </c>
      <c r="P347" s="1880" t="s">
        <v>1546</v>
      </c>
      <c r="Q347" s="1879" t="str">
        <f>IF($E347="Logistics",VLOOKUP($P347,'Lower Cask Movement &amp; Logistics'!$C$4:$D$54,2,FALSE),"N/A")</f>
        <v>N/A</v>
      </c>
      <c r="R347" s="3377" t="s">
        <v>1880</v>
      </c>
      <c r="S347" s="3476">
        <f>IFERROR(VLOOKUP($R347,'LowerCask Recovery Dependencies'!$C$251:$F$269,4,FALSE),"N/A")</f>
        <v>138.2857829360849</v>
      </c>
      <c r="T347" s="3477">
        <f t="shared" si="47"/>
        <v>-114.30984881662812</v>
      </c>
      <c r="U347" s="1719"/>
      <c r="V347" s="1719"/>
      <c r="W347" s="1719"/>
      <c r="X347" s="1719"/>
      <c r="Y347" s="1719"/>
    </row>
    <row r="348" spans="1:28" s="88" customFormat="1" hidden="1" outlineLevel="2" x14ac:dyDescent="0.4">
      <c r="B348" s="2000"/>
      <c r="C348" s="3854"/>
      <c r="D348" s="1579" t="s">
        <v>1652</v>
      </c>
      <c r="E348" s="1611" t="s">
        <v>3</v>
      </c>
      <c r="F348" s="626">
        <f t="shared" si="44"/>
        <v>0.38</v>
      </c>
      <c r="G348" s="630">
        <f t="shared" si="46"/>
        <v>156.28844756208207</v>
      </c>
      <c r="H348" s="627"/>
      <c r="I348" s="632" t="s">
        <v>263</v>
      </c>
      <c r="J348" s="1579"/>
      <c r="K348" s="582"/>
      <c r="L348" s="582"/>
      <c r="M348" s="1478" t="str">
        <f>IFERROR(INDEX('Lower Cask Movement &amp; Logistics'!$I$13:$O$19,MATCH($K348,'Lower Cask Movement &amp; Logistics'!$H$13:$H$19,0),MATCH($L348,'Lower Cask Movement &amp; Logistics'!$H$13:$H$19,0)),"N/A")</f>
        <v>N/A</v>
      </c>
      <c r="N348" s="1878" t="str">
        <f>IFERROR(VLOOKUP($J348,'Lower Cask Movement &amp; Logistics'!$H$4:$I$9,2,FALSE),"N/A")</f>
        <v>N/A</v>
      </c>
      <c r="O348" s="1879" t="str">
        <f t="shared" si="45"/>
        <v>N/A</v>
      </c>
      <c r="P348" s="1880" t="s">
        <v>1544</v>
      </c>
      <c r="Q348" s="1879">
        <f>IF($E348="Logistics",VLOOKUP($P348,'Lower Cask Movement &amp; Logistics'!$C$4:$D$54,2,FALSE),"N/A")</f>
        <v>0.38</v>
      </c>
      <c r="R348" s="3377"/>
      <c r="S348" s="3476" t="str">
        <f>IFERROR(VLOOKUP($R348,'LowerCask Recovery Dependencies'!$C$138:$F$191,4,FALSE),"N/A")</f>
        <v>N/A</v>
      </c>
      <c r="T348" s="3477" t="str">
        <f>IFERROR(G347-F348-S348,"N/A")</f>
        <v>N/A</v>
      </c>
      <c r="U348" s="1719"/>
      <c r="V348" s="1719"/>
      <c r="W348" s="1719"/>
      <c r="X348" s="1719"/>
      <c r="Y348" s="1719"/>
    </row>
    <row r="349" spans="1:28" s="88" customFormat="1" hidden="1" outlineLevel="2" x14ac:dyDescent="0.4">
      <c r="B349" s="2000"/>
      <c r="C349" s="3854"/>
      <c r="D349" s="1579" t="s">
        <v>1653</v>
      </c>
      <c r="E349" s="1611" t="s">
        <v>251</v>
      </c>
      <c r="F349" s="626">
        <f t="shared" si="44"/>
        <v>17.622664625997164</v>
      </c>
      <c r="G349" s="630">
        <f t="shared" si="46"/>
        <v>173.91111218807924</v>
      </c>
      <c r="H349" s="627" t="s">
        <v>1654</v>
      </c>
      <c r="I349" s="632">
        <v>17.622664625997164</v>
      </c>
      <c r="J349" s="1579"/>
      <c r="K349" s="582"/>
      <c r="L349" s="582"/>
      <c r="M349" s="1478" t="str">
        <f>IFERROR(INDEX('Lower Cask Movement &amp; Logistics'!$I$13:$O$19,MATCH($K349,'Lower Cask Movement &amp; Logistics'!$H$13:$H$19,0),MATCH($L349,'Lower Cask Movement &amp; Logistics'!$H$13:$H$19,0)),"N/A")</f>
        <v>N/A</v>
      </c>
      <c r="N349" s="1878" t="str">
        <f>IFERROR(VLOOKUP($J349,'Lower Cask Movement &amp; Logistics'!$H$4:$I$9,2,FALSE),"N/A")</f>
        <v>N/A</v>
      </c>
      <c r="O349" s="1879" t="str">
        <f t="shared" si="45"/>
        <v>N/A</v>
      </c>
      <c r="P349" s="1880"/>
      <c r="Q349" s="1879" t="str">
        <f>IF($E349="Logistics",VLOOKUP($P349,'Lower Cask Movement &amp; Logistics'!$C$4:$D$54,2,FALSE),"N/A")</f>
        <v>N/A</v>
      </c>
      <c r="R349" s="3377" t="s">
        <v>1881</v>
      </c>
      <c r="S349" s="3476">
        <f>IFERROR(VLOOKUP($R349,'LowerCask Recovery Dependencies'!$C$138:$F$191,4,FALSE),"N/A")</f>
        <v>59.148164396766866</v>
      </c>
      <c r="T349" s="3477">
        <f>IFERROR(G348-F349-S349,"N/A")</f>
        <v>79.517618539318022</v>
      </c>
      <c r="U349" s="1719"/>
      <c r="V349" s="1719"/>
      <c r="W349" s="1719"/>
      <c r="X349" s="1719"/>
      <c r="Y349" s="1719"/>
    </row>
    <row r="350" spans="1:28" s="88" customFormat="1" ht="15" hidden="1" outlineLevel="2" thickBot="1" x14ac:dyDescent="0.45">
      <c r="B350" s="2000"/>
      <c r="C350" s="3851"/>
      <c r="D350" s="1136" t="s">
        <v>1599</v>
      </c>
      <c r="E350" s="1581" t="s">
        <v>3</v>
      </c>
      <c r="F350" s="585">
        <f t="shared" si="44"/>
        <v>0.38</v>
      </c>
      <c r="G350" s="589">
        <f t="shared" si="46"/>
        <v>174.29111218807924</v>
      </c>
      <c r="H350" s="586"/>
      <c r="I350" s="591" t="s">
        <v>263</v>
      </c>
      <c r="J350" s="1136"/>
      <c r="K350" s="584"/>
      <c r="L350" s="584"/>
      <c r="M350" s="814" t="str">
        <f>IFERROR(INDEX('Lower Cask Movement &amp; Logistics'!$I$13:$O$19,MATCH($K350,'Lower Cask Movement &amp; Logistics'!$H$13:$H$19,0),MATCH($L350,'Lower Cask Movement &amp; Logistics'!$H$13:$H$19,0)),"N/A")</f>
        <v>N/A</v>
      </c>
      <c r="N350" s="1464" t="str">
        <f>IFERROR(VLOOKUP($J350,'Lower Cask Movement &amp; Logistics'!$H$4:$I$9,2,FALSE),"N/A")</f>
        <v>N/A</v>
      </c>
      <c r="O350" s="1881" t="str">
        <f t="shared" si="45"/>
        <v>N/A</v>
      </c>
      <c r="P350" s="1882" t="s">
        <v>1546</v>
      </c>
      <c r="Q350" s="1881">
        <f>IF($E350="Logistics",VLOOKUP($P350,'Lower Cask Movement &amp; Logistics'!$C$4:$D$54,2,FALSE),"N/A")</f>
        <v>0.38</v>
      </c>
      <c r="R350" s="3378"/>
      <c r="S350" s="3478" t="str">
        <f>IFERROR(VLOOKUP($R350,'LowerCask Recovery Dependencies'!$C$138:$F$191,4,FALSE),"N/A")</f>
        <v>N/A</v>
      </c>
      <c r="T350" s="3469" t="str">
        <f>IFERROR(G349-F350-S350,"N/A")</f>
        <v>N/A</v>
      </c>
      <c r="U350" s="1719"/>
      <c r="V350" s="1719"/>
      <c r="W350" s="1719"/>
      <c r="X350" s="1719"/>
      <c r="Y350" s="1719"/>
    </row>
    <row r="351" spans="1:28" s="8" customFormat="1" hidden="1" outlineLevel="1" x14ac:dyDescent="0.4">
      <c r="A351"/>
      <c r="B351" s="2000"/>
      <c r="C351" s="1923"/>
      <c r="D351" s="892"/>
      <c r="E351" s="1439" t="s">
        <v>11</v>
      </c>
      <c r="F351" s="1439"/>
      <c r="G351" s="894">
        <f>G350</f>
        <v>174.29111218807924</v>
      </c>
      <c r="H351" s="94"/>
      <c r="I351" s="895"/>
      <c r="J351" s="94"/>
      <c r="K351" s="94"/>
      <c r="L351" s="896"/>
      <c r="M351" s="897"/>
      <c r="N351" s="897"/>
      <c r="O351" s="894"/>
      <c r="P351" s="94"/>
      <c r="Q351" s="897"/>
      <c r="R351" s="3383"/>
      <c r="S351" s="3489"/>
      <c r="T351" s="3489"/>
      <c r="U351" s="2424"/>
      <c r="V351" s="2424"/>
      <c r="W351" s="2424"/>
      <c r="X351" s="2424"/>
      <c r="Y351" s="3434"/>
    </row>
    <row r="352" spans="1:28" s="8" customFormat="1" hidden="1" outlineLevel="1" x14ac:dyDescent="0.4">
      <c r="A352"/>
      <c r="B352" s="2000"/>
      <c r="C352" s="1923"/>
      <c r="D352" s="892"/>
      <c r="E352" s="898"/>
      <c r="F352" s="894"/>
      <c r="G352" s="894"/>
      <c r="H352" s="94"/>
      <c r="I352" s="895"/>
      <c r="J352" s="94"/>
      <c r="K352" s="94"/>
      <c r="L352" s="896"/>
      <c r="M352" s="897"/>
      <c r="N352" s="897"/>
      <c r="O352" s="894"/>
      <c r="P352" s="94"/>
      <c r="Q352" s="897"/>
      <c r="R352" s="3383"/>
      <c r="S352" s="3489"/>
      <c r="T352" s="3489"/>
      <c r="U352" s="3429"/>
      <c r="V352" s="3429"/>
      <c r="W352" s="3429"/>
      <c r="X352" s="3429"/>
      <c r="Y352" s="2424"/>
      <c r="Z352"/>
      <c r="AA352"/>
      <c r="AB352"/>
    </row>
    <row r="353" spans="1:28" s="8" customFormat="1" collapsed="1" x14ac:dyDescent="0.4">
      <c r="A353"/>
      <c r="B353" s="2011"/>
      <c r="C353" s="2012"/>
      <c r="D353" s="2013"/>
      <c r="E353" s="2014"/>
      <c r="F353" s="2013"/>
      <c r="G353" s="2013"/>
      <c r="H353" s="2015"/>
      <c r="I353" s="2016"/>
      <c r="J353" s="2013"/>
      <c r="K353" s="2013"/>
      <c r="L353" s="2012"/>
      <c r="M353" s="2013"/>
      <c r="N353" s="2013"/>
      <c r="O353" s="2013"/>
      <c r="P353" s="2013"/>
      <c r="Q353" s="2013"/>
      <c r="R353" s="3406"/>
      <c r="S353" s="3515"/>
      <c r="T353" s="3515"/>
      <c r="U353" s="3515"/>
      <c r="V353" s="3515"/>
      <c r="W353" s="3515"/>
      <c r="X353" s="3515"/>
      <c r="Y353" s="2424"/>
      <c r="Z353"/>
      <c r="AA353"/>
      <c r="AB353"/>
    </row>
    <row r="355" spans="1:28" s="8" customFormat="1" ht="15.45" x14ac:dyDescent="0.4">
      <c r="A355"/>
      <c r="B355" s="2017"/>
      <c r="C355" s="2018"/>
      <c r="D355" s="2019" t="s">
        <v>1900</v>
      </c>
      <c r="E355" s="2020"/>
      <c r="F355" s="2020"/>
      <c r="G355" s="2020"/>
      <c r="H355" s="2020"/>
      <c r="I355" s="2020"/>
      <c r="J355" s="2020"/>
      <c r="K355" s="2020"/>
      <c r="L355" s="2020"/>
      <c r="M355" s="2020"/>
      <c r="N355" s="2020"/>
      <c r="O355" s="2020"/>
      <c r="P355" s="2020"/>
      <c r="Q355" s="2020"/>
      <c r="R355" s="3407"/>
      <c r="S355" s="3516"/>
      <c r="T355" s="3516"/>
      <c r="U355" s="3516"/>
      <c r="V355" s="3516"/>
      <c r="W355" s="3516"/>
      <c r="X355" s="3516"/>
      <c r="Y355" s="2424"/>
      <c r="Z355"/>
      <c r="AA355"/>
      <c r="AB355"/>
    </row>
    <row r="356" spans="1:28" s="8" customFormat="1" hidden="1" outlineLevel="1" x14ac:dyDescent="0.4">
      <c r="A356"/>
      <c r="B356" s="2021"/>
      <c r="C356" s="1826"/>
      <c r="D356" s="748" t="s">
        <v>1053</v>
      </c>
      <c r="E356" s="749"/>
      <c r="F356" s="704"/>
      <c r="G356" s="704"/>
      <c r="H356" s="704"/>
      <c r="I356" s="750"/>
      <c r="J356" s="704"/>
      <c r="K356" s="704"/>
      <c r="L356" s="704"/>
      <c r="M356" s="704"/>
      <c r="N356" s="704"/>
      <c r="O356" s="704"/>
      <c r="P356" s="704"/>
      <c r="Q356" s="704"/>
      <c r="R356" s="3364"/>
      <c r="S356" s="3433"/>
      <c r="T356" s="3433"/>
      <c r="U356" s="3433"/>
      <c r="V356" s="3433"/>
      <c r="W356" s="3433"/>
      <c r="X356" s="3433"/>
      <c r="Y356" s="2424"/>
      <c r="Z356"/>
      <c r="AA356"/>
      <c r="AB356"/>
    </row>
    <row r="357" spans="1:28" s="8" customFormat="1" ht="15" hidden="1" outlineLevel="1" thickBot="1" x14ac:dyDescent="0.45">
      <c r="A357"/>
      <c r="B357" s="2021"/>
      <c r="C357" s="1826"/>
      <c r="D357" s="704" t="s">
        <v>1034</v>
      </c>
      <c r="E357" s="749"/>
      <c r="F357" s="704"/>
      <c r="G357" s="704"/>
      <c r="H357" s="704"/>
      <c r="I357" s="750"/>
      <c r="J357" s="704"/>
      <c r="K357" s="704"/>
      <c r="L357" s="704"/>
      <c r="M357" s="704"/>
      <c r="N357" s="704"/>
      <c r="O357" s="704"/>
      <c r="P357" s="704"/>
      <c r="Q357" s="704"/>
      <c r="R357" s="3364"/>
      <c r="S357" s="3433"/>
      <c r="T357" s="3434"/>
      <c r="U357" s="3433"/>
      <c r="V357" s="3433"/>
      <c r="W357" s="3433"/>
      <c r="X357" s="3433"/>
      <c r="Y357" s="2424"/>
      <c r="Z357"/>
      <c r="AA357"/>
      <c r="AB357"/>
    </row>
    <row r="358" spans="1:28" s="8" customFormat="1" hidden="1" outlineLevel="1" x14ac:dyDescent="0.4">
      <c r="A358"/>
      <c r="B358" s="2021"/>
      <c r="C358" s="1826"/>
      <c r="D358" t="s">
        <v>1861</v>
      </c>
      <c r="E358" s="749"/>
      <c r="F358" s="704"/>
      <c r="G358" s="704"/>
      <c r="H358" s="704"/>
      <c r="I358" s="750"/>
      <c r="J358" s="704"/>
      <c r="K358" s="704"/>
      <c r="L358" s="704"/>
      <c r="M358" s="704"/>
      <c r="N358" s="704"/>
      <c r="O358" s="704"/>
      <c r="P358" s="704"/>
      <c r="Q358" s="704"/>
      <c r="R358" s="3365"/>
      <c r="S358" s="3435" t="s">
        <v>23</v>
      </c>
      <c r="T358" s="3842" t="s">
        <v>2604</v>
      </c>
      <c r="U358" s="3843"/>
      <c r="V358" s="3843"/>
      <c r="W358" s="3843"/>
      <c r="X358" s="3844"/>
      <c r="Y358" s="2424"/>
      <c r="Z358"/>
      <c r="AA358"/>
      <c r="AB358"/>
    </row>
    <row r="359" spans="1:28" s="8" customFormat="1" hidden="1" outlineLevel="1" x14ac:dyDescent="0.4">
      <c r="A359"/>
      <c r="B359" s="2021"/>
      <c r="C359" s="1826"/>
      <c r="D359" s="704" t="s">
        <v>1035</v>
      </c>
      <c r="E359" s="749"/>
      <c r="F359" s="704"/>
      <c r="G359" s="704"/>
      <c r="H359" s="704"/>
      <c r="I359" s="750"/>
      <c r="J359" s="704"/>
      <c r="K359" s="704"/>
      <c r="L359" s="704"/>
      <c r="M359" s="704"/>
      <c r="N359" s="704"/>
      <c r="O359" s="704"/>
      <c r="P359" s="704"/>
      <c r="Q359" s="704"/>
      <c r="R359" s="3354" t="s">
        <v>1055</v>
      </c>
      <c r="S359" s="1122">
        <v>1</v>
      </c>
      <c r="T359" s="916">
        <v>1</v>
      </c>
      <c r="U359" s="916">
        <v>2</v>
      </c>
      <c r="V359" s="916">
        <v>3</v>
      </c>
      <c r="W359" s="916">
        <v>4</v>
      </c>
      <c r="X359" s="1045">
        <v>6</v>
      </c>
      <c r="Y359" s="2424"/>
      <c r="Z359"/>
      <c r="AA359"/>
      <c r="AB359"/>
    </row>
    <row r="360" spans="1:28" s="8" customFormat="1" hidden="1" outlineLevel="1" x14ac:dyDescent="0.4">
      <c r="A360"/>
      <c r="B360" s="2021"/>
      <c r="C360" s="1826"/>
      <c r="D360" s="704" t="s">
        <v>1036</v>
      </c>
      <c r="E360" s="749"/>
      <c r="F360" s="704"/>
      <c r="G360" s="704"/>
      <c r="H360" s="704"/>
      <c r="I360" s="750"/>
      <c r="J360" s="704"/>
      <c r="K360" s="704"/>
      <c r="L360" s="704"/>
      <c r="M360" s="704"/>
      <c r="N360" s="704"/>
      <c r="O360" s="704"/>
      <c r="P360" s="704"/>
      <c r="Q360" s="704"/>
      <c r="R360" s="3333" t="s">
        <v>2665</v>
      </c>
      <c r="S360" s="3439">
        <f>connect_inner_pipwork</f>
        <v>53.784637313778319</v>
      </c>
      <c r="T360" s="3441">
        <f>(ROUNDUP(Tokamak_Segmts/T359,0)*connect_inner_pipwork)</f>
        <v>860.5541970204531</v>
      </c>
      <c r="U360" s="3441">
        <f>(ROUNDUP(Tokamak_Segmts/U359,0)*connect_inner_pipwork)</f>
        <v>430.27709851022655</v>
      </c>
      <c r="V360" s="3441">
        <f>(ROUNDUP(Tokamak_Segmts/V359,0)*connect_inner_pipwork)</f>
        <v>322.70782388266991</v>
      </c>
      <c r="W360" s="3441">
        <f>(ROUNDUP(Tokamak_Segmts/W359,0)*connect_inner_pipwork)</f>
        <v>215.13854925511328</v>
      </c>
      <c r="X360" s="3442">
        <f>(ROUNDUP(Tokamak_Segmts/X359,0)*connect_inner_pipwork)</f>
        <v>161.35391194133496</v>
      </c>
      <c r="Y360" s="2424"/>
      <c r="Z360"/>
      <c r="AA360"/>
      <c r="AB360"/>
    </row>
    <row r="361" spans="1:28" s="8" customFormat="1" ht="15" hidden="1" outlineLevel="1" thickBot="1" x14ac:dyDescent="0.45">
      <c r="A361"/>
      <c r="B361" s="2021"/>
      <c r="C361" s="1826"/>
      <c r="D361" s="704" t="s">
        <v>1037</v>
      </c>
      <c r="E361" s="749"/>
      <c r="F361" s="704"/>
      <c r="G361" s="704"/>
      <c r="H361" s="704"/>
      <c r="I361" s="750"/>
      <c r="J361" s="704"/>
      <c r="K361" s="704"/>
      <c r="L361" s="704"/>
      <c r="M361" s="704"/>
      <c r="N361" s="704"/>
      <c r="O361" s="704"/>
      <c r="P361" s="704"/>
      <c r="Q361" s="704"/>
      <c r="R361" s="3141" t="s">
        <v>2693</v>
      </c>
      <c r="S361" s="3443">
        <f>S$360*$E$365</f>
        <v>0.59163101045156152</v>
      </c>
      <c r="T361" s="3445">
        <f t="shared" ref="T361:X361" si="48">T$360*$E$365</f>
        <v>9.4660961672249844</v>
      </c>
      <c r="U361" s="3445">
        <f t="shared" si="48"/>
        <v>4.7330480836124922</v>
      </c>
      <c r="V361" s="3445">
        <f t="shared" si="48"/>
        <v>3.5497860627093689</v>
      </c>
      <c r="W361" s="3445">
        <f t="shared" si="48"/>
        <v>2.3665240418062461</v>
      </c>
      <c r="X361" s="3446">
        <f t="shared" si="48"/>
        <v>1.7748930313546845</v>
      </c>
      <c r="Y361" s="2424"/>
      <c r="Z361"/>
      <c r="AA361"/>
      <c r="AB361"/>
    </row>
    <row r="362" spans="1:28" s="8" customFormat="1" hidden="1" outlineLevel="1" x14ac:dyDescent="0.4">
      <c r="A362"/>
      <c r="B362" s="2021"/>
      <c r="C362" s="1826"/>
      <c r="D362" s="704" t="s">
        <v>1038</v>
      </c>
      <c r="E362" s="749"/>
      <c r="F362" s="704"/>
      <c r="G362" s="704"/>
      <c r="H362" s="704"/>
      <c r="I362" s="750"/>
      <c r="J362" s="704"/>
      <c r="K362" s="704"/>
      <c r="L362" s="704"/>
      <c r="M362" s="704"/>
      <c r="N362" s="704"/>
      <c r="O362" s="704"/>
      <c r="P362" s="704"/>
      <c r="Q362" s="704"/>
      <c r="R362" s="3366" t="s">
        <v>1048</v>
      </c>
      <c r="S362" s="3447">
        <f t="shared" ref="S362:X362" si="49">S361*(SUMIF($E$373:$E$381,"Operation",$F$373:$F$381))</f>
        <v>17.882421015762542</v>
      </c>
      <c r="T362" s="3449">
        <f t="shared" si="49"/>
        <v>286.11873625220068</v>
      </c>
      <c r="U362" s="3449">
        <f t="shared" si="49"/>
        <v>143.05936812610034</v>
      </c>
      <c r="V362" s="3449">
        <f t="shared" si="49"/>
        <v>107.29452609457526</v>
      </c>
      <c r="W362" s="3449">
        <f t="shared" si="49"/>
        <v>71.529684063050169</v>
      </c>
      <c r="X362" s="3450">
        <f t="shared" si="49"/>
        <v>53.64726304728763</v>
      </c>
      <c r="Y362" s="2424"/>
      <c r="Z362"/>
      <c r="AA362"/>
      <c r="AB362"/>
    </row>
    <row r="363" spans="1:28" s="8" customFormat="1" hidden="1" outlineLevel="1" x14ac:dyDescent="0.4">
      <c r="A363"/>
      <c r="B363" s="2021"/>
      <c r="C363" s="1826"/>
      <c r="D363" s="704"/>
      <c r="E363" s="749"/>
      <c r="F363" s="704"/>
      <c r="G363" s="704"/>
      <c r="H363" s="704"/>
      <c r="I363" s="750"/>
      <c r="J363" s="704"/>
      <c r="K363" s="704"/>
      <c r="L363" s="704"/>
      <c r="M363" s="704"/>
      <c r="N363" s="704"/>
      <c r="O363" s="704"/>
      <c r="P363" s="704"/>
      <c r="Q363" s="704"/>
      <c r="R363" s="3354" t="s">
        <v>2658</v>
      </c>
      <c r="S363" s="3451">
        <f t="shared" ref="S363:X363" si="50">S361*(SUMIF($E$373:$E$381,"Movement",$F$373:$F$381)+(SUMIF($E$373:$E$381,"Logistics",$F$373:$F$381)))</f>
        <v>4.5200609198499304</v>
      </c>
      <c r="T363" s="3453">
        <f t="shared" si="50"/>
        <v>72.320974717598887</v>
      </c>
      <c r="U363" s="3453">
        <f t="shared" si="50"/>
        <v>36.160487358799443</v>
      </c>
      <c r="V363" s="3453">
        <f t="shared" si="50"/>
        <v>27.120365519099579</v>
      </c>
      <c r="W363" s="3453">
        <f t="shared" si="50"/>
        <v>18.080243679399722</v>
      </c>
      <c r="X363" s="3454">
        <f t="shared" si="50"/>
        <v>13.560182759549789</v>
      </c>
      <c r="Y363" s="2424"/>
      <c r="Z363"/>
      <c r="AA363"/>
      <c r="AB363"/>
    </row>
    <row r="364" spans="1:28" s="8" customFormat="1" ht="15" hidden="1" outlineLevel="1" thickBot="1" x14ac:dyDescent="0.45">
      <c r="A364"/>
      <c r="B364" s="2021"/>
      <c r="C364" s="1826"/>
      <c r="D364" s="704"/>
      <c r="E364" s="749"/>
      <c r="F364" s="704"/>
      <c r="G364" s="704"/>
      <c r="H364" s="704"/>
      <c r="I364" s="750"/>
      <c r="J364" s="704"/>
      <c r="K364" s="704"/>
      <c r="L364" s="704"/>
      <c r="M364" s="704"/>
      <c r="N364" s="704"/>
      <c r="O364" s="704"/>
      <c r="P364" s="704"/>
      <c r="Q364" s="704"/>
      <c r="R364" s="3367" t="s">
        <v>2657</v>
      </c>
      <c r="S364" s="3455">
        <f t="shared" ref="S364:X364" si="51">S361*(-SUMIF($T$373:$T$381,"&lt;0"))</f>
        <v>11.017322191059394</v>
      </c>
      <c r="T364" s="3457">
        <f t="shared" si="51"/>
        <v>176.27715505695031</v>
      </c>
      <c r="U364" s="3457">
        <f t="shared" si="51"/>
        <v>88.138577528475153</v>
      </c>
      <c r="V364" s="3457">
        <f t="shared" si="51"/>
        <v>66.103933146356368</v>
      </c>
      <c r="W364" s="3457">
        <f t="shared" si="51"/>
        <v>44.069288764237577</v>
      </c>
      <c r="X364" s="3458">
        <f t="shared" si="51"/>
        <v>33.051966573178184</v>
      </c>
      <c r="Y364" s="2424"/>
      <c r="Z364"/>
      <c r="AA364"/>
      <c r="AB364"/>
    </row>
    <row r="365" spans="1:28" s="8" customFormat="1" ht="15" hidden="1" outlineLevel="1" thickBot="1" x14ac:dyDescent="0.45">
      <c r="A365"/>
      <c r="B365" s="2021"/>
      <c r="C365" s="1826"/>
      <c r="D365" s="748" t="s">
        <v>1056</v>
      </c>
      <c r="E365" s="709">
        <f>SUM(E366:E367)</f>
        <v>1.0999999999999999E-2</v>
      </c>
      <c r="F365" s="709"/>
      <c r="G365" s="709"/>
      <c r="H365" s="709"/>
      <c r="I365" s="919"/>
      <c r="J365" s="918"/>
      <c r="K365" s="918"/>
      <c r="L365" s="918"/>
      <c r="M365" s="918"/>
      <c r="N365" s="918"/>
      <c r="O365" s="918"/>
      <c r="P365" s="704"/>
      <c r="Q365" s="704"/>
      <c r="R365" s="3368" t="s">
        <v>2667</v>
      </c>
      <c r="S365" s="3459">
        <f t="shared" ref="S365:X365" si="52">S361*$G$382</f>
        <v>33.419804126671863</v>
      </c>
      <c r="T365" s="3502">
        <f t="shared" si="52"/>
        <v>534.71686602674981</v>
      </c>
      <c r="U365" s="3426">
        <f t="shared" si="52"/>
        <v>267.35843301337491</v>
      </c>
      <c r="V365" s="3426">
        <f t="shared" si="52"/>
        <v>200.51882476003118</v>
      </c>
      <c r="W365" s="3426">
        <f t="shared" si="52"/>
        <v>133.67921650668745</v>
      </c>
      <c r="X365" s="3461">
        <f t="shared" si="52"/>
        <v>100.25941238001559</v>
      </c>
      <c r="Y365" s="2424"/>
      <c r="Z365"/>
      <c r="AA365"/>
      <c r="AB365"/>
    </row>
    <row r="366" spans="1:28" s="8" customFormat="1" hidden="1" outlineLevel="1" x14ac:dyDescent="0.4">
      <c r="A366"/>
      <c r="B366" s="2022"/>
      <c r="C366" s="906"/>
      <c r="D366" s="7" t="s">
        <v>1057</v>
      </c>
      <c r="E366" s="763">
        <f>Weld_Failure_Rate</f>
        <v>1E-3</v>
      </c>
      <c r="F366" s="922"/>
      <c r="G366" s="922"/>
      <c r="H366" s="924"/>
      <c r="I366" s="290"/>
      <c r="J366" s="922"/>
      <c r="K366" s="922"/>
      <c r="L366" s="925"/>
      <c r="M366" s="922"/>
      <c r="N366" s="922"/>
      <c r="O366" s="922"/>
      <c r="P366" s="706"/>
      <c r="Q366" s="7"/>
      <c r="Y366" s="2424"/>
      <c r="Z366"/>
      <c r="AA366"/>
      <c r="AB366"/>
    </row>
    <row r="367" spans="1:28" s="8" customFormat="1" hidden="1" outlineLevel="1" x14ac:dyDescent="0.4">
      <c r="A367"/>
      <c r="B367" s="2022"/>
      <c r="C367" s="906"/>
      <c r="D367" s="7" t="s">
        <v>1058</v>
      </c>
      <c r="E367" s="763">
        <f>SJS_welder_failure</f>
        <v>0.01</v>
      </c>
      <c r="F367" s="922"/>
      <c r="G367" s="922"/>
      <c r="H367" s="924"/>
      <c r="I367" s="290"/>
      <c r="J367" s="922"/>
      <c r="K367" s="922"/>
      <c r="L367" s="925"/>
      <c r="M367" s="922"/>
      <c r="N367" s="922"/>
      <c r="O367" s="922"/>
      <c r="P367" s="706"/>
      <c r="Q367" s="7"/>
      <c r="Y367" s="2424"/>
      <c r="Z367"/>
      <c r="AA367"/>
      <c r="AB367"/>
    </row>
    <row r="368" spans="1:28" s="8" customFormat="1" hidden="1" outlineLevel="1" x14ac:dyDescent="0.4">
      <c r="A368"/>
      <c r="B368" s="2022"/>
      <c r="C368" s="906"/>
      <c r="D368" s="926" t="s">
        <v>1059</v>
      </c>
      <c r="E368" s="709">
        <f>E365*(1-(1-E365)^(Divertor_port_pipes_per_blanket))</f>
        <v>3.5902164100000021E-4</v>
      </c>
      <c r="F368" s="927"/>
      <c r="G368" s="927"/>
      <c r="H368" s="927"/>
      <c r="I368" s="919"/>
      <c r="J368" s="927"/>
      <c r="K368" s="927"/>
      <c r="L368" s="927"/>
      <c r="M368" s="927"/>
      <c r="N368" s="927"/>
      <c r="O368" s="927"/>
      <c r="P368" s="706"/>
      <c r="Q368" s="7"/>
      <c r="Y368" s="2424"/>
      <c r="Z368"/>
      <c r="AA368"/>
      <c r="AB368"/>
    </row>
    <row r="369" spans="1:28" s="8" customFormat="1" hidden="1" outlineLevel="1" x14ac:dyDescent="0.4">
      <c r="A369"/>
      <c r="B369" s="2022"/>
      <c r="C369" s="906"/>
      <c r="D369" s="926"/>
      <c r="E369" s="928"/>
      <c r="F369" s="927"/>
      <c r="G369" s="927"/>
      <c r="H369" s="927"/>
      <c r="I369" s="919"/>
      <c r="J369" s="927"/>
      <c r="K369" s="927"/>
      <c r="L369" s="927"/>
      <c r="M369" s="927"/>
      <c r="N369" s="927"/>
      <c r="O369" s="927"/>
      <c r="P369" s="706"/>
      <c r="Q369" s="7"/>
      <c r="R369" s="3369"/>
      <c r="S369" s="3429"/>
      <c r="T369" s="3429"/>
      <c r="U369" s="3429"/>
      <c r="V369" s="3429"/>
      <c r="W369" s="3429"/>
      <c r="X369" s="3429"/>
      <c r="Y369" s="2424"/>
      <c r="Z369"/>
      <c r="AA369"/>
      <c r="AB369"/>
    </row>
    <row r="370" spans="1:28" s="8" customFormat="1" ht="15" hidden="1" outlineLevel="2" thickBot="1" x14ac:dyDescent="0.45">
      <c r="A370"/>
      <c r="B370" s="2022"/>
      <c r="C370" s="906"/>
      <c r="D370" s="926"/>
      <c r="E370" s="928"/>
      <c r="F370" s="927"/>
      <c r="G370" s="927"/>
      <c r="H370" s="927"/>
      <c r="I370" s="919"/>
      <c r="J370" s="927"/>
      <c r="K370" s="927"/>
      <c r="L370" s="927"/>
      <c r="M370" s="927"/>
      <c r="N370" s="927"/>
      <c r="O370" s="927"/>
      <c r="P370" s="706"/>
      <c r="Q370" s="7"/>
      <c r="R370" s="3369"/>
      <c r="S370" s="3429"/>
      <c r="T370" s="3429"/>
      <c r="U370" s="3429"/>
      <c r="V370" s="3429"/>
      <c r="W370" s="3429"/>
      <c r="X370" s="3429"/>
      <c r="Y370" s="2424"/>
      <c r="Z370"/>
      <c r="AA370"/>
      <c r="AB370"/>
    </row>
    <row r="371" spans="1:28" s="8" customFormat="1" ht="15" hidden="1" outlineLevel="2" thickBot="1" x14ac:dyDescent="0.45">
      <c r="A371"/>
      <c r="B371" s="2022"/>
      <c r="C371" s="906"/>
      <c r="D371" s="926"/>
      <c r="E371" s="701"/>
      <c r="F371" s="7"/>
      <c r="G371" s="929"/>
      <c r="H371" s="930" t="s">
        <v>18</v>
      </c>
      <c r="I371" s="931"/>
      <c r="J371" s="932" t="s">
        <v>778</v>
      </c>
      <c r="K371" s="933"/>
      <c r="L371" s="933"/>
      <c r="M371" s="933"/>
      <c r="N371" s="933"/>
      <c r="O371" s="934"/>
      <c r="P371" s="933" t="s">
        <v>3</v>
      </c>
      <c r="Q371" s="934"/>
      <c r="R371" s="3386" t="s">
        <v>779</v>
      </c>
      <c r="S371" s="3462"/>
      <c r="T371" s="3462"/>
      <c r="U371" s="2424"/>
      <c r="V371" s="2424"/>
      <c r="W371" s="2424"/>
      <c r="X371" s="3434"/>
      <c r="Y371" s="3434"/>
    </row>
    <row r="372" spans="1:28" s="8" customFormat="1" ht="29.6" hidden="1" outlineLevel="2" thickBot="1" x14ac:dyDescent="0.45">
      <c r="A372"/>
      <c r="B372" s="2022"/>
      <c r="C372" s="939" t="s">
        <v>780</v>
      </c>
      <c r="D372" s="940" t="s">
        <v>1060</v>
      </c>
      <c r="E372" s="941" t="s">
        <v>782</v>
      </c>
      <c r="F372" s="942" t="s">
        <v>783</v>
      </c>
      <c r="G372" s="943" t="s">
        <v>784</v>
      </c>
      <c r="H372" s="562" t="s">
        <v>785</v>
      </c>
      <c r="I372" s="944" t="s">
        <v>783</v>
      </c>
      <c r="J372" s="562" t="s">
        <v>786</v>
      </c>
      <c r="K372" s="563" t="s">
        <v>787</v>
      </c>
      <c r="L372" s="563" t="s">
        <v>788</v>
      </c>
      <c r="M372" s="563" t="s">
        <v>789</v>
      </c>
      <c r="N372" s="563" t="s">
        <v>790</v>
      </c>
      <c r="O372" s="945" t="s">
        <v>783</v>
      </c>
      <c r="P372" s="560" t="s">
        <v>785</v>
      </c>
      <c r="Q372" s="946" t="s">
        <v>783</v>
      </c>
      <c r="R372" s="3387" t="s">
        <v>781</v>
      </c>
      <c r="S372" s="3464" t="s">
        <v>791</v>
      </c>
      <c r="T372" s="3465" t="s">
        <v>792</v>
      </c>
      <c r="U372" s="2424"/>
      <c r="V372" s="2424"/>
      <c r="W372" s="2424"/>
      <c r="X372" s="3434"/>
      <c r="Y372" s="3434"/>
    </row>
    <row r="373" spans="1:28" s="8" customFormat="1" hidden="1" outlineLevel="2" x14ac:dyDescent="0.4">
      <c r="A373"/>
      <c r="B373" s="2022"/>
      <c r="C373" s="3850" t="s">
        <v>1062</v>
      </c>
      <c r="D373" s="797" t="s">
        <v>1901</v>
      </c>
      <c r="E373" s="799" t="s">
        <v>251</v>
      </c>
      <c r="F373" s="456">
        <f t="shared" ref="F373:F381" si="53">MAX($Q373,$O373,$I373)</f>
        <v>0</v>
      </c>
      <c r="G373" s="800">
        <f>F373</f>
        <v>0</v>
      </c>
      <c r="H373" s="566" t="s">
        <v>557</v>
      </c>
      <c r="I373" s="621">
        <v>0</v>
      </c>
      <c r="J373" s="568"/>
      <c r="K373" s="566"/>
      <c r="L373" s="801"/>
      <c r="M373" s="802" t="str">
        <f>IFERROR(INDEX('Lower Cask Movement &amp; Logistics'!$I$29:$O$35,MATCH($K373,'Lower Cask Movement &amp; Logistics'!$H$29:$H$35,0),MATCH($L373,'Lower Cask Movement &amp; Logistics'!$H$29:$H$35,0)),"N/A")</f>
        <v>N/A</v>
      </c>
      <c r="N373" s="570" t="str">
        <f>IFERROR(VLOOKUP($J373,'Lower Cask Movement &amp; Logistics'!$H$4:$I$8,2,FALSE),"N/A")</f>
        <v>N/A</v>
      </c>
      <c r="O373" s="800" t="str">
        <f t="shared" ref="O373:O381" si="54">IF(E373="Movement",IFERROR((M373/N373)/(60*60),"Error"),"N/A")</f>
        <v>N/A</v>
      </c>
      <c r="P373" s="803"/>
      <c r="Q373" s="802" t="str">
        <f>IF($E373="Logistics",VLOOKUP($P373,'Lower Cask Movement &amp; Logistics'!$C$4:$D$53,2,FALSE),"N/A")</f>
        <v>N/A</v>
      </c>
      <c r="R373" s="3398"/>
      <c r="S373" s="3466" t="str">
        <f>IFERROR(VLOOKUP($R373,'LowerCask Recovery Dependencies'!$C$231:$F$247,4,FALSE),"N/A")</f>
        <v>N/A</v>
      </c>
      <c r="T373" s="3467" t="str">
        <f>IFERROR(G373-F373-S373,"N/A")</f>
        <v>N/A</v>
      </c>
      <c r="U373" s="2424"/>
      <c r="V373" s="2424"/>
      <c r="W373" s="2424"/>
      <c r="X373" s="3434"/>
      <c r="Y373" s="3434"/>
    </row>
    <row r="374" spans="1:28" s="8" customFormat="1" ht="15" hidden="1" outlineLevel="2" thickBot="1" x14ac:dyDescent="0.45">
      <c r="A374"/>
      <c r="B374" s="2022"/>
      <c r="C374" s="3851"/>
      <c r="D374" s="807" t="s">
        <v>1885</v>
      </c>
      <c r="E374" s="809" t="s">
        <v>251</v>
      </c>
      <c r="F374" s="471">
        <f t="shared" si="53"/>
        <v>12.602967059728389</v>
      </c>
      <c r="G374" s="810">
        <f>IF(T374&lt;0,F374+G373+(-T374),F374+G373)</f>
        <v>12.602967059728389</v>
      </c>
      <c r="H374" s="584" t="s">
        <v>441</v>
      </c>
      <c r="I374" s="811">
        <v>12.602967059728389</v>
      </c>
      <c r="J374" s="586"/>
      <c r="K374" s="584"/>
      <c r="L374" s="812"/>
      <c r="M374" s="813" t="s">
        <v>263</v>
      </c>
      <c r="N374" s="814" t="s">
        <v>263</v>
      </c>
      <c r="O374" s="810" t="str">
        <f t="shared" si="54"/>
        <v>N/A</v>
      </c>
      <c r="P374" s="815"/>
      <c r="Q374" s="813" t="str">
        <f>IF($E374="Logistics",VLOOKUP($P374,'Lower Cask Movement &amp; Logistics'!$C$4:$D$53,2,FALSE),"N/A")</f>
        <v>N/A</v>
      </c>
      <c r="R374" s="3400"/>
      <c r="S374" s="3468" t="str">
        <f>IFERROR(VLOOKUP($R374,'LowerCask Recovery Dependencies'!$C$231:$F$247,4,FALSE),"N/A")</f>
        <v>N/A</v>
      </c>
      <c r="T374" s="3469" t="str">
        <f>IFERROR(G373-S374,"N/A")</f>
        <v>N/A</v>
      </c>
      <c r="U374" s="2424"/>
      <c r="V374" s="2424"/>
      <c r="W374" s="2424"/>
      <c r="X374" s="3434"/>
      <c r="Y374" s="3434"/>
    </row>
    <row r="375" spans="1:28" s="8" customFormat="1" hidden="1" outlineLevel="2" x14ac:dyDescent="0.4">
      <c r="A375"/>
      <c r="B375" s="2022"/>
      <c r="C375" s="3852" t="s">
        <v>1864</v>
      </c>
      <c r="D375" s="818" t="s">
        <v>1633</v>
      </c>
      <c r="E375" s="1862" t="s">
        <v>3</v>
      </c>
      <c r="F375" s="821">
        <f t="shared" si="53"/>
        <v>0.38</v>
      </c>
      <c r="G375" s="2005">
        <f t="shared" ref="G375:G380" si="55">IF(T375&lt;0,F375+G374+(-T375),F375+G374)</f>
        <v>12.98296705972839</v>
      </c>
      <c r="H375" s="829"/>
      <c r="I375" s="824" t="s">
        <v>263</v>
      </c>
      <c r="J375" s="825"/>
      <c r="K375" s="823"/>
      <c r="L375" s="826"/>
      <c r="M375" s="827" t="s">
        <v>263</v>
      </c>
      <c r="N375" s="828" t="s">
        <v>263</v>
      </c>
      <c r="O375" s="822" t="str">
        <f t="shared" si="54"/>
        <v>N/A</v>
      </c>
      <c r="P375" s="1906" t="s">
        <v>1546</v>
      </c>
      <c r="Q375" s="827">
        <f>IF($E375="Logistics",VLOOKUP($P375,'Lower Cask Movement &amp; Logistics'!$C$4:$D$53,2,FALSE),"N/A")</f>
        <v>0.38</v>
      </c>
      <c r="R375" s="3396"/>
      <c r="S375" s="3470" t="str">
        <f>IFERROR(VLOOKUP($R375,'LowerCask Recovery Dependencies'!$C$231:$F$247,4,FALSE),"N/A")</f>
        <v>N/A</v>
      </c>
      <c r="T375" s="3471" t="str">
        <f t="shared" ref="T375:T380" si="56">IFERROR(G374-S375,"N/A")</f>
        <v>N/A</v>
      </c>
      <c r="U375" s="2424"/>
      <c r="V375" s="2424"/>
      <c r="W375" s="2424"/>
      <c r="X375" s="3434"/>
      <c r="Y375" s="3434"/>
    </row>
    <row r="376" spans="1:28" s="8" customFormat="1" hidden="1" outlineLevel="2" x14ac:dyDescent="0.4">
      <c r="A376"/>
      <c r="B376" s="2022"/>
      <c r="C376" s="3856"/>
      <c r="D376" s="857" t="s">
        <v>1599</v>
      </c>
      <c r="E376" s="2006" t="s">
        <v>3</v>
      </c>
      <c r="F376" s="1904">
        <f t="shared" si="53"/>
        <v>0.38</v>
      </c>
      <c r="G376" s="484">
        <f t="shared" si="55"/>
        <v>13.36296705972839</v>
      </c>
      <c r="H376" s="1348"/>
      <c r="I376" s="1353" t="s">
        <v>263</v>
      </c>
      <c r="J376" s="1348"/>
      <c r="K376" s="1897"/>
      <c r="L376" s="2007"/>
      <c r="M376" s="2008" t="s">
        <v>263</v>
      </c>
      <c r="N376" s="1898" t="s">
        <v>263</v>
      </c>
      <c r="O376" s="2009" t="str">
        <f t="shared" si="54"/>
        <v>N/A</v>
      </c>
      <c r="P376" s="1348" t="s">
        <v>1546</v>
      </c>
      <c r="Q376" s="2008">
        <f>IF($E376="Logistics",VLOOKUP($P376,'Lower Cask Movement &amp; Logistics'!$C$4:$D$53,2,FALSE),"N/A")</f>
        <v>0.38</v>
      </c>
      <c r="R376" s="3405"/>
      <c r="S376" s="3514" t="str">
        <f>IFERROR(VLOOKUP($R376,'LowerCask Recovery Dependencies'!$C$231:$F$247,4,FALSE),"N/A")</f>
        <v>N/A</v>
      </c>
      <c r="T376" s="3482" t="str">
        <f t="shared" si="56"/>
        <v>N/A</v>
      </c>
      <c r="U376" s="2424"/>
      <c r="V376" s="2424"/>
      <c r="W376" s="2424"/>
      <c r="X376" s="3434"/>
      <c r="Y376" s="3434"/>
    </row>
    <row r="377" spans="1:28" s="8" customFormat="1" ht="15" hidden="1" outlineLevel="2" thickBot="1" x14ac:dyDescent="0.45">
      <c r="A377"/>
      <c r="B377" s="2022"/>
      <c r="C377" s="3853"/>
      <c r="D377" s="833" t="s">
        <v>1887</v>
      </c>
      <c r="E377" s="1868" t="s">
        <v>3</v>
      </c>
      <c r="F377" s="835">
        <f t="shared" si="53"/>
        <v>2.3000000000000003</v>
      </c>
      <c r="G377" s="495">
        <f t="shared" si="55"/>
        <v>15.662967059728391</v>
      </c>
      <c r="H377" s="839"/>
      <c r="I377" s="1345" t="s">
        <v>263</v>
      </c>
      <c r="J377" s="839"/>
      <c r="K377" s="837"/>
      <c r="L377" s="840"/>
      <c r="M377" s="841" t="s">
        <v>263</v>
      </c>
      <c r="N377" s="842" t="s">
        <v>263</v>
      </c>
      <c r="O377" s="2010" t="str">
        <f t="shared" si="54"/>
        <v>N/A</v>
      </c>
      <c r="P377" s="839" t="s">
        <v>1552</v>
      </c>
      <c r="Q377" s="841">
        <f>IF($E377="Logistics",VLOOKUP($P377,'Lower Cask Movement &amp; Logistics'!$C$4:$D$53,2,FALSE),"N/A")</f>
        <v>2.3000000000000003</v>
      </c>
      <c r="R377" s="3397"/>
      <c r="S377" s="3472" t="str">
        <f>IFERROR(VLOOKUP($R377,'LowerCask Recovery Dependencies'!$C$231:$F$247,4,FALSE),"N/A")</f>
        <v>N/A</v>
      </c>
      <c r="T377" s="3473" t="str">
        <f t="shared" si="56"/>
        <v>N/A</v>
      </c>
      <c r="U377" s="2424"/>
      <c r="V377" s="2424"/>
      <c r="W377" s="2424"/>
      <c r="X377" s="3434"/>
      <c r="Y377" s="3434"/>
    </row>
    <row r="378" spans="1:28" s="8" customFormat="1" hidden="1" outlineLevel="2" x14ac:dyDescent="0.4">
      <c r="A378"/>
      <c r="B378" s="2022"/>
      <c r="C378" s="3850" t="s">
        <v>1649</v>
      </c>
      <c r="D378" s="1129" t="s">
        <v>1619</v>
      </c>
      <c r="E378" s="1620" t="s">
        <v>3</v>
      </c>
      <c r="F378" s="1621">
        <f t="shared" si="53"/>
        <v>1.9</v>
      </c>
      <c r="G378" s="1621">
        <f t="shared" si="55"/>
        <v>17.56296705972839</v>
      </c>
      <c r="H378" s="1129"/>
      <c r="I378" s="1575" t="s">
        <v>263</v>
      </c>
      <c r="J378" s="1129"/>
      <c r="K378" s="1619"/>
      <c r="L378" s="1619"/>
      <c r="M378" s="1623" t="str">
        <f>IFERROR(INDEX('Lower Cask Movement &amp; Logistics'!$I$13:$O$19,MATCH($I378,'Lower Cask Movement &amp; Logistics'!$H$13:$H$19,0),MATCH($J378,'Lower Cask Movement &amp; Logistics'!$H$13:$H$19,0)),"N/A")</f>
        <v>N/A</v>
      </c>
      <c r="N378" s="1623" t="str">
        <f>IFERROR(VLOOKUP($H378,'Lower Cask Movement &amp; Logistics'!$H$4:$I$9,2,FALSE),"N/A")</f>
        <v>N/A</v>
      </c>
      <c r="O378" s="1575" t="str">
        <f t="shared" si="54"/>
        <v>N/A</v>
      </c>
      <c r="P378" s="1576" t="s">
        <v>1541</v>
      </c>
      <c r="Q378" s="1575">
        <f>IF($E378="Logistics",VLOOKUP($P378,'Lower Cask Movement &amp; Logistics'!$C$4:$D$53,2,FALSE),"N/A")</f>
        <v>1.9</v>
      </c>
      <c r="R378" s="3376" t="s">
        <v>1902</v>
      </c>
      <c r="S378" s="3474">
        <f>IFERROR(VLOOKUP($R378,'LowerCask Recovery Dependencies'!$C$231:$F$247,4,FALSE),"N/A")</f>
        <v>11.595185185185187</v>
      </c>
      <c r="T378" s="3475">
        <f t="shared" si="56"/>
        <v>4.0677818745432042</v>
      </c>
      <c r="U378" s="2424"/>
      <c r="V378" s="2424"/>
      <c r="W378" s="2424"/>
      <c r="X378" s="3434"/>
      <c r="Y378" s="3434"/>
    </row>
    <row r="379" spans="1:28" s="8" customFormat="1" hidden="1" outlineLevel="2" x14ac:dyDescent="0.4">
      <c r="A379"/>
      <c r="B379" s="2022"/>
      <c r="C379" s="3854"/>
      <c r="D379" s="1579" t="s">
        <v>1247</v>
      </c>
      <c r="E379" s="1611" t="s">
        <v>3</v>
      </c>
      <c r="F379" s="626">
        <f t="shared" si="53"/>
        <v>0.38</v>
      </c>
      <c r="G379" s="626">
        <f t="shared" si="55"/>
        <v>17.942967059728389</v>
      </c>
      <c r="H379" s="1579"/>
      <c r="I379" s="1183" t="s">
        <v>263</v>
      </c>
      <c r="J379" s="1579"/>
      <c r="K379" s="582"/>
      <c r="L379" s="582"/>
      <c r="M379" s="1478" t="str">
        <f>IFERROR(INDEX('Lower Cask Movement &amp; Logistics'!$I$13:$O$19,MATCH($I379,'Lower Cask Movement &amp; Logistics'!$H$13:$H$19,0),MATCH($J379,'Lower Cask Movement &amp; Logistics'!$H$13:$H$19,0)),"N/A")</f>
        <v>N/A</v>
      </c>
      <c r="N379" s="1478" t="str">
        <f>IFERROR(VLOOKUP($H379,'Lower Cask Movement &amp; Logistics'!$H$4:$I$9,2,FALSE),"N/A")</f>
        <v>N/A</v>
      </c>
      <c r="O379" s="1183" t="str">
        <f t="shared" si="54"/>
        <v>N/A</v>
      </c>
      <c r="P379" s="1578" t="s">
        <v>1544</v>
      </c>
      <c r="Q379" s="1183">
        <f>IF($E379="Logistics",VLOOKUP($P379,'Lower Cask Movement &amp; Logistics'!$C$4:$D$53,2,FALSE),"N/A")</f>
        <v>0.38</v>
      </c>
      <c r="R379" s="3377"/>
      <c r="S379" s="3476" t="str">
        <f>IFERROR(VLOOKUP($R379,'LowerCask Recovery Dependencies'!$C$231:$F$247,4,FALSE),"N/A")</f>
        <v>N/A</v>
      </c>
      <c r="T379" s="3477" t="str">
        <f t="shared" si="56"/>
        <v>N/A</v>
      </c>
      <c r="U379" s="2424"/>
      <c r="V379" s="2424"/>
      <c r="W379" s="2424"/>
      <c r="X379" s="3434"/>
      <c r="Y379" s="3434"/>
    </row>
    <row r="380" spans="1:28" s="8" customFormat="1" hidden="1" outlineLevel="2" x14ac:dyDescent="0.4">
      <c r="A380"/>
      <c r="B380" s="2022"/>
      <c r="C380" s="3854"/>
      <c r="D380" s="1579" t="s">
        <v>117</v>
      </c>
      <c r="E380" s="1611" t="s">
        <v>251</v>
      </c>
      <c r="F380" s="626">
        <f t="shared" si="53"/>
        <v>17.622664625997164</v>
      </c>
      <c r="G380" s="626">
        <f t="shared" si="55"/>
        <v>54.187580157713924</v>
      </c>
      <c r="H380" s="1579" t="s">
        <v>1654</v>
      </c>
      <c r="I380" s="1183">
        <v>17.622664625997164</v>
      </c>
      <c r="J380" s="1579"/>
      <c r="K380" s="582"/>
      <c r="L380" s="582"/>
      <c r="M380" s="1478" t="str">
        <f>IFERROR(INDEX('Lower Cask Movement &amp; Logistics'!$I$13:$O$19,MATCH($I380,'Lower Cask Movement &amp; Logistics'!$H$13:$H$19,0),MATCH($J380,'Lower Cask Movement &amp; Logistics'!$H$13:$H$19,0)),"N/A")</f>
        <v>N/A</v>
      </c>
      <c r="N380" s="1478" t="str">
        <f>IFERROR(VLOOKUP($H380,'Lower Cask Movement &amp; Logistics'!$H$4:$I$9,2,FALSE),"N/A")</f>
        <v>N/A</v>
      </c>
      <c r="O380" s="1183" t="str">
        <f t="shared" si="54"/>
        <v>N/A</v>
      </c>
      <c r="P380" s="1578" t="s">
        <v>1546</v>
      </c>
      <c r="Q380" s="1183" t="str">
        <f>IF($E380="Logistics",VLOOKUP($P380,'Lower Cask Movement &amp; Logistics'!$C$4:$D$53,2,FALSE),"N/A")</f>
        <v>N/A</v>
      </c>
      <c r="R380" s="3377" t="s">
        <v>1880</v>
      </c>
      <c r="S380" s="3476">
        <f>IFERROR(VLOOKUP($R380,'LowerCask Recovery Dependencies'!$C$231:$F$247,4,FALSE),"N/A")</f>
        <v>36.564915531716764</v>
      </c>
      <c r="T380" s="3477">
        <f t="shared" si="56"/>
        <v>-18.621948471988375</v>
      </c>
      <c r="U380" s="2424"/>
      <c r="V380" s="2424"/>
      <c r="W380" s="2424"/>
      <c r="X380" s="3434"/>
      <c r="Y380" s="3434"/>
    </row>
    <row r="381" spans="1:28" s="8" customFormat="1" ht="15" hidden="1" outlineLevel="2" thickBot="1" x14ac:dyDescent="0.45">
      <c r="A381"/>
      <c r="B381" s="2022"/>
      <c r="C381" s="3851"/>
      <c r="D381" s="1136" t="s">
        <v>1656</v>
      </c>
      <c r="E381" s="1581" t="s">
        <v>3</v>
      </c>
      <c r="F381" s="585">
        <f t="shared" si="53"/>
        <v>2.3000000000000003</v>
      </c>
      <c r="G381" s="585">
        <f>IF(T381&lt;0,F381+G380+(-T381),F381+G380)</f>
        <v>56.487580157713921</v>
      </c>
      <c r="H381" s="1136"/>
      <c r="I381" s="1179" t="s">
        <v>263</v>
      </c>
      <c r="J381" s="1136"/>
      <c r="K381" s="584"/>
      <c r="L381" s="584"/>
      <c r="M381" s="814" t="str">
        <f>IFERROR(INDEX('Lower Cask Movement &amp; Logistics'!$I$13:$O$19,MATCH($I381,'Lower Cask Movement &amp; Logistics'!$H$13:$H$19,0),MATCH($J381,'Lower Cask Movement &amp; Logistics'!$H$13:$H$19,0)),"N/A")</f>
        <v>N/A</v>
      </c>
      <c r="N381" s="814" t="str">
        <f>IFERROR(VLOOKUP($H381,'Lower Cask Movement &amp; Logistics'!$H$4:$I$9,2,FALSE),"N/A")</f>
        <v>N/A</v>
      </c>
      <c r="O381" s="1179" t="str">
        <f t="shared" si="54"/>
        <v>N/A</v>
      </c>
      <c r="P381" s="1582" t="s">
        <v>1552</v>
      </c>
      <c r="Q381" s="1179">
        <f>IF($E381="Logistics",VLOOKUP($P381,'Lower Cask Movement &amp; Logistics'!$C$4:$D$53,2,FALSE),"N/A")</f>
        <v>2.3000000000000003</v>
      </c>
      <c r="R381" s="3378"/>
      <c r="S381" s="3478" t="str">
        <f>IFERROR(VLOOKUP($R381,'LowerCask Recovery Dependencies'!$C$231:$F$247,4,FALSE),"N/A")</f>
        <v>N/A</v>
      </c>
      <c r="T381" s="3469" t="str">
        <f>IFERROR(#REF!-S381,"N/A")</f>
        <v>N/A</v>
      </c>
      <c r="U381" s="2424"/>
      <c r="V381" s="2424"/>
      <c r="W381" s="2424"/>
      <c r="X381" s="3434"/>
      <c r="Y381" s="3434"/>
    </row>
    <row r="382" spans="1:28" s="8" customFormat="1" hidden="1" outlineLevel="1" x14ac:dyDescent="0.4">
      <c r="A382"/>
      <c r="B382" s="2022"/>
      <c r="C382" s="1923"/>
      <c r="D382" s="892"/>
      <c r="E382" s="1439" t="s">
        <v>1903</v>
      </c>
      <c r="F382" s="1439"/>
      <c r="G382" s="894">
        <f>G381</f>
        <v>56.487580157713921</v>
      </c>
      <c r="H382" s="94"/>
      <c r="I382" s="895"/>
      <c r="J382" s="94"/>
      <c r="K382" s="94"/>
      <c r="L382" s="896"/>
      <c r="M382" s="897"/>
      <c r="N382" s="897"/>
      <c r="O382" s="894"/>
      <c r="P382" s="94"/>
      <c r="Q382" s="897"/>
      <c r="R382" s="3383"/>
      <c r="S382" s="3489"/>
      <c r="T382" s="3489"/>
      <c r="U382" s="2424"/>
      <c r="V382" s="2424"/>
      <c r="W382" s="2424"/>
      <c r="X382" s="3434"/>
      <c r="Y382" s="3434"/>
    </row>
    <row r="383" spans="1:28" s="8" customFormat="1" hidden="1" outlineLevel="1" x14ac:dyDescent="0.4">
      <c r="A383"/>
      <c r="B383" s="2022"/>
      <c r="C383" s="1923"/>
      <c r="D383" s="892"/>
      <c r="E383" s="898"/>
      <c r="F383" s="894"/>
      <c r="G383" s="894"/>
      <c r="H383" s="94"/>
      <c r="I383" s="895"/>
      <c r="J383" s="94"/>
      <c r="K383" s="94"/>
      <c r="L383" s="896"/>
      <c r="M383" s="897"/>
      <c r="N383" s="897"/>
      <c r="O383" s="894"/>
      <c r="P383" s="94"/>
      <c r="Q383" s="897"/>
      <c r="R383" s="3383"/>
      <c r="S383" s="3489"/>
      <c r="T383" s="3489"/>
      <c r="U383" s="3429"/>
      <c r="V383" s="3429"/>
      <c r="W383" s="3429"/>
      <c r="X383" s="3429"/>
      <c r="Y383" s="2424"/>
      <c r="Z383"/>
      <c r="AA383"/>
      <c r="AB383"/>
    </row>
    <row r="384" spans="1:28" s="8" customFormat="1" collapsed="1" x14ac:dyDescent="0.4">
      <c r="A384"/>
      <c r="B384" s="2024"/>
      <c r="C384" s="2025"/>
      <c r="D384" s="2026"/>
      <c r="E384" s="2027"/>
      <c r="F384" s="2026"/>
      <c r="G384" s="2026"/>
      <c r="H384" s="2028"/>
      <c r="I384" s="2029"/>
      <c r="J384" s="2026"/>
      <c r="K384" s="2026"/>
      <c r="L384" s="2025"/>
      <c r="M384" s="2026"/>
      <c r="N384" s="2026"/>
      <c r="O384" s="2026"/>
      <c r="P384" s="2026"/>
      <c r="Q384" s="2026"/>
      <c r="R384" s="3408"/>
      <c r="S384" s="3517"/>
      <c r="T384" s="3517"/>
      <c r="U384" s="3517"/>
      <c r="V384" s="3517"/>
      <c r="W384" s="3517"/>
      <c r="X384" s="3517"/>
      <c r="Y384" s="2424"/>
      <c r="Z384"/>
      <c r="AA384"/>
      <c r="AB384"/>
    </row>
    <row r="386" spans="1:28" s="8" customFormat="1" ht="15.45" x14ac:dyDescent="0.4">
      <c r="A386"/>
      <c r="B386" s="1995"/>
      <c r="C386" s="1996"/>
      <c r="D386" s="1997" t="s">
        <v>1904</v>
      </c>
      <c r="E386" s="1998"/>
      <c r="F386" s="1998"/>
      <c r="G386" s="1998"/>
      <c r="H386" s="1998"/>
      <c r="I386" s="1998"/>
      <c r="J386" s="1998"/>
      <c r="K386" s="1998"/>
      <c r="L386" s="1998"/>
      <c r="M386" s="1998"/>
      <c r="N386" s="1998"/>
      <c r="O386" s="1998"/>
      <c r="P386" s="1998"/>
      <c r="Q386" s="1998"/>
      <c r="R386" s="3404"/>
      <c r="S386" s="3512"/>
      <c r="T386" s="3512"/>
      <c r="U386" s="3512"/>
      <c r="V386" s="3512"/>
      <c r="W386" s="3512"/>
      <c r="X386" s="3512"/>
      <c r="Y386" s="2424"/>
      <c r="Z386"/>
      <c r="AA386"/>
      <c r="AB386"/>
    </row>
    <row r="387" spans="1:28" s="8" customFormat="1" hidden="1" outlineLevel="1" x14ac:dyDescent="0.4">
      <c r="A387"/>
      <c r="B387" s="1999"/>
      <c r="C387" s="1826"/>
      <c r="D387" s="748" t="s">
        <v>1053</v>
      </c>
      <c r="E387" s="749"/>
      <c r="F387" s="704"/>
      <c r="G387" s="704"/>
      <c r="H387" s="704"/>
      <c r="I387" s="750"/>
      <c r="J387" s="704"/>
      <c r="K387" s="704"/>
      <c r="L387" s="704"/>
      <c r="M387" s="704"/>
      <c r="N387" s="704"/>
      <c r="O387" s="704"/>
      <c r="P387" s="704"/>
      <c r="Q387" s="704"/>
      <c r="R387" s="3364"/>
      <c r="S387" s="3433"/>
      <c r="T387" s="3433"/>
      <c r="U387" s="3433"/>
      <c r="V387" s="3433"/>
      <c r="W387" s="3433"/>
      <c r="X387" s="3433"/>
      <c r="Y387" s="2424"/>
      <c r="Z387"/>
      <c r="AA387"/>
      <c r="AB387"/>
    </row>
    <row r="388" spans="1:28" s="8" customFormat="1" ht="15" hidden="1" outlineLevel="1" thickBot="1" x14ac:dyDescent="0.45">
      <c r="A388"/>
      <c r="B388" s="1999"/>
      <c r="C388" s="1826"/>
      <c r="D388" s="704" t="s">
        <v>1034</v>
      </c>
      <c r="E388" s="749"/>
      <c r="F388" s="704"/>
      <c r="G388" s="704"/>
      <c r="H388" s="704"/>
      <c r="I388" s="750"/>
      <c r="J388" s="704"/>
      <c r="K388" s="704"/>
      <c r="L388" s="704"/>
      <c r="M388" s="704"/>
      <c r="N388" s="704"/>
      <c r="O388" s="704"/>
      <c r="P388" s="704"/>
      <c r="Q388" s="704"/>
      <c r="R388" s="3364"/>
      <c r="S388" s="3433"/>
      <c r="T388" s="3434"/>
      <c r="U388" s="3433"/>
      <c r="V388" s="3433"/>
      <c r="W388" s="3433"/>
      <c r="X388" s="3433"/>
      <c r="Y388" s="2424"/>
      <c r="Z388"/>
      <c r="AA388"/>
      <c r="AB388"/>
    </row>
    <row r="389" spans="1:28" s="8" customFormat="1" hidden="1" outlineLevel="1" x14ac:dyDescent="0.4">
      <c r="A389"/>
      <c r="B389" s="1999"/>
      <c r="C389" s="1826"/>
      <c r="D389" t="s">
        <v>1861</v>
      </c>
      <c r="E389" s="749"/>
      <c r="F389" s="704"/>
      <c r="G389" s="704"/>
      <c r="H389" s="704"/>
      <c r="I389" s="750"/>
      <c r="J389" s="704"/>
      <c r="K389" s="704"/>
      <c r="L389" s="704"/>
      <c r="M389" s="704"/>
      <c r="N389" s="704"/>
      <c r="O389" s="704"/>
      <c r="P389" s="704"/>
      <c r="Q389" s="704"/>
      <c r="R389" s="3365"/>
      <c r="S389" s="3435" t="s">
        <v>23</v>
      </c>
      <c r="T389" s="3842" t="s">
        <v>2604</v>
      </c>
      <c r="U389" s="3843"/>
      <c r="V389" s="3843"/>
      <c r="W389" s="3843"/>
      <c r="X389" s="3844"/>
      <c r="Y389" s="2424"/>
      <c r="Z389"/>
      <c r="AA389"/>
      <c r="AB389"/>
    </row>
    <row r="390" spans="1:28" s="8" customFormat="1" hidden="1" outlineLevel="1" x14ac:dyDescent="0.4">
      <c r="A390"/>
      <c r="B390" s="1999"/>
      <c r="C390" s="1826"/>
      <c r="D390" s="704" t="s">
        <v>1035</v>
      </c>
      <c r="E390" s="749"/>
      <c r="F390" s="704"/>
      <c r="G390" s="704"/>
      <c r="H390" s="704"/>
      <c r="I390" s="750"/>
      <c r="J390" s="704"/>
      <c r="K390" s="704"/>
      <c r="L390" s="704"/>
      <c r="M390" s="704"/>
      <c r="N390" s="704"/>
      <c r="O390" s="704"/>
      <c r="P390" s="704"/>
      <c r="Q390" s="704"/>
      <c r="R390" s="3354" t="s">
        <v>1055</v>
      </c>
      <c r="S390" s="1122">
        <v>1</v>
      </c>
      <c r="T390" s="1513">
        <v>1</v>
      </c>
      <c r="U390" s="916">
        <v>2</v>
      </c>
      <c r="V390" s="916">
        <v>3</v>
      </c>
      <c r="W390" s="916">
        <v>4</v>
      </c>
      <c r="X390" s="1045">
        <v>6</v>
      </c>
      <c r="Y390" s="2424"/>
      <c r="Z390"/>
      <c r="AA390"/>
      <c r="AB390"/>
    </row>
    <row r="391" spans="1:28" s="8" customFormat="1" hidden="1" outlineLevel="1" x14ac:dyDescent="0.4">
      <c r="A391"/>
      <c r="B391" s="1999"/>
      <c r="C391" s="1826"/>
      <c r="D391" s="704" t="s">
        <v>1036</v>
      </c>
      <c r="E391" s="749"/>
      <c r="F391" s="704"/>
      <c r="G391" s="704"/>
      <c r="H391" s="704"/>
      <c r="I391" s="750"/>
      <c r="J391" s="704"/>
      <c r="K391" s="704"/>
      <c r="L391" s="704"/>
      <c r="M391" s="704"/>
      <c r="N391" s="704"/>
      <c r="O391" s="704"/>
      <c r="P391" s="704"/>
      <c r="Q391" s="704"/>
      <c r="R391" s="3333" t="s">
        <v>2665</v>
      </c>
      <c r="S391" s="3439">
        <f>connect_lower_blanket_pipework</f>
        <v>26.773271037841543</v>
      </c>
      <c r="T391" s="3429">
        <f>(ROUNDUP(Tokamak_Segmts/T390,0)*connect_lower_blanket_pipework)</f>
        <v>428.37233660546468</v>
      </c>
      <c r="U391" s="3441">
        <f>(ROUNDUP(Tokamak_Segmts/U390,0)*connect_lower_blanket_pipework)</f>
        <v>214.18616830273234</v>
      </c>
      <c r="V391" s="3441">
        <f>(ROUNDUP(Tokamak_Segmts/V390,0)*connect_lower_blanket_pipework)</f>
        <v>160.63962622704926</v>
      </c>
      <c r="W391" s="3441">
        <f>(ROUNDUP(Tokamak_Segmts/W390,0)*connect_lower_blanket_pipework)</f>
        <v>107.09308415136617</v>
      </c>
      <c r="X391" s="3442">
        <f>(ROUNDUP(Tokamak_Segmts/X390,0)*connect_lower_blanket_pipework)</f>
        <v>80.319813113524631</v>
      </c>
      <c r="Y391" s="2424"/>
      <c r="Z391"/>
      <c r="AA391"/>
      <c r="AB391"/>
    </row>
    <row r="392" spans="1:28" s="8" customFormat="1" ht="15" hidden="1" outlineLevel="1" thickBot="1" x14ac:dyDescent="0.45">
      <c r="A392"/>
      <c r="B392" s="1999"/>
      <c r="C392" s="1826"/>
      <c r="D392" s="704" t="s">
        <v>1037</v>
      </c>
      <c r="E392" s="749"/>
      <c r="F392" s="704"/>
      <c r="G392" s="704"/>
      <c r="H392" s="704"/>
      <c r="I392" s="750"/>
      <c r="J392" s="704"/>
      <c r="K392" s="704"/>
      <c r="L392" s="704"/>
      <c r="M392" s="704"/>
      <c r="N392" s="704"/>
      <c r="O392" s="704"/>
      <c r="P392" s="704"/>
      <c r="Q392" s="704"/>
      <c r="R392" s="3141" t="s">
        <v>2693</v>
      </c>
      <c r="S392" s="3443">
        <f>S$391*$E$396</f>
        <v>0.29450598141625695</v>
      </c>
      <c r="T392" s="3493">
        <f t="shared" ref="T392:X392" si="57">T$391*$E$396</f>
        <v>4.7120957026601111</v>
      </c>
      <c r="U392" s="3445">
        <f t="shared" si="57"/>
        <v>2.3560478513300556</v>
      </c>
      <c r="V392" s="3445">
        <f t="shared" si="57"/>
        <v>1.7670358884975419</v>
      </c>
      <c r="W392" s="3445">
        <f t="shared" si="57"/>
        <v>1.1780239256650278</v>
      </c>
      <c r="X392" s="3446">
        <f t="shared" si="57"/>
        <v>0.88351794424877095</v>
      </c>
      <c r="Y392" s="2424"/>
      <c r="Z392"/>
      <c r="AA392"/>
      <c r="AB392"/>
    </row>
    <row r="393" spans="1:28" s="8" customFormat="1" hidden="1" outlineLevel="1" x14ac:dyDescent="0.4">
      <c r="A393"/>
      <c r="B393" s="1999"/>
      <c r="C393" s="1826"/>
      <c r="D393" s="704" t="s">
        <v>1038</v>
      </c>
      <c r="E393" s="749"/>
      <c r="F393" s="704"/>
      <c r="G393" s="704"/>
      <c r="H393" s="704"/>
      <c r="I393" s="750"/>
      <c r="J393" s="704"/>
      <c r="K393" s="704"/>
      <c r="L393" s="704"/>
      <c r="M393" s="704"/>
      <c r="N393" s="704"/>
      <c r="O393" s="704"/>
      <c r="P393" s="704"/>
      <c r="Q393" s="704"/>
      <c r="R393" s="3366" t="s">
        <v>1048</v>
      </c>
      <c r="S393" s="3447">
        <f t="shared" ref="S393:X393" si="58">S392*(SUMIF($E$404:$E$411,"Operation",$F$404:$F$411))</f>
        <v>8.9016293235309174</v>
      </c>
      <c r="T393" s="3494">
        <f t="shared" si="58"/>
        <v>142.42606917649468</v>
      </c>
      <c r="U393" s="3449">
        <f t="shared" si="58"/>
        <v>71.213034588247339</v>
      </c>
      <c r="V393" s="3449">
        <f t="shared" si="58"/>
        <v>53.409775941185508</v>
      </c>
      <c r="W393" s="3449">
        <f t="shared" si="58"/>
        <v>35.60651729412367</v>
      </c>
      <c r="X393" s="3450">
        <f t="shared" si="58"/>
        <v>26.704887970592754</v>
      </c>
      <c r="Y393" s="2424"/>
      <c r="Z393"/>
      <c r="AA393"/>
      <c r="AB393"/>
    </row>
    <row r="394" spans="1:28" s="8" customFormat="1" hidden="1" outlineLevel="1" x14ac:dyDescent="0.4">
      <c r="A394"/>
      <c r="B394" s="1999"/>
      <c r="C394" s="1826"/>
      <c r="D394" s="704"/>
      <c r="E394" s="749"/>
      <c r="F394" s="704"/>
      <c r="G394" s="704"/>
      <c r="H394" s="704"/>
      <c r="I394" s="750"/>
      <c r="J394" s="704"/>
      <c r="K394" s="704"/>
      <c r="L394" s="704"/>
      <c r="M394" s="704"/>
      <c r="N394" s="704"/>
      <c r="O394" s="704"/>
      <c r="P394" s="704"/>
      <c r="Q394" s="704"/>
      <c r="R394" s="3354" t="s">
        <v>2658</v>
      </c>
      <c r="S394" s="3451">
        <f t="shared" ref="S394:X394" si="59">S392*(SUMIF($E$404:$E$411,"Movement",$F$404:$F$411)+(SUMIF($E$404:$E$411,"Logistics",$F$404:$F$411)))</f>
        <v>1.572661940762812</v>
      </c>
      <c r="T394" s="3495">
        <f t="shared" si="59"/>
        <v>25.162591052204991</v>
      </c>
      <c r="U394" s="3453">
        <f t="shared" si="59"/>
        <v>12.581295526102496</v>
      </c>
      <c r="V394" s="3453">
        <f t="shared" si="59"/>
        <v>9.435971644576874</v>
      </c>
      <c r="W394" s="3453">
        <f t="shared" si="59"/>
        <v>6.2906477630512478</v>
      </c>
      <c r="X394" s="3454">
        <f t="shared" si="59"/>
        <v>4.717985822288437</v>
      </c>
      <c r="Y394" s="2424"/>
      <c r="Z394"/>
      <c r="AA394"/>
      <c r="AB394"/>
    </row>
    <row r="395" spans="1:28" s="8" customFormat="1" ht="15" hidden="1" outlineLevel="1" thickBot="1" x14ac:dyDescent="0.45">
      <c r="A395"/>
      <c r="B395" s="1999"/>
      <c r="C395" s="1826"/>
      <c r="D395" s="704"/>
      <c r="E395" s="749"/>
      <c r="F395" s="704"/>
      <c r="G395" s="704"/>
      <c r="H395" s="704"/>
      <c r="I395" s="750"/>
      <c r="J395" s="704"/>
      <c r="K395" s="704"/>
      <c r="L395" s="704"/>
      <c r="M395" s="704"/>
      <c r="N395" s="704"/>
      <c r="O395" s="704"/>
      <c r="P395" s="704"/>
      <c r="Q395" s="704"/>
      <c r="R395" s="3367" t="s">
        <v>2657</v>
      </c>
      <c r="S395" s="3455">
        <f t="shared" ref="S395:X395" si="60">S392*(-SUMIF($T$404:$T$411,"&lt;0"))</f>
        <v>41.420935267106699</v>
      </c>
      <c r="T395" s="3496">
        <f t="shared" si="60"/>
        <v>662.73496427370719</v>
      </c>
      <c r="U395" s="3457">
        <f t="shared" si="60"/>
        <v>331.3674821368536</v>
      </c>
      <c r="V395" s="3457">
        <f t="shared" si="60"/>
        <v>248.52561160264023</v>
      </c>
      <c r="W395" s="3457">
        <f t="shared" si="60"/>
        <v>165.6837410684268</v>
      </c>
      <c r="X395" s="3458">
        <f t="shared" si="60"/>
        <v>124.26280580132011</v>
      </c>
      <c r="Y395" s="2424"/>
      <c r="Z395"/>
      <c r="AA395"/>
      <c r="AB395"/>
    </row>
    <row r="396" spans="1:28" s="8" customFormat="1" ht="15" hidden="1" outlineLevel="1" thickBot="1" x14ac:dyDescent="0.45">
      <c r="A396"/>
      <c r="B396" s="1999"/>
      <c r="C396" s="1826"/>
      <c r="D396" s="748" t="s">
        <v>1056</v>
      </c>
      <c r="E396" s="709">
        <f>SUM(E397:E398)</f>
        <v>1.0999999999999999E-2</v>
      </c>
      <c r="F396" s="709"/>
      <c r="G396" s="709"/>
      <c r="H396" s="709"/>
      <c r="I396" s="919"/>
      <c r="J396" s="918"/>
      <c r="K396" s="918"/>
      <c r="L396" s="918"/>
      <c r="M396" s="918"/>
      <c r="N396" s="918"/>
      <c r="O396" s="918"/>
      <c r="P396" s="704"/>
      <c r="Q396" s="704"/>
      <c r="R396" s="3368" t="s">
        <v>2667</v>
      </c>
      <c r="S396" s="3459">
        <f t="shared" ref="S396:X396" si="61">S392*$G$412</f>
        <v>51.895226531400439</v>
      </c>
      <c r="T396" s="3426">
        <f t="shared" si="61"/>
        <v>830.32362450240703</v>
      </c>
      <c r="U396" s="3426">
        <f t="shared" si="61"/>
        <v>415.16181225120351</v>
      </c>
      <c r="V396" s="3426">
        <f t="shared" si="61"/>
        <v>311.37135918840266</v>
      </c>
      <c r="W396" s="3426">
        <f t="shared" si="61"/>
        <v>207.58090612560176</v>
      </c>
      <c r="X396" s="3461">
        <f t="shared" si="61"/>
        <v>155.68567959420133</v>
      </c>
      <c r="Y396" s="2424"/>
      <c r="Z396"/>
      <c r="AA396"/>
      <c r="AB396"/>
    </row>
    <row r="397" spans="1:28" s="8" customFormat="1" hidden="1" outlineLevel="1" x14ac:dyDescent="0.4">
      <c r="A397"/>
      <c r="B397" s="2000"/>
      <c r="C397" s="906"/>
      <c r="D397" s="7" t="s">
        <v>1057</v>
      </c>
      <c r="E397" s="763">
        <f>Weld_Failure_Rate</f>
        <v>1E-3</v>
      </c>
      <c r="F397" s="922"/>
      <c r="G397" s="922"/>
      <c r="H397" s="924"/>
      <c r="I397" s="290"/>
      <c r="J397" s="922"/>
      <c r="K397" s="922"/>
      <c r="L397" s="925"/>
      <c r="M397" s="922"/>
      <c r="N397" s="922"/>
      <c r="O397" s="922"/>
      <c r="P397" s="706"/>
      <c r="Q397" s="7"/>
      <c r="Y397" s="2424"/>
      <c r="Z397"/>
      <c r="AA397"/>
      <c r="AB397"/>
    </row>
    <row r="398" spans="1:28" s="8" customFormat="1" hidden="1" outlineLevel="1" x14ac:dyDescent="0.4">
      <c r="A398"/>
      <c r="B398" s="2000"/>
      <c r="C398" s="906"/>
      <c r="D398" s="7" t="s">
        <v>1058</v>
      </c>
      <c r="E398" s="763">
        <f>SJS_welder_failure</f>
        <v>0.01</v>
      </c>
      <c r="F398" s="922"/>
      <c r="G398" s="922"/>
      <c r="H398" s="924"/>
      <c r="I398" s="290"/>
      <c r="J398" s="922"/>
      <c r="K398" s="922"/>
      <c r="L398" s="925"/>
      <c r="M398" s="922"/>
      <c r="N398" s="922"/>
      <c r="O398" s="922"/>
      <c r="P398" s="706"/>
      <c r="Q398" s="7"/>
      <c r="Y398" s="2424"/>
      <c r="Z398"/>
      <c r="AA398"/>
      <c r="AB398"/>
    </row>
    <row r="399" spans="1:28" s="8" customFormat="1" hidden="1" outlineLevel="1" x14ac:dyDescent="0.4">
      <c r="A399"/>
      <c r="B399" s="2000"/>
      <c r="C399" s="906"/>
      <c r="D399" s="926" t="s">
        <v>1059</v>
      </c>
      <c r="E399" s="709">
        <f>E396*(1-(1-E396)^(Divertor_port_pipes_per_blanket))</f>
        <v>3.5902164100000021E-4</v>
      </c>
      <c r="F399" s="927"/>
      <c r="G399" s="927"/>
      <c r="H399" s="927"/>
      <c r="I399" s="919"/>
      <c r="J399" s="927"/>
      <c r="K399" s="927"/>
      <c r="L399" s="927"/>
      <c r="M399" s="927"/>
      <c r="N399" s="927"/>
      <c r="O399" s="927"/>
      <c r="P399" s="706"/>
      <c r="Q399" s="7"/>
      <c r="Y399" s="2424"/>
      <c r="Z399"/>
      <c r="AA399"/>
      <c r="AB399"/>
    </row>
    <row r="400" spans="1:28" s="8" customFormat="1" hidden="1" outlineLevel="1" x14ac:dyDescent="0.4">
      <c r="A400"/>
      <c r="B400" s="2000"/>
      <c r="C400" s="906"/>
      <c r="D400" s="926"/>
      <c r="E400" s="928"/>
      <c r="F400" s="927"/>
      <c r="G400" s="927"/>
      <c r="H400" s="927"/>
      <c r="I400" s="919"/>
      <c r="J400" s="927"/>
      <c r="K400" s="927"/>
      <c r="L400" s="927"/>
      <c r="M400" s="927"/>
      <c r="N400" s="927"/>
      <c r="O400" s="927"/>
      <c r="P400" s="706"/>
      <c r="Q400" s="7"/>
      <c r="R400" s="3369"/>
      <c r="S400" s="3429"/>
      <c r="T400" s="3429"/>
      <c r="U400" s="3429"/>
      <c r="V400" s="3429"/>
      <c r="W400" s="3429"/>
      <c r="X400" s="3429"/>
      <c r="Y400" s="2424"/>
      <c r="Z400"/>
      <c r="AA400"/>
      <c r="AB400"/>
    </row>
    <row r="401" spans="1:28" s="8" customFormat="1" ht="15" hidden="1" outlineLevel="2" thickBot="1" x14ac:dyDescent="0.45">
      <c r="A401"/>
      <c r="B401" s="2000"/>
      <c r="C401" s="906"/>
      <c r="D401" s="926"/>
      <c r="E401" s="928"/>
      <c r="F401" s="927"/>
      <c r="G401" s="927"/>
      <c r="H401" s="927"/>
      <c r="I401" s="919"/>
      <c r="J401" s="927"/>
      <c r="K401" s="927"/>
      <c r="L401" s="927"/>
      <c r="M401" s="927"/>
      <c r="N401" s="927"/>
      <c r="O401" s="927"/>
      <c r="P401" s="706"/>
      <c r="Q401" s="7"/>
      <c r="R401" s="3369"/>
      <c r="S401" s="3429"/>
      <c r="T401" s="3429"/>
      <c r="U401" s="3429"/>
      <c r="V401" s="3429"/>
      <c r="W401" s="3429"/>
      <c r="X401" s="3429"/>
      <c r="Y401" s="2424"/>
      <c r="Z401"/>
      <c r="AA401"/>
      <c r="AB401"/>
    </row>
    <row r="402" spans="1:28" s="8" customFormat="1" ht="15" hidden="1" outlineLevel="2" thickBot="1" x14ac:dyDescent="0.45">
      <c r="A402"/>
      <c r="B402" s="2000"/>
      <c r="C402" s="906"/>
      <c r="D402" s="926"/>
      <c r="E402" s="701"/>
      <c r="F402" s="7"/>
      <c r="G402" s="929"/>
      <c r="H402" s="930" t="s">
        <v>18</v>
      </c>
      <c r="I402" s="931"/>
      <c r="J402" s="932" t="s">
        <v>778</v>
      </c>
      <c r="K402" s="933"/>
      <c r="L402" s="933"/>
      <c r="M402" s="933"/>
      <c r="N402" s="933"/>
      <c r="O402" s="934"/>
      <c r="P402" s="933" t="s">
        <v>3</v>
      </c>
      <c r="Q402" s="934"/>
      <c r="R402" s="3386" t="s">
        <v>779</v>
      </c>
      <c r="S402" s="3462"/>
      <c r="T402" s="3462"/>
      <c r="U402" s="2424"/>
      <c r="V402" s="2424"/>
      <c r="W402" s="2424"/>
      <c r="X402" s="3434"/>
      <c r="Y402" s="3434"/>
    </row>
    <row r="403" spans="1:28" s="8" customFormat="1" ht="29.6" hidden="1" outlineLevel="2" thickBot="1" x14ac:dyDescent="0.45">
      <c r="A403"/>
      <c r="B403" s="2000"/>
      <c r="C403" s="939" t="s">
        <v>780</v>
      </c>
      <c r="D403" s="940" t="s">
        <v>1060</v>
      </c>
      <c r="E403" s="941" t="s">
        <v>782</v>
      </c>
      <c r="F403" s="942" t="s">
        <v>783</v>
      </c>
      <c r="G403" s="943" t="s">
        <v>784</v>
      </c>
      <c r="H403" s="562" t="s">
        <v>785</v>
      </c>
      <c r="I403" s="944" t="s">
        <v>783</v>
      </c>
      <c r="J403" s="562" t="s">
        <v>786</v>
      </c>
      <c r="K403" s="563" t="s">
        <v>787</v>
      </c>
      <c r="L403" s="563" t="s">
        <v>788</v>
      </c>
      <c r="M403" s="563" t="s">
        <v>789</v>
      </c>
      <c r="N403" s="563" t="s">
        <v>790</v>
      </c>
      <c r="O403" s="945" t="s">
        <v>783</v>
      </c>
      <c r="P403" s="560" t="s">
        <v>785</v>
      </c>
      <c r="Q403" s="946" t="s">
        <v>783</v>
      </c>
      <c r="R403" s="3387" t="s">
        <v>781</v>
      </c>
      <c r="S403" s="3464" t="s">
        <v>791</v>
      </c>
      <c r="T403" s="3465" t="s">
        <v>792</v>
      </c>
      <c r="U403" s="2424"/>
      <c r="V403" s="2424"/>
      <c r="W403" s="2424"/>
      <c r="X403" s="3434"/>
      <c r="Y403" s="3434"/>
    </row>
    <row r="404" spans="1:28" s="8" customFormat="1" hidden="1" outlineLevel="2" x14ac:dyDescent="0.4">
      <c r="A404"/>
      <c r="B404" s="2000"/>
      <c r="C404" s="3850" t="s">
        <v>1062</v>
      </c>
      <c r="D404" s="797" t="s">
        <v>1905</v>
      </c>
      <c r="E404" s="799" t="s">
        <v>251</v>
      </c>
      <c r="F404" s="456">
        <f t="shared" ref="F404:F411" si="62">MAX($Q404,$O404,$I404)</f>
        <v>0</v>
      </c>
      <c r="G404" s="1855">
        <v>0</v>
      </c>
      <c r="H404" s="568" t="s">
        <v>557</v>
      </c>
      <c r="I404" s="621">
        <v>0</v>
      </c>
      <c r="J404" s="803"/>
      <c r="K404" s="566"/>
      <c r="L404" s="801"/>
      <c r="M404" s="802" t="str">
        <f>IFERROR(INDEX('Lower Cask Movement &amp; Logistics'!$I$29:$O$35,MATCH($K404,'Lower Cask Movement &amp; Logistics'!$H$29:$H$35,0),MATCH($L404,'Lower Cask Movement &amp; Logistics'!$H$29:$H$35,0)),"N/A")</f>
        <v>N/A</v>
      </c>
      <c r="N404" s="571" t="str">
        <f>IFERROR(VLOOKUP($J404,'Lower Cask Movement &amp; Logistics'!$H$4:$I$8,2,FALSE),"N/A")</f>
        <v>N/A</v>
      </c>
      <c r="O404" s="379" t="str">
        <f t="shared" ref="O404:O411" si="63">IF(E404="Movement",IFERROR((M404/N404)/(60*60),"Error"),"N/A")</f>
        <v>N/A</v>
      </c>
      <c r="P404" s="1856"/>
      <c r="Q404" s="1857" t="str">
        <f>IF($E404="Logistics",VLOOKUP($P404,'Lower Cask Movement &amp; Logistics'!$C$4:$D$53,2,FALSE),"N/A")</f>
        <v>N/A</v>
      </c>
      <c r="R404" s="3372"/>
      <c r="S404" s="3466" t="str">
        <f>IFERROR(VLOOKUP($R404,'LowerCask Recovery Dependencies'!$C$273:$F$285,4,FALSE),"N/A")</f>
        <v>N/A</v>
      </c>
      <c r="T404" s="3467" t="str">
        <f>IFERROR(G403-F404-S404,"N/A")</f>
        <v>N/A</v>
      </c>
      <c r="U404" s="2424"/>
      <c r="V404" s="2424"/>
      <c r="W404" s="2424"/>
      <c r="X404" s="3434"/>
      <c r="Y404" s="3434"/>
    </row>
    <row r="405" spans="1:28" s="8" customFormat="1" hidden="1" outlineLevel="2" x14ac:dyDescent="0.4">
      <c r="A405"/>
      <c r="B405" s="2000"/>
      <c r="C405" s="3854"/>
      <c r="D405" s="2001" t="s">
        <v>1116</v>
      </c>
      <c r="E405" s="2002" t="s">
        <v>251</v>
      </c>
      <c r="F405" s="335">
        <f>MAX($Q405,$O405,$I405)</f>
        <v>12.602967059728389</v>
      </c>
      <c r="G405" s="894">
        <f t="shared" ref="G405:G411" si="64">IF(T405&lt;0,F405+G404+(-T405),F405+G404)</f>
        <v>12.602967059728389</v>
      </c>
      <c r="H405" s="627" t="s">
        <v>1863</v>
      </c>
      <c r="I405" s="1476">
        <v>12.602967059728389</v>
      </c>
      <c r="J405" s="1579"/>
      <c r="K405" s="582"/>
      <c r="L405" s="1962"/>
      <c r="M405" s="1479" t="s">
        <v>263</v>
      </c>
      <c r="N405" s="1878" t="s">
        <v>263</v>
      </c>
      <c r="O405" s="2030" t="str">
        <f t="shared" si="63"/>
        <v>N/A</v>
      </c>
      <c r="P405" s="94"/>
      <c r="Q405" s="1965" t="str">
        <f>IF($E405="Logistics",VLOOKUP($P405,'Lower Cask Movement &amp; Logistics'!$C$4:$D$53,2,FALSE),"N/A")</f>
        <v>N/A</v>
      </c>
      <c r="R405" s="3393"/>
      <c r="S405" s="3513" t="str">
        <f>IFERROR(VLOOKUP($R405,'LowerCask Recovery Dependencies'!$C$273:$F$285,4,FALSE),"N/A")</f>
        <v>N/A</v>
      </c>
      <c r="T405" s="3477" t="str">
        <f t="shared" ref="T405:T411" si="65">IFERROR(G404-F405-S405,"N/A")</f>
        <v>N/A</v>
      </c>
      <c r="U405" s="2424"/>
      <c r="V405" s="2424"/>
      <c r="W405" s="2424"/>
      <c r="X405" s="3434"/>
      <c r="Y405" s="3434"/>
    </row>
    <row r="406" spans="1:28" s="88" customFormat="1" ht="15" hidden="1" outlineLevel="2" thickBot="1" x14ac:dyDescent="0.45">
      <c r="B406" s="2000"/>
      <c r="C406" s="3851"/>
      <c r="D406" s="584" t="s">
        <v>1633</v>
      </c>
      <c r="E406" s="1581" t="s">
        <v>3</v>
      </c>
      <c r="F406" s="585">
        <f t="shared" si="62"/>
        <v>0.38</v>
      </c>
      <c r="G406" s="589">
        <f t="shared" si="64"/>
        <v>12.98296705972839</v>
      </c>
      <c r="H406" s="586"/>
      <c r="I406" s="591" t="s">
        <v>263</v>
      </c>
      <c r="J406" s="1136"/>
      <c r="K406" s="584"/>
      <c r="L406" s="584"/>
      <c r="M406" s="814" t="str">
        <f>IFERROR(INDEX('Lower Cask Movement &amp; Logistics'!$I$13:$O$19,MATCH($K406,'Lower Cask Movement &amp; Logistics'!$H$13:$H$19,0),MATCH($L406,'Lower Cask Movement &amp; Logistics'!$H$13:$H$19,0)),"N/A")</f>
        <v>N/A</v>
      </c>
      <c r="N406" s="1464" t="str">
        <f>IFERROR(VLOOKUP($J406,'Lower Cask Movement &amp; Logistics'!$H$4:$I$9,2,FALSE),"N/A")</f>
        <v>N/A</v>
      </c>
      <c r="O406" s="1881" t="str">
        <f t="shared" si="63"/>
        <v>N/A</v>
      </c>
      <c r="P406" s="1882" t="s">
        <v>1546</v>
      </c>
      <c r="Q406" s="1881">
        <f>IF($E406="Logistics",VLOOKUP($P406,'Lower Cask Movement &amp; Logistics'!$C$4:$D$54,2,FALSE),"N/A")</f>
        <v>0.38</v>
      </c>
      <c r="R406" s="3378"/>
      <c r="S406" s="3478" t="str">
        <f>IFERROR(VLOOKUP($R406,'LowerCask Recovery Dependencies'!$C$273:$F$285,4,FALSE),"N/A")</f>
        <v>N/A</v>
      </c>
      <c r="T406" s="3469" t="str">
        <f t="shared" si="65"/>
        <v>N/A</v>
      </c>
      <c r="U406" s="1719"/>
      <c r="V406" s="1719"/>
      <c r="W406" s="1719"/>
      <c r="X406" s="1719"/>
      <c r="Y406" s="1719"/>
    </row>
    <row r="407" spans="1:28" s="88" customFormat="1" hidden="1" outlineLevel="2" x14ac:dyDescent="0.4">
      <c r="B407" s="2000"/>
      <c r="C407" s="3852" t="s">
        <v>1649</v>
      </c>
      <c r="D407" s="1906" t="s">
        <v>1619</v>
      </c>
      <c r="E407" s="1907" t="s">
        <v>3</v>
      </c>
      <c r="F407" s="1739">
        <f t="shared" si="62"/>
        <v>1.9</v>
      </c>
      <c r="G407" s="1908">
        <f t="shared" si="64"/>
        <v>14.88296705972839</v>
      </c>
      <c r="H407" s="1909"/>
      <c r="I407" s="1910" t="s">
        <v>263</v>
      </c>
      <c r="J407" s="1906"/>
      <c r="K407" s="1911"/>
      <c r="L407" s="1911"/>
      <c r="M407" s="1912" t="str">
        <f>IFERROR(INDEX('Lower Cask Movement &amp; Logistics'!$I$13:$O$19,MATCH($K407,'Lower Cask Movement &amp; Logistics'!$H$13:$H$19,0),MATCH($L407,'Lower Cask Movement &amp; Logistics'!$H$13:$H$19,0)),"N/A")</f>
        <v>N/A</v>
      </c>
      <c r="N407" s="1913" t="str">
        <f>IFERROR(VLOOKUP($J407,'Lower Cask Movement &amp; Logistics'!$H$4:$I$9,2,FALSE),"N/A")</f>
        <v>N/A</v>
      </c>
      <c r="O407" s="1914" t="str">
        <f t="shared" si="63"/>
        <v>N/A</v>
      </c>
      <c r="P407" s="1915" t="s">
        <v>1541</v>
      </c>
      <c r="Q407" s="1914">
        <f>IF($E407="Logistics",VLOOKUP($P407,'Lower Cask Movement &amp; Logistics'!$C$4:$D$54,2,FALSE),"N/A")</f>
        <v>1.9</v>
      </c>
      <c r="R407" s="3381" t="s">
        <v>1899</v>
      </c>
      <c r="S407" s="3486">
        <f>IFERROR(VLOOKUP($R407,'LowerCask Recovery Dependencies'!$C$273:$F$285,4,FALSE),"N/A")</f>
        <v>2.4137037037037041</v>
      </c>
      <c r="T407" s="3487">
        <f t="shared" si="65"/>
        <v>8.6692633560246861</v>
      </c>
      <c r="U407" s="1719"/>
      <c r="V407" s="1719"/>
      <c r="W407" s="1719"/>
      <c r="X407" s="1719"/>
      <c r="Y407" s="1719"/>
    </row>
    <row r="408" spans="1:28" s="88" customFormat="1" hidden="1" outlineLevel="2" x14ac:dyDescent="0.4">
      <c r="B408" s="2000"/>
      <c r="C408" s="3856"/>
      <c r="D408" s="1895" t="s">
        <v>1247</v>
      </c>
      <c r="E408" s="1896" t="s">
        <v>3</v>
      </c>
      <c r="F408" s="1347">
        <f t="shared" si="62"/>
        <v>0.38</v>
      </c>
      <c r="G408" s="1351">
        <f t="shared" si="64"/>
        <v>15.262967059728391</v>
      </c>
      <c r="H408" s="1348"/>
      <c r="I408" s="1353" t="s">
        <v>263</v>
      </c>
      <c r="J408" s="1895"/>
      <c r="K408" s="1897"/>
      <c r="L408" s="1897"/>
      <c r="M408" s="1898" t="str">
        <f>IFERROR(INDEX('Lower Cask Movement &amp; Logistics'!$I$13:$O$19,MATCH($K408,'Lower Cask Movement &amp; Logistics'!$H$13:$H$19,0),MATCH($L408,'Lower Cask Movement &amp; Logistics'!$H$13:$H$19,0)),"N/A")</f>
        <v>N/A</v>
      </c>
      <c r="N408" s="1899" t="str">
        <f>IFERROR(VLOOKUP($J408,'Lower Cask Movement &amp; Logistics'!$H$4:$I$9,2,FALSE),"N/A")</f>
        <v>N/A</v>
      </c>
      <c r="O408" s="1900" t="str">
        <f t="shared" si="63"/>
        <v>N/A</v>
      </c>
      <c r="P408" s="1901" t="s">
        <v>1544</v>
      </c>
      <c r="Q408" s="1900">
        <f>IF($E408="Logistics",VLOOKUP($P408,'Lower Cask Movement &amp; Logistics'!$C$4:$D$54,2,FALSE),"N/A")</f>
        <v>0.38</v>
      </c>
      <c r="R408" s="3380"/>
      <c r="S408" s="3481" t="str">
        <f>IFERROR(VLOOKUP($R408,'LowerCask Recovery Dependencies'!$C$273:$F$285,4,FALSE),"N/A")</f>
        <v>N/A</v>
      </c>
      <c r="T408" s="3482" t="str">
        <f t="shared" si="65"/>
        <v>N/A</v>
      </c>
      <c r="U408" s="1719"/>
      <c r="V408" s="1719"/>
      <c r="W408" s="1719"/>
      <c r="X408" s="1719"/>
      <c r="Y408" s="1719"/>
    </row>
    <row r="409" spans="1:28" s="88" customFormat="1" hidden="1" outlineLevel="2" x14ac:dyDescent="0.4">
      <c r="B409" s="2000"/>
      <c r="C409" s="3856"/>
      <c r="D409" s="1895" t="s">
        <v>117</v>
      </c>
      <c r="E409" s="1896" t="s">
        <v>251</v>
      </c>
      <c r="F409" s="1347">
        <f t="shared" si="62"/>
        <v>17.622664625997164</v>
      </c>
      <c r="G409" s="1351">
        <f t="shared" si="64"/>
        <v>173.53111218807925</v>
      </c>
      <c r="H409" s="1348" t="s">
        <v>556</v>
      </c>
      <c r="I409" s="1353">
        <v>17.622664625997164</v>
      </c>
      <c r="J409" s="1895"/>
      <c r="K409" s="1897"/>
      <c r="L409" s="1897"/>
      <c r="M409" s="1898" t="str">
        <f>IFERROR(INDEX('Lower Cask Movement &amp; Logistics'!$I$13:$O$19,MATCH($K409,'Lower Cask Movement &amp; Logistics'!$H$13:$H$19,0),MATCH($L409,'Lower Cask Movement &amp; Logistics'!$H$13:$H$19,0)),"N/A")</f>
        <v>N/A</v>
      </c>
      <c r="N409" s="1899" t="str">
        <f>IFERROR(VLOOKUP($J409,'Lower Cask Movement &amp; Logistics'!$H$4:$I$9,2,FALSE),"N/A")</f>
        <v>N/A</v>
      </c>
      <c r="O409" s="1900" t="str">
        <f t="shared" si="63"/>
        <v>N/A</v>
      </c>
      <c r="P409" s="1901" t="s">
        <v>1546</v>
      </c>
      <c r="Q409" s="1900" t="str">
        <f>IF($E409="Logistics",VLOOKUP($P409,'Lower Cask Movement &amp; Logistics'!$C$4:$D$54,2,FALSE),"N/A")</f>
        <v>N/A</v>
      </c>
      <c r="R409" s="3380" t="s">
        <v>1880</v>
      </c>
      <c r="S409" s="3481">
        <f>IFERROR(VLOOKUP($R409,'LowerCask Recovery Dependencies'!$C$273:$F$285,4,FALSE),"N/A")</f>
        <v>138.2857829360849</v>
      </c>
      <c r="T409" s="3482">
        <f t="shared" si="65"/>
        <v>-140.64548050235368</v>
      </c>
      <c r="U409" s="1719"/>
      <c r="V409" s="1719"/>
      <c r="W409" s="1719"/>
      <c r="X409" s="1719"/>
      <c r="Y409" s="1719"/>
    </row>
    <row r="410" spans="1:28" s="88" customFormat="1" hidden="1" outlineLevel="2" x14ac:dyDescent="0.4">
      <c r="B410" s="2000"/>
      <c r="C410" s="3856"/>
      <c r="D410" s="1895" t="s">
        <v>1599</v>
      </c>
      <c r="E410" s="1896" t="s">
        <v>3</v>
      </c>
      <c r="F410" s="1347">
        <f t="shared" si="62"/>
        <v>0.38</v>
      </c>
      <c r="G410" s="1351">
        <f t="shared" si="64"/>
        <v>173.91111218807924</v>
      </c>
      <c r="H410" s="1348"/>
      <c r="I410" s="1353" t="s">
        <v>263</v>
      </c>
      <c r="J410" s="1895"/>
      <c r="K410" s="1897"/>
      <c r="L410" s="1897"/>
      <c r="M410" s="1898" t="str">
        <f>IFERROR(INDEX('Lower Cask Movement &amp; Logistics'!$I$13:$O$19,MATCH($K410,'Lower Cask Movement &amp; Logistics'!$H$13:$H$19,0),MATCH($L410,'Lower Cask Movement &amp; Logistics'!$H$13:$H$19,0)),"N/A")</f>
        <v>N/A</v>
      </c>
      <c r="N410" s="1899" t="str">
        <f>IFERROR(VLOOKUP($J410,'Lower Cask Movement &amp; Logistics'!$H$4:$I$9,2,FALSE),"N/A")</f>
        <v>N/A</v>
      </c>
      <c r="O410" s="1900" t="str">
        <f t="shared" si="63"/>
        <v>N/A</v>
      </c>
      <c r="P410" s="1901" t="s">
        <v>1546</v>
      </c>
      <c r="Q410" s="1900">
        <f>IF($E410="Logistics",VLOOKUP($P410,'Lower Cask Movement &amp; Logistics'!$C$4:$D$54,2,FALSE),"N/A")</f>
        <v>0.38</v>
      </c>
      <c r="R410" s="3380"/>
      <c r="S410" s="3481" t="str">
        <f>IFERROR(VLOOKUP($R410,'LowerCask Recovery Dependencies'!$C$273:$F$285,4,FALSE),"N/A")</f>
        <v>N/A</v>
      </c>
      <c r="T410" s="3482" t="str">
        <f t="shared" si="65"/>
        <v>N/A</v>
      </c>
      <c r="U410" s="1719"/>
      <c r="V410" s="1719"/>
      <c r="W410" s="1719"/>
      <c r="X410" s="1719"/>
      <c r="Y410" s="1719"/>
    </row>
    <row r="411" spans="1:28" s="88" customFormat="1" ht="15" hidden="1" outlineLevel="2" thickBot="1" x14ac:dyDescent="0.45">
      <c r="B411" s="2000"/>
      <c r="C411" s="3853"/>
      <c r="D411" s="1869" t="s">
        <v>1656</v>
      </c>
      <c r="E411" s="1918" t="s">
        <v>3</v>
      </c>
      <c r="F411" s="1295">
        <f t="shared" si="62"/>
        <v>2.3000000000000003</v>
      </c>
      <c r="G411" s="1343">
        <f t="shared" si="64"/>
        <v>176.21111218807926</v>
      </c>
      <c r="H411" s="839"/>
      <c r="I411" s="1345" t="s">
        <v>263</v>
      </c>
      <c r="J411" s="1869"/>
      <c r="K411" s="837"/>
      <c r="L411" s="837"/>
      <c r="M411" s="842" t="str">
        <f>IFERROR(INDEX('Lower Cask Movement &amp; Logistics'!$I$13:$O$19,MATCH($K411,'Lower Cask Movement &amp; Logistics'!$H$13:$H$19,0),MATCH($L411,'Lower Cask Movement &amp; Logistics'!$H$13:$H$19,0)),"N/A")</f>
        <v>N/A</v>
      </c>
      <c r="N411" s="1870" t="str">
        <f>IFERROR(VLOOKUP($J411,'Lower Cask Movement &amp; Logistics'!$H$4:$I$9,2,FALSE),"N/A")</f>
        <v>N/A</v>
      </c>
      <c r="O411" s="1919" t="str">
        <f t="shared" si="63"/>
        <v>N/A</v>
      </c>
      <c r="P411" s="1920" t="s">
        <v>1552</v>
      </c>
      <c r="Q411" s="1919">
        <f>IF($E411="Logistics",VLOOKUP($P411,'Lower Cask Movement &amp; Logistics'!$C$4:$D$54,2,FALSE),"N/A")</f>
        <v>2.3000000000000003</v>
      </c>
      <c r="R411" s="3382"/>
      <c r="S411" s="3488" t="str">
        <f>IFERROR(VLOOKUP($R411,'LowerCask Recovery Dependencies'!$C$273:$F$285,4,FALSE),"N/A")</f>
        <v>N/A</v>
      </c>
      <c r="T411" s="3473" t="str">
        <f t="shared" si="65"/>
        <v>N/A</v>
      </c>
      <c r="U411" s="1719"/>
      <c r="V411" s="1719"/>
      <c r="W411" s="1719"/>
      <c r="X411" s="1719"/>
      <c r="Y411" s="1719"/>
    </row>
    <row r="412" spans="1:28" s="8" customFormat="1" hidden="1" outlineLevel="1" x14ac:dyDescent="0.4">
      <c r="A412"/>
      <c r="B412" s="2000"/>
      <c r="C412" s="1923"/>
      <c r="D412" s="892"/>
      <c r="E412" s="1439" t="s">
        <v>11</v>
      </c>
      <c r="F412" s="1439"/>
      <c r="G412" s="894">
        <f>G411</f>
        <v>176.21111218807926</v>
      </c>
      <c r="H412" s="94"/>
      <c r="I412" s="895"/>
      <c r="J412" s="94"/>
      <c r="K412" s="94"/>
      <c r="L412" s="896"/>
      <c r="M412" s="897"/>
      <c r="N412" s="897"/>
      <c r="O412" s="894"/>
      <c r="P412" s="94"/>
      <c r="Q412" s="897"/>
      <c r="R412" s="3383"/>
      <c r="S412" s="3489"/>
      <c r="T412" s="3489"/>
      <c r="U412" s="2424"/>
      <c r="V412" s="2424"/>
      <c r="W412" s="2424"/>
      <c r="X412" s="3434"/>
      <c r="Y412" s="3434"/>
    </row>
    <row r="413" spans="1:28" s="8" customFormat="1" hidden="1" outlineLevel="1" x14ac:dyDescent="0.4">
      <c r="A413"/>
      <c r="B413" s="2000"/>
      <c r="C413" s="1923"/>
      <c r="D413" s="892"/>
      <c r="E413" s="898"/>
      <c r="F413" s="894"/>
      <c r="G413" s="894"/>
      <c r="H413" s="94"/>
      <c r="I413" s="895"/>
      <c r="J413" s="94"/>
      <c r="K413" s="94"/>
      <c r="L413" s="896"/>
      <c r="M413" s="897"/>
      <c r="N413" s="897"/>
      <c r="O413" s="894"/>
      <c r="P413" s="94"/>
      <c r="Q413" s="897"/>
      <c r="R413" s="3383"/>
      <c r="S413" s="3489"/>
      <c r="T413" s="3489"/>
      <c r="U413" s="3431"/>
      <c r="V413" s="3431"/>
      <c r="W413" s="3518"/>
      <c r="X413" s="3431"/>
      <c r="Y413" s="2424"/>
      <c r="Z413"/>
      <c r="AA413"/>
      <c r="AB413"/>
    </row>
    <row r="414" spans="1:28" s="8" customFormat="1" collapsed="1" x14ac:dyDescent="0.4">
      <c r="A414"/>
      <c r="B414" s="2011"/>
      <c r="C414" s="2012"/>
      <c r="D414" s="2013"/>
      <c r="E414" s="2014"/>
      <c r="F414" s="2013"/>
      <c r="G414" s="2013"/>
      <c r="H414" s="2015"/>
      <c r="I414" s="2016"/>
      <c r="J414" s="2013"/>
      <c r="K414" s="2013"/>
      <c r="L414" s="2012"/>
      <c r="M414" s="2013"/>
      <c r="N414" s="2013"/>
      <c r="O414" s="2013"/>
      <c r="P414" s="2013"/>
      <c r="Q414" s="2013"/>
      <c r="R414" s="3406"/>
      <c r="S414" s="3515"/>
      <c r="T414" s="3515"/>
      <c r="U414" s="3515"/>
      <c r="V414" s="3515"/>
      <c r="W414" s="3515"/>
      <c r="X414" s="3515"/>
      <c r="Y414" s="2424"/>
      <c r="Z414"/>
      <c r="AA414"/>
      <c r="AB414"/>
    </row>
    <row r="416" spans="1:28" s="8" customFormat="1" ht="15.45" x14ac:dyDescent="0.4">
      <c r="A416"/>
      <c r="B416" s="2033"/>
      <c r="C416" s="2034"/>
      <c r="D416" s="2035" t="s">
        <v>1906</v>
      </c>
      <c r="E416" s="2036"/>
      <c r="F416" s="2036"/>
      <c r="G416" s="2036"/>
      <c r="H416" s="2036"/>
      <c r="I416" s="2036"/>
      <c r="J416" s="2036"/>
      <c r="K416" s="2036"/>
      <c r="L416" s="2036"/>
      <c r="M416" s="2036"/>
      <c r="N416" s="2036"/>
      <c r="O416" s="2036"/>
      <c r="P416" s="2036"/>
      <c r="Q416" s="2036"/>
      <c r="R416" s="3409"/>
      <c r="S416" s="3519"/>
      <c r="T416" s="3519"/>
      <c r="U416" s="3519"/>
      <c r="V416" s="3519"/>
      <c r="W416" s="3519"/>
      <c r="X416" s="3519"/>
      <c r="Y416" s="2424"/>
      <c r="Z416"/>
      <c r="AA416"/>
      <c r="AB416"/>
    </row>
    <row r="417" spans="1:28" s="8" customFormat="1" hidden="1" outlineLevel="1" x14ac:dyDescent="0.4">
      <c r="A417"/>
      <c r="B417" s="2037"/>
      <c r="C417" s="1826"/>
      <c r="D417" s="748" t="s">
        <v>1053</v>
      </c>
      <c r="E417" s="749"/>
      <c r="F417" s="704"/>
      <c r="G417" s="704"/>
      <c r="H417" s="704"/>
      <c r="I417" s="750"/>
      <c r="J417" s="704"/>
      <c r="K417" s="704"/>
      <c r="L417" s="704"/>
      <c r="M417" s="704"/>
      <c r="N417" s="704"/>
      <c r="O417" s="704"/>
      <c r="P417" s="704"/>
      <c r="Q417" s="704"/>
      <c r="R417" s="3364"/>
      <c r="S417" s="3433"/>
      <c r="T417" s="3433"/>
      <c r="U417" s="3433"/>
      <c r="V417" s="3433"/>
      <c r="W417" s="3433"/>
      <c r="X417" s="3433"/>
      <c r="Y417" s="2424"/>
      <c r="Z417"/>
      <c r="AA417"/>
      <c r="AB417"/>
    </row>
    <row r="418" spans="1:28" s="8" customFormat="1" ht="15" hidden="1" outlineLevel="1" thickBot="1" x14ac:dyDescent="0.45">
      <c r="A418"/>
      <c r="B418" s="2037"/>
      <c r="C418" s="1826"/>
      <c r="D418" s="704" t="s">
        <v>1034</v>
      </c>
      <c r="E418" s="749"/>
      <c r="F418" s="704"/>
      <c r="G418" s="704"/>
      <c r="H418" s="704"/>
      <c r="I418" s="750"/>
      <c r="J418" s="704"/>
      <c r="K418" s="704"/>
      <c r="L418" s="704"/>
      <c r="M418" s="704"/>
      <c r="N418" s="704"/>
      <c r="O418" s="704"/>
      <c r="P418" s="704"/>
      <c r="Q418" s="704"/>
      <c r="R418" s="3364"/>
      <c r="S418" s="3433"/>
      <c r="T418" s="3434"/>
      <c r="U418" s="3433"/>
      <c r="V418" s="3433"/>
      <c r="W418" s="3433"/>
      <c r="X418" s="3433"/>
      <c r="Y418" s="2424"/>
      <c r="Z418"/>
      <c r="AA418"/>
      <c r="AB418"/>
    </row>
    <row r="419" spans="1:28" s="8" customFormat="1" hidden="1" outlineLevel="1" x14ac:dyDescent="0.4">
      <c r="A419"/>
      <c r="B419" s="2037"/>
      <c r="C419" s="1826"/>
      <c r="D419" t="s">
        <v>1861</v>
      </c>
      <c r="E419" s="749"/>
      <c r="F419" s="704"/>
      <c r="G419" s="704"/>
      <c r="H419" s="704"/>
      <c r="I419" s="750"/>
      <c r="J419" s="704"/>
      <c r="K419" s="704"/>
      <c r="L419" s="704"/>
      <c r="M419" s="704"/>
      <c r="N419" s="704"/>
      <c r="O419" s="704"/>
      <c r="P419" s="704"/>
      <c r="Q419" s="704"/>
      <c r="R419" s="3365"/>
      <c r="S419" s="3435" t="s">
        <v>23</v>
      </c>
      <c r="T419" s="3842" t="s">
        <v>2604</v>
      </c>
      <c r="U419" s="3843"/>
      <c r="V419" s="3843"/>
      <c r="W419" s="3843"/>
      <c r="X419" s="3844"/>
      <c r="Y419" s="2424"/>
      <c r="Z419"/>
      <c r="AA419"/>
      <c r="AB419"/>
    </row>
    <row r="420" spans="1:28" s="8" customFormat="1" hidden="1" outlineLevel="1" x14ac:dyDescent="0.4">
      <c r="A420"/>
      <c r="B420" s="2037"/>
      <c r="C420" s="1826"/>
      <c r="D420" s="704" t="s">
        <v>1035</v>
      </c>
      <c r="E420" s="749"/>
      <c r="F420" s="704"/>
      <c r="G420" s="704"/>
      <c r="H420" s="704"/>
      <c r="I420" s="750"/>
      <c r="J420" s="704"/>
      <c r="K420" s="704"/>
      <c r="L420" s="704"/>
      <c r="M420" s="704"/>
      <c r="N420" s="704"/>
      <c r="O420" s="704"/>
      <c r="P420" s="704"/>
      <c r="Q420" s="704"/>
      <c r="R420" s="3354" t="s">
        <v>1055</v>
      </c>
      <c r="S420" s="1122">
        <v>1</v>
      </c>
      <c r="T420" s="916">
        <v>1</v>
      </c>
      <c r="U420" s="916">
        <v>2</v>
      </c>
      <c r="V420" s="916">
        <v>3</v>
      </c>
      <c r="W420" s="916">
        <v>4</v>
      </c>
      <c r="X420" s="1045">
        <v>6</v>
      </c>
      <c r="Y420" s="2424"/>
      <c r="Z420"/>
      <c r="AA420"/>
      <c r="AB420"/>
    </row>
    <row r="421" spans="1:28" s="8" customFormat="1" hidden="1" outlineLevel="1" x14ac:dyDescent="0.4">
      <c r="A421"/>
      <c r="B421" s="2037"/>
      <c r="C421" s="1826"/>
      <c r="D421" s="704" t="s">
        <v>1036</v>
      </c>
      <c r="E421" s="749"/>
      <c r="F421" s="704"/>
      <c r="G421" s="704"/>
      <c r="H421" s="704"/>
      <c r="I421" s="750"/>
      <c r="J421" s="704"/>
      <c r="K421" s="704"/>
      <c r="L421" s="704"/>
      <c r="M421" s="704"/>
      <c r="N421" s="704"/>
      <c r="O421" s="704"/>
      <c r="P421" s="704"/>
      <c r="Q421" s="704"/>
      <c r="R421" s="3333" t="s">
        <v>2665</v>
      </c>
      <c r="S421" s="3439">
        <f>connect_divertor_piepwork</f>
        <v>16.965057309144747</v>
      </c>
      <c r="T421" s="3441">
        <f>ROUNDUP(Tokamak_Segmts/T420,0)*connect_divertor_piepwork</f>
        <v>271.44091694631595</v>
      </c>
      <c r="U421" s="3441">
        <f>ROUNDUP(Tokamak_Segmts/U420,0)*connect_divertor_piepwork</f>
        <v>135.72045847315798</v>
      </c>
      <c r="V421" s="3441">
        <f>ROUNDUP(Tokamak_Segmts/V420,0)*connect_divertor_piepwork</f>
        <v>101.79034385486848</v>
      </c>
      <c r="W421" s="3441">
        <f>ROUNDUP(Tokamak_Segmts/W420,0)*connect_divertor_piepwork</f>
        <v>67.860229236578988</v>
      </c>
      <c r="X421" s="3442">
        <f>ROUNDUP(Tokamak_Segmts/X420,0)*connect_divertor_piepwork</f>
        <v>50.895171927434241</v>
      </c>
      <c r="Y421" s="2424"/>
      <c r="Z421"/>
      <c r="AA421"/>
      <c r="AB421"/>
    </row>
    <row r="422" spans="1:28" s="8" customFormat="1" ht="15" hidden="1" outlineLevel="1" thickBot="1" x14ac:dyDescent="0.45">
      <c r="A422"/>
      <c r="B422" s="2037"/>
      <c r="C422" s="1826"/>
      <c r="D422" s="704" t="s">
        <v>1037</v>
      </c>
      <c r="E422" s="749"/>
      <c r="F422" s="704"/>
      <c r="G422" s="704"/>
      <c r="H422" s="704"/>
      <c r="I422" s="750"/>
      <c r="J422" s="704"/>
      <c r="K422" s="704"/>
      <c r="L422" s="704"/>
      <c r="M422" s="704"/>
      <c r="N422" s="704"/>
      <c r="O422" s="704"/>
      <c r="P422" s="704"/>
      <c r="Q422" s="704"/>
      <c r="R422" s="3334" t="s">
        <v>2693</v>
      </c>
      <c r="S422" s="3443">
        <f>S$421*$E$426</f>
        <v>0.1866156304005922</v>
      </c>
      <c r="T422" s="3445">
        <f t="shared" ref="T422:X422" si="66">T$421*$E$426</f>
        <v>2.9858500864094752</v>
      </c>
      <c r="U422" s="3445">
        <f t="shared" si="66"/>
        <v>1.4929250432047376</v>
      </c>
      <c r="V422" s="3445">
        <f t="shared" si="66"/>
        <v>1.1196937824035533</v>
      </c>
      <c r="W422" s="3445">
        <f t="shared" si="66"/>
        <v>0.74646252160236881</v>
      </c>
      <c r="X422" s="3446">
        <f t="shared" si="66"/>
        <v>0.55984689120177666</v>
      </c>
      <c r="Y422" s="2424"/>
      <c r="Z422"/>
      <c r="AA422"/>
      <c r="AB422"/>
    </row>
    <row r="423" spans="1:28" s="8" customFormat="1" hidden="1" outlineLevel="1" x14ac:dyDescent="0.4">
      <c r="A423"/>
      <c r="B423" s="2037"/>
      <c r="C423" s="1826"/>
      <c r="D423" s="704" t="s">
        <v>1038</v>
      </c>
      <c r="E423" s="749"/>
      <c r="F423" s="704"/>
      <c r="G423" s="704"/>
      <c r="H423" s="704"/>
      <c r="I423" s="750"/>
      <c r="J423" s="704"/>
      <c r="K423" s="704"/>
      <c r="L423" s="704"/>
      <c r="M423" s="704"/>
      <c r="N423" s="704"/>
      <c r="O423" s="704"/>
      <c r="P423" s="704"/>
      <c r="Q423" s="704"/>
      <c r="R423" s="3410" t="s">
        <v>1048</v>
      </c>
      <c r="S423" s="3447">
        <f t="shared" ref="S423:X423" si="67">S422*(SUMIF($E$434:$E$488,"Operation",$F$434:$F$488))</f>
        <v>14.088611686898238</v>
      </c>
      <c r="T423" s="3449">
        <f t="shared" si="67"/>
        <v>225.41778699037181</v>
      </c>
      <c r="U423" s="3449">
        <f t="shared" si="67"/>
        <v>112.7088934951859</v>
      </c>
      <c r="V423" s="3449">
        <f t="shared" si="67"/>
        <v>84.531670121389439</v>
      </c>
      <c r="W423" s="3449">
        <f t="shared" si="67"/>
        <v>56.354446747592952</v>
      </c>
      <c r="X423" s="3450">
        <f t="shared" si="67"/>
        <v>42.26583506069472</v>
      </c>
      <c r="Y423" s="2424"/>
      <c r="Z423"/>
      <c r="AA423"/>
      <c r="AB423"/>
    </row>
    <row r="424" spans="1:28" s="8" customFormat="1" hidden="1" outlineLevel="1" x14ac:dyDescent="0.4">
      <c r="A424"/>
      <c r="B424" s="2037"/>
      <c r="C424" s="1826"/>
      <c r="D424" s="704"/>
      <c r="E424" s="749"/>
      <c r="F424" s="704"/>
      <c r="G424" s="704"/>
      <c r="H424" s="704"/>
      <c r="I424" s="750"/>
      <c r="J424" s="704"/>
      <c r="K424" s="704"/>
      <c r="L424" s="704"/>
      <c r="M424" s="704"/>
      <c r="N424" s="704"/>
      <c r="O424" s="704"/>
      <c r="P424" s="704"/>
      <c r="Q424" s="704"/>
      <c r="R424" s="3359" t="s">
        <v>2658</v>
      </c>
      <c r="S424" s="3451">
        <f t="shared" ref="S424:X424" si="68">S422*(SUMIF($E$434:$E$488,"Movement",$F$434:$F$488)+(SUMIF($E$434:$E$488,"Logistics",$F$434:$F$488)))</f>
        <v>7.5131452799278442</v>
      </c>
      <c r="T424" s="3453">
        <f t="shared" si="68"/>
        <v>120.21032447884551</v>
      </c>
      <c r="U424" s="3453">
        <f t="shared" si="68"/>
        <v>60.105162239422754</v>
      </c>
      <c r="V424" s="3453">
        <f t="shared" si="68"/>
        <v>45.078871679567072</v>
      </c>
      <c r="W424" s="3453">
        <f t="shared" si="68"/>
        <v>30.052581119711377</v>
      </c>
      <c r="X424" s="3454">
        <f t="shared" si="68"/>
        <v>22.539435839783536</v>
      </c>
      <c r="Y424" s="2424"/>
      <c r="Z424"/>
      <c r="AA424"/>
      <c r="AB424"/>
    </row>
    <row r="425" spans="1:28" s="8" customFormat="1" ht="15" hidden="1" outlineLevel="1" thickBot="1" x14ac:dyDescent="0.45">
      <c r="A425"/>
      <c r="B425" s="2037"/>
      <c r="C425" s="1826"/>
      <c r="D425" s="704"/>
      <c r="E425" s="749"/>
      <c r="F425" s="704"/>
      <c r="G425" s="704"/>
      <c r="H425" s="704"/>
      <c r="I425" s="750"/>
      <c r="J425" s="704"/>
      <c r="K425" s="704"/>
      <c r="L425" s="704"/>
      <c r="M425" s="704"/>
      <c r="N425" s="704"/>
      <c r="O425" s="704"/>
      <c r="P425" s="704"/>
      <c r="Q425" s="704"/>
      <c r="R425" s="3411" t="s">
        <v>2657</v>
      </c>
      <c r="S425" s="3455">
        <f t="shared" ref="S425:X425" si="69">S422*(-SUMIF($T$434:$T$488,"&lt;0"))</f>
        <v>1.2465924110759545</v>
      </c>
      <c r="T425" s="3457">
        <f t="shared" si="69"/>
        <v>19.945478577215273</v>
      </c>
      <c r="U425" s="3457">
        <f t="shared" si="69"/>
        <v>9.9727392886076363</v>
      </c>
      <c r="V425" s="3457">
        <f t="shared" si="69"/>
        <v>7.4795544664557276</v>
      </c>
      <c r="W425" s="3457">
        <f t="shared" si="69"/>
        <v>4.9863696443038181</v>
      </c>
      <c r="X425" s="3458">
        <f t="shared" si="69"/>
        <v>3.7397772332278638</v>
      </c>
      <c r="Y425" s="2424"/>
      <c r="Z425"/>
      <c r="AA425"/>
      <c r="AB425"/>
    </row>
    <row r="426" spans="1:28" s="8" customFormat="1" ht="15" hidden="1" outlineLevel="1" thickBot="1" x14ac:dyDescent="0.45">
      <c r="A426"/>
      <c r="B426" s="2037"/>
      <c r="C426" s="1826"/>
      <c r="D426" s="748" t="s">
        <v>1056</v>
      </c>
      <c r="E426" s="709">
        <f>SUM(E427:E428)</f>
        <v>1.0999999999999999E-2</v>
      </c>
      <c r="F426" s="709"/>
      <c r="G426" s="709"/>
      <c r="H426" s="709"/>
      <c r="I426" s="919"/>
      <c r="J426" s="918"/>
      <c r="K426" s="918"/>
      <c r="L426" s="918"/>
      <c r="M426" s="918"/>
      <c r="N426" s="918"/>
      <c r="O426" s="918"/>
      <c r="P426" s="704"/>
      <c r="Q426" s="704"/>
      <c r="R426" s="3368" t="s">
        <v>2667</v>
      </c>
      <c r="S426" s="3459">
        <f t="shared" ref="S426:X426" si="70">S422*$G$489</f>
        <v>22.848349377902032</v>
      </c>
      <c r="T426" s="3502">
        <f t="shared" si="70"/>
        <v>365.57359004643251</v>
      </c>
      <c r="U426" s="3426">
        <f t="shared" si="70"/>
        <v>182.78679502321626</v>
      </c>
      <c r="V426" s="3426">
        <f t="shared" si="70"/>
        <v>137.09009626741221</v>
      </c>
      <c r="W426" s="3426">
        <f t="shared" si="70"/>
        <v>91.393397511608129</v>
      </c>
      <c r="X426" s="3461">
        <f t="shared" si="70"/>
        <v>68.545048133706103</v>
      </c>
      <c r="Y426" s="2424"/>
      <c r="Z426"/>
      <c r="AA426"/>
      <c r="AB426"/>
    </row>
    <row r="427" spans="1:28" s="8" customFormat="1" hidden="1" outlineLevel="1" x14ac:dyDescent="0.4">
      <c r="A427"/>
      <c r="B427" s="2038"/>
      <c r="C427" s="906"/>
      <c r="D427" s="7" t="s">
        <v>1057</v>
      </c>
      <c r="E427" s="763">
        <f>Weld_Failure_Rate</f>
        <v>1E-3</v>
      </c>
      <c r="F427" s="922"/>
      <c r="G427" s="922"/>
      <c r="H427" s="924"/>
      <c r="I427" s="290"/>
      <c r="J427" s="922"/>
      <c r="K427" s="922"/>
      <c r="L427" s="925"/>
      <c r="M427" s="922"/>
      <c r="N427" s="922"/>
      <c r="O427" s="922"/>
      <c r="P427" s="706"/>
      <c r="Q427" s="7"/>
      <c r="Y427" s="2424"/>
      <c r="Z427"/>
      <c r="AA427"/>
      <c r="AB427"/>
    </row>
    <row r="428" spans="1:28" s="8" customFormat="1" hidden="1" outlineLevel="1" x14ac:dyDescent="0.4">
      <c r="A428"/>
      <c r="B428" s="2038"/>
      <c r="C428" s="906"/>
      <c r="D428" s="7" t="s">
        <v>1058</v>
      </c>
      <c r="E428" s="763">
        <f>SJS_welder_failure</f>
        <v>0.01</v>
      </c>
      <c r="F428" s="922"/>
      <c r="G428" s="922"/>
      <c r="H428" s="924"/>
      <c r="I428" s="290"/>
      <c r="J428" s="922"/>
      <c r="K428" s="922"/>
      <c r="L428" s="925"/>
      <c r="M428" s="922"/>
      <c r="N428" s="922"/>
      <c r="O428" s="922"/>
      <c r="P428" s="706"/>
      <c r="Q428" s="7"/>
      <c r="Y428" s="2424"/>
      <c r="Z428"/>
      <c r="AA428"/>
      <c r="AB428"/>
    </row>
    <row r="429" spans="1:28" s="8" customFormat="1" hidden="1" outlineLevel="1" x14ac:dyDescent="0.4">
      <c r="A429"/>
      <c r="B429" s="2038"/>
      <c r="C429" s="906"/>
      <c r="D429" s="926" t="s">
        <v>1059</v>
      </c>
      <c r="E429" s="709">
        <f>E426*(1-(1-E426)^(pipes_per_cassette))</f>
        <v>4.7607240294899916E-4</v>
      </c>
      <c r="F429" s="927"/>
      <c r="G429" s="927"/>
      <c r="H429" s="927"/>
      <c r="I429" s="919"/>
      <c r="J429" s="927"/>
      <c r="K429" s="927"/>
      <c r="L429" s="927"/>
      <c r="M429" s="927"/>
      <c r="N429" s="927"/>
      <c r="O429" s="927"/>
      <c r="P429" s="706"/>
      <c r="Q429" s="7"/>
      <c r="Y429" s="2424"/>
      <c r="Z429"/>
      <c r="AA429"/>
      <c r="AB429"/>
    </row>
    <row r="430" spans="1:28" s="8" customFormat="1" hidden="1" outlineLevel="1" x14ac:dyDescent="0.4">
      <c r="A430"/>
      <c r="B430" s="2038"/>
      <c r="C430" s="906"/>
      <c r="D430" s="926"/>
      <c r="E430" s="928"/>
      <c r="F430" s="927"/>
      <c r="G430" s="927"/>
      <c r="H430" s="927"/>
      <c r="I430" s="919"/>
      <c r="J430" s="927"/>
      <c r="K430" s="927"/>
      <c r="L430" s="927"/>
      <c r="M430" s="927"/>
      <c r="N430" s="927"/>
      <c r="O430" s="927"/>
      <c r="P430" s="706"/>
      <c r="Q430" s="7"/>
      <c r="R430" s="3369"/>
      <c r="S430" s="3429"/>
      <c r="T430" s="3429"/>
      <c r="U430" s="3429"/>
      <c r="V430" s="3429"/>
      <c r="W430" s="3429"/>
      <c r="X430" s="3429"/>
      <c r="Y430" s="2424"/>
      <c r="Z430"/>
      <c r="AA430"/>
      <c r="AB430"/>
    </row>
    <row r="431" spans="1:28" s="8" customFormat="1" ht="15" hidden="1" outlineLevel="2" thickBot="1" x14ac:dyDescent="0.45">
      <c r="A431"/>
      <c r="B431" s="2038"/>
      <c r="C431" s="906"/>
      <c r="D431" s="926"/>
      <c r="E431" s="928"/>
      <c r="F431" s="927"/>
      <c r="G431" s="927"/>
      <c r="H431" s="927"/>
      <c r="I431" s="919"/>
      <c r="J431" s="927"/>
      <c r="K431" s="927"/>
      <c r="L431" s="927"/>
      <c r="M431" s="927"/>
      <c r="N431" s="927"/>
      <c r="O431" s="927"/>
      <c r="P431" s="706"/>
      <c r="Q431" s="7"/>
      <c r="R431" s="3369"/>
      <c r="S431" s="3429"/>
      <c r="T431" s="3429"/>
      <c r="U431" s="3429"/>
      <c r="V431" s="3429"/>
      <c r="W431" s="3429"/>
      <c r="X431" s="3429"/>
      <c r="Y431" s="2424"/>
      <c r="Z431"/>
      <c r="AA431"/>
      <c r="AB431"/>
    </row>
    <row r="432" spans="1:28" s="8" customFormat="1" ht="15" hidden="1" outlineLevel="2" thickBot="1" x14ac:dyDescent="0.45">
      <c r="A432"/>
      <c r="B432" s="2038"/>
      <c r="C432" s="906"/>
      <c r="D432" s="926"/>
      <c r="E432" s="701"/>
      <c r="F432" s="7"/>
      <c r="G432" s="929"/>
      <c r="H432" s="930" t="s">
        <v>18</v>
      </c>
      <c r="I432" s="931"/>
      <c r="J432" s="932" t="s">
        <v>778</v>
      </c>
      <c r="K432" s="933"/>
      <c r="L432" s="933"/>
      <c r="M432" s="933"/>
      <c r="N432" s="933"/>
      <c r="O432" s="934"/>
      <c r="P432" s="933" t="s">
        <v>3</v>
      </c>
      <c r="Q432" s="934"/>
      <c r="R432" s="3386" t="s">
        <v>779</v>
      </c>
      <c r="S432" s="3462"/>
      <c r="T432" s="3462"/>
      <c r="U432" s="2424"/>
      <c r="V432" s="2424"/>
      <c r="W432" s="2424"/>
      <c r="X432" s="2424"/>
      <c r="Y432" s="3434"/>
    </row>
    <row r="433" spans="1:25" s="8" customFormat="1" ht="29.6" hidden="1" outlineLevel="2" thickBot="1" x14ac:dyDescent="0.45">
      <c r="A433"/>
      <c r="B433" s="2038"/>
      <c r="C433" s="939" t="s">
        <v>780</v>
      </c>
      <c r="D433" s="940" t="s">
        <v>1060</v>
      </c>
      <c r="E433" s="941" t="s">
        <v>782</v>
      </c>
      <c r="F433" s="942" t="s">
        <v>783</v>
      </c>
      <c r="G433" s="943" t="s">
        <v>784</v>
      </c>
      <c r="H433" s="562" t="s">
        <v>785</v>
      </c>
      <c r="I433" s="944" t="s">
        <v>783</v>
      </c>
      <c r="J433" s="562" t="s">
        <v>786</v>
      </c>
      <c r="K433" s="563" t="s">
        <v>787</v>
      </c>
      <c r="L433" s="563" t="s">
        <v>788</v>
      </c>
      <c r="M433" s="563" t="s">
        <v>789</v>
      </c>
      <c r="N433" s="563" t="s">
        <v>790</v>
      </c>
      <c r="O433" s="945" t="s">
        <v>783</v>
      </c>
      <c r="P433" s="560" t="s">
        <v>785</v>
      </c>
      <c r="Q433" s="946" t="s">
        <v>783</v>
      </c>
      <c r="R433" s="3387" t="s">
        <v>781</v>
      </c>
      <c r="S433" s="3464" t="s">
        <v>791</v>
      </c>
      <c r="T433" s="3465" t="s">
        <v>792</v>
      </c>
      <c r="U433" s="2424"/>
      <c r="V433" s="2424"/>
      <c r="W433" s="2424"/>
      <c r="X433" s="2424"/>
      <c r="Y433" s="3434"/>
    </row>
    <row r="434" spans="1:25" s="8" customFormat="1" hidden="1" outlineLevel="2" x14ac:dyDescent="0.4">
      <c r="A434"/>
      <c r="B434" s="2038"/>
      <c r="C434" s="3850" t="s">
        <v>1062</v>
      </c>
      <c r="D434" s="797" t="s">
        <v>1907</v>
      </c>
      <c r="E434" s="799" t="s">
        <v>251</v>
      </c>
      <c r="F434" s="456">
        <f>MAX($Q434,$O434,$I434)</f>
        <v>0</v>
      </c>
      <c r="G434" s="800">
        <f>F434</f>
        <v>0</v>
      </c>
      <c r="H434" s="566" t="s">
        <v>557</v>
      </c>
      <c r="I434" s="621">
        <v>0</v>
      </c>
      <c r="J434" s="568"/>
      <c r="K434" s="566"/>
      <c r="L434" s="801"/>
      <c r="M434" s="802" t="str">
        <f>IFERROR(INDEX('Lower Cask Movement &amp; Logistics'!$I$29:$O$35,MATCH($K434,'Lower Cask Movement &amp; Logistics'!$H$29:$H$35,0),MATCH($L434,'Lower Cask Movement &amp; Logistics'!$H$29:$H$35,0)),"N/A")</f>
        <v>N/A</v>
      </c>
      <c r="N434" s="570" t="str">
        <f>IFERROR(VLOOKUP($J434,'Lower Cask Movement &amp; Logistics'!$H$4:$I$8,2,FALSE),"N/A")</f>
        <v>N/A</v>
      </c>
      <c r="O434" s="800" t="str">
        <f t="shared" ref="O434:O488" si="71">IF(E434="Movement",IFERROR((M434/N434)/(60*60),"Error"),"N/A")</f>
        <v>N/A</v>
      </c>
      <c r="P434" s="803"/>
      <c r="Q434" s="802" t="str">
        <f>IF($E434="Logistics",VLOOKUP($P434,'Lower Cask Movement &amp; Logistics'!$C$4:$D$53,2,FALSE),"N/A")</f>
        <v>N/A</v>
      </c>
      <c r="R434" s="3398"/>
      <c r="S434" s="3466" t="str">
        <f>IFERROR(VLOOKUP($R434,'LowerCask Recovery Dependencies'!$C$289:$F$382,4,FALSE),"N/A")</f>
        <v>N/A</v>
      </c>
      <c r="T434" s="3467" t="str">
        <f>IFERROR(G434-F434-S434,"N/A")</f>
        <v>N/A</v>
      </c>
      <c r="U434" s="2424"/>
      <c r="V434" s="2424"/>
      <c r="W434" s="2424"/>
      <c r="X434" s="2424"/>
      <c r="Y434" s="3434"/>
    </row>
    <row r="435" spans="1:25" s="8" customFormat="1" hidden="1" outlineLevel="2" x14ac:dyDescent="0.4">
      <c r="A435"/>
      <c r="B435" s="2038"/>
      <c r="C435" s="3854"/>
      <c r="D435" s="2001" t="s">
        <v>1885</v>
      </c>
      <c r="E435" s="2002" t="s">
        <v>251</v>
      </c>
      <c r="F435" s="335">
        <f t="shared" ref="F435:F488" si="72">MAX($Q435,$O435,$I435)</f>
        <v>12.602967059728389</v>
      </c>
      <c r="G435" s="2003">
        <f t="shared" ref="G435:G488" si="73">IF(T435&lt;0,F435+G434+(-T435),F435+G434)</f>
        <v>12.602967059728389</v>
      </c>
      <c r="H435" s="582" t="s">
        <v>1908</v>
      </c>
      <c r="I435" s="1476">
        <v>12.602967059728389</v>
      </c>
      <c r="J435" s="627"/>
      <c r="K435" s="582"/>
      <c r="L435" s="1962"/>
      <c r="M435" s="1479" t="s">
        <v>263</v>
      </c>
      <c r="N435" s="1478" t="s">
        <v>263</v>
      </c>
      <c r="O435" s="2003" t="str">
        <f t="shared" si="71"/>
        <v>N/A</v>
      </c>
      <c r="P435" s="1638"/>
      <c r="Q435" s="1479" t="str">
        <f>IF($E435="Logistics",VLOOKUP($P435,'Lower Cask Movement &amp; Logistics'!$C$4:$D$53,2,FALSE),"N/A")</f>
        <v>N/A</v>
      </c>
      <c r="R435" s="3399"/>
      <c r="S435" s="3513" t="str">
        <f>IFERROR(VLOOKUP($R435,'LowerCask Recovery Dependencies'!$C$289:$F$382,4,FALSE),"N/A")</f>
        <v>N/A</v>
      </c>
      <c r="T435" s="3477" t="str">
        <f t="shared" ref="T435:T488" si="74">IFERROR(G434-S435,"N/A")</f>
        <v>N/A</v>
      </c>
      <c r="U435" s="2424"/>
      <c r="V435" s="2424"/>
      <c r="W435" s="2424"/>
      <c r="X435" s="2424"/>
      <c r="Y435" s="3434"/>
    </row>
    <row r="436" spans="1:25" s="8" customFormat="1" ht="15" hidden="1" outlineLevel="2" thickBot="1" x14ac:dyDescent="0.45">
      <c r="A436"/>
      <c r="B436" s="2038"/>
      <c r="C436" s="3851"/>
      <c r="D436" s="808" t="s">
        <v>1909</v>
      </c>
      <c r="E436" s="1966" t="s">
        <v>3</v>
      </c>
      <c r="F436" s="471">
        <f t="shared" si="72"/>
        <v>0.38</v>
      </c>
      <c r="G436" s="887">
        <f t="shared" si="73"/>
        <v>12.98296705972839</v>
      </c>
      <c r="H436" s="584"/>
      <c r="I436" s="591" t="s">
        <v>263</v>
      </c>
      <c r="J436" s="586"/>
      <c r="K436" s="584"/>
      <c r="L436" s="812"/>
      <c r="M436" s="813" t="s">
        <v>263</v>
      </c>
      <c r="N436" s="814" t="s">
        <v>263</v>
      </c>
      <c r="O436" s="887" t="str">
        <f t="shared" si="71"/>
        <v>N/A</v>
      </c>
      <c r="P436" s="1136" t="s">
        <v>1546</v>
      </c>
      <c r="Q436" s="813">
        <f>IF($E436="Logistics",VLOOKUP($P436,'Lower Cask Movement &amp; Logistics'!$C$4:$D$53,2,FALSE),"N/A")</f>
        <v>0.38</v>
      </c>
      <c r="R436" s="3400"/>
      <c r="S436" s="3505" t="str">
        <f>IFERROR(VLOOKUP($R436,'LowerCask Recovery Dependencies'!$C$289:$F$382,4,FALSE),"N/A")</f>
        <v>N/A</v>
      </c>
      <c r="T436" s="3469" t="str">
        <f t="shared" si="74"/>
        <v>N/A</v>
      </c>
      <c r="U436" s="2424"/>
      <c r="V436" s="2424"/>
      <c r="W436" s="2424"/>
      <c r="X436" s="2424"/>
      <c r="Y436" s="3434"/>
    </row>
    <row r="437" spans="1:25" s="8" customFormat="1" hidden="1" outlineLevel="2" x14ac:dyDescent="0.4">
      <c r="A437"/>
      <c r="B437" s="2038"/>
      <c r="C437" s="3850" t="s">
        <v>1584</v>
      </c>
      <c r="D437" s="1129" t="s">
        <v>1593</v>
      </c>
      <c r="E437" s="1620" t="s">
        <v>3</v>
      </c>
      <c r="F437" s="1621">
        <f t="shared" si="72"/>
        <v>0.53</v>
      </c>
      <c r="G437" s="1621">
        <f t="shared" si="73"/>
        <v>13.512967059728389</v>
      </c>
      <c r="H437" s="1129"/>
      <c r="I437" s="1575" t="s">
        <v>263</v>
      </c>
      <c r="J437" s="1129"/>
      <c r="K437" s="1619"/>
      <c r="L437" s="1619"/>
      <c r="M437" s="1623" t="s">
        <v>263</v>
      </c>
      <c r="N437" s="1623" t="s">
        <v>263</v>
      </c>
      <c r="O437" s="1575" t="str">
        <f t="shared" si="71"/>
        <v>N/A</v>
      </c>
      <c r="P437" s="1576" t="s">
        <v>1558</v>
      </c>
      <c r="Q437" s="1575">
        <f>IF($E437="Logistics",VLOOKUP($P437,'Lower Cask Movement &amp; Logistics'!$C$4:$D$53,2,FALSE),"N/A")</f>
        <v>0.53</v>
      </c>
      <c r="R437" s="3376"/>
      <c r="S437" s="3474" t="str">
        <f>IFERROR(VLOOKUP($R437,'LowerCask Recovery Dependencies'!$C$289:$F$382,4,FALSE),"N/A")</f>
        <v>N/A</v>
      </c>
      <c r="T437" s="3475" t="str">
        <f t="shared" si="74"/>
        <v>N/A</v>
      </c>
      <c r="U437" s="2424"/>
      <c r="V437" s="2424"/>
      <c r="W437" s="2424"/>
      <c r="X437" s="2424"/>
      <c r="Y437" s="3434"/>
    </row>
    <row r="438" spans="1:25" s="8" customFormat="1" hidden="1" outlineLevel="2" x14ac:dyDescent="0.4">
      <c r="A438"/>
      <c r="B438" s="2038"/>
      <c r="C438" s="3854"/>
      <c r="D438" s="1579" t="s">
        <v>1594</v>
      </c>
      <c r="E438" s="1611" t="s">
        <v>251</v>
      </c>
      <c r="F438" s="626">
        <f t="shared" si="72"/>
        <v>12.602967059728389</v>
      </c>
      <c r="G438" s="626">
        <f t="shared" si="73"/>
        <v>26.115934119456778</v>
      </c>
      <c r="H438" s="1579" t="s">
        <v>1908</v>
      </c>
      <c r="I438" s="1183">
        <v>12.602967059728389</v>
      </c>
      <c r="J438" s="1579"/>
      <c r="K438" s="582"/>
      <c r="L438" s="582"/>
      <c r="M438" s="1478" t="s">
        <v>263</v>
      </c>
      <c r="N438" s="1478" t="s">
        <v>263</v>
      </c>
      <c r="O438" s="1183" t="str">
        <f t="shared" si="71"/>
        <v>N/A</v>
      </c>
      <c r="P438" s="1578"/>
      <c r="Q438" s="1183" t="str">
        <f>IF($E438="Logistics",VLOOKUP($P438,'Lower Cask Movement &amp; Logistics'!$C$4:$D$53,2,FALSE),"N/A")</f>
        <v>N/A</v>
      </c>
      <c r="R438" s="3377"/>
      <c r="S438" s="3476" t="str">
        <f>IFERROR(VLOOKUP($R438,'LowerCask Recovery Dependencies'!$C$289:$F$382,4,FALSE),"N/A")</f>
        <v>N/A</v>
      </c>
      <c r="T438" s="3477" t="str">
        <f t="shared" si="74"/>
        <v>N/A</v>
      </c>
      <c r="U438" s="2424"/>
      <c r="V438" s="2424"/>
      <c r="W438" s="2424"/>
      <c r="X438" s="2424"/>
      <c r="Y438" s="3434"/>
    </row>
    <row r="439" spans="1:25" s="8" customFormat="1" hidden="1" outlineLevel="2" x14ac:dyDescent="0.4">
      <c r="A439"/>
      <c r="B439" s="2038"/>
      <c r="C439" s="3854"/>
      <c r="D439" s="1579" t="s">
        <v>1595</v>
      </c>
      <c r="E439" s="1611" t="s">
        <v>3</v>
      </c>
      <c r="F439" s="626">
        <f t="shared" si="72"/>
        <v>0.38</v>
      </c>
      <c r="G439" s="626">
        <f t="shared" si="73"/>
        <v>26.495934119456777</v>
      </c>
      <c r="H439" s="1579"/>
      <c r="I439" s="1183" t="s">
        <v>263</v>
      </c>
      <c r="J439" s="1579"/>
      <c r="K439" s="582"/>
      <c r="L439" s="582"/>
      <c r="M439" s="1478" t="s">
        <v>263</v>
      </c>
      <c r="N439" s="1478" t="s">
        <v>263</v>
      </c>
      <c r="O439" s="1183" t="str">
        <f t="shared" si="71"/>
        <v>N/A</v>
      </c>
      <c r="P439" s="1578" t="s">
        <v>1546</v>
      </c>
      <c r="Q439" s="1183">
        <f>IF($E439="Logistics",VLOOKUP($P439,'Lower Cask Movement &amp; Logistics'!$C$4:$D$53,2,FALSE),"N/A")</f>
        <v>0.38</v>
      </c>
      <c r="R439" s="3377"/>
      <c r="S439" s="3476" t="str">
        <f>IFERROR(VLOOKUP($R439,'LowerCask Recovery Dependencies'!$C$289:$F$382,4,FALSE),"N/A")</f>
        <v>N/A</v>
      </c>
      <c r="T439" s="3477" t="str">
        <f t="shared" si="74"/>
        <v>N/A</v>
      </c>
      <c r="U439" s="2424"/>
      <c r="V439" s="2424"/>
      <c r="W439" s="2424"/>
      <c r="X439" s="2424"/>
      <c r="Y439" s="3434"/>
    </row>
    <row r="440" spans="1:25" s="8" customFormat="1" hidden="1" outlineLevel="2" x14ac:dyDescent="0.4">
      <c r="A440"/>
      <c r="B440" s="2038"/>
      <c r="C440" s="3854"/>
      <c r="D440" s="1579" t="s">
        <v>1596</v>
      </c>
      <c r="E440" s="1611" t="s">
        <v>3</v>
      </c>
      <c r="F440" s="626">
        <f t="shared" si="72"/>
        <v>0.53</v>
      </c>
      <c r="G440" s="626">
        <f t="shared" si="73"/>
        <v>27.025934119456778</v>
      </c>
      <c r="H440" s="1579"/>
      <c r="I440" s="1183" t="s">
        <v>263</v>
      </c>
      <c r="J440" s="1579"/>
      <c r="K440" s="582"/>
      <c r="L440" s="582"/>
      <c r="M440" s="1478" t="s">
        <v>263</v>
      </c>
      <c r="N440" s="1478" t="s">
        <v>263</v>
      </c>
      <c r="O440" s="1183" t="str">
        <f t="shared" si="71"/>
        <v>N/A</v>
      </c>
      <c r="P440" s="1578" t="s">
        <v>1558</v>
      </c>
      <c r="Q440" s="1183">
        <f>IF($E440="Logistics",VLOOKUP($P440,'Lower Cask Movement &amp; Logistics'!$C$4:$D$53,2,FALSE),"N/A")</f>
        <v>0.53</v>
      </c>
      <c r="R440" s="3377"/>
      <c r="S440" s="3476" t="str">
        <f>IFERROR(VLOOKUP($R440,'LowerCask Recovery Dependencies'!$C$289:$F$382,4,FALSE),"N/A")</f>
        <v>N/A</v>
      </c>
      <c r="T440" s="3477" t="str">
        <f t="shared" si="74"/>
        <v>N/A</v>
      </c>
      <c r="U440" s="2424"/>
      <c r="V440" s="2424"/>
      <c r="W440" s="2424"/>
      <c r="X440" s="2424"/>
      <c r="Y440" s="3434"/>
    </row>
    <row r="441" spans="1:25" s="8" customFormat="1" hidden="1" outlineLevel="2" x14ac:dyDescent="0.4">
      <c r="A441"/>
      <c r="B441" s="2038"/>
      <c r="C441" s="3854"/>
      <c r="D441" s="573" t="s">
        <v>1597</v>
      </c>
      <c r="E441" s="1577" t="s">
        <v>251</v>
      </c>
      <c r="F441" s="574">
        <f t="shared" si="72"/>
        <v>12.602967059728389</v>
      </c>
      <c r="G441" s="574">
        <f t="shared" si="73"/>
        <v>39.628901179185164</v>
      </c>
      <c r="H441" s="1131" t="s">
        <v>1908</v>
      </c>
      <c r="I441" s="1176">
        <v>12.602967059728389</v>
      </c>
      <c r="J441" s="1131"/>
      <c r="K441" s="573"/>
      <c r="L441" s="573"/>
      <c r="M441" s="853" t="s">
        <v>263</v>
      </c>
      <c r="N441" s="853" t="s">
        <v>263</v>
      </c>
      <c r="O441" s="1176" t="str">
        <f t="shared" si="71"/>
        <v>N/A</v>
      </c>
      <c r="P441" s="1580"/>
      <c r="Q441" s="1176" t="str">
        <f>IF($E441="Logistics",VLOOKUP($P441,'Lower Cask Movement &amp; Logistics'!$C$4:$D$53,2,FALSE),"N/A")</f>
        <v>N/A</v>
      </c>
      <c r="R441" s="3412"/>
      <c r="S441" s="3520" t="str">
        <f>IFERROR(VLOOKUP($R441,'LowerCask Recovery Dependencies'!$C$289:$F$382,4,FALSE),"N/A")</f>
        <v>N/A</v>
      </c>
      <c r="T441" s="3521" t="str">
        <f t="shared" si="74"/>
        <v>N/A</v>
      </c>
      <c r="U441" s="2424"/>
      <c r="V441" s="2424"/>
      <c r="W441" s="2424"/>
      <c r="X441" s="2424"/>
      <c r="Y441" s="3434"/>
    </row>
    <row r="442" spans="1:25" s="8" customFormat="1" hidden="1" outlineLevel="2" x14ac:dyDescent="0.4">
      <c r="A442"/>
      <c r="B442" s="2038"/>
      <c r="C442" s="3854"/>
      <c r="D442" s="1579" t="s">
        <v>1598</v>
      </c>
      <c r="E442" s="1611" t="s">
        <v>3</v>
      </c>
      <c r="F442" s="626">
        <f t="shared" si="72"/>
        <v>0.38</v>
      </c>
      <c r="G442" s="626">
        <f t="shared" si="73"/>
        <v>40.008901179185166</v>
      </c>
      <c r="H442" s="1579"/>
      <c r="I442" s="1183" t="s">
        <v>263</v>
      </c>
      <c r="J442" s="1579"/>
      <c r="K442" s="582"/>
      <c r="L442" s="582"/>
      <c r="M442" s="1478" t="s">
        <v>263</v>
      </c>
      <c r="N442" s="1478" t="s">
        <v>263</v>
      </c>
      <c r="O442" s="1183" t="str">
        <f t="shared" si="71"/>
        <v>N/A</v>
      </c>
      <c r="P442" s="1578" t="s">
        <v>1546</v>
      </c>
      <c r="Q442" s="1183">
        <f>IF($E442="Logistics",VLOOKUP($P442,'Lower Cask Movement &amp; Logistics'!$C$4:$D$53,2,FALSE),"N/A")</f>
        <v>0.38</v>
      </c>
      <c r="R442" s="3377"/>
      <c r="S442" s="3476" t="str">
        <f>IFERROR(VLOOKUP($R442,'LowerCask Recovery Dependencies'!$C$289:$F$382,4,FALSE),"N/A")</f>
        <v>N/A</v>
      </c>
      <c r="T442" s="3477" t="str">
        <f t="shared" si="74"/>
        <v>N/A</v>
      </c>
      <c r="U442" s="2424"/>
      <c r="V442" s="2424"/>
      <c r="W442" s="2424"/>
      <c r="X442" s="2424"/>
      <c r="Y442" s="3434"/>
    </row>
    <row r="443" spans="1:25" s="8" customFormat="1" hidden="1" outlineLevel="2" x14ac:dyDescent="0.4">
      <c r="A443"/>
      <c r="B443" s="2038"/>
      <c r="C443" s="3854"/>
      <c r="D443" s="1579" t="s">
        <v>1599</v>
      </c>
      <c r="E443" s="1611" t="s">
        <v>3</v>
      </c>
      <c r="F443" s="626">
        <f t="shared" si="72"/>
        <v>0.38</v>
      </c>
      <c r="G443" s="626">
        <f t="shared" si="73"/>
        <v>40.388901179185169</v>
      </c>
      <c r="H443" s="1579"/>
      <c r="I443" s="1183" t="s">
        <v>263</v>
      </c>
      <c r="J443" s="1579"/>
      <c r="K443" s="582"/>
      <c r="L443" s="582"/>
      <c r="M443" s="1478" t="s">
        <v>263</v>
      </c>
      <c r="N443" s="1478" t="s">
        <v>263</v>
      </c>
      <c r="O443" s="1183" t="str">
        <f t="shared" si="71"/>
        <v>N/A</v>
      </c>
      <c r="P443" s="1578" t="s">
        <v>1546</v>
      </c>
      <c r="Q443" s="1183">
        <f>IF($E443="Logistics",VLOOKUP($P443,'Lower Cask Movement &amp; Logistics'!$C$4:$D$53,2,FALSE),"N/A")</f>
        <v>0.38</v>
      </c>
      <c r="R443" s="3377"/>
      <c r="S443" s="3476" t="str">
        <f>IFERROR(VLOOKUP($R443,'LowerCask Recovery Dependencies'!$C$289:$F$382,4,FALSE),"N/A")</f>
        <v>N/A</v>
      </c>
      <c r="T443" s="3477" t="str">
        <f t="shared" si="74"/>
        <v>N/A</v>
      </c>
      <c r="U443" s="2424"/>
      <c r="V443" s="2424"/>
      <c r="W443" s="2424"/>
      <c r="X443" s="2424"/>
      <c r="Y443" s="3434"/>
    </row>
    <row r="444" spans="1:25" s="8" customFormat="1" ht="15" hidden="1" outlineLevel="2" thickBot="1" x14ac:dyDescent="0.45">
      <c r="A444"/>
      <c r="B444" s="2038"/>
      <c r="C444" s="3851"/>
      <c r="D444" s="1136" t="s">
        <v>1600</v>
      </c>
      <c r="E444" s="1581" t="s">
        <v>3</v>
      </c>
      <c r="F444" s="585">
        <f t="shared" si="72"/>
        <v>2.3000000000000003</v>
      </c>
      <c r="G444" s="585">
        <f t="shared" si="73"/>
        <v>42.688901179185166</v>
      </c>
      <c r="H444" s="1136"/>
      <c r="I444" s="1179" t="s">
        <v>263</v>
      </c>
      <c r="J444" s="1136"/>
      <c r="K444" s="584"/>
      <c r="L444" s="584"/>
      <c r="M444" s="814" t="s">
        <v>263</v>
      </c>
      <c r="N444" s="814" t="s">
        <v>263</v>
      </c>
      <c r="O444" s="1179" t="str">
        <f t="shared" si="71"/>
        <v>N/A</v>
      </c>
      <c r="P444" s="1582" t="s">
        <v>1552</v>
      </c>
      <c r="Q444" s="1179">
        <f>IF($E444="Logistics",VLOOKUP($P444,'Lower Cask Movement &amp; Logistics'!$C$4:$D$53,2,FALSE),"N/A")</f>
        <v>2.3000000000000003</v>
      </c>
      <c r="R444" s="3378"/>
      <c r="S444" s="3478" t="str">
        <f>IFERROR(VLOOKUP($R444,'LowerCask Recovery Dependencies'!$C$289:$F$382,4,FALSE),"N/A")</f>
        <v>N/A</v>
      </c>
      <c r="T444" s="3469" t="str">
        <f t="shared" si="74"/>
        <v>N/A</v>
      </c>
      <c r="U444" s="2424"/>
      <c r="V444" s="2424"/>
      <c r="W444" s="2424"/>
      <c r="X444" s="2424"/>
      <c r="Y444" s="3434"/>
    </row>
    <row r="445" spans="1:25" s="8" customFormat="1" hidden="1" outlineLevel="2" x14ac:dyDescent="0.4">
      <c r="A445"/>
      <c r="B445" s="2038"/>
      <c r="C445" s="3852" t="s">
        <v>1601</v>
      </c>
      <c r="D445" s="823" t="s">
        <v>1602</v>
      </c>
      <c r="E445" s="823" t="s">
        <v>3</v>
      </c>
      <c r="F445" s="1291">
        <f t="shared" si="72"/>
        <v>1.9</v>
      </c>
      <c r="G445" s="1291">
        <f t="shared" si="73"/>
        <v>44.588901179185164</v>
      </c>
      <c r="H445" s="829"/>
      <c r="I445" s="1575" t="s">
        <v>263</v>
      </c>
      <c r="J445" s="1129"/>
      <c r="K445" s="1619"/>
      <c r="L445" s="1619"/>
      <c r="M445" s="1623" t="s">
        <v>263</v>
      </c>
      <c r="N445" s="1623" t="s">
        <v>263</v>
      </c>
      <c r="O445" s="1575" t="str">
        <f t="shared" si="71"/>
        <v>N/A</v>
      </c>
      <c r="P445" s="2039" t="s">
        <v>1541</v>
      </c>
      <c r="Q445" s="2040">
        <f>IF($E445="Logistics",VLOOKUP($P445,'Lower Cask Movement &amp; Logistics'!$C$4:$D$53,2,FALSE),"N/A")</f>
        <v>1.9</v>
      </c>
      <c r="R445" s="3413" t="s">
        <v>1910</v>
      </c>
      <c r="S445" s="3522">
        <f>IFERROR(VLOOKUP($R445,'LowerCask Recovery Dependencies'!$C$289:$F$382,4,FALSE),"N/A")</f>
        <v>7.3659259259259269</v>
      </c>
      <c r="T445" s="3471">
        <f t="shared" si="74"/>
        <v>35.322975253259237</v>
      </c>
      <c r="U445" s="2424"/>
      <c r="V445" s="2424"/>
      <c r="W445" s="2424"/>
      <c r="X445" s="2424"/>
      <c r="Y445" s="3434"/>
    </row>
    <row r="446" spans="1:25" s="8" customFormat="1" hidden="1" outlineLevel="2" x14ac:dyDescent="0.4">
      <c r="A446"/>
      <c r="B446" s="2038"/>
      <c r="C446" s="3856"/>
      <c r="D446" s="860" t="s">
        <v>1603</v>
      </c>
      <c r="E446" s="860" t="s">
        <v>3</v>
      </c>
      <c r="F446" s="1363">
        <f t="shared" si="72"/>
        <v>0.38</v>
      </c>
      <c r="G446" s="1347">
        <f t="shared" si="73"/>
        <v>44.968901179185167</v>
      </c>
      <c r="H446" s="2041"/>
      <c r="I446" s="1183" t="s">
        <v>263</v>
      </c>
      <c r="J446" s="1579"/>
      <c r="K446" s="582"/>
      <c r="L446" s="582"/>
      <c r="M446" s="1478" t="s">
        <v>263</v>
      </c>
      <c r="N446" s="1478" t="s">
        <v>263</v>
      </c>
      <c r="O446" s="1183" t="str">
        <f t="shared" si="71"/>
        <v>N/A</v>
      </c>
      <c r="P446" s="1725" t="s">
        <v>1544</v>
      </c>
      <c r="Q446" s="2042">
        <f>IF($E446="Logistics",VLOOKUP($P446,'Lower Cask Movement &amp; Logistics'!$C$4:$D$53,2,FALSE),"N/A")</f>
        <v>0.38</v>
      </c>
      <c r="R446" s="3414"/>
      <c r="S446" s="3523" t="str">
        <f>IFERROR(VLOOKUP($R446,'LowerCask Recovery Dependencies'!$C$289:$F$382,4,FALSE),"N/A")</f>
        <v>N/A</v>
      </c>
      <c r="T446" s="3524" t="str">
        <f t="shared" si="74"/>
        <v>N/A</v>
      </c>
      <c r="U446" s="2424"/>
      <c r="V446" s="2424"/>
      <c r="W446" s="2424"/>
      <c r="X446" s="2424"/>
      <c r="Y446" s="3434"/>
    </row>
    <row r="447" spans="1:25" s="8" customFormat="1" hidden="1" outlineLevel="2" x14ac:dyDescent="0.4">
      <c r="A447"/>
      <c r="B447" s="2038"/>
      <c r="C447" s="3856"/>
      <c r="D447" s="860" t="s">
        <v>1604</v>
      </c>
      <c r="E447" s="860" t="s">
        <v>251</v>
      </c>
      <c r="F447" s="1363">
        <f t="shared" si="72"/>
        <v>4.0999999999999996</v>
      </c>
      <c r="G447" s="1347">
        <f t="shared" si="73"/>
        <v>49.068901179185168</v>
      </c>
      <c r="H447" s="2041" t="s">
        <v>1604</v>
      </c>
      <c r="I447" s="1183">
        <v>4.0999999999999996</v>
      </c>
      <c r="J447" s="1579"/>
      <c r="K447" s="582"/>
      <c r="L447" s="582"/>
      <c r="M447" s="1478" t="s">
        <v>263</v>
      </c>
      <c r="N447" s="1478" t="s">
        <v>263</v>
      </c>
      <c r="O447" s="1183" t="str">
        <f t="shared" si="71"/>
        <v>N/A</v>
      </c>
      <c r="P447" s="1725"/>
      <c r="Q447" s="2042" t="str">
        <f>IF($E447="Logistics",VLOOKUP($P447,'Lower Cask Movement &amp; Logistics'!$C$4:$D$53,2,FALSE),"N/A")</f>
        <v>N/A</v>
      </c>
      <c r="R447" s="3414"/>
      <c r="S447" s="3523" t="str">
        <f>IFERROR(VLOOKUP($R447,'LowerCask Recovery Dependencies'!$C$289:$F$382,4,FALSE),"N/A")</f>
        <v>N/A</v>
      </c>
      <c r="T447" s="3524" t="str">
        <f t="shared" si="74"/>
        <v>N/A</v>
      </c>
      <c r="U447" s="2424"/>
      <c r="V447" s="2424"/>
      <c r="W447" s="2424"/>
      <c r="X447" s="2424"/>
      <c r="Y447" s="3434"/>
    </row>
    <row r="448" spans="1:25" s="8" customFormat="1" hidden="1" outlineLevel="2" x14ac:dyDescent="0.4">
      <c r="A448"/>
      <c r="B448" s="2038"/>
      <c r="C448" s="3856"/>
      <c r="D448" s="860" t="s">
        <v>1605</v>
      </c>
      <c r="E448" s="860" t="s">
        <v>3</v>
      </c>
      <c r="F448" s="1363">
        <f t="shared" si="72"/>
        <v>0.38</v>
      </c>
      <c r="G448" s="1347">
        <f t="shared" si="73"/>
        <v>49.448901179185171</v>
      </c>
      <c r="H448" s="2041"/>
      <c r="I448" s="1183" t="s">
        <v>263</v>
      </c>
      <c r="J448" s="1579"/>
      <c r="K448" s="582"/>
      <c r="L448" s="582"/>
      <c r="M448" s="1478" t="s">
        <v>263</v>
      </c>
      <c r="N448" s="1478" t="s">
        <v>263</v>
      </c>
      <c r="O448" s="1183" t="str">
        <f t="shared" si="71"/>
        <v>N/A</v>
      </c>
      <c r="P448" s="1725" t="s">
        <v>1546</v>
      </c>
      <c r="Q448" s="2042">
        <f>IF($E448="Logistics",VLOOKUP($P448,'Lower Cask Movement &amp; Logistics'!$C$4:$D$53,2,FALSE),"N/A")</f>
        <v>0.38</v>
      </c>
      <c r="R448" s="3414"/>
      <c r="S448" s="3523" t="str">
        <f>IFERROR(VLOOKUP($R448,'LowerCask Recovery Dependencies'!$C$289:$F$382,4,FALSE),"N/A")</f>
        <v>N/A</v>
      </c>
      <c r="T448" s="3524" t="str">
        <f t="shared" si="74"/>
        <v>N/A</v>
      </c>
      <c r="U448" s="2424"/>
      <c r="V448" s="2424"/>
      <c r="W448" s="2424"/>
      <c r="X448" s="2424"/>
      <c r="Y448" s="3434"/>
    </row>
    <row r="449" spans="1:25" s="8" customFormat="1" hidden="1" outlineLevel="2" x14ac:dyDescent="0.4">
      <c r="A449"/>
      <c r="B449" s="2038"/>
      <c r="C449" s="3856"/>
      <c r="D449" s="860" t="s">
        <v>1606</v>
      </c>
      <c r="E449" s="860" t="s">
        <v>3</v>
      </c>
      <c r="F449" s="1363">
        <f t="shared" si="72"/>
        <v>0.38</v>
      </c>
      <c r="G449" s="1347">
        <f t="shared" si="73"/>
        <v>49.828901179185173</v>
      </c>
      <c r="H449" s="2041"/>
      <c r="I449" s="1183" t="s">
        <v>263</v>
      </c>
      <c r="J449" s="1579"/>
      <c r="K449" s="582"/>
      <c r="L449" s="582"/>
      <c r="M449" s="1478" t="s">
        <v>263</v>
      </c>
      <c r="N449" s="1478" t="s">
        <v>263</v>
      </c>
      <c r="O449" s="1183" t="str">
        <f t="shared" si="71"/>
        <v>N/A</v>
      </c>
      <c r="P449" s="1725" t="s">
        <v>1544</v>
      </c>
      <c r="Q449" s="2042">
        <f>IF($E449="Logistics",VLOOKUP($P449,'Lower Cask Movement &amp; Logistics'!$C$4:$D$53,2,FALSE),"N/A")</f>
        <v>0.38</v>
      </c>
      <c r="R449" s="3414"/>
      <c r="S449" s="3523" t="str">
        <f>IFERROR(VLOOKUP($R449,'LowerCask Recovery Dependencies'!$C$289:$F$382,4,FALSE),"N/A")</f>
        <v>N/A</v>
      </c>
      <c r="T449" s="3524" t="str">
        <f t="shared" si="74"/>
        <v>N/A</v>
      </c>
      <c r="U449" s="2424"/>
      <c r="V449" s="2424"/>
      <c r="W449" s="2424"/>
      <c r="X449" s="2424"/>
      <c r="Y449" s="3434"/>
    </row>
    <row r="450" spans="1:25" s="8" customFormat="1" hidden="1" outlineLevel="2" x14ac:dyDescent="0.4">
      <c r="A450"/>
      <c r="B450" s="2038"/>
      <c r="C450" s="3856"/>
      <c r="D450" s="860" t="s">
        <v>1607</v>
      </c>
      <c r="E450" s="860" t="s">
        <v>251</v>
      </c>
      <c r="F450" s="1363">
        <f t="shared" si="72"/>
        <v>5.1999999999999993</v>
      </c>
      <c r="G450" s="1347">
        <f t="shared" si="73"/>
        <v>55.028901179185169</v>
      </c>
      <c r="H450" s="2041" t="s">
        <v>270</v>
      </c>
      <c r="I450" s="1183">
        <v>5.1999999999999993</v>
      </c>
      <c r="J450" s="1579"/>
      <c r="K450" s="582"/>
      <c r="L450" s="582"/>
      <c r="M450" s="1478" t="s">
        <v>263</v>
      </c>
      <c r="N450" s="1478" t="s">
        <v>263</v>
      </c>
      <c r="O450" s="1183" t="str">
        <f t="shared" si="71"/>
        <v>N/A</v>
      </c>
      <c r="P450" s="1725"/>
      <c r="Q450" s="2042" t="str">
        <f>IF($E450="Logistics",VLOOKUP($P450,'Lower Cask Movement &amp; Logistics'!$C$4:$D$53,2,FALSE),"N/A")</f>
        <v>N/A</v>
      </c>
      <c r="R450" s="3414"/>
      <c r="S450" s="3523" t="str">
        <f>IFERROR(VLOOKUP($R450,'LowerCask Recovery Dependencies'!$C$289:$F$382,4,FALSE),"N/A")</f>
        <v>N/A</v>
      </c>
      <c r="T450" s="3524" t="str">
        <f t="shared" si="74"/>
        <v>N/A</v>
      </c>
      <c r="U450" s="2424"/>
      <c r="V450" s="2424"/>
      <c r="W450" s="2424"/>
      <c r="X450" s="2424"/>
      <c r="Y450" s="3434"/>
    </row>
    <row r="451" spans="1:25" s="8" customFormat="1" hidden="1" outlineLevel="2" x14ac:dyDescent="0.4">
      <c r="A451"/>
      <c r="B451" s="2038"/>
      <c r="C451" s="3856"/>
      <c r="D451" s="860" t="s">
        <v>1575</v>
      </c>
      <c r="E451" s="860" t="s">
        <v>3</v>
      </c>
      <c r="F451" s="1363">
        <f t="shared" si="72"/>
        <v>0.38</v>
      </c>
      <c r="G451" s="1347">
        <f t="shared" si="73"/>
        <v>55.408901179185172</v>
      </c>
      <c r="H451" s="2041"/>
      <c r="I451" s="1183" t="s">
        <v>263</v>
      </c>
      <c r="J451" s="1579"/>
      <c r="K451" s="582"/>
      <c r="L451" s="582"/>
      <c r="M451" s="1478" t="s">
        <v>263</v>
      </c>
      <c r="N451" s="1478" t="s">
        <v>263</v>
      </c>
      <c r="O451" s="1183" t="str">
        <f t="shared" si="71"/>
        <v>N/A</v>
      </c>
      <c r="P451" s="1725" t="s">
        <v>1546</v>
      </c>
      <c r="Q451" s="2042">
        <f>IF($E451="Logistics",VLOOKUP($P451,'Lower Cask Movement &amp; Logistics'!$C$4:$D$53,2,FALSE),"N/A")</f>
        <v>0.38</v>
      </c>
      <c r="R451" s="3414"/>
      <c r="S451" s="3523" t="str">
        <f>IFERROR(VLOOKUP($R451,'LowerCask Recovery Dependencies'!$C$289:$F$382,4,FALSE),"N/A")</f>
        <v>N/A</v>
      </c>
      <c r="T451" s="3524" t="str">
        <f t="shared" si="74"/>
        <v>N/A</v>
      </c>
      <c r="U451" s="2424"/>
      <c r="V451" s="2424"/>
      <c r="W451" s="2424"/>
      <c r="X451" s="2424"/>
      <c r="Y451" s="3434"/>
    </row>
    <row r="452" spans="1:25" s="8" customFormat="1" ht="15" hidden="1" outlineLevel="2" thickBot="1" x14ac:dyDescent="0.45">
      <c r="A452"/>
      <c r="B452" s="2038"/>
      <c r="C452" s="3853"/>
      <c r="D452" s="837" t="s">
        <v>1911</v>
      </c>
      <c r="E452" s="837" t="s">
        <v>3</v>
      </c>
      <c r="F452" s="2043">
        <f t="shared" si="72"/>
        <v>2.3000000000000003</v>
      </c>
      <c r="G452" s="1295">
        <f t="shared" si="73"/>
        <v>57.708901179185169</v>
      </c>
      <c r="H452" s="1869"/>
      <c r="I452" s="1179" t="s">
        <v>263</v>
      </c>
      <c r="J452" s="1136"/>
      <c r="K452" s="584"/>
      <c r="L452" s="584"/>
      <c r="M452" s="814" t="s">
        <v>263</v>
      </c>
      <c r="N452" s="814" t="s">
        <v>263</v>
      </c>
      <c r="O452" s="1179" t="str">
        <f t="shared" si="71"/>
        <v>N/A</v>
      </c>
      <c r="P452" s="1921" t="s">
        <v>1552</v>
      </c>
      <c r="Q452" s="1922">
        <f>IF($E452="Logistics",VLOOKUP($P452,'Lower Cask Movement &amp; Logistics'!$C$4:$D$53,2,FALSE),"N/A")</f>
        <v>2.3000000000000003</v>
      </c>
      <c r="R452" s="3382"/>
      <c r="S452" s="3488" t="str">
        <f>IFERROR(VLOOKUP($R452,'LowerCask Recovery Dependencies'!$C$289:$F$382,4,FALSE),"N/A")</f>
        <v>N/A</v>
      </c>
      <c r="T452" s="3473" t="str">
        <f t="shared" si="74"/>
        <v>N/A</v>
      </c>
      <c r="U452" s="2424"/>
      <c r="V452" s="2424"/>
      <c r="W452" s="2424"/>
      <c r="X452" s="2424"/>
      <c r="Y452" s="3434"/>
    </row>
    <row r="453" spans="1:25" s="8" customFormat="1" hidden="1" outlineLevel="2" x14ac:dyDescent="0.4">
      <c r="A453"/>
      <c r="B453" s="2038"/>
      <c r="C453" s="3850" t="s">
        <v>1609</v>
      </c>
      <c r="D453" s="566" t="s">
        <v>1602</v>
      </c>
      <c r="E453" s="566" t="s">
        <v>3</v>
      </c>
      <c r="F453" s="567">
        <f t="shared" si="72"/>
        <v>1.9</v>
      </c>
      <c r="G453" s="567">
        <f t="shared" si="73"/>
        <v>59.608901179185168</v>
      </c>
      <c r="H453" s="803"/>
      <c r="I453" s="1575" t="s">
        <v>263</v>
      </c>
      <c r="J453" s="1129"/>
      <c r="K453" s="1619"/>
      <c r="L453" s="1619"/>
      <c r="M453" s="1623" t="s">
        <v>263</v>
      </c>
      <c r="N453" s="1623" t="s">
        <v>263</v>
      </c>
      <c r="O453" s="1575" t="str">
        <f t="shared" si="71"/>
        <v>N/A</v>
      </c>
      <c r="P453" s="1664" t="s">
        <v>1541</v>
      </c>
      <c r="Q453" s="1175">
        <f>IF($E453="Logistics",VLOOKUP($P453,'Lower Cask Movement &amp; Logistics'!$C$4:$D$53,2,FALSE),"N/A")</f>
        <v>1.9</v>
      </c>
      <c r="R453" s="3415" t="s">
        <v>1912</v>
      </c>
      <c r="S453" s="3525">
        <f>IFERROR(VLOOKUP($R453,'LowerCask Recovery Dependencies'!$C$289:$F$382,4,FALSE),"N/A")</f>
        <v>50.082604882888866</v>
      </c>
      <c r="T453" s="3467">
        <f t="shared" si="74"/>
        <v>7.626296296296303</v>
      </c>
      <c r="U453" s="2424"/>
      <c r="V453" s="2424"/>
      <c r="W453" s="2424"/>
      <c r="X453" s="2424"/>
      <c r="Y453" s="3434"/>
    </row>
    <row r="454" spans="1:25" s="8" customFormat="1" hidden="1" outlineLevel="2" x14ac:dyDescent="0.4">
      <c r="A454"/>
      <c r="B454" s="2038"/>
      <c r="C454" s="3854"/>
      <c r="D454" s="573" t="s">
        <v>1606</v>
      </c>
      <c r="E454" s="573" t="s">
        <v>3</v>
      </c>
      <c r="F454" s="1276">
        <f t="shared" si="72"/>
        <v>0.38</v>
      </c>
      <c r="G454" s="626">
        <f t="shared" si="73"/>
        <v>59.98890117918517</v>
      </c>
      <c r="H454" s="1131"/>
      <c r="I454" s="1183" t="s">
        <v>263</v>
      </c>
      <c r="J454" s="1579"/>
      <c r="K454" s="582"/>
      <c r="L454" s="582"/>
      <c r="M454" s="1478" t="s">
        <v>263</v>
      </c>
      <c r="N454" s="1478" t="s">
        <v>263</v>
      </c>
      <c r="O454" s="1183" t="str">
        <f t="shared" si="71"/>
        <v>N/A</v>
      </c>
      <c r="P454" s="1580" t="s">
        <v>1544</v>
      </c>
      <c r="Q454" s="1176">
        <f>IF($E454="Logistics",VLOOKUP($P454,'Lower Cask Movement &amp; Logistics'!$C$4:$D$53,2,FALSE),"N/A")</f>
        <v>0.38</v>
      </c>
      <c r="R454" s="3412"/>
      <c r="S454" s="3520" t="str">
        <f>IFERROR(VLOOKUP($R454,'LowerCask Recovery Dependencies'!$C$289:$F$382,4,FALSE),"N/A")</f>
        <v>N/A</v>
      </c>
      <c r="T454" s="3521" t="str">
        <f t="shared" si="74"/>
        <v>N/A</v>
      </c>
      <c r="U454" s="2424"/>
      <c r="V454" s="2424"/>
      <c r="W454" s="2424"/>
      <c r="X454" s="2424"/>
      <c r="Y454" s="3434"/>
    </row>
    <row r="455" spans="1:25" s="8" customFormat="1" hidden="1" outlineLevel="2" x14ac:dyDescent="0.4">
      <c r="A455"/>
      <c r="B455" s="2038"/>
      <c r="C455" s="3854"/>
      <c r="D455" s="573" t="s">
        <v>1611</v>
      </c>
      <c r="E455" s="573" t="s">
        <v>251</v>
      </c>
      <c r="F455" s="1276">
        <f t="shared" si="72"/>
        <v>1</v>
      </c>
      <c r="G455" s="626">
        <f t="shared" si="73"/>
        <v>60.98890117918517</v>
      </c>
      <c r="H455" s="1131" t="s">
        <v>271</v>
      </c>
      <c r="I455" s="1183">
        <v>1</v>
      </c>
      <c r="J455" s="1579"/>
      <c r="K455" s="582"/>
      <c r="L455" s="582"/>
      <c r="M455" s="1478" t="s">
        <v>263</v>
      </c>
      <c r="N455" s="1478" t="s">
        <v>263</v>
      </c>
      <c r="O455" s="1183" t="str">
        <f t="shared" si="71"/>
        <v>N/A</v>
      </c>
      <c r="P455" s="1580"/>
      <c r="Q455" s="1176" t="str">
        <f>IF($E455="Logistics",VLOOKUP($P455,'Lower Cask Movement &amp; Logistics'!$C$4:$D$53,2,FALSE),"N/A")</f>
        <v>N/A</v>
      </c>
      <c r="R455" s="3412"/>
      <c r="S455" s="3520" t="str">
        <f>IFERROR(VLOOKUP($R455,'LowerCask Recovery Dependencies'!$C$289:$F$382,4,FALSE),"N/A")</f>
        <v>N/A</v>
      </c>
      <c r="T455" s="3521" t="str">
        <f t="shared" si="74"/>
        <v>N/A</v>
      </c>
      <c r="U455" s="2424"/>
      <c r="V455" s="2424"/>
      <c r="W455" s="2424"/>
      <c r="X455" s="2424"/>
      <c r="Y455" s="3434"/>
    </row>
    <row r="456" spans="1:25" s="8" customFormat="1" hidden="1" outlineLevel="2" x14ac:dyDescent="0.4">
      <c r="A456"/>
      <c r="B456" s="2038"/>
      <c r="C456" s="3854"/>
      <c r="D456" s="573" t="s">
        <v>1575</v>
      </c>
      <c r="E456" s="573" t="s">
        <v>3</v>
      </c>
      <c r="F456" s="1276">
        <f t="shared" si="72"/>
        <v>0.38</v>
      </c>
      <c r="G456" s="626">
        <f t="shared" si="73"/>
        <v>61.368901179185173</v>
      </c>
      <c r="H456" s="1131"/>
      <c r="I456" s="1183" t="s">
        <v>263</v>
      </c>
      <c r="J456" s="1579"/>
      <c r="K456" s="582"/>
      <c r="L456" s="582"/>
      <c r="M456" s="1478" t="s">
        <v>263</v>
      </c>
      <c r="N456" s="1478" t="s">
        <v>263</v>
      </c>
      <c r="O456" s="1183" t="str">
        <f t="shared" si="71"/>
        <v>N/A</v>
      </c>
      <c r="P456" s="1580" t="s">
        <v>1546</v>
      </c>
      <c r="Q456" s="1176">
        <f>IF($E456="Logistics",VLOOKUP($P456,'Lower Cask Movement &amp; Logistics'!$C$4:$D$53,2,FALSE),"N/A")</f>
        <v>0.38</v>
      </c>
      <c r="R456" s="3412"/>
      <c r="S456" s="3520" t="str">
        <f>IFERROR(VLOOKUP($R456,'LowerCask Recovery Dependencies'!$C$289:$F$382,4,FALSE),"N/A")</f>
        <v>N/A</v>
      </c>
      <c r="T456" s="3521" t="str">
        <f t="shared" si="74"/>
        <v>N/A</v>
      </c>
      <c r="U456" s="2424"/>
      <c r="V456" s="2424"/>
      <c r="W456" s="2424"/>
      <c r="X456" s="2424"/>
      <c r="Y456" s="3434"/>
    </row>
    <row r="457" spans="1:25" s="8" customFormat="1" ht="15" hidden="1" outlineLevel="2" thickBot="1" x14ac:dyDescent="0.45">
      <c r="A457"/>
      <c r="B457" s="2038"/>
      <c r="C457" s="3851"/>
      <c r="D457" s="584" t="s">
        <v>1612</v>
      </c>
      <c r="E457" s="584" t="s">
        <v>3</v>
      </c>
      <c r="F457" s="1632">
        <f t="shared" si="72"/>
        <v>2.3000000000000003</v>
      </c>
      <c r="G457" s="585">
        <f t="shared" si="73"/>
        <v>63.66890117918517</v>
      </c>
      <c r="H457" s="1136"/>
      <c r="I457" s="1179" t="s">
        <v>263</v>
      </c>
      <c r="J457" s="1136"/>
      <c r="K457" s="584"/>
      <c r="L457" s="584"/>
      <c r="M457" s="814" t="s">
        <v>263</v>
      </c>
      <c r="N457" s="814" t="s">
        <v>263</v>
      </c>
      <c r="O457" s="1179" t="str">
        <f t="shared" si="71"/>
        <v>N/A</v>
      </c>
      <c r="P457" s="1582" t="s">
        <v>1552</v>
      </c>
      <c r="Q457" s="1179">
        <f>IF($E457="Logistics",VLOOKUP($P457,'Lower Cask Movement &amp; Logistics'!$C$4:$D$53,2,FALSE),"N/A")</f>
        <v>2.3000000000000003</v>
      </c>
      <c r="R457" s="3378"/>
      <c r="S457" s="3478" t="str">
        <f>IFERROR(VLOOKUP($R457,'LowerCask Recovery Dependencies'!$C$289:$F$382,4,FALSE),"N/A")</f>
        <v>N/A</v>
      </c>
      <c r="T457" s="3469" t="str">
        <f t="shared" si="74"/>
        <v>N/A</v>
      </c>
      <c r="U457" s="2424"/>
      <c r="V457" s="2424"/>
      <c r="W457" s="2424"/>
      <c r="X457" s="2424"/>
      <c r="Y457" s="3434"/>
    </row>
    <row r="458" spans="1:25" s="8" customFormat="1" hidden="1" outlineLevel="2" x14ac:dyDescent="0.4">
      <c r="A458"/>
      <c r="B458" s="2038"/>
      <c r="C458" s="3860" t="s">
        <v>1613</v>
      </c>
      <c r="D458" s="2044" t="s">
        <v>1602</v>
      </c>
      <c r="E458" s="2044" t="s">
        <v>3</v>
      </c>
      <c r="F458" s="2045">
        <f t="shared" si="72"/>
        <v>1.9</v>
      </c>
      <c r="G458" s="2045">
        <f t="shared" si="73"/>
        <v>70.722604882888874</v>
      </c>
      <c r="H458" s="2046"/>
      <c r="I458" s="2047" t="s">
        <v>263</v>
      </c>
      <c r="J458" s="2048"/>
      <c r="K458" s="2049"/>
      <c r="L458" s="2049"/>
      <c r="M458" s="2050" t="s">
        <v>263</v>
      </c>
      <c r="N458" s="2050" t="s">
        <v>263</v>
      </c>
      <c r="O458" s="2047" t="str">
        <f t="shared" si="71"/>
        <v>N/A</v>
      </c>
      <c r="P458" s="2051" t="s">
        <v>1541</v>
      </c>
      <c r="Q458" s="2052">
        <f>IF($E458="Logistics",VLOOKUP($P458,'Lower Cask Movement &amp; Logistics'!$C$4:$D$53,2,FALSE),"N/A")</f>
        <v>1.9</v>
      </c>
      <c r="R458" s="3416" t="s">
        <v>1614</v>
      </c>
      <c r="S458" s="3526">
        <f>IFERROR(VLOOKUP($R458,'LowerCask Recovery Dependencies'!$C$289:$F$382,4,FALSE),"N/A")</f>
        <v>68.822604882888868</v>
      </c>
      <c r="T458" s="3527">
        <f t="shared" si="74"/>
        <v>-5.1537037037036981</v>
      </c>
      <c r="U458" s="2424"/>
      <c r="V458" s="2424"/>
      <c r="W458" s="2424"/>
      <c r="X458" s="2424"/>
      <c r="Y458" s="3434"/>
    </row>
    <row r="459" spans="1:25" s="8" customFormat="1" hidden="1" outlineLevel="2" x14ac:dyDescent="0.4">
      <c r="A459"/>
      <c r="B459" s="2038"/>
      <c r="C459" s="3861"/>
      <c r="D459" s="2054" t="s">
        <v>1606</v>
      </c>
      <c r="E459" s="2054" t="s">
        <v>3</v>
      </c>
      <c r="F459" s="2055">
        <f t="shared" si="72"/>
        <v>0.38</v>
      </c>
      <c r="G459" s="2056">
        <f t="shared" si="73"/>
        <v>71.102604882888869</v>
      </c>
      <c r="H459" s="2057"/>
      <c r="I459" s="2058" t="s">
        <v>263</v>
      </c>
      <c r="J459" s="2059"/>
      <c r="K459" s="2060"/>
      <c r="L459" s="2060"/>
      <c r="M459" s="2061" t="s">
        <v>263</v>
      </c>
      <c r="N459" s="2061" t="s">
        <v>263</v>
      </c>
      <c r="O459" s="2058" t="str">
        <f t="shared" si="71"/>
        <v>N/A</v>
      </c>
      <c r="P459" s="2062" t="s">
        <v>1544</v>
      </c>
      <c r="Q459" s="2063">
        <f>IF($E459="Logistics",VLOOKUP($P459,'Lower Cask Movement &amp; Logistics'!$C$4:$D$53,2,FALSE),"N/A")</f>
        <v>0.38</v>
      </c>
      <c r="R459" s="3417"/>
      <c r="S459" s="3528" t="str">
        <f>IFERROR(VLOOKUP($R459,'LowerCask Recovery Dependencies'!$C$289:$F$382,4,FALSE),"N/A")</f>
        <v>N/A</v>
      </c>
      <c r="T459" s="3529" t="str">
        <f t="shared" si="74"/>
        <v>N/A</v>
      </c>
      <c r="U459" s="2424"/>
      <c r="V459" s="2424"/>
      <c r="W459" s="2424"/>
      <c r="X459" s="2424"/>
      <c r="Y459" s="3434"/>
    </row>
    <row r="460" spans="1:25" s="8" customFormat="1" hidden="1" outlineLevel="2" x14ac:dyDescent="0.4">
      <c r="A460"/>
      <c r="B460" s="2038"/>
      <c r="C460" s="3861"/>
      <c r="D460" s="2054" t="s">
        <v>1914</v>
      </c>
      <c r="E460" s="2054" t="s">
        <v>251</v>
      </c>
      <c r="F460" s="2055">
        <f t="shared" si="72"/>
        <v>1</v>
      </c>
      <c r="G460" s="2056">
        <f t="shared" si="73"/>
        <v>72.102604882888869</v>
      </c>
      <c r="H460" s="2057" t="s">
        <v>271</v>
      </c>
      <c r="I460" s="2058">
        <v>1</v>
      </c>
      <c r="J460" s="2059"/>
      <c r="K460" s="2060"/>
      <c r="L460" s="2060"/>
      <c r="M460" s="2061" t="s">
        <v>263</v>
      </c>
      <c r="N460" s="2061" t="s">
        <v>263</v>
      </c>
      <c r="O460" s="2058" t="str">
        <f t="shared" si="71"/>
        <v>N/A</v>
      </c>
      <c r="P460" s="2062"/>
      <c r="Q460" s="2063" t="str">
        <f>IF($E460="Logistics",VLOOKUP($P460,'Lower Cask Movement &amp; Logistics'!$C$4:$D$53,2,FALSE),"N/A")</f>
        <v>N/A</v>
      </c>
      <c r="R460" s="3417"/>
      <c r="S460" s="3528" t="str">
        <f>IFERROR(VLOOKUP($R460,'LowerCask Recovery Dependencies'!$C$289:$F$382,4,FALSE),"N/A")</f>
        <v>N/A</v>
      </c>
      <c r="T460" s="3529" t="str">
        <f t="shared" si="74"/>
        <v>N/A</v>
      </c>
      <c r="U460" s="2424"/>
      <c r="V460" s="2424"/>
      <c r="W460" s="2424"/>
      <c r="X460" s="2424"/>
      <c r="Y460" s="3434"/>
    </row>
    <row r="461" spans="1:25" s="8" customFormat="1" hidden="1" outlineLevel="2" x14ac:dyDescent="0.4">
      <c r="A461"/>
      <c r="B461" s="2038"/>
      <c r="C461" s="3861"/>
      <c r="D461" s="2054" t="s">
        <v>1575</v>
      </c>
      <c r="E461" s="2054" t="s">
        <v>3</v>
      </c>
      <c r="F461" s="2055">
        <f t="shared" si="72"/>
        <v>0.38</v>
      </c>
      <c r="G461" s="2056">
        <f t="shared" si="73"/>
        <v>72.482604882888864</v>
      </c>
      <c r="H461" s="2057"/>
      <c r="I461" s="2058" t="s">
        <v>263</v>
      </c>
      <c r="J461" s="2059"/>
      <c r="K461" s="2060"/>
      <c r="L461" s="2060"/>
      <c r="M461" s="2061" t="s">
        <v>263</v>
      </c>
      <c r="N461" s="2061" t="s">
        <v>263</v>
      </c>
      <c r="O461" s="2058" t="str">
        <f t="shared" si="71"/>
        <v>N/A</v>
      </c>
      <c r="P461" s="2062" t="s">
        <v>1546</v>
      </c>
      <c r="Q461" s="2063">
        <f>IF($E461="Logistics",VLOOKUP($P461,'Lower Cask Movement &amp; Logistics'!$C$4:$D$53,2,FALSE),"N/A")</f>
        <v>0.38</v>
      </c>
      <c r="R461" s="3417"/>
      <c r="S461" s="3528" t="str">
        <f>IFERROR(VLOOKUP($R461,'LowerCask Recovery Dependencies'!$C$289:$F$382,4,FALSE),"N/A")</f>
        <v>N/A</v>
      </c>
      <c r="T461" s="3529" t="str">
        <f t="shared" si="74"/>
        <v>N/A</v>
      </c>
      <c r="U461" s="2424"/>
      <c r="V461" s="2424"/>
      <c r="W461" s="2424"/>
      <c r="X461" s="2424"/>
      <c r="Y461" s="3434"/>
    </row>
    <row r="462" spans="1:25" s="8" customFormat="1" ht="15" hidden="1" outlineLevel="2" thickBot="1" x14ac:dyDescent="0.45">
      <c r="A462"/>
      <c r="B462" s="2038"/>
      <c r="C462" s="3862"/>
      <c r="D462" s="2060" t="s">
        <v>2654</v>
      </c>
      <c r="E462" s="2060" t="s">
        <v>3</v>
      </c>
      <c r="F462" s="2065">
        <f t="shared" si="72"/>
        <v>2.3000000000000003</v>
      </c>
      <c r="G462" s="2056">
        <f t="shared" si="73"/>
        <v>74.782604882888862</v>
      </c>
      <c r="H462" s="2059"/>
      <c r="I462" s="2058" t="s">
        <v>263</v>
      </c>
      <c r="J462" s="2059"/>
      <c r="K462" s="2060"/>
      <c r="L462" s="2060"/>
      <c r="M462" s="2061" t="s">
        <v>263</v>
      </c>
      <c r="N462" s="2061" t="s">
        <v>263</v>
      </c>
      <c r="O462" s="2058" t="str">
        <f t="shared" si="71"/>
        <v>N/A</v>
      </c>
      <c r="P462" s="2066" t="s">
        <v>1552</v>
      </c>
      <c r="Q462" s="2058">
        <f>IF($E462="Logistics",VLOOKUP($P462,'Lower Cask Movement &amp; Logistics'!$C$4:$D$53,2,FALSE),"N/A")</f>
        <v>2.3000000000000003</v>
      </c>
      <c r="R462" s="3418"/>
      <c r="S462" s="3530" t="str">
        <f>IFERROR(VLOOKUP($R462,'LowerCask Recovery Dependencies'!$C$289:$F$382,4,FALSE),"N/A")</f>
        <v>N/A</v>
      </c>
      <c r="T462" s="3531" t="str">
        <f t="shared" si="74"/>
        <v>N/A</v>
      </c>
      <c r="U462" s="2424"/>
      <c r="V462" s="2424"/>
      <c r="W462" s="2424"/>
      <c r="X462" s="2424"/>
      <c r="Y462" s="3434"/>
    </row>
    <row r="463" spans="1:25" s="8" customFormat="1" hidden="1" outlineLevel="2" x14ac:dyDescent="0.4">
      <c r="A463"/>
      <c r="B463" s="2038"/>
      <c r="C463" s="3850" t="s">
        <v>1678</v>
      </c>
      <c r="D463" s="566" t="s">
        <v>1679</v>
      </c>
      <c r="E463" s="566" t="s">
        <v>3</v>
      </c>
      <c r="F463" s="1621">
        <f t="shared" si="72"/>
        <v>1.9</v>
      </c>
      <c r="G463" s="1621">
        <f t="shared" si="73"/>
        <v>76.682604882888867</v>
      </c>
      <c r="H463" s="803"/>
      <c r="I463" s="1175" t="s">
        <v>263</v>
      </c>
      <c r="J463" s="803"/>
      <c r="K463" s="566"/>
      <c r="L463" s="566"/>
      <c r="M463" s="570" t="s">
        <v>263</v>
      </c>
      <c r="N463" s="570" t="s">
        <v>263</v>
      </c>
      <c r="O463" s="1175" t="str">
        <f t="shared" si="71"/>
        <v>N/A</v>
      </c>
      <c r="P463" s="1664" t="s">
        <v>1541</v>
      </c>
      <c r="Q463" s="1175">
        <f>IF($E463="Logistics",VLOOKUP($P463,'Lower Cask Movement &amp; Logistics'!$C$4:$D$53,2,FALSE),"N/A")</f>
        <v>1.9</v>
      </c>
      <c r="R463" s="3415" t="s">
        <v>1916</v>
      </c>
      <c r="S463" s="3525">
        <f>IFERROR(VLOOKUP($R463,'LowerCask Recovery Dependencies'!$C$289:$F$382,4,FALSE),"N/A")</f>
        <v>71.155197475481458</v>
      </c>
      <c r="T463" s="3467">
        <f t="shared" si="74"/>
        <v>3.6274074074074036</v>
      </c>
      <c r="U463" s="2424"/>
      <c r="V463" s="2424"/>
      <c r="W463" s="2424"/>
      <c r="X463" s="2424"/>
      <c r="Y463" s="3434"/>
    </row>
    <row r="464" spans="1:25" s="8" customFormat="1" hidden="1" outlineLevel="2" x14ac:dyDescent="0.4">
      <c r="A464"/>
      <c r="B464" s="2038"/>
      <c r="C464" s="3854"/>
      <c r="D464" s="573" t="s">
        <v>1606</v>
      </c>
      <c r="E464" s="573" t="s">
        <v>3</v>
      </c>
      <c r="F464" s="626">
        <f t="shared" si="72"/>
        <v>0.38</v>
      </c>
      <c r="G464" s="626">
        <f t="shared" si="73"/>
        <v>77.062604882888863</v>
      </c>
      <c r="H464" s="1131"/>
      <c r="I464" s="1176" t="s">
        <v>263</v>
      </c>
      <c r="J464" s="1131"/>
      <c r="K464" s="573"/>
      <c r="L464" s="573"/>
      <c r="M464" s="853" t="s">
        <v>263</v>
      </c>
      <c r="N464" s="853" t="s">
        <v>263</v>
      </c>
      <c r="O464" s="1176" t="str">
        <f t="shared" si="71"/>
        <v>N/A</v>
      </c>
      <c r="P464" s="1580" t="s">
        <v>1544</v>
      </c>
      <c r="Q464" s="1176">
        <f>IF($E464="Logistics",VLOOKUP($P464,'Lower Cask Movement &amp; Logistics'!$C$4:$D$53,2,FALSE),"N/A")</f>
        <v>0.38</v>
      </c>
      <c r="R464" s="3412"/>
      <c r="S464" s="3520" t="str">
        <f>IFERROR(VLOOKUP($R464,'LowerCask Recovery Dependencies'!$C$289:$F$382,4,FALSE),"N/A")</f>
        <v>N/A</v>
      </c>
      <c r="T464" s="3521" t="str">
        <f t="shared" si="74"/>
        <v>N/A</v>
      </c>
      <c r="U464" s="2424"/>
      <c r="V464" s="2424"/>
      <c r="W464" s="2424"/>
      <c r="X464" s="2424"/>
      <c r="Y464" s="3434"/>
    </row>
    <row r="465" spans="1:25" s="8" customFormat="1" hidden="1" outlineLevel="2" x14ac:dyDescent="0.4">
      <c r="A465"/>
      <c r="B465" s="2038"/>
      <c r="C465" s="3854"/>
      <c r="D465" s="573" t="s">
        <v>1681</v>
      </c>
      <c r="E465" s="573" t="s">
        <v>251</v>
      </c>
      <c r="F465" s="626">
        <f t="shared" si="72"/>
        <v>1</v>
      </c>
      <c r="G465" s="626">
        <f t="shared" si="73"/>
        <v>78.062604882888863</v>
      </c>
      <c r="H465" s="1131" t="s">
        <v>274</v>
      </c>
      <c r="I465" s="1176">
        <v>1</v>
      </c>
      <c r="J465" s="1131"/>
      <c r="K465" s="573"/>
      <c r="L465" s="573"/>
      <c r="M465" s="853" t="s">
        <v>263</v>
      </c>
      <c r="N465" s="853" t="s">
        <v>263</v>
      </c>
      <c r="O465" s="1176" t="str">
        <f t="shared" si="71"/>
        <v>N/A</v>
      </c>
      <c r="P465" s="1580"/>
      <c r="Q465" s="1176" t="str">
        <f>IF($E465="Logistics",VLOOKUP($P465,'Lower Cask Movement &amp; Logistics'!$C$4:$D$53,2,FALSE),"N/A")</f>
        <v>N/A</v>
      </c>
      <c r="R465" s="3412"/>
      <c r="S465" s="3520" t="str">
        <f>IFERROR(VLOOKUP($R465,'LowerCask Recovery Dependencies'!$C$289:$F$382,4,FALSE),"N/A")</f>
        <v>N/A</v>
      </c>
      <c r="T465" s="3521" t="str">
        <f t="shared" si="74"/>
        <v>N/A</v>
      </c>
      <c r="U465" s="2424"/>
      <c r="V465" s="2424"/>
      <c r="W465" s="2424"/>
      <c r="X465" s="2424"/>
      <c r="Y465" s="3434"/>
    </row>
    <row r="466" spans="1:25" s="8" customFormat="1" hidden="1" outlineLevel="2" x14ac:dyDescent="0.4">
      <c r="A466"/>
      <c r="B466" s="2038"/>
      <c r="C466" s="3854"/>
      <c r="D466" s="582" t="s">
        <v>1575</v>
      </c>
      <c r="E466" s="582" t="s">
        <v>3</v>
      </c>
      <c r="F466" s="626">
        <f t="shared" si="72"/>
        <v>0.38</v>
      </c>
      <c r="G466" s="626">
        <f t="shared" si="73"/>
        <v>78.442604882888858</v>
      </c>
      <c r="H466" s="1579"/>
      <c r="I466" s="1183" t="s">
        <v>263</v>
      </c>
      <c r="J466" s="1579"/>
      <c r="K466" s="582"/>
      <c r="L466" s="582"/>
      <c r="M466" s="1478" t="s">
        <v>263</v>
      </c>
      <c r="N466" s="1478" t="s">
        <v>263</v>
      </c>
      <c r="O466" s="1183" t="str">
        <f t="shared" si="71"/>
        <v>N/A</v>
      </c>
      <c r="P466" s="1578" t="s">
        <v>1546</v>
      </c>
      <c r="Q466" s="1183">
        <f>IF($E466="Logistics",VLOOKUP($P466,'Lower Cask Movement &amp; Logistics'!$C$4:$D$53,2,FALSE),"N/A")</f>
        <v>0.38</v>
      </c>
      <c r="R466" s="3377"/>
      <c r="S466" s="3476" t="str">
        <f>IFERROR(VLOOKUP($R466,'LowerCask Recovery Dependencies'!$C$289:$F$382,4,FALSE),"N/A")</f>
        <v>N/A</v>
      </c>
      <c r="T466" s="3477" t="str">
        <f t="shared" si="74"/>
        <v>N/A</v>
      </c>
      <c r="U466" s="2424"/>
      <c r="V466" s="2424"/>
      <c r="W466" s="2424"/>
      <c r="X466" s="2424"/>
      <c r="Y466" s="3434"/>
    </row>
    <row r="467" spans="1:25" s="8" customFormat="1" ht="15" hidden="1" outlineLevel="2" thickBot="1" x14ac:dyDescent="0.45">
      <c r="A467"/>
      <c r="B467" s="2038"/>
      <c r="C467" s="3851"/>
      <c r="D467" s="584" t="s">
        <v>1682</v>
      </c>
      <c r="E467" s="584" t="s">
        <v>3</v>
      </c>
      <c r="F467" s="585">
        <f t="shared" si="72"/>
        <v>2.3000000000000003</v>
      </c>
      <c r="G467" s="585">
        <f t="shared" si="73"/>
        <v>80.742604882888855</v>
      </c>
      <c r="H467" s="1136"/>
      <c r="I467" s="1179" t="s">
        <v>263</v>
      </c>
      <c r="J467" s="1136"/>
      <c r="K467" s="584"/>
      <c r="L467" s="584"/>
      <c r="M467" s="814" t="s">
        <v>263</v>
      </c>
      <c r="N467" s="814" t="s">
        <v>263</v>
      </c>
      <c r="O467" s="1179" t="str">
        <f t="shared" si="71"/>
        <v>N/A</v>
      </c>
      <c r="P467" s="1582" t="s">
        <v>1552</v>
      </c>
      <c r="Q467" s="1179">
        <f>IF($E467="Logistics",VLOOKUP($P467,'Lower Cask Movement &amp; Logistics'!$C$4:$D$53,2,FALSE),"N/A")</f>
        <v>2.3000000000000003</v>
      </c>
      <c r="R467" s="3378"/>
      <c r="S467" s="3478" t="str">
        <f>IFERROR(VLOOKUP($R467,'LowerCask Recovery Dependencies'!$C$289:$F$382,4,FALSE),"N/A")</f>
        <v>N/A</v>
      </c>
      <c r="T467" s="3469" t="str">
        <f t="shared" si="74"/>
        <v>N/A</v>
      </c>
      <c r="U467" s="2424"/>
      <c r="V467" s="2424"/>
      <c r="W467" s="2424"/>
      <c r="X467" s="2424"/>
      <c r="Y467" s="3434"/>
    </row>
    <row r="468" spans="1:25" s="8" customFormat="1" hidden="1" outlineLevel="2" x14ac:dyDescent="0.4">
      <c r="A468"/>
      <c r="B468" s="2038"/>
      <c r="C468" s="3852" t="s">
        <v>1683</v>
      </c>
      <c r="D468" s="2068" t="s">
        <v>1602</v>
      </c>
      <c r="E468" s="2068" t="s">
        <v>3</v>
      </c>
      <c r="F468" s="1363">
        <f t="shared" si="72"/>
        <v>1.9</v>
      </c>
      <c r="G468" s="1885">
        <f t="shared" si="73"/>
        <v>84.168901179185156</v>
      </c>
      <c r="H468" s="866"/>
      <c r="I468" s="2069" t="s">
        <v>263</v>
      </c>
      <c r="J468" s="866"/>
      <c r="K468" s="2068"/>
      <c r="L468" s="2068"/>
      <c r="M468" s="1890" t="s">
        <v>263</v>
      </c>
      <c r="N468" s="1890" t="s">
        <v>263</v>
      </c>
      <c r="O468" s="1894" t="str">
        <f t="shared" si="71"/>
        <v>N/A</v>
      </c>
      <c r="P468" s="2070" t="s">
        <v>1541</v>
      </c>
      <c r="Q468" s="2069">
        <f>IF($E468="Logistics",VLOOKUP($P468,'Lower Cask Movement &amp; Logistics'!$C$4:$D$53,2,FALSE),"N/A")</f>
        <v>1.9</v>
      </c>
      <c r="R468" s="3419" t="s">
        <v>2655</v>
      </c>
      <c r="S468" s="3532">
        <f>IFERROR(VLOOKUP($R468,'LowerCask Recovery Dependencies'!$C$289:$F$382,4,FALSE),"N/A")</f>
        <v>82.26890117918515</v>
      </c>
      <c r="T468" s="3533">
        <f t="shared" si="74"/>
        <v>-1.5262962962962945</v>
      </c>
      <c r="U468" s="2424"/>
      <c r="V468" s="2424"/>
      <c r="W468" s="2424"/>
      <c r="X468" s="2424"/>
      <c r="Y468" s="3434"/>
    </row>
    <row r="469" spans="1:25" s="8" customFormat="1" hidden="1" outlineLevel="2" x14ac:dyDescent="0.4">
      <c r="A469"/>
      <c r="B469" s="2038"/>
      <c r="C469" s="3856"/>
      <c r="D469" s="860" t="s">
        <v>1606</v>
      </c>
      <c r="E469" s="860" t="s">
        <v>3</v>
      </c>
      <c r="F469" s="1363">
        <f t="shared" si="72"/>
        <v>0.38</v>
      </c>
      <c r="G469" s="1347">
        <f t="shared" si="73"/>
        <v>84.548901179185151</v>
      </c>
      <c r="H469" s="2041"/>
      <c r="I469" s="2042" t="s">
        <v>263</v>
      </c>
      <c r="J469" s="2041"/>
      <c r="K469" s="860"/>
      <c r="L469" s="860"/>
      <c r="M469" s="865" t="s">
        <v>263</v>
      </c>
      <c r="N469" s="865" t="s">
        <v>263</v>
      </c>
      <c r="O469" s="2042" t="str">
        <f t="shared" si="71"/>
        <v>N/A</v>
      </c>
      <c r="P469" s="1725" t="s">
        <v>1544</v>
      </c>
      <c r="Q469" s="2042">
        <f>IF($E469="Logistics",VLOOKUP($P469,'Lower Cask Movement &amp; Logistics'!$C$4:$D$53,2,FALSE),"N/A")</f>
        <v>0.38</v>
      </c>
      <c r="R469" s="3414"/>
      <c r="S469" s="3523" t="str">
        <f>IFERROR(VLOOKUP($R469,'LowerCask Recovery Dependencies'!$C$289:$F$382,4,FALSE),"N/A")</f>
        <v>N/A</v>
      </c>
      <c r="T469" s="3524" t="str">
        <f t="shared" si="74"/>
        <v>N/A</v>
      </c>
      <c r="U469" s="2424"/>
      <c r="V469" s="2424"/>
      <c r="W469" s="2424"/>
      <c r="X469" s="2424"/>
      <c r="Y469" s="3434"/>
    </row>
    <row r="470" spans="1:25" s="8" customFormat="1" hidden="1" outlineLevel="2" x14ac:dyDescent="0.4">
      <c r="A470"/>
      <c r="B470" s="2038"/>
      <c r="C470" s="3856"/>
      <c r="D470" s="860" t="s">
        <v>1685</v>
      </c>
      <c r="E470" s="860" t="s">
        <v>251</v>
      </c>
      <c r="F470" s="1363">
        <f t="shared" si="72"/>
        <v>1</v>
      </c>
      <c r="G470" s="1347">
        <f t="shared" si="73"/>
        <v>85.548901179185151</v>
      </c>
      <c r="H470" s="2041" t="s">
        <v>274</v>
      </c>
      <c r="I470" s="2042">
        <v>1</v>
      </c>
      <c r="J470" s="2041"/>
      <c r="K470" s="860"/>
      <c r="L470" s="860"/>
      <c r="M470" s="865" t="s">
        <v>263</v>
      </c>
      <c r="N470" s="865" t="s">
        <v>263</v>
      </c>
      <c r="O470" s="2042" t="str">
        <f t="shared" si="71"/>
        <v>N/A</v>
      </c>
      <c r="P470" s="1725"/>
      <c r="Q470" s="2042" t="str">
        <f>IF($E470="Logistics",VLOOKUP($P470,'Lower Cask Movement &amp; Logistics'!$C$4:$D$53,2,FALSE),"N/A")</f>
        <v>N/A</v>
      </c>
      <c r="R470" s="3414"/>
      <c r="S470" s="3523" t="str">
        <f>IFERROR(VLOOKUP($R470,'LowerCask Recovery Dependencies'!$C$289:$F$382,4,FALSE),"N/A")</f>
        <v>N/A</v>
      </c>
      <c r="T470" s="3524" t="str">
        <f t="shared" si="74"/>
        <v>N/A</v>
      </c>
      <c r="U470" s="2424"/>
      <c r="V470" s="2424"/>
      <c r="W470" s="2424"/>
      <c r="X470" s="2424"/>
      <c r="Y470" s="3434"/>
    </row>
    <row r="471" spans="1:25" s="8" customFormat="1" hidden="1" outlineLevel="2" x14ac:dyDescent="0.4">
      <c r="A471"/>
      <c r="B471" s="2038"/>
      <c r="C471" s="3856"/>
      <c r="D471" s="1897" t="s">
        <v>1575</v>
      </c>
      <c r="E471" s="1897" t="s">
        <v>3</v>
      </c>
      <c r="F471" s="1885">
        <f t="shared" si="72"/>
        <v>0.38</v>
      </c>
      <c r="G471" s="1347">
        <f t="shared" si="73"/>
        <v>85.928901179185146</v>
      </c>
      <c r="H471" s="1895"/>
      <c r="I471" s="1903" t="s">
        <v>263</v>
      </c>
      <c r="J471" s="1895"/>
      <c r="K471" s="1897"/>
      <c r="L471" s="1897"/>
      <c r="M471" s="1898" t="s">
        <v>263</v>
      </c>
      <c r="N471" s="1898" t="s">
        <v>263</v>
      </c>
      <c r="O471" s="1903" t="str">
        <f t="shared" si="71"/>
        <v>N/A</v>
      </c>
      <c r="P471" s="1902" t="s">
        <v>1546</v>
      </c>
      <c r="Q471" s="1903">
        <f>IF($E471="Logistics",VLOOKUP($P471,'Lower Cask Movement &amp; Logistics'!$C$4:$D$53,2,FALSE),"N/A")</f>
        <v>0.38</v>
      </c>
      <c r="R471" s="3380"/>
      <c r="S471" s="3481" t="str">
        <f>IFERROR(VLOOKUP($R471,'LowerCask Recovery Dependencies'!$C$289:$F$382,4,FALSE),"N/A")</f>
        <v>N/A</v>
      </c>
      <c r="T471" s="3482" t="str">
        <f t="shared" si="74"/>
        <v>N/A</v>
      </c>
      <c r="U471" s="2424"/>
      <c r="V471" s="2424"/>
      <c r="W471" s="2424"/>
      <c r="X471" s="2424"/>
      <c r="Y471" s="3434"/>
    </row>
    <row r="472" spans="1:25" s="8" customFormat="1" ht="15" hidden="1" outlineLevel="2" thickBot="1" x14ac:dyDescent="0.45">
      <c r="A472"/>
      <c r="B472" s="2038"/>
      <c r="C472" s="3853"/>
      <c r="D472" s="1897" t="s">
        <v>1686</v>
      </c>
      <c r="E472" s="1897" t="s">
        <v>3</v>
      </c>
      <c r="F472" s="1885">
        <f t="shared" si="72"/>
        <v>2.3000000000000003</v>
      </c>
      <c r="G472" s="1347">
        <f t="shared" si="73"/>
        <v>88.228901179185144</v>
      </c>
      <c r="H472" s="1895"/>
      <c r="I472" s="1903" t="s">
        <v>263</v>
      </c>
      <c r="J472" s="1895"/>
      <c r="K472" s="1897"/>
      <c r="L472" s="1897"/>
      <c r="M472" s="1898" t="s">
        <v>263</v>
      </c>
      <c r="N472" s="1898" t="s">
        <v>263</v>
      </c>
      <c r="O472" s="1903" t="str">
        <f t="shared" si="71"/>
        <v>N/A</v>
      </c>
      <c r="P472" s="1902" t="s">
        <v>1552</v>
      </c>
      <c r="Q472" s="1903">
        <f>IF($E472="Logistics",VLOOKUP($P472,'Lower Cask Movement &amp; Logistics'!$C$4:$D$53,2,FALSE),"N/A")</f>
        <v>2.3000000000000003</v>
      </c>
      <c r="R472" s="3380"/>
      <c r="S472" s="3481" t="str">
        <f>IFERROR(VLOOKUP($R472,'LowerCask Recovery Dependencies'!$C$289:$F$382,4,FALSE),"N/A")</f>
        <v>N/A</v>
      </c>
      <c r="T472" s="3482" t="str">
        <f t="shared" si="74"/>
        <v>N/A</v>
      </c>
      <c r="U472" s="2424"/>
      <c r="V472" s="2424"/>
      <c r="W472" s="2424"/>
      <c r="X472" s="2424"/>
      <c r="Y472" s="3434"/>
    </row>
    <row r="473" spans="1:25" s="8" customFormat="1" hidden="1" outlineLevel="2" x14ac:dyDescent="0.4">
      <c r="A473"/>
      <c r="B473" s="2038"/>
      <c r="C473" s="3850" t="s">
        <v>275</v>
      </c>
      <c r="D473" s="566" t="s">
        <v>1602</v>
      </c>
      <c r="E473" s="566" t="s">
        <v>3</v>
      </c>
      <c r="F473" s="567">
        <f t="shared" si="72"/>
        <v>1.9</v>
      </c>
      <c r="G473" s="1621">
        <f t="shared" si="73"/>
        <v>90.128901179185149</v>
      </c>
      <c r="H473" s="803"/>
      <c r="I473" s="1175" t="s">
        <v>263</v>
      </c>
      <c r="J473" s="803"/>
      <c r="K473" s="566"/>
      <c r="L473" s="566"/>
      <c r="M473" s="1623" t="s">
        <v>263</v>
      </c>
      <c r="N473" s="1623" t="s">
        <v>263</v>
      </c>
      <c r="O473" s="1575" t="str">
        <f t="shared" si="71"/>
        <v>N/A</v>
      </c>
      <c r="P473" s="1664" t="s">
        <v>1541</v>
      </c>
      <c r="Q473" s="1175">
        <f>IF($E473="Logistics",VLOOKUP($P473,'Lower Cask Movement &amp; Logistics'!$C$4:$D$53,2,FALSE),"N/A")</f>
        <v>1.9</v>
      </c>
      <c r="R473" s="3376" t="s">
        <v>1934</v>
      </c>
      <c r="S473" s="3525">
        <f>IFERROR(VLOOKUP($R473,'LowerCask Recovery Dependencies'!$C$289:$F$382,4,FALSE),"N/A")</f>
        <v>87.417419697703664</v>
      </c>
      <c r="T473" s="3467">
        <f t="shared" si="74"/>
        <v>0.81148148148147925</v>
      </c>
      <c r="U473" s="2424"/>
      <c r="V473" s="2424"/>
      <c r="W473" s="2424"/>
      <c r="X473" s="2424"/>
      <c r="Y473" s="3434"/>
    </row>
    <row r="474" spans="1:25" s="8" customFormat="1" hidden="1" outlineLevel="2" x14ac:dyDescent="0.4">
      <c r="A474"/>
      <c r="B474" s="2038"/>
      <c r="C474" s="3854"/>
      <c r="D474" s="573" t="s">
        <v>1606</v>
      </c>
      <c r="E474" s="573" t="s">
        <v>3</v>
      </c>
      <c r="F474" s="1276">
        <f t="shared" si="72"/>
        <v>0.38</v>
      </c>
      <c r="G474" s="626">
        <f t="shared" si="73"/>
        <v>90.508901179185145</v>
      </c>
      <c r="H474" s="1131"/>
      <c r="I474" s="1176" t="s">
        <v>263</v>
      </c>
      <c r="J474" s="1131"/>
      <c r="K474" s="573"/>
      <c r="L474" s="573"/>
      <c r="M474" s="853" t="s">
        <v>263</v>
      </c>
      <c r="N474" s="853" t="s">
        <v>263</v>
      </c>
      <c r="O474" s="1176" t="str">
        <f t="shared" si="71"/>
        <v>N/A</v>
      </c>
      <c r="P474" s="1580" t="s">
        <v>1544</v>
      </c>
      <c r="Q474" s="1176">
        <f>IF($E474="Logistics",VLOOKUP($P474,'Lower Cask Movement &amp; Logistics'!$C$4:$D$53,2,FALSE),"N/A")</f>
        <v>0.38</v>
      </c>
      <c r="R474" s="3412"/>
      <c r="S474" s="3520" t="str">
        <f>IFERROR(VLOOKUP($R474,'LowerCask Recovery Dependencies'!$C$289:$F$382,4,FALSE),"N/A")</f>
        <v>N/A</v>
      </c>
      <c r="T474" s="3521" t="str">
        <f t="shared" si="74"/>
        <v>N/A</v>
      </c>
      <c r="U474" s="2424"/>
      <c r="V474" s="2424"/>
      <c r="W474" s="2424"/>
      <c r="X474" s="2424"/>
      <c r="Y474" s="3434"/>
    </row>
    <row r="475" spans="1:25" s="8" customFormat="1" hidden="1" outlineLevel="2" x14ac:dyDescent="0.4">
      <c r="A475"/>
      <c r="B475" s="2038"/>
      <c r="C475" s="3854"/>
      <c r="D475" s="573" t="s">
        <v>1681</v>
      </c>
      <c r="E475" s="573" t="s">
        <v>251</v>
      </c>
      <c r="F475" s="1276">
        <f t="shared" si="72"/>
        <v>0.8</v>
      </c>
      <c r="G475" s="626">
        <f t="shared" si="73"/>
        <v>91.308901179185142</v>
      </c>
      <c r="H475" s="1131" t="s">
        <v>275</v>
      </c>
      <c r="I475" s="1176">
        <v>0.8</v>
      </c>
      <c r="J475" s="1131"/>
      <c r="K475" s="573"/>
      <c r="L475" s="573"/>
      <c r="M475" s="853" t="s">
        <v>263</v>
      </c>
      <c r="N475" s="853" t="s">
        <v>263</v>
      </c>
      <c r="O475" s="1176" t="str">
        <f t="shared" si="71"/>
        <v>N/A</v>
      </c>
      <c r="P475" s="1580"/>
      <c r="Q475" s="1176" t="str">
        <f>IF($E475="Logistics",VLOOKUP($P475,'Lower Cask Movement &amp; Logistics'!$C$4:$D$53,2,FALSE),"N/A")</f>
        <v>N/A</v>
      </c>
      <c r="R475" s="3412"/>
      <c r="S475" s="3520" t="str">
        <f>IFERROR(VLOOKUP($R475,'LowerCask Recovery Dependencies'!$C$289:$F$382,4,FALSE),"N/A")</f>
        <v>N/A</v>
      </c>
      <c r="T475" s="3521" t="str">
        <f t="shared" si="74"/>
        <v>N/A</v>
      </c>
      <c r="U475" s="2424"/>
      <c r="V475" s="2424"/>
      <c r="W475" s="2424"/>
      <c r="X475" s="2424"/>
      <c r="Y475" s="3434"/>
    </row>
    <row r="476" spans="1:25" s="8" customFormat="1" hidden="1" outlineLevel="2" x14ac:dyDescent="0.4">
      <c r="A476"/>
      <c r="B476" s="2038"/>
      <c r="C476" s="3854"/>
      <c r="D476" s="573" t="s">
        <v>1575</v>
      </c>
      <c r="E476" s="573" t="s">
        <v>3</v>
      </c>
      <c r="F476" s="1276">
        <f t="shared" si="72"/>
        <v>0.38</v>
      </c>
      <c r="G476" s="626">
        <f t="shared" si="73"/>
        <v>91.688901179185137</v>
      </c>
      <c r="H476" s="1131"/>
      <c r="I476" s="1176" t="s">
        <v>263</v>
      </c>
      <c r="J476" s="1131"/>
      <c r="K476" s="573"/>
      <c r="L476" s="573"/>
      <c r="M476" s="853" t="s">
        <v>263</v>
      </c>
      <c r="N476" s="853" t="s">
        <v>263</v>
      </c>
      <c r="O476" s="1176" t="str">
        <f t="shared" si="71"/>
        <v>N/A</v>
      </c>
      <c r="P476" s="1580" t="s">
        <v>1546</v>
      </c>
      <c r="Q476" s="1176">
        <f>IF($E476="Logistics",VLOOKUP($P476,'Lower Cask Movement &amp; Logistics'!$C$4:$D$53,2,FALSE),"N/A")</f>
        <v>0.38</v>
      </c>
      <c r="R476" s="3412"/>
      <c r="S476" s="3520" t="str">
        <f>IFERROR(VLOOKUP($R476,'LowerCask Recovery Dependencies'!$C$289:$F$382,4,FALSE),"N/A")</f>
        <v>N/A</v>
      </c>
      <c r="T476" s="3521" t="str">
        <f t="shared" si="74"/>
        <v>N/A</v>
      </c>
      <c r="U476" s="2424"/>
      <c r="V476" s="2424"/>
      <c r="W476" s="2424"/>
      <c r="X476" s="2424"/>
      <c r="Y476" s="3434"/>
    </row>
    <row r="477" spans="1:25" s="8" customFormat="1" ht="15" hidden="1" outlineLevel="2" thickBot="1" x14ac:dyDescent="0.45">
      <c r="A477"/>
      <c r="B477" s="2038"/>
      <c r="C477" s="3851"/>
      <c r="D477" s="584" t="s">
        <v>1688</v>
      </c>
      <c r="E477" s="584" t="s">
        <v>3</v>
      </c>
      <c r="F477" s="1632">
        <f t="shared" si="72"/>
        <v>2.3000000000000003</v>
      </c>
      <c r="G477" s="585">
        <f t="shared" si="73"/>
        <v>93.988901179185135</v>
      </c>
      <c r="H477" s="1136"/>
      <c r="I477" s="1179" t="s">
        <v>263</v>
      </c>
      <c r="J477" s="1136"/>
      <c r="K477" s="584"/>
      <c r="L477" s="584"/>
      <c r="M477" s="814" t="s">
        <v>263</v>
      </c>
      <c r="N477" s="814" t="s">
        <v>263</v>
      </c>
      <c r="O477" s="1179" t="str">
        <f t="shared" si="71"/>
        <v>N/A</v>
      </c>
      <c r="P477" s="1582" t="s">
        <v>1552</v>
      </c>
      <c r="Q477" s="1179">
        <f>IF($E477="Logistics",VLOOKUP($P477,'Lower Cask Movement &amp; Logistics'!$C$4:$D$53,2,FALSE),"N/A")</f>
        <v>2.3000000000000003</v>
      </c>
      <c r="R477" s="3378"/>
      <c r="S477" s="3478" t="str">
        <f>IFERROR(VLOOKUP($R477,'LowerCask Recovery Dependencies'!$C$289:$F$382,4,FALSE),"N/A")</f>
        <v>N/A</v>
      </c>
      <c r="T477" s="3469" t="str">
        <f t="shared" si="74"/>
        <v>N/A</v>
      </c>
      <c r="U477" s="2424"/>
      <c r="V477" s="2424"/>
      <c r="W477" s="2424"/>
      <c r="X477" s="2424"/>
      <c r="Y477" s="3434"/>
    </row>
    <row r="478" spans="1:25" s="8" customFormat="1" hidden="1" outlineLevel="2" x14ac:dyDescent="0.4">
      <c r="A478"/>
      <c r="B478" s="2038"/>
      <c r="C478" s="3852" t="s">
        <v>1689</v>
      </c>
      <c r="D478" s="1906" t="s">
        <v>1619</v>
      </c>
      <c r="E478" s="1907" t="s">
        <v>3</v>
      </c>
      <c r="F478" s="1739">
        <f t="shared" si="72"/>
        <v>1.9</v>
      </c>
      <c r="G478" s="1739">
        <f t="shared" si="73"/>
        <v>95.88890117918514</v>
      </c>
      <c r="H478" s="1906"/>
      <c r="I478" s="1917" t="s">
        <v>263</v>
      </c>
      <c r="J478" s="1906"/>
      <c r="K478" s="1911"/>
      <c r="L478" s="1911"/>
      <c r="M478" s="1912" t="s">
        <v>263</v>
      </c>
      <c r="N478" s="1912" t="s">
        <v>263</v>
      </c>
      <c r="O478" s="1917" t="str">
        <f t="shared" si="71"/>
        <v>N/A</v>
      </c>
      <c r="P478" s="1916" t="s">
        <v>1541</v>
      </c>
      <c r="Q478" s="1917">
        <f>IF($E478="Logistics",VLOOKUP($P478,'Lower Cask Movement &amp; Logistics'!$C$4:$D$53,2,FALSE),"N/A")</f>
        <v>1.9</v>
      </c>
      <c r="R478" s="3381" t="s">
        <v>1918</v>
      </c>
      <c r="S478" s="3486">
        <f>IFERROR(VLOOKUP($R478,'LowerCask Recovery Dependencies'!$C$289:$F$382,4,FALSE),"N/A")</f>
        <v>65.195197475481464</v>
      </c>
      <c r="T478" s="3487">
        <f t="shared" si="74"/>
        <v>28.79370370370367</v>
      </c>
      <c r="U478" s="2424"/>
      <c r="V478" s="2424"/>
      <c r="W478" s="2424"/>
      <c r="X478" s="2424"/>
      <c r="Y478" s="3434"/>
    </row>
    <row r="479" spans="1:25" s="8" customFormat="1" hidden="1" outlineLevel="2" x14ac:dyDescent="0.4">
      <c r="A479"/>
      <c r="B479" s="2038"/>
      <c r="C479" s="3856"/>
      <c r="D479" s="1895" t="s">
        <v>1247</v>
      </c>
      <c r="E479" s="1896" t="s">
        <v>3</v>
      </c>
      <c r="F479" s="1347">
        <f t="shared" si="72"/>
        <v>0.38</v>
      </c>
      <c r="G479" s="1347">
        <f t="shared" si="73"/>
        <v>96.268901179185136</v>
      </c>
      <c r="H479" s="1895"/>
      <c r="I479" s="1903" t="s">
        <v>263</v>
      </c>
      <c r="J479" s="1895"/>
      <c r="K479" s="1897"/>
      <c r="L479" s="1897"/>
      <c r="M479" s="1898" t="s">
        <v>263</v>
      </c>
      <c r="N479" s="1898" t="s">
        <v>263</v>
      </c>
      <c r="O479" s="1903" t="str">
        <f t="shared" si="71"/>
        <v>N/A</v>
      </c>
      <c r="P479" s="1902" t="s">
        <v>1544</v>
      </c>
      <c r="Q479" s="1903">
        <f>IF($E479="Logistics",VLOOKUP($P479,'Lower Cask Movement &amp; Logistics'!$C$4:$D$53,2,FALSE),"N/A")</f>
        <v>0.38</v>
      </c>
      <c r="R479" s="3380"/>
      <c r="S479" s="3481" t="str">
        <f>IFERROR(VLOOKUP($R479,'LowerCask Recovery Dependencies'!$C$289:$F$382,4,FALSE),"N/A")</f>
        <v>N/A</v>
      </c>
      <c r="T479" s="3482" t="str">
        <f t="shared" si="74"/>
        <v>N/A</v>
      </c>
      <c r="U479" s="2424"/>
      <c r="V479" s="2424"/>
      <c r="W479" s="2424"/>
      <c r="X479" s="2424"/>
      <c r="Y479" s="3434"/>
    </row>
    <row r="480" spans="1:25" s="8" customFormat="1" hidden="1" outlineLevel="2" x14ac:dyDescent="0.4">
      <c r="A480"/>
      <c r="B480" s="2038"/>
      <c r="C480" s="3856"/>
      <c r="D480" s="1895" t="s">
        <v>1691</v>
      </c>
      <c r="E480" s="1896" t="s">
        <v>3</v>
      </c>
      <c r="F480" s="1347">
        <f t="shared" si="72"/>
        <v>0.38</v>
      </c>
      <c r="G480" s="1347">
        <f t="shared" si="73"/>
        <v>96.648901179185131</v>
      </c>
      <c r="H480" s="1895"/>
      <c r="I480" s="1903" t="s">
        <v>263</v>
      </c>
      <c r="J480" s="1895"/>
      <c r="K480" s="1897"/>
      <c r="L480" s="1897"/>
      <c r="M480" s="1898" t="s">
        <v>263</v>
      </c>
      <c r="N480" s="1898" t="s">
        <v>263</v>
      </c>
      <c r="O480" s="1903" t="str">
        <f t="shared" si="71"/>
        <v>N/A</v>
      </c>
      <c r="P480" s="1902" t="s">
        <v>1544</v>
      </c>
      <c r="Q480" s="1903">
        <f>IF($E480="Logistics",VLOOKUP($P480,'Lower Cask Movement &amp; Logistics'!$C$4:$D$53,2,FALSE),"N/A")</f>
        <v>0.38</v>
      </c>
      <c r="R480" s="3380"/>
      <c r="S480" s="3481" t="str">
        <f>IFERROR(VLOOKUP($R480,'LowerCask Recovery Dependencies'!$C$289:$F$382,4,FALSE),"N/A")</f>
        <v>N/A</v>
      </c>
      <c r="T480" s="3482" t="str">
        <f t="shared" si="74"/>
        <v>N/A</v>
      </c>
      <c r="U480" s="2424"/>
      <c r="V480" s="2424"/>
      <c r="W480" s="2424"/>
      <c r="X480" s="2424"/>
      <c r="Y480" s="3434"/>
    </row>
    <row r="481" spans="1:28" s="8" customFormat="1" hidden="1" outlineLevel="2" x14ac:dyDescent="0.4">
      <c r="A481"/>
      <c r="B481" s="2038"/>
      <c r="C481" s="3856"/>
      <c r="D481" s="1895" t="s">
        <v>1692</v>
      </c>
      <c r="E481" s="1896" t="s">
        <v>251</v>
      </c>
      <c r="F481" s="1347">
        <f t="shared" si="72"/>
        <v>7.8621484536495476</v>
      </c>
      <c r="G481" s="1347">
        <f t="shared" si="73"/>
        <v>104.51104963283468</v>
      </c>
      <c r="H481" s="1895" t="s">
        <v>1919</v>
      </c>
      <c r="I481" s="1903">
        <v>7.8621484536495476</v>
      </c>
      <c r="J481" s="1895"/>
      <c r="K481" s="1897"/>
      <c r="L481" s="1897"/>
      <c r="M481" s="1898" t="s">
        <v>263</v>
      </c>
      <c r="N481" s="1898" t="s">
        <v>263</v>
      </c>
      <c r="O481" s="1903" t="str">
        <f t="shared" si="71"/>
        <v>N/A</v>
      </c>
      <c r="P481" s="1902"/>
      <c r="Q481" s="1903" t="str">
        <f>IF($E481="Logistics",VLOOKUP($P481,'Lower Cask Movement &amp; Logistics'!$C$4:$D$53,2,FALSE),"N/A")</f>
        <v>N/A</v>
      </c>
      <c r="R481" s="3380"/>
      <c r="S481" s="3481" t="str">
        <f>IFERROR(VLOOKUP($R481,'LowerCask Recovery Dependencies'!$C$289:$F$382,4,FALSE),"N/A")</f>
        <v>N/A</v>
      </c>
      <c r="T481" s="3482" t="str">
        <f t="shared" si="74"/>
        <v>N/A</v>
      </c>
      <c r="U481" s="2424"/>
      <c r="V481" s="2424"/>
      <c r="W481" s="2424"/>
      <c r="X481" s="2424"/>
      <c r="Y481" s="3434"/>
    </row>
    <row r="482" spans="1:28" s="8" customFormat="1" hidden="1" outlineLevel="2" x14ac:dyDescent="0.4">
      <c r="A482"/>
      <c r="B482" s="2038"/>
      <c r="C482" s="3856"/>
      <c r="D482" s="1895" t="s">
        <v>1693</v>
      </c>
      <c r="E482" s="1896" t="s">
        <v>3</v>
      </c>
      <c r="F482" s="1347">
        <f t="shared" si="72"/>
        <v>0.38</v>
      </c>
      <c r="G482" s="1347">
        <f t="shared" si="73"/>
        <v>104.89104963283468</v>
      </c>
      <c r="H482" s="1895"/>
      <c r="I482" s="1903" t="s">
        <v>263</v>
      </c>
      <c r="J482" s="1895"/>
      <c r="K482" s="1897"/>
      <c r="L482" s="1897"/>
      <c r="M482" s="1898" t="s">
        <v>263</v>
      </c>
      <c r="N482" s="1898" t="s">
        <v>263</v>
      </c>
      <c r="O482" s="1903" t="str">
        <f t="shared" si="71"/>
        <v>N/A</v>
      </c>
      <c r="P482" s="1902" t="s">
        <v>1544</v>
      </c>
      <c r="Q482" s="1903">
        <f>IF($E482="Logistics",VLOOKUP($P482,'Lower Cask Movement &amp; Logistics'!$C$4:$D$53,2,FALSE),"N/A")</f>
        <v>0.38</v>
      </c>
      <c r="R482" s="3380"/>
      <c r="S482" s="3481" t="str">
        <f>IFERROR(VLOOKUP($R482,'LowerCask Recovery Dependencies'!$C$289:$F$382,4,FALSE),"N/A")</f>
        <v>N/A</v>
      </c>
      <c r="T482" s="3482" t="str">
        <f t="shared" si="74"/>
        <v>N/A</v>
      </c>
      <c r="U482" s="2424"/>
      <c r="V482" s="2424"/>
      <c r="W482" s="2424"/>
      <c r="X482" s="2424"/>
      <c r="Y482" s="3434"/>
    </row>
    <row r="483" spans="1:28" s="8" customFormat="1" hidden="1" outlineLevel="2" x14ac:dyDescent="0.4">
      <c r="A483"/>
      <c r="B483" s="2038"/>
      <c r="C483" s="3856"/>
      <c r="D483" s="1895" t="s">
        <v>1670</v>
      </c>
      <c r="E483" s="1896" t="s">
        <v>3</v>
      </c>
      <c r="F483" s="1347">
        <f t="shared" si="72"/>
        <v>0.53</v>
      </c>
      <c r="G483" s="1347">
        <f t="shared" si="73"/>
        <v>105.42104963283468</v>
      </c>
      <c r="H483" s="1895"/>
      <c r="I483" s="1903" t="s">
        <v>263</v>
      </c>
      <c r="J483" s="1895"/>
      <c r="K483" s="1897"/>
      <c r="L483" s="1897"/>
      <c r="M483" s="1898" t="s">
        <v>263</v>
      </c>
      <c r="N483" s="1898" t="s">
        <v>263</v>
      </c>
      <c r="O483" s="1903" t="str">
        <f t="shared" si="71"/>
        <v>N/A</v>
      </c>
      <c r="P483" s="1902" t="s">
        <v>1558</v>
      </c>
      <c r="Q483" s="1903">
        <f>IF($E483="Logistics",VLOOKUP($P483,'Lower Cask Movement &amp; Logistics'!$C$4:$D$53,2,FALSE),"N/A")</f>
        <v>0.53</v>
      </c>
      <c r="R483" s="3380"/>
      <c r="S483" s="3481" t="str">
        <f>IFERROR(VLOOKUP($R483,'LowerCask Recovery Dependencies'!$C$289:$F$382,4,FALSE),"N/A")</f>
        <v>N/A</v>
      </c>
      <c r="T483" s="3482" t="str">
        <f t="shared" si="74"/>
        <v>N/A</v>
      </c>
      <c r="U483" s="2424"/>
      <c r="V483" s="2424"/>
      <c r="W483" s="2424"/>
      <c r="X483" s="2424"/>
      <c r="Y483" s="3434"/>
    </row>
    <row r="484" spans="1:28" s="8" customFormat="1" hidden="1" outlineLevel="2" x14ac:dyDescent="0.4">
      <c r="A484"/>
      <c r="B484" s="2038"/>
      <c r="C484" s="3856"/>
      <c r="D484" s="1895" t="s">
        <v>1920</v>
      </c>
      <c r="E484" s="1896" t="s">
        <v>251</v>
      </c>
      <c r="F484" s="1347">
        <f t="shared" si="72"/>
        <v>7.8621484536495476</v>
      </c>
      <c r="G484" s="1347">
        <f t="shared" si="73"/>
        <v>113.28319808648423</v>
      </c>
      <c r="H484" s="1895" t="s">
        <v>1919</v>
      </c>
      <c r="I484" s="1903">
        <v>7.8621484536495476</v>
      </c>
      <c r="J484" s="1895"/>
      <c r="K484" s="1897"/>
      <c r="L484" s="1897"/>
      <c r="M484" s="1898" t="s">
        <v>263</v>
      </c>
      <c r="N484" s="1898" t="s">
        <v>263</v>
      </c>
      <c r="O484" s="1903" t="str">
        <f t="shared" si="71"/>
        <v>N/A</v>
      </c>
      <c r="P484" s="1902"/>
      <c r="Q484" s="1903" t="str">
        <f>IF($E484="Logistics",VLOOKUP($P484,'Lower Cask Movement &amp; Logistics'!$C$4:$D$53,2,FALSE),"N/A")</f>
        <v>N/A</v>
      </c>
      <c r="R484" s="3380"/>
      <c r="S484" s="3481" t="str">
        <f>IFERROR(VLOOKUP($R484,'LowerCask Recovery Dependencies'!$C$289:$F$382,4,FALSE),"N/A")</f>
        <v>N/A</v>
      </c>
      <c r="T484" s="3482" t="str">
        <f t="shared" si="74"/>
        <v>N/A</v>
      </c>
      <c r="U484" s="2424"/>
      <c r="V484" s="2424"/>
      <c r="W484" s="2424"/>
      <c r="X484" s="2424"/>
      <c r="Y484" s="3434"/>
    </row>
    <row r="485" spans="1:28" s="8" customFormat="1" hidden="1" outlineLevel="2" x14ac:dyDescent="0.4">
      <c r="A485"/>
      <c r="B485" s="2038"/>
      <c r="C485" s="3856"/>
      <c r="D485" s="1895" t="s">
        <v>1695</v>
      </c>
      <c r="E485" s="1896" t="s">
        <v>3</v>
      </c>
      <c r="F485" s="1347">
        <f t="shared" si="72"/>
        <v>0.38</v>
      </c>
      <c r="G485" s="1347">
        <f t="shared" si="73"/>
        <v>113.66319808648423</v>
      </c>
      <c r="H485" s="1895"/>
      <c r="I485" s="1903" t="s">
        <v>263</v>
      </c>
      <c r="J485" s="1895"/>
      <c r="K485" s="1897"/>
      <c r="L485" s="1897"/>
      <c r="M485" s="1898" t="s">
        <v>263</v>
      </c>
      <c r="N485" s="1898" t="s">
        <v>263</v>
      </c>
      <c r="O485" s="1903" t="str">
        <f t="shared" si="71"/>
        <v>N/A</v>
      </c>
      <c r="P485" s="1902" t="s">
        <v>1544</v>
      </c>
      <c r="Q485" s="1903">
        <f>IF($E485="Logistics",VLOOKUP($P485,'Lower Cask Movement &amp; Logistics'!$C$4:$D$53,2,FALSE),"N/A")</f>
        <v>0.38</v>
      </c>
      <c r="R485" s="3380"/>
      <c r="S485" s="3481" t="str">
        <f>IFERROR(VLOOKUP($R485,'LowerCask Recovery Dependencies'!$C$289:$F$382,4,FALSE),"N/A")</f>
        <v>N/A</v>
      </c>
      <c r="T485" s="3482" t="str">
        <f t="shared" si="74"/>
        <v>N/A</v>
      </c>
      <c r="U485" s="2424"/>
      <c r="V485" s="2424"/>
      <c r="W485" s="2424"/>
      <c r="X485" s="2424"/>
      <c r="Y485" s="3434"/>
    </row>
    <row r="486" spans="1:28" s="8" customFormat="1" hidden="1" outlineLevel="2" x14ac:dyDescent="0.4">
      <c r="A486"/>
      <c r="B486" s="2038"/>
      <c r="C486" s="3856"/>
      <c r="D486" s="1895" t="s">
        <v>1596</v>
      </c>
      <c r="E486" s="1896" t="s">
        <v>3</v>
      </c>
      <c r="F486" s="1347">
        <f t="shared" si="72"/>
        <v>0.53</v>
      </c>
      <c r="G486" s="1347">
        <f t="shared" si="73"/>
        <v>114.19319808648423</v>
      </c>
      <c r="H486" s="1895"/>
      <c r="I486" s="1903" t="s">
        <v>263</v>
      </c>
      <c r="J486" s="1895"/>
      <c r="K486" s="1897"/>
      <c r="L486" s="1897"/>
      <c r="M486" s="1898" t="s">
        <v>263</v>
      </c>
      <c r="N486" s="1898" t="s">
        <v>263</v>
      </c>
      <c r="O486" s="1903" t="str">
        <f t="shared" si="71"/>
        <v>N/A</v>
      </c>
      <c r="P486" s="1902" t="s">
        <v>1558</v>
      </c>
      <c r="Q486" s="1903">
        <f>IF($E486="Logistics",VLOOKUP($P486,'Lower Cask Movement &amp; Logistics'!$C$4:$D$53,2,FALSE),"N/A")</f>
        <v>0.53</v>
      </c>
      <c r="R486" s="3380"/>
      <c r="S486" s="3481" t="str">
        <f>IFERROR(VLOOKUP($R486,'LowerCask Recovery Dependencies'!$C$289:$F$382,4,FALSE),"N/A")</f>
        <v>N/A</v>
      </c>
      <c r="T486" s="3482" t="str">
        <f t="shared" si="74"/>
        <v>N/A</v>
      </c>
      <c r="U486" s="2424"/>
      <c r="V486" s="2424"/>
      <c r="W486" s="2424"/>
      <c r="X486" s="2424"/>
      <c r="Y486" s="3434"/>
    </row>
    <row r="487" spans="1:28" s="8" customFormat="1" hidden="1" outlineLevel="2" x14ac:dyDescent="0.4">
      <c r="A487"/>
      <c r="B487" s="2038"/>
      <c r="C487" s="3856"/>
      <c r="D487" s="1895" t="s">
        <v>1921</v>
      </c>
      <c r="E487" s="1896" t="s">
        <v>251</v>
      </c>
      <c r="F487" s="1347">
        <f t="shared" si="72"/>
        <v>7.8621484536495476</v>
      </c>
      <c r="G487" s="1347">
        <f t="shared" si="73"/>
        <v>122.05534654013378</v>
      </c>
      <c r="H487" s="1895" t="s">
        <v>1919</v>
      </c>
      <c r="I487" s="1903">
        <v>7.8621484536495476</v>
      </c>
      <c r="J487" s="1895"/>
      <c r="K487" s="1897"/>
      <c r="L487" s="1897"/>
      <c r="M487" s="1898" t="s">
        <v>263</v>
      </c>
      <c r="N487" s="1898" t="s">
        <v>263</v>
      </c>
      <c r="O487" s="1903" t="str">
        <f t="shared" si="71"/>
        <v>N/A</v>
      </c>
      <c r="P487" s="1902"/>
      <c r="Q487" s="1903" t="str">
        <f>IF($E487="Logistics",VLOOKUP($P487,'Lower Cask Movement &amp; Logistics'!$C$4:$D$53,2,FALSE),"N/A")</f>
        <v>N/A</v>
      </c>
      <c r="R487" s="3380"/>
      <c r="S487" s="3481" t="str">
        <f>IFERROR(VLOOKUP($R487,'LowerCask Recovery Dependencies'!$C$289:$F$382,4,FALSE),"N/A")</f>
        <v>N/A</v>
      </c>
      <c r="T487" s="3482" t="str">
        <f t="shared" si="74"/>
        <v>N/A</v>
      </c>
      <c r="U487" s="2424"/>
      <c r="V487" s="2424"/>
      <c r="W487" s="2424"/>
      <c r="X487" s="2424"/>
      <c r="Y487" s="3434"/>
    </row>
    <row r="488" spans="1:28" s="8" customFormat="1" ht="15" hidden="1" outlineLevel="2" thickBot="1" x14ac:dyDescent="0.45">
      <c r="A488"/>
      <c r="B488" s="2038"/>
      <c r="C488" s="3853"/>
      <c r="D488" s="1869" t="s">
        <v>1599</v>
      </c>
      <c r="E488" s="1918" t="s">
        <v>3</v>
      </c>
      <c r="F488" s="1295">
        <f t="shared" si="72"/>
        <v>0.38</v>
      </c>
      <c r="G488" s="1295">
        <f t="shared" si="73"/>
        <v>122.43534654013378</v>
      </c>
      <c r="H488" s="1869"/>
      <c r="I488" s="1922" t="s">
        <v>263</v>
      </c>
      <c r="J488" s="1869"/>
      <c r="K488" s="837"/>
      <c r="L488" s="837"/>
      <c r="M488" s="842" t="s">
        <v>263</v>
      </c>
      <c r="N488" s="842" t="s">
        <v>263</v>
      </c>
      <c r="O488" s="1922" t="str">
        <f t="shared" si="71"/>
        <v>N/A</v>
      </c>
      <c r="P488" s="1921" t="s">
        <v>1546</v>
      </c>
      <c r="Q488" s="1922">
        <f>IF($E488="Logistics",VLOOKUP($P488,'Lower Cask Movement &amp; Logistics'!$C$4:$D$53,2,FALSE),"N/A")</f>
        <v>0.38</v>
      </c>
      <c r="R488" s="3382"/>
      <c r="S488" s="3488" t="str">
        <f>IFERROR(VLOOKUP($R488,'LowerCask Recovery Dependencies'!$C$289:$F$382,4,FALSE),"N/A")</f>
        <v>N/A</v>
      </c>
      <c r="T488" s="3473" t="str">
        <f t="shared" si="74"/>
        <v>N/A</v>
      </c>
      <c r="U488" s="2424"/>
      <c r="V488" s="2424"/>
      <c r="W488" s="2424"/>
      <c r="X488" s="2424"/>
      <c r="Y488" s="3434"/>
    </row>
    <row r="489" spans="1:28" s="8" customFormat="1" hidden="1" outlineLevel="1" x14ac:dyDescent="0.4">
      <c r="A489"/>
      <c r="B489" s="2038"/>
      <c r="C489" s="1923"/>
      <c r="D489" s="892"/>
      <c r="E489" s="1439" t="s">
        <v>11</v>
      </c>
      <c r="F489" s="1439"/>
      <c r="G489" s="894">
        <f>G488</f>
        <v>122.43534654013378</v>
      </c>
      <c r="H489" s="94"/>
      <c r="I489" s="895"/>
      <c r="J489" s="94"/>
      <c r="K489" s="94"/>
      <c r="L489" s="896"/>
      <c r="M489" s="897"/>
      <c r="N489" s="897"/>
      <c r="O489" s="894"/>
      <c r="P489" s="94"/>
      <c r="Q489" s="897"/>
      <c r="R489" s="3383"/>
      <c r="S489" s="3489"/>
      <c r="T489" s="3489"/>
      <c r="U489" s="2424"/>
      <c r="V489" s="2424"/>
      <c r="W489" s="2424"/>
      <c r="X489" s="2424"/>
      <c r="Y489" s="3434"/>
    </row>
    <row r="490" spans="1:28" s="8" customFormat="1" hidden="1" outlineLevel="1" x14ac:dyDescent="0.4">
      <c r="A490"/>
      <c r="B490" s="2038"/>
      <c r="C490" s="1923"/>
      <c r="D490" s="892"/>
      <c r="E490" s="898"/>
      <c r="F490" s="894"/>
      <c r="G490" s="894"/>
      <c r="H490" s="94"/>
      <c r="I490" s="895"/>
      <c r="J490" s="94"/>
      <c r="K490" s="94"/>
      <c r="L490" s="896"/>
      <c r="M490" s="897"/>
      <c r="N490" s="897"/>
      <c r="O490" s="894"/>
      <c r="P490" s="94"/>
      <c r="Q490" s="897"/>
      <c r="R490" s="3383"/>
      <c r="S490" s="3489"/>
      <c r="T490" s="3489"/>
      <c r="U490" s="3429"/>
      <c r="V490" s="3429"/>
      <c r="W490" s="3429"/>
      <c r="X490" s="3429"/>
      <c r="Y490" s="2424"/>
      <c r="Z490"/>
      <c r="AA490"/>
      <c r="AB490"/>
    </row>
    <row r="491" spans="1:28" s="8" customFormat="1" collapsed="1" x14ac:dyDescent="0.4">
      <c r="A491"/>
      <c r="B491" s="2071"/>
      <c r="C491" s="2072"/>
      <c r="D491" s="2073"/>
      <c r="E491" s="2074"/>
      <c r="F491" s="2073"/>
      <c r="G491" s="2073"/>
      <c r="H491" s="2075"/>
      <c r="I491" s="2076"/>
      <c r="J491" s="2073"/>
      <c r="K491" s="2073"/>
      <c r="L491" s="2072"/>
      <c r="M491" s="2073"/>
      <c r="N491" s="2073"/>
      <c r="O491" s="2073"/>
      <c r="P491" s="2073"/>
      <c r="Q491" s="2073"/>
      <c r="R491" s="3420"/>
      <c r="S491" s="3534"/>
      <c r="T491" s="3534"/>
      <c r="U491" s="3534"/>
      <c r="V491" s="3534"/>
      <c r="W491" s="3534"/>
      <c r="X491" s="3534"/>
      <c r="Y491" s="2424"/>
      <c r="Z491"/>
      <c r="AA491"/>
      <c r="AB491"/>
    </row>
    <row r="493" spans="1:28" s="8" customFormat="1" ht="15.45" x14ac:dyDescent="0.4">
      <c r="A493"/>
      <c r="B493" s="2077"/>
      <c r="C493" s="2078"/>
      <c r="D493" s="2079" t="s">
        <v>1922</v>
      </c>
      <c r="E493" s="2080"/>
      <c r="F493" s="2080"/>
      <c r="G493" s="2080"/>
      <c r="H493" s="2080"/>
      <c r="I493" s="2080"/>
      <c r="J493" s="2080"/>
      <c r="K493" s="2080"/>
      <c r="L493" s="2080"/>
      <c r="M493" s="2080"/>
      <c r="N493" s="2080"/>
      <c r="O493" s="2080"/>
      <c r="P493" s="2080"/>
      <c r="Q493" s="2080"/>
      <c r="R493" s="3421"/>
      <c r="S493" s="3535"/>
      <c r="T493" s="3535"/>
      <c r="U493" s="3535"/>
      <c r="V493" s="3535"/>
      <c r="W493" s="3535"/>
      <c r="X493" s="3535"/>
      <c r="Y493" s="2424"/>
      <c r="Z493"/>
      <c r="AA493"/>
      <c r="AB493"/>
    </row>
    <row r="494" spans="1:28" s="8" customFormat="1" hidden="1" outlineLevel="1" x14ac:dyDescent="0.4">
      <c r="A494"/>
      <c r="B494" s="2081"/>
      <c r="C494" s="1826"/>
      <c r="D494" s="748" t="s">
        <v>1053</v>
      </c>
      <c r="E494" s="749"/>
      <c r="F494" s="704"/>
      <c r="G494" s="704"/>
      <c r="H494" s="704"/>
      <c r="I494" s="750"/>
      <c r="J494" s="704"/>
      <c r="K494" s="704"/>
      <c r="L494" s="704"/>
      <c r="M494" s="704"/>
      <c r="N494" s="704"/>
      <c r="O494" s="704"/>
      <c r="P494" s="704"/>
      <c r="Q494" s="704"/>
      <c r="R494" s="3364"/>
      <c r="S494" s="3433"/>
      <c r="T494" s="3433"/>
      <c r="U494" s="3433"/>
      <c r="V494" s="3433"/>
      <c r="W494" s="3433"/>
      <c r="X494" s="3433"/>
      <c r="Y494" s="2424"/>
      <c r="Z494"/>
      <c r="AA494"/>
      <c r="AB494"/>
    </row>
    <row r="495" spans="1:28" s="8" customFormat="1" ht="15" hidden="1" outlineLevel="1" thickBot="1" x14ac:dyDescent="0.45">
      <c r="A495"/>
      <c r="B495" s="2081"/>
      <c r="C495" s="1826"/>
      <c r="D495" s="704" t="s">
        <v>1034</v>
      </c>
      <c r="E495" s="749"/>
      <c r="F495" s="704"/>
      <c r="G495" s="704"/>
      <c r="H495" s="704"/>
      <c r="I495" s="750"/>
      <c r="J495" s="704"/>
      <c r="K495" s="704"/>
      <c r="L495" s="704"/>
      <c r="M495" s="704"/>
      <c r="N495" s="704"/>
      <c r="O495" s="704"/>
      <c r="P495" s="704"/>
      <c r="Q495" s="704"/>
      <c r="R495" s="3364"/>
      <c r="S495" s="3433"/>
      <c r="T495" s="3434"/>
      <c r="U495" s="3433"/>
      <c r="V495" s="3433"/>
      <c r="W495" s="3433"/>
      <c r="X495" s="3433"/>
      <c r="Y495" s="2424"/>
      <c r="Z495"/>
      <c r="AA495"/>
      <c r="AB495"/>
    </row>
    <row r="496" spans="1:28" s="8" customFormat="1" hidden="1" outlineLevel="1" x14ac:dyDescent="0.4">
      <c r="A496"/>
      <c r="B496" s="2081"/>
      <c r="C496" s="1826"/>
      <c r="D496" t="s">
        <v>1861</v>
      </c>
      <c r="E496" s="749"/>
      <c r="F496" s="704"/>
      <c r="G496" s="704"/>
      <c r="H496" s="704"/>
      <c r="I496" s="750"/>
      <c r="J496" s="704"/>
      <c r="K496" s="704"/>
      <c r="L496" s="704"/>
      <c r="M496" s="704"/>
      <c r="N496" s="704"/>
      <c r="O496" s="704"/>
      <c r="P496" s="704"/>
      <c r="Q496" s="704"/>
      <c r="R496" s="3365"/>
      <c r="S496" s="3435" t="s">
        <v>23</v>
      </c>
      <c r="T496" s="3842" t="s">
        <v>2604</v>
      </c>
      <c r="U496" s="3843"/>
      <c r="V496" s="3843"/>
      <c r="W496" s="3843"/>
      <c r="X496" s="3844"/>
      <c r="Y496" s="2424"/>
      <c r="Z496"/>
      <c r="AA496"/>
      <c r="AB496"/>
    </row>
    <row r="497" spans="1:28" s="8" customFormat="1" hidden="1" outlineLevel="1" x14ac:dyDescent="0.4">
      <c r="A497"/>
      <c r="B497" s="2081"/>
      <c r="C497" s="1826"/>
      <c r="D497" s="704" t="s">
        <v>1035</v>
      </c>
      <c r="E497" s="749"/>
      <c r="F497" s="704"/>
      <c r="G497" s="704"/>
      <c r="H497" s="704"/>
      <c r="I497" s="750"/>
      <c r="J497" s="704"/>
      <c r="K497" s="704"/>
      <c r="L497" s="704"/>
      <c r="M497" s="704"/>
      <c r="N497" s="704"/>
      <c r="O497" s="704"/>
      <c r="P497" s="704"/>
      <c r="Q497" s="704"/>
      <c r="R497" s="3354" t="s">
        <v>1055</v>
      </c>
      <c r="S497" s="1122">
        <v>1</v>
      </c>
      <c r="T497" s="1513">
        <v>1</v>
      </c>
      <c r="U497" s="916">
        <v>2</v>
      </c>
      <c r="V497" s="916">
        <v>3</v>
      </c>
      <c r="W497" s="916">
        <v>4</v>
      </c>
      <c r="X497" s="1045">
        <v>6</v>
      </c>
      <c r="Y497" s="2424"/>
      <c r="Z497"/>
      <c r="AA497"/>
      <c r="AB497"/>
    </row>
    <row r="498" spans="1:28" s="8" customFormat="1" hidden="1" outlineLevel="1" x14ac:dyDescent="0.4">
      <c r="A498"/>
      <c r="B498" s="2081"/>
      <c r="C498" s="1826"/>
      <c r="D498" s="704" t="s">
        <v>1036</v>
      </c>
      <c r="E498" s="749"/>
      <c r="F498" s="704"/>
      <c r="G498" s="704"/>
      <c r="H498" s="704"/>
      <c r="I498" s="750"/>
      <c r="J498" s="704"/>
      <c r="K498" s="704"/>
      <c r="L498" s="704"/>
      <c r="M498" s="704"/>
      <c r="N498" s="704"/>
      <c r="O498" s="704"/>
      <c r="P498" s="704"/>
      <c r="Q498" s="704"/>
      <c r="R498" s="3333" t="s">
        <v>2665</v>
      </c>
      <c r="S498" s="3442">
        <f>connect_divertor_piepwork</f>
        <v>16.965057309144747</v>
      </c>
      <c r="T498" s="3441">
        <f>ROUNDUP(Tokamak_Segmts/T497,0)*connect_divertor_piepwork</f>
        <v>271.44091694631595</v>
      </c>
      <c r="U498" s="3441">
        <f>ROUNDUP(Tokamak_Segmts/U497,0)*connect_divertor_piepwork</f>
        <v>135.72045847315798</v>
      </c>
      <c r="V498" s="3441">
        <f>ROUNDUP(Tokamak_Segmts/V497,0)*connect_divertor_piepwork</f>
        <v>101.79034385486848</v>
      </c>
      <c r="W498" s="3441">
        <f>ROUNDUP(Tokamak_Segmts/W497,0)*connect_divertor_piepwork</f>
        <v>67.860229236578988</v>
      </c>
      <c r="X498" s="3441">
        <f>ROUNDUP(Tokamak_Segmts/X497,0)*connect_divertor_piepwork</f>
        <v>50.895171927434241</v>
      </c>
      <c r="Y498" s="2424"/>
      <c r="Z498"/>
      <c r="AA498"/>
      <c r="AB498"/>
    </row>
    <row r="499" spans="1:28" s="8" customFormat="1" ht="15" hidden="1" outlineLevel="1" thickBot="1" x14ac:dyDescent="0.45">
      <c r="A499"/>
      <c r="B499" s="2081"/>
      <c r="C499" s="1826"/>
      <c r="D499" s="704" t="s">
        <v>1037</v>
      </c>
      <c r="E499" s="749"/>
      <c r="F499" s="704"/>
      <c r="G499" s="704"/>
      <c r="H499" s="704"/>
      <c r="I499" s="750"/>
      <c r="J499" s="704"/>
      <c r="K499" s="704"/>
      <c r="L499" s="704"/>
      <c r="M499" s="704"/>
      <c r="N499" s="704"/>
      <c r="O499" s="704"/>
      <c r="P499" s="704"/>
      <c r="Q499" s="704"/>
      <c r="R499" s="3334" t="s">
        <v>2693</v>
      </c>
      <c r="S499" s="3443">
        <f>S$498*$E$503</f>
        <v>0.1866156304005922</v>
      </c>
      <c r="T499" s="3493">
        <f t="shared" ref="T499:X499" si="75">T$498*$E$503</f>
        <v>2.9858500864094752</v>
      </c>
      <c r="U499" s="3445">
        <f t="shared" si="75"/>
        <v>1.4929250432047376</v>
      </c>
      <c r="V499" s="3445">
        <f t="shared" si="75"/>
        <v>1.1196937824035533</v>
      </c>
      <c r="W499" s="3445">
        <f t="shared" si="75"/>
        <v>0.74646252160236881</v>
      </c>
      <c r="X499" s="3446">
        <f t="shared" si="75"/>
        <v>0.55984689120177666</v>
      </c>
      <c r="Y499" s="2424"/>
      <c r="Z499"/>
      <c r="AA499"/>
      <c r="AB499"/>
    </row>
    <row r="500" spans="1:28" s="8" customFormat="1" hidden="1" outlineLevel="1" x14ac:dyDescent="0.4">
      <c r="A500"/>
      <c r="B500" s="2081"/>
      <c r="C500" s="1826"/>
      <c r="D500" s="704" t="s">
        <v>1038</v>
      </c>
      <c r="E500" s="749"/>
      <c r="F500" s="704"/>
      <c r="G500" s="704"/>
      <c r="H500" s="704"/>
      <c r="I500" s="750"/>
      <c r="J500" s="704"/>
      <c r="K500" s="704"/>
      <c r="L500" s="704"/>
      <c r="M500" s="704"/>
      <c r="N500" s="704"/>
      <c r="O500" s="704"/>
      <c r="P500" s="704"/>
      <c r="Q500" s="704"/>
      <c r="R500" s="3366" t="s">
        <v>1048</v>
      </c>
      <c r="S500" s="3447">
        <f t="shared" ref="S500:X500" si="76">S499*(SUMIF($E$511:$E$559,"Operation",$F$511:$F$559))</f>
        <v>10.269501254148276</v>
      </c>
      <c r="T500" s="3494">
        <f t="shared" si="76"/>
        <v>164.31202006637241</v>
      </c>
      <c r="U500" s="3449">
        <f t="shared" si="76"/>
        <v>82.156010033186206</v>
      </c>
      <c r="V500" s="3449">
        <f t="shared" si="76"/>
        <v>61.617007524889658</v>
      </c>
      <c r="W500" s="3449">
        <f t="shared" si="76"/>
        <v>41.078005016593103</v>
      </c>
      <c r="X500" s="3450">
        <f t="shared" si="76"/>
        <v>30.808503762444829</v>
      </c>
      <c r="Y500" s="2424"/>
      <c r="Z500"/>
      <c r="AA500"/>
      <c r="AB500"/>
    </row>
    <row r="501" spans="1:28" s="8" customFormat="1" hidden="1" outlineLevel="1" x14ac:dyDescent="0.4">
      <c r="A501"/>
      <c r="B501" s="2081"/>
      <c r="C501" s="1826"/>
      <c r="D501" s="704"/>
      <c r="E501" s="749"/>
      <c r="F501" s="704"/>
      <c r="G501" s="704"/>
      <c r="H501" s="704"/>
      <c r="I501" s="750"/>
      <c r="J501" s="704"/>
      <c r="K501" s="704"/>
      <c r="L501" s="704"/>
      <c r="M501" s="704"/>
      <c r="N501" s="704"/>
      <c r="O501" s="704"/>
      <c r="P501" s="704"/>
      <c r="Q501" s="704"/>
      <c r="R501" s="3354" t="s">
        <v>2658</v>
      </c>
      <c r="S501" s="3451">
        <f t="shared" ref="S501:X501" si="77">S499*(SUMIF($E$511:$E$559,"Movement",$F$511:$F$559)+(SUMIF($E$511:$E$559,"Logistics",$F$511:$F$559)))</f>
        <v>7.1735048325987636</v>
      </c>
      <c r="T501" s="3495">
        <f t="shared" si="77"/>
        <v>114.77607732158022</v>
      </c>
      <c r="U501" s="3453">
        <f t="shared" si="77"/>
        <v>57.388038660790109</v>
      </c>
      <c r="V501" s="3453">
        <f t="shared" si="77"/>
        <v>43.04102899559259</v>
      </c>
      <c r="W501" s="3453">
        <f t="shared" si="77"/>
        <v>28.694019330395054</v>
      </c>
      <c r="X501" s="3454">
        <f t="shared" si="77"/>
        <v>21.520514497796295</v>
      </c>
      <c r="Y501" s="2424"/>
      <c r="Z501"/>
      <c r="AA501"/>
      <c r="AB501"/>
    </row>
    <row r="502" spans="1:28" s="8" customFormat="1" ht="15" hidden="1" outlineLevel="1" thickBot="1" x14ac:dyDescent="0.45">
      <c r="A502"/>
      <c r="B502" s="2081"/>
      <c r="C502" s="1826"/>
      <c r="D502" s="704"/>
      <c r="E502" s="749"/>
      <c r="F502" s="704"/>
      <c r="G502" s="704"/>
      <c r="H502" s="704"/>
      <c r="I502" s="750"/>
      <c r="J502" s="704"/>
      <c r="K502" s="704"/>
      <c r="L502" s="704"/>
      <c r="M502" s="704"/>
      <c r="N502" s="704"/>
      <c r="O502" s="704"/>
      <c r="P502" s="704"/>
      <c r="Q502" s="704"/>
      <c r="R502" s="3367" t="s">
        <v>2657</v>
      </c>
      <c r="S502" s="3455">
        <f t="shared" ref="S502:X502" si="78">S499*(-SUMIF($T$511:$T$559,"&lt;0"))</f>
        <v>4.7764616185532267</v>
      </c>
      <c r="T502" s="3496">
        <f t="shared" si="78"/>
        <v>76.423385896851627</v>
      </c>
      <c r="U502" s="3457">
        <f t="shared" si="78"/>
        <v>38.211692948425814</v>
      </c>
      <c r="V502" s="3457">
        <f t="shared" si="78"/>
        <v>28.658769711319362</v>
      </c>
      <c r="W502" s="3457">
        <f t="shared" si="78"/>
        <v>19.105846474212907</v>
      </c>
      <c r="X502" s="3458">
        <f t="shared" si="78"/>
        <v>14.329384855659681</v>
      </c>
      <c r="Y502" s="2424"/>
      <c r="Z502"/>
      <c r="AA502"/>
      <c r="AB502"/>
    </row>
    <row r="503" spans="1:28" s="8" customFormat="1" ht="15" hidden="1" outlineLevel="1" thickBot="1" x14ac:dyDescent="0.45">
      <c r="A503"/>
      <c r="B503" s="2081"/>
      <c r="C503" s="1826"/>
      <c r="D503" s="748" t="s">
        <v>1056</v>
      </c>
      <c r="E503" s="709">
        <f>SUM(E504:E505)</f>
        <v>1.0999999999999999E-2</v>
      </c>
      <c r="F503" s="709"/>
      <c r="G503" s="709"/>
      <c r="H503" s="709"/>
      <c r="I503" s="919"/>
      <c r="J503" s="918"/>
      <c r="K503" s="918"/>
      <c r="L503" s="918"/>
      <c r="M503" s="918"/>
      <c r="N503" s="918"/>
      <c r="O503" s="918"/>
      <c r="P503" s="704"/>
      <c r="Q503" s="704"/>
      <c r="R503" s="3368" t="s">
        <v>2667</v>
      </c>
      <c r="S503" s="3459">
        <f t="shared" ref="S503:X503" si="79">S499*$G$560</f>
        <v>22.219467705300261</v>
      </c>
      <c r="T503" s="3426">
        <f t="shared" si="79"/>
        <v>355.51148328480417</v>
      </c>
      <c r="U503" s="3426">
        <f t="shared" si="79"/>
        <v>177.75574164240209</v>
      </c>
      <c r="V503" s="3426">
        <f t="shared" si="79"/>
        <v>133.31680623180156</v>
      </c>
      <c r="W503" s="3426">
        <f t="shared" si="79"/>
        <v>88.877870821201043</v>
      </c>
      <c r="X503" s="3461">
        <f t="shared" si="79"/>
        <v>66.658403115900782</v>
      </c>
      <c r="Y503" s="2424"/>
      <c r="Z503"/>
      <c r="AA503"/>
      <c r="AB503"/>
    </row>
    <row r="504" spans="1:28" s="8" customFormat="1" hidden="1" outlineLevel="1" x14ac:dyDescent="0.4">
      <c r="A504"/>
      <c r="B504" s="2081"/>
      <c r="C504" s="906"/>
      <c r="D504" s="7" t="s">
        <v>1057</v>
      </c>
      <c r="E504" s="763">
        <f>Weld_Failure_Rate</f>
        <v>1E-3</v>
      </c>
      <c r="F504" s="922"/>
      <c r="G504" s="922"/>
      <c r="H504" s="924"/>
      <c r="I504" s="290"/>
      <c r="J504" s="922"/>
      <c r="K504" s="922"/>
      <c r="L504" s="925"/>
      <c r="M504" s="922"/>
      <c r="N504" s="922"/>
      <c r="O504" s="922"/>
      <c r="P504" s="706"/>
      <c r="Q504" s="7"/>
      <c r="Y504" s="2424"/>
      <c r="Z504"/>
      <c r="AA504"/>
      <c r="AB504"/>
    </row>
    <row r="505" spans="1:28" s="8" customFormat="1" hidden="1" outlineLevel="1" x14ac:dyDescent="0.4">
      <c r="A505"/>
      <c r="B505" s="2081"/>
      <c r="C505" s="906"/>
      <c r="D505" s="7" t="s">
        <v>1058</v>
      </c>
      <c r="E505" s="763">
        <f>SJS_welder_failure</f>
        <v>0.01</v>
      </c>
      <c r="F505" s="922"/>
      <c r="G505" s="922"/>
      <c r="H505" s="924"/>
      <c r="I505" s="290"/>
      <c r="J505" s="922"/>
      <c r="K505" s="922"/>
      <c r="L505" s="925"/>
      <c r="M505" s="922"/>
      <c r="N505" s="922"/>
      <c r="O505" s="922"/>
      <c r="P505" s="706"/>
      <c r="Q505" s="7"/>
      <c r="Y505" s="2424"/>
      <c r="Z505"/>
      <c r="AA505"/>
      <c r="AB505"/>
    </row>
    <row r="506" spans="1:28" s="8" customFormat="1" hidden="1" outlineLevel="1" x14ac:dyDescent="0.4">
      <c r="A506"/>
      <c r="B506" s="2081"/>
      <c r="C506" s="906"/>
      <c r="D506" s="926" t="s">
        <v>1059</v>
      </c>
      <c r="E506" s="709">
        <f>E503*(1-(1-E503)^(pipes_per_cassette))</f>
        <v>4.7607240294899916E-4</v>
      </c>
      <c r="F506" s="927"/>
      <c r="G506" s="927"/>
      <c r="H506" s="927"/>
      <c r="I506" s="919"/>
      <c r="J506" s="927"/>
      <c r="K506" s="927"/>
      <c r="L506" s="927"/>
      <c r="M506" s="927"/>
      <c r="N506" s="927"/>
      <c r="O506" s="927"/>
      <c r="P506" s="706"/>
      <c r="Q506" s="7"/>
      <c r="Y506" s="2424"/>
      <c r="Z506"/>
      <c r="AA506"/>
      <c r="AB506"/>
    </row>
    <row r="507" spans="1:28" s="8" customFormat="1" hidden="1" outlineLevel="1" x14ac:dyDescent="0.4">
      <c r="A507"/>
      <c r="B507" s="2081"/>
      <c r="C507" s="906"/>
      <c r="D507" s="926"/>
      <c r="E507" s="928"/>
      <c r="F507" s="927"/>
      <c r="G507" s="927"/>
      <c r="H507" s="927"/>
      <c r="I507" s="919"/>
      <c r="J507" s="927"/>
      <c r="K507" s="927"/>
      <c r="L507" s="927"/>
      <c r="M507" s="927"/>
      <c r="N507" s="927"/>
      <c r="O507" s="927"/>
      <c r="P507" s="706"/>
      <c r="Q507" s="7"/>
      <c r="R507" s="3369"/>
      <c r="S507" s="3429"/>
      <c r="T507" s="3429"/>
      <c r="U507" s="3429"/>
      <c r="V507" s="3429"/>
      <c r="W507" s="3429"/>
      <c r="X507" s="3429"/>
      <c r="Y507" s="2424"/>
      <c r="Z507"/>
      <c r="AA507"/>
      <c r="AB507"/>
    </row>
    <row r="508" spans="1:28" s="8" customFormat="1" ht="15" hidden="1" outlineLevel="2" thickBot="1" x14ac:dyDescent="0.45">
      <c r="A508"/>
      <c r="B508" s="2081"/>
      <c r="C508" s="906"/>
      <c r="D508" s="926"/>
      <c r="E508" s="928"/>
      <c r="F508" s="927"/>
      <c r="G508" s="927"/>
      <c r="H508" s="927"/>
      <c r="I508" s="919"/>
      <c r="J508" s="927"/>
      <c r="K508" s="927"/>
      <c r="L508" s="927"/>
      <c r="M508" s="927"/>
      <c r="N508" s="927"/>
      <c r="O508" s="927"/>
      <c r="P508" s="706"/>
      <c r="Q508" s="7"/>
      <c r="R508" s="3369"/>
      <c r="S508" s="3429"/>
      <c r="T508" s="3429"/>
      <c r="U508" s="3429"/>
      <c r="V508" s="3429"/>
      <c r="W508" s="3429"/>
      <c r="X508" s="3429"/>
      <c r="Y508" s="2424"/>
      <c r="Z508"/>
      <c r="AA508"/>
      <c r="AB508"/>
    </row>
    <row r="509" spans="1:28" s="8" customFormat="1" ht="15" hidden="1" outlineLevel="2" thickBot="1" x14ac:dyDescent="0.45">
      <c r="A509"/>
      <c r="B509" s="2081"/>
      <c r="C509" s="906"/>
      <c r="D509" s="926"/>
      <c r="E509" s="701"/>
      <c r="F509" s="7"/>
      <c r="G509" s="929"/>
      <c r="H509" s="930" t="s">
        <v>18</v>
      </c>
      <c r="I509" s="931"/>
      <c r="J509" s="932" t="s">
        <v>778</v>
      </c>
      <c r="K509" s="933"/>
      <c r="L509" s="933"/>
      <c r="M509" s="933"/>
      <c r="N509" s="933"/>
      <c r="O509" s="934"/>
      <c r="P509" s="933" t="s">
        <v>3</v>
      </c>
      <c r="Q509" s="934"/>
      <c r="R509" s="3386" t="s">
        <v>779</v>
      </c>
      <c r="S509" s="3462"/>
      <c r="T509" s="3462"/>
      <c r="U509" s="2424"/>
      <c r="V509" s="2424"/>
      <c r="W509" s="2424"/>
      <c r="X509" s="2424"/>
      <c r="Y509" s="3434"/>
    </row>
    <row r="510" spans="1:28" s="8" customFormat="1" ht="29.6" hidden="1" outlineLevel="2" thickBot="1" x14ac:dyDescent="0.45">
      <c r="A510"/>
      <c r="B510" s="2081"/>
      <c r="C510" s="939" t="s">
        <v>780</v>
      </c>
      <c r="D510" s="940" t="s">
        <v>1060</v>
      </c>
      <c r="E510" s="941" t="s">
        <v>782</v>
      </c>
      <c r="F510" s="942" t="s">
        <v>783</v>
      </c>
      <c r="G510" s="943" t="s">
        <v>784</v>
      </c>
      <c r="H510" s="562" t="s">
        <v>785</v>
      </c>
      <c r="I510" s="944" t="s">
        <v>783</v>
      </c>
      <c r="J510" s="562" t="s">
        <v>786</v>
      </c>
      <c r="K510" s="563" t="s">
        <v>787</v>
      </c>
      <c r="L510" s="563" t="s">
        <v>788</v>
      </c>
      <c r="M510" s="563" t="s">
        <v>789</v>
      </c>
      <c r="N510" s="563" t="s">
        <v>790</v>
      </c>
      <c r="O510" s="945" t="s">
        <v>783</v>
      </c>
      <c r="P510" s="560" t="s">
        <v>785</v>
      </c>
      <c r="Q510" s="946" t="s">
        <v>783</v>
      </c>
      <c r="R510" s="3387" t="s">
        <v>781</v>
      </c>
      <c r="S510" s="3464" t="s">
        <v>791</v>
      </c>
      <c r="T510" s="3465" t="s">
        <v>792</v>
      </c>
      <c r="U510" s="2424"/>
      <c r="V510" s="2424"/>
      <c r="W510" s="2424"/>
      <c r="X510" s="2424"/>
      <c r="Y510" s="3434"/>
    </row>
    <row r="511" spans="1:28" s="8" customFormat="1" hidden="1" outlineLevel="2" x14ac:dyDescent="0.4">
      <c r="A511"/>
      <c r="B511" s="2081"/>
      <c r="C511" s="3850" t="s">
        <v>1062</v>
      </c>
      <c r="D511" s="797" t="s">
        <v>1923</v>
      </c>
      <c r="E511" s="799" t="s">
        <v>251</v>
      </c>
      <c r="F511" s="456">
        <f>MAX($Q511,$O511,$I511)</f>
        <v>0</v>
      </c>
      <c r="G511" s="800">
        <f>F511</f>
        <v>0</v>
      </c>
      <c r="H511" s="566" t="s">
        <v>557</v>
      </c>
      <c r="I511" s="621">
        <v>0</v>
      </c>
      <c r="J511" s="568"/>
      <c r="K511" s="566"/>
      <c r="L511" s="801"/>
      <c r="M511" s="802" t="str">
        <f>IFERROR(INDEX('Lower Cask Movement &amp; Logistics'!$I$29:$O$35,MATCH($K511,'Lower Cask Movement &amp; Logistics'!$H$29:$H$35,0),MATCH($L511,'Lower Cask Movement &amp; Logistics'!$H$29:$H$35,0)),"N/A")</f>
        <v>N/A</v>
      </c>
      <c r="N511" s="570" t="str">
        <f>IFERROR(VLOOKUP($J511,'Lower Cask Movement &amp; Logistics'!$H$4:$I$8,2,FALSE),"N/A")</f>
        <v>N/A</v>
      </c>
      <c r="O511" s="800" t="str">
        <f t="shared" ref="O511:O559" si="80">IF(E511="Movement",IFERROR((M511/N511)/(60*60),"Error"),"N/A")</f>
        <v>N/A</v>
      </c>
      <c r="P511" s="803"/>
      <c r="Q511" s="802" t="str">
        <f>IF($E511="Logistics",VLOOKUP($P511,'Lower Cask Movement &amp; Logistics'!$C$4:$D$53,2,FALSE),"N/A")</f>
        <v>N/A</v>
      </c>
      <c r="R511" s="3398"/>
      <c r="S511" s="3466" t="str">
        <f>IFERROR(VLOOKUP($R511,'LowerCask Recovery Dependencies'!$C$385:$F$447,4,FALSE),"N/A")</f>
        <v>N/A</v>
      </c>
      <c r="T511" s="3467" t="str">
        <f>IFERROR(G511-F511-S511,"N/A")</f>
        <v>N/A</v>
      </c>
      <c r="U511" s="2424"/>
      <c r="V511" s="2424"/>
      <c r="W511" s="2424"/>
      <c r="X511" s="2424"/>
      <c r="Y511" s="3434"/>
    </row>
    <row r="512" spans="1:28" s="8" customFormat="1" hidden="1" outlineLevel="2" x14ac:dyDescent="0.4">
      <c r="A512"/>
      <c r="B512" s="2081"/>
      <c r="C512" s="3854"/>
      <c r="D512" s="2001" t="s">
        <v>1885</v>
      </c>
      <c r="E512" s="2002" t="s">
        <v>251</v>
      </c>
      <c r="F512" s="335">
        <f t="shared" ref="F512:F559" si="81">MAX($Q512,$O512,$I512)</f>
        <v>12.602967059728389</v>
      </c>
      <c r="G512" s="2003">
        <f t="shared" ref="G512:G559" si="82">IF(T512&lt;0,F512+G511+(-T512),F512+G511)</f>
        <v>12.602967059728389</v>
      </c>
      <c r="H512" s="582" t="s">
        <v>1908</v>
      </c>
      <c r="I512" s="1476">
        <v>12.602967059728389</v>
      </c>
      <c r="J512" s="627"/>
      <c r="K512" s="582"/>
      <c r="L512" s="1962"/>
      <c r="M512" s="1479" t="s">
        <v>263</v>
      </c>
      <c r="N512" s="1478" t="s">
        <v>263</v>
      </c>
      <c r="O512" s="2003" t="str">
        <f t="shared" si="80"/>
        <v>N/A</v>
      </c>
      <c r="P512" s="1638"/>
      <c r="Q512" s="1479" t="str">
        <f>IF($E512="Logistics",VLOOKUP($P512,'Lower Cask Movement &amp; Logistics'!$C$4:$D$53,2,FALSE),"N/A")</f>
        <v>N/A</v>
      </c>
      <c r="R512" s="3399"/>
      <c r="S512" s="3513" t="str">
        <f>IFERROR(VLOOKUP($R512,'LowerCask Recovery Dependencies'!$C$385:$F$447,4,FALSE),"N/A")</f>
        <v>N/A</v>
      </c>
      <c r="T512" s="3477" t="str">
        <f t="shared" ref="T512:T559" si="83">IFERROR(G511-S512,"N/A")</f>
        <v>N/A</v>
      </c>
      <c r="U512" s="2424"/>
      <c r="V512" s="2424"/>
      <c r="W512" s="2424"/>
      <c r="X512" s="2424"/>
      <c r="Y512" s="3434"/>
    </row>
    <row r="513" spans="1:25" s="8" customFormat="1" ht="15" hidden="1" outlineLevel="2" thickBot="1" x14ac:dyDescent="0.45">
      <c r="A513"/>
      <c r="B513" s="2081"/>
      <c r="C513" s="3851"/>
      <c r="D513" s="808" t="s">
        <v>1909</v>
      </c>
      <c r="E513" s="1966" t="s">
        <v>3</v>
      </c>
      <c r="F513" s="471">
        <f t="shared" si="81"/>
        <v>0.38</v>
      </c>
      <c r="G513" s="887">
        <f t="shared" si="82"/>
        <v>12.98296705972839</v>
      </c>
      <c r="H513" s="584"/>
      <c r="I513" s="591" t="s">
        <v>263</v>
      </c>
      <c r="J513" s="586"/>
      <c r="K513" s="584"/>
      <c r="L513" s="812"/>
      <c r="M513" s="813" t="s">
        <v>263</v>
      </c>
      <c r="N513" s="814" t="s">
        <v>263</v>
      </c>
      <c r="O513" s="887" t="str">
        <f t="shared" si="80"/>
        <v>N/A</v>
      </c>
      <c r="P513" s="1136" t="s">
        <v>1546</v>
      </c>
      <c r="Q513" s="813">
        <f>IF($E513="Logistics",VLOOKUP($P513,'Lower Cask Movement &amp; Logistics'!$C$4:$D$53,2,FALSE),"N/A")</f>
        <v>0.38</v>
      </c>
      <c r="R513" s="3400"/>
      <c r="S513" s="3505" t="str">
        <f>IFERROR(VLOOKUP($R513,'LowerCask Recovery Dependencies'!$C$385:$F$447,4,FALSE),"N/A")</f>
        <v>N/A</v>
      </c>
      <c r="T513" s="3469" t="str">
        <f t="shared" si="83"/>
        <v>N/A</v>
      </c>
      <c r="U513" s="2424"/>
      <c r="V513" s="2424"/>
      <c r="W513" s="2424"/>
      <c r="X513" s="2424"/>
      <c r="Y513" s="3434"/>
    </row>
    <row r="514" spans="1:25" s="8" customFormat="1" hidden="1" outlineLevel="2" x14ac:dyDescent="0.4">
      <c r="A514"/>
      <c r="B514" s="2081"/>
      <c r="C514" s="3850" t="s">
        <v>1584</v>
      </c>
      <c r="D514" s="1129" t="s">
        <v>1593</v>
      </c>
      <c r="E514" s="1620" t="s">
        <v>3</v>
      </c>
      <c r="F514" s="1621">
        <f t="shared" si="81"/>
        <v>0.53</v>
      </c>
      <c r="G514" s="1621">
        <f t="shared" si="82"/>
        <v>13.512967059728389</v>
      </c>
      <c r="H514" s="1129"/>
      <c r="I514" s="1575" t="s">
        <v>263</v>
      </c>
      <c r="J514" s="1129"/>
      <c r="K514" s="1619"/>
      <c r="L514" s="1619"/>
      <c r="M514" s="1623" t="s">
        <v>263</v>
      </c>
      <c r="N514" s="1623" t="s">
        <v>263</v>
      </c>
      <c r="O514" s="1575" t="str">
        <f t="shared" si="80"/>
        <v>N/A</v>
      </c>
      <c r="P514" s="1576" t="s">
        <v>1558</v>
      </c>
      <c r="Q514" s="1575">
        <f>IF($E514="Logistics",VLOOKUP($P514,'Lower Cask Movement &amp; Logistics'!$C$4:$D$53,2,FALSE),"N/A")</f>
        <v>0.53</v>
      </c>
      <c r="R514" s="3376"/>
      <c r="S514" s="3474" t="str">
        <f>IFERROR(VLOOKUP($R514,'LowerCask Recovery Dependencies'!$C$385:$F$447,4,FALSE),"N/A")</f>
        <v>N/A</v>
      </c>
      <c r="T514" s="3475" t="str">
        <f t="shared" si="83"/>
        <v>N/A</v>
      </c>
      <c r="U514" s="2424"/>
      <c r="V514" s="2424"/>
      <c r="W514" s="2424"/>
      <c r="X514" s="2424"/>
      <c r="Y514" s="3434"/>
    </row>
    <row r="515" spans="1:25" s="8" customFormat="1" hidden="1" outlineLevel="2" x14ac:dyDescent="0.4">
      <c r="A515"/>
      <c r="B515" s="2081"/>
      <c r="C515" s="3854"/>
      <c r="D515" s="1579" t="s">
        <v>1924</v>
      </c>
      <c r="E515" s="1611" t="s">
        <v>251</v>
      </c>
      <c r="F515" s="626">
        <f t="shared" si="81"/>
        <v>12.602967059728389</v>
      </c>
      <c r="G515" s="626">
        <f t="shared" si="82"/>
        <v>26.115934119456778</v>
      </c>
      <c r="H515" s="1579" t="s">
        <v>1908</v>
      </c>
      <c r="I515" s="1183">
        <v>12.602967059728389</v>
      </c>
      <c r="J515" s="1579"/>
      <c r="K515" s="582"/>
      <c r="L515" s="582"/>
      <c r="M515" s="1478" t="s">
        <v>263</v>
      </c>
      <c r="N515" s="1478" t="s">
        <v>263</v>
      </c>
      <c r="O515" s="1183" t="str">
        <f t="shared" si="80"/>
        <v>N/A</v>
      </c>
      <c r="P515" s="1578"/>
      <c r="Q515" s="1183" t="str">
        <f>IF($E515="Logistics",VLOOKUP($P515,'Lower Cask Movement &amp; Logistics'!$C$4:$D$53,2,FALSE),"N/A")</f>
        <v>N/A</v>
      </c>
      <c r="R515" s="3377"/>
      <c r="S515" s="3476" t="str">
        <f>IFERROR(VLOOKUP($R515,'LowerCask Recovery Dependencies'!$C$385:$F$447,4,FALSE),"N/A")</f>
        <v>N/A</v>
      </c>
      <c r="T515" s="3477" t="str">
        <f t="shared" si="83"/>
        <v>N/A</v>
      </c>
      <c r="U515" s="2424"/>
      <c r="V515" s="2424"/>
      <c r="W515" s="2424"/>
      <c r="X515" s="2424"/>
      <c r="Y515" s="3434"/>
    </row>
    <row r="516" spans="1:25" s="8" customFormat="1" hidden="1" outlineLevel="2" x14ac:dyDescent="0.4">
      <c r="A516"/>
      <c r="B516" s="2081"/>
      <c r="C516" s="3854"/>
      <c r="D516" s="1579" t="s">
        <v>1925</v>
      </c>
      <c r="E516" s="1611" t="s">
        <v>3</v>
      </c>
      <c r="F516" s="626">
        <f t="shared" si="81"/>
        <v>0.38</v>
      </c>
      <c r="G516" s="626">
        <f t="shared" si="82"/>
        <v>26.495934119456777</v>
      </c>
      <c r="H516" s="1579"/>
      <c r="I516" s="1183" t="s">
        <v>263</v>
      </c>
      <c r="J516" s="1579"/>
      <c r="K516" s="582"/>
      <c r="L516" s="582"/>
      <c r="M516" s="1478" t="s">
        <v>263</v>
      </c>
      <c r="N516" s="1478" t="s">
        <v>263</v>
      </c>
      <c r="O516" s="1183" t="str">
        <f t="shared" si="80"/>
        <v>N/A</v>
      </c>
      <c r="P516" s="1578" t="s">
        <v>1546</v>
      </c>
      <c r="Q516" s="1183">
        <f>IF($E516="Logistics",VLOOKUP($P516,'Lower Cask Movement &amp; Logistics'!$C$4:$D$53,2,FALSE),"N/A")</f>
        <v>0.38</v>
      </c>
      <c r="R516" s="3377"/>
      <c r="S516" s="3476" t="str">
        <f>IFERROR(VLOOKUP($R516,'LowerCask Recovery Dependencies'!$C$385:$F$447,4,FALSE),"N/A")</f>
        <v>N/A</v>
      </c>
      <c r="T516" s="3477" t="str">
        <f t="shared" si="83"/>
        <v>N/A</v>
      </c>
      <c r="U516" s="2424"/>
      <c r="V516" s="2424"/>
      <c r="W516" s="2424"/>
      <c r="X516" s="2424"/>
      <c r="Y516" s="3434"/>
    </row>
    <row r="517" spans="1:25" s="8" customFormat="1" hidden="1" outlineLevel="2" x14ac:dyDescent="0.4">
      <c r="A517"/>
      <c r="B517" s="2081"/>
      <c r="C517" s="3854"/>
      <c r="D517" s="1579" t="s">
        <v>1599</v>
      </c>
      <c r="E517" s="1611" t="s">
        <v>3</v>
      </c>
      <c r="F517" s="626">
        <f t="shared" si="81"/>
        <v>0.38</v>
      </c>
      <c r="G517" s="626">
        <f t="shared" si="82"/>
        <v>26.875934119456776</v>
      </c>
      <c r="H517" s="1579"/>
      <c r="I517" s="1183" t="s">
        <v>263</v>
      </c>
      <c r="J517" s="1579"/>
      <c r="K517" s="582"/>
      <c r="L517" s="582"/>
      <c r="M517" s="1478" t="s">
        <v>263</v>
      </c>
      <c r="N517" s="1478" t="s">
        <v>263</v>
      </c>
      <c r="O517" s="1183" t="str">
        <f t="shared" si="80"/>
        <v>N/A</v>
      </c>
      <c r="P517" s="1578" t="s">
        <v>1546</v>
      </c>
      <c r="Q517" s="1183">
        <f>IF($E517="Logistics",VLOOKUP($P517,'Lower Cask Movement &amp; Logistics'!$C$4:$D$53,2,FALSE),"N/A")</f>
        <v>0.38</v>
      </c>
      <c r="R517" s="3377"/>
      <c r="S517" s="3476" t="str">
        <f>IFERROR(VLOOKUP($R517,'LowerCask Recovery Dependencies'!$C$385:$F$447,4,FALSE),"N/A")</f>
        <v>N/A</v>
      </c>
      <c r="T517" s="3477" t="str">
        <f t="shared" si="83"/>
        <v>N/A</v>
      </c>
      <c r="U517" s="2424"/>
      <c r="V517" s="2424"/>
      <c r="W517" s="2424"/>
      <c r="X517" s="2424"/>
      <c r="Y517" s="3434"/>
    </row>
    <row r="518" spans="1:25" s="8" customFormat="1" ht="15" hidden="1" outlineLevel="2" thickBot="1" x14ac:dyDescent="0.45">
      <c r="A518"/>
      <c r="B518" s="2081"/>
      <c r="C518" s="3851"/>
      <c r="D518" s="1136" t="s">
        <v>1600</v>
      </c>
      <c r="E518" s="1581" t="s">
        <v>3</v>
      </c>
      <c r="F518" s="585">
        <f t="shared" si="81"/>
        <v>2.3000000000000003</v>
      </c>
      <c r="G518" s="585">
        <f t="shared" si="82"/>
        <v>29.175934119456777</v>
      </c>
      <c r="H518" s="1136"/>
      <c r="I518" s="1179" t="s">
        <v>263</v>
      </c>
      <c r="J518" s="1136"/>
      <c r="K518" s="584"/>
      <c r="L518" s="584"/>
      <c r="M518" s="814" t="s">
        <v>263</v>
      </c>
      <c r="N518" s="814" t="s">
        <v>263</v>
      </c>
      <c r="O518" s="1179" t="str">
        <f t="shared" si="80"/>
        <v>N/A</v>
      </c>
      <c r="P518" s="1582" t="s">
        <v>1552</v>
      </c>
      <c r="Q518" s="1179">
        <f>IF($E518="Logistics",VLOOKUP($P518,'Lower Cask Movement &amp; Logistics'!$C$4:$D$53,2,FALSE),"N/A")</f>
        <v>2.3000000000000003</v>
      </c>
      <c r="R518" s="3378"/>
      <c r="S518" s="3478" t="str">
        <f>IFERROR(VLOOKUP($R518,'LowerCask Recovery Dependencies'!$C$385:$F$447,4,FALSE),"N/A")</f>
        <v>N/A</v>
      </c>
      <c r="T518" s="3469" t="str">
        <f t="shared" si="83"/>
        <v>N/A</v>
      </c>
      <c r="U518" s="2424"/>
      <c r="V518" s="2424"/>
      <c r="W518" s="2424"/>
      <c r="X518" s="2424"/>
      <c r="Y518" s="3434"/>
    </row>
    <row r="519" spans="1:25" s="8" customFormat="1" hidden="1" outlineLevel="2" x14ac:dyDescent="0.4">
      <c r="A519"/>
      <c r="B519" s="2081"/>
      <c r="C519" s="3852" t="s">
        <v>1601</v>
      </c>
      <c r="D519" s="823" t="s">
        <v>1602</v>
      </c>
      <c r="E519" s="823" t="s">
        <v>3</v>
      </c>
      <c r="F519" s="1291">
        <f t="shared" si="81"/>
        <v>1.9</v>
      </c>
      <c r="G519" s="1291">
        <f t="shared" si="82"/>
        <v>31.075934119456775</v>
      </c>
      <c r="H519" s="829"/>
      <c r="I519" s="1575" t="s">
        <v>263</v>
      </c>
      <c r="J519" s="1129"/>
      <c r="K519" s="1619"/>
      <c r="L519" s="1619"/>
      <c r="M519" s="1623" t="s">
        <v>263</v>
      </c>
      <c r="N519" s="1623" t="s">
        <v>263</v>
      </c>
      <c r="O519" s="1575" t="str">
        <f t="shared" si="80"/>
        <v>N/A</v>
      </c>
      <c r="P519" s="2039" t="s">
        <v>1541</v>
      </c>
      <c r="Q519" s="2040">
        <f>IF($E519="Logistics",VLOOKUP($P519,'Lower Cask Movement &amp; Logistics'!$C$4:$D$53,2,FALSE),"N/A")</f>
        <v>1.9</v>
      </c>
      <c r="R519" s="3413" t="s">
        <v>1910</v>
      </c>
      <c r="S519" s="3522">
        <f>IFERROR(VLOOKUP($R519,'LowerCask Recovery Dependencies'!$C$385:$F$447,4,FALSE),"N/A")</f>
        <v>7.3659259259259269</v>
      </c>
      <c r="T519" s="3471">
        <f t="shared" si="83"/>
        <v>21.810008193530848</v>
      </c>
      <c r="U519" s="2424"/>
      <c r="V519" s="2424"/>
      <c r="W519" s="2424"/>
      <c r="X519" s="2424"/>
      <c r="Y519" s="3434"/>
    </row>
    <row r="520" spans="1:25" s="8" customFormat="1" hidden="1" outlineLevel="2" x14ac:dyDescent="0.4">
      <c r="A520"/>
      <c r="B520" s="2081"/>
      <c r="C520" s="3856"/>
      <c r="D520" s="860" t="s">
        <v>1603</v>
      </c>
      <c r="E520" s="860" t="s">
        <v>3</v>
      </c>
      <c r="F520" s="1363">
        <f t="shared" si="81"/>
        <v>0.38</v>
      </c>
      <c r="G520" s="1347">
        <f t="shared" si="82"/>
        <v>31.455934119456774</v>
      </c>
      <c r="H520" s="2041"/>
      <c r="I520" s="1183" t="s">
        <v>263</v>
      </c>
      <c r="J520" s="1579"/>
      <c r="K520" s="582"/>
      <c r="L520" s="582"/>
      <c r="M520" s="1478" t="s">
        <v>263</v>
      </c>
      <c r="N520" s="1478" t="s">
        <v>263</v>
      </c>
      <c r="O520" s="1183" t="str">
        <f t="shared" si="80"/>
        <v>N/A</v>
      </c>
      <c r="P520" s="1725" t="s">
        <v>1544</v>
      </c>
      <c r="Q520" s="2042">
        <f>IF($E520="Logistics",VLOOKUP($P520,'Lower Cask Movement &amp; Logistics'!$C$4:$D$53,2,FALSE),"N/A")</f>
        <v>0.38</v>
      </c>
      <c r="R520" s="3414"/>
      <c r="S520" s="3523" t="str">
        <f>IFERROR(VLOOKUP($R520,'LowerCask Recovery Dependencies'!$C$385:$F$447,4,FALSE),"N/A")</f>
        <v>N/A</v>
      </c>
      <c r="T520" s="3524" t="str">
        <f t="shared" si="83"/>
        <v>N/A</v>
      </c>
      <c r="U520" s="2424"/>
      <c r="V520" s="2424"/>
      <c r="W520" s="2424"/>
      <c r="X520" s="2424"/>
      <c r="Y520" s="3434"/>
    </row>
    <row r="521" spans="1:25" s="8" customFormat="1" hidden="1" outlineLevel="2" x14ac:dyDescent="0.4">
      <c r="A521"/>
      <c r="B521" s="2081"/>
      <c r="C521" s="3856"/>
      <c r="D521" s="860" t="s">
        <v>1604</v>
      </c>
      <c r="E521" s="860" t="s">
        <v>251</v>
      </c>
      <c r="F521" s="1363">
        <f t="shared" si="81"/>
        <v>4.0999999999999996</v>
      </c>
      <c r="G521" s="1347">
        <f t="shared" si="82"/>
        <v>35.555934119456772</v>
      </c>
      <c r="H521" s="2041" t="s">
        <v>1604</v>
      </c>
      <c r="I521" s="1183">
        <v>4.0999999999999996</v>
      </c>
      <c r="J521" s="1579"/>
      <c r="K521" s="582"/>
      <c r="L521" s="582"/>
      <c r="M521" s="1478" t="s">
        <v>263</v>
      </c>
      <c r="N521" s="1478" t="s">
        <v>263</v>
      </c>
      <c r="O521" s="1183" t="str">
        <f t="shared" si="80"/>
        <v>N/A</v>
      </c>
      <c r="P521" s="1725"/>
      <c r="Q521" s="2042" t="str">
        <f>IF($E521="Logistics",VLOOKUP($P521,'Lower Cask Movement &amp; Logistics'!$C$4:$D$53,2,FALSE),"N/A")</f>
        <v>N/A</v>
      </c>
      <c r="R521" s="3414"/>
      <c r="S521" s="3523" t="str">
        <f>IFERROR(VLOOKUP($R521,'LowerCask Recovery Dependencies'!$C$385:$F$447,4,FALSE),"N/A")</f>
        <v>N/A</v>
      </c>
      <c r="T521" s="3524" t="str">
        <f t="shared" si="83"/>
        <v>N/A</v>
      </c>
      <c r="U521" s="2424"/>
      <c r="V521" s="2424"/>
      <c r="W521" s="2424"/>
      <c r="X521" s="2424"/>
      <c r="Y521" s="3434"/>
    </row>
    <row r="522" spans="1:25" s="8" customFormat="1" hidden="1" outlineLevel="2" x14ac:dyDescent="0.4">
      <c r="A522"/>
      <c r="B522" s="2081"/>
      <c r="C522" s="3856"/>
      <c r="D522" s="860" t="s">
        <v>1605</v>
      </c>
      <c r="E522" s="860" t="s">
        <v>3</v>
      </c>
      <c r="F522" s="1363">
        <f t="shared" si="81"/>
        <v>0.38</v>
      </c>
      <c r="G522" s="1347">
        <f t="shared" si="82"/>
        <v>35.935934119456775</v>
      </c>
      <c r="H522" s="2041"/>
      <c r="I522" s="1183" t="s">
        <v>263</v>
      </c>
      <c r="J522" s="1579"/>
      <c r="K522" s="582"/>
      <c r="L522" s="582"/>
      <c r="M522" s="1478" t="s">
        <v>263</v>
      </c>
      <c r="N522" s="1478" t="s">
        <v>263</v>
      </c>
      <c r="O522" s="1183" t="str">
        <f t="shared" si="80"/>
        <v>N/A</v>
      </c>
      <c r="P522" s="1725" t="s">
        <v>1546</v>
      </c>
      <c r="Q522" s="2042">
        <f>IF($E522="Logistics",VLOOKUP($P522,'Lower Cask Movement &amp; Logistics'!$C$4:$D$53,2,FALSE),"N/A")</f>
        <v>0.38</v>
      </c>
      <c r="R522" s="3414"/>
      <c r="S522" s="3523" t="str">
        <f>IFERROR(VLOOKUP($R522,'LowerCask Recovery Dependencies'!$C$385:$F$447,4,FALSE),"N/A")</f>
        <v>N/A</v>
      </c>
      <c r="T522" s="3524" t="str">
        <f t="shared" si="83"/>
        <v>N/A</v>
      </c>
      <c r="U522" s="2424"/>
      <c r="V522" s="2424"/>
      <c r="W522" s="2424"/>
      <c r="X522" s="2424"/>
      <c r="Y522" s="3434"/>
    </row>
    <row r="523" spans="1:25" s="8" customFormat="1" hidden="1" outlineLevel="2" x14ac:dyDescent="0.4">
      <c r="A523"/>
      <c r="B523" s="2081"/>
      <c r="C523" s="3856"/>
      <c r="D523" s="860" t="s">
        <v>1606</v>
      </c>
      <c r="E523" s="860" t="s">
        <v>3</v>
      </c>
      <c r="F523" s="1363">
        <f t="shared" si="81"/>
        <v>0.38</v>
      </c>
      <c r="G523" s="1347">
        <f t="shared" si="82"/>
        <v>36.315934119456777</v>
      </c>
      <c r="H523" s="2041"/>
      <c r="I523" s="1183" t="s">
        <v>263</v>
      </c>
      <c r="J523" s="1579"/>
      <c r="K523" s="582"/>
      <c r="L523" s="582"/>
      <c r="M523" s="1478" t="s">
        <v>263</v>
      </c>
      <c r="N523" s="1478" t="s">
        <v>263</v>
      </c>
      <c r="O523" s="1183" t="str">
        <f t="shared" si="80"/>
        <v>N/A</v>
      </c>
      <c r="P523" s="1725" t="s">
        <v>1544</v>
      </c>
      <c r="Q523" s="2042">
        <f>IF($E523="Logistics",VLOOKUP($P523,'Lower Cask Movement &amp; Logistics'!$C$4:$D$53,2,FALSE),"N/A")</f>
        <v>0.38</v>
      </c>
      <c r="R523" s="3414"/>
      <c r="S523" s="3523" t="str">
        <f>IFERROR(VLOOKUP($R523,'LowerCask Recovery Dependencies'!$C$385:$F$447,4,FALSE),"N/A")</f>
        <v>N/A</v>
      </c>
      <c r="T523" s="3524" t="str">
        <f t="shared" si="83"/>
        <v>N/A</v>
      </c>
      <c r="U523" s="2424"/>
      <c r="V523" s="2424"/>
      <c r="W523" s="2424"/>
      <c r="X523" s="2424"/>
      <c r="Y523" s="3434"/>
    </row>
    <row r="524" spans="1:25" s="8" customFormat="1" hidden="1" outlineLevel="2" x14ac:dyDescent="0.4">
      <c r="A524"/>
      <c r="B524" s="2081"/>
      <c r="C524" s="3856"/>
      <c r="D524" s="860" t="s">
        <v>1607</v>
      </c>
      <c r="E524" s="860" t="s">
        <v>251</v>
      </c>
      <c r="F524" s="1363">
        <f t="shared" si="81"/>
        <v>5.1999999999999993</v>
      </c>
      <c r="G524" s="1347">
        <f t="shared" si="82"/>
        <v>41.515934119456773</v>
      </c>
      <c r="H524" s="2041" t="s">
        <v>270</v>
      </c>
      <c r="I524" s="1183">
        <v>5.1999999999999993</v>
      </c>
      <c r="J524" s="1579"/>
      <c r="K524" s="582"/>
      <c r="L524" s="582"/>
      <c r="M524" s="1478" t="s">
        <v>263</v>
      </c>
      <c r="N524" s="1478" t="s">
        <v>263</v>
      </c>
      <c r="O524" s="1183" t="str">
        <f t="shared" si="80"/>
        <v>N/A</v>
      </c>
      <c r="P524" s="1725"/>
      <c r="Q524" s="2042" t="str">
        <f>IF($E524="Logistics",VLOOKUP($P524,'Lower Cask Movement &amp; Logistics'!$C$4:$D$53,2,FALSE),"N/A")</f>
        <v>N/A</v>
      </c>
      <c r="R524" s="3414"/>
      <c r="S524" s="3523" t="str">
        <f>IFERROR(VLOOKUP($R524,'LowerCask Recovery Dependencies'!$C$385:$F$447,4,FALSE),"N/A")</f>
        <v>N/A</v>
      </c>
      <c r="T524" s="3524" t="str">
        <f t="shared" si="83"/>
        <v>N/A</v>
      </c>
      <c r="U524" s="2424"/>
      <c r="V524" s="2424"/>
      <c r="W524" s="2424"/>
      <c r="X524" s="2424"/>
      <c r="Y524" s="3434"/>
    </row>
    <row r="525" spans="1:25" s="8" customFormat="1" hidden="1" outlineLevel="2" x14ac:dyDescent="0.4">
      <c r="A525"/>
      <c r="B525" s="2081"/>
      <c r="C525" s="3856"/>
      <c r="D525" s="860" t="s">
        <v>1575</v>
      </c>
      <c r="E525" s="860" t="s">
        <v>3</v>
      </c>
      <c r="F525" s="1363">
        <f t="shared" si="81"/>
        <v>0.38</v>
      </c>
      <c r="G525" s="1347">
        <f t="shared" si="82"/>
        <v>41.895934119456776</v>
      </c>
      <c r="H525" s="2041"/>
      <c r="I525" s="1183" t="s">
        <v>263</v>
      </c>
      <c r="J525" s="1579"/>
      <c r="K525" s="582"/>
      <c r="L525" s="582"/>
      <c r="M525" s="1478" t="s">
        <v>263</v>
      </c>
      <c r="N525" s="1478" t="s">
        <v>263</v>
      </c>
      <c r="O525" s="1183" t="str">
        <f t="shared" si="80"/>
        <v>N/A</v>
      </c>
      <c r="P525" s="1725" t="s">
        <v>1546</v>
      </c>
      <c r="Q525" s="2042">
        <f>IF($E525="Logistics",VLOOKUP($P525,'Lower Cask Movement &amp; Logistics'!$C$4:$D$53,2,FALSE),"N/A")</f>
        <v>0.38</v>
      </c>
      <c r="R525" s="3414"/>
      <c r="S525" s="3523" t="str">
        <f>IFERROR(VLOOKUP($R525,'LowerCask Recovery Dependencies'!$C$385:$F$447,4,FALSE),"N/A")</f>
        <v>N/A</v>
      </c>
      <c r="T525" s="3524" t="str">
        <f t="shared" si="83"/>
        <v>N/A</v>
      </c>
      <c r="U525" s="2424"/>
      <c r="V525" s="2424"/>
      <c r="W525" s="2424"/>
      <c r="X525" s="2424"/>
      <c r="Y525" s="3434"/>
    </row>
    <row r="526" spans="1:25" s="8" customFormat="1" ht="15" hidden="1" outlineLevel="2" thickBot="1" x14ac:dyDescent="0.45">
      <c r="A526"/>
      <c r="B526" s="2081"/>
      <c r="C526" s="3853"/>
      <c r="D526" s="837" t="s">
        <v>1608</v>
      </c>
      <c r="E526" s="837" t="s">
        <v>3</v>
      </c>
      <c r="F526" s="2043">
        <f t="shared" si="81"/>
        <v>2.3000000000000003</v>
      </c>
      <c r="G526" s="1295">
        <f t="shared" si="82"/>
        <v>44.195934119456773</v>
      </c>
      <c r="H526" s="1869"/>
      <c r="I526" s="1179" t="s">
        <v>263</v>
      </c>
      <c r="J526" s="1136"/>
      <c r="K526" s="584"/>
      <c r="L526" s="584"/>
      <c r="M526" s="814" t="s">
        <v>263</v>
      </c>
      <c r="N526" s="814" t="s">
        <v>263</v>
      </c>
      <c r="O526" s="1179" t="str">
        <f t="shared" si="80"/>
        <v>N/A</v>
      </c>
      <c r="P526" s="1921" t="s">
        <v>1552</v>
      </c>
      <c r="Q526" s="1922">
        <f>IF($E526="Logistics",VLOOKUP($P526,'Lower Cask Movement &amp; Logistics'!$C$4:$D$53,2,FALSE),"N/A")</f>
        <v>2.3000000000000003</v>
      </c>
      <c r="R526" s="3382"/>
      <c r="S526" s="3488" t="str">
        <f>IFERROR(VLOOKUP($R526,'LowerCask Recovery Dependencies'!$C$385:$F$447,4,FALSE),"N/A")</f>
        <v>N/A</v>
      </c>
      <c r="T526" s="3473" t="str">
        <f t="shared" si="83"/>
        <v>N/A</v>
      </c>
      <c r="U526" s="2424"/>
      <c r="V526" s="2424"/>
      <c r="W526" s="2424"/>
      <c r="X526" s="2424"/>
      <c r="Y526" s="3434"/>
    </row>
    <row r="527" spans="1:25" s="8" customFormat="1" hidden="1" outlineLevel="2" x14ac:dyDescent="0.4">
      <c r="A527"/>
      <c r="B527" s="2081"/>
      <c r="C527" s="3850" t="s">
        <v>1609</v>
      </c>
      <c r="D527" s="566" t="s">
        <v>1602</v>
      </c>
      <c r="E527" s="566" t="s">
        <v>3</v>
      </c>
      <c r="F527" s="567">
        <f t="shared" si="81"/>
        <v>1.9</v>
      </c>
      <c r="G527" s="567">
        <f t="shared" si="82"/>
        <v>46.095934119456771</v>
      </c>
      <c r="H527" s="803"/>
      <c r="I527" s="1575" t="s">
        <v>263</v>
      </c>
      <c r="J527" s="1129"/>
      <c r="K527" s="1619"/>
      <c r="L527" s="1619"/>
      <c r="M527" s="1623" t="s">
        <v>263</v>
      </c>
      <c r="N527" s="1623" t="s">
        <v>263</v>
      </c>
      <c r="O527" s="1575" t="str">
        <f t="shared" si="80"/>
        <v>N/A</v>
      </c>
      <c r="P527" s="1664" t="s">
        <v>1541</v>
      </c>
      <c r="Q527" s="1175">
        <f>IF($E527="Logistics",VLOOKUP($P527,'Lower Cask Movement &amp; Logistics'!$C$4:$D$53,2,FALSE),"N/A")</f>
        <v>1.9</v>
      </c>
      <c r="R527" s="3415" t="s">
        <v>1912</v>
      </c>
      <c r="S527" s="3525">
        <f>IFERROR(VLOOKUP($R527,'LowerCask Recovery Dependencies'!$C$385:$F$447,4,FALSE),"N/A")</f>
        <v>36.569637823160477</v>
      </c>
      <c r="T527" s="3467">
        <f t="shared" si="83"/>
        <v>7.6262962962962959</v>
      </c>
      <c r="U527" s="2424"/>
      <c r="V527" s="2424"/>
      <c r="W527" s="2424"/>
      <c r="X527" s="2424"/>
      <c r="Y527" s="3434"/>
    </row>
    <row r="528" spans="1:25" s="8" customFormat="1" hidden="1" outlineLevel="2" x14ac:dyDescent="0.4">
      <c r="A528"/>
      <c r="B528" s="2081"/>
      <c r="C528" s="3854"/>
      <c r="D528" s="573" t="s">
        <v>1606</v>
      </c>
      <c r="E528" s="573" t="s">
        <v>3</v>
      </c>
      <c r="F528" s="1276">
        <f t="shared" si="81"/>
        <v>0.38</v>
      </c>
      <c r="G528" s="626">
        <f t="shared" si="82"/>
        <v>46.475934119456774</v>
      </c>
      <c r="H528" s="1131"/>
      <c r="I528" s="1183" t="s">
        <v>263</v>
      </c>
      <c r="J528" s="1579"/>
      <c r="K528" s="582"/>
      <c r="L528" s="582"/>
      <c r="M528" s="1478" t="s">
        <v>263</v>
      </c>
      <c r="N528" s="1478" t="s">
        <v>263</v>
      </c>
      <c r="O528" s="1183" t="str">
        <f t="shared" si="80"/>
        <v>N/A</v>
      </c>
      <c r="P528" s="1580" t="s">
        <v>1544</v>
      </c>
      <c r="Q528" s="1176">
        <f>IF($E528="Logistics",VLOOKUP($P528,'Lower Cask Movement &amp; Logistics'!$C$4:$D$53,2,FALSE),"N/A")</f>
        <v>0.38</v>
      </c>
      <c r="R528" s="3412"/>
      <c r="S528" s="3520" t="str">
        <f>IFERROR(VLOOKUP($R528,'LowerCask Recovery Dependencies'!$C$385:$F$447,4,FALSE),"N/A")</f>
        <v>N/A</v>
      </c>
      <c r="T528" s="3521" t="str">
        <f t="shared" si="83"/>
        <v>N/A</v>
      </c>
      <c r="U528" s="2424"/>
      <c r="V528" s="2424"/>
      <c r="W528" s="2424"/>
      <c r="X528" s="2424"/>
      <c r="Y528" s="3434"/>
    </row>
    <row r="529" spans="1:25" s="8" customFormat="1" hidden="1" outlineLevel="2" x14ac:dyDescent="0.4">
      <c r="A529"/>
      <c r="B529" s="2081"/>
      <c r="C529" s="3854"/>
      <c r="D529" s="573" t="s">
        <v>1611</v>
      </c>
      <c r="E529" s="573" t="s">
        <v>251</v>
      </c>
      <c r="F529" s="1276">
        <f t="shared" si="81"/>
        <v>1</v>
      </c>
      <c r="G529" s="626">
        <f t="shared" si="82"/>
        <v>47.475934119456774</v>
      </c>
      <c r="H529" s="1131" t="s">
        <v>271</v>
      </c>
      <c r="I529" s="1183">
        <v>1</v>
      </c>
      <c r="J529" s="1579"/>
      <c r="K529" s="582"/>
      <c r="L529" s="582"/>
      <c r="M529" s="1478" t="s">
        <v>263</v>
      </c>
      <c r="N529" s="1478" t="s">
        <v>263</v>
      </c>
      <c r="O529" s="1183" t="str">
        <f t="shared" si="80"/>
        <v>N/A</v>
      </c>
      <c r="P529" s="1580"/>
      <c r="Q529" s="1176" t="str">
        <f>IF($E529="Logistics",VLOOKUP($P529,'Lower Cask Movement &amp; Logistics'!$C$4:$D$53,2,FALSE),"N/A")</f>
        <v>N/A</v>
      </c>
      <c r="R529" s="3412"/>
      <c r="S529" s="3520" t="str">
        <f>IFERROR(VLOOKUP($R529,'LowerCask Recovery Dependencies'!$C$385:$F$447,4,FALSE),"N/A")</f>
        <v>N/A</v>
      </c>
      <c r="T529" s="3521" t="str">
        <f t="shared" si="83"/>
        <v>N/A</v>
      </c>
      <c r="U529" s="2424"/>
      <c r="V529" s="2424"/>
      <c r="W529" s="2424"/>
      <c r="X529" s="2424"/>
      <c r="Y529" s="3434"/>
    </row>
    <row r="530" spans="1:25" s="8" customFormat="1" hidden="1" outlineLevel="2" x14ac:dyDescent="0.4">
      <c r="A530"/>
      <c r="B530" s="2081"/>
      <c r="C530" s="3854"/>
      <c r="D530" s="573" t="s">
        <v>1575</v>
      </c>
      <c r="E530" s="573" t="s">
        <v>3</v>
      </c>
      <c r="F530" s="1276">
        <f t="shared" si="81"/>
        <v>0.38</v>
      </c>
      <c r="G530" s="626">
        <f t="shared" si="82"/>
        <v>47.855934119456776</v>
      </c>
      <c r="H530" s="1131"/>
      <c r="I530" s="1183" t="s">
        <v>263</v>
      </c>
      <c r="J530" s="1579"/>
      <c r="K530" s="582"/>
      <c r="L530" s="582"/>
      <c r="M530" s="1478" t="s">
        <v>263</v>
      </c>
      <c r="N530" s="1478" t="s">
        <v>263</v>
      </c>
      <c r="O530" s="1183" t="str">
        <f t="shared" si="80"/>
        <v>N/A</v>
      </c>
      <c r="P530" s="1580" t="s">
        <v>1546</v>
      </c>
      <c r="Q530" s="1176">
        <f>IF($E530="Logistics",VLOOKUP($P530,'Lower Cask Movement &amp; Logistics'!$C$4:$D$53,2,FALSE),"N/A")</f>
        <v>0.38</v>
      </c>
      <c r="R530" s="3412"/>
      <c r="S530" s="3520" t="str">
        <f>IFERROR(VLOOKUP($R530,'LowerCask Recovery Dependencies'!$C$385:$F$447,4,FALSE),"N/A")</f>
        <v>N/A</v>
      </c>
      <c r="T530" s="3521" t="str">
        <f t="shared" si="83"/>
        <v>N/A</v>
      </c>
      <c r="U530" s="2424"/>
      <c r="V530" s="2424"/>
      <c r="W530" s="2424"/>
      <c r="X530" s="2424"/>
      <c r="Y530" s="3434"/>
    </row>
    <row r="531" spans="1:25" s="8" customFormat="1" ht="15" hidden="1" outlineLevel="2" thickBot="1" x14ac:dyDescent="0.45">
      <c r="A531"/>
      <c r="B531" s="2081"/>
      <c r="C531" s="3851"/>
      <c r="D531" s="584" t="s">
        <v>1913</v>
      </c>
      <c r="E531" s="584" t="s">
        <v>3</v>
      </c>
      <c r="F531" s="1632">
        <f t="shared" si="81"/>
        <v>2.3000000000000003</v>
      </c>
      <c r="G531" s="585">
        <f t="shared" si="82"/>
        <v>50.155934119456774</v>
      </c>
      <c r="H531" s="1136"/>
      <c r="I531" s="1179" t="s">
        <v>263</v>
      </c>
      <c r="J531" s="1136"/>
      <c r="K531" s="584"/>
      <c r="L531" s="584"/>
      <c r="M531" s="814" t="s">
        <v>263</v>
      </c>
      <c r="N531" s="814" t="s">
        <v>263</v>
      </c>
      <c r="O531" s="1179" t="str">
        <f t="shared" si="80"/>
        <v>N/A</v>
      </c>
      <c r="P531" s="1582" t="s">
        <v>1552</v>
      </c>
      <c r="Q531" s="1179">
        <f>IF($E531="Logistics",VLOOKUP($P531,'Lower Cask Movement &amp; Logistics'!$C$4:$D$53,2,FALSE),"N/A")</f>
        <v>2.3000000000000003</v>
      </c>
      <c r="R531" s="3378"/>
      <c r="S531" s="3478" t="str">
        <f>IFERROR(VLOOKUP($R531,'LowerCask Recovery Dependencies'!$C$385:$F$447,4,FALSE),"N/A")</f>
        <v>N/A</v>
      </c>
      <c r="T531" s="3469" t="str">
        <f t="shared" si="83"/>
        <v>N/A</v>
      </c>
      <c r="U531" s="2424"/>
      <c r="V531" s="2424"/>
      <c r="W531" s="2424"/>
      <c r="X531" s="2424"/>
      <c r="Y531" s="3434"/>
    </row>
    <row r="532" spans="1:25" s="8" customFormat="1" hidden="1" outlineLevel="2" x14ac:dyDescent="0.4">
      <c r="A532"/>
      <c r="B532" s="2081"/>
      <c r="C532" s="3860" t="s">
        <v>1613</v>
      </c>
      <c r="D532" s="2044" t="s">
        <v>1602</v>
      </c>
      <c r="E532" s="2044" t="s">
        <v>3</v>
      </c>
      <c r="F532" s="2045">
        <f t="shared" si="81"/>
        <v>1.9</v>
      </c>
      <c r="G532" s="2045">
        <f t="shared" si="82"/>
        <v>52.055934119456772</v>
      </c>
      <c r="H532" s="2046"/>
      <c r="I532" s="2047" t="s">
        <v>263</v>
      </c>
      <c r="J532" s="2048"/>
      <c r="K532" s="2049"/>
      <c r="L532" s="2049"/>
      <c r="M532" s="2050" t="s">
        <v>263</v>
      </c>
      <c r="N532" s="2050" t="s">
        <v>263</v>
      </c>
      <c r="O532" s="2047" t="str">
        <f t="shared" si="80"/>
        <v>N/A</v>
      </c>
      <c r="P532" s="2051" t="s">
        <v>1541</v>
      </c>
      <c r="Q532" s="2052">
        <f>IF($E532="Logistics",VLOOKUP($P532,'Lower Cask Movement &amp; Logistics'!$C$4:$D$53,2,FALSE),"N/A")</f>
        <v>1.9</v>
      </c>
      <c r="R532" s="3416" t="s">
        <v>1614</v>
      </c>
      <c r="S532" s="3526">
        <f>IFERROR(VLOOKUP($R532,'LowerCask Recovery Dependencies'!$C$450:$F$523,4,FALSE),"N/A")</f>
        <v>41.016670763432082</v>
      </c>
      <c r="T532" s="3527">
        <f t="shared" si="83"/>
        <v>9.1392633560246921</v>
      </c>
      <c r="U532" s="2424"/>
      <c r="V532" s="2424"/>
      <c r="W532" s="2424"/>
      <c r="X532" s="2424"/>
      <c r="Y532" s="3434"/>
    </row>
    <row r="533" spans="1:25" s="8" customFormat="1" hidden="1" outlineLevel="2" x14ac:dyDescent="0.4">
      <c r="A533"/>
      <c r="B533" s="2081"/>
      <c r="C533" s="3861"/>
      <c r="D533" s="2054" t="s">
        <v>1606</v>
      </c>
      <c r="E533" s="2054" t="s">
        <v>3</v>
      </c>
      <c r="F533" s="2055">
        <f t="shared" si="81"/>
        <v>0.38</v>
      </c>
      <c r="G533" s="2056">
        <f t="shared" si="82"/>
        <v>52.435934119456775</v>
      </c>
      <c r="H533" s="2057"/>
      <c r="I533" s="2058" t="s">
        <v>263</v>
      </c>
      <c r="J533" s="2059"/>
      <c r="K533" s="2060"/>
      <c r="L533" s="2060"/>
      <c r="M533" s="2061" t="s">
        <v>263</v>
      </c>
      <c r="N533" s="2061" t="s">
        <v>263</v>
      </c>
      <c r="O533" s="2058" t="str">
        <f t="shared" si="80"/>
        <v>N/A</v>
      </c>
      <c r="P533" s="2062" t="s">
        <v>1544</v>
      </c>
      <c r="Q533" s="2063">
        <f>IF($E533="Logistics",VLOOKUP($P533,'Lower Cask Movement &amp; Logistics'!$C$4:$D$53,2,FALSE),"N/A")</f>
        <v>0.38</v>
      </c>
      <c r="R533" s="3417"/>
      <c r="S533" s="3528" t="str">
        <f>IFERROR(VLOOKUP($R533,'LowerCask Recovery Dependencies'!$C$450:$F$523,4,FALSE),"N/A")</f>
        <v>N/A</v>
      </c>
      <c r="T533" s="3529" t="str">
        <f t="shared" si="83"/>
        <v>N/A</v>
      </c>
      <c r="U533" s="2424"/>
      <c r="V533" s="2424"/>
      <c r="W533" s="2424"/>
      <c r="X533" s="2424"/>
      <c r="Y533" s="3434"/>
    </row>
    <row r="534" spans="1:25" s="8" customFormat="1" hidden="1" outlineLevel="2" x14ac:dyDescent="0.4">
      <c r="A534"/>
      <c r="B534" s="2081"/>
      <c r="C534" s="3861"/>
      <c r="D534" s="2054" t="s">
        <v>1914</v>
      </c>
      <c r="E534" s="2054" t="s">
        <v>251</v>
      </c>
      <c r="F534" s="2055">
        <f t="shared" si="81"/>
        <v>1</v>
      </c>
      <c r="G534" s="2056">
        <f t="shared" si="82"/>
        <v>53.435934119456775</v>
      </c>
      <c r="H534" s="2057" t="s">
        <v>271</v>
      </c>
      <c r="I534" s="2058">
        <v>1</v>
      </c>
      <c r="J534" s="2059"/>
      <c r="K534" s="2060"/>
      <c r="L534" s="2060"/>
      <c r="M534" s="2061" t="s">
        <v>263</v>
      </c>
      <c r="N534" s="2061" t="s">
        <v>263</v>
      </c>
      <c r="O534" s="2058" t="str">
        <f t="shared" si="80"/>
        <v>N/A</v>
      </c>
      <c r="P534" s="2062"/>
      <c r="Q534" s="2063" t="str">
        <f>IF($E534="Logistics",VLOOKUP($P534,'Lower Cask Movement &amp; Logistics'!$C$4:$D$53,2,FALSE),"N/A")</f>
        <v>N/A</v>
      </c>
      <c r="R534" s="3417"/>
      <c r="S534" s="3528" t="str">
        <f>IFERROR(VLOOKUP($R534,'LowerCask Recovery Dependencies'!$C$450:$F$523,4,FALSE),"N/A")</f>
        <v>N/A</v>
      </c>
      <c r="T534" s="3529" t="str">
        <f t="shared" si="83"/>
        <v>N/A</v>
      </c>
      <c r="U534" s="2424"/>
      <c r="V534" s="2424"/>
      <c r="W534" s="2424"/>
      <c r="X534" s="2424"/>
      <c r="Y534" s="3434"/>
    </row>
    <row r="535" spans="1:25" s="8" customFormat="1" hidden="1" outlineLevel="2" x14ac:dyDescent="0.4">
      <c r="A535"/>
      <c r="B535" s="2081"/>
      <c r="C535" s="3861"/>
      <c r="D535" s="2054" t="s">
        <v>1575</v>
      </c>
      <c r="E535" s="2054" t="s">
        <v>3</v>
      </c>
      <c r="F535" s="2055">
        <f t="shared" si="81"/>
        <v>0.38</v>
      </c>
      <c r="G535" s="2056">
        <f t="shared" si="82"/>
        <v>53.815934119456777</v>
      </c>
      <c r="H535" s="2057"/>
      <c r="I535" s="2058" t="s">
        <v>263</v>
      </c>
      <c r="J535" s="2059"/>
      <c r="K535" s="2060"/>
      <c r="L535" s="2060"/>
      <c r="M535" s="2061" t="s">
        <v>263</v>
      </c>
      <c r="N535" s="2061" t="s">
        <v>263</v>
      </c>
      <c r="O535" s="2058" t="str">
        <f t="shared" si="80"/>
        <v>N/A</v>
      </c>
      <c r="P535" s="2062" t="s">
        <v>1546</v>
      </c>
      <c r="Q535" s="2063">
        <f>IF($E535="Logistics",VLOOKUP($P535,'Lower Cask Movement &amp; Logistics'!$C$4:$D$53,2,FALSE),"N/A")</f>
        <v>0.38</v>
      </c>
      <c r="R535" s="3417"/>
      <c r="S535" s="3528" t="str">
        <f>IFERROR(VLOOKUP($R535,'LowerCask Recovery Dependencies'!$C$450:$F$523,4,FALSE),"N/A")</f>
        <v>N/A</v>
      </c>
      <c r="T535" s="3529" t="str">
        <f t="shared" si="83"/>
        <v>N/A</v>
      </c>
      <c r="U535" s="2424"/>
      <c r="V535" s="2424"/>
      <c r="W535" s="2424"/>
      <c r="X535" s="2424"/>
      <c r="Y535" s="3434"/>
    </row>
    <row r="536" spans="1:25" s="8" customFormat="1" ht="15" hidden="1" outlineLevel="2" thickBot="1" x14ac:dyDescent="0.45">
      <c r="A536"/>
      <c r="B536" s="2081"/>
      <c r="C536" s="3862"/>
      <c r="D536" s="2060" t="s">
        <v>1915</v>
      </c>
      <c r="E536" s="2060" t="s">
        <v>3</v>
      </c>
      <c r="F536" s="2065">
        <f t="shared" si="81"/>
        <v>2.3000000000000003</v>
      </c>
      <c r="G536" s="2056">
        <f t="shared" si="82"/>
        <v>56.115934119456774</v>
      </c>
      <c r="H536" s="2059"/>
      <c r="I536" s="2058" t="s">
        <v>263</v>
      </c>
      <c r="J536" s="2059"/>
      <c r="K536" s="2060"/>
      <c r="L536" s="2060"/>
      <c r="M536" s="2061" t="s">
        <v>263</v>
      </c>
      <c r="N536" s="2061" t="s">
        <v>263</v>
      </c>
      <c r="O536" s="2058" t="str">
        <f t="shared" si="80"/>
        <v>N/A</v>
      </c>
      <c r="P536" s="2066" t="s">
        <v>1552</v>
      </c>
      <c r="Q536" s="2058">
        <f>IF($E536="Logistics",VLOOKUP($P536,'Lower Cask Movement &amp; Logistics'!$C$4:$D$53,2,FALSE),"N/A")</f>
        <v>2.3000000000000003</v>
      </c>
      <c r="R536" s="3418"/>
      <c r="S536" s="3530" t="str">
        <f>IFERROR(VLOOKUP($R536,'LowerCask Recovery Dependencies'!$C$450:$F$523,4,FALSE),"N/A")</f>
        <v>N/A</v>
      </c>
      <c r="T536" s="3531" t="str">
        <f t="shared" si="83"/>
        <v>N/A</v>
      </c>
      <c r="U536" s="2424"/>
      <c r="V536" s="2424"/>
      <c r="W536" s="2424"/>
      <c r="X536" s="2424"/>
      <c r="Y536" s="3434"/>
    </row>
    <row r="537" spans="1:25" s="8" customFormat="1" hidden="1" outlineLevel="2" x14ac:dyDescent="0.4">
      <c r="A537"/>
      <c r="B537" s="2081"/>
      <c r="C537" s="3850" t="s">
        <v>1678</v>
      </c>
      <c r="D537" s="566" t="s">
        <v>1679</v>
      </c>
      <c r="E537" s="566" t="s">
        <v>3</v>
      </c>
      <c r="F537" s="1621">
        <f t="shared" si="81"/>
        <v>1.9</v>
      </c>
      <c r="G537" s="1621">
        <f t="shared" si="82"/>
        <v>58.015934119456773</v>
      </c>
      <c r="H537" s="803"/>
      <c r="I537" s="1175" t="s">
        <v>263</v>
      </c>
      <c r="J537" s="803"/>
      <c r="K537" s="566"/>
      <c r="L537" s="566"/>
      <c r="M537" s="570" t="s">
        <v>263</v>
      </c>
      <c r="N537" s="570" t="s">
        <v>263</v>
      </c>
      <c r="O537" s="1175" t="str">
        <f t="shared" si="80"/>
        <v>N/A</v>
      </c>
      <c r="P537" s="1664" t="s">
        <v>1541</v>
      </c>
      <c r="Q537" s="1175">
        <f>IF($E537="Logistics",VLOOKUP($P537,'Lower Cask Movement &amp; Logistics'!$C$4:$D$53,2,FALSE),"N/A")</f>
        <v>1.9</v>
      </c>
      <c r="R537" s="3415" t="s">
        <v>1916</v>
      </c>
      <c r="S537" s="3525">
        <f>IFERROR(VLOOKUP($R537,'LowerCask Recovery Dependencies'!$C$450:$F$523,4,FALSE),"N/A")</f>
        <v>47.376670763432088</v>
      </c>
      <c r="T537" s="3467">
        <f t="shared" si="83"/>
        <v>8.7392633560246864</v>
      </c>
      <c r="U537" s="2424"/>
      <c r="V537" s="2424"/>
      <c r="W537" s="2424"/>
      <c r="X537" s="2424"/>
      <c r="Y537" s="3434"/>
    </row>
    <row r="538" spans="1:25" s="8" customFormat="1" hidden="1" outlineLevel="2" x14ac:dyDescent="0.4">
      <c r="A538"/>
      <c r="B538" s="2081"/>
      <c r="C538" s="3854"/>
      <c r="D538" s="573" t="s">
        <v>1606</v>
      </c>
      <c r="E538" s="573" t="s">
        <v>3</v>
      </c>
      <c r="F538" s="626">
        <f t="shared" si="81"/>
        <v>0.38</v>
      </c>
      <c r="G538" s="626">
        <f t="shared" si="82"/>
        <v>58.395934119456776</v>
      </c>
      <c r="H538" s="1131"/>
      <c r="I538" s="1176" t="s">
        <v>263</v>
      </c>
      <c r="J538" s="1131"/>
      <c r="K538" s="573"/>
      <c r="L538" s="573"/>
      <c r="M538" s="853" t="s">
        <v>263</v>
      </c>
      <c r="N538" s="853" t="s">
        <v>263</v>
      </c>
      <c r="O538" s="1176" t="str">
        <f t="shared" si="80"/>
        <v>N/A</v>
      </c>
      <c r="P538" s="1580" t="s">
        <v>1544</v>
      </c>
      <c r="Q538" s="1176">
        <f>IF($E538="Logistics",VLOOKUP($P538,'Lower Cask Movement &amp; Logistics'!$C$4:$D$53,2,FALSE),"N/A")</f>
        <v>0.38</v>
      </c>
      <c r="R538" s="3412"/>
      <c r="S538" s="3520" t="str">
        <f>IFERROR(VLOOKUP($R538,'LowerCask Recovery Dependencies'!$C$450:$F$523,4,FALSE),"N/A")</f>
        <v>N/A</v>
      </c>
      <c r="T538" s="3521" t="str">
        <f t="shared" si="83"/>
        <v>N/A</v>
      </c>
      <c r="U538" s="2424"/>
      <c r="V538" s="2424"/>
      <c r="W538" s="2424"/>
      <c r="X538" s="2424"/>
      <c r="Y538" s="3434"/>
    </row>
    <row r="539" spans="1:25" s="8" customFormat="1" hidden="1" outlineLevel="2" x14ac:dyDescent="0.4">
      <c r="A539"/>
      <c r="B539" s="2081"/>
      <c r="C539" s="3854"/>
      <c r="D539" s="573" t="s">
        <v>1681</v>
      </c>
      <c r="E539" s="573" t="s">
        <v>251</v>
      </c>
      <c r="F539" s="626">
        <f t="shared" si="81"/>
        <v>1</v>
      </c>
      <c r="G539" s="626">
        <f t="shared" si="82"/>
        <v>59.395934119456776</v>
      </c>
      <c r="H539" s="1131" t="s">
        <v>274</v>
      </c>
      <c r="I539" s="1176">
        <v>1</v>
      </c>
      <c r="J539" s="1131"/>
      <c r="K539" s="573"/>
      <c r="L539" s="573"/>
      <c r="M539" s="853" t="s">
        <v>263</v>
      </c>
      <c r="N539" s="853" t="s">
        <v>263</v>
      </c>
      <c r="O539" s="1176" t="str">
        <f t="shared" si="80"/>
        <v>N/A</v>
      </c>
      <c r="P539" s="1580"/>
      <c r="Q539" s="1176" t="str">
        <f>IF($E539="Logistics",VLOOKUP($P539,'Lower Cask Movement &amp; Logistics'!$C$4:$D$53,2,FALSE),"N/A")</f>
        <v>N/A</v>
      </c>
      <c r="R539" s="3412"/>
      <c r="S539" s="3520" t="str">
        <f>IFERROR(VLOOKUP($R539,'LowerCask Recovery Dependencies'!$C$450:$F$523,4,FALSE),"N/A")</f>
        <v>N/A</v>
      </c>
      <c r="T539" s="3521" t="str">
        <f t="shared" si="83"/>
        <v>N/A</v>
      </c>
      <c r="U539" s="2424"/>
      <c r="V539" s="2424"/>
      <c r="W539" s="2424"/>
      <c r="X539" s="2424"/>
      <c r="Y539" s="3434"/>
    </row>
    <row r="540" spans="1:25" s="8" customFormat="1" hidden="1" outlineLevel="2" x14ac:dyDescent="0.4">
      <c r="A540"/>
      <c r="B540" s="2081"/>
      <c r="C540" s="3854"/>
      <c r="D540" s="582" t="s">
        <v>1575</v>
      </c>
      <c r="E540" s="582" t="s">
        <v>3</v>
      </c>
      <c r="F540" s="626">
        <f t="shared" si="81"/>
        <v>0.38</v>
      </c>
      <c r="G540" s="626">
        <f t="shared" si="82"/>
        <v>59.775934119456778</v>
      </c>
      <c r="H540" s="1579"/>
      <c r="I540" s="1183" t="s">
        <v>263</v>
      </c>
      <c r="J540" s="1579"/>
      <c r="K540" s="582"/>
      <c r="L540" s="582"/>
      <c r="M540" s="1478" t="s">
        <v>263</v>
      </c>
      <c r="N540" s="1478" t="s">
        <v>263</v>
      </c>
      <c r="O540" s="1183" t="str">
        <f t="shared" si="80"/>
        <v>N/A</v>
      </c>
      <c r="P540" s="1578" t="s">
        <v>1546</v>
      </c>
      <c r="Q540" s="1183">
        <f>IF($E540="Logistics",VLOOKUP($P540,'Lower Cask Movement &amp; Logistics'!$C$4:$D$53,2,FALSE),"N/A")</f>
        <v>0.38</v>
      </c>
      <c r="R540" s="3377"/>
      <c r="S540" s="3476" t="str">
        <f>IFERROR(VLOOKUP($R540,'LowerCask Recovery Dependencies'!$C$450:$F$523,4,FALSE),"N/A")</f>
        <v>N/A</v>
      </c>
      <c r="T540" s="3477" t="str">
        <f t="shared" si="83"/>
        <v>N/A</v>
      </c>
      <c r="U540" s="2424"/>
      <c r="V540" s="2424"/>
      <c r="W540" s="2424"/>
      <c r="X540" s="2424"/>
      <c r="Y540" s="3434"/>
    </row>
    <row r="541" spans="1:25" s="8" customFormat="1" ht="15" hidden="1" outlineLevel="2" thickBot="1" x14ac:dyDescent="0.45">
      <c r="A541"/>
      <c r="B541" s="2081"/>
      <c r="C541" s="3851"/>
      <c r="D541" s="584" t="s">
        <v>1682</v>
      </c>
      <c r="E541" s="584" t="s">
        <v>3</v>
      </c>
      <c r="F541" s="585">
        <f t="shared" si="81"/>
        <v>2.3000000000000003</v>
      </c>
      <c r="G541" s="585">
        <f t="shared" si="82"/>
        <v>62.075934119456775</v>
      </c>
      <c r="H541" s="1136"/>
      <c r="I541" s="1179" t="s">
        <v>263</v>
      </c>
      <c r="J541" s="1136"/>
      <c r="K541" s="584"/>
      <c r="L541" s="584"/>
      <c r="M541" s="814" t="s">
        <v>263</v>
      </c>
      <c r="N541" s="814" t="s">
        <v>263</v>
      </c>
      <c r="O541" s="1179" t="str">
        <f t="shared" si="80"/>
        <v>N/A</v>
      </c>
      <c r="P541" s="1582" t="s">
        <v>1552</v>
      </c>
      <c r="Q541" s="1179">
        <f>IF($E541="Logistics",VLOOKUP($P541,'Lower Cask Movement &amp; Logistics'!$C$4:$D$53,2,FALSE),"N/A")</f>
        <v>2.3000000000000003</v>
      </c>
      <c r="R541" s="3378"/>
      <c r="S541" s="3478" t="str">
        <f>IFERROR(VLOOKUP($R541,'LowerCask Recovery Dependencies'!$C$450:$F$523,4,FALSE),"N/A")</f>
        <v>N/A</v>
      </c>
      <c r="T541" s="3469" t="str">
        <f t="shared" si="83"/>
        <v>N/A</v>
      </c>
      <c r="U541" s="2424"/>
      <c r="V541" s="2424"/>
      <c r="W541" s="2424"/>
      <c r="X541" s="2424"/>
      <c r="Y541" s="3434"/>
    </row>
    <row r="542" spans="1:25" s="8" customFormat="1" hidden="1" outlineLevel="2" x14ac:dyDescent="0.4">
      <c r="A542"/>
      <c r="B542" s="2081"/>
      <c r="C542" s="3852" t="s">
        <v>1683</v>
      </c>
      <c r="D542" s="2068" t="s">
        <v>1602</v>
      </c>
      <c r="E542" s="2068" t="s">
        <v>3</v>
      </c>
      <c r="F542" s="1363">
        <f t="shared" si="81"/>
        <v>1.9</v>
      </c>
      <c r="G542" s="1885">
        <f t="shared" si="82"/>
        <v>69.129637823160465</v>
      </c>
      <c r="H542" s="866"/>
      <c r="I542" s="2069" t="s">
        <v>263</v>
      </c>
      <c r="J542" s="866"/>
      <c r="K542" s="2068"/>
      <c r="L542" s="2068"/>
      <c r="M542" s="1890" t="s">
        <v>263</v>
      </c>
      <c r="N542" s="1890" t="s">
        <v>263</v>
      </c>
      <c r="O542" s="1894" t="str">
        <f t="shared" si="80"/>
        <v>N/A</v>
      </c>
      <c r="P542" s="2070" t="s">
        <v>1541</v>
      </c>
      <c r="Q542" s="2069">
        <f>IF($E542="Logistics",VLOOKUP($P542,'Lower Cask Movement &amp; Logistics'!$C$4:$D$53,2,FALSE),"N/A")</f>
        <v>1.9</v>
      </c>
      <c r="R542" s="3419" t="s">
        <v>1917</v>
      </c>
      <c r="S542" s="3532">
        <f>IFERROR(VLOOKUP($R542,'LowerCask Recovery Dependencies'!$C$385:$F$447,4,FALSE),"N/A")</f>
        <v>55.309637823160472</v>
      </c>
      <c r="T542" s="3533">
        <f>IFERROR(G531-S542,"N/A")</f>
        <v>-5.1537037037036981</v>
      </c>
      <c r="U542" s="2424"/>
      <c r="V542" s="2424"/>
      <c r="W542" s="2424"/>
      <c r="X542" s="2424"/>
      <c r="Y542" s="3434"/>
    </row>
    <row r="543" spans="1:25" s="8" customFormat="1" hidden="1" outlineLevel="2" x14ac:dyDescent="0.4">
      <c r="A543"/>
      <c r="B543" s="2081"/>
      <c r="C543" s="3856"/>
      <c r="D543" s="860" t="s">
        <v>1606</v>
      </c>
      <c r="E543" s="860" t="s">
        <v>3</v>
      </c>
      <c r="F543" s="1363">
        <f t="shared" si="81"/>
        <v>0.38</v>
      </c>
      <c r="G543" s="1347">
        <f t="shared" si="82"/>
        <v>69.50963782316046</v>
      </c>
      <c r="H543" s="2041"/>
      <c r="I543" s="2042" t="s">
        <v>263</v>
      </c>
      <c r="J543" s="2041"/>
      <c r="K543" s="860"/>
      <c r="L543" s="860"/>
      <c r="M543" s="865" t="s">
        <v>263</v>
      </c>
      <c r="N543" s="865" t="s">
        <v>263</v>
      </c>
      <c r="O543" s="2042" t="str">
        <f t="shared" si="80"/>
        <v>N/A</v>
      </c>
      <c r="P543" s="1725" t="s">
        <v>1544</v>
      </c>
      <c r="Q543" s="2042">
        <f>IF($E543="Logistics",VLOOKUP($P543,'Lower Cask Movement &amp; Logistics'!$C$4:$D$53,2,FALSE),"N/A")</f>
        <v>0.38</v>
      </c>
      <c r="R543" s="3414"/>
      <c r="S543" s="3523" t="str">
        <f>IFERROR(VLOOKUP($R543,'LowerCask Recovery Dependencies'!$C$385:$F$447,4,FALSE),"N/A")</f>
        <v>N/A</v>
      </c>
      <c r="T543" s="3524" t="str">
        <f t="shared" si="83"/>
        <v>N/A</v>
      </c>
      <c r="U543" s="2424"/>
      <c r="V543" s="2424"/>
      <c r="W543" s="2424"/>
      <c r="X543" s="2424"/>
      <c r="Y543" s="3434"/>
    </row>
    <row r="544" spans="1:25" s="8" customFormat="1" hidden="1" outlineLevel="2" x14ac:dyDescent="0.4">
      <c r="A544"/>
      <c r="B544" s="2081"/>
      <c r="C544" s="3856"/>
      <c r="D544" s="860" t="s">
        <v>1685</v>
      </c>
      <c r="E544" s="860" t="s">
        <v>251</v>
      </c>
      <c r="F544" s="1363">
        <f t="shared" si="81"/>
        <v>1</v>
      </c>
      <c r="G544" s="1347">
        <f t="shared" si="82"/>
        <v>70.50963782316046</v>
      </c>
      <c r="H544" s="2041" t="s">
        <v>274</v>
      </c>
      <c r="I544" s="2042">
        <v>1</v>
      </c>
      <c r="J544" s="2041"/>
      <c r="K544" s="860"/>
      <c r="L544" s="860"/>
      <c r="M544" s="865" t="s">
        <v>263</v>
      </c>
      <c r="N544" s="865" t="s">
        <v>263</v>
      </c>
      <c r="O544" s="2042" t="str">
        <f t="shared" si="80"/>
        <v>N/A</v>
      </c>
      <c r="P544" s="1725"/>
      <c r="Q544" s="2042" t="str">
        <f>IF($E544="Logistics",VLOOKUP($P544,'Lower Cask Movement &amp; Logistics'!$C$4:$D$53,2,FALSE),"N/A")</f>
        <v>N/A</v>
      </c>
      <c r="R544" s="3414"/>
      <c r="S544" s="3523" t="str">
        <f>IFERROR(VLOOKUP($R544,'LowerCask Recovery Dependencies'!$C$385:$F$447,4,FALSE),"N/A")</f>
        <v>N/A</v>
      </c>
      <c r="T544" s="3524" t="str">
        <f t="shared" si="83"/>
        <v>N/A</v>
      </c>
      <c r="U544" s="2424"/>
      <c r="V544" s="2424"/>
      <c r="W544" s="2424"/>
      <c r="X544" s="2424"/>
      <c r="Y544" s="3434"/>
    </row>
    <row r="545" spans="1:25" s="8" customFormat="1" hidden="1" outlineLevel="2" x14ac:dyDescent="0.4">
      <c r="A545"/>
      <c r="B545" s="2081"/>
      <c r="C545" s="3856"/>
      <c r="D545" s="1897" t="s">
        <v>1575</v>
      </c>
      <c r="E545" s="1897" t="s">
        <v>3</v>
      </c>
      <c r="F545" s="1885">
        <f t="shared" si="81"/>
        <v>0.38</v>
      </c>
      <c r="G545" s="1347">
        <f t="shared" si="82"/>
        <v>70.889637823160456</v>
      </c>
      <c r="H545" s="1895"/>
      <c r="I545" s="1903" t="s">
        <v>263</v>
      </c>
      <c r="J545" s="1895"/>
      <c r="K545" s="1897"/>
      <c r="L545" s="1897"/>
      <c r="M545" s="1898" t="s">
        <v>263</v>
      </c>
      <c r="N545" s="1898" t="s">
        <v>263</v>
      </c>
      <c r="O545" s="1903" t="str">
        <f t="shared" si="80"/>
        <v>N/A</v>
      </c>
      <c r="P545" s="1902" t="s">
        <v>1546</v>
      </c>
      <c r="Q545" s="1903">
        <f>IF($E545="Logistics",VLOOKUP($P545,'Lower Cask Movement &amp; Logistics'!$C$4:$D$53,2,FALSE),"N/A")</f>
        <v>0.38</v>
      </c>
      <c r="R545" s="3380"/>
      <c r="S545" s="3481" t="str">
        <f>IFERROR(VLOOKUP($R545,'LowerCask Recovery Dependencies'!$C$385:$F$447,4,FALSE),"N/A")</f>
        <v>N/A</v>
      </c>
      <c r="T545" s="3482" t="str">
        <f t="shared" si="83"/>
        <v>N/A</v>
      </c>
      <c r="U545" s="2424"/>
      <c r="V545" s="2424"/>
      <c r="W545" s="2424"/>
      <c r="X545" s="2424"/>
      <c r="Y545" s="3434"/>
    </row>
    <row r="546" spans="1:25" s="8" customFormat="1" ht="15" hidden="1" outlineLevel="2" thickBot="1" x14ac:dyDescent="0.45">
      <c r="A546"/>
      <c r="B546" s="2081"/>
      <c r="C546" s="3853"/>
      <c r="D546" s="1897" t="s">
        <v>1686</v>
      </c>
      <c r="E546" s="1897" t="s">
        <v>3</v>
      </c>
      <c r="F546" s="1885">
        <f t="shared" si="81"/>
        <v>2.3000000000000003</v>
      </c>
      <c r="G546" s="1347">
        <f t="shared" si="82"/>
        <v>73.189637823160453</v>
      </c>
      <c r="H546" s="1895"/>
      <c r="I546" s="1903" t="s">
        <v>263</v>
      </c>
      <c r="J546" s="1895"/>
      <c r="K546" s="1897"/>
      <c r="L546" s="1897"/>
      <c r="M546" s="1898" t="s">
        <v>263</v>
      </c>
      <c r="N546" s="1898" t="s">
        <v>263</v>
      </c>
      <c r="O546" s="1903" t="str">
        <f t="shared" si="80"/>
        <v>N/A</v>
      </c>
      <c r="P546" s="1902" t="s">
        <v>1552</v>
      </c>
      <c r="Q546" s="1903">
        <f>IF($E546="Logistics",VLOOKUP($P546,'Lower Cask Movement &amp; Logistics'!$C$4:$D$53,2,FALSE),"N/A")</f>
        <v>2.3000000000000003</v>
      </c>
      <c r="R546" s="3380"/>
      <c r="S546" s="3481" t="str">
        <f>IFERROR(VLOOKUP($R546,'LowerCask Recovery Dependencies'!$C$385:$F$447,4,FALSE),"N/A")</f>
        <v>N/A</v>
      </c>
      <c r="T546" s="3482" t="str">
        <f t="shared" si="83"/>
        <v>N/A</v>
      </c>
      <c r="U546" s="2424"/>
      <c r="V546" s="2424"/>
      <c r="W546" s="2424"/>
      <c r="X546" s="2424"/>
      <c r="Y546" s="3434"/>
    </row>
    <row r="547" spans="1:25" s="8" customFormat="1" hidden="1" outlineLevel="2" x14ac:dyDescent="0.4">
      <c r="A547"/>
      <c r="B547" s="2081"/>
      <c r="C547" s="3850" t="s">
        <v>275</v>
      </c>
      <c r="D547" s="566" t="s">
        <v>1602</v>
      </c>
      <c r="E547" s="566" t="s">
        <v>3</v>
      </c>
      <c r="F547" s="567">
        <f t="shared" si="81"/>
        <v>1.9</v>
      </c>
      <c r="G547" s="1621">
        <f t="shared" si="82"/>
        <v>82.575934119456747</v>
      </c>
      <c r="H547" s="803"/>
      <c r="I547" s="1175" t="s">
        <v>263</v>
      </c>
      <c r="J547" s="803"/>
      <c r="K547" s="566"/>
      <c r="L547" s="566"/>
      <c r="M547" s="1623" t="s">
        <v>263</v>
      </c>
      <c r="N547" s="1623" t="s">
        <v>263</v>
      </c>
      <c r="O547" s="1575" t="str">
        <f t="shared" si="80"/>
        <v>N/A</v>
      </c>
      <c r="P547" s="1664" t="s">
        <v>1541</v>
      </c>
      <c r="Q547" s="1175">
        <f>IF($E547="Logistics",VLOOKUP($P547,'Lower Cask Movement &amp; Logistics'!$C$4:$D$53,2,FALSE),"N/A")</f>
        <v>1.9</v>
      </c>
      <c r="R547" s="3376" t="s">
        <v>1926</v>
      </c>
      <c r="S547" s="3525">
        <f>IFERROR(VLOOKUP($R547,'LowerCask Recovery Dependencies'!$C$385:$F$447,4,FALSE),"N/A")</f>
        <v>80.675934119456741</v>
      </c>
      <c r="T547" s="3467">
        <f t="shared" si="83"/>
        <v>-7.4862962962962882</v>
      </c>
      <c r="U547" s="2424"/>
      <c r="V547" s="2424"/>
      <c r="W547" s="2424"/>
      <c r="X547" s="2424"/>
      <c r="Y547" s="3434"/>
    </row>
    <row r="548" spans="1:25" s="8" customFormat="1" hidden="1" outlineLevel="2" x14ac:dyDescent="0.4">
      <c r="A548"/>
      <c r="B548" s="2081"/>
      <c r="C548" s="3854"/>
      <c r="D548" s="573" t="s">
        <v>1606</v>
      </c>
      <c r="E548" s="573" t="s">
        <v>3</v>
      </c>
      <c r="F548" s="1276">
        <f t="shared" si="81"/>
        <v>0.38</v>
      </c>
      <c r="G548" s="626">
        <f t="shared" si="82"/>
        <v>82.955934119456742</v>
      </c>
      <c r="H548" s="1131"/>
      <c r="I548" s="1176" t="s">
        <v>263</v>
      </c>
      <c r="J548" s="1131"/>
      <c r="K548" s="573"/>
      <c r="L548" s="573"/>
      <c r="M548" s="853" t="s">
        <v>263</v>
      </c>
      <c r="N548" s="853" t="s">
        <v>263</v>
      </c>
      <c r="O548" s="1176" t="str">
        <f t="shared" si="80"/>
        <v>N/A</v>
      </c>
      <c r="P548" s="1580" t="s">
        <v>1544</v>
      </c>
      <c r="Q548" s="1176">
        <f>IF($E548="Logistics",VLOOKUP($P548,'Lower Cask Movement &amp; Logistics'!$C$4:$D$53,2,FALSE),"N/A")</f>
        <v>0.38</v>
      </c>
      <c r="R548" s="3412"/>
      <c r="S548" s="3520" t="str">
        <f>IFERROR(VLOOKUP($R548,'LowerCask Recovery Dependencies'!$C$385:$F$447,4,FALSE),"N/A")</f>
        <v>N/A</v>
      </c>
      <c r="T548" s="3521" t="str">
        <f t="shared" si="83"/>
        <v>N/A</v>
      </c>
      <c r="U548" s="2424"/>
      <c r="V548" s="2424"/>
      <c r="W548" s="2424"/>
      <c r="X548" s="2424"/>
      <c r="Y548" s="3434"/>
    </row>
    <row r="549" spans="1:25" s="8" customFormat="1" hidden="1" outlineLevel="2" x14ac:dyDescent="0.4">
      <c r="A549"/>
      <c r="B549" s="2081"/>
      <c r="C549" s="3854"/>
      <c r="D549" s="573" t="s">
        <v>1681</v>
      </c>
      <c r="E549" s="573" t="s">
        <v>251</v>
      </c>
      <c r="F549" s="1276">
        <f t="shared" si="81"/>
        <v>0.8</v>
      </c>
      <c r="G549" s="626">
        <f t="shared" si="82"/>
        <v>83.755934119456739</v>
      </c>
      <c r="H549" s="1131" t="s">
        <v>275</v>
      </c>
      <c r="I549" s="1176">
        <v>0.8</v>
      </c>
      <c r="J549" s="1131"/>
      <c r="K549" s="573"/>
      <c r="L549" s="573"/>
      <c r="M549" s="853" t="s">
        <v>263</v>
      </c>
      <c r="N549" s="853" t="s">
        <v>263</v>
      </c>
      <c r="O549" s="1176" t="str">
        <f t="shared" si="80"/>
        <v>N/A</v>
      </c>
      <c r="P549" s="1580"/>
      <c r="Q549" s="1176" t="str">
        <f>IF($E549="Logistics",VLOOKUP($P549,'Lower Cask Movement &amp; Logistics'!$C$4:$D$53,2,FALSE),"N/A")</f>
        <v>N/A</v>
      </c>
      <c r="R549" s="3412"/>
      <c r="S549" s="3520" t="str">
        <f>IFERROR(VLOOKUP($R549,'LowerCask Recovery Dependencies'!$C$385:$F$447,4,FALSE),"N/A")</f>
        <v>N/A</v>
      </c>
      <c r="T549" s="3521" t="str">
        <f t="shared" si="83"/>
        <v>N/A</v>
      </c>
      <c r="U549" s="2424"/>
      <c r="V549" s="2424"/>
      <c r="W549" s="2424"/>
      <c r="X549" s="2424"/>
      <c r="Y549" s="3434"/>
    </row>
    <row r="550" spans="1:25" s="8" customFormat="1" hidden="1" outlineLevel="2" x14ac:dyDescent="0.4">
      <c r="A550"/>
      <c r="B550" s="2081"/>
      <c r="C550" s="3854"/>
      <c r="D550" s="573" t="s">
        <v>1575</v>
      </c>
      <c r="E550" s="573" t="s">
        <v>3</v>
      </c>
      <c r="F550" s="1276">
        <f t="shared" si="81"/>
        <v>0.38</v>
      </c>
      <c r="G550" s="626">
        <f t="shared" si="82"/>
        <v>84.135934119456735</v>
      </c>
      <c r="H550" s="1131"/>
      <c r="I550" s="1176" t="s">
        <v>263</v>
      </c>
      <c r="J550" s="1131"/>
      <c r="K550" s="573"/>
      <c r="L550" s="573"/>
      <c r="M550" s="853" t="s">
        <v>263</v>
      </c>
      <c r="N550" s="853" t="s">
        <v>263</v>
      </c>
      <c r="O550" s="1176" t="str">
        <f t="shared" si="80"/>
        <v>N/A</v>
      </c>
      <c r="P550" s="1580" t="s">
        <v>1546</v>
      </c>
      <c r="Q550" s="1176">
        <f>IF($E550="Logistics",VLOOKUP($P550,'Lower Cask Movement &amp; Logistics'!$C$4:$D$53,2,FALSE),"N/A")</f>
        <v>0.38</v>
      </c>
      <c r="R550" s="3412"/>
      <c r="S550" s="3520" t="str">
        <f>IFERROR(VLOOKUP($R550,'LowerCask Recovery Dependencies'!$C$385:$F$447,4,FALSE),"N/A")</f>
        <v>N/A</v>
      </c>
      <c r="T550" s="3521" t="str">
        <f t="shared" si="83"/>
        <v>N/A</v>
      </c>
      <c r="U550" s="2424"/>
      <c r="V550" s="2424"/>
      <c r="W550" s="2424"/>
      <c r="X550" s="2424"/>
      <c r="Y550" s="3434"/>
    </row>
    <row r="551" spans="1:25" s="8" customFormat="1" ht="15" hidden="1" outlineLevel="2" thickBot="1" x14ac:dyDescent="0.45">
      <c r="A551"/>
      <c r="B551" s="2081"/>
      <c r="C551" s="3851"/>
      <c r="D551" s="584" t="s">
        <v>1688</v>
      </c>
      <c r="E551" s="584" t="s">
        <v>3</v>
      </c>
      <c r="F551" s="1632">
        <f t="shared" si="81"/>
        <v>2.3000000000000003</v>
      </c>
      <c r="G551" s="585">
        <f t="shared" si="82"/>
        <v>86.435934119456732</v>
      </c>
      <c r="H551" s="1136"/>
      <c r="I551" s="1179" t="s">
        <v>263</v>
      </c>
      <c r="J551" s="1136"/>
      <c r="K551" s="584"/>
      <c r="L551" s="584"/>
      <c r="M551" s="814" t="s">
        <v>263</v>
      </c>
      <c r="N551" s="814" t="s">
        <v>263</v>
      </c>
      <c r="O551" s="1179" t="str">
        <f t="shared" si="80"/>
        <v>N/A</v>
      </c>
      <c r="P551" s="1582" t="s">
        <v>1552</v>
      </c>
      <c r="Q551" s="1179">
        <f>IF($E551="Logistics",VLOOKUP($P551,'Lower Cask Movement &amp; Logistics'!$C$4:$D$53,2,FALSE),"N/A")</f>
        <v>2.3000000000000003</v>
      </c>
      <c r="R551" s="3378"/>
      <c r="S551" s="3478" t="str">
        <f>IFERROR(VLOOKUP($R551,'LowerCask Recovery Dependencies'!$C$385:$F$447,4,FALSE),"N/A")</f>
        <v>N/A</v>
      </c>
      <c r="T551" s="3469" t="str">
        <f t="shared" si="83"/>
        <v>N/A</v>
      </c>
      <c r="U551" s="2424"/>
      <c r="V551" s="2424"/>
      <c r="W551" s="2424"/>
      <c r="X551" s="2424"/>
      <c r="Y551" s="3434"/>
    </row>
    <row r="552" spans="1:25" s="8" customFormat="1" hidden="1" outlineLevel="2" x14ac:dyDescent="0.4">
      <c r="A552"/>
      <c r="B552" s="2081"/>
      <c r="C552" s="3852" t="s">
        <v>1689</v>
      </c>
      <c r="D552" s="1906" t="s">
        <v>1619</v>
      </c>
      <c r="E552" s="1907" t="s">
        <v>3</v>
      </c>
      <c r="F552" s="1739">
        <f t="shared" si="81"/>
        <v>1.9</v>
      </c>
      <c r="G552" s="1739">
        <f t="shared" si="82"/>
        <v>101.29111930464191</v>
      </c>
      <c r="H552" s="1906"/>
      <c r="I552" s="1917" t="s">
        <v>263</v>
      </c>
      <c r="J552" s="1906"/>
      <c r="K552" s="1911"/>
      <c r="L552" s="1911"/>
      <c r="M552" s="1912" t="s">
        <v>263</v>
      </c>
      <c r="N552" s="1912" t="s">
        <v>263</v>
      </c>
      <c r="O552" s="1917" t="str">
        <f t="shared" si="80"/>
        <v>N/A</v>
      </c>
      <c r="P552" s="1916" t="s">
        <v>1541</v>
      </c>
      <c r="Q552" s="1917">
        <f>IF($E552="Logistics",VLOOKUP($P552,'Lower Cask Movement &amp; Logistics'!$C$4:$D$53,2,FALSE),"N/A")</f>
        <v>1.9</v>
      </c>
      <c r="R552" s="3381" t="s">
        <v>1927</v>
      </c>
      <c r="S552" s="3486">
        <f>IFERROR(VLOOKUP($R552,'LowerCask Recovery Dependencies'!$C$385:$F$447,4,FALSE),"N/A")</f>
        <v>99.391119304641904</v>
      </c>
      <c r="T552" s="3487">
        <f t="shared" si="83"/>
        <v>-12.955185185185172</v>
      </c>
      <c r="U552" s="2424"/>
      <c r="V552" s="2424"/>
      <c r="W552" s="2424"/>
      <c r="X552" s="2424"/>
      <c r="Y552" s="3434"/>
    </row>
    <row r="553" spans="1:25" s="8" customFormat="1" hidden="1" outlineLevel="2" x14ac:dyDescent="0.4">
      <c r="A553"/>
      <c r="B553" s="2081"/>
      <c r="C553" s="3856"/>
      <c r="D553" s="1895" t="s">
        <v>1247</v>
      </c>
      <c r="E553" s="1896" t="s">
        <v>3</v>
      </c>
      <c r="F553" s="1347">
        <f t="shared" si="81"/>
        <v>0.38</v>
      </c>
      <c r="G553" s="1347">
        <f t="shared" si="82"/>
        <v>101.67111930464191</v>
      </c>
      <c r="H553" s="1895"/>
      <c r="I553" s="1903" t="s">
        <v>263</v>
      </c>
      <c r="J553" s="1895"/>
      <c r="K553" s="1897"/>
      <c r="L553" s="1897"/>
      <c r="M553" s="1898" t="s">
        <v>263</v>
      </c>
      <c r="N553" s="1898" t="s">
        <v>263</v>
      </c>
      <c r="O553" s="1903" t="str">
        <f t="shared" si="80"/>
        <v>N/A</v>
      </c>
      <c r="P553" s="1902" t="s">
        <v>1544</v>
      </c>
      <c r="Q553" s="1903">
        <f>IF($E553="Logistics",VLOOKUP($P553,'Lower Cask Movement &amp; Logistics'!$C$4:$D$53,2,FALSE),"N/A")</f>
        <v>0.38</v>
      </c>
      <c r="R553" s="3380"/>
      <c r="S553" s="3481" t="str">
        <f>IFERROR(VLOOKUP($R553,'LowerCask Recovery Dependencies'!$C$385:$F$447,4,FALSE),"N/A")</f>
        <v>N/A</v>
      </c>
      <c r="T553" s="3482" t="str">
        <f t="shared" si="83"/>
        <v>N/A</v>
      </c>
      <c r="U553" s="2424"/>
      <c r="V553" s="2424"/>
      <c r="W553" s="2424"/>
      <c r="X553" s="2424"/>
      <c r="Y553" s="3434"/>
    </row>
    <row r="554" spans="1:25" s="8" customFormat="1" hidden="1" outlineLevel="2" x14ac:dyDescent="0.4">
      <c r="A554"/>
      <c r="B554" s="2081"/>
      <c r="C554" s="3856"/>
      <c r="D554" s="1895" t="s">
        <v>1691</v>
      </c>
      <c r="E554" s="1896" t="s">
        <v>3</v>
      </c>
      <c r="F554" s="1347">
        <f t="shared" si="81"/>
        <v>0.38</v>
      </c>
      <c r="G554" s="1347">
        <f t="shared" si="82"/>
        <v>102.0511193046419</v>
      </c>
      <c r="H554" s="1895"/>
      <c r="I554" s="1903" t="s">
        <v>263</v>
      </c>
      <c r="J554" s="1895"/>
      <c r="K554" s="1897"/>
      <c r="L554" s="1897"/>
      <c r="M554" s="1898" t="s">
        <v>263</v>
      </c>
      <c r="N554" s="1898" t="s">
        <v>263</v>
      </c>
      <c r="O554" s="1903" t="str">
        <f t="shared" si="80"/>
        <v>N/A</v>
      </c>
      <c r="P554" s="1902" t="s">
        <v>1544</v>
      </c>
      <c r="Q554" s="1903">
        <f>IF($E554="Logistics",VLOOKUP($P554,'Lower Cask Movement &amp; Logistics'!$C$4:$D$53,2,FALSE),"N/A")</f>
        <v>0.38</v>
      </c>
      <c r="R554" s="3380"/>
      <c r="S554" s="3481" t="str">
        <f>IFERROR(VLOOKUP($R554,'LowerCask Recovery Dependencies'!$C$385:$F$447,4,FALSE),"N/A")</f>
        <v>N/A</v>
      </c>
      <c r="T554" s="3482" t="str">
        <f t="shared" si="83"/>
        <v>N/A</v>
      </c>
      <c r="U554" s="2424"/>
      <c r="V554" s="2424"/>
      <c r="W554" s="2424"/>
      <c r="X554" s="2424"/>
      <c r="Y554" s="3434"/>
    </row>
    <row r="555" spans="1:25" s="8" customFormat="1" hidden="1" outlineLevel="2" x14ac:dyDescent="0.4">
      <c r="A555"/>
      <c r="B555" s="2081"/>
      <c r="C555" s="3856"/>
      <c r="D555" s="1895" t="s">
        <v>1928</v>
      </c>
      <c r="E555" s="1896" t="s">
        <v>251</v>
      </c>
      <c r="F555" s="1347">
        <f t="shared" si="81"/>
        <v>7.8621484536495476</v>
      </c>
      <c r="G555" s="1347">
        <f t="shared" si="82"/>
        <v>109.91326775829145</v>
      </c>
      <c r="H555" s="1895" t="s">
        <v>1919</v>
      </c>
      <c r="I555" s="1903">
        <v>7.8621484536495476</v>
      </c>
      <c r="J555" s="1895"/>
      <c r="K555" s="1897"/>
      <c r="L555" s="1897"/>
      <c r="M555" s="1898" t="s">
        <v>263</v>
      </c>
      <c r="N555" s="1898" t="s">
        <v>263</v>
      </c>
      <c r="O555" s="1903" t="str">
        <f t="shared" si="80"/>
        <v>N/A</v>
      </c>
      <c r="P555" s="1902"/>
      <c r="Q555" s="1903" t="str">
        <f>IF($E555="Logistics",VLOOKUP($P555,'Lower Cask Movement &amp; Logistics'!$C$4:$D$53,2,FALSE),"N/A")</f>
        <v>N/A</v>
      </c>
      <c r="R555" s="3380"/>
      <c r="S555" s="3481" t="str">
        <f>IFERROR(VLOOKUP($R555,'LowerCask Recovery Dependencies'!$C$385:$F$447,4,FALSE),"N/A")</f>
        <v>N/A</v>
      </c>
      <c r="T555" s="3482" t="str">
        <f t="shared" si="83"/>
        <v>N/A</v>
      </c>
      <c r="U555" s="2424"/>
      <c r="V555" s="2424"/>
      <c r="W555" s="2424"/>
      <c r="X555" s="2424"/>
      <c r="Y555" s="3434"/>
    </row>
    <row r="556" spans="1:25" s="8" customFormat="1" hidden="1" outlineLevel="2" x14ac:dyDescent="0.4">
      <c r="A556"/>
      <c r="B556" s="2081"/>
      <c r="C556" s="3856"/>
      <c r="D556" s="1895" t="s">
        <v>1693</v>
      </c>
      <c r="E556" s="1896" t="s">
        <v>3</v>
      </c>
      <c r="F556" s="1347">
        <f t="shared" si="81"/>
        <v>0.38</v>
      </c>
      <c r="G556" s="1347">
        <f t="shared" si="82"/>
        <v>110.29326775829145</v>
      </c>
      <c r="H556" s="1895"/>
      <c r="I556" s="1903" t="s">
        <v>263</v>
      </c>
      <c r="J556" s="1895"/>
      <c r="K556" s="1897"/>
      <c r="L556" s="1897"/>
      <c r="M556" s="1898" t="s">
        <v>263</v>
      </c>
      <c r="N556" s="1898" t="s">
        <v>263</v>
      </c>
      <c r="O556" s="1903" t="str">
        <f t="shared" si="80"/>
        <v>N/A</v>
      </c>
      <c r="P556" s="1902" t="s">
        <v>1544</v>
      </c>
      <c r="Q556" s="1903">
        <f>IF($E556="Logistics",VLOOKUP($P556,'Lower Cask Movement &amp; Logistics'!$C$4:$D$53,2,FALSE),"N/A")</f>
        <v>0.38</v>
      </c>
      <c r="R556" s="3380"/>
      <c r="S556" s="3481" t="str">
        <f>IFERROR(VLOOKUP($R556,'LowerCask Recovery Dependencies'!$C$385:$F$447,4,FALSE),"N/A")</f>
        <v>N/A</v>
      </c>
      <c r="T556" s="3482" t="str">
        <f t="shared" si="83"/>
        <v>N/A</v>
      </c>
      <c r="U556" s="2424"/>
      <c r="V556" s="2424"/>
      <c r="W556" s="2424"/>
      <c r="X556" s="2424"/>
      <c r="Y556" s="3434"/>
    </row>
    <row r="557" spans="1:25" s="8" customFormat="1" hidden="1" outlineLevel="2" x14ac:dyDescent="0.4">
      <c r="A557"/>
      <c r="B557" s="2081"/>
      <c r="C557" s="3856"/>
      <c r="D557" s="1895" t="s">
        <v>1670</v>
      </c>
      <c r="E557" s="1896" t="s">
        <v>3</v>
      </c>
      <c r="F557" s="1347">
        <f t="shared" si="81"/>
        <v>0.53</v>
      </c>
      <c r="G557" s="1347">
        <f t="shared" si="82"/>
        <v>110.82326775829145</v>
      </c>
      <c r="H557" s="1895"/>
      <c r="I557" s="1903" t="s">
        <v>263</v>
      </c>
      <c r="J557" s="1895"/>
      <c r="K557" s="1897"/>
      <c r="L557" s="1897"/>
      <c r="M557" s="1898" t="s">
        <v>263</v>
      </c>
      <c r="N557" s="1898" t="s">
        <v>263</v>
      </c>
      <c r="O557" s="1903" t="str">
        <f t="shared" si="80"/>
        <v>N/A</v>
      </c>
      <c r="P557" s="1902" t="s">
        <v>1558</v>
      </c>
      <c r="Q557" s="1903">
        <f>IF($E557="Logistics",VLOOKUP($P557,'Lower Cask Movement &amp; Logistics'!$C$4:$D$53,2,FALSE),"N/A")</f>
        <v>0.53</v>
      </c>
      <c r="R557" s="3380"/>
      <c r="S557" s="3481" t="str">
        <f>IFERROR(VLOOKUP($R557,'LowerCask Recovery Dependencies'!$C$385:$F$447,4,FALSE),"N/A")</f>
        <v>N/A</v>
      </c>
      <c r="T557" s="3482" t="str">
        <f t="shared" si="83"/>
        <v>N/A</v>
      </c>
      <c r="U557" s="2424"/>
      <c r="V557" s="2424"/>
      <c r="W557" s="2424"/>
      <c r="X557" s="2424"/>
      <c r="Y557" s="3434"/>
    </row>
    <row r="558" spans="1:25" s="8" customFormat="1" hidden="1" outlineLevel="2" x14ac:dyDescent="0.4">
      <c r="A558"/>
      <c r="B558" s="2081"/>
      <c r="C558" s="3856"/>
      <c r="D558" s="1895" t="s">
        <v>1921</v>
      </c>
      <c r="E558" s="1896" t="s">
        <v>251</v>
      </c>
      <c r="F558" s="1347">
        <f t="shared" si="81"/>
        <v>7.8621484536495476</v>
      </c>
      <c r="G558" s="1347">
        <f t="shared" si="82"/>
        <v>118.685416211941</v>
      </c>
      <c r="H558" s="1895" t="s">
        <v>1919</v>
      </c>
      <c r="I558" s="1903">
        <v>7.8621484536495476</v>
      </c>
      <c r="J558" s="1895"/>
      <c r="K558" s="1897"/>
      <c r="L558" s="1897"/>
      <c r="M558" s="1898" t="s">
        <v>263</v>
      </c>
      <c r="N558" s="1898" t="s">
        <v>263</v>
      </c>
      <c r="O558" s="1903" t="str">
        <f t="shared" si="80"/>
        <v>N/A</v>
      </c>
      <c r="P558" s="1902"/>
      <c r="Q558" s="1903" t="str">
        <f>IF($E558="Logistics",VLOOKUP($P558,'Lower Cask Movement &amp; Logistics'!$C$4:$D$53,2,FALSE),"N/A")</f>
        <v>N/A</v>
      </c>
      <c r="R558" s="3380"/>
      <c r="S558" s="3481" t="str">
        <f>IFERROR(VLOOKUP($R558,'LowerCask Recovery Dependencies'!$C$385:$F$447,4,FALSE),"N/A")</f>
        <v>N/A</v>
      </c>
      <c r="T558" s="3482" t="str">
        <f t="shared" si="83"/>
        <v>N/A</v>
      </c>
      <c r="U558" s="2424"/>
      <c r="V558" s="2424"/>
      <c r="W558" s="2424"/>
      <c r="X558" s="2424"/>
      <c r="Y558" s="3434"/>
    </row>
    <row r="559" spans="1:25" s="8" customFormat="1" ht="15" hidden="1" outlineLevel="2" thickBot="1" x14ac:dyDescent="0.45">
      <c r="A559"/>
      <c r="B559" s="2081"/>
      <c r="C559" s="3853"/>
      <c r="D559" s="1869" t="s">
        <v>1599</v>
      </c>
      <c r="E559" s="1918" t="s">
        <v>3</v>
      </c>
      <c r="F559" s="1295">
        <f t="shared" si="81"/>
        <v>0.38</v>
      </c>
      <c r="G559" s="1295">
        <f t="shared" si="82"/>
        <v>119.065416211941</v>
      </c>
      <c r="H559" s="1869"/>
      <c r="I559" s="1922" t="s">
        <v>263</v>
      </c>
      <c r="J559" s="1869"/>
      <c r="K559" s="837"/>
      <c r="L559" s="837"/>
      <c r="M559" s="842" t="s">
        <v>263</v>
      </c>
      <c r="N559" s="842" t="s">
        <v>263</v>
      </c>
      <c r="O559" s="1922" t="str">
        <f t="shared" si="80"/>
        <v>N/A</v>
      </c>
      <c r="P559" s="1921" t="s">
        <v>1546</v>
      </c>
      <c r="Q559" s="1922">
        <f>IF($E559="Logistics",VLOOKUP($P559,'Lower Cask Movement &amp; Logistics'!$C$4:$D$53,2,FALSE),"N/A")</f>
        <v>0.38</v>
      </c>
      <c r="R559" s="3382"/>
      <c r="S559" s="3488" t="str">
        <f>IFERROR(VLOOKUP($R559,'LowerCask Recovery Dependencies'!$C$385:$F$447,4,FALSE),"N/A")</f>
        <v>N/A</v>
      </c>
      <c r="T559" s="3473" t="str">
        <f t="shared" si="83"/>
        <v>N/A</v>
      </c>
      <c r="U559" s="2424"/>
      <c r="V559" s="2424"/>
      <c r="W559" s="2424"/>
      <c r="X559" s="2424"/>
      <c r="Y559" s="3434"/>
    </row>
    <row r="560" spans="1:25" s="8" customFormat="1" hidden="1" outlineLevel="1" x14ac:dyDescent="0.4">
      <c r="A560"/>
      <c r="B560" s="2081"/>
      <c r="C560" s="689"/>
      <c r="D560" s="892"/>
      <c r="E560" s="1439" t="s">
        <v>11</v>
      </c>
      <c r="F560" s="1439"/>
      <c r="G560" s="894">
        <f>G559</f>
        <v>119.065416211941</v>
      </c>
      <c r="H560" s="94"/>
      <c r="I560" s="895"/>
      <c r="J560" s="94"/>
      <c r="K560" s="94"/>
      <c r="L560" s="896"/>
      <c r="M560" s="897"/>
      <c r="N560" s="897"/>
      <c r="O560" s="894"/>
      <c r="P560" s="94"/>
      <c r="Q560" s="897"/>
      <c r="R560" s="3383"/>
      <c r="S560" s="3489"/>
      <c r="T560" s="3489"/>
      <c r="U560" s="2424"/>
      <c r="V560" s="2424"/>
      <c r="W560" s="2424"/>
      <c r="X560" s="2424"/>
      <c r="Y560" s="3434"/>
    </row>
    <row r="561" spans="1:28" s="8" customFormat="1" hidden="1" outlineLevel="1" x14ac:dyDescent="0.4">
      <c r="A561"/>
      <c r="B561" s="2081"/>
      <c r="C561" s="689"/>
      <c r="D561" s="892"/>
      <c r="E561" s="688"/>
      <c r="F561"/>
      <c r="G561"/>
      <c r="H561" s="89"/>
      <c r="I561" s="177"/>
      <c r="J561"/>
      <c r="K561"/>
      <c r="L561" s="689"/>
      <c r="M561"/>
      <c r="N561"/>
      <c r="O561"/>
      <c r="P561"/>
      <c r="Q561"/>
      <c r="R561" s="3360"/>
      <c r="S561" s="2424"/>
      <c r="T561" s="2424"/>
      <c r="U561" s="2424"/>
      <c r="V561" s="2424"/>
      <c r="W561" s="2424"/>
      <c r="X561" s="2424"/>
      <c r="Y561" s="2424"/>
      <c r="Z561"/>
      <c r="AA561"/>
      <c r="AB561"/>
    </row>
    <row r="562" spans="1:28" s="8" customFormat="1" collapsed="1" x14ac:dyDescent="0.4">
      <c r="A562"/>
      <c r="B562" s="2082"/>
      <c r="C562" s="2083"/>
      <c r="D562" s="2084"/>
      <c r="E562" s="2084"/>
      <c r="F562" s="2084"/>
      <c r="G562" s="2084"/>
      <c r="H562" s="2084"/>
      <c r="I562" s="2084"/>
      <c r="J562" s="2084"/>
      <c r="K562" s="2084"/>
      <c r="L562" s="2084"/>
      <c r="M562" s="2084"/>
      <c r="N562" s="2084"/>
      <c r="O562" s="2084"/>
      <c r="P562" s="2084"/>
      <c r="Q562" s="2084"/>
      <c r="R562" s="3422"/>
      <c r="S562" s="3536"/>
      <c r="T562" s="3536"/>
      <c r="U562" s="3536"/>
      <c r="V562" s="3536"/>
      <c r="W562" s="3536"/>
      <c r="X562" s="3536"/>
      <c r="Y562" s="2424"/>
      <c r="Z562"/>
      <c r="AA562"/>
      <c r="AB562"/>
    </row>
    <row r="564" spans="1:28" s="8" customFormat="1" ht="15.45" x14ac:dyDescent="0.4">
      <c r="A564"/>
      <c r="B564" s="2077"/>
      <c r="C564" s="2078"/>
      <c r="D564" s="2079" t="s">
        <v>1929</v>
      </c>
      <c r="E564" s="2080"/>
      <c r="F564" s="2080"/>
      <c r="G564" s="2080"/>
      <c r="H564" s="2080"/>
      <c r="I564" s="2080"/>
      <c r="J564" s="2080"/>
      <c r="K564" s="2080"/>
      <c r="L564" s="2080"/>
      <c r="M564" s="2080"/>
      <c r="N564" s="2080"/>
      <c r="O564" s="2080"/>
      <c r="P564" s="2080"/>
      <c r="Q564" s="2080"/>
      <c r="R564" s="3421"/>
      <c r="S564" s="3535"/>
      <c r="T564" s="3535"/>
      <c r="U564" s="3535"/>
      <c r="V564" s="3535"/>
      <c r="W564" s="3535"/>
      <c r="X564" s="3535"/>
      <c r="Y564" s="2424"/>
      <c r="Z564"/>
      <c r="AA564"/>
      <c r="AB564"/>
    </row>
    <row r="565" spans="1:28" s="8" customFormat="1" hidden="1" outlineLevel="1" x14ac:dyDescent="0.4">
      <c r="A565"/>
      <c r="B565" s="2081"/>
      <c r="C565" s="1826"/>
      <c r="D565" s="748" t="s">
        <v>1053</v>
      </c>
      <c r="E565" s="749"/>
      <c r="F565" s="704"/>
      <c r="G565" s="704"/>
      <c r="H565" s="704"/>
      <c r="I565" s="750"/>
      <c r="J565" s="704"/>
      <c r="K565" s="704"/>
      <c r="L565" s="704"/>
      <c r="M565" s="704"/>
      <c r="N565" s="704"/>
      <c r="O565" s="704"/>
      <c r="P565" s="704"/>
      <c r="Q565" s="704"/>
      <c r="R565" s="3364"/>
      <c r="S565" s="3433"/>
      <c r="T565" s="3433"/>
      <c r="U565" s="3433"/>
      <c r="V565" s="3433"/>
      <c r="W565" s="3433"/>
      <c r="X565" s="3433"/>
      <c r="Y565" s="2424"/>
      <c r="Z565"/>
      <c r="AA565"/>
      <c r="AB565"/>
    </row>
    <row r="566" spans="1:28" s="8" customFormat="1" ht="15" hidden="1" outlineLevel="1" thickBot="1" x14ac:dyDescent="0.45">
      <c r="A566"/>
      <c r="B566" s="2081"/>
      <c r="C566" s="1826"/>
      <c r="D566" s="704" t="s">
        <v>1034</v>
      </c>
      <c r="E566" s="749"/>
      <c r="F566" s="704"/>
      <c r="G566" s="704"/>
      <c r="H566" s="704"/>
      <c r="I566" s="750"/>
      <c r="J566" s="704"/>
      <c r="K566" s="704"/>
      <c r="L566" s="704"/>
      <c r="M566" s="704"/>
      <c r="N566" s="704"/>
      <c r="O566" s="704"/>
      <c r="P566" s="704"/>
      <c r="Q566" s="704"/>
      <c r="R566" s="3364"/>
      <c r="S566" s="3433"/>
      <c r="T566" s="3434"/>
      <c r="U566" s="3433"/>
      <c r="V566" s="3433"/>
      <c r="W566" s="3433"/>
      <c r="X566" s="3433"/>
      <c r="Y566" s="2424"/>
      <c r="Z566"/>
      <c r="AA566"/>
      <c r="AB566"/>
    </row>
    <row r="567" spans="1:28" s="8" customFormat="1" hidden="1" outlineLevel="1" x14ac:dyDescent="0.4">
      <c r="A567"/>
      <c r="B567" s="2081"/>
      <c r="C567" s="1826"/>
      <c r="D567" t="s">
        <v>1861</v>
      </c>
      <c r="E567" s="749"/>
      <c r="F567" s="704"/>
      <c r="G567" s="704"/>
      <c r="H567" s="704"/>
      <c r="I567" s="750"/>
      <c r="J567" s="704"/>
      <c r="K567" s="704"/>
      <c r="L567" s="704"/>
      <c r="M567" s="704"/>
      <c r="N567" s="704"/>
      <c r="O567" s="704"/>
      <c r="P567" s="704"/>
      <c r="Q567" s="704"/>
      <c r="R567" s="3365"/>
      <c r="S567" s="3435" t="s">
        <v>23</v>
      </c>
      <c r="T567" s="3842" t="s">
        <v>2604</v>
      </c>
      <c r="U567" s="3843"/>
      <c r="V567" s="3843"/>
      <c r="W567" s="3843"/>
      <c r="X567" s="3844"/>
      <c r="Y567" s="2424"/>
      <c r="Z567"/>
      <c r="AA567"/>
      <c r="AB567"/>
    </row>
    <row r="568" spans="1:28" s="8" customFormat="1" hidden="1" outlineLevel="1" x14ac:dyDescent="0.4">
      <c r="A568"/>
      <c r="B568" s="2081"/>
      <c r="C568" s="1826"/>
      <c r="D568" s="704" t="s">
        <v>1035</v>
      </c>
      <c r="E568" s="749"/>
      <c r="F568" s="704"/>
      <c r="G568" s="704"/>
      <c r="H568" s="704"/>
      <c r="I568" s="750"/>
      <c r="J568" s="704"/>
      <c r="K568" s="704"/>
      <c r="L568" s="704"/>
      <c r="M568" s="704"/>
      <c r="N568" s="704"/>
      <c r="O568" s="704"/>
      <c r="P568" s="704"/>
      <c r="Q568" s="704"/>
      <c r="R568" s="3354" t="s">
        <v>1055</v>
      </c>
      <c r="S568" s="1122">
        <v>1</v>
      </c>
      <c r="T568" s="1513">
        <v>1</v>
      </c>
      <c r="U568" s="916">
        <v>2</v>
      </c>
      <c r="V568" s="916">
        <v>3</v>
      </c>
      <c r="W568" s="916">
        <v>4</v>
      </c>
      <c r="X568" s="1045">
        <v>6</v>
      </c>
      <c r="Y568" s="2424"/>
      <c r="Z568"/>
      <c r="AA568"/>
      <c r="AB568"/>
    </row>
    <row r="569" spans="1:28" s="8" customFormat="1" hidden="1" outlineLevel="1" x14ac:dyDescent="0.4">
      <c r="A569"/>
      <c r="B569" s="2081"/>
      <c r="C569" s="1826"/>
      <c r="D569" s="704" t="s">
        <v>1036</v>
      </c>
      <c r="E569" s="749"/>
      <c r="F569" s="704"/>
      <c r="G569" s="704"/>
      <c r="H569" s="704"/>
      <c r="I569" s="750"/>
      <c r="J569" s="704"/>
      <c r="K569" s="704"/>
      <c r="L569" s="704"/>
      <c r="M569" s="704"/>
      <c r="N569" s="704"/>
      <c r="O569" s="704"/>
      <c r="P569" s="704"/>
      <c r="Q569" s="704"/>
      <c r="R569" s="3333" t="s">
        <v>2665</v>
      </c>
      <c r="S569" s="3442">
        <f>connect_divertor_piepwork</f>
        <v>16.965057309144747</v>
      </c>
      <c r="T569" s="3441">
        <f>ROUNDUP(Tokamak_Segmts/T568,0)*connect_divertor_piepwork</f>
        <v>271.44091694631595</v>
      </c>
      <c r="U569" s="3441">
        <f>ROUNDUP(Tokamak_Segmts/U568,0)*connect_divertor_piepwork</f>
        <v>135.72045847315798</v>
      </c>
      <c r="V569" s="3441">
        <f>ROUNDUP(Tokamak_Segmts/V568,0)*connect_divertor_piepwork</f>
        <v>101.79034385486848</v>
      </c>
      <c r="W569" s="3441">
        <f>ROUNDUP(Tokamak_Segmts/W568,0)*connect_divertor_piepwork</f>
        <v>67.860229236578988</v>
      </c>
      <c r="X569" s="3441">
        <f>ROUNDUP(Tokamak_Segmts/X568,0)*connect_divertor_piepwork</f>
        <v>50.895171927434241</v>
      </c>
      <c r="Y569" s="2424"/>
      <c r="Z569"/>
      <c r="AA569"/>
      <c r="AB569"/>
    </row>
    <row r="570" spans="1:28" s="8" customFormat="1" ht="15" hidden="1" outlineLevel="1" thickBot="1" x14ac:dyDescent="0.45">
      <c r="A570"/>
      <c r="B570" s="2081"/>
      <c r="C570" s="1826"/>
      <c r="D570" s="704" t="s">
        <v>1037</v>
      </c>
      <c r="E570" s="749"/>
      <c r="F570" s="704"/>
      <c r="G570" s="704"/>
      <c r="H570" s="704"/>
      <c r="I570" s="750"/>
      <c r="J570" s="704"/>
      <c r="K570" s="704"/>
      <c r="L570" s="704"/>
      <c r="M570" s="704"/>
      <c r="N570" s="704"/>
      <c r="O570" s="704"/>
      <c r="P570" s="704"/>
      <c r="Q570" s="704"/>
      <c r="R570" s="3334" t="s">
        <v>2693</v>
      </c>
      <c r="S570" s="3443">
        <f>S$569*$E$574</f>
        <v>0.1866156304005922</v>
      </c>
      <c r="T570" s="3493">
        <f t="shared" ref="T570:X570" si="84">T$569*$E$574</f>
        <v>2.9858500864094752</v>
      </c>
      <c r="U570" s="3445">
        <f t="shared" si="84"/>
        <v>1.4929250432047376</v>
      </c>
      <c r="V570" s="3445">
        <f t="shared" si="84"/>
        <v>1.1196937824035533</v>
      </c>
      <c r="W570" s="3445">
        <f t="shared" si="84"/>
        <v>0.74646252160236881</v>
      </c>
      <c r="X570" s="3446">
        <f t="shared" si="84"/>
        <v>0.55984689120177666</v>
      </c>
      <c r="Y570" s="2424"/>
      <c r="Z570"/>
      <c r="AA570"/>
      <c r="AB570"/>
    </row>
    <row r="571" spans="1:28" s="8" customFormat="1" hidden="1" outlineLevel="1" x14ac:dyDescent="0.4">
      <c r="A571"/>
      <c r="B571" s="2081"/>
      <c r="C571" s="1826"/>
      <c r="D571" s="704" t="s">
        <v>1038</v>
      </c>
      <c r="E571" s="749"/>
      <c r="F571" s="704"/>
      <c r="G571" s="704"/>
      <c r="H571" s="704"/>
      <c r="I571" s="750"/>
      <c r="J571" s="704"/>
      <c r="K571" s="704"/>
      <c r="L571" s="704"/>
      <c r="M571" s="704"/>
      <c r="N571" s="704"/>
      <c r="O571" s="704"/>
      <c r="P571" s="704"/>
      <c r="Q571" s="704"/>
      <c r="R571" s="3366" t="s">
        <v>1048</v>
      </c>
      <c r="S571" s="3447">
        <f t="shared" ref="S571:X571" si="85">S570*(SUMIF($E$582:$E$623,"Operation",$F$582:$F$623))</f>
        <v>6.4503908213983117</v>
      </c>
      <c r="T571" s="3494">
        <f t="shared" si="85"/>
        <v>103.20625314237299</v>
      </c>
      <c r="U571" s="3449">
        <f t="shared" si="85"/>
        <v>51.603126571186493</v>
      </c>
      <c r="V571" s="3449">
        <f t="shared" si="85"/>
        <v>38.702344928389877</v>
      </c>
      <c r="W571" s="3449">
        <f t="shared" si="85"/>
        <v>25.801563285593247</v>
      </c>
      <c r="X571" s="3450">
        <f t="shared" si="85"/>
        <v>19.351172464194939</v>
      </c>
      <c r="Y571" s="2424"/>
      <c r="Z571"/>
      <c r="AA571"/>
      <c r="AB571"/>
    </row>
    <row r="572" spans="1:28" s="8" customFormat="1" hidden="1" outlineLevel="1" x14ac:dyDescent="0.4">
      <c r="A572"/>
      <c r="B572" s="2081"/>
      <c r="C572" s="1826"/>
      <c r="D572" s="704"/>
      <c r="E572" s="749"/>
      <c r="F572" s="704"/>
      <c r="G572" s="704"/>
      <c r="H572" s="704"/>
      <c r="I572" s="750"/>
      <c r="J572" s="704"/>
      <c r="K572" s="704"/>
      <c r="L572" s="704"/>
      <c r="M572" s="704"/>
      <c r="N572" s="704"/>
      <c r="O572" s="704"/>
      <c r="P572" s="704"/>
      <c r="Q572" s="704"/>
      <c r="R572" s="3354" t="s">
        <v>2658</v>
      </c>
      <c r="S572" s="3451">
        <f t="shared" ref="S572:X572" si="86">S570*(SUMIF($E$582:$E$623,"Movement",$F$582:$F$623)+(SUMIF($E$582:$E$623,"Logistics",$F$582:$F$623)))</f>
        <v>6.7629504457174621</v>
      </c>
      <c r="T572" s="3495">
        <f t="shared" si="86"/>
        <v>108.20720713147939</v>
      </c>
      <c r="U572" s="3453">
        <f t="shared" si="86"/>
        <v>54.103603565739697</v>
      </c>
      <c r="V572" s="3453">
        <f t="shared" si="86"/>
        <v>40.577702674304774</v>
      </c>
      <c r="W572" s="3453">
        <f t="shared" si="86"/>
        <v>27.051801782869848</v>
      </c>
      <c r="X572" s="3454">
        <f t="shared" si="86"/>
        <v>20.288851337152387</v>
      </c>
      <c r="Y572" s="2424"/>
      <c r="Z572"/>
      <c r="AA572"/>
      <c r="AB572"/>
    </row>
    <row r="573" spans="1:28" s="8" customFormat="1" ht="15" hidden="1" outlineLevel="1" thickBot="1" x14ac:dyDescent="0.45">
      <c r="A573"/>
      <c r="B573" s="2081"/>
      <c r="C573" s="1826"/>
      <c r="D573" s="704"/>
      <c r="E573" s="749"/>
      <c r="F573" s="704"/>
      <c r="G573" s="704"/>
      <c r="H573" s="704"/>
      <c r="I573" s="750"/>
      <c r="J573" s="704"/>
      <c r="K573" s="704"/>
      <c r="L573" s="704"/>
      <c r="M573" s="704"/>
      <c r="N573" s="704"/>
      <c r="O573" s="704"/>
      <c r="P573" s="704"/>
      <c r="Q573" s="704"/>
      <c r="R573" s="3367" t="s">
        <v>2657</v>
      </c>
      <c r="S573" s="3455">
        <f t="shared" ref="S573:X573" si="87">S570*(-SUMIF($T$582:$T$623,"&lt;0"))</f>
        <v>3.7015555874458186</v>
      </c>
      <c r="T573" s="3496">
        <f t="shared" si="87"/>
        <v>59.224889399133097</v>
      </c>
      <c r="U573" s="3457">
        <f t="shared" si="87"/>
        <v>29.612444699566549</v>
      </c>
      <c r="V573" s="3457">
        <f t="shared" si="87"/>
        <v>22.209333524674914</v>
      </c>
      <c r="W573" s="3457">
        <f t="shared" si="87"/>
        <v>14.806222349783274</v>
      </c>
      <c r="X573" s="3458">
        <f t="shared" si="87"/>
        <v>11.104666762337457</v>
      </c>
      <c r="Y573" s="2424"/>
      <c r="Z573"/>
      <c r="AA573"/>
      <c r="AB573"/>
    </row>
    <row r="574" spans="1:28" s="8" customFormat="1" ht="15" hidden="1" outlineLevel="1" thickBot="1" x14ac:dyDescent="0.45">
      <c r="A574"/>
      <c r="B574" s="2081"/>
      <c r="C574" s="1826"/>
      <c r="D574" s="748" t="s">
        <v>1056</v>
      </c>
      <c r="E574" s="709">
        <f>SUM(E575:E576)</f>
        <v>1.0999999999999999E-2</v>
      </c>
      <c r="F574" s="709"/>
      <c r="G574" s="709"/>
      <c r="H574" s="709"/>
      <c r="I574" s="919"/>
      <c r="J574" s="918"/>
      <c r="K574" s="918"/>
      <c r="L574" s="918"/>
      <c r="M574" s="918"/>
      <c r="N574" s="918"/>
      <c r="O574" s="918"/>
      <c r="P574" s="704"/>
      <c r="Q574" s="704"/>
      <c r="R574" s="3368" t="s">
        <v>2667</v>
      </c>
      <c r="S574" s="3459">
        <f t="shared" ref="S574:X574" si="88">S570*$G$624</f>
        <v>16.91489685456159</v>
      </c>
      <c r="T574" s="3426">
        <f t="shared" si="88"/>
        <v>270.63834967298544</v>
      </c>
      <c r="U574" s="3426">
        <f t="shared" si="88"/>
        <v>135.31917483649272</v>
      </c>
      <c r="V574" s="3426">
        <f t="shared" si="88"/>
        <v>101.48938112736955</v>
      </c>
      <c r="W574" s="3426">
        <f t="shared" si="88"/>
        <v>67.65958741824636</v>
      </c>
      <c r="X574" s="3461">
        <f t="shared" si="88"/>
        <v>50.744690563684777</v>
      </c>
      <c r="Y574" s="2424"/>
      <c r="Z574"/>
      <c r="AA574"/>
      <c r="AB574"/>
    </row>
    <row r="575" spans="1:28" s="8" customFormat="1" hidden="1" outlineLevel="1" x14ac:dyDescent="0.4">
      <c r="A575"/>
      <c r="B575" s="2081"/>
      <c r="C575" s="906"/>
      <c r="D575" s="7" t="s">
        <v>1057</v>
      </c>
      <c r="E575" s="763">
        <f>Weld_Failure_Rate</f>
        <v>1E-3</v>
      </c>
      <c r="F575" s="922"/>
      <c r="G575" s="922"/>
      <c r="H575" s="924"/>
      <c r="I575" s="290"/>
      <c r="J575" s="922"/>
      <c r="K575" s="922"/>
      <c r="L575" s="925"/>
      <c r="M575" s="922"/>
      <c r="N575" s="922"/>
      <c r="O575" s="922"/>
      <c r="P575" s="706"/>
      <c r="Q575" s="7"/>
      <c r="Y575" s="2424"/>
      <c r="Z575"/>
      <c r="AA575"/>
      <c r="AB575"/>
    </row>
    <row r="576" spans="1:28" s="8" customFormat="1" hidden="1" outlineLevel="1" x14ac:dyDescent="0.4">
      <c r="A576"/>
      <c r="B576" s="2081"/>
      <c r="C576" s="906"/>
      <c r="D576" s="7" t="s">
        <v>1058</v>
      </c>
      <c r="E576" s="763">
        <f>SJS_welder_failure</f>
        <v>0.01</v>
      </c>
      <c r="F576" s="922"/>
      <c r="G576" s="922"/>
      <c r="H576" s="924"/>
      <c r="I576" s="290"/>
      <c r="J576" s="922"/>
      <c r="K576" s="922"/>
      <c r="L576" s="925"/>
      <c r="M576" s="922"/>
      <c r="N576" s="922"/>
      <c r="O576" s="922"/>
      <c r="P576" s="706"/>
      <c r="Q576" s="7"/>
      <c r="Y576" s="2424"/>
      <c r="Z576"/>
      <c r="AA576"/>
      <c r="AB576"/>
    </row>
    <row r="577" spans="1:28" s="8" customFormat="1" hidden="1" outlineLevel="1" x14ac:dyDescent="0.4">
      <c r="A577"/>
      <c r="B577" s="2081"/>
      <c r="C577" s="906"/>
      <c r="D577" s="926" t="s">
        <v>1059</v>
      </c>
      <c r="E577" s="709">
        <f>E574*(1-(1-E574)^(pipes_per_cassette))</f>
        <v>4.7607240294899916E-4</v>
      </c>
      <c r="F577" s="927"/>
      <c r="G577" s="927"/>
      <c r="H577" s="927"/>
      <c r="I577" s="919"/>
      <c r="J577" s="927"/>
      <c r="K577" s="927"/>
      <c r="L577" s="927"/>
      <c r="M577" s="927"/>
      <c r="N577" s="927"/>
      <c r="O577" s="927"/>
      <c r="P577" s="706"/>
      <c r="Q577" s="7"/>
      <c r="Y577" s="2424"/>
      <c r="Z577"/>
      <c r="AA577"/>
      <c r="AB577"/>
    </row>
    <row r="578" spans="1:28" s="8" customFormat="1" hidden="1" outlineLevel="1" x14ac:dyDescent="0.4">
      <c r="A578"/>
      <c r="B578" s="2081"/>
      <c r="C578" s="906"/>
      <c r="D578" s="926"/>
      <c r="E578" s="928"/>
      <c r="F578" s="927"/>
      <c r="G578" s="927"/>
      <c r="H578" s="927"/>
      <c r="I578" s="919"/>
      <c r="J578" s="927"/>
      <c r="K578" s="927"/>
      <c r="L578" s="927"/>
      <c r="M578" s="927"/>
      <c r="N578" s="927"/>
      <c r="O578" s="927"/>
      <c r="P578" s="706"/>
      <c r="Q578" s="7"/>
      <c r="R578" s="3369"/>
      <c r="S578" s="3429"/>
      <c r="T578" s="3429"/>
      <c r="U578" s="3429"/>
      <c r="V578" s="3429"/>
      <c r="W578" s="3429"/>
      <c r="X578" s="3429"/>
      <c r="Y578" s="2424"/>
      <c r="Z578"/>
      <c r="AA578"/>
      <c r="AB578"/>
    </row>
    <row r="579" spans="1:28" s="8" customFormat="1" ht="15" hidden="1" outlineLevel="2" thickBot="1" x14ac:dyDescent="0.45">
      <c r="A579"/>
      <c r="B579" s="2081"/>
      <c r="C579" s="906"/>
      <c r="D579" s="926"/>
      <c r="E579" s="928"/>
      <c r="F579" s="927"/>
      <c r="G579" s="927"/>
      <c r="H579" s="927"/>
      <c r="I579" s="919"/>
      <c r="J579" s="927"/>
      <c r="K579" s="927"/>
      <c r="L579" s="927"/>
      <c r="M579" s="927"/>
      <c r="N579" s="927"/>
      <c r="O579" s="927"/>
      <c r="P579" s="706"/>
      <c r="Q579" s="7"/>
      <c r="R579" s="3369"/>
      <c r="S579" s="3429"/>
      <c r="T579" s="3429"/>
      <c r="U579" s="2424"/>
      <c r="V579" s="2424"/>
      <c r="W579" s="2424"/>
      <c r="X579" s="2424"/>
      <c r="Y579" s="3434"/>
    </row>
    <row r="580" spans="1:28" s="8" customFormat="1" ht="15" hidden="1" outlineLevel="2" thickBot="1" x14ac:dyDescent="0.45">
      <c r="A580"/>
      <c r="B580" s="2081"/>
      <c r="C580" s="906"/>
      <c r="D580" s="926"/>
      <c r="E580" s="701"/>
      <c r="F580" s="7"/>
      <c r="G580" s="929"/>
      <c r="H580" s="930" t="s">
        <v>18</v>
      </c>
      <c r="I580" s="931"/>
      <c r="J580" s="932" t="s">
        <v>778</v>
      </c>
      <c r="K580" s="933"/>
      <c r="L580" s="933"/>
      <c r="M580" s="933"/>
      <c r="N580" s="933"/>
      <c r="O580" s="934"/>
      <c r="P580" s="933" t="s">
        <v>3</v>
      </c>
      <c r="Q580" s="934"/>
      <c r="R580" s="3386" t="s">
        <v>779</v>
      </c>
      <c r="S580" s="3462"/>
      <c r="T580" s="3462"/>
      <c r="U580" s="2424"/>
      <c r="V580" s="2424"/>
      <c r="W580" s="2424"/>
      <c r="X580" s="2424"/>
      <c r="Y580" s="3434"/>
    </row>
    <row r="581" spans="1:28" s="8" customFormat="1" ht="29.6" hidden="1" outlineLevel="2" thickBot="1" x14ac:dyDescent="0.45">
      <c r="A581"/>
      <c r="B581" s="2081"/>
      <c r="C581" s="939" t="s">
        <v>780</v>
      </c>
      <c r="D581" s="940" t="s">
        <v>1060</v>
      </c>
      <c r="E581" s="941" t="s">
        <v>782</v>
      </c>
      <c r="F581" s="942" t="s">
        <v>783</v>
      </c>
      <c r="G581" s="943" t="s">
        <v>784</v>
      </c>
      <c r="H581" s="562" t="s">
        <v>785</v>
      </c>
      <c r="I581" s="944" t="s">
        <v>783</v>
      </c>
      <c r="J581" s="562" t="s">
        <v>786</v>
      </c>
      <c r="K581" s="563" t="s">
        <v>787</v>
      </c>
      <c r="L581" s="563" t="s">
        <v>788</v>
      </c>
      <c r="M581" s="563" t="s">
        <v>789</v>
      </c>
      <c r="N581" s="563" t="s">
        <v>790</v>
      </c>
      <c r="O581" s="945" t="s">
        <v>783</v>
      </c>
      <c r="P581" s="560" t="s">
        <v>785</v>
      </c>
      <c r="Q581" s="946" t="s">
        <v>783</v>
      </c>
      <c r="R581" s="3387" t="s">
        <v>781</v>
      </c>
      <c r="S581" s="3464" t="s">
        <v>791</v>
      </c>
      <c r="T581" s="3465" t="s">
        <v>792</v>
      </c>
      <c r="U581" s="2424"/>
      <c r="V581" s="2424"/>
      <c r="W581" s="2424"/>
      <c r="X581" s="2424"/>
      <c r="Y581" s="3434"/>
    </row>
    <row r="582" spans="1:28" s="8" customFormat="1" hidden="1" outlineLevel="2" x14ac:dyDescent="0.4">
      <c r="A582"/>
      <c r="B582" s="2081"/>
      <c r="C582" s="2086" t="s">
        <v>1062</v>
      </c>
      <c r="D582" s="797" t="s">
        <v>1930</v>
      </c>
      <c r="E582" s="799" t="s">
        <v>251</v>
      </c>
      <c r="F582" s="456">
        <f>MAX($Q582,$O582,$I582)</f>
        <v>0</v>
      </c>
      <c r="G582" s="800">
        <f>F582</f>
        <v>0</v>
      </c>
      <c r="H582" s="566" t="s">
        <v>557</v>
      </c>
      <c r="I582" s="621">
        <v>0</v>
      </c>
      <c r="J582" s="568"/>
      <c r="K582" s="566"/>
      <c r="L582" s="801"/>
      <c r="M582" s="802" t="str">
        <f>IFERROR(INDEX('Lower Cask Movement &amp; Logistics'!$I$29:$O$35,MATCH($K582,'Lower Cask Movement &amp; Logistics'!$H$29:$H$35,0),MATCH($L582,'Lower Cask Movement &amp; Logistics'!$H$29:$H$35,0)),"N/A")</f>
        <v>N/A</v>
      </c>
      <c r="N582" s="570" t="str">
        <f>IFERROR(VLOOKUP($J582,'Lower Cask Movement &amp; Logistics'!$H$4:$I$8,2,FALSE),"N/A")</f>
        <v>N/A</v>
      </c>
      <c r="O582" s="800" t="str">
        <f t="shared" ref="O582:O623" si="89">IF(E582="Movement",IFERROR((M582/N582)/(60*60),"Error"),"N/A")</f>
        <v>N/A</v>
      </c>
      <c r="P582" s="803"/>
      <c r="Q582" s="802" t="str">
        <f>IF($E582="Logistics",VLOOKUP($P582,'Lower Cask Movement &amp; Logistics'!$C$4:$D$53,2,FALSE),"N/A")</f>
        <v>N/A</v>
      </c>
      <c r="R582" s="3398"/>
      <c r="S582" s="3466" t="str">
        <f>IFERROR(VLOOKUP($R582,'LowerCask Recovery Dependencies'!$C$450:$F$523,4,FALSE),"N/A")</f>
        <v>N/A</v>
      </c>
      <c r="T582" s="3467" t="str">
        <f>IFERROR(G582-F582-S582,"N/A")</f>
        <v>N/A</v>
      </c>
      <c r="U582" s="2424"/>
      <c r="V582" s="2424"/>
      <c r="W582" s="2424"/>
      <c r="X582" s="2424"/>
      <c r="Y582" s="3434"/>
    </row>
    <row r="583" spans="1:28" s="8" customFormat="1" hidden="1" outlineLevel="2" x14ac:dyDescent="0.4">
      <c r="A583"/>
      <c r="B583" s="2081"/>
      <c r="C583" s="2087"/>
      <c r="D583" s="2001" t="s">
        <v>1885</v>
      </c>
      <c r="E583" s="2002" t="s">
        <v>251</v>
      </c>
      <c r="F583" s="335">
        <f t="shared" ref="F583:F623" si="90">MAX($Q583,$O583,$I583)</f>
        <v>12.602967059728389</v>
      </c>
      <c r="G583" s="2003">
        <f t="shared" ref="G583:G623" si="91">IF(T583&lt;0,F583+G582+(-T583),F583+G582)</f>
        <v>12.602967059728389</v>
      </c>
      <c r="H583" s="582" t="s">
        <v>1908</v>
      </c>
      <c r="I583" s="1476">
        <v>12.602967059728389</v>
      </c>
      <c r="J583" s="627"/>
      <c r="K583" s="582"/>
      <c r="L583" s="1962"/>
      <c r="M583" s="1479" t="s">
        <v>263</v>
      </c>
      <c r="N583" s="1478" t="s">
        <v>263</v>
      </c>
      <c r="O583" s="2003" t="str">
        <f t="shared" si="89"/>
        <v>N/A</v>
      </c>
      <c r="P583" s="1638"/>
      <c r="Q583" s="1479" t="str">
        <f>IF($E583="Logistics",VLOOKUP($P583,'Lower Cask Movement &amp; Logistics'!$C$4:$D$53,2,FALSE),"N/A")</f>
        <v>N/A</v>
      </c>
      <c r="R583" s="3399"/>
      <c r="S583" s="3513" t="str">
        <f>IFERROR(VLOOKUP($R583,'LowerCask Recovery Dependencies'!$C$450:$F$523,4,FALSE),"N/A")</f>
        <v>N/A</v>
      </c>
      <c r="T583" s="3477" t="str">
        <f t="shared" ref="T583:T623" si="92">IFERROR(G582-S583,"N/A")</f>
        <v>N/A</v>
      </c>
      <c r="U583" s="2424"/>
      <c r="V583" s="2424"/>
      <c r="W583" s="2424"/>
      <c r="X583" s="2424"/>
      <c r="Y583" s="3434"/>
    </row>
    <row r="584" spans="1:28" s="8" customFormat="1" hidden="1" outlineLevel="2" x14ac:dyDescent="0.4">
      <c r="A584"/>
      <c r="B584" s="2081"/>
      <c r="C584" s="2087"/>
      <c r="D584" s="1474" t="s">
        <v>1909</v>
      </c>
      <c r="E584" s="2002" t="s">
        <v>3</v>
      </c>
      <c r="F584" s="335">
        <f t="shared" si="90"/>
        <v>0.38</v>
      </c>
      <c r="G584" s="2003">
        <f t="shared" si="91"/>
        <v>12.98296705972839</v>
      </c>
      <c r="H584" s="582"/>
      <c r="I584" s="1476" t="s">
        <v>263</v>
      </c>
      <c r="J584" s="627"/>
      <c r="K584" s="582"/>
      <c r="L584" s="1962"/>
      <c r="M584" s="1479" t="s">
        <v>263</v>
      </c>
      <c r="N584" s="1478" t="s">
        <v>263</v>
      </c>
      <c r="O584" s="2003" t="str">
        <f t="shared" si="89"/>
        <v>N/A</v>
      </c>
      <c r="P584" s="1638" t="s">
        <v>1546</v>
      </c>
      <c r="Q584" s="1479">
        <f>IF($E584="Logistics",VLOOKUP($P584,'Lower Cask Movement &amp; Logistics'!$C$4:$D$53,2,FALSE),"N/A")</f>
        <v>0.38</v>
      </c>
      <c r="R584" s="3399"/>
      <c r="S584" s="3513" t="str">
        <f>IFERROR(VLOOKUP($R584,'LowerCask Recovery Dependencies'!$C$450:$F$523,4,FALSE),"N/A")</f>
        <v>N/A</v>
      </c>
      <c r="T584" s="3477" t="str">
        <f t="shared" si="92"/>
        <v>N/A</v>
      </c>
      <c r="U584" s="2424"/>
      <c r="V584" s="2424"/>
      <c r="W584" s="2424"/>
      <c r="X584" s="2424"/>
      <c r="Y584" s="3434"/>
    </row>
    <row r="585" spans="1:28" s="8" customFormat="1" ht="15" hidden="1" outlineLevel="2" thickBot="1" x14ac:dyDescent="0.45">
      <c r="A585"/>
      <c r="B585" s="2081"/>
      <c r="C585" s="2088"/>
      <c r="D585" s="584" t="s">
        <v>1931</v>
      </c>
      <c r="E585" s="1966" t="s">
        <v>3</v>
      </c>
      <c r="F585" s="471">
        <f t="shared" si="90"/>
        <v>2.3000000000000003</v>
      </c>
      <c r="G585" s="887">
        <f t="shared" si="91"/>
        <v>15.28296705972839</v>
      </c>
      <c r="H585" s="584"/>
      <c r="I585" s="811" t="s">
        <v>263</v>
      </c>
      <c r="J585" s="586"/>
      <c r="K585" s="584"/>
      <c r="L585" s="812"/>
      <c r="M585" s="813" t="s">
        <v>263</v>
      </c>
      <c r="N585" s="814" t="s">
        <v>263</v>
      </c>
      <c r="O585" s="810" t="str">
        <f t="shared" si="89"/>
        <v>N/A</v>
      </c>
      <c r="P585" s="815" t="s">
        <v>1552</v>
      </c>
      <c r="Q585" s="813">
        <f>IF($E585="Logistics",VLOOKUP($P585,'Lower Cask Movement &amp; Logistics'!$C$4:$D$53,2,FALSE),"N/A")</f>
        <v>2.3000000000000003</v>
      </c>
      <c r="R585" s="3400"/>
      <c r="S585" s="3468" t="str">
        <f>IFERROR(VLOOKUP($R585,'LowerCask Recovery Dependencies'!$C$450:$F$523,4,FALSE),"N/A")</f>
        <v>N/A</v>
      </c>
      <c r="T585" s="3469" t="str">
        <f t="shared" si="92"/>
        <v>N/A</v>
      </c>
      <c r="U585" s="2424"/>
      <c r="V585" s="2424"/>
      <c r="W585" s="2424"/>
      <c r="X585" s="2424"/>
      <c r="Y585" s="3434"/>
    </row>
    <row r="586" spans="1:28" s="8" customFormat="1" hidden="1" outlineLevel="2" x14ac:dyDescent="0.4">
      <c r="A586"/>
      <c r="B586" s="2081"/>
      <c r="C586" s="2089" t="s">
        <v>1601</v>
      </c>
      <c r="D586" s="823" t="s">
        <v>1602</v>
      </c>
      <c r="E586" s="823" t="s">
        <v>3</v>
      </c>
      <c r="F586" s="1291">
        <f t="shared" si="90"/>
        <v>1.9</v>
      </c>
      <c r="G586" s="1291">
        <f t="shared" si="91"/>
        <v>17.182967059728391</v>
      </c>
      <c r="H586" s="2046"/>
      <c r="I586" s="2047" t="s">
        <v>263</v>
      </c>
      <c r="J586" s="2048"/>
      <c r="K586" s="2049"/>
      <c r="L586" s="2049"/>
      <c r="M586" s="2050" t="s">
        <v>263</v>
      </c>
      <c r="N586" s="2050" t="s">
        <v>263</v>
      </c>
      <c r="O586" s="2047" t="str">
        <f t="shared" si="89"/>
        <v>N/A</v>
      </c>
      <c r="P586" s="2051" t="s">
        <v>1541</v>
      </c>
      <c r="Q586" s="2040">
        <f>IF($E586="Logistics",VLOOKUP($P586,'Lower Cask Movement &amp; Logistics'!$C$4:$D$53,2,FALSE),"N/A")</f>
        <v>1.9</v>
      </c>
      <c r="R586" s="3413" t="s">
        <v>1910</v>
      </c>
      <c r="S586" s="3522">
        <f>IFERROR(VLOOKUP($R586,'LowerCask Recovery Dependencies'!$C$450:$F$523,4,FALSE),"N/A")</f>
        <v>7.3659259259259269</v>
      </c>
      <c r="T586" s="3471">
        <f t="shared" si="92"/>
        <v>7.9170411338024635</v>
      </c>
      <c r="U586" s="2424"/>
      <c r="V586" s="2424"/>
      <c r="W586" s="2424"/>
      <c r="X586" s="2424"/>
      <c r="Y586" s="3434"/>
    </row>
    <row r="587" spans="1:28" s="8" customFormat="1" hidden="1" outlineLevel="2" x14ac:dyDescent="0.4">
      <c r="A587"/>
      <c r="B587" s="2081"/>
      <c r="C587" s="2090"/>
      <c r="D587" s="860" t="s">
        <v>1603</v>
      </c>
      <c r="E587" s="860" t="s">
        <v>3</v>
      </c>
      <c r="F587" s="1363">
        <f t="shared" si="90"/>
        <v>0.38</v>
      </c>
      <c r="G587" s="1347">
        <f t="shared" si="91"/>
        <v>17.56296705972839</v>
      </c>
      <c r="H587" s="2057"/>
      <c r="I587" s="2058" t="s">
        <v>263</v>
      </c>
      <c r="J587" s="2059"/>
      <c r="K587" s="2060"/>
      <c r="L587" s="2060"/>
      <c r="M587" s="2061" t="s">
        <v>263</v>
      </c>
      <c r="N587" s="2061" t="s">
        <v>263</v>
      </c>
      <c r="O587" s="2058" t="str">
        <f t="shared" si="89"/>
        <v>N/A</v>
      </c>
      <c r="P587" s="2062" t="s">
        <v>1544</v>
      </c>
      <c r="Q587" s="2042">
        <f>IF($E587="Logistics",VLOOKUP($P587,'Lower Cask Movement &amp; Logistics'!$C$4:$D$53,2,FALSE),"N/A")</f>
        <v>0.38</v>
      </c>
      <c r="R587" s="3414"/>
      <c r="S587" s="3523" t="str">
        <f>IFERROR(VLOOKUP($R587,'LowerCask Recovery Dependencies'!$C$450:$F$523,4,FALSE),"N/A")</f>
        <v>N/A</v>
      </c>
      <c r="T587" s="3524" t="str">
        <f t="shared" si="92"/>
        <v>N/A</v>
      </c>
      <c r="U587" s="2424"/>
      <c r="V587" s="2424"/>
      <c r="W587" s="2424"/>
      <c r="X587" s="2424"/>
      <c r="Y587" s="3434"/>
    </row>
    <row r="588" spans="1:28" s="8" customFormat="1" hidden="1" outlineLevel="2" x14ac:dyDescent="0.4">
      <c r="A588"/>
      <c r="B588" s="2081"/>
      <c r="C588" s="2090"/>
      <c r="D588" s="860" t="s">
        <v>1604</v>
      </c>
      <c r="E588" s="860" t="s">
        <v>251</v>
      </c>
      <c r="F588" s="1363">
        <f t="shared" si="90"/>
        <v>4.0999999999999996</v>
      </c>
      <c r="G588" s="1347">
        <f t="shared" si="91"/>
        <v>21.662967059728388</v>
      </c>
      <c r="H588" s="2057" t="s">
        <v>1604</v>
      </c>
      <c r="I588" s="2058">
        <v>4.0999999999999996</v>
      </c>
      <c r="J588" s="2059"/>
      <c r="K588" s="2060"/>
      <c r="L588" s="2060"/>
      <c r="M588" s="2061" t="s">
        <v>263</v>
      </c>
      <c r="N588" s="2061" t="s">
        <v>263</v>
      </c>
      <c r="O588" s="2058" t="str">
        <f t="shared" si="89"/>
        <v>N/A</v>
      </c>
      <c r="P588" s="2062"/>
      <c r="Q588" s="2042" t="str">
        <f>IF($E588="Logistics",VLOOKUP($P588,'Lower Cask Movement &amp; Logistics'!$C$4:$D$53,2,FALSE),"N/A")</f>
        <v>N/A</v>
      </c>
      <c r="R588" s="3414"/>
      <c r="S588" s="3523" t="str">
        <f>IFERROR(VLOOKUP($R588,'LowerCask Recovery Dependencies'!$C$450:$F$523,4,FALSE),"N/A")</f>
        <v>N/A</v>
      </c>
      <c r="T588" s="3524" t="str">
        <f t="shared" si="92"/>
        <v>N/A</v>
      </c>
      <c r="U588" s="2424"/>
      <c r="V588" s="2424"/>
      <c r="W588" s="2424"/>
      <c r="X588" s="2424"/>
      <c r="Y588" s="3434"/>
    </row>
    <row r="589" spans="1:28" s="8" customFormat="1" hidden="1" outlineLevel="2" x14ac:dyDescent="0.4">
      <c r="A589"/>
      <c r="B589" s="2081"/>
      <c r="C589" s="2090"/>
      <c r="D589" s="860" t="s">
        <v>1605</v>
      </c>
      <c r="E589" s="860" t="s">
        <v>3</v>
      </c>
      <c r="F589" s="1363">
        <f t="shared" si="90"/>
        <v>0.38</v>
      </c>
      <c r="G589" s="1347">
        <f t="shared" si="91"/>
        <v>22.042967059728387</v>
      </c>
      <c r="H589" s="2057"/>
      <c r="I589" s="2058" t="s">
        <v>263</v>
      </c>
      <c r="J589" s="2059"/>
      <c r="K589" s="2060"/>
      <c r="L589" s="2060"/>
      <c r="M589" s="2061" t="s">
        <v>263</v>
      </c>
      <c r="N589" s="2061" t="s">
        <v>263</v>
      </c>
      <c r="O589" s="2058" t="str">
        <f t="shared" si="89"/>
        <v>N/A</v>
      </c>
      <c r="P589" s="2062" t="s">
        <v>1546</v>
      </c>
      <c r="Q589" s="2042">
        <f>IF($E589="Logistics",VLOOKUP($P589,'Lower Cask Movement &amp; Logistics'!$C$4:$D$53,2,FALSE),"N/A")</f>
        <v>0.38</v>
      </c>
      <c r="R589" s="3414"/>
      <c r="S589" s="3523" t="str">
        <f>IFERROR(VLOOKUP($R589,'LowerCask Recovery Dependencies'!$C$450:$F$523,4,FALSE),"N/A")</f>
        <v>N/A</v>
      </c>
      <c r="T589" s="3524" t="str">
        <f t="shared" si="92"/>
        <v>N/A</v>
      </c>
      <c r="U589" s="2424"/>
      <c r="V589" s="2424"/>
      <c r="W589" s="2424"/>
      <c r="X589" s="2424"/>
      <c r="Y589" s="3434"/>
    </row>
    <row r="590" spans="1:28" s="8" customFormat="1" hidden="1" outlineLevel="2" x14ac:dyDescent="0.4">
      <c r="A590"/>
      <c r="B590" s="2081"/>
      <c r="C590" s="2090"/>
      <c r="D590" s="860" t="s">
        <v>1606</v>
      </c>
      <c r="E590" s="860" t="s">
        <v>3</v>
      </c>
      <c r="F590" s="1363">
        <f t="shared" si="90"/>
        <v>0.38</v>
      </c>
      <c r="G590" s="1347">
        <f t="shared" si="91"/>
        <v>22.422967059728386</v>
      </c>
      <c r="H590" s="2057"/>
      <c r="I590" s="2058" t="s">
        <v>263</v>
      </c>
      <c r="J590" s="2059"/>
      <c r="K590" s="2060"/>
      <c r="L590" s="2060"/>
      <c r="M590" s="2061" t="s">
        <v>263</v>
      </c>
      <c r="N590" s="2061" t="s">
        <v>263</v>
      </c>
      <c r="O590" s="2058" t="str">
        <f t="shared" si="89"/>
        <v>N/A</v>
      </c>
      <c r="P590" s="2062" t="s">
        <v>1544</v>
      </c>
      <c r="Q590" s="2042">
        <f>IF($E590="Logistics",VLOOKUP($P590,'Lower Cask Movement &amp; Logistics'!$C$4:$D$53,2,FALSE),"N/A")</f>
        <v>0.38</v>
      </c>
      <c r="R590" s="3414"/>
      <c r="S590" s="3523" t="str">
        <f>IFERROR(VLOOKUP($R590,'LowerCask Recovery Dependencies'!$C$450:$F$523,4,FALSE),"N/A")</f>
        <v>N/A</v>
      </c>
      <c r="T590" s="3524" t="str">
        <f t="shared" si="92"/>
        <v>N/A</v>
      </c>
      <c r="U590" s="2424"/>
      <c r="V590" s="2424"/>
      <c r="W590" s="2424"/>
      <c r="X590" s="2424"/>
      <c r="Y590" s="3434"/>
    </row>
    <row r="591" spans="1:28" s="8" customFormat="1" hidden="1" outlineLevel="2" x14ac:dyDescent="0.4">
      <c r="A591"/>
      <c r="B591" s="2081"/>
      <c r="C591" s="2090"/>
      <c r="D591" s="860" t="s">
        <v>1607</v>
      </c>
      <c r="E591" s="860" t="s">
        <v>251</v>
      </c>
      <c r="F591" s="1363">
        <f t="shared" si="90"/>
        <v>5.1999999999999993</v>
      </c>
      <c r="G591" s="1347">
        <f t="shared" si="91"/>
        <v>27.622967059728385</v>
      </c>
      <c r="H591" s="2057" t="s">
        <v>270</v>
      </c>
      <c r="I591" s="2058">
        <v>5.1999999999999993</v>
      </c>
      <c r="J591" s="2059"/>
      <c r="K591" s="2060"/>
      <c r="L591" s="2060"/>
      <c r="M591" s="2061" t="s">
        <v>263</v>
      </c>
      <c r="N591" s="2061" t="s">
        <v>263</v>
      </c>
      <c r="O591" s="2058" t="str">
        <f t="shared" si="89"/>
        <v>N/A</v>
      </c>
      <c r="P591" s="2062"/>
      <c r="Q591" s="2042" t="str">
        <f>IF($E591="Logistics",VLOOKUP($P591,'Lower Cask Movement &amp; Logistics'!$C$4:$D$53,2,FALSE),"N/A")</f>
        <v>N/A</v>
      </c>
      <c r="R591" s="3414"/>
      <c r="S591" s="3523" t="str">
        <f>IFERROR(VLOOKUP($R591,'LowerCask Recovery Dependencies'!$C$450:$F$523,4,FALSE),"N/A")</f>
        <v>N/A</v>
      </c>
      <c r="T591" s="3524" t="str">
        <f t="shared" si="92"/>
        <v>N/A</v>
      </c>
      <c r="U591" s="2424"/>
      <c r="V591" s="2424"/>
      <c r="W591" s="2424"/>
      <c r="X591" s="2424"/>
      <c r="Y591" s="3434"/>
    </row>
    <row r="592" spans="1:28" s="8" customFormat="1" hidden="1" outlineLevel="2" x14ac:dyDescent="0.4">
      <c r="A592"/>
      <c r="B592" s="2081"/>
      <c r="C592" s="2090"/>
      <c r="D592" s="860" t="s">
        <v>1575</v>
      </c>
      <c r="E592" s="860" t="s">
        <v>3</v>
      </c>
      <c r="F592" s="1363">
        <f t="shared" si="90"/>
        <v>0.38</v>
      </c>
      <c r="G592" s="1347">
        <f t="shared" si="91"/>
        <v>28.002967059728384</v>
      </c>
      <c r="H592" s="2057"/>
      <c r="I592" s="2058" t="s">
        <v>263</v>
      </c>
      <c r="J592" s="2059"/>
      <c r="K592" s="2060"/>
      <c r="L592" s="2060"/>
      <c r="M592" s="2061" t="s">
        <v>263</v>
      </c>
      <c r="N592" s="2061" t="s">
        <v>263</v>
      </c>
      <c r="O592" s="2058" t="str">
        <f t="shared" si="89"/>
        <v>N/A</v>
      </c>
      <c r="P592" s="2062" t="s">
        <v>1546</v>
      </c>
      <c r="Q592" s="2042">
        <f>IF($E592="Logistics",VLOOKUP($P592,'Lower Cask Movement &amp; Logistics'!$C$4:$D$53,2,FALSE),"N/A")</f>
        <v>0.38</v>
      </c>
      <c r="R592" s="3414"/>
      <c r="S592" s="3523" t="str">
        <f>IFERROR(VLOOKUP($R592,'LowerCask Recovery Dependencies'!$C$450:$F$523,4,FALSE),"N/A")</f>
        <v>N/A</v>
      </c>
      <c r="T592" s="3524" t="str">
        <f t="shared" si="92"/>
        <v>N/A</v>
      </c>
      <c r="U592" s="2424"/>
      <c r="V592" s="2424"/>
      <c r="W592" s="2424"/>
      <c r="X592" s="2424"/>
      <c r="Y592" s="3434"/>
    </row>
    <row r="593" spans="1:25" s="8" customFormat="1" ht="15" hidden="1" outlineLevel="2" thickBot="1" x14ac:dyDescent="0.45">
      <c r="A593"/>
      <c r="B593" s="2081"/>
      <c r="C593" s="2091"/>
      <c r="D593" s="837" t="s">
        <v>1608</v>
      </c>
      <c r="E593" s="837" t="s">
        <v>3</v>
      </c>
      <c r="F593" s="2043">
        <f t="shared" si="90"/>
        <v>2.3000000000000003</v>
      </c>
      <c r="G593" s="1295">
        <f t="shared" si="91"/>
        <v>30.302967059728385</v>
      </c>
      <c r="H593" s="2092"/>
      <c r="I593" s="2093" t="s">
        <v>263</v>
      </c>
      <c r="J593" s="2092"/>
      <c r="K593" s="2094"/>
      <c r="L593" s="2094"/>
      <c r="M593" s="2095" t="s">
        <v>263</v>
      </c>
      <c r="N593" s="2095" t="s">
        <v>263</v>
      </c>
      <c r="O593" s="2093" t="str">
        <f t="shared" si="89"/>
        <v>N/A</v>
      </c>
      <c r="P593" s="2096" t="s">
        <v>1552</v>
      </c>
      <c r="Q593" s="1922">
        <f>IF($E593="Logistics",VLOOKUP($P593,'Lower Cask Movement &amp; Logistics'!$C$4:$D$53,2,FALSE),"N/A")</f>
        <v>2.3000000000000003</v>
      </c>
      <c r="R593" s="3382"/>
      <c r="S593" s="3488" t="str">
        <f>IFERROR(VLOOKUP($R593,'LowerCask Recovery Dependencies'!$C$450:$F$523,4,FALSE),"N/A")</f>
        <v>N/A</v>
      </c>
      <c r="T593" s="3473" t="str">
        <f t="shared" si="92"/>
        <v>N/A</v>
      </c>
      <c r="U593" s="2424"/>
      <c r="V593" s="2424"/>
      <c r="W593" s="2424"/>
      <c r="X593" s="2424"/>
      <c r="Y593" s="3434"/>
    </row>
    <row r="594" spans="1:25" s="8" customFormat="1" hidden="1" outlineLevel="2" x14ac:dyDescent="0.4">
      <c r="A594"/>
      <c r="B594" s="2081"/>
      <c r="C594" s="2086" t="s">
        <v>1609</v>
      </c>
      <c r="D594" s="566" t="s">
        <v>1602</v>
      </c>
      <c r="E594" s="880" t="s">
        <v>3</v>
      </c>
      <c r="F594" s="1276">
        <f t="shared" si="90"/>
        <v>1.9</v>
      </c>
      <c r="G594" s="1276">
        <f t="shared" si="91"/>
        <v>32.202967059728387</v>
      </c>
      <c r="H594" s="854"/>
      <c r="I594" s="1641" t="s">
        <v>263</v>
      </c>
      <c r="J594" s="1638"/>
      <c r="K594" s="1642"/>
      <c r="L594" s="1642"/>
      <c r="M594" s="1643" t="s">
        <v>263</v>
      </c>
      <c r="N594" s="1643" t="s">
        <v>263</v>
      </c>
      <c r="O594" s="1641" t="str">
        <f t="shared" si="89"/>
        <v>N/A</v>
      </c>
      <c r="P594" s="1664" t="s">
        <v>1541</v>
      </c>
      <c r="Q594" s="1645">
        <f>IF($E594="Logistics",VLOOKUP($P594,'Lower Cask Movement &amp; Logistics'!$C$4:$D$53,2,FALSE),"N/A")</f>
        <v>1.9</v>
      </c>
      <c r="R594" s="3423" t="s">
        <v>1932</v>
      </c>
      <c r="S594" s="3537">
        <f>IFERROR(VLOOKUP($R594,'LowerCask Recovery Dependencies'!$C$450:$F$523,4,FALSE),"N/A")</f>
        <v>22.676670763432092</v>
      </c>
      <c r="T594" s="3509">
        <f t="shared" si="92"/>
        <v>7.6262962962962924</v>
      </c>
      <c r="U594" s="2424"/>
      <c r="V594" s="2424"/>
      <c r="W594" s="2424"/>
      <c r="X594" s="2424"/>
      <c r="Y594" s="3434"/>
    </row>
    <row r="595" spans="1:25" s="8" customFormat="1" hidden="1" outlineLevel="2" x14ac:dyDescent="0.4">
      <c r="A595"/>
      <c r="B595" s="2081"/>
      <c r="C595" s="2087"/>
      <c r="D595" s="573" t="s">
        <v>1606</v>
      </c>
      <c r="E595" s="573" t="s">
        <v>3</v>
      </c>
      <c r="F595" s="1276">
        <f t="shared" si="90"/>
        <v>0.38</v>
      </c>
      <c r="G595" s="626">
        <f t="shared" si="91"/>
        <v>32.582967059728389</v>
      </c>
      <c r="H595" s="1131"/>
      <c r="I595" s="1183" t="s">
        <v>263</v>
      </c>
      <c r="J595" s="1579"/>
      <c r="K595" s="582"/>
      <c r="L595" s="582"/>
      <c r="M595" s="1478" t="s">
        <v>263</v>
      </c>
      <c r="N595" s="1478" t="s">
        <v>263</v>
      </c>
      <c r="O595" s="1183" t="str">
        <f t="shared" si="89"/>
        <v>N/A</v>
      </c>
      <c r="P595" s="1580" t="s">
        <v>1544</v>
      </c>
      <c r="Q595" s="1176">
        <f>IF($E595="Logistics",VLOOKUP($P595,'Lower Cask Movement &amp; Logistics'!$C$4:$D$53,2,FALSE),"N/A")</f>
        <v>0.38</v>
      </c>
      <c r="R595" s="3412"/>
      <c r="S595" s="3520" t="str">
        <f>IFERROR(VLOOKUP($R595,'LowerCask Recovery Dependencies'!$C$450:$F$523,4,FALSE),"N/A")</f>
        <v>N/A</v>
      </c>
      <c r="T595" s="3521" t="str">
        <f t="shared" si="92"/>
        <v>N/A</v>
      </c>
      <c r="U595" s="2424"/>
      <c r="V595" s="2424"/>
      <c r="W595" s="2424"/>
      <c r="X595" s="2424"/>
      <c r="Y595" s="3434"/>
    </row>
    <row r="596" spans="1:25" s="8" customFormat="1" hidden="1" outlineLevel="2" x14ac:dyDescent="0.4">
      <c r="A596"/>
      <c r="B596" s="2081"/>
      <c r="C596" s="2087"/>
      <c r="D596" s="573" t="s">
        <v>1611</v>
      </c>
      <c r="E596" s="573" t="s">
        <v>251</v>
      </c>
      <c r="F596" s="1276">
        <f t="shared" si="90"/>
        <v>1</v>
      </c>
      <c r="G596" s="626">
        <f t="shared" si="91"/>
        <v>33.582967059728389</v>
      </c>
      <c r="H596" s="1131" t="s">
        <v>271</v>
      </c>
      <c r="I596" s="1183">
        <v>1</v>
      </c>
      <c r="J596" s="1579"/>
      <c r="K596" s="582"/>
      <c r="L596" s="582"/>
      <c r="M596" s="1478" t="s">
        <v>263</v>
      </c>
      <c r="N596" s="1478" t="s">
        <v>263</v>
      </c>
      <c r="O596" s="1183" t="str">
        <f t="shared" si="89"/>
        <v>N/A</v>
      </c>
      <c r="P596" s="1580"/>
      <c r="Q596" s="1176" t="str">
        <f>IF($E596="Logistics",VLOOKUP($P596,'Lower Cask Movement &amp; Logistics'!$C$4:$D$53,2,FALSE),"N/A")</f>
        <v>N/A</v>
      </c>
      <c r="R596" s="3412"/>
      <c r="S596" s="3520" t="str">
        <f>IFERROR(VLOOKUP($R596,'LowerCask Recovery Dependencies'!$C$450:$F$523,4,FALSE),"N/A")</f>
        <v>N/A</v>
      </c>
      <c r="T596" s="3521" t="str">
        <f t="shared" si="92"/>
        <v>N/A</v>
      </c>
      <c r="U596" s="2424"/>
      <c r="V596" s="2424"/>
      <c r="W596" s="2424"/>
      <c r="X596" s="2424"/>
      <c r="Y596" s="3434"/>
    </row>
    <row r="597" spans="1:25" s="8" customFormat="1" hidden="1" outlineLevel="2" x14ac:dyDescent="0.4">
      <c r="A597"/>
      <c r="B597" s="2081"/>
      <c r="C597" s="2087"/>
      <c r="D597" s="573" t="s">
        <v>1575</v>
      </c>
      <c r="E597" s="573" t="s">
        <v>3</v>
      </c>
      <c r="F597" s="1276">
        <f t="shared" si="90"/>
        <v>0.38</v>
      </c>
      <c r="G597" s="626">
        <f t="shared" si="91"/>
        <v>33.962967059728392</v>
      </c>
      <c r="H597" s="1131"/>
      <c r="I597" s="1183" t="s">
        <v>263</v>
      </c>
      <c r="J597" s="1579"/>
      <c r="K597" s="582"/>
      <c r="L597" s="582"/>
      <c r="M597" s="1478" t="s">
        <v>263</v>
      </c>
      <c r="N597" s="1478" t="s">
        <v>263</v>
      </c>
      <c r="O597" s="1183" t="str">
        <f t="shared" si="89"/>
        <v>N/A</v>
      </c>
      <c r="P597" s="1580" t="s">
        <v>1546</v>
      </c>
      <c r="Q597" s="1176">
        <f>IF($E597="Logistics",VLOOKUP($P597,'Lower Cask Movement &amp; Logistics'!$C$4:$D$53,2,FALSE),"N/A")</f>
        <v>0.38</v>
      </c>
      <c r="R597" s="3412"/>
      <c r="S597" s="3520" t="str">
        <f>IFERROR(VLOOKUP($R597,'LowerCask Recovery Dependencies'!$C$450:$F$523,4,FALSE),"N/A")</f>
        <v>N/A</v>
      </c>
      <c r="T597" s="3521" t="str">
        <f t="shared" si="92"/>
        <v>N/A</v>
      </c>
      <c r="U597" s="2424"/>
      <c r="V597" s="2424"/>
      <c r="W597" s="2424"/>
      <c r="X597" s="2424"/>
      <c r="Y597" s="3434"/>
    </row>
    <row r="598" spans="1:25" s="8" customFormat="1" ht="15" hidden="1" outlineLevel="2" thickBot="1" x14ac:dyDescent="0.45">
      <c r="A598"/>
      <c r="B598" s="2081"/>
      <c r="C598" s="2087"/>
      <c r="D598" s="582" t="s">
        <v>1612</v>
      </c>
      <c r="E598" s="582" t="s">
        <v>3</v>
      </c>
      <c r="F598" s="1640">
        <f t="shared" si="90"/>
        <v>2.3000000000000003</v>
      </c>
      <c r="G598" s="626">
        <f t="shared" si="91"/>
        <v>36.262967059728389</v>
      </c>
      <c r="H598" s="1579"/>
      <c r="I598" s="1183" t="s">
        <v>263</v>
      </c>
      <c r="J598" s="1579"/>
      <c r="K598" s="582"/>
      <c r="L598" s="582"/>
      <c r="M598" s="1478" t="s">
        <v>263</v>
      </c>
      <c r="N598" s="1478" t="s">
        <v>263</v>
      </c>
      <c r="O598" s="1183" t="str">
        <f t="shared" si="89"/>
        <v>N/A</v>
      </c>
      <c r="P598" s="1578" t="s">
        <v>1552</v>
      </c>
      <c r="Q598" s="1183">
        <f>IF($E598="Logistics",VLOOKUP($P598,'Lower Cask Movement &amp; Logistics'!$C$4:$D$53,2,FALSE),"N/A")</f>
        <v>2.3000000000000003</v>
      </c>
      <c r="R598" s="3377"/>
      <c r="S598" s="3476" t="str">
        <f>IFERROR(VLOOKUP($R598,'LowerCask Recovery Dependencies'!$C$450:$F$523,4,FALSE),"N/A")</f>
        <v>N/A</v>
      </c>
      <c r="T598" s="3477" t="str">
        <f t="shared" si="92"/>
        <v>N/A</v>
      </c>
      <c r="U598" s="2424"/>
      <c r="V598" s="2424"/>
      <c r="W598" s="2424"/>
      <c r="X598" s="2424"/>
      <c r="Y598" s="3434"/>
    </row>
    <row r="599" spans="1:25" s="8" customFormat="1" hidden="1" outlineLevel="2" x14ac:dyDescent="0.4">
      <c r="A599"/>
      <c r="B599" s="2081"/>
      <c r="C599" s="2097" t="s">
        <v>1613</v>
      </c>
      <c r="D599" s="2044" t="s">
        <v>1602</v>
      </c>
      <c r="E599" s="2044" t="s">
        <v>3</v>
      </c>
      <c r="F599" s="2045">
        <f t="shared" si="90"/>
        <v>1.9</v>
      </c>
      <c r="G599" s="2045">
        <f t="shared" si="91"/>
        <v>42.91667076343208</v>
      </c>
      <c r="H599" s="2046"/>
      <c r="I599" s="2047" t="s">
        <v>263</v>
      </c>
      <c r="J599" s="2048"/>
      <c r="K599" s="2049"/>
      <c r="L599" s="2049"/>
      <c r="M599" s="2050" t="s">
        <v>263</v>
      </c>
      <c r="N599" s="2050" t="s">
        <v>263</v>
      </c>
      <c r="O599" s="2047" t="str">
        <f t="shared" si="89"/>
        <v>N/A</v>
      </c>
      <c r="P599" s="2051" t="s">
        <v>1541</v>
      </c>
      <c r="Q599" s="2052">
        <f>IF($E599="Logistics",VLOOKUP($P599,'Lower Cask Movement &amp; Logistics'!$C$4:$D$53,2,FALSE),"N/A")</f>
        <v>1.9</v>
      </c>
      <c r="R599" s="3416" t="s">
        <v>1614</v>
      </c>
      <c r="S599" s="3526">
        <f>IFERROR(VLOOKUP($R599,'LowerCask Recovery Dependencies'!$C$450:$F$523,4,FALSE),"N/A")</f>
        <v>41.016670763432082</v>
      </c>
      <c r="T599" s="3527">
        <f t="shared" si="92"/>
        <v>-4.7537037037036924</v>
      </c>
      <c r="U599" s="2424"/>
      <c r="V599" s="2424"/>
      <c r="W599" s="2424"/>
      <c r="X599" s="2424"/>
      <c r="Y599" s="3434"/>
    </row>
    <row r="600" spans="1:25" s="8" customFormat="1" hidden="1" outlineLevel="2" x14ac:dyDescent="0.4">
      <c r="A600"/>
      <c r="B600" s="2081"/>
      <c r="C600" s="2098"/>
      <c r="D600" s="2054" t="s">
        <v>1606</v>
      </c>
      <c r="E600" s="2054" t="s">
        <v>3</v>
      </c>
      <c r="F600" s="2055">
        <f t="shared" si="90"/>
        <v>0.38</v>
      </c>
      <c r="G600" s="2056">
        <f t="shared" si="91"/>
        <v>43.296670763432083</v>
      </c>
      <c r="H600" s="2057"/>
      <c r="I600" s="2058" t="s">
        <v>263</v>
      </c>
      <c r="J600" s="2059"/>
      <c r="K600" s="2060"/>
      <c r="L600" s="2060"/>
      <c r="M600" s="2061" t="s">
        <v>263</v>
      </c>
      <c r="N600" s="2061" t="s">
        <v>263</v>
      </c>
      <c r="O600" s="2058" t="str">
        <f t="shared" si="89"/>
        <v>N/A</v>
      </c>
      <c r="P600" s="2062" t="s">
        <v>1544</v>
      </c>
      <c r="Q600" s="2063">
        <f>IF($E600="Logistics",VLOOKUP($P600,'Lower Cask Movement &amp; Logistics'!$C$4:$D$53,2,FALSE),"N/A")</f>
        <v>0.38</v>
      </c>
      <c r="R600" s="3417"/>
      <c r="S600" s="3528" t="str">
        <f>IFERROR(VLOOKUP($R600,'LowerCask Recovery Dependencies'!$C$450:$F$523,4,FALSE),"N/A")</f>
        <v>N/A</v>
      </c>
      <c r="T600" s="3529" t="str">
        <f t="shared" si="92"/>
        <v>N/A</v>
      </c>
      <c r="U600" s="2424"/>
      <c r="V600" s="2424"/>
      <c r="W600" s="2424"/>
      <c r="X600" s="2424"/>
      <c r="Y600" s="3434"/>
    </row>
    <row r="601" spans="1:25" s="8" customFormat="1" hidden="1" outlineLevel="2" x14ac:dyDescent="0.4">
      <c r="A601"/>
      <c r="B601" s="2081"/>
      <c r="C601" s="2098"/>
      <c r="D601" s="2054" t="s">
        <v>1914</v>
      </c>
      <c r="E601" s="2054" t="s">
        <v>251</v>
      </c>
      <c r="F601" s="2055">
        <f t="shared" si="90"/>
        <v>1</v>
      </c>
      <c r="G601" s="2056">
        <f t="shared" si="91"/>
        <v>44.296670763432083</v>
      </c>
      <c r="H601" s="2057" t="s">
        <v>271</v>
      </c>
      <c r="I601" s="2058">
        <v>1</v>
      </c>
      <c r="J601" s="2059"/>
      <c r="K601" s="2060"/>
      <c r="L601" s="2060"/>
      <c r="M601" s="2061" t="s">
        <v>263</v>
      </c>
      <c r="N601" s="2061" t="s">
        <v>263</v>
      </c>
      <c r="O601" s="2058" t="str">
        <f t="shared" si="89"/>
        <v>N/A</v>
      </c>
      <c r="P601" s="2062"/>
      <c r="Q601" s="2063" t="str">
        <f>IF($E601="Logistics",VLOOKUP($P601,'Lower Cask Movement &amp; Logistics'!$C$4:$D$53,2,FALSE),"N/A")</f>
        <v>N/A</v>
      </c>
      <c r="R601" s="3417"/>
      <c r="S601" s="3528" t="str">
        <f>IFERROR(VLOOKUP($R601,'LowerCask Recovery Dependencies'!$C$450:$F$523,4,FALSE),"N/A")</f>
        <v>N/A</v>
      </c>
      <c r="T601" s="3529" t="str">
        <f t="shared" si="92"/>
        <v>N/A</v>
      </c>
      <c r="U601" s="2424"/>
      <c r="V601" s="2424"/>
      <c r="W601" s="2424"/>
      <c r="X601" s="2424"/>
      <c r="Y601" s="3434"/>
    </row>
    <row r="602" spans="1:25" s="8" customFormat="1" hidden="1" outlineLevel="2" x14ac:dyDescent="0.4">
      <c r="A602"/>
      <c r="B602" s="2081"/>
      <c r="C602" s="2098"/>
      <c r="D602" s="2054" t="s">
        <v>1575</v>
      </c>
      <c r="E602" s="2054" t="s">
        <v>3</v>
      </c>
      <c r="F602" s="2055">
        <f t="shared" si="90"/>
        <v>0.38</v>
      </c>
      <c r="G602" s="2056">
        <f t="shared" si="91"/>
        <v>44.676670763432085</v>
      </c>
      <c r="H602" s="2057"/>
      <c r="I602" s="2058" t="s">
        <v>263</v>
      </c>
      <c r="J602" s="2059"/>
      <c r="K602" s="2060"/>
      <c r="L602" s="2060"/>
      <c r="M602" s="2061" t="s">
        <v>263</v>
      </c>
      <c r="N602" s="2061" t="s">
        <v>263</v>
      </c>
      <c r="O602" s="2058" t="str">
        <f t="shared" si="89"/>
        <v>N/A</v>
      </c>
      <c r="P602" s="2062" t="s">
        <v>1546</v>
      </c>
      <c r="Q602" s="2063">
        <f>IF($E602="Logistics",VLOOKUP($P602,'Lower Cask Movement &amp; Logistics'!$C$4:$D$53,2,FALSE),"N/A")</f>
        <v>0.38</v>
      </c>
      <c r="R602" s="3417"/>
      <c r="S602" s="3528" t="str">
        <f>IFERROR(VLOOKUP($R602,'LowerCask Recovery Dependencies'!$C$450:$F$523,4,FALSE),"N/A")</f>
        <v>N/A</v>
      </c>
      <c r="T602" s="3529" t="str">
        <f t="shared" si="92"/>
        <v>N/A</v>
      </c>
      <c r="U602" s="2424"/>
      <c r="V602" s="2424"/>
      <c r="W602" s="2424"/>
      <c r="X602" s="2424"/>
      <c r="Y602" s="3434"/>
    </row>
    <row r="603" spans="1:25" s="8" customFormat="1" ht="15" hidden="1" outlineLevel="2" thickBot="1" x14ac:dyDescent="0.45">
      <c r="A603"/>
      <c r="B603" s="2081"/>
      <c r="C603" s="2098"/>
      <c r="D603" s="2060" t="s">
        <v>1915</v>
      </c>
      <c r="E603" s="2060" t="s">
        <v>3</v>
      </c>
      <c r="F603" s="2065">
        <f t="shared" si="90"/>
        <v>2.3000000000000003</v>
      </c>
      <c r="G603" s="2056">
        <f t="shared" si="91"/>
        <v>46.976670763432082</v>
      </c>
      <c r="H603" s="2059"/>
      <c r="I603" s="2058" t="s">
        <v>263</v>
      </c>
      <c r="J603" s="2059"/>
      <c r="K603" s="2060"/>
      <c r="L603" s="2060"/>
      <c r="M603" s="2061" t="s">
        <v>263</v>
      </c>
      <c r="N603" s="2061" t="s">
        <v>263</v>
      </c>
      <c r="O603" s="2058" t="str">
        <f t="shared" si="89"/>
        <v>N/A</v>
      </c>
      <c r="P603" s="2066" t="s">
        <v>1552</v>
      </c>
      <c r="Q603" s="2058">
        <f>IF($E603="Logistics",VLOOKUP($P603,'Lower Cask Movement &amp; Logistics'!$C$4:$D$53,2,FALSE),"N/A")</f>
        <v>2.3000000000000003</v>
      </c>
      <c r="R603" s="3418"/>
      <c r="S603" s="3530" t="str">
        <f>IFERROR(VLOOKUP($R603,'LowerCask Recovery Dependencies'!$C$450:$F$523,4,FALSE),"N/A")</f>
        <v>N/A</v>
      </c>
      <c r="T603" s="3531" t="str">
        <f t="shared" si="92"/>
        <v>N/A</v>
      </c>
      <c r="U603" s="2424"/>
      <c r="V603" s="2424"/>
      <c r="W603" s="2424"/>
      <c r="X603" s="2424"/>
      <c r="Y603" s="3434"/>
    </row>
    <row r="604" spans="1:25" s="8" customFormat="1" hidden="1" outlineLevel="2" x14ac:dyDescent="0.4">
      <c r="A604"/>
      <c r="B604" s="2081"/>
      <c r="C604" s="2086" t="s">
        <v>1678</v>
      </c>
      <c r="D604" s="566" t="s">
        <v>1679</v>
      </c>
      <c r="E604" s="566" t="s">
        <v>3</v>
      </c>
      <c r="F604" s="1621">
        <f t="shared" si="90"/>
        <v>1.9</v>
      </c>
      <c r="G604" s="1621">
        <f t="shared" si="91"/>
        <v>49.276670763432087</v>
      </c>
      <c r="H604" s="803"/>
      <c r="I604" s="1175" t="s">
        <v>263</v>
      </c>
      <c r="J604" s="803"/>
      <c r="K604" s="566"/>
      <c r="L604" s="566"/>
      <c r="M604" s="570" t="s">
        <v>263</v>
      </c>
      <c r="N604" s="570" t="s">
        <v>263</v>
      </c>
      <c r="O604" s="1175" t="str">
        <f t="shared" si="89"/>
        <v>N/A</v>
      </c>
      <c r="P604" s="1664" t="s">
        <v>1541</v>
      </c>
      <c r="Q604" s="1175">
        <f>IF($E604="Logistics",VLOOKUP($P604,'Lower Cask Movement &amp; Logistics'!$C$4:$D$53,2,FALSE),"N/A")</f>
        <v>1.9</v>
      </c>
      <c r="R604" s="3415" t="s">
        <v>1916</v>
      </c>
      <c r="S604" s="3525">
        <f>IFERROR(VLOOKUP($R604,'LowerCask Recovery Dependencies'!$C$450:$F$523,4,FALSE),"N/A")</f>
        <v>47.376670763432088</v>
      </c>
      <c r="T604" s="3467">
        <f t="shared" si="92"/>
        <v>-0.40000000000000568</v>
      </c>
      <c r="U604" s="2424"/>
      <c r="V604" s="2424"/>
      <c r="W604" s="2424"/>
      <c r="X604" s="2424"/>
      <c r="Y604" s="3434"/>
    </row>
    <row r="605" spans="1:25" s="8" customFormat="1" hidden="1" outlineLevel="2" x14ac:dyDescent="0.4">
      <c r="A605"/>
      <c r="B605" s="2081"/>
      <c r="C605" s="2087"/>
      <c r="D605" s="573" t="s">
        <v>1606</v>
      </c>
      <c r="E605" s="573" t="s">
        <v>3</v>
      </c>
      <c r="F605" s="626">
        <f t="shared" si="90"/>
        <v>0.38</v>
      </c>
      <c r="G605" s="626">
        <f t="shared" si="91"/>
        <v>49.656670763432089</v>
      </c>
      <c r="H605" s="1131"/>
      <c r="I605" s="1176" t="s">
        <v>263</v>
      </c>
      <c r="J605" s="1131"/>
      <c r="K605" s="573"/>
      <c r="L605" s="573"/>
      <c r="M605" s="853" t="s">
        <v>263</v>
      </c>
      <c r="N605" s="853" t="s">
        <v>263</v>
      </c>
      <c r="O605" s="1176" t="str">
        <f t="shared" si="89"/>
        <v>N/A</v>
      </c>
      <c r="P605" s="1580" t="s">
        <v>1544</v>
      </c>
      <c r="Q605" s="1176">
        <f>IF($E605="Logistics",VLOOKUP($P605,'Lower Cask Movement &amp; Logistics'!$C$4:$D$53,2,FALSE),"N/A")</f>
        <v>0.38</v>
      </c>
      <c r="R605" s="3412"/>
      <c r="S605" s="3520" t="str">
        <f>IFERROR(VLOOKUP($R605,'LowerCask Recovery Dependencies'!$C$450:$F$523,4,FALSE),"N/A")</f>
        <v>N/A</v>
      </c>
      <c r="T605" s="3521" t="str">
        <f t="shared" si="92"/>
        <v>N/A</v>
      </c>
      <c r="U605" s="2424"/>
      <c r="V605" s="2424"/>
      <c r="W605" s="2424"/>
      <c r="X605" s="2424"/>
      <c r="Y605" s="3434"/>
    </row>
    <row r="606" spans="1:25" s="8" customFormat="1" hidden="1" outlineLevel="2" x14ac:dyDescent="0.4">
      <c r="A606"/>
      <c r="B606" s="2081"/>
      <c r="C606" s="2087"/>
      <c r="D606" s="573" t="s">
        <v>1681</v>
      </c>
      <c r="E606" s="573" t="s">
        <v>251</v>
      </c>
      <c r="F606" s="626">
        <f t="shared" si="90"/>
        <v>1</v>
      </c>
      <c r="G606" s="626">
        <f t="shared" si="91"/>
        <v>50.656670763432089</v>
      </c>
      <c r="H606" s="1131" t="s">
        <v>274</v>
      </c>
      <c r="I606" s="1176">
        <v>1</v>
      </c>
      <c r="J606" s="1131"/>
      <c r="K606" s="573"/>
      <c r="L606" s="573"/>
      <c r="M606" s="853" t="s">
        <v>263</v>
      </c>
      <c r="N606" s="853" t="s">
        <v>263</v>
      </c>
      <c r="O606" s="1176" t="str">
        <f t="shared" si="89"/>
        <v>N/A</v>
      </c>
      <c r="P606" s="1580"/>
      <c r="Q606" s="1176" t="str">
        <f>IF($E606="Logistics",VLOOKUP($P606,'Lower Cask Movement &amp; Logistics'!$C$4:$D$53,2,FALSE),"N/A")</f>
        <v>N/A</v>
      </c>
      <c r="R606" s="3412"/>
      <c r="S606" s="3520" t="str">
        <f>IFERROR(VLOOKUP($R606,'LowerCask Recovery Dependencies'!$C$450:$F$523,4,FALSE),"N/A")</f>
        <v>N/A</v>
      </c>
      <c r="T606" s="3521" t="str">
        <f t="shared" si="92"/>
        <v>N/A</v>
      </c>
      <c r="U606" s="2424"/>
      <c r="V606" s="2424"/>
      <c r="W606" s="2424"/>
      <c r="X606" s="2424"/>
      <c r="Y606" s="3434"/>
    </row>
    <row r="607" spans="1:25" s="8" customFormat="1" hidden="1" outlineLevel="2" x14ac:dyDescent="0.4">
      <c r="A607"/>
      <c r="B607" s="2081"/>
      <c r="C607" s="2087"/>
      <c r="D607" s="582" t="s">
        <v>1575</v>
      </c>
      <c r="E607" s="582" t="s">
        <v>3</v>
      </c>
      <c r="F607" s="626">
        <f t="shared" si="90"/>
        <v>0.38</v>
      </c>
      <c r="G607" s="626">
        <f t="shared" si="91"/>
        <v>51.036670763432092</v>
      </c>
      <c r="H607" s="1579"/>
      <c r="I607" s="1183" t="s">
        <v>263</v>
      </c>
      <c r="J607" s="1579"/>
      <c r="K607" s="582"/>
      <c r="L607" s="582"/>
      <c r="M607" s="1478" t="s">
        <v>263</v>
      </c>
      <c r="N607" s="1478" t="s">
        <v>263</v>
      </c>
      <c r="O607" s="1183" t="str">
        <f t="shared" si="89"/>
        <v>N/A</v>
      </c>
      <c r="P607" s="1578" t="s">
        <v>1546</v>
      </c>
      <c r="Q607" s="1183">
        <f>IF($E607="Logistics",VLOOKUP($P607,'Lower Cask Movement &amp; Logistics'!$C$4:$D$53,2,FALSE),"N/A")</f>
        <v>0.38</v>
      </c>
      <c r="R607" s="3377"/>
      <c r="S607" s="3476" t="str">
        <f>IFERROR(VLOOKUP($R607,'LowerCask Recovery Dependencies'!$C$450:$F$523,4,FALSE),"N/A")</f>
        <v>N/A</v>
      </c>
      <c r="T607" s="3477" t="str">
        <f t="shared" si="92"/>
        <v>N/A</v>
      </c>
      <c r="U607" s="2424"/>
      <c r="V607" s="2424"/>
      <c r="W607" s="2424"/>
      <c r="X607" s="2424"/>
      <c r="Y607" s="3434"/>
    </row>
    <row r="608" spans="1:25" s="8" customFormat="1" ht="15" hidden="1" outlineLevel="2" thickBot="1" x14ac:dyDescent="0.45">
      <c r="A608"/>
      <c r="B608" s="2081"/>
      <c r="C608" s="2088"/>
      <c r="D608" s="584" t="s">
        <v>1682</v>
      </c>
      <c r="E608" s="584" t="s">
        <v>3</v>
      </c>
      <c r="F608" s="585">
        <f t="shared" si="90"/>
        <v>2.3000000000000003</v>
      </c>
      <c r="G608" s="585">
        <f t="shared" si="91"/>
        <v>53.336670763432089</v>
      </c>
      <c r="H608" s="1136"/>
      <c r="I608" s="1179" t="s">
        <v>263</v>
      </c>
      <c r="J608" s="1136"/>
      <c r="K608" s="584"/>
      <c r="L608" s="584"/>
      <c r="M608" s="814" t="s">
        <v>263</v>
      </c>
      <c r="N608" s="814" t="s">
        <v>263</v>
      </c>
      <c r="O608" s="1179" t="str">
        <f t="shared" si="89"/>
        <v>N/A</v>
      </c>
      <c r="P608" s="1582" t="s">
        <v>1552</v>
      </c>
      <c r="Q608" s="1179">
        <f>IF($E608="Logistics",VLOOKUP($P608,'Lower Cask Movement &amp; Logistics'!$C$4:$D$53,2,FALSE),"N/A")</f>
        <v>2.3000000000000003</v>
      </c>
      <c r="R608" s="3378"/>
      <c r="S608" s="3478" t="str">
        <f>IFERROR(VLOOKUP($R608,'LowerCask Recovery Dependencies'!$C$450:$F$523,4,FALSE),"N/A")</f>
        <v>N/A</v>
      </c>
      <c r="T608" s="3469" t="str">
        <f t="shared" si="92"/>
        <v>N/A</v>
      </c>
      <c r="U608" s="2424"/>
      <c r="V608" s="2424"/>
      <c r="W608" s="2424"/>
      <c r="X608" s="2424"/>
      <c r="Y608" s="3434"/>
    </row>
    <row r="609" spans="1:25" s="8" customFormat="1" hidden="1" outlineLevel="2" x14ac:dyDescent="0.4">
      <c r="A609"/>
      <c r="B609" s="2081"/>
      <c r="C609" s="2090" t="s">
        <v>1683</v>
      </c>
      <c r="D609" s="2068" t="s">
        <v>1602</v>
      </c>
      <c r="E609" s="2068" t="s">
        <v>3</v>
      </c>
      <c r="F609" s="1363">
        <f t="shared" si="90"/>
        <v>1.9</v>
      </c>
      <c r="G609" s="1885">
        <f t="shared" si="91"/>
        <v>62.722967059728383</v>
      </c>
      <c r="H609" s="866"/>
      <c r="I609" s="2069" t="s">
        <v>263</v>
      </c>
      <c r="J609" s="866"/>
      <c r="K609" s="2068"/>
      <c r="L609" s="2068"/>
      <c r="M609" s="1890" t="s">
        <v>263</v>
      </c>
      <c r="N609" s="1890" t="s">
        <v>263</v>
      </c>
      <c r="O609" s="1894" t="str">
        <f t="shared" si="89"/>
        <v>N/A</v>
      </c>
      <c r="P609" s="2070" t="s">
        <v>1541</v>
      </c>
      <c r="Q609" s="2069">
        <f>IF($E609="Logistics",VLOOKUP($P609,'Lower Cask Movement &amp; Logistics'!$C$4:$D$53,2,FALSE),"N/A")</f>
        <v>1.9</v>
      </c>
      <c r="R609" s="3419" t="s">
        <v>1933</v>
      </c>
      <c r="S609" s="3532">
        <f>IFERROR(VLOOKUP($R609,'LowerCask Recovery Dependencies'!$C$450:$F$523,4,FALSE),"N/A")</f>
        <v>60.822967059728384</v>
      </c>
      <c r="T609" s="3533">
        <f t="shared" si="92"/>
        <v>-7.4862962962962953</v>
      </c>
      <c r="U609" s="2424"/>
      <c r="V609" s="2424"/>
      <c r="W609" s="2424"/>
      <c r="X609" s="2424"/>
      <c r="Y609" s="3434"/>
    </row>
    <row r="610" spans="1:25" s="8" customFormat="1" hidden="1" outlineLevel="2" x14ac:dyDescent="0.4">
      <c r="A610"/>
      <c r="B610" s="2081"/>
      <c r="C610" s="2090"/>
      <c r="D610" s="860" t="s">
        <v>1606</v>
      </c>
      <c r="E610" s="860" t="s">
        <v>3</v>
      </c>
      <c r="F610" s="1363">
        <f t="shared" si="90"/>
        <v>0.38</v>
      </c>
      <c r="G610" s="1347">
        <f t="shared" si="91"/>
        <v>63.102967059728385</v>
      </c>
      <c r="H610" s="2041"/>
      <c r="I610" s="2042" t="s">
        <v>263</v>
      </c>
      <c r="J610" s="2041"/>
      <c r="K610" s="860"/>
      <c r="L610" s="860"/>
      <c r="M610" s="865" t="s">
        <v>263</v>
      </c>
      <c r="N610" s="865" t="s">
        <v>263</v>
      </c>
      <c r="O610" s="2042" t="str">
        <f t="shared" si="89"/>
        <v>N/A</v>
      </c>
      <c r="P610" s="1725" t="s">
        <v>1544</v>
      </c>
      <c r="Q610" s="2042">
        <f>IF($E610="Logistics",VLOOKUP($P610,'Lower Cask Movement &amp; Logistics'!$C$4:$D$53,2,FALSE),"N/A")</f>
        <v>0.38</v>
      </c>
      <c r="R610" s="3414"/>
      <c r="S610" s="3523" t="str">
        <f>IFERROR(VLOOKUP($R610,'LowerCask Recovery Dependencies'!$C$450:$F$523,4,FALSE),"N/A")</f>
        <v>N/A</v>
      </c>
      <c r="T610" s="3524" t="str">
        <f t="shared" si="92"/>
        <v>N/A</v>
      </c>
      <c r="U610" s="2424"/>
      <c r="V610" s="2424"/>
      <c r="W610" s="2424"/>
      <c r="X610" s="2424"/>
      <c r="Y610" s="3434"/>
    </row>
    <row r="611" spans="1:25" s="8" customFormat="1" hidden="1" outlineLevel="2" x14ac:dyDescent="0.4">
      <c r="A611"/>
      <c r="B611" s="2081"/>
      <c r="C611" s="2090"/>
      <c r="D611" s="860" t="s">
        <v>1685</v>
      </c>
      <c r="E611" s="860" t="s">
        <v>251</v>
      </c>
      <c r="F611" s="1363">
        <f t="shared" si="90"/>
        <v>1</v>
      </c>
      <c r="G611" s="1347">
        <f t="shared" si="91"/>
        <v>64.102967059728385</v>
      </c>
      <c r="H611" s="2041" t="s">
        <v>274</v>
      </c>
      <c r="I611" s="2042">
        <v>1</v>
      </c>
      <c r="J611" s="2041"/>
      <c r="K611" s="860"/>
      <c r="L611" s="860"/>
      <c r="M611" s="865" t="s">
        <v>263</v>
      </c>
      <c r="N611" s="865" t="s">
        <v>263</v>
      </c>
      <c r="O611" s="2042" t="str">
        <f t="shared" si="89"/>
        <v>N/A</v>
      </c>
      <c r="P611" s="1725"/>
      <c r="Q611" s="2042" t="str">
        <f>IF($E611="Logistics",VLOOKUP($P611,'Lower Cask Movement &amp; Logistics'!$C$4:$D$53,2,FALSE),"N/A")</f>
        <v>N/A</v>
      </c>
      <c r="R611" s="3414"/>
      <c r="S611" s="3523" t="str">
        <f>IFERROR(VLOOKUP($R611,'LowerCask Recovery Dependencies'!$C$450:$F$523,4,FALSE),"N/A")</f>
        <v>N/A</v>
      </c>
      <c r="T611" s="3524" t="str">
        <f t="shared" si="92"/>
        <v>N/A</v>
      </c>
      <c r="U611" s="2424"/>
      <c r="V611" s="2424"/>
      <c r="W611" s="2424"/>
      <c r="X611" s="2424"/>
      <c r="Y611" s="3434"/>
    </row>
    <row r="612" spans="1:25" s="8" customFormat="1" hidden="1" outlineLevel="2" x14ac:dyDescent="0.4">
      <c r="A612"/>
      <c r="B612" s="2081"/>
      <c r="C612" s="2090"/>
      <c r="D612" s="1897" t="s">
        <v>1575</v>
      </c>
      <c r="E612" s="1897" t="s">
        <v>3</v>
      </c>
      <c r="F612" s="1885">
        <f t="shared" si="90"/>
        <v>0.38</v>
      </c>
      <c r="G612" s="1347">
        <f t="shared" si="91"/>
        <v>64.482967059728381</v>
      </c>
      <c r="H612" s="1895"/>
      <c r="I612" s="1903" t="s">
        <v>263</v>
      </c>
      <c r="J612" s="1895"/>
      <c r="K612" s="1897"/>
      <c r="L612" s="1897"/>
      <c r="M612" s="1898" t="s">
        <v>263</v>
      </c>
      <c r="N612" s="1898" t="s">
        <v>263</v>
      </c>
      <c r="O612" s="1903" t="str">
        <f t="shared" si="89"/>
        <v>N/A</v>
      </c>
      <c r="P612" s="1902" t="s">
        <v>1546</v>
      </c>
      <c r="Q612" s="1903">
        <f>IF($E612="Logistics",VLOOKUP($P612,'Lower Cask Movement &amp; Logistics'!$C$4:$D$53,2,FALSE),"N/A")</f>
        <v>0.38</v>
      </c>
      <c r="R612" s="3380"/>
      <c r="S612" s="3481" t="str">
        <f>IFERROR(VLOOKUP($R612,'LowerCask Recovery Dependencies'!$C$450:$F$523,4,FALSE),"N/A")</f>
        <v>N/A</v>
      </c>
      <c r="T612" s="3482" t="str">
        <f t="shared" si="92"/>
        <v>N/A</v>
      </c>
      <c r="U612" s="2424"/>
      <c r="V612" s="2424"/>
      <c r="W612" s="2424"/>
      <c r="X612" s="2424"/>
      <c r="Y612" s="3434"/>
    </row>
    <row r="613" spans="1:25" s="8" customFormat="1" ht="15" hidden="1" outlineLevel="2" thickBot="1" x14ac:dyDescent="0.45">
      <c r="A613"/>
      <c r="B613" s="2081"/>
      <c r="C613" s="2090"/>
      <c r="D613" s="1897" t="s">
        <v>1686</v>
      </c>
      <c r="E613" s="1897" t="s">
        <v>3</v>
      </c>
      <c r="F613" s="1885">
        <f t="shared" si="90"/>
        <v>2.3000000000000003</v>
      </c>
      <c r="G613" s="1347">
        <f t="shared" si="91"/>
        <v>66.782967059728378</v>
      </c>
      <c r="H613" s="1895"/>
      <c r="I613" s="1903" t="s">
        <v>263</v>
      </c>
      <c r="J613" s="1895"/>
      <c r="K613" s="1897"/>
      <c r="L613" s="1897"/>
      <c r="M613" s="1898" t="s">
        <v>263</v>
      </c>
      <c r="N613" s="1898" t="s">
        <v>263</v>
      </c>
      <c r="O613" s="1903" t="str">
        <f t="shared" si="89"/>
        <v>N/A</v>
      </c>
      <c r="P613" s="1902" t="s">
        <v>1552</v>
      </c>
      <c r="Q613" s="1903">
        <f>IF($E613="Logistics",VLOOKUP($P613,'Lower Cask Movement &amp; Logistics'!$C$4:$D$53,2,FALSE),"N/A")</f>
        <v>2.3000000000000003</v>
      </c>
      <c r="R613" s="3380"/>
      <c r="S613" s="3481" t="str">
        <f>IFERROR(VLOOKUP($R613,'LowerCask Recovery Dependencies'!$C$450:$F$523,4,FALSE),"N/A")</f>
        <v>N/A</v>
      </c>
      <c r="T613" s="3482" t="str">
        <f t="shared" si="92"/>
        <v>N/A</v>
      </c>
      <c r="U613" s="2424"/>
      <c r="V613" s="2424"/>
      <c r="W613" s="2424"/>
      <c r="X613" s="2424"/>
      <c r="Y613" s="3434"/>
    </row>
    <row r="614" spans="1:25" s="8" customFormat="1" hidden="1" outlineLevel="2" x14ac:dyDescent="0.4">
      <c r="A614"/>
      <c r="B614" s="2081"/>
      <c r="C614" s="2086" t="s">
        <v>275</v>
      </c>
      <c r="D614" s="566" t="s">
        <v>1602</v>
      </c>
      <c r="E614" s="566" t="s">
        <v>3</v>
      </c>
      <c r="F614" s="567">
        <f t="shared" si="90"/>
        <v>1.9</v>
      </c>
      <c r="G614" s="1621">
        <f t="shared" si="91"/>
        <v>68.682967059728384</v>
      </c>
      <c r="H614" s="803"/>
      <c r="I614" s="1175" t="s">
        <v>263</v>
      </c>
      <c r="J614" s="803"/>
      <c r="K614" s="566"/>
      <c r="L614" s="566"/>
      <c r="M614" s="1623" t="s">
        <v>263</v>
      </c>
      <c r="N614" s="1623" t="s">
        <v>263</v>
      </c>
      <c r="O614" s="1575" t="str">
        <f t="shared" si="89"/>
        <v>N/A</v>
      </c>
      <c r="P614" s="1664" t="s">
        <v>1541</v>
      </c>
      <c r="Q614" s="1175">
        <f>IF($E614="Logistics",VLOOKUP($P614,'Lower Cask Movement &amp; Logistics'!$C$4:$D$53,2,FALSE),"N/A")</f>
        <v>1.9</v>
      </c>
      <c r="R614" s="3376" t="s">
        <v>1934</v>
      </c>
      <c r="S614" s="3525">
        <f>IFERROR(VLOOKUP($R614,'LowerCask Recovery Dependencies'!$C$450:$F$523,4,FALSE),"N/A")</f>
        <v>60.011485578246905</v>
      </c>
      <c r="T614" s="3467">
        <f t="shared" si="92"/>
        <v>6.771481481481473</v>
      </c>
      <c r="U614" s="2424"/>
      <c r="V614" s="2424"/>
      <c r="W614" s="2424"/>
      <c r="X614" s="2424"/>
      <c r="Y614" s="3434"/>
    </row>
    <row r="615" spans="1:25" s="8" customFormat="1" hidden="1" outlineLevel="2" x14ac:dyDescent="0.4">
      <c r="A615"/>
      <c r="B615" s="2081"/>
      <c r="C615" s="2087"/>
      <c r="D615" s="573" t="s">
        <v>1606</v>
      </c>
      <c r="E615" s="573" t="s">
        <v>3</v>
      </c>
      <c r="F615" s="1276">
        <f t="shared" si="90"/>
        <v>0.38</v>
      </c>
      <c r="G615" s="626">
        <f t="shared" si="91"/>
        <v>69.062967059728379</v>
      </c>
      <c r="H615" s="1131"/>
      <c r="I615" s="1176" t="s">
        <v>263</v>
      </c>
      <c r="J615" s="1131"/>
      <c r="K615" s="573"/>
      <c r="L615" s="573"/>
      <c r="M615" s="853" t="s">
        <v>263</v>
      </c>
      <c r="N615" s="853" t="s">
        <v>263</v>
      </c>
      <c r="O615" s="1176" t="str">
        <f t="shared" si="89"/>
        <v>N/A</v>
      </c>
      <c r="P615" s="1580" t="s">
        <v>1544</v>
      </c>
      <c r="Q615" s="1176">
        <f>IF($E615="Logistics",VLOOKUP($P615,'Lower Cask Movement &amp; Logistics'!$C$4:$D$53,2,FALSE),"N/A")</f>
        <v>0.38</v>
      </c>
      <c r="R615" s="3412"/>
      <c r="S615" s="3520" t="str">
        <f>IFERROR(VLOOKUP($R615,'LowerCask Recovery Dependencies'!$C$450:$F$523,4,FALSE),"N/A")</f>
        <v>N/A</v>
      </c>
      <c r="T615" s="3521" t="str">
        <f t="shared" si="92"/>
        <v>N/A</v>
      </c>
      <c r="U615" s="2424"/>
      <c r="V615" s="2424"/>
      <c r="W615" s="2424"/>
      <c r="X615" s="2424"/>
      <c r="Y615" s="3434"/>
    </row>
    <row r="616" spans="1:25" s="8" customFormat="1" hidden="1" outlineLevel="2" x14ac:dyDescent="0.4">
      <c r="A616"/>
      <c r="B616" s="2081"/>
      <c r="C616" s="2087"/>
      <c r="D616" s="573" t="s">
        <v>1681</v>
      </c>
      <c r="E616" s="573" t="s">
        <v>251</v>
      </c>
      <c r="F616" s="1276">
        <f t="shared" si="90"/>
        <v>0.8</v>
      </c>
      <c r="G616" s="626">
        <f t="shared" si="91"/>
        <v>69.862967059728376</v>
      </c>
      <c r="H616" s="1131" t="s">
        <v>275</v>
      </c>
      <c r="I616" s="1176">
        <v>0.8</v>
      </c>
      <c r="J616" s="1131"/>
      <c r="K616" s="573"/>
      <c r="L616" s="573"/>
      <c r="M616" s="853" t="s">
        <v>263</v>
      </c>
      <c r="N616" s="853" t="s">
        <v>263</v>
      </c>
      <c r="O616" s="1176" t="str">
        <f t="shared" si="89"/>
        <v>N/A</v>
      </c>
      <c r="P616" s="1580"/>
      <c r="Q616" s="1176" t="str">
        <f>IF($E616="Logistics",VLOOKUP($P616,'Lower Cask Movement &amp; Logistics'!$C$4:$D$53,2,FALSE),"N/A")</f>
        <v>N/A</v>
      </c>
      <c r="R616" s="3412"/>
      <c r="S616" s="3520" t="str">
        <f>IFERROR(VLOOKUP($R616,'LowerCask Recovery Dependencies'!$C$450:$F$523,4,FALSE),"N/A")</f>
        <v>N/A</v>
      </c>
      <c r="T616" s="3521" t="str">
        <f t="shared" si="92"/>
        <v>N/A</v>
      </c>
      <c r="U616" s="2424"/>
      <c r="V616" s="2424"/>
      <c r="W616" s="2424"/>
      <c r="X616" s="2424"/>
      <c r="Y616" s="3434"/>
    </row>
    <row r="617" spans="1:25" s="8" customFormat="1" hidden="1" outlineLevel="2" x14ac:dyDescent="0.4">
      <c r="A617"/>
      <c r="B617" s="2081"/>
      <c r="C617" s="2087"/>
      <c r="D617" s="573" t="s">
        <v>1575</v>
      </c>
      <c r="E617" s="573" t="s">
        <v>3</v>
      </c>
      <c r="F617" s="1276">
        <f t="shared" si="90"/>
        <v>0.38</v>
      </c>
      <c r="G617" s="626">
        <f t="shared" si="91"/>
        <v>70.242967059728372</v>
      </c>
      <c r="H617" s="1131"/>
      <c r="I617" s="1176" t="s">
        <v>263</v>
      </c>
      <c r="J617" s="1131"/>
      <c r="K617" s="573"/>
      <c r="L617" s="573"/>
      <c r="M617" s="853" t="s">
        <v>263</v>
      </c>
      <c r="N617" s="853" t="s">
        <v>263</v>
      </c>
      <c r="O617" s="1176" t="str">
        <f t="shared" si="89"/>
        <v>N/A</v>
      </c>
      <c r="P617" s="1580" t="s">
        <v>1546</v>
      </c>
      <c r="Q617" s="1176">
        <f>IF($E617="Logistics",VLOOKUP($P617,'Lower Cask Movement &amp; Logistics'!$C$4:$D$53,2,FALSE),"N/A")</f>
        <v>0.38</v>
      </c>
      <c r="R617" s="3412"/>
      <c r="S617" s="3520" t="str">
        <f>IFERROR(VLOOKUP($R617,'LowerCask Recovery Dependencies'!$C$450:$F$523,4,FALSE),"N/A")</f>
        <v>N/A</v>
      </c>
      <c r="T617" s="3521" t="str">
        <f t="shared" si="92"/>
        <v>N/A</v>
      </c>
      <c r="U617" s="2424"/>
      <c r="V617" s="2424"/>
      <c r="W617" s="2424"/>
      <c r="X617" s="2424"/>
      <c r="Y617" s="3434"/>
    </row>
    <row r="618" spans="1:25" s="8" customFormat="1" ht="15" hidden="1" outlineLevel="2" thickBot="1" x14ac:dyDescent="0.45">
      <c r="A618"/>
      <c r="B618" s="2081"/>
      <c r="C618" s="2088"/>
      <c r="D618" s="584" t="s">
        <v>1688</v>
      </c>
      <c r="E618" s="584" t="s">
        <v>3</v>
      </c>
      <c r="F618" s="1632">
        <f t="shared" si="90"/>
        <v>2.3000000000000003</v>
      </c>
      <c r="G618" s="585">
        <f t="shared" si="91"/>
        <v>72.542967059728369</v>
      </c>
      <c r="H618" s="1136"/>
      <c r="I618" s="1179" t="s">
        <v>263</v>
      </c>
      <c r="J618" s="1136"/>
      <c r="K618" s="584"/>
      <c r="L618" s="584"/>
      <c r="M618" s="814" t="s">
        <v>263</v>
      </c>
      <c r="N618" s="814" t="s">
        <v>263</v>
      </c>
      <c r="O618" s="1179" t="str">
        <f t="shared" si="89"/>
        <v>N/A</v>
      </c>
      <c r="P618" s="1582" t="s">
        <v>1552</v>
      </c>
      <c r="Q618" s="1179">
        <f>IF($E618="Logistics",VLOOKUP($P618,'Lower Cask Movement &amp; Logistics'!$C$4:$D$53,2,FALSE),"N/A")</f>
        <v>2.3000000000000003</v>
      </c>
      <c r="R618" s="3378"/>
      <c r="S618" s="3478" t="str">
        <f>IFERROR(VLOOKUP($R618,'LowerCask Recovery Dependencies'!$C$450:$F$523,4,FALSE),"N/A")</f>
        <v>N/A</v>
      </c>
      <c r="T618" s="3469" t="str">
        <f t="shared" si="92"/>
        <v>N/A</v>
      </c>
      <c r="U618" s="2424"/>
      <c r="V618" s="2424"/>
      <c r="W618" s="2424"/>
      <c r="X618" s="2424"/>
      <c r="Y618" s="3434"/>
    </row>
    <row r="619" spans="1:25" s="8" customFormat="1" hidden="1" outlineLevel="2" x14ac:dyDescent="0.4">
      <c r="A619"/>
      <c r="B619" s="2081"/>
      <c r="C619" s="3852" t="s">
        <v>1689</v>
      </c>
      <c r="D619" s="1906" t="s">
        <v>1619</v>
      </c>
      <c r="E619" s="1907" t="s">
        <v>3</v>
      </c>
      <c r="F619" s="1739">
        <f t="shared" si="90"/>
        <v>1.9</v>
      </c>
      <c r="G619" s="1739">
        <f t="shared" si="91"/>
        <v>81.638152244913556</v>
      </c>
      <c r="H619" s="1906"/>
      <c r="I619" s="1917" t="s">
        <v>263</v>
      </c>
      <c r="J619" s="1906"/>
      <c r="K619" s="1911"/>
      <c r="L619" s="1911"/>
      <c r="M619" s="1912" t="s">
        <v>263</v>
      </c>
      <c r="N619" s="1912" t="s">
        <v>263</v>
      </c>
      <c r="O619" s="1917" t="str">
        <f t="shared" si="89"/>
        <v>N/A</v>
      </c>
      <c r="P619" s="1916" t="s">
        <v>1541</v>
      </c>
      <c r="Q619" s="1917">
        <f>IF($E619="Logistics",VLOOKUP($P619,'Lower Cask Movement &amp; Logistics'!$C$4:$D$53,2,FALSE),"N/A")</f>
        <v>1.9</v>
      </c>
      <c r="R619" s="3381" t="s">
        <v>1927</v>
      </c>
      <c r="S619" s="3486">
        <f>IFERROR(VLOOKUP($R619,'LowerCask Recovery Dependencies'!$C$450:$F$523,4,FALSE),"N/A")</f>
        <v>79.73815224491355</v>
      </c>
      <c r="T619" s="3487">
        <f t="shared" si="92"/>
        <v>-7.1951851851851814</v>
      </c>
      <c r="U619" s="2424"/>
      <c r="V619" s="2424"/>
      <c r="W619" s="2424"/>
      <c r="X619" s="2424"/>
      <c r="Y619" s="3434"/>
    </row>
    <row r="620" spans="1:25" s="8" customFormat="1" hidden="1" outlineLevel="2" x14ac:dyDescent="0.4">
      <c r="A620"/>
      <c r="B620" s="2081"/>
      <c r="C620" s="3856"/>
      <c r="D620" s="1895" t="s">
        <v>1247</v>
      </c>
      <c r="E620" s="1896" t="s">
        <v>3</v>
      </c>
      <c r="F620" s="1347">
        <f t="shared" si="90"/>
        <v>0.38</v>
      </c>
      <c r="G620" s="1347">
        <f t="shared" si="91"/>
        <v>82.018152244913551</v>
      </c>
      <c r="H620" s="1895"/>
      <c r="I620" s="1903" t="s">
        <v>263</v>
      </c>
      <c r="J620" s="1895"/>
      <c r="K620" s="1897"/>
      <c r="L620" s="1897"/>
      <c r="M620" s="1898" t="s">
        <v>263</v>
      </c>
      <c r="N620" s="1898" t="s">
        <v>263</v>
      </c>
      <c r="O620" s="1903" t="str">
        <f t="shared" si="89"/>
        <v>N/A</v>
      </c>
      <c r="P620" s="1902" t="s">
        <v>1544</v>
      </c>
      <c r="Q620" s="1903">
        <f>IF($E620="Logistics",VLOOKUP($P620,'Lower Cask Movement &amp; Logistics'!$C$4:$D$53,2,FALSE),"N/A")</f>
        <v>0.38</v>
      </c>
      <c r="R620" s="3380"/>
      <c r="S620" s="3481" t="str">
        <f>IFERROR(VLOOKUP($R620,'LowerCask Recovery Dependencies'!$C$450:$F$523,4,FALSE),"N/A")</f>
        <v>N/A</v>
      </c>
      <c r="T620" s="3482" t="str">
        <f t="shared" si="92"/>
        <v>N/A</v>
      </c>
      <c r="U620" s="2424"/>
      <c r="V620" s="2424"/>
      <c r="W620" s="2424"/>
      <c r="X620" s="2424"/>
      <c r="Y620" s="3434"/>
    </row>
    <row r="621" spans="1:25" s="8" customFormat="1" hidden="1" outlineLevel="2" x14ac:dyDescent="0.4">
      <c r="A621"/>
      <c r="B621" s="2081"/>
      <c r="C621" s="3856"/>
      <c r="D621" s="1895" t="s">
        <v>1691</v>
      </c>
      <c r="E621" s="1896" t="s">
        <v>3</v>
      </c>
      <c r="F621" s="1347">
        <f t="shared" si="90"/>
        <v>0.38</v>
      </c>
      <c r="G621" s="1347">
        <f t="shared" si="91"/>
        <v>82.398152244913547</v>
      </c>
      <c r="H621" s="1895"/>
      <c r="I621" s="1903" t="s">
        <v>263</v>
      </c>
      <c r="J621" s="1895"/>
      <c r="K621" s="1897"/>
      <c r="L621" s="1897"/>
      <c r="M621" s="1898" t="s">
        <v>263</v>
      </c>
      <c r="N621" s="1898" t="s">
        <v>263</v>
      </c>
      <c r="O621" s="1903" t="str">
        <f t="shared" si="89"/>
        <v>N/A</v>
      </c>
      <c r="P621" s="1902" t="s">
        <v>1544</v>
      </c>
      <c r="Q621" s="1903">
        <f>IF($E621="Logistics",VLOOKUP($P621,'Lower Cask Movement &amp; Logistics'!$C$4:$D$53,2,FALSE),"N/A")</f>
        <v>0.38</v>
      </c>
      <c r="R621" s="3380"/>
      <c r="S621" s="3481" t="str">
        <f>IFERROR(VLOOKUP($R621,'LowerCask Recovery Dependencies'!$C$450:$F$523,4,FALSE),"N/A")</f>
        <v>N/A</v>
      </c>
      <c r="T621" s="3482" t="str">
        <f t="shared" si="92"/>
        <v>N/A</v>
      </c>
      <c r="U621" s="2424"/>
      <c r="V621" s="2424"/>
      <c r="W621" s="2424"/>
      <c r="X621" s="2424"/>
      <c r="Y621" s="3434"/>
    </row>
    <row r="622" spans="1:25" s="8" customFormat="1" hidden="1" outlineLevel="2" x14ac:dyDescent="0.4">
      <c r="A622"/>
      <c r="B622" s="2081"/>
      <c r="C622" s="3856"/>
      <c r="D622" s="860" t="s">
        <v>1692</v>
      </c>
      <c r="E622" s="2099" t="s">
        <v>251</v>
      </c>
      <c r="F622" s="1292">
        <f t="shared" si="90"/>
        <v>7.8621484536495476</v>
      </c>
      <c r="G622" s="1292">
        <f t="shared" si="91"/>
        <v>90.2603006985631</v>
      </c>
      <c r="H622" s="2041" t="s">
        <v>1919</v>
      </c>
      <c r="I622" s="2042">
        <v>7.8621484536495476</v>
      </c>
      <c r="J622" s="2041"/>
      <c r="K622" s="860"/>
      <c r="L622" s="860"/>
      <c r="M622" s="865" t="s">
        <v>263</v>
      </c>
      <c r="N622" s="865" t="s">
        <v>263</v>
      </c>
      <c r="O622" s="2042" t="str">
        <f t="shared" si="89"/>
        <v>N/A</v>
      </c>
      <c r="P622" s="1725"/>
      <c r="Q622" s="2042" t="str">
        <f>IF($E622="Logistics",VLOOKUP($P622,'Lower Cask Movement &amp; Logistics'!$C$4:$D$53,2,FALSE),"N/A")</f>
        <v>N/A</v>
      </c>
      <c r="R622" s="3414"/>
      <c r="S622" s="3523" t="str">
        <f>IFERROR(VLOOKUP($R622,'LowerCask Recovery Dependencies'!$C$450:$F$523,4,FALSE),"N/A")</f>
        <v>N/A</v>
      </c>
      <c r="T622" s="3524" t="str">
        <f t="shared" si="92"/>
        <v>N/A</v>
      </c>
      <c r="U622" s="2424"/>
      <c r="V622" s="2424"/>
      <c r="W622" s="2424"/>
      <c r="X622" s="2424"/>
      <c r="Y622" s="3434"/>
    </row>
    <row r="623" spans="1:25" s="8" customFormat="1" ht="15" hidden="1" outlineLevel="2" thickBot="1" x14ac:dyDescent="0.45">
      <c r="A623"/>
      <c r="B623" s="2081"/>
      <c r="C623" s="3853"/>
      <c r="D623" s="843" t="s">
        <v>1599</v>
      </c>
      <c r="E623" s="2100" t="s">
        <v>3</v>
      </c>
      <c r="F623" s="2043">
        <f t="shared" si="90"/>
        <v>0.38</v>
      </c>
      <c r="G623" s="2043">
        <f t="shared" si="91"/>
        <v>90.640300698563095</v>
      </c>
      <c r="H623" s="843"/>
      <c r="I623" s="2101" t="s">
        <v>263</v>
      </c>
      <c r="J623" s="843"/>
      <c r="K623" s="2102"/>
      <c r="L623" s="2102"/>
      <c r="M623" s="2103" t="s">
        <v>263</v>
      </c>
      <c r="N623" s="2103" t="s">
        <v>263</v>
      </c>
      <c r="O623" s="2101" t="str">
        <f t="shared" si="89"/>
        <v>N/A</v>
      </c>
      <c r="P623" s="2104" t="s">
        <v>1546</v>
      </c>
      <c r="Q623" s="2101">
        <f>IF($E623="Logistics",VLOOKUP($P623,'Lower Cask Movement &amp; Logistics'!$C$4:$D$53,2,FALSE),"N/A")</f>
        <v>0.38</v>
      </c>
      <c r="R623" s="3424"/>
      <c r="S623" s="3538" t="str">
        <f>IFERROR(VLOOKUP($R623,'LowerCask Recovery Dependencies'!$C$385:$F$447,4,FALSE),"N/A")</f>
        <v>N/A</v>
      </c>
      <c r="T623" s="3539" t="str">
        <f t="shared" si="92"/>
        <v>N/A</v>
      </c>
      <c r="U623" s="2424"/>
      <c r="V623" s="2424"/>
      <c r="W623" s="2424"/>
      <c r="X623" s="2424"/>
      <c r="Y623" s="3434"/>
    </row>
    <row r="624" spans="1:25" s="8" customFormat="1" hidden="1" outlineLevel="1" x14ac:dyDescent="0.4">
      <c r="A624"/>
      <c r="B624" s="2081"/>
      <c r="C624" s="689"/>
      <c r="D624" s="892"/>
      <c r="E624" s="1439" t="s">
        <v>11</v>
      </c>
      <c r="F624" s="1439"/>
      <c r="G624" s="894">
        <f>G623</f>
        <v>90.640300698563095</v>
      </c>
      <c r="H624" s="94"/>
      <c r="I624" s="895"/>
      <c r="J624" s="94"/>
      <c r="K624" s="94"/>
      <c r="L624" s="896"/>
      <c r="M624" s="897"/>
      <c r="N624" s="897"/>
      <c r="O624" s="894"/>
      <c r="P624" s="94"/>
      <c r="Q624" s="897"/>
      <c r="R624" s="3383"/>
      <c r="S624" s="3489"/>
      <c r="T624" s="3489"/>
      <c r="U624" s="2424"/>
      <c r="V624" s="2424"/>
      <c r="W624" s="2424"/>
      <c r="X624" s="2424"/>
      <c r="Y624" s="3434"/>
    </row>
    <row r="625" spans="1:28" s="8" customFormat="1" hidden="1" outlineLevel="1" x14ac:dyDescent="0.4">
      <c r="A625"/>
      <c r="B625" s="2081"/>
      <c r="C625" s="689"/>
      <c r="D625" s="892"/>
      <c r="E625" s="688"/>
      <c r="F625"/>
      <c r="G625"/>
      <c r="H625" s="89"/>
      <c r="I625" s="177"/>
      <c r="J625"/>
      <c r="K625"/>
      <c r="L625" s="689"/>
      <c r="M625"/>
      <c r="N625"/>
      <c r="O625"/>
      <c r="P625"/>
      <c r="Q625"/>
      <c r="R625" s="3360"/>
      <c r="S625" s="2424"/>
      <c r="T625" s="2424"/>
      <c r="U625" s="2424"/>
      <c r="V625" s="2424"/>
      <c r="W625" s="2424"/>
      <c r="X625" s="2424"/>
      <c r="Y625" s="2424"/>
      <c r="Z625"/>
      <c r="AA625"/>
      <c r="AB625"/>
    </row>
    <row r="626" spans="1:28" s="8" customFormat="1" collapsed="1" x14ac:dyDescent="0.4">
      <c r="A626"/>
      <c r="B626" s="2082"/>
      <c r="C626" s="2083"/>
      <c r="D626" s="2084"/>
      <c r="E626" s="2084"/>
      <c r="F626" s="2084"/>
      <c r="G626" s="2084"/>
      <c r="H626" s="2084"/>
      <c r="I626" s="2084"/>
      <c r="J626" s="2084"/>
      <c r="K626" s="2084"/>
      <c r="L626" s="2084"/>
      <c r="M626" s="2084"/>
      <c r="N626" s="2084"/>
      <c r="O626" s="2084"/>
      <c r="P626" s="2084"/>
      <c r="Q626" s="2084"/>
      <c r="R626" s="3422"/>
      <c r="S626" s="3536"/>
      <c r="T626" s="3536"/>
      <c r="U626" s="3536"/>
      <c r="V626" s="3536"/>
      <c r="W626" s="3536"/>
      <c r="X626" s="3536"/>
      <c r="Y626" s="2424"/>
      <c r="Z626"/>
      <c r="AA626"/>
      <c r="AB626"/>
    </row>
  </sheetData>
  <customSheetViews>
    <customSheetView guid="{9C0AA20B-B2A2-4A2C-B279-4A5988F4E71A}" scale="70" hiddenRows="1" hiddenColumns="1" state="hidden">
      <selection activeCell="C253" sqref="C253:C257"/>
      <pageMargins left="0.7" right="0.7" top="0.75" bottom="0.75" header="0.3" footer="0.3"/>
      <pageSetup paperSize="9" orientation="portrait" verticalDpi="0" r:id="rId1"/>
    </customSheetView>
  </customSheetViews>
  <mergeCells count="64">
    <mergeCell ref="C542:C546"/>
    <mergeCell ref="C547:C551"/>
    <mergeCell ref="C552:C559"/>
    <mergeCell ref="C619:C623"/>
    <mergeCell ref="T200:X200"/>
    <mergeCell ref="T265:X265"/>
    <mergeCell ref="T320:X320"/>
    <mergeCell ref="T358:X358"/>
    <mergeCell ref="T389:X389"/>
    <mergeCell ref="T419:X419"/>
    <mergeCell ref="T496:X496"/>
    <mergeCell ref="T567:X567"/>
    <mergeCell ref="C537:C541"/>
    <mergeCell ref="C458:C462"/>
    <mergeCell ref="C463:C467"/>
    <mergeCell ref="C468:C472"/>
    <mergeCell ref="C527:C531"/>
    <mergeCell ref="C532:C536"/>
    <mergeCell ref="C407:C411"/>
    <mergeCell ref="C434:C436"/>
    <mergeCell ref="C437:C444"/>
    <mergeCell ref="C445:C452"/>
    <mergeCell ref="C453:C457"/>
    <mergeCell ref="C473:C477"/>
    <mergeCell ref="C478:C488"/>
    <mergeCell ref="C511:C513"/>
    <mergeCell ref="C514:C518"/>
    <mergeCell ref="C519:C526"/>
    <mergeCell ref="C404:C406"/>
    <mergeCell ref="C306:C312"/>
    <mergeCell ref="C335:C336"/>
    <mergeCell ref="C337:C339"/>
    <mergeCell ref="C340:C344"/>
    <mergeCell ref="C345:C350"/>
    <mergeCell ref="C373:C374"/>
    <mergeCell ref="C375:C377"/>
    <mergeCell ref="C378:C381"/>
    <mergeCell ref="C299:C305"/>
    <mergeCell ref="C215:C218"/>
    <mergeCell ref="C219:C226"/>
    <mergeCell ref="C227:C235"/>
    <mergeCell ref="C236:C242"/>
    <mergeCell ref="C243:C252"/>
    <mergeCell ref="C253:C257"/>
    <mergeCell ref="C280:C281"/>
    <mergeCell ref="C282:C284"/>
    <mergeCell ref="C285:C289"/>
    <mergeCell ref="C290:C298"/>
    <mergeCell ref="C150:C158"/>
    <mergeCell ref="C159:C167"/>
    <mergeCell ref="C168:C174"/>
    <mergeCell ref="C175:C184"/>
    <mergeCell ref="C185:C192"/>
    <mergeCell ref="C86:C92"/>
    <mergeCell ref="C93:C102"/>
    <mergeCell ref="C103:C119"/>
    <mergeCell ref="C142:C143"/>
    <mergeCell ref="C144:C149"/>
    <mergeCell ref="E20:I20"/>
    <mergeCell ref="C77:C85"/>
    <mergeCell ref="C53:C54"/>
    <mergeCell ref="C55:C56"/>
    <mergeCell ref="C57:C67"/>
    <mergeCell ref="C68:C76"/>
  </mergeCells>
  <conditionalFormatting sqref="T1:T37 T49:T126 T138:T199 T211:T264 T276:T319 U321:U322 T331:T357 T369:T388 T400:T418 U420 T430:T495 U497 T507:T566 T578:T1048576 U568 U201:U207 U38:U45 U127:U134 U266:U267 U269:U272 U324:U327 U359:U365 U390:U396 U422:U426 U499:U503 U570:U574">
    <cfRule type="cellIs" dxfId="3942" priority="14" stopIfTrue="1" operator="lessThan">
      <formula>0</formula>
    </cfRule>
  </conditionalFormatting>
  <conditionalFormatting sqref="I1:I19 O1:O1048576 Q1:Q1048576 I21:I1048576 S1:T37 X1:X37 S49:T126 X49:X126 S138:T199 X138:X199 S211:T264 X211:X264 S276:T319 X276:X319 S321:U322 S331:T357 X331:X357 S369:T388 X369:X388 S400:T418 X400:X418 S420:U420 S430:T495 X430:X495 S497:U497 S507:T566 S578:T1048576 X507:X566 X578:X1048576 S568:U568 S201:U207 S38:U45 S127:U134 S266:U267 S269:U272 S324:U327 S359:U365 S390:U396 S422:U426 S499:U503 S570:U574 S200 S265 S320 S358 S389 S419 S496 S567">
    <cfRule type="cellIs" dxfId="3941" priority="12" stopIfTrue="1" operator="equal">
      <formula>"N/A"</formula>
    </cfRule>
  </conditionalFormatting>
  <conditionalFormatting sqref="E1:E1048576">
    <cfRule type="cellIs" dxfId="3940" priority="11" operator="equal">
      <formula>"Operation"</formula>
    </cfRule>
    <cfRule type="cellIs" dxfId="3939" priority="13" stopIfTrue="1" operator="equal">
      <formula>"Total"</formula>
    </cfRule>
  </conditionalFormatting>
  <conditionalFormatting sqref="U569">
    <cfRule type="cellIs" dxfId="3938" priority="9" stopIfTrue="1" operator="lessThan">
      <formula>0</formula>
    </cfRule>
  </conditionalFormatting>
  <conditionalFormatting sqref="S569:U569">
    <cfRule type="cellIs" dxfId="3937" priority="10" stopIfTrue="1" operator="equal">
      <formula>"N/A"</formula>
    </cfRule>
  </conditionalFormatting>
  <conditionalFormatting sqref="U498">
    <cfRule type="cellIs" dxfId="3936" priority="7" stopIfTrue="1" operator="lessThan">
      <formula>0</formula>
    </cfRule>
  </conditionalFormatting>
  <conditionalFormatting sqref="S498:U498">
    <cfRule type="cellIs" dxfId="3935" priority="8" stopIfTrue="1" operator="equal">
      <formula>"N/A"</formula>
    </cfRule>
  </conditionalFormatting>
  <conditionalFormatting sqref="U421">
    <cfRule type="cellIs" dxfId="3934" priority="5" stopIfTrue="1" operator="lessThan">
      <formula>0</formula>
    </cfRule>
  </conditionalFormatting>
  <conditionalFormatting sqref="S421:U421">
    <cfRule type="cellIs" dxfId="3933" priority="6" stopIfTrue="1" operator="equal">
      <formula>"N/A"</formula>
    </cfRule>
  </conditionalFormatting>
  <conditionalFormatting sqref="U268">
    <cfRule type="cellIs" dxfId="3932" priority="4" stopIfTrue="1" operator="lessThan">
      <formula>0</formula>
    </cfRule>
  </conditionalFormatting>
  <conditionalFormatting sqref="S268:U268">
    <cfRule type="cellIs" dxfId="3931" priority="3" stopIfTrue="1" operator="equal">
      <formula>"N/A"</formula>
    </cfRule>
  </conditionalFormatting>
  <conditionalFormatting sqref="U323">
    <cfRule type="cellIs" dxfId="3930" priority="2" stopIfTrue="1" operator="lessThan">
      <formula>0</formula>
    </cfRule>
  </conditionalFormatting>
  <conditionalFormatting sqref="S323:U323">
    <cfRule type="cellIs" dxfId="3929" priority="1" stopIfTrue="1" operator="equal">
      <formula>"N/A"</formula>
    </cfRule>
  </conditionalFormatting>
  <dataValidations disablePrompts="1" count="1">
    <dataValidation type="list" allowBlank="1" showInputMessage="1" showErrorMessage="1" sqref="AMV1:AMV50 AMI51:AMI120 AWR1:AWR50 AWE51:AWE120 BGN1:BGN50 BGA51:BGA120 BQJ1:BQJ50 BPW51:BPW120 CAF1:CAF50 BZS51:BZS120 CKB1:CKB50 CJO51:CJO120 CTX1:CTX50 CTK51:CTK120 DDT1:DDT50 DDG51:DDG120 DNP1:DNP50 DNC51:DNC120 DXL1:DXL50 DWY51:DWY120 EHH1:EHH50 EGU51:EGU120 ERD1:ERD50 EQQ51:EQQ120 FAZ1:FAZ50 FAM51:FAM120 FKV1:FKV50 FKI51:FKI120 FUR1:FUR50 FUE51:FUE120 GEN1:GEN50 GEA51:GEA120 GOJ1:GOJ50 GNW51:GNW120 GYF1:GYF50 GXS51:GXS120 HIB1:HIB50 HHO51:HHO120 HRX1:HRX50 HRK51:HRK120 IBT1:IBT50 IBG51:IBG120 ILP1:ILP50 ILC51:ILC120 IVL1:IVL50 IUY51:IUY120 JFH1:JFH50 JEU51:JEU120 JPD1:JPD50 JOQ51:JOQ120 JYZ1:JYZ50 JYM51:JYM120 KIV1:KIV50 KII51:KII120 KSR1:KSR50 KSE51:KSE120 LCN1:LCN50 LCA51:LCA120 LMJ1:LMJ50 LLW51:LLW120 LWF1:LWF50 LVS51:LVS120 MGB1:MGB50 MFO51:MFO120 MPX1:MPX50 MPK51:MPK120 MZT1:MZT50 MZG51:MZG120 NJP1:NJP50 NJC51:NJC120 NTL1:NTL50 NSY51:NSY120 ODH1:ODH50 OCU51:OCU120 OND1:OND50 OMQ51:OMQ120 OWZ1:OWZ50 OWM51:OWM120 PGV1:PGV50 PGI51:PGI120 PQR1:PQR50 PQE51:PQE120 QAN1:QAN50 QAA51:QAA120 QKJ1:QKJ50 QJW51:QJW120 QUF1:QUF50 QTS51:QTS120 REB1:REB50 RDO51:RDO120 RNX1:RNX50 RNK51:RNK120 RXT1:RXT50 RXG51:RXG120 SHP1:SHP50 SHC51:SHC120 SRL1:SRL50 SQY51:SQY120 TBH1:TBH50 TAU51:TAU120 TLD1:TLD50 TKQ51:TKQ120 TUZ1:TUZ50 TUM51:TUM120 UEV1:UEV50 UEI51:UEI120 UOR1:UOR50 UOE51:UOE120 UYN1:UYN50 UYA51:UYA120 VIJ1:VIJ50 VHW51:VHW120 VSF1:VSF50 VRS51:VRS120 WCB1:WCB50 WBO51:WBO120 WLX1:WLX50 WLK51:WLK120 WVT1:WVT50 WVG51:WVG120 JH1:JH50 IU51:IU120 TD1:TD50 SQ51:SQ120 ACZ1:ACZ50 ACM51:ACM120 AMQ140:AMQ193 AMV121:AMV139 ACU140:ACU193 ACZ121:ACZ139 SY140:SY193 TD121:TD139 JC140:JC193 JH121:JH139 WVO140:WVO193 WVT121:WVT139 WLS140:WLS193 WLX121:WLX139 WBW140:WBW193 WCB121:WCB139 VSA140:VSA193 VSF121:VSF139 VIE140:VIE193 VIJ121:VIJ139 UYI140:UYI193 UYN121:UYN139 UOM140:UOM193 UOR121:UOR139 UEQ140:UEQ193 UEV121:UEV139 TUU140:TUU193 TUZ121:TUZ139 TKY140:TKY193 TLD121:TLD139 TBC140:TBC193 TBH121:TBH139 SRG140:SRG193 SRL121:SRL139 SHK140:SHK193 SHP121:SHP139 RXO140:RXO193 RXT121:RXT139 RNS140:RNS193 RNX121:RNX139 RDW140:RDW193 REB121:REB139 QUA140:QUA193 QUF121:QUF139 QKE140:QKE193 QKJ121:QKJ139 QAI140:QAI193 QAN121:QAN139 PQM140:PQM193 PQR121:PQR139 PGQ140:PGQ193 PGV121:PGV139 OWU140:OWU193 OWZ121:OWZ139 OMY140:OMY193 OND121:OND139 ODC140:ODC193 ODH121:ODH139 NTG140:NTG193 NTL121:NTL139 NJK140:NJK193 NJP121:NJP139 MZO140:MZO193 MZT121:MZT139 MPS140:MPS193 MPX121:MPX139 MFW140:MFW193 MGB121:MGB139 LWA140:LWA193 LWF121:LWF139 LME140:LME193 LMJ121:LMJ139 LCI140:LCI193 LCN121:LCN139 KSM140:KSM193 KSR121:KSR139 KIQ140:KIQ193 KIV121:KIV139 JYU140:JYU193 JYZ121:JYZ139 JOY140:JOY193 JPD121:JPD139 JFC140:JFC193 JFH121:JFH139 IVG140:IVG193 IVL121:IVL139 ILK140:ILK193 ILP121:ILP139 IBO140:IBO193 IBT121:IBT139 HRS140:HRS193 HRX121:HRX139 HHW140:HHW193 HIB121:HIB139 GYA140:GYA193 GYF121:GYF139 GOE140:GOE193 GOJ121:GOJ139 GEI140:GEI193 GEN121:GEN139 FUM140:FUM193 FUR121:FUR139 FKQ140:FKQ193 FKV121:FKV139 FAU140:FAU193 FAZ121:FAZ139 EQY140:EQY193 ERD121:ERD139 EHC140:EHC193 EHH121:EHH139 DXG140:DXG193 DXL121:DXL139 DNK140:DNK193 DNP121:DNP139 DDO140:DDO193 DDT121:DDT139 CTS140:CTS193 CTX121:CTX139 CJW140:CJW193 CKB121:CKB139 CAA140:CAA193 CAF121:CAF139 BQE140:BQE193 BQJ121:BQJ139 BGI140:BGI193 BGN121:BGN139 AWM140:AWM193 AWR121:AWR139 AWN213:AWN258 AWR194:AWR212 BGJ213:BGJ258 BGN194:BGN212 BQF213:BQF258 BQJ194:BQJ212 CAB213:CAB258 CAF194:CAF212 CJX213:CJX258 CKB194:CKB212 CTT213:CTT258 CTX194:CTX212 DDP213:DDP258 DDT194:DDT212 DNL213:DNL258 DNP194:DNP212 DXH213:DXH258 DXL194:DXL212 EHD213:EHD258 EHH194:EHH212 EQZ213:EQZ258 ERD194:ERD212 FAV213:FAV258 FAZ194:FAZ212 FKR213:FKR258 FKV194:FKV212 FUN213:FUN258 FUR194:FUR212 GEJ213:GEJ258 GEN194:GEN212 GOF213:GOF258 GOJ194:GOJ212 GYB213:GYB258 GYF194:GYF212 HHX213:HHX258 HIB194:HIB212 HRT213:HRT258 HRX194:HRX212 IBP213:IBP258 IBT194:IBT212 ILL213:ILL258 ILP194:ILP212 IVH213:IVH258 IVL194:IVL212 JFD213:JFD258 JFH194:JFH212 JOZ213:JOZ258 JPD194:JPD212 JYV213:JYV258 JYZ194:JYZ212 KIR213:KIR258 KIV194:KIV212 KSN213:KSN258 KSR194:KSR212 LCJ213:LCJ258 LCN194:LCN212 LMF213:LMF258 LMJ194:LMJ212 LWB213:LWB258 LWF194:LWF212 MFX213:MFX258 MGB194:MGB212 MPT213:MPT258 MPX194:MPX212 MZP213:MZP258 MZT194:MZT212 NJL213:NJL258 NJP194:NJP212 NTH213:NTH258 NTL194:NTL212 ODD213:ODD258 ODH194:ODH212 OMZ213:OMZ258 OND194:OND212 OWV213:OWV258 OWZ194:OWZ212 PGR213:PGR258 PGV194:PGV212 PQN213:PQN258 PQR194:PQR212 QAJ213:QAJ258 QAN194:QAN212 QKF213:QKF258 QKJ194:QKJ212 QUB213:QUB258 QUF194:QUF212 RDX213:RDX258 REB194:REB212 RNT213:RNT258 RNX194:RNX212 RXP213:RXP258 RXT194:RXT212 SHL213:SHL258 SHP194:SHP212 SRH213:SRH258 SRL194:SRL212 TBD213:TBD258 TBH194:TBH212 TKZ213:TKZ258 TLD194:TLD212 TUV213:TUV258 TUZ194:TUZ212 UER213:UER258 UEV194:UEV212 UON213:UON258 UOR194:UOR212 UYJ213:UYJ258 UYN194:UYN212 VIF213:VIF258 VIJ194:VIJ212 VSB213:VSB258 VSF194:VSF212 WBX213:WBX258 WCB194:WCB212 WLT213:WLT258 WLX194:WLX212 WVP213:WVP258 WVT194:WVT212 JD213:JD258 JH194:JH212 SZ213:SZ258 TD194:TD212 ACV213:ACV258 ACZ194:ACZ212 AMR213:AMR258 AMV194:AMV212 AMR277:AMR313 AMV259:AMV276 ACV277:ACV313 ACZ259:ACZ276 SZ277:SZ313 TD259:TD276 JD277:JD313 JH259:JH276 WVP277:WVP313 WVT259:WVT276 WLT277:WLT313 WLX259:WLX276 WBX277:WBX313 WCB259:WCB276 VSB277:VSB313 VSF259:VSF276 VIF277:VIF313 VIJ259:VIJ276 UYJ277:UYJ313 UYN259:UYN276 UON277:UON313 UOR259:UOR276 UER277:UER313 UEV259:UEV276 TUV277:TUV313 TUZ259:TUZ276 TKZ277:TKZ313 TLD259:TLD276 TBD277:TBD313 TBH259:TBH276 SRH277:SRH313 SRL259:SRL276 SHL277:SHL313 SHP259:SHP276 RXP277:RXP313 RXT259:RXT276 RNT277:RNT313 RNX259:RNX276 RDX277:RDX313 REB259:REB276 QUB277:QUB313 QUF259:QUF276 QKF277:QKF313 QKJ259:QKJ276 QAJ277:QAJ313 QAN259:QAN276 PQN277:PQN313 PQR259:PQR276 PGR277:PGR313 PGV259:PGV276 OWV277:OWV313 OWZ259:OWZ276 OMZ277:OMZ313 OND259:OND276 ODD277:ODD313 ODH259:ODH276 NTH277:NTH313 NTL259:NTL276 NJL277:NJL313 NJP259:NJP276 MZP277:MZP313 MZT259:MZT276 MPT277:MPT313 MPX259:MPX276 MFX277:MFX313 MGB259:MGB276 LWB277:LWB313 LWF259:LWF276 LMF277:LMF313 LMJ259:LMJ276 LCJ277:LCJ313 LCN259:LCN276 KSN277:KSN313 KSR259:KSR276 KIR277:KIR313 KIV259:KIV276 JYV277:JYV313 JYZ259:JYZ276 JOZ277:JOZ313 JPD259:JPD276 JFD277:JFD313 JFH259:JFH276 IVH277:IVH313 IVL259:IVL276 ILL277:ILL313 ILP259:ILP276 IBP277:IBP313 IBT259:IBT276 HRT277:HRT313 HRX259:HRX276 HHX277:HHX313 HIB259:HIB276 GYB277:GYB313 GYF259:GYF276 GOF277:GOF313 GOJ259:GOJ276 GEJ277:GEJ313 GEN259:GEN276 FUN277:FUN313 FUR259:FUR276 FKR277:FKR313 FKV259:FKV276 FAV277:FAV313 FAZ259:FAZ276 EQZ277:EQZ313 ERD259:ERD276 EHD277:EHD313 EHH259:EHH276 DXH277:DXH313 DXL259:DXL276 DNL277:DNL313 DNP259:DNP276 DDP277:DDP313 DDT259:DDT276 CTT277:CTT313 CTX259:CTX276 CJX277:CJX313 CKB259:CKB276 CAB277:CAB313 CAF259:CAF276 BQF277:BQF313 BQJ259:BQJ276 BGJ277:BGJ313 BGN259:BGN276 AWN277:AWN313 AWR259:AWR276 AWN332:AWN351 AWR314:AWR331 BGJ332:BGJ351 BGN314:BGN331 BQF332:BQF351 BQJ314:BQJ331 CAB332:CAB351 CAF314:CAF331 CJX332:CJX351 CKB314:CKB331 CTT332:CTT351 CTX314:CTX331 DDP332:DDP351 DDT314:DDT331 DNL332:DNL351 DNP314:DNP331 DXH332:DXH351 DXL314:DXL331 EHD332:EHD351 EHH314:EHH331 EQZ332:EQZ351 ERD314:ERD331 FAV332:FAV351 FAZ314:FAZ331 FKR332:FKR351 FKV314:FKV331 FUN332:FUN351 FUR314:FUR331 GEJ332:GEJ351 GEN314:GEN331 GOF332:GOF351 GOJ314:GOJ331 GYB332:GYB351 GYF314:GYF331 HHX332:HHX351 HIB314:HIB331 HRT332:HRT351 HRX314:HRX331 IBP332:IBP351 IBT314:IBT331 ILL332:ILL351 ILP314:ILP331 IVH332:IVH351 IVL314:IVL331 JFD332:JFD351 JFH314:JFH331 JOZ332:JOZ351 JPD314:JPD331 JYV332:JYV351 JYZ314:JYZ331 KIR332:KIR351 KIV314:KIV331 KSN332:KSN351 KSR314:KSR331 LCJ332:LCJ351 LCN314:LCN331 LMF332:LMF351 LMJ314:LMJ331 LWB332:LWB351 LWF314:LWF331 MFX332:MFX351 MGB314:MGB331 MPT332:MPT351 MPX314:MPX331 MZP332:MZP351 MZT314:MZT331 NJL332:NJL351 NJP314:NJP331 NTH332:NTH351 NTL314:NTL331 ODD332:ODD351 ODH314:ODH331 OMZ332:OMZ351 OND314:OND331 OWV332:OWV351 OWZ314:OWZ331 PGR332:PGR351 PGV314:PGV331 PQN332:PQN351 PQR314:PQR331 QAJ332:QAJ351 QAN314:QAN331 QKF332:QKF351 QKJ314:QKJ331 QUB332:QUB351 QUF314:QUF331 RDX332:RDX351 REB314:REB331 RNT332:RNT351 RNX314:RNX331 RXP332:RXP351 RXT314:RXT331 SHL332:SHL351 SHP314:SHP331 SRH332:SRH351 SRL314:SRL331 TBD332:TBD351 TBH314:TBH331 TKZ332:TKZ351 TLD314:TLD331 TUV332:TUV351 TUZ314:TUZ331 UER332:UER351 UEV314:UEV331 UON332:UON351 UOR314:UOR331 UYJ332:UYJ351 UYN314:UYN331 VIF332:VIF351 VIJ314:VIJ331 VSB332:VSB351 VSF314:VSF331 WBX332:WBX351 WCB314:WCB331 WLT332:WLT351 WLX314:WLX331 WVP332:WVP351 WVT314:WVT331 JD332:JD351 JH314:JH331 SZ332:SZ351 TD314:TD331 ACV332:ACV351 ACZ314:ACZ331 AMR332:AMR351 AMV314:AMV331 AMQ371:AMQ382 AMV352:AMV370 ACU371:ACU382 ACZ352:ACZ370 SY371:SY382 TD352:TD370 JC371:JC382 JH352:JH370 WVO371:WVO382 WVT352:WVT370 WLS371:WLS382 WLX352:WLX370 WBW371:WBW382 WCB352:WCB370 VSA371:VSA382 VSF352:VSF370 VIE371:VIE382 VIJ352:VIJ370 UYI371:UYI382 UYN352:UYN370 UOM371:UOM382 UOR352:UOR370 UEQ371:UEQ382 UEV352:UEV370 TUU371:TUU382 TUZ352:TUZ370 TKY371:TKY382 TLD352:TLD370 TBC371:TBC382 TBH352:TBH370 SRG371:SRG382 SRL352:SRL370 SHK371:SHK382 SHP352:SHP370 RXO371:RXO382 RXT352:RXT370 RNS371:RNS382 RNX352:RNX370 RDW371:RDW382 REB352:REB370 QUA371:QUA382 QUF352:QUF370 QKE371:QKE382 QKJ352:QKJ370 QAI371:QAI382 QAN352:QAN370 PQM371:PQM382 PQR352:PQR370 PGQ371:PGQ382 PGV352:PGV370 OWU371:OWU382 OWZ352:OWZ370 OMY371:OMY382 OND352:OND370 ODC371:ODC382 ODH352:ODH370 NTG371:NTG382 NTL352:NTL370 NJK371:NJK382 NJP352:NJP370 MZO371:MZO382 MZT352:MZT370 MPS371:MPS382 MPX352:MPX370 MFW371:MFW382 MGB352:MGB370 LWA371:LWA382 LWF352:LWF370 LME371:LME382 LMJ352:LMJ370 LCI371:LCI382 LCN352:LCN370 KSM371:KSM382 KSR352:KSR370 KIQ371:KIQ382 KIV352:KIV370 JYU371:JYU382 JYZ352:JYZ370 JOY371:JOY382 JPD352:JPD370 JFC371:JFC382 JFH352:JFH370 IVG371:IVG382 IVL352:IVL370 ILK371:ILK382 ILP352:ILP370 IBO371:IBO382 IBT352:IBT370 HRS371:HRS382 HRX352:HRX370 HHW371:HHW382 HIB352:HIB370 GYA371:GYA382 GYF352:GYF370 GOE371:GOE382 GOJ352:GOJ370 GEI371:GEI382 GEN352:GEN370 FUM371:FUM382 FUR352:FUR370 FKQ371:FKQ382 FKV352:FKV370 FAU371:FAU382 FAZ352:FAZ370 EQY371:EQY382 ERD352:ERD370 EHC371:EHC382 EHH352:EHH370 DXG371:DXG382 DXL352:DXL370 DNK371:DNK382 DNP352:DNP370 DDO371:DDO382 DDT352:DDT370 CTS371:CTS382 CTX352:CTX370 CJW371:CJW382 CKB352:CKB370 CAA371:CAA382 CAF352:CAF370 BQE371:BQE382 BQJ352:BQJ370 BGI371:BGI382 BGN352:BGN370 AWM371:AWM382 AWR352:AWR370 AWM402:AWM412 AWR383:AWR401 BGI402:BGI412 BGN383:BGN401 BQE402:BQE412 BQJ383:BQJ401 CAA402:CAA412 CAF383:CAF401 CJW402:CJW412 CKB383:CKB401 CTS402:CTS412 CTX383:CTX401 DDO402:DDO412 DDT383:DDT401 DNK402:DNK412 DNP383:DNP401 DXG402:DXG412 DXL383:DXL401 EHC402:EHC412 EHH383:EHH401 EQY402:EQY412 ERD383:ERD401 FAU402:FAU412 FAZ383:FAZ401 FKQ402:FKQ412 FKV383:FKV401 FUM402:FUM412 FUR383:FUR401 GEI402:GEI412 GEN383:GEN401 GOE402:GOE412 GOJ383:GOJ401 GYA402:GYA412 GYF383:GYF401 HHW402:HHW412 HIB383:HIB401 HRS402:HRS412 HRX383:HRX401 IBO402:IBO412 IBT383:IBT401 ILK402:ILK412 ILP383:ILP401 IVG402:IVG412 IVL383:IVL401 JFC402:JFC412 JFH383:JFH401 JOY402:JOY412 JPD383:JPD401 JYU402:JYU412 JYZ383:JYZ401 KIQ402:KIQ412 KIV383:KIV401 KSM402:KSM412 KSR383:KSR401 LCI402:LCI412 LCN383:LCN401 LME402:LME412 LMJ383:LMJ401 LWA402:LWA412 LWF383:LWF401 MFW402:MFW412 MGB383:MGB401 MPS402:MPS412 MPX383:MPX401 MZO402:MZO412 MZT383:MZT401 NJK402:NJK412 NJP383:NJP401 NTG402:NTG412 NTL383:NTL401 ODC402:ODC412 ODH383:ODH401 OMY402:OMY412 OND383:OND401 OWU402:OWU412 OWZ383:OWZ401 PGQ402:PGQ412 PGV383:PGV401 PQM402:PQM412 PQR383:PQR401 QAI402:QAI412 QAN383:QAN401 QKE402:QKE412 QKJ383:QKJ401 QUA402:QUA412 QUF383:QUF401 RDW402:RDW412 REB383:REB401 RNS402:RNS412 RNX383:RNX401 RXO402:RXO412 RXT383:RXT401 SHK402:SHK412 SHP383:SHP401 SRG402:SRG412 SRL383:SRL401 TBC402:TBC412 TBH383:TBH401 TKY402:TKY412 TLD383:TLD401 TUU402:TUU412 TUZ383:TUZ401 UEQ402:UEQ412 UEV383:UEV401 UOM402:UOM412 UOR383:UOR401 UYI402:UYI412 UYN383:UYN401 VIE402:VIE412 VIJ383:VIJ401 VSA402:VSA412 VSF383:VSF401 WBW402:WBW412 WCB383:WCB401 WLS402:WLS412 WLX383:WLX401 WVO402:WVO412 WVT383:WVT401 JC402:JC412 JH383:JH401 SY402:SY412 TD383:TD401 ACU402:ACU412 ACZ383:ACZ401 AMQ402:AMQ412 AMV383:AMV401 AMR432:AMR489 AMV413:AMV431 ACV432:ACV489 ACZ413:ACZ431 SZ432:SZ489 TD413:TD431 JD432:JD489 JH413:JH431 WVP432:WVP489 WVT413:WVT431 WLT432:WLT489 WLX413:WLX431 WBX432:WBX489 WCB413:WCB431 VSB432:VSB489 VSF413:VSF431 VIF432:VIF489 VIJ413:VIJ431 UYJ432:UYJ489 UYN413:UYN431 UON432:UON489 UOR413:UOR431 UER432:UER489 UEV413:UEV431 TUV432:TUV489 TUZ413:TUZ431 TKZ432:TKZ489 TLD413:TLD431 TBD432:TBD489 TBH413:TBH431 SRH432:SRH489 SRL413:SRL431 SHL432:SHL489 SHP413:SHP431 RXP432:RXP489 RXT413:RXT431 RNT432:RNT489 RNX413:RNX431 RDX432:RDX489 REB413:REB431 QUB432:QUB489 QUF413:QUF431 QKF432:QKF489 QKJ413:QKJ431 QAJ432:QAJ489 QAN413:QAN431 PQN432:PQN489 PQR413:PQR431 PGR432:PGR489 PGV413:PGV431 OWV432:OWV489 OWZ413:OWZ431 OMZ432:OMZ489 OND413:OND431 ODD432:ODD489 ODH413:ODH431 NTH432:NTH489 NTL413:NTL431 NJL432:NJL489 NJP413:NJP431 MZP432:MZP489 MZT413:MZT431 MPT432:MPT489 MPX413:MPX431 MFX432:MFX489 MGB413:MGB431 LWB432:LWB489 LWF413:LWF431 LMF432:LMF489 LMJ413:LMJ431 LCJ432:LCJ489 LCN413:LCN431 KSN432:KSN489 KSR413:KSR431 KIR432:KIR489 KIV413:KIV431 JYV432:JYV489 JYZ413:JYZ431 JOZ432:JOZ489 JPD413:JPD431 JFD432:JFD489 JFH413:JFH431 IVH432:IVH489 IVL413:IVL431 ILL432:ILL489 ILP413:ILP431 IBP432:IBP489 IBT413:IBT431 HRT432:HRT489 HRX413:HRX431 HHX432:HHX489 HIB413:HIB431 GYB432:GYB489 GYF413:GYF431 GOF432:GOF489 GOJ413:GOJ431 GEJ432:GEJ489 GEN413:GEN431 FUN432:FUN489 FUR413:FUR431 FKR432:FKR489 FKV413:FKV431 FAV432:FAV489 FAZ413:FAZ431 EQZ432:EQZ489 ERD413:ERD431 EHD432:EHD489 EHH413:EHH431 DXH432:DXH489 DXL413:DXL431 DNL432:DNL489 DNP413:DNP431 DDP432:DDP489 DDT413:DDT431 CTT432:CTT489 CTX413:CTX431 CJX432:CJX489 CKB413:CKB431 CAB432:CAB489 CAF413:CAF431 BQF432:BQF489 BQJ413:BQJ431 BGJ432:BGJ489 BGN413:BGN431 AWN432:AWN489 AWR413:AWR431 AWN509:AWN560 AWR490:AWR508 BGJ509:BGJ560 BGN490:BGN508 BQF509:BQF560 BQJ490:BQJ508 CAB509:CAB560 CAF490:CAF508 CJX509:CJX560 CKB490:CKB508 CTT509:CTT560 CTX490:CTX508 DDP509:DDP560 DDT490:DDT508 DNL509:DNL560 DNP490:DNP508 DXH509:DXH560 DXL490:DXL508 EHD509:EHD560 EHH490:EHH508 EQZ509:EQZ560 ERD490:ERD508 FAV509:FAV560 FAZ490:FAZ508 FKR509:FKR560 FKV490:FKV508 FUN509:FUN560 FUR490:FUR508 GEJ509:GEJ560 GEN490:GEN508 GOF509:GOF560 GOJ490:GOJ508 GYB509:GYB560 GYF490:GYF508 HHX509:HHX560 HIB490:HIB508 HRT509:HRT560 HRX490:HRX508 IBP509:IBP560 IBT490:IBT508 ILL509:ILL560 ILP490:ILP508 IVH509:IVH560 IVL490:IVL508 JFD509:JFD560 JFH490:JFH508 JOZ509:JOZ560 JPD490:JPD508 JYV509:JYV560 JYZ490:JYZ508 KIR509:KIR560 KIV490:KIV508 KSN509:KSN560 KSR490:KSR508 LCJ509:LCJ560 LCN490:LCN508 LMF509:LMF560 LMJ490:LMJ508 LWB509:LWB560 LWF490:LWF508 MFX509:MFX560 MGB490:MGB508 MPT509:MPT560 MPX490:MPX508 MZP509:MZP560 MZT490:MZT508 NJL509:NJL560 NJP490:NJP508 NTH509:NTH560 NTL490:NTL508 ODD509:ODD560 ODH490:ODH508 OMZ509:OMZ560 OND490:OND508 OWV509:OWV560 OWZ490:OWZ508 PGR509:PGR560 PGV490:PGV508 PQN509:PQN560 PQR490:PQR508 QAJ509:QAJ560 QAN490:QAN508 QKF509:QKF560 QKJ490:QKJ508 QUB509:QUB560 QUF490:QUF508 RDX509:RDX560 REB490:REB508 RNT509:RNT560 RNX490:RNX508 RXP509:RXP560 RXT490:RXT508 SHL509:SHL560 SHP490:SHP508 SRH509:SRH560 SRL490:SRL508 TBD509:TBD560 TBH490:TBH508 TKZ509:TKZ560 TLD490:TLD508 TUV509:TUV560 TUZ490:TUZ508 UER509:UER560 UEV490:UEV508 UON509:UON560 UOR490:UOR508 UYJ509:UYJ560 UYN490:UYN508 VIF509:VIF560 VIJ490:VIJ508 VSB509:VSB560 VSF490:VSF508 WBX509:WBX560 WCB490:WCB508 WLT509:WLT560 WLX490:WLX508 WVP509:WVP560 WVT490:WVT508 JD509:JD560 JH490:JH508 SZ509:SZ560 TD490:TD508 ACV509:ACV560 ACZ490:ACZ508 AMR509:AMR560 AMV490:AMV508 AMR579:AMR624 AMV561:AMV578 AMV625:AMV1048576 ACV579:ACV624 ACZ561:ACZ578 ACZ625:ACZ1048576 SZ579:SZ624 TD561:TD578 TD625:TD1048576 JD579:JD624 JH561:JH578 JH625:JH1048576 WVP579:WVP624 WVT561:WVT578 WVT625:WVT1048576 WLT579:WLT624 WLX561:WLX578 WLX625:WLX1048576 WBX579:WBX624 WCB561:WCB578 WCB625:WCB1048576 VSB579:VSB624 VSF561:VSF578 VSF625:VSF1048576 VIF579:VIF624 VIJ561:VIJ578 VIJ625:VIJ1048576 UYJ579:UYJ624 UYN561:UYN578 UYN625:UYN1048576 UON579:UON624 UOR561:UOR578 UOR625:UOR1048576 UER579:UER624 UEV561:UEV578 UEV625:UEV1048576 TUV579:TUV624 TUZ561:TUZ578 TUZ625:TUZ1048576 TKZ579:TKZ624 TLD561:TLD578 TLD625:TLD1048576 TBD579:TBD624 TBH561:TBH578 TBH625:TBH1048576 SRH579:SRH624 SRL561:SRL578 SRL625:SRL1048576 SHL579:SHL624 SHP561:SHP578 SHP625:SHP1048576 RXP579:RXP624 RXT561:RXT578 RXT625:RXT1048576 RNT579:RNT624 RNX561:RNX578 RNX625:RNX1048576 RDX579:RDX624 REB561:REB578 REB625:REB1048576 QUB579:QUB624 QUF561:QUF578 QUF625:QUF1048576 QKF579:QKF624 QKJ561:QKJ578 QKJ625:QKJ1048576 QAJ579:QAJ624 QAN561:QAN578 QAN625:QAN1048576 PQN579:PQN624 PQR561:PQR578 PQR625:PQR1048576 PGR579:PGR624 PGV561:PGV578 PGV625:PGV1048576 OWV579:OWV624 OWZ561:OWZ578 OWZ625:OWZ1048576 OMZ579:OMZ624 OND561:OND578 OND625:OND1048576 ODD579:ODD624 ODH561:ODH578 ODH625:ODH1048576 NTH579:NTH624 NTL561:NTL578 NTL625:NTL1048576 NJL579:NJL624 NJP561:NJP578 NJP625:NJP1048576 MZP579:MZP624 MZT561:MZT578 MZT625:MZT1048576 MPT579:MPT624 MPX561:MPX578 MPX625:MPX1048576 MFX579:MFX624 MGB561:MGB578 MGB625:MGB1048576 LWB579:LWB624 LWF561:LWF578 LWF625:LWF1048576 LMF579:LMF624 LMJ561:LMJ578 LMJ625:LMJ1048576 LCJ579:LCJ624 LCN561:LCN578 LCN625:LCN1048576 KSN579:KSN624 KSR561:KSR578 KSR625:KSR1048576 KIR579:KIR624 KIV561:KIV578 KIV625:KIV1048576 JYV579:JYV624 JYZ561:JYZ578 JYZ625:JYZ1048576 JOZ579:JOZ624 JPD561:JPD578 JPD625:JPD1048576 JFD579:JFD624 JFH561:JFH578 JFH625:JFH1048576 IVH579:IVH624 IVL561:IVL578 IVL625:IVL1048576 ILL579:ILL624 ILP561:ILP578 ILP625:ILP1048576 IBP579:IBP624 IBT561:IBT578 IBT625:IBT1048576 HRT579:HRT624 HRX561:HRX578 HRX625:HRX1048576 HHX579:HHX624 HIB561:HIB578 HIB625:HIB1048576 GYB579:GYB624 GYF561:GYF578 GYF625:GYF1048576 GOF579:GOF624 GOJ561:GOJ578 GOJ625:GOJ1048576 GEJ579:GEJ624 GEN561:GEN578 GEN625:GEN1048576 FUN579:FUN624 FUR561:FUR578 FUR625:FUR1048576 FKR579:FKR624 FKV561:FKV578 FKV625:FKV1048576 FAV579:FAV624 FAZ561:FAZ578 FAZ625:FAZ1048576 EQZ579:EQZ624 ERD561:ERD578 ERD625:ERD1048576 EHD579:EHD624 EHH561:EHH578 EHH625:EHH1048576 DXH579:DXH624 DXL561:DXL578 DXL625:DXL1048576 DNL579:DNL624 DNP561:DNP578 DNP625:DNP1048576 DDP579:DDP624 DDT561:DDT578 DDT625:DDT1048576 CTT579:CTT624 CTX561:CTX578 CTX625:CTX1048576 CJX579:CJX624 CKB561:CKB578 CKB625:CKB1048576 CAB579:CAB624 CAF561:CAF578 CAF625:CAF1048576 BQF579:BQF624 BQJ561:BQJ578 BQJ625:BQJ1048576 BGJ579:BGJ624 BGN561:BGN578 BGN625:BGN1048576 AWN579:AWN624 AWR561:AWR578 AWR625:AWR1048576">
      <formula1>#REF!</formula1>
    </dataValidation>
  </dataValidations>
  <pageMargins left="0.7" right="0.7" top="0.75" bottom="0.75" header="0.3" footer="0.3"/>
  <pageSetup paperSize="9" orientation="portrait"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39997558519241921"/>
  </sheetPr>
  <dimension ref="A1:S524"/>
  <sheetViews>
    <sheetView workbookViewId="0">
      <selection activeCell="K2" sqref="K2:M4"/>
    </sheetView>
  </sheetViews>
  <sheetFormatPr defaultColWidth="9.15234375" defaultRowHeight="12.9" outlineLevelRow="1" outlineLevelCol="1" x14ac:dyDescent="0.4"/>
  <cols>
    <col min="1" max="1" width="9.15234375" style="2735" customWidth="1"/>
    <col min="2" max="2" width="44" style="2732" customWidth="1"/>
    <col min="3" max="3" width="46" style="2735" customWidth="1"/>
    <col min="4" max="4" width="12.3828125" style="2735" customWidth="1"/>
    <col min="5" max="5" width="8.3828125" style="2735" customWidth="1"/>
    <col min="6" max="6" width="11.3828125" style="2735" customWidth="1"/>
    <col min="7" max="7" width="26.15234375" style="2735" customWidth="1" outlineLevel="1"/>
    <col min="8" max="8" width="12.3046875" style="2970" customWidth="1"/>
    <col min="9" max="9" width="24.3828125" style="2735" hidden="1" customWidth="1" outlineLevel="1"/>
    <col min="10" max="11" width="23.3046875" style="2735" hidden="1" customWidth="1" outlineLevel="1"/>
    <col min="12" max="12" width="13.3828125" style="2971" hidden="1" customWidth="1" outlineLevel="1"/>
    <col min="13" max="13" width="13.15234375" style="2971" hidden="1" customWidth="1" outlineLevel="1"/>
    <col min="14" max="14" width="10" style="2971" customWidth="1" collapsed="1"/>
    <col min="15" max="15" width="34.15234375" style="2735" hidden="1" customWidth="1" outlineLevel="1"/>
    <col min="16" max="16" width="10.3046875" style="2735" customWidth="1" collapsed="1"/>
    <col min="17" max="16384" width="9.15234375" style="2735"/>
  </cols>
  <sheetData>
    <row r="1" spans="1:19" ht="13.3" thickBot="1" x14ac:dyDescent="0.45">
      <c r="A1" s="2731"/>
      <c r="C1" s="2731"/>
      <c r="D1" s="2731"/>
      <c r="E1" s="2731"/>
      <c r="F1" s="2731"/>
      <c r="G1" s="2731"/>
      <c r="H1" s="2733"/>
      <c r="I1" s="2731"/>
      <c r="J1" s="2731"/>
      <c r="K1" s="2731"/>
      <c r="L1" s="2734"/>
      <c r="M1" s="2734"/>
      <c r="N1" s="2734"/>
      <c r="O1" s="2731"/>
      <c r="P1" s="2731"/>
    </row>
    <row r="2" spans="1:19" ht="13.3" thickBot="1" x14ac:dyDescent="0.45">
      <c r="A2" s="2731"/>
      <c r="C2" s="2731"/>
      <c r="D2" s="2731"/>
      <c r="E2" s="2731"/>
      <c r="F2" s="2731"/>
      <c r="G2" s="3869" t="s">
        <v>18</v>
      </c>
      <c r="H2" s="3870"/>
      <c r="I2" s="3869" t="s">
        <v>778</v>
      </c>
      <c r="J2" s="3871"/>
      <c r="K2" s="3871"/>
      <c r="L2" s="3871"/>
      <c r="M2" s="3871"/>
      <c r="N2" s="3871"/>
      <c r="O2" s="3869" t="s">
        <v>3</v>
      </c>
      <c r="P2" s="3870"/>
    </row>
    <row r="3" spans="1:19" ht="13.3" thickBot="1" x14ac:dyDescent="0.45">
      <c r="A3" s="2731"/>
      <c r="B3" s="2736" t="s">
        <v>780</v>
      </c>
      <c r="C3" s="2737" t="s">
        <v>781</v>
      </c>
      <c r="D3" s="2737" t="s">
        <v>782</v>
      </c>
      <c r="E3" s="2738" t="s">
        <v>783</v>
      </c>
      <c r="F3" s="2738" t="s">
        <v>769</v>
      </c>
      <c r="G3" s="2739" t="s">
        <v>785</v>
      </c>
      <c r="H3" s="2740" t="s">
        <v>783</v>
      </c>
      <c r="I3" s="2741" t="s">
        <v>786</v>
      </c>
      <c r="J3" s="2738" t="s">
        <v>787</v>
      </c>
      <c r="K3" s="2738" t="s">
        <v>788</v>
      </c>
      <c r="L3" s="2742" t="s">
        <v>789</v>
      </c>
      <c r="M3" s="2742" t="s">
        <v>790</v>
      </c>
      <c r="N3" s="2743" t="s">
        <v>783</v>
      </c>
      <c r="O3" s="2741" t="s">
        <v>785</v>
      </c>
      <c r="P3" s="2744" t="s">
        <v>783</v>
      </c>
    </row>
    <row r="4" spans="1:19" x14ac:dyDescent="0.4">
      <c r="A4" s="2745"/>
      <c r="B4" s="2746" t="s">
        <v>1935</v>
      </c>
      <c r="C4" s="2746"/>
      <c r="D4" s="2746"/>
      <c r="E4" s="2746"/>
      <c r="F4" s="2746"/>
      <c r="G4" s="2746"/>
      <c r="H4" s="2746"/>
      <c r="I4" s="2746"/>
      <c r="J4" s="2746"/>
      <c r="K4" s="2746"/>
      <c r="L4" s="2746"/>
      <c r="M4" s="2746"/>
      <c r="N4" s="2746"/>
      <c r="O4" s="2746"/>
      <c r="P4" s="2747"/>
    </row>
    <row r="5" spans="1:19" ht="13.3" outlineLevel="1" thickBot="1" x14ac:dyDescent="0.45">
      <c r="A5" s="2748"/>
      <c r="B5" s="2749"/>
      <c r="C5" s="2750"/>
      <c r="D5" s="2750"/>
      <c r="E5" s="2750"/>
      <c r="F5" s="2750"/>
      <c r="G5" s="2750"/>
      <c r="H5" s="2751"/>
      <c r="I5" s="2750"/>
      <c r="J5" s="2750"/>
      <c r="K5" s="2750"/>
      <c r="L5" s="2752"/>
      <c r="M5" s="2752"/>
      <c r="N5" s="2752"/>
      <c r="O5" s="2750"/>
      <c r="P5" s="2753"/>
    </row>
    <row r="6" spans="1:19" s="2764" customFormat="1" ht="14.6" outlineLevel="1" x14ac:dyDescent="0.4">
      <c r="A6" s="2754"/>
      <c r="B6" s="3866" t="s">
        <v>1631</v>
      </c>
      <c r="C6" s="2755" t="s">
        <v>1936</v>
      </c>
      <c r="D6" s="2755" t="s">
        <v>907</v>
      </c>
      <c r="E6" s="2756">
        <f t="shared" ref="E6:E71" si="0">MAX($P6,$N6,$H6)</f>
        <v>0</v>
      </c>
      <c r="F6" s="2756">
        <f>IF($D6="Trigger",VLOOKUP("*"&amp;$C6&amp;"*",'Lower Cask Weld Failures'!$D$53:$G$622,4,FALSE),E6+#REF!)</f>
        <v>0</v>
      </c>
      <c r="G6" s="2757"/>
      <c r="H6" s="2758" t="s">
        <v>263</v>
      </c>
      <c r="I6" s="2759"/>
      <c r="J6" s="2755"/>
      <c r="K6" s="2755"/>
      <c r="L6" s="2760" t="str">
        <f>IFERROR(INDEX('Lower Cask Movement &amp; Logistics'!$I$13:$O$19,MATCH($J6,'Lower Cask Movement &amp; Logistics'!$H$13:$H$19,0),MATCH($K6,'Lower Cask Movement &amp; Logistics'!$H$13:$H$19,0)),"N/A")</f>
        <v>N/A</v>
      </c>
      <c r="M6" s="2760" t="str">
        <f>IFERROR(VLOOKUP($I6,'Lower Cask Movement &amp; Logistics'!$H$4:$I$8,2,FALSE),"N/A")</f>
        <v>N/A</v>
      </c>
      <c r="N6" s="2761" t="str">
        <f t="shared" ref="N6:N71" si="1">IF(D6="Movement",IFERROR((L6/M6)/(60*60),"Error"),"N/A")</f>
        <v>N/A</v>
      </c>
      <c r="O6" s="2762"/>
      <c r="P6" s="2763" t="str">
        <f>IF($D6="Logistics",VLOOKUP($O6,'Lower Cask Movement &amp; Logistics'!$C$4:$D$54,2,FALSE),"N/A")</f>
        <v>N/A</v>
      </c>
      <c r="R6" s="2765"/>
      <c r="S6" s="2765"/>
    </row>
    <row r="7" spans="1:19" s="2764" customFormat="1" ht="14.6" outlineLevel="1" x14ac:dyDescent="0.4">
      <c r="A7" s="2754"/>
      <c r="B7" s="3867"/>
      <c r="C7" s="2766" t="s">
        <v>1732</v>
      </c>
      <c r="D7" s="2767" t="s">
        <v>778</v>
      </c>
      <c r="E7" s="2768">
        <f t="shared" si="0"/>
        <v>0.23148148148148148</v>
      </c>
      <c r="F7" s="2768">
        <f>IF($D7="Trigger",VLOOKUP("*"&amp;$C7&amp;"*",'Lower Cask Weld Failures'!$D$53:$G$622,4,FALSE),E7+F6)</f>
        <v>0.23148148148148148</v>
      </c>
      <c r="G7" s="2769"/>
      <c r="H7" s="2770" t="s">
        <v>263</v>
      </c>
      <c r="I7" s="2771" t="s">
        <v>1536</v>
      </c>
      <c r="J7" s="2767" t="s">
        <v>1203</v>
      </c>
      <c r="K7" s="2767" t="s">
        <v>914</v>
      </c>
      <c r="L7" s="2772">
        <f>IFERROR(INDEX('Lower Cask Movement &amp; Logistics'!$I$13:$O$19,MATCH($J7,'Lower Cask Movement &amp; Logistics'!$H$13:$H$19,0),MATCH($K7,'Lower Cask Movement &amp; Logistics'!$H$13:$H$19,0)),"N/A")</f>
        <v>50</v>
      </c>
      <c r="M7" s="2773">
        <f>IFERROR(VLOOKUP($I7,'Lower Cask Movement &amp; Logistics'!$H$4:$I$8,2,FALSE),"N/A")</f>
        <v>0.06</v>
      </c>
      <c r="N7" s="2774">
        <f t="shared" si="1"/>
        <v>0.23148148148148148</v>
      </c>
      <c r="O7" s="2775"/>
      <c r="P7" s="2776" t="str">
        <f>IF($D7="Logistics",VLOOKUP($O7,'Lower Cask Movement &amp; Logistics'!$C$4:$D$54,2,FALSE),"N/A")</f>
        <v>N/A</v>
      </c>
      <c r="R7" s="2765"/>
      <c r="S7" s="2765"/>
    </row>
    <row r="8" spans="1:19" s="2764" customFormat="1" ht="14.6" outlineLevel="1" x14ac:dyDescent="0.4">
      <c r="A8" s="2754"/>
      <c r="B8" s="3867"/>
      <c r="C8" s="2766" t="s">
        <v>1733</v>
      </c>
      <c r="D8" s="2767" t="s">
        <v>3</v>
      </c>
      <c r="E8" s="2768">
        <f t="shared" si="0"/>
        <v>1.9</v>
      </c>
      <c r="F8" s="2768">
        <f>IF($D8="Trigger",VLOOKUP("*"&amp;$C8&amp;"*",'Lower Cask Weld Failures'!$D$53:$G$622,4,FALSE),E8+F7)</f>
        <v>2.1314814814814813</v>
      </c>
      <c r="G8" s="2769"/>
      <c r="H8" s="2770" t="s">
        <v>263</v>
      </c>
      <c r="I8" s="2771"/>
      <c r="J8" s="2767"/>
      <c r="K8" s="2767"/>
      <c r="L8" s="2772" t="str">
        <f>IFERROR(INDEX('Lower Cask Movement &amp; Logistics'!$I$13:$O$19,MATCH($J8,'Lower Cask Movement &amp; Logistics'!$H$13:$H$19,0),MATCH($K8,'Lower Cask Movement &amp; Logistics'!$H$13:$H$19,0)),"N/A")</f>
        <v>N/A</v>
      </c>
      <c r="M8" s="2773" t="str">
        <f>IFERROR(VLOOKUP($I8,'Lower Cask Movement &amp; Logistics'!$H$4:$I$8,2,FALSE),"N/A")</f>
        <v>N/A</v>
      </c>
      <c r="N8" s="2774" t="str">
        <f t="shared" si="1"/>
        <v>N/A</v>
      </c>
      <c r="O8" s="2775" t="s">
        <v>1734</v>
      </c>
      <c r="P8" s="2776">
        <f>IF($D8="Logistics",VLOOKUP($O8,'Lower Cask Movement &amp; Logistics'!$C$4:$D$54,2,FALSE),"N/A")</f>
        <v>1.9</v>
      </c>
      <c r="R8" s="2765"/>
      <c r="S8" s="2765"/>
    </row>
    <row r="9" spans="1:19" s="2764" customFormat="1" ht="14.6" outlineLevel="1" x14ac:dyDescent="0.4">
      <c r="A9" s="2754"/>
      <c r="B9" s="3867"/>
      <c r="C9" s="2766" t="s">
        <v>1742</v>
      </c>
      <c r="D9" s="2767" t="s">
        <v>3</v>
      </c>
      <c r="E9" s="2768">
        <f t="shared" si="0"/>
        <v>0.58000000000000007</v>
      </c>
      <c r="F9" s="2768">
        <f>IF($D9="Trigger",VLOOKUP("*"&amp;$C9&amp;"*",'Lower Cask Weld Failures'!$D$53:$G$622,4,FALSE),E9+F8)</f>
        <v>2.7114814814814814</v>
      </c>
      <c r="G9" s="2769"/>
      <c r="H9" s="2770" t="s">
        <v>263</v>
      </c>
      <c r="I9" s="2771"/>
      <c r="J9" s="2767"/>
      <c r="K9" s="2767"/>
      <c r="L9" s="2772" t="str">
        <f>IFERROR(INDEX('Lower Cask Movement &amp; Logistics'!$I$13:$O$19,MATCH($J9,'Lower Cask Movement &amp; Logistics'!$H$13:$H$19,0),MATCH($K9,'Lower Cask Movement &amp; Logistics'!$H$13:$H$19,0)),"N/A")</f>
        <v>N/A</v>
      </c>
      <c r="M9" s="2773" t="str">
        <f>IFERROR(VLOOKUP($I9,'Lower Cask Movement &amp; Logistics'!$H$4:$I$8,2,FALSE),"N/A")</f>
        <v>N/A</v>
      </c>
      <c r="N9" s="2774" t="str">
        <f t="shared" si="1"/>
        <v>N/A</v>
      </c>
      <c r="O9" s="2775" t="s">
        <v>1539</v>
      </c>
      <c r="P9" s="2776">
        <f>IF($D9="Logistics",VLOOKUP($O9,'Lower Cask Movement &amp; Logistics'!$C$4:$D$54,2,FALSE),"N/A")</f>
        <v>0.58000000000000007</v>
      </c>
      <c r="R9" s="2765"/>
      <c r="S9" s="2765"/>
    </row>
    <row r="10" spans="1:19" s="2764" customFormat="1" ht="14.6" outlineLevel="1" x14ac:dyDescent="0.4">
      <c r="A10" s="2754"/>
      <c r="B10" s="3867"/>
      <c r="C10" s="2766" t="s">
        <v>1737</v>
      </c>
      <c r="D10" s="2767" t="s">
        <v>778</v>
      </c>
      <c r="E10" s="2768">
        <f t="shared" si="0"/>
        <v>2.7777777777777776E-2</v>
      </c>
      <c r="F10" s="2768">
        <f>IF($D10="Trigger",VLOOKUP("*"&amp;$C10&amp;"*",'Lower Cask Weld Failures'!$D$53:$G$622,4,FALSE),E10+F9)</f>
        <v>2.7392592592592591</v>
      </c>
      <c r="G10" s="2769"/>
      <c r="H10" s="2770" t="s">
        <v>263</v>
      </c>
      <c r="I10" s="2771" t="s">
        <v>1738</v>
      </c>
      <c r="J10" s="2767" t="s">
        <v>914</v>
      </c>
      <c r="K10" s="2767" t="s">
        <v>799</v>
      </c>
      <c r="L10" s="2772">
        <f>IFERROR(INDEX('Lower Cask Movement &amp; Logistics'!$I$13:$O$19,MATCH($J10,'Lower Cask Movement &amp; Logistics'!$H$13:$H$19,0),MATCH($K10,'Lower Cask Movement &amp; Logistics'!$H$13:$H$19,0)),"N/A")</f>
        <v>20</v>
      </c>
      <c r="M10" s="2773">
        <f>IFERROR(VLOOKUP($I10,'Lower Cask Movement &amp; Logistics'!$H$4:$I$8,2,FALSE),"N/A")</f>
        <v>0.2</v>
      </c>
      <c r="N10" s="2774">
        <f t="shared" si="1"/>
        <v>2.7777777777777776E-2</v>
      </c>
      <c r="O10" s="2775"/>
      <c r="P10" s="2776" t="str">
        <f>IF($D10="Logistics",VLOOKUP($O10,'Lower Cask Movement &amp; Logistics'!$C$4:$D$54,2,FALSE),"N/A")</f>
        <v>N/A</v>
      </c>
      <c r="R10" s="2765"/>
      <c r="S10" s="2765"/>
    </row>
    <row r="11" spans="1:19" s="2764" customFormat="1" ht="14.6" outlineLevel="1" x14ac:dyDescent="0.4">
      <c r="A11" s="2754"/>
      <c r="B11" s="3867"/>
      <c r="C11" s="2767" t="s">
        <v>1759</v>
      </c>
      <c r="D11" s="2767" t="s">
        <v>3</v>
      </c>
      <c r="E11" s="2768">
        <f t="shared" si="0"/>
        <v>0.78</v>
      </c>
      <c r="F11" s="2768">
        <f>IF($D11="Trigger",VLOOKUP("*"&amp;$C11&amp;"*",'Lower Cask Weld Failures'!$D$53:$G$622,4,FALSE),E11+F10)</f>
        <v>3.5192592592592593</v>
      </c>
      <c r="G11" s="2777"/>
      <c r="H11" s="2770" t="s">
        <v>263</v>
      </c>
      <c r="I11" s="2771"/>
      <c r="J11" s="2767"/>
      <c r="K11" s="2767"/>
      <c r="L11" s="2772" t="str">
        <f>IFERROR(INDEX('Lower Cask Movement &amp; Logistics'!$I$13:$O$19,MATCH($J11,'Lower Cask Movement &amp; Logistics'!$H$13:$H$19,0),MATCH($K11,'Lower Cask Movement &amp; Logistics'!$H$13:$H$19,0)),"N/A")</f>
        <v>N/A</v>
      </c>
      <c r="M11" s="2773" t="str">
        <f>IFERROR(VLOOKUP($I11,'Lower Cask Movement &amp; Logistics'!$H$4:$I$8,2,FALSE),"N/A")</f>
        <v>N/A</v>
      </c>
      <c r="N11" s="2774" t="str">
        <f t="shared" si="1"/>
        <v>N/A</v>
      </c>
      <c r="O11" s="2778" t="s">
        <v>1740</v>
      </c>
      <c r="P11" s="2776">
        <f>IF($D11="Logistics",VLOOKUP($O11,'Lower Cask Movement &amp; Logistics'!$C$4:$D$54,2,FALSE),"N/A")</f>
        <v>0.78</v>
      </c>
      <c r="R11" s="2765"/>
      <c r="S11" s="2765"/>
    </row>
    <row r="12" spans="1:19" s="2764" customFormat="1" ht="14.6" outlineLevel="1" x14ac:dyDescent="0.4">
      <c r="A12" s="2754"/>
      <c r="B12" s="3867"/>
      <c r="C12" s="2767" t="s">
        <v>1760</v>
      </c>
      <c r="D12" s="2767" t="s">
        <v>778</v>
      </c>
      <c r="E12" s="2768">
        <f t="shared" si="0"/>
        <v>0.69444444444444442</v>
      </c>
      <c r="F12" s="2768">
        <f>IF($D12="Trigger",VLOOKUP("*"&amp;$C12&amp;"*",'Lower Cask Weld Failures'!$D$53:$G$622,4,FALSE),E12+F11)</f>
        <v>4.213703703703704</v>
      </c>
      <c r="G12" s="2777"/>
      <c r="H12" s="2770" t="s">
        <v>263</v>
      </c>
      <c r="I12" s="2771" t="s">
        <v>1538</v>
      </c>
      <c r="J12" s="2767" t="s">
        <v>799</v>
      </c>
      <c r="K12" s="2767" t="s">
        <v>1203</v>
      </c>
      <c r="L12" s="2772">
        <f>IFERROR(INDEX('Lower Cask Movement &amp; Logistics'!$I$13:$O$19,MATCH($J12,'Lower Cask Movement &amp; Logistics'!$H$13:$H$19,0),MATCH($K12,'Lower Cask Movement &amp; Logistics'!$H$13:$H$19,0)),"N/A")</f>
        <v>50</v>
      </c>
      <c r="M12" s="2773">
        <f>IFERROR(VLOOKUP($I12,'Lower Cask Movement &amp; Logistics'!$H$4:$I$8,2,FALSE),"N/A")</f>
        <v>0.02</v>
      </c>
      <c r="N12" s="2774">
        <f t="shared" si="1"/>
        <v>0.69444444444444442</v>
      </c>
      <c r="O12" s="2778"/>
      <c r="P12" s="2776" t="str">
        <f>IF($D12="Logistics",VLOOKUP($O12,'Lower Cask Movement &amp; Logistics'!$C$4:$D$54,2,FALSE),"N/A")</f>
        <v>N/A</v>
      </c>
      <c r="R12" s="2765"/>
      <c r="S12" s="2765"/>
    </row>
    <row r="13" spans="1:19" s="2764" customFormat="1" ht="39.450000000000003" outlineLevel="1" thickBot="1" x14ac:dyDescent="0.45">
      <c r="A13" s="2754"/>
      <c r="B13" s="3868"/>
      <c r="C13" s="2779" t="s">
        <v>1631</v>
      </c>
      <c r="D13" s="2779" t="s">
        <v>11</v>
      </c>
      <c r="E13" s="2780">
        <f t="shared" si="0"/>
        <v>0</v>
      </c>
      <c r="F13" s="2780">
        <f>IF($D13="Trigger",VLOOKUP("*"&amp;$C13&amp;"*",'Lower Cask Weld Failures'!$D$53:$G$622,4,FALSE),E13+F12)</f>
        <v>4.213703703703704</v>
      </c>
      <c r="G13" s="2781"/>
      <c r="H13" s="2782" t="s">
        <v>263</v>
      </c>
      <c r="I13" s="2783"/>
      <c r="J13" s="2779"/>
      <c r="K13" s="2779"/>
      <c r="L13" s="2784" t="str">
        <f>IFERROR(INDEX('Lower Cask Movement &amp; Logistics'!$I$13:$O$19,MATCH($J13,'Lower Cask Movement &amp; Logistics'!$H$13:$H$19,0),MATCH($K13,'Lower Cask Movement &amp; Logistics'!$H$13:$H$19,0)),"N/A")</f>
        <v>N/A</v>
      </c>
      <c r="M13" s="2784" t="str">
        <f>IFERROR(VLOOKUP($I13,'Lower Cask Movement &amp; Logistics'!$H$4:$I$8,2,FALSE),"N/A")</f>
        <v>N/A</v>
      </c>
      <c r="N13" s="2785" t="str">
        <f t="shared" si="1"/>
        <v>N/A</v>
      </c>
      <c r="O13" s="2786"/>
      <c r="P13" s="2787" t="str">
        <f>IF($D13="Logistics",VLOOKUP($O13,'Lower Cask Movement &amp; Logistics'!$C$4:$D$54,2,FALSE),"N/A")</f>
        <v>N/A</v>
      </c>
      <c r="R13" s="2765"/>
      <c r="S13" s="2765"/>
    </row>
    <row r="14" spans="1:19" s="2764" customFormat="1" ht="15" customHeight="1" outlineLevel="1" x14ac:dyDescent="0.4">
      <c r="A14" s="2754"/>
      <c r="B14" s="3863" t="s">
        <v>1636</v>
      </c>
      <c r="C14" s="2788" t="s">
        <v>1937</v>
      </c>
      <c r="D14" s="2788" t="s">
        <v>907</v>
      </c>
      <c r="E14" s="2789">
        <f t="shared" si="0"/>
        <v>0</v>
      </c>
      <c r="F14" s="2789">
        <f>IF($D14="Trigger",VLOOKUP("*"&amp;$C14&amp;"*",'Lower Cask Weld Failures'!$D$53:$G$622,4,FALSE),E14+F13)</f>
        <v>51.108901179185182</v>
      </c>
      <c r="G14" s="2790"/>
      <c r="H14" s="2791" t="s">
        <v>263</v>
      </c>
      <c r="I14" s="2792"/>
      <c r="J14" s="2788"/>
      <c r="K14" s="2788"/>
      <c r="L14" s="2793" t="str">
        <f>IFERROR(INDEX('Lower Cask Movement &amp; Logistics'!$I$13:$O$19,MATCH($J14,'Lower Cask Movement &amp; Logistics'!$H$13:$H$19,0),MATCH($K14,'Lower Cask Movement &amp; Logistics'!$H$13:$H$19,0)),"N/A")</f>
        <v>N/A</v>
      </c>
      <c r="M14" s="2793" t="str">
        <f>IFERROR(VLOOKUP($I14,'Lower Cask Movement &amp; Logistics'!$H$4:$I$8,2,FALSE),"N/A")</f>
        <v>N/A</v>
      </c>
      <c r="N14" s="2794" t="str">
        <f t="shared" si="1"/>
        <v>N/A</v>
      </c>
      <c r="O14" s="2795"/>
      <c r="P14" s="2796" t="str">
        <f>IF($D14="Logistics",VLOOKUP($O14,'Lower Cask Movement &amp; Logistics'!$C$4:$D$54,2,FALSE),"N/A")</f>
        <v>N/A</v>
      </c>
      <c r="R14" s="2765"/>
      <c r="S14" s="2765"/>
    </row>
    <row r="15" spans="1:19" s="2764" customFormat="1" ht="15" customHeight="1" outlineLevel="1" x14ac:dyDescent="0.4">
      <c r="A15" s="2754"/>
      <c r="B15" s="3864"/>
      <c r="C15" s="2797" t="s">
        <v>1732</v>
      </c>
      <c r="D15" s="2798" t="s">
        <v>778</v>
      </c>
      <c r="E15" s="2799">
        <f t="shared" si="0"/>
        <v>0.23148148148148148</v>
      </c>
      <c r="F15" s="2799">
        <f>IF($D15="Trigger",VLOOKUP("*"&amp;$C15&amp;"*",'Lower Cask Weld Failures'!$D$53:$G$622,4,FALSE),E15+F14)</f>
        <v>51.340382660666663</v>
      </c>
      <c r="G15" s="2800"/>
      <c r="H15" s="2801" t="s">
        <v>263</v>
      </c>
      <c r="I15" s="2802" t="s">
        <v>1536</v>
      </c>
      <c r="J15" s="2798" t="s">
        <v>1203</v>
      </c>
      <c r="K15" s="2798" t="s">
        <v>914</v>
      </c>
      <c r="L15" s="2803">
        <f>IFERROR(INDEX('Lower Cask Movement &amp; Logistics'!$I$13:$O$19,MATCH($J15,'Lower Cask Movement &amp; Logistics'!$H$13:$H$19,0),MATCH($K15,'Lower Cask Movement &amp; Logistics'!$H$13:$H$19,0)),"N/A")</f>
        <v>50</v>
      </c>
      <c r="M15" s="2804">
        <f>IFERROR(VLOOKUP($I15,'Lower Cask Movement &amp; Logistics'!$H$4:$I$8,2,FALSE),"N/A")</f>
        <v>0.06</v>
      </c>
      <c r="N15" s="2805">
        <f t="shared" si="1"/>
        <v>0.23148148148148148</v>
      </c>
      <c r="O15" s="2806"/>
      <c r="P15" s="2807" t="str">
        <f>IF($D15="Logistics",VLOOKUP($O15,'Lower Cask Movement &amp; Logistics'!$C$4:$D$54,2,FALSE),"N/A")</f>
        <v>N/A</v>
      </c>
      <c r="R15" s="2765"/>
      <c r="S15" s="2765"/>
    </row>
    <row r="16" spans="1:19" s="2764" customFormat="1" ht="15" customHeight="1" outlineLevel="1" x14ac:dyDescent="0.4">
      <c r="A16" s="2754"/>
      <c r="B16" s="3864"/>
      <c r="C16" s="2797" t="s">
        <v>1751</v>
      </c>
      <c r="D16" s="2798" t="s">
        <v>3</v>
      </c>
      <c r="E16" s="2799">
        <f t="shared" si="0"/>
        <v>0.58000000000000007</v>
      </c>
      <c r="F16" s="2799">
        <f>IF($D16="Trigger",VLOOKUP("*"&amp;$C16&amp;"*",'Lower Cask Weld Failures'!$D$53:$G$622,4,FALSE),E16+F15)</f>
        <v>51.920382660666661</v>
      </c>
      <c r="G16" s="2800"/>
      <c r="H16" s="2801" t="s">
        <v>263</v>
      </c>
      <c r="I16" s="2802"/>
      <c r="J16" s="2798"/>
      <c r="K16" s="2798"/>
      <c r="L16" s="2803" t="str">
        <f>IFERROR(INDEX('Lower Cask Movement &amp; Logistics'!$I$13:$O$19,MATCH($J16,'Lower Cask Movement &amp; Logistics'!$H$13:$H$19,0),MATCH($K16,'Lower Cask Movement &amp; Logistics'!$H$13:$H$19,0)),"N/A")</f>
        <v>N/A</v>
      </c>
      <c r="M16" s="2804" t="str">
        <f>IFERROR(VLOOKUP($I16,'Lower Cask Movement &amp; Logistics'!$H$4:$I$8,2,FALSE),"N/A")</f>
        <v>N/A</v>
      </c>
      <c r="N16" s="2805" t="str">
        <f>IF(D16="Movement",IFERROR((L16/M16)/(60*60),"Error"),"N/A")</f>
        <v>N/A</v>
      </c>
      <c r="O16" s="2806" t="s">
        <v>1539</v>
      </c>
      <c r="P16" s="2807">
        <f>IF($D16="Logistics",VLOOKUP($O16,'Lower Cask Movement &amp; Logistics'!$C$4:$D$54,2,FALSE),"N/A")</f>
        <v>0.58000000000000007</v>
      </c>
      <c r="R16" s="2765"/>
      <c r="S16" s="2765"/>
    </row>
    <row r="17" spans="1:19" s="2764" customFormat="1" ht="15" customHeight="1" outlineLevel="1" x14ac:dyDescent="0.4">
      <c r="A17" s="2754"/>
      <c r="B17" s="3864"/>
      <c r="C17" s="2797" t="s">
        <v>1737</v>
      </c>
      <c r="D17" s="2798" t="s">
        <v>778</v>
      </c>
      <c r="E17" s="2799">
        <f t="shared" si="0"/>
        <v>2.7777777777777776E-2</v>
      </c>
      <c r="F17" s="2799">
        <f>IF($D17="Trigger",VLOOKUP("*"&amp;$C17&amp;"*",'Lower Cask Weld Failures'!$D$53:$G$622,4,FALSE),E17+F16)</f>
        <v>51.94816043844444</v>
      </c>
      <c r="G17" s="2800"/>
      <c r="H17" s="2801" t="s">
        <v>263</v>
      </c>
      <c r="I17" s="2802" t="s">
        <v>1738</v>
      </c>
      <c r="J17" s="2798" t="s">
        <v>914</v>
      </c>
      <c r="K17" s="2798" t="s">
        <v>799</v>
      </c>
      <c r="L17" s="2803">
        <f>IFERROR(INDEX('Lower Cask Movement &amp; Logistics'!$I$13:$O$19,MATCH($J17,'Lower Cask Movement &amp; Logistics'!$H$13:$H$19,0),MATCH($K17,'Lower Cask Movement &amp; Logistics'!$H$13:$H$19,0)),"N/A")</f>
        <v>20</v>
      </c>
      <c r="M17" s="2804">
        <f>IFERROR(VLOOKUP($I17,'Lower Cask Movement &amp; Logistics'!$H$4:$I$8,2,FALSE),"N/A")</f>
        <v>0.2</v>
      </c>
      <c r="N17" s="2805">
        <f t="shared" si="1"/>
        <v>2.7777777777777776E-2</v>
      </c>
      <c r="O17" s="2806"/>
      <c r="P17" s="2807" t="str">
        <f>IF($D17="Logistics",VLOOKUP($O17,'Lower Cask Movement &amp; Logistics'!$C$4:$D$54,2,FALSE),"N/A")</f>
        <v>N/A</v>
      </c>
      <c r="R17" s="2765"/>
      <c r="S17" s="2765"/>
    </row>
    <row r="18" spans="1:19" s="2764" customFormat="1" ht="14.6" outlineLevel="1" x14ac:dyDescent="0.4">
      <c r="A18" s="2754"/>
      <c r="B18" s="3864"/>
      <c r="C18" s="2798" t="s">
        <v>1762</v>
      </c>
      <c r="D18" s="2798" t="s">
        <v>3</v>
      </c>
      <c r="E18" s="2799">
        <f t="shared" si="0"/>
        <v>0.88000000000000012</v>
      </c>
      <c r="F18" s="2799">
        <f>IF($D18="Trigger",VLOOKUP("*"&amp;$C18&amp;"*",'Lower Cask Weld Failures'!$D$53:$G$622,4,FALSE),E18+F17)</f>
        <v>52.828160438444442</v>
      </c>
      <c r="G18" s="2808"/>
      <c r="H18" s="2801" t="s">
        <v>263</v>
      </c>
      <c r="I18" s="2802"/>
      <c r="J18" s="2798"/>
      <c r="K18" s="2798"/>
      <c r="L18" s="2803" t="str">
        <f>IFERROR(INDEX('Lower Cask Movement &amp; Logistics'!$I$13:$O$19,MATCH($J18,'Lower Cask Movement &amp; Logistics'!$H$13:$H$19,0),MATCH($K18,'Lower Cask Movement &amp; Logistics'!$H$13:$H$19,0)),"N/A")</f>
        <v>N/A</v>
      </c>
      <c r="M18" s="2804" t="str">
        <f>IFERROR(VLOOKUP($I18,'Lower Cask Movement &amp; Logistics'!$H$4:$I$8,2,FALSE),"N/A")</f>
        <v>N/A</v>
      </c>
      <c r="N18" s="2805" t="str">
        <f t="shared" si="1"/>
        <v>N/A</v>
      </c>
      <c r="O18" s="2809" t="s">
        <v>1730</v>
      </c>
      <c r="P18" s="2807">
        <f>IF($D18="Logistics",VLOOKUP($O18,'Lower Cask Movement &amp; Logistics'!$C$4:$D$54,2,FALSE),"N/A")</f>
        <v>0.88000000000000012</v>
      </c>
      <c r="R18" s="2765"/>
      <c r="S18" s="2765"/>
    </row>
    <row r="19" spans="1:19" s="2764" customFormat="1" ht="14.6" outlineLevel="1" x14ac:dyDescent="0.4">
      <c r="A19" s="2754"/>
      <c r="B19" s="3864"/>
      <c r="C19" s="2798" t="s">
        <v>1763</v>
      </c>
      <c r="D19" s="2798" t="s">
        <v>778</v>
      </c>
      <c r="E19" s="2799">
        <f t="shared" si="0"/>
        <v>0.69444444444444442</v>
      </c>
      <c r="F19" s="2799">
        <f>IF($D19="Trigger",VLOOKUP("*"&amp;$C19&amp;"*",'Lower Cask Weld Failures'!$D$53:$G$622,4,FALSE),E19+F18)</f>
        <v>53.522604882888885</v>
      </c>
      <c r="G19" s="2808"/>
      <c r="H19" s="2801" t="s">
        <v>263</v>
      </c>
      <c r="I19" s="2802" t="s">
        <v>1538</v>
      </c>
      <c r="J19" s="2798" t="s">
        <v>799</v>
      </c>
      <c r="K19" s="2798" t="s">
        <v>1203</v>
      </c>
      <c r="L19" s="2803">
        <f>IFERROR(INDEX('Lower Cask Movement &amp; Logistics'!$I$13:$O$19,MATCH($J19,'Lower Cask Movement &amp; Logistics'!$H$13:$H$19,0),MATCH($K19,'Lower Cask Movement &amp; Logistics'!$H$13:$H$19,0)),"N/A")</f>
        <v>50</v>
      </c>
      <c r="M19" s="2804">
        <f>IFERROR(VLOOKUP($I19,'Lower Cask Movement &amp; Logistics'!$H$4:$I$8,2,FALSE),"N/A")</f>
        <v>0.02</v>
      </c>
      <c r="N19" s="2805">
        <f t="shared" si="1"/>
        <v>0.69444444444444442</v>
      </c>
      <c r="O19" s="2809"/>
      <c r="P19" s="2807" t="str">
        <f>IF($D19="Logistics",VLOOKUP($O19,'Lower Cask Movement &amp; Logistics'!$C$4:$D$54,2,FALSE),"N/A")</f>
        <v>N/A</v>
      </c>
      <c r="R19" s="2765"/>
      <c r="S19" s="2765"/>
    </row>
    <row r="20" spans="1:19" s="2764" customFormat="1" ht="26.6" outlineLevel="1" thickBot="1" x14ac:dyDescent="0.45">
      <c r="A20" s="2754"/>
      <c r="B20" s="3865"/>
      <c r="C20" s="2810" t="str">
        <f>B14</f>
        <v>Outboard Pipework Cask Stored;  Inner Port Pipework Cask Prepared; Inner Port Pipework Cask Moved to Lower Port</v>
      </c>
      <c r="D20" s="2810" t="s">
        <v>11</v>
      </c>
      <c r="E20" s="2811">
        <f t="shared" si="0"/>
        <v>0</v>
      </c>
      <c r="F20" s="2811">
        <f>IF($D20="Trigger",VLOOKUP("*"&amp;$C20&amp;"*",'Lower Cask Weld Failures'!$D$53:$G$622,4,FALSE),E20+F19)</f>
        <v>53.522604882888885</v>
      </c>
      <c r="G20" s="2812"/>
      <c r="H20" s="2813" t="s">
        <v>263</v>
      </c>
      <c r="I20" s="2814"/>
      <c r="J20" s="2810"/>
      <c r="K20" s="2810"/>
      <c r="L20" s="2815" t="str">
        <f>IFERROR(INDEX('Lower Cask Movement &amp; Logistics'!$I$13:$O$19,MATCH($J20,'Lower Cask Movement &amp; Logistics'!$H$13:$H$19,0),MATCH($K20,'Lower Cask Movement &amp; Logistics'!$H$13:$H$19,0)),"N/A")</f>
        <v>N/A</v>
      </c>
      <c r="M20" s="2815" t="str">
        <f>IFERROR(VLOOKUP($I20,'Lower Cask Movement &amp; Logistics'!$H$4:$I$8,2,FALSE),"N/A")</f>
        <v>N/A</v>
      </c>
      <c r="N20" s="2816" t="str">
        <f>IF(D20="Movement",IFERROR((L20/M20)/(60*60),"Error"),"N/A")</f>
        <v>N/A</v>
      </c>
      <c r="O20" s="2817"/>
      <c r="P20" s="2787" t="str">
        <f>IF($D20="Logistics",VLOOKUP($O20,'Lower Cask Movement &amp; Logistics'!$C$4:$D$54,2,FALSE),"N/A")</f>
        <v>N/A</v>
      </c>
      <c r="R20" s="2765"/>
      <c r="S20" s="2765"/>
    </row>
    <row r="21" spans="1:19" s="2765" customFormat="1" ht="14.6" outlineLevel="1" x14ac:dyDescent="0.4">
      <c r="A21" s="2754"/>
      <c r="B21" s="3866" t="s">
        <v>1866</v>
      </c>
      <c r="C21" s="2755" t="s">
        <v>1938</v>
      </c>
      <c r="D21" s="2755" t="s">
        <v>907</v>
      </c>
      <c r="E21" s="2772">
        <f t="shared" si="0"/>
        <v>0</v>
      </c>
      <c r="F21" s="2772">
        <f>IF($D21="Trigger",VLOOKUP("*"&amp;$C21&amp;"*",'Lower Cask Weld Failures'!$D$53:$G$622,4,FALSE),E21+F20)</f>
        <v>82.564835298641938</v>
      </c>
      <c r="G21" s="2777"/>
      <c r="H21" s="2818" t="s">
        <v>263</v>
      </c>
      <c r="I21" s="2771"/>
      <c r="J21" s="2767"/>
      <c r="K21" s="2767"/>
      <c r="L21" s="2819" t="str">
        <f>IFERROR(INDEX('Lower Cask Movement &amp; Logistics'!$I$13:$O$19,MATCH($J21,'Lower Cask Movement &amp; Logistics'!$H$13:$H$19,0),MATCH($K21,'Lower Cask Movement &amp; Logistics'!$H$13:$H$19,0)),"N/A")</f>
        <v>N/A</v>
      </c>
      <c r="M21" s="2819" t="str">
        <f>IFERROR(VLOOKUP($I21,'Lower Cask Movement &amp; Logistics'!$H$4:$I$8,2,FALSE),"N/A")</f>
        <v>N/A</v>
      </c>
      <c r="N21" s="2768" t="str">
        <f t="shared" ref="N21:N28" si="2">IF(D21="Movement",IFERROR((L21/M21)/(60*60),"Error"),"N/A")</f>
        <v>N/A</v>
      </c>
      <c r="O21" s="2778"/>
      <c r="P21" s="2774" t="str">
        <f>IF($D21="Logistics",VLOOKUP($O21,'Lower Cask Movement &amp; Logistics'!$C$4:$D$54,2,FALSE),"N/A")</f>
        <v>N/A</v>
      </c>
      <c r="Q21" s="2764"/>
    </row>
    <row r="22" spans="1:19" s="2765" customFormat="1" ht="14.6" outlineLevel="1" x14ac:dyDescent="0.4">
      <c r="A22" s="2754"/>
      <c r="B22" s="3867"/>
      <c r="C22" s="2766" t="s">
        <v>1939</v>
      </c>
      <c r="D22" s="2766" t="s">
        <v>778</v>
      </c>
      <c r="E22" s="2772">
        <f t="shared" si="0"/>
        <v>0.23148148148148148</v>
      </c>
      <c r="F22" s="2772">
        <f>IF($D22="Trigger",VLOOKUP("*"&amp;$C22&amp;"*",'Lower Cask Weld Failures'!$D$53:$G$622,4,FALSE),E22+F21)</f>
        <v>82.796316780123419</v>
      </c>
      <c r="G22" s="2777"/>
      <c r="H22" s="2818" t="s">
        <v>263</v>
      </c>
      <c r="I22" s="2771" t="s">
        <v>1536</v>
      </c>
      <c r="J22" s="2767" t="s">
        <v>1203</v>
      </c>
      <c r="K22" s="2767" t="s">
        <v>914</v>
      </c>
      <c r="L22" s="2819">
        <f>IFERROR(INDEX('Lower Cask Movement &amp; Logistics'!$I$13:$O$19,MATCH($J22,'Lower Cask Movement &amp; Logistics'!$H$13:$H$19,0),MATCH($K22,'Lower Cask Movement &amp; Logistics'!$H$13:$H$19,0)),"N/A")</f>
        <v>50</v>
      </c>
      <c r="M22" s="2819">
        <f>IFERROR(VLOOKUP($I22,'Lower Cask Movement &amp; Logistics'!$H$4:$I$8,2,FALSE),"N/A")</f>
        <v>0.06</v>
      </c>
      <c r="N22" s="2768">
        <f>IF(D22="Movement",IFERROR((L22/M22)/(60*60),"Error"),"N/A")</f>
        <v>0.23148148148148148</v>
      </c>
      <c r="O22" s="2778"/>
      <c r="P22" s="2774" t="str">
        <f>IF($D22="Logistics",VLOOKUP($O22,'Lower Cask Movement &amp; Logistics'!$C$4:$D$54,2,FALSE),"N/A")</f>
        <v>N/A</v>
      </c>
      <c r="Q22" s="2764"/>
    </row>
    <row r="23" spans="1:19" s="2765" customFormat="1" ht="14.6" outlineLevel="1" x14ac:dyDescent="0.4">
      <c r="A23" s="2754"/>
      <c r="B23" s="3867"/>
      <c r="C23" s="2766" t="s">
        <v>1940</v>
      </c>
      <c r="D23" s="2766" t="s">
        <v>3</v>
      </c>
      <c r="E23" s="2772">
        <f t="shared" si="0"/>
        <v>0.58000000000000007</v>
      </c>
      <c r="F23" s="2772">
        <f>IF($D23="Trigger",VLOOKUP("*"&amp;$C23&amp;"*",'Lower Cask Weld Failures'!$D$53:$G$622,4,FALSE),E23+F22)</f>
        <v>83.376316780123418</v>
      </c>
      <c r="G23" s="2777"/>
      <c r="H23" s="2818" t="s">
        <v>263</v>
      </c>
      <c r="I23" s="2771"/>
      <c r="J23" s="2767"/>
      <c r="K23" s="2767"/>
      <c r="L23" s="2819" t="str">
        <f>IFERROR(INDEX('Lower Cask Movement &amp; Logistics'!$I$13:$O$19,MATCH($J23,'Lower Cask Movement &amp; Logistics'!$H$13:$H$19,0),MATCH($K23,'Lower Cask Movement &amp; Logistics'!$H$13:$H$19,0)),"N/A")</f>
        <v>N/A</v>
      </c>
      <c r="M23" s="2819" t="str">
        <f>IFERROR(VLOOKUP($I23,'Lower Cask Movement &amp; Logistics'!$H$4:$I$8,2,FALSE),"N/A")</f>
        <v>N/A</v>
      </c>
      <c r="N23" s="2768" t="str">
        <f>IF(D23="Movement",IFERROR((L23/M23)/(60*60),"Error"),"N/A")</f>
        <v>N/A</v>
      </c>
      <c r="O23" s="2778" t="s">
        <v>1539</v>
      </c>
      <c r="P23" s="2774">
        <f>IF($D23="Logistics",VLOOKUP($O23,'Lower Cask Movement &amp; Logistics'!$C$4:$D$54,2,FALSE),"N/A")</f>
        <v>0.58000000000000007</v>
      </c>
      <c r="Q23" s="2764"/>
    </row>
    <row r="24" spans="1:19" s="2765" customFormat="1" ht="14.6" outlineLevel="1" x14ac:dyDescent="0.4">
      <c r="A24" s="2754"/>
      <c r="B24" s="3867"/>
      <c r="C24" s="2767" t="s">
        <v>1737</v>
      </c>
      <c r="D24" s="2767" t="s">
        <v>778</v>
      </c>
      <c r="E24" s="2772">
        <f t="shared" si="0"/>
        <v>2.7777777777777776E-2</v>
      </c>
      <c r="F24" s="2772">
        <f>IF($D24="Trigger",VLOOKUP("*"&amp;$C24&amp;"*",'Lower Cask Weld Failures'!$D$53:$G$622,4,FALSE),E24+F23)</f>
        <v>83.404094557901189</v>
      </c>
      <c r="G24" s="2777"/>
      <c r="H24" s="2818" t="s">
        <v>263</v>
      </c>
      <c r="I24" s="2771" t="s">
        <v>1738</v>
      </c>
      <c r="J24" s="2767" t="s">
        <v>914</v>
      </c>
      <c r="K24" s="2767" t="s">
        <v>799</v>
      </c>
      <c r="L24" s="2819">
        <f>IFERROR(INDEX('Lower Cask Movement &amp; Logistics'!$I$13:$O$19,MATCH($J24,'Lower Cask Movement &amp; Logistics'!$H$13:$H$19,0),MATCH($K24,'Lower Cask Movement &amp; Logistics'!$H$13:$H$19,0)),"N/A")</f>
        <v>20</v>
      </c>
      <c r="M24" s="2819">
        <f>IFERROR(VLOOKUP($I24,'Lower Cask Movement &amp; Logistics'!$H$4:$I$8,2,FALSE),"N/A")</f>
        <v>0.2</v>
      </c>
      <c r="N24" s="2768">
        <f t="shared" si="2"/>
        <v>2.7777777777777776E-2</v>
      </c>
      <c r="O24" s="2778"/>
      <c r="P24" s="2774" t="str">
        <f>IF($D24="Logistics",VLOOKUP($O24,'Lower Cask Movement &amp; Logistics'!$C$4:$D$54,2,FALSE),"N/A")</f>
        <v>N/A</v>
      </c>
      <c r="Q24" s="2764"/>
    </row>
    <row r="25" spans="1:19" s="2765" customFormat="1" ht="14.6" outlineLevel="1" x14ac:dyDescent="0.4">
      <c r="A25" s="2754"/>
      <c r="B25" s="3867"/>
      <c r="C25" s="2767" t="s">
        <v>1941</v>
      </c>
      <c r="D25" s="2767" t="s">
        <v>3</v>
      </c>
      <c r="E25" s="2772">
        <f t="shared" si="0"/>
        <v>0.78</v>
      </c>
      <c r="F25" s="2772">
        <f>IF($D25="Trigger",VLOOKUP("*"&amp;$C25&amp;"*",'Lower Cask Weld Failures'!$D$53:$G$622,4,FALSE),E25+F24)</f>
        <v>84.18409455790119</v>
      </c>
      <c r="G25" s="2777"/>
      <c r="H25" s="2818" t="s">
        <v>263</v>
      </c>
      <c r="I25" s="2771"/>
      <c r="J25" s="2767"/>
      <c r="K25" s="2767"/>
      <c r="L25" s="2819" t="str">
        <f>IFERROR(INDEX('Lower Cask Movement &amp; Logistics'!$I$13:$O$19,MATCH($J25,'Lower Cask Movement &amp; Logistics'!$H$13:$H$19,0),MATCH($K25,'Lower Cask Movement &amp; Logistics'!$H$13:$H$19,0)),"N/A")</f>
        <v>N/A</v>
      </c>
      <c r="M25" s="2819" t="str">
        <f>IFERROR(VLOOKUP($I25,'Lower Cask Movement &amp; Logistics'!$H$4:$I$8,2,FALSE),"N/A")</f>
        <v>N/A</v>
      </c>
      <c r="N25" s="2768" t="str">
        <f t="shared" si="2"/>
        <v>N/A</v>
      </c>
      <c r="O25" s="2778" t="s">
        <v>1740</v>
      </c>
      <c r="P25" s="2774">
        <f>IF($D25="Logistics",VLOOKUP($O25,'Lower Cask Movement &amp; Logistics'!$C$4:$D$54,2,FALSE),"N/A")</f>
        <v>0.78</v>
      </c>
      <c r="Q25" s="2764"/>
    </row>
    <row r="26" spans="1:19" s="2765" customFormat="1" ht="14.6" outlineLevel="1" x14ac:dyDescent="0.4">
      <c r="A26" s="2754"/>
      <c r="B26" s="3867"/>
      <c r="C26" s="2767" t="s">
        <v>1771</v>
      </c>
      <c r="D26" s="2767" t="s">
        <v>778</v>
      </c>
      <c r="E26" s="2772">
        <f t="shared" si="0"/>
        <v>0.69444444444444442</v>
      </c>
      <c r="F26" s="2772">
        <f>IF($D26="Trigger",VLOOKUP("*"&amp;$C26&amp;"*",'Lower Cask Weld Failures'!$D$53:$G$622,4,FALSE),E26+F25)</f>
        <v>84.878539002345633</v>
      </c>
      <c r="G26" s="2777"/>
      <c r="H26" s="2818" t="s">
        <v>263</v>
      </c>
      <c r="I26" s="2771" t="s">
        <v>1538</v>
      </c>
      <c r="J26" s="2767" t="s">
        <v>799</v>
      </c>
      <c r="K26" s="2767" t="s">
        <v>1203</v>
      </c>
      <c r="L26" s="2819">
        <f>IFERROR(INDEX('Lower Cask Movement &amp; Logistics'!$I$13:$O$19,MATCH($J26,'Lower Cask Movement &amp; Logistics'!$H$13:$H$19,0),MATCH($K26,'Lower Cask Movement &amp; Logistics'!$H$13:$H$19,0)),"N/A")</f>
        <v>50</v>
      </c>
      <c r="M26" s="2819">
        <f>IFERROR(VLOOKUP($I26,'Lower Cask Movement &amp; Logistics'!$H$4:$I$8,2,FALSE),"N/A")</f>
        <v>0.02</v>
      </c>
      <c r="N26" s="2768">
        <f t="shared" si="2"/>
        <v>0.69444444444444442</v>
      </c>
      <c r="O26" s="2778"/>
      <c r="P26" s="2774" t="str">
        <f>IF($D26="Logistics",VLOOKUP($O26,'Lower Cask Movement &amp; Logistics'!$C$4:$D$54,2,FALSE),"N/A")</f>
        <v>N/A</v>
      </c>
      <c r="Q26" s="2764"/>
    </row>
    <row r="27" spans="1:19" s="2765" customFormat="1" ht="26.6" outlineLevel="1" thickBot="1" x14ac:dyDescent="0.45">
      <c r="A27" s="2754"/>
      <c r="B27" s="3868"/>
      <c r="C27" s="2779" t="str">
        <f>B21</f>
        <v>Removed Inboard blankets stored, New Inner Port Pipe Modules Collected and moved to port</v>
      </c>
      <c r="D27" s="2779" t="s">
        <v>11</v>
      </c>
      <c r="E27" s="2780">
        <f t="shared" si="0"/>
        <v>0</v>
      </c>
      <c r="F27" s="2780">
        <f>IF($D27="Trigger",VLOOKUP("*"&amp;$C27&amp;"*",'Lower Cask Weld Failures'!$D$53:$G$622,4,FALSE),E27+F26)</f>
        <v>84.878539002345633</v>
      </c>
      <c r="G27" s="2781"/>
      <c r="H27" s="2782" t="s">
        <v>263</v>
      </c>
      <c r="I27" s="2783"/>
      <c r="J27" s="2779"/>
      <c r="K27" s="2779"/>
      <c r="L27" s="2784" t="str">
        <f>IFERROR(INDEX('Lower Cask Movement &amp; Logistics'!$I$13:$O$19,MATCH($J27,'Lower Cask Movement &amp; Logistics'!$H$13:$H$19,0),MATCH($K27,'Lower Cask Movement &amp; Logistics'!$H$13:$H$19,0)),"N/A")</f>
        <v>N/A</v>
      </c>
      <c r="M27" s="2784" t="str">
        <f>IFERROR(VLOOKUP($I27,'Lower Cask Movement &amp; Logistics'!$H$4:$I$8,2,FALSE),"N/A")</f>
        <v>N/A</v>
      </c>
      <c r="N27" s="2785" t="str">
        <f t="shared" si="2"/>
        <v>N/A</v>
      </c>
      <c r="O27" s="2786"/>
      <c r="P27" s="2787" t="str">
        <f>IF($D27="Logistics",VLOOKUP($O27,'Lower Cask Movement &amp; Logistics'!$C$4:$D$54,2,FALSE),"N/A")</f>
        <v>N/A</v>
      </c>
      <c r="Q27" s="2764"/>
    </row>
    <row r="28" spans="1:19" s="2765" customFormat="1" ht="14.6" outlineLevel="1" x14ac:dyDescent="0.4">
      <c r="A28" s="2754"/>
      <c r="B28" s="3863" t="s">
        <v>1869</v>
      </c>
      <c r="C28" s="2788" t="s">
        <v>1641</v>
      </c>
      <c r="D28" s="2788" t="s">
        <v>907</v>
      </c>
      <c r="E28" s="2803">
        <f t="shared" si="0"/>
        <v>0</v>
      </c>
      <c r="F28" s="2803">
        <f>IF($D28="Trigger",VLOOKUP("*"&amp;$C28&amp;"*",'Lower Cask Weld Failures'!$D$53:$G$622,4,FALSE),E28+F27)</f>
        <v>103.8607694180987</v>
      </c>
      <c r="G28" s="2808"/>
      <c r="H28" s="2820" t="s">
        <v>263</v>
      </c>
      <c r="I28" s="2802"/>
      <c r="J28" s="2798"/>
      <c r="K28" s="2798"/>
      <c r="L28" s="2821" t="str">
        <f>IFERROR(INDEX('Lower Cask Movement &amp; Logistics'!$I$13:$O$19,MATCH($J28,'Lower Cask Movement &amp; Logistics'!$H$13:$H$19,0),MATCH($K28,'Lower Cask Movement &amp; Logistics'!$H$13:$H$19,0)),"N/A")</f>
        <v>N/A</v>
      </c>
      <c r="M28" s="2821" t="str">
        <f>IFERROR(VLOOKUP($I28,'Lower Cask Movement &amp; Logistics'!$H$4:$I$8,2,FALSE),"N/A")</f>
        <v>N/A</v>
      </c>
      <c r="N28" s="2799" t="str">
        <f t="shared" si="2"/>
        <v>N/A</v>
      </c>
      <c r="O28" s="2809"/>
      <c r="P28" s="2805" t="str">
        <f>IF($D28="Logistics",VLOOKUP($O28,'Lower Cask Movement &amp; Logistics'!$C$4:$D$54,2,FALSE),"N/A")</f>
        <v>N/A</v>
      </c>
      <c r="Q28" s="2764"/>
    </row>
    <row r="29" spans="1:19" s="2765" customFormat="1" ht="14.6" outlineLevel="1" x14ac:dyDescent="0.4">
      <c r="A29" s="2754"/>
      <c r="B29" s="3864"/>
      <c r="C29" s="2797" t="s">
        <v>1772</v>
      </c>
      <c r="D29" s="2797" t="s">
        <v>778</v>
      </c>
      <c r="E29" s="2803">
        <f t="shared" si="0"/>
        <v>0.23148148148148148</v>
      </c>
      <c r="F29" s="2803">
        <f>IF($D29="Trigger",VLOOKUP("*"&amp;$C29&amp;"*",'Lower Cask Weld Failures'!$D$53:$G$622,4,FALSE),E29+F28)</f>
        <v>104.09225089958018</v>
      </c>
      <c r="G29" s="2808"/>
      <c r="H29" s="2820" t="s">
        <v>263</v>
      </c>
      <c r="I29" s="2802" t="s">
        <v>1536</v>
      </c>
      <c r="J29" s="2798" t="s">
        <v>1203</v>
      </c>
      <c r="K29" s="2798" t="s">
        <v>914</v>
      </c>
      <c r="L29" s="2821">
        <f>IFERROR(INDEX('Lower Cask Movement &amp; Logistics'!$I$13:$O$19,MATCH($J29,'Lower Cask Movement &amp; Logistics'!$H$13:$H$19,0),MATCH($K29,'Lower Cask Movement &amp; Logistics'!$H$13:$H$19,0)),"N/A")</f>
        <v>50</v>
      </c>
      <c r="M29" s="2821">
        <f>IFERROR(VLOOKUP($I29,'Lower Cask Movement &amp; Logistics'!$H$4:$I$8,2,FALSE),"N/A")</f>
        <v>0.06</v>
      </c>
      <c r="N29" s="2799">
        <f t="shared" ref="N29:N41" si="3">IF(D29="Movement",IFERROR((L29/M29)/(60*60),"Error"),"N/A")</f>
        <v>0.23148148148148148</v>
      </c>
      <c r="O29" s="2809"/>
      <c r="P29" s="2805" t="str">
        <f>IF($D29="Logistics",VLOOKUP($O29,'Lower Cask Movement &amp; Logistics'!$C$4:$D$54,2,FALSE),"N/A")</f>
        <v>N/A</v>
      </c>
      <c r="Q29" s="2764"/>
    </row>
    <row r="30" spans="1:19" s="2765" customFormat="1" ht="14.6" outlineLevel="1" x14ac:dyDescent="0.4">
      <c r="A30" s="2754"/>
      <c r="B30" s="3864"/>
      <c r="C30" s="2797" t="s">
        <v>1773</v>
      </c>
      <c r="D30" s="2797" t="s">
        <v>3</v>
      </c>
      <c r="E30" s="2803">
        <f t="shared" si="0"/>
        <v>0.58000000000000007</v>
      </c>
      <c r="F30" s="2803">
        <f>IF($D30="Trigger",VLOOKUP("*"&amp;$C30&amp;"*",'Lower Cask Weld Failures'!$D$53:$G$622,4,FALSE),E30+F29)</f>
        <v>104.67225089958018</v>
      </c>
      <c r="G30" s="2808"/>
      <c r="H30" s="2820" t="s">
        <v>263</v>
      </c>
      <c r="I30" s="2802"/>
      <c r="J30" s="2798"/>
      <c r="K30" s="2798"/>
      <c r="L30" s="2821" t="str">
        <f>IFERROR(INDEX('Lower Cask Movement &amp; Logistics'!$I$13:$O$19,MATCH($J30,'Lower Cask Movement &amp; Logistics'!$H$13:$H$19,0),MATCH($K30,'Lower Cask Movement &amp; Logistics'!$H$13:$H$19,0)),"N/A")</f>
        <v>N/A</v>
      </c>
      <c r="M30" s="2821" t="str">
        <f>IFERROR(VLOOKUP($I30,'Lower Cask Movement &amp; Logistics'!$H$4:$I$8,2,FALSE),"N/A")</f>
        <v>N/A</v>
      </c>
      <c r="N30" s="2799" t="str">
        <f t="shared" si="3"/>
        <v>N/A</v>
      </c>
      <c r="O30" s="2809" t="s">
        <v>1539</v>
      </c>
      <c r="P30" s="2805">
        <f>IF($D30="Logistics",VLOOKUP($O30,'Lower Cask Movement &amp; Logistics'!$C$4:$D$54,2,FALSE),"N/A")</f>
        <v>0.58000000000000007</v>
      </c>
      <c r="Q30" s="2764"/>
    </row>
    <row r="31" spans="1:19" s="2765" customFormat="1" ht="14.6" outlineLevel="1" x14ac:dyDescent="0.4">
      <c r="A31" s="2754"/>
      <c r="B31" s="3864"/>
      <c r="C31" s="2798" t="s">
        <v>1737</v>
      </c>
      <c r="D31" s="2798" t="s">
        <v>778</v>
      </c>
      <c r="E31" s="2803">
        <f t="shared" si="0"/>
        <v>2.7777777777777776E-2</v>
      </c>
      <c r="F31" s="2803">
        <f>IF($D31="Trigger",VLOOKUP("*"&amp;$C31&amp;"*",'Lower Cask Weld Failures'!$D$53:$G$622,4,FALSE),E31+F30)</f>
        <v>104.70002867735795</v>
      </c>
      <c r="G31" s="2808"/>
      <c r="H31" s="2820" t="s">
        <v>263</v>
      </c>
      <c r="I31" s="2802" t="s">
        <v>1738</v>
      </c>
      <c r="J31" s="2798" t="s">
        <v>914</v>
      </c>
      <c r="K31" s="2798" t="s">
        <v>799</v>
      </c>
      <c r="L31" s="2821">
        <f>IFERROR(INDEX('Lower Cask Movement &amp; Logistics'!$I$13:$O$19,MATCH($J31,'Lower Cask Movement &amp; Logistics'!$H$13:$H$19,0),MATCH($K31,'Lower Cask Movement &amp; Logistics'!$H$13:$H$19,0)),"N/A")</f>
        <v>20</v>
      </c>
      <c r="M31" s="2821">
        <f>IFERROR(VLOOKUP($I31,'Lower Cask Movement &amp; Logistics'!$H$4:$I$8,2,FALSE),"N/A")</f>
        <v>0.2</v>
      </c>
      <c r="N31" s="2799">
        <f t="shared" si="3"/>
        <v>2.7777777777777776E-2</v>
      </c>
      <c r="O31" s="2809"/>
      <c r="P31" s="2805" t="str">
        <f>IF($D31="Logistics",VLOOKUP($O31,'Lower Cask Movement &amp; Logistics'!$C$4:$D$54,2,FALSE),"N/A")</f>
        <v>N/A</v>
      </c>
      <c r="Q31" s="2764"/>
    </row>
    <row r="32" spans="1:19" s="2765" customFormat="1" ht="14.6" outlineLevel="1" x14ac:dyDescent="0.4">
      <c r="A32" s="2754"/>
      <c r="B32" s="3864"/>
      <c r="C32" s="2798" t="s">
        <v>1942</v>
      </c>
      <c r="D32" s="2798" t="s">
        <v>3</v>
      </c>
      <c r="E32" s="2803">
        <f t="shared" si="0"/>
        <v>0.78</v>
      </c>
      <c r="F32" s="2803">
        <f>IF($D32="Trigger",VLOOKUP("*"&amp;$C32&amp;"*",'Lower Cask Weld Failures'!$D$53:$G$622,4,FALSE),E32+F31)</f>
        <v>105.48002867735795</v>
      </c>
      <c r="G32" s="2808"/>
      <c r="H32" s="2820" t="s">
        <v>263</v>
      </c>
      <c r="I32" s="2802"/>
      <c r="J32" s="2798"/>
      <c r="K32" s="2798"/>
      <c r="L32" s="2821" t="str">
        <f>IFERROR(INDEX('Lower Cask Movement &amp; Logistics'!$I$13:$O$19,MATCH($J32,'Lower Cask Movement &amp; Logistics'!$H$13:$H$19,0),MATCH($K32,'Lower Cask Movement &amp; Logistics'!$H$13:$H$19,0)),"N/A")</f>
        <v>N/A</v>
      </c>
      <c r="M32" s="2821" t="str">
        <f>IFERROR(VLOOKUP($I32,'Lower Cask Movement &amp; Logistics'!$H$4:$I$8,2,FALSE),"N/A")</f>
        <v>N/A</v>
      </c>
      <c r="N32" s="2799" t="str">
        <f t="shared" si="3"/>
        <v>N/A</v>
      </c>
      <c r="O32" s="2809" t="s">
        <v>1740</v>
      </c>
      <c r="P32" s="2805">
        <f>IF($D32="Logistics",VLOOKUP($O32,'Lower Cask Movement &amp; Logistics'!$C$4:$D$54,2,FALSE),"N/A")</f>
        <v>0.78</v>
      </c>
      <c r="Q32" s="2764"/>
    </row>
    <row r="33" spans="1:17" s="2765" customFormat="1" ht="14.6" outlineLevel="1" x14ac:dyDescent="0.4">
      <c r="A33" s="2754"/>
      <c r="B33" s="3864"/>
      <c r="C33" s="2798" t="s">
        <v>1771</v>
      </c>
      <c r="D33" s="2798" t="s">
        <v>778</v>
      </c>
      <c r="E33" s="2803">
        <f t="shared" si="0"/>
        <v>0.69444444444444442</v>
      </c>
      <c r="F33" s="2803">
        <f>IF($D33="Trigger",VLOOKUP("*"&amp;$C33&amp;"*",'Lower Cask Weld Failures'!$D$53:$G$622,4,FALSE),E33+F32)</f>
        <v>106.17447312180239</v>
      </c>
      <c r="G33" s="2808"/>
      <c r="H33" s="2820" t="s">
        <v>263</v>
      </c>
      <c r="I33" s="2802" t="s">
        <v>1538</v>
      </c>
      <c r="J33" s="2798" t="s">
        <v>799</v>
      </c>
      <c r="K33" s="2798" t="s">
        <v>1203</v>
      </c>
      <c r="L33" s="2821">
        <f>IFERROR(INDEX('Lower Cask Movement &amp; Logistics'!$I$13:$O$19,MATCH($J33,'Lower Cask Movement &amp; Logistics'!$H$13:$H$19,0),MATCH($K33,'Lower Cask Movement &amp; Logistics'!$H$13:$H$19,0)),"N/A")</f>
        <v>50</v>
      </c>
      <c r="M33" s="2821">
        <f>IFERROR(VLOOKUP($I33,'Lower Cask Movement &amp; Logistics'!$H$4:$I$8,2,FALSE),"N/A")</f>
        <v>0.02</v>
      </c>
      <c r="N33" s="2799">
        <f t="shared" si="3"/>
        <v>0.69444444444444442</v>
      </c>
      <c r="O33" s="2809"/>
      <c r="P33" s="2805" t="str">
        <f>IF($D33="Logistics",VLOOKUP($O33,'Lower Cask Movement &amp; Logistics'!$C$4:$D$54,2,FALSE),"N/A")</f>
        <v>N/A</v>
      </c>
      <c r="Q33" s="2764"/>
    </row>
    <row r="34" spans="1:17" s="2765" customFormat="1" ht="26.6" outlineLevel="1" thickBot="1" x14ac:dyDescent="0.45">
      <c r="A34" s="2754"/>
      <c r="B34" s="3865"/>
      <c r="C34" s="2810" t="str">
        <f>B28</f>
        <v>Removed Inner Port Pipe Modules stored, New Inboard Pipe Modules Collected and moved to port</v>
      </c>
      <c r="D34" s="2810" t="s">
        <v>11</v>
      </c>
      <c r="E34" s="2811">
        <f t="shared" si="0"/>
        <v>0</v>
      </c>
      <c r="F34" s="2811">
        <f>IF($D34="Trigger",VLOOKUP("*"&amp;$C34&amp;"*",'Lower Cask Weld Failures'!$D$53:$G$622,4,FALSE),E34+F33)</f>
        <v>106.17447312180239</v>
      </c>
      <c r="G34" s="2812"/>
      <c r="H34" s="2813" t="s">
        <v>263</v>
      </c>
      <c r="I34" s="2814"/>
      <c r="J34" s="2810"/>
      <c r="K34" s="2810"/>
      <c r="L34" s="2815" t="str">
        <f>IFERROR(INDEX('Lower Cask Movement &amp; Logistics'!$I$13:$O$19,MATCH($J34,'Lower Cask Movement &amp; Logistics'!$H$13:$H$19,0),MATCH($K34,'Lower Cask Movement &amp; Logistics'!$H$13:$H$19,0)),"N/A")</f>
        <v>N/A</v>
      </c>
      <c r="M34" s="2815" t="str">
        <f>IFERROR(VLOOKUP($I34,'Lower Cask Movement &amp; Logistics'!$H$4:$I$8,2,FALSE),"N/A")</f>
        <v>N/A</v>
      </c>
      <c r="N34" s="2816" t="str">
        <f t="shared" si="3"/>
        <v>N/A</v>
      </c>
      <c r="O34" s="2817"/>
      <c r="P34" s="2822" t="str">
        <f>IF($D34="Logistics",VLOOKUP($O34,'Lower Cask Movement &amp; Logistics'!$C$4:$D$54,2,FALSE),"N/A")</f>
        <v>N/A</v>
      </c>
      <c r="Q34" s="2764"/>
    </row>
    <row r="35" spans="1:17" s="2765" customFormat="1" ht="14.6" outlineLevel="1" x14ac:dyDescent="0.4">
      <c r="A35" s="2754"/>
      <c r="B35" s="3866" t="s">
        <v>1870</v>
      </c>
      <c r="C35" s="2755" t="s">
        <v>1656</v>
      </c>
      <c r="D35" s="2755" t="s">
        <v>907</v>
      </c>
      <c r="E35" s="2772">
        <f t="shared" si="0"/>
        <v>0</v>
      </c>
      <c r="F35" s="2772">
        <f>IF($D35="Trigger",VLOOKUP("*"&amp;$C35&amp;"*",'Lower Cask Weld Failures'!$D$53:$G$622,4,FALSE),E35+F34)</f>
        <v>235.62656211206462</v>
      </c>
      <c r="G35" s="2777"/>
      <c r="H35" s="2818" t="s">
        <v>263</v>
      </c>
      <c r="I35" s="2771"/>
      <c r="J35" s="2767"/>
      <c r="K35" s="2767"/>
      <c r="L35" s="2819" t="str">
        <f>IFERROR(INDEX('Lower Cask Movement &amp; Logistics'!$I$13:$O$19,MATCH($J35,'Lower Cask Movement &amp; Logistics'!$H$13:$H$19,0),MATCH($K35,'Lower Cask Movement &amp; Logistics'!$H$13:$H$19,0)),"N/A")</f>
        <v>N/A</v>
      </c>
      <c r="M35" s="2819" t="str">
        <f>IFERROR(VLOOKUP($I35,'Lower Cask Movement &amp; Logistics'!$H$4:$I$8,2,FALSE),"N/A")</f>
        <v>N/A</v>
      </c>
      <c r="N35" s="2768" t="str">
        <f t="shared" si="3"/>
        <v>N/A</v>
      </c>
      <c r="O35" s="2778"/>
      <c r="P35" s="2774" t="str">
        <f>IF($D35="Logistics",VLOOKUP($O35,'Lower Cask Movement &amp; Logistics'!$C$4:$D$54,2,FALSE),"N/A")</f>
        <v>N/A</v>
      </c>
      <c r="Q35" s="2764"/>
    </row>
    <row r="36" spans="1:17" s="2765" customFormat="1" ht="14.6" outlineLevel="1" x14ac:dyDescent="0.4">
      <c r="A36" s="2754"/>
      <c r="B36" s="3867"/>
      <c r="C36" s="2766" t="s">
        <v>1772</v>
      </c>
      <c r="D36" s="2766" t="s">
        <v>778</v>
      </c>
      <c r="E36" s="2772">
        <f t="shared" si="0"/>
        <v>0.23148148148148148</v>
      </c>
      <c r="F36" s="2772">
        <f>IF($D36="Trigger",VLOOKUP("*"&amp;$C36&amp;"*",'Lower Cask Weld Failures'!$D$53:$G$622,4,FALSE),E36+F35)</f>
        <v>235.85804359354611</v>
      </c>
      <c r="G36" s="2777"/>
      <c r="H36" s="2818" t="s">
        <v>263</v>
      </c>
      <c r="I36" s="2771" t="s">
        <v>1536</v>
      </c>
      <c r="J36" s="2767" t="s">
        <v>1203</v>
      </c>
      <c r="K36" s="2767" t="s">
        <v>914</v>
      </c>
      <c r="L36" s="2819">
        <f>IFERROR(INDEX('Lower Cask Movement &amp; Logistics'!$I$13:$O$19,MATCH($J36,'Lower Cask Movement &amp; Logistics'!$H$13:$H$19,0),MATCH($K36,'Lower Cask Movement &amp; Logistics'!$H$13:$H$19,0)),"N/A")</f>
        <v>50</v>
      </c>
      <c r="M36" s="2819">
        <f>IFERROR(VLOOKUP($I36,'Lower Cask Movement &amp; Logistics'!$H$4:$I$8,2,FALSE),"N/A")</f>
        <v>0.06</v>
      </c>
      <c r="N36" s="2768">
        <f t="shared" si="3"/>
        <v>0.23148148148148148</v>
      </c>
      <c r="O36" s="2778"/>
      <c r="P36" s="2774" t="str">
        <f>IF($D36="Logistics",VLOOKUP($O36,'Lower Cask Movement &amp; Logistics'!$C$4:$D$54,2,FALSE),"N/A")</f>
        <v>N/A</v>
      </c>
      <c r="Q36" s="2764"/>
    </row>
    <row r="37" spans="1:17" s="2765" customFormat="1" ht="14.6" outlineLevel="1" x14ac:dyDescent="0.4">
      <c r="A37" s="2754"/>
      <c r="B37" s="3867"/>
      <c r="C37" s="2766" t="s">
        <v>1773</v>
      </c>
      <c r="D37" s="2766" t="s">
        <v>3</v>
      </c>
      <c r="E37" s="2772">
        <f t="shared" si="0"/>
        <v>0.58000000000000007</v>
      </c>
      <c r="F37" s="2772">
        <f>IF($D37="Trigger",VLOOKUP("*"&amp;$C37&amp;"*",'Lower Cask Weld Failures'!$D$53:$G$622,4,FALSE),E37+F36)</f>
        <v>236.43804359354613</v>
      </c>
      <c r="G37" s="2777"/>
      <c r="H37" s="2818" t="s">
        <v>263</v>
      </c>
      <c r="I37" s="2771"/>
      <c r="J37" s="2767"/>
      <c r="K37" s="2767"/>
      <c r="L37" s="2819" t="str">
        <f>IFERROR(INDEX('Lower Cask Movement &amp; Logistics'!$I$13:$O$19,MATCH($J37,'Lower Cask Movement &amp; Logistics'!$H$13:$H$19,0),MATCH($K37,'Lower Cask Movement &amp; Logistics'!$H$13:$H$19,0)),"N/A")</f>
        <v>N/A</v>
      </c>
      <c r="M37" s="2819" t="str">
        <f>IFERROR(VLOOKUP($I37,'Lower Cask Movement &amp; Logistics'!$H$4:$I$8,2,FALSE),"N/A")</f>
        <v>N/A</v>
      </c>
      <c r="N37" s="2768" t="str">
        <f t="shared" si="3"/>
        <v>N/A</v>
      </c>
      <c r="O37" s="2778" t="s">
        <v>1539</v>
      </c>
      <c r="P37" s="2774">
        <f>IF($D37="Logistics",VLOOKUP($O37,'Lower Cask Movement &amp; Logistics'!$C$4:$D$54,2,FALSE),"N/A")</f>
        <v>0.58000000000000007</v>
      </c>
      <c r="Q37" s="2764"/>
    </row>
    <row r="38" spans="1:17" s="2765" customFormat="1" ht="14.6" outlineLevel="1" x14ac:dyDescent="0.4">
      <c r="A38" s="2754"/>
      <c r="B38" s="3867"/>
      <c r="C38" s="2767" t="s">
        <v>1737</v>
      </c>
      <c r="D38" s="2767" t="s">
        <v>778</v>
      </c>
      <c r="E38" s="2772">
        <f t="shared" si="0"/>
        <v>2.7777777777777776E-2</v>
      </c>
      <c r="F38" s="2772">
        <f>IF($D38="Trigger",VLOOKUP("*"&amp;$C38&amp;"*",'Lower Cask Weld Failures'!$D$53:$G$622,4,FALSE),E38+F37)</f>
        <v>236.4658213713239</v>
      </c>
      <c r="G38" s="2777"/>
      <c r="H38" s="2818" t="s">
        <v>263</v>
      </c>
      <c r="I38" s="2771" t="s">
        <v>1738</v>
      </c>
      <c r="J38" s="2767" t="s">
        <v>914</v>
      </c>
      <c r="K38" s="2767" t="s">
        <v>799</v>
      </c>
      <c r="L38" s="2819">
        <f>IFERROR(INDEX('Lower Cask Movement &amp; Logistics'!$I$13:$O$19,MATCH($J38,'Lower Cask Movement &amp; Logistics'!$H$13:$H$19,0),MATCH($K38,'Lower Cask Movement &amp; Logistics'!$H$13:$H$19,0)),"N/A")</f>
        <v>20</v>
      </c>
      <c r="M38" s="2819">
        <f>IFERROR(VLOOKUP($I38,'Lower Cask Movement &amp; Logistics'!$H$4:$I$8,2,FALSE),"N/A")</f>
        <v>0.2</v>
      </c>
      <c r="N38" s="2768">
        <f t="shared" si="3"/>
        <v>2.7777777777777776E-2</v>
      </c>
      <c r="O38" s="2778"/>
      <c r="P38" s="2774" t="str">
        <f>IF($D38="Logistics",VLOOKUP($O38,'Lower Cask Movement &amp; Logistics'!$C$4:$D$54,2,FALSE),"N/A")</f>
        <v>N/A</v>
      </c>
      <c r="Q38" s="2764"/>
    </row>
    <row r="39" spans="1:17" s="2765" customFormat="1" ht="14.6" outlineLevel="1" x14ac:dyDescent="0.4">
      <c r="A39" s="2754"/>
      <c r="B39" s="3867"/>
      <c r="C39" s="2767" t="s">
        <v>1943</v>
      </c>
      <c r="D39" s="2767" t="s">
        <v>3</v>
      </c>
      <c r="E39" s="2772">
        <f t="shared" si="0"/>
        <v>0.78</v>
      </c>
      <c r="F39" s="2772">
        <f>IF($D39="Trigger",VLOOKUP("*"&amp;$C39&amp;"*",'Lower Cask Weld Failures'!$D$53:$G$622,4,FALSE),E39+F38)</f>
        <v>237.2458213713239</v>
      </c>
      <c r="G39" s="2777"/>
      <c r="H39" s="2818" t="s">
        <v>263</v>
      </c>
      <c r="I39" s="2771"/>
      <c r="J39" s="2767"/>
      <c r="K39" s="2767"/>
      <c r="L39" s="2819" t="str">
        <f>IFERROR(INDEX('Lower Cask Movement &amp; Logistics'!$I$13:$O$19,MATCH($J39,'Lower Cask Movement &amp; Logistics'!$H$13:$H$19,0),MATCH($K39,'Lower Cask Movement &amp; Logistics'!$H$13:$H$19,0)),"N/A")</f>
        <v>N/A</v>
      </c>
      <c r="M39" s="2819" t="str">
        <f>IFERROR(VLOOKUP($I39,'Lower Cask Movement &amp; Logistics'!$H$4:$I$8,2,FALSE),"N/A")</f>
        <v>N/A</v>
      </c>
      <c r="N39" s="2768" t="str">
        <f t="shared" si="3"/>
        <v>N/A</v>
      </c>
      <c r="O39" s="2778" t="s">
        <v>1740</v>
      </c>
      <c r="P39" s="2774">
        <f>IF($D39="Logistics",VLOOKUP($O39,'Lower Cask Movement &amp; Logistics'!$C$4:$D$54,2,FALSE),"N/A")</f>
        <v>0.78</v>
      </c>
      <c r="Q39" s="2764"/>
    </row>
    <row r="40" spans="1:17" s="2765" customFormat="1" ht="14.6" outlineLevel="1" x14ac:dyDescent="0.4">
      <c r="A40" s="2754"/>
      <c r="B40" s="3867"/>
      <c r="C40" s="2767" t="s">
        <v>1771</v>
      </c>
      <c r="D40" s="2767" t="s">
        <v>778</v>
      </c>
      <c r="E40" s="2772">
        <f t="shared" si="0"/>
        <v>0.69444444444444442</v>
      </c>
      <c r="F40" s="2772">
        <f>IF($D40="Trigger",VLOOKUP("*"&amp;$C40&amp;"*",'Lower Cask Weld Failures'!$D$53:$G$622,4,FALSE),E40+F39)</f>
        <v>237.94026581576836</v>
      </c>
      <c r="G40" s="2777"/>
      <c r="H40" s="2818" t="s">
        <v>263</v>
      </c>
      <c r="I40" s="2771" t="s">
        <v>1538</v>
      </c>
      <c r="J40" s="2767" t="s">
        <v>799</v>
      </c>
      <c r="K40" s="2767" t="s">
        <v>1203</v>
      </c>
      <c r="L40" s="2819">
        <f>IFERROR(INDEX('Lower Cask Movement &amp; Logistics'!$I$13:$O$19,MATCH($J40,'Lower Cask Movement &amp; Logistics'!$H$13:$H$19,0),MATCH($K40,'Lower Cask Movement &amp; Logistics'!$H$13:$H$19,0)),"N/A")</f>
        <v>50</v>
      </c>
      <c r="M40" s="2819">
        <f>IFERROR(VLOOKUP($I40,'Lower Cask Movement &amp; Logistics'!$H$4:$I$8,2,FALSE),"N/A")</f>
        <v>0.02</v>
      </c>
      <c r="N40" s="2768">
        <f t="shared" si="3"/>
        <v>0.69444444444444442</v>
      </c>
      <c r="O40" s="2778"/>
      <c r="P40" s="2774" t="str">
        <f>IF($D40="Logistics",VLOOKUP($O40,'Lower Cask Movement &amp; Logistics'!$C$4:$D$54,2,FALSE),"N/A")</f>
        <v>N/A</v>
      </c>
      <c r="Q40" s="2764"/>
    </row>
    <row r="41" spans="1:17" s="2765" customFormat="1" ht="26.6" outlineLevel="1" thickBot="1" x14ac:dyDescent="0.45">
      <c r="A41" s="2754"/>
      <c r="B41" s="3868"/>
      <c r="C41" s="2779" t="str">
        <f>B35</f>
        <v>Inner Port Pipe Cask stored; New Outboard Pipe Modules Collected and moved to port</v>
      </c>
      <c r="D41" s="2779" t="s">
        <v>11</v>
      </c>
      <c r="E41" s="2780">
        <f t="shared" si="0"/>
        <v>0</v>
      </c>
      <c r="F41" s="2780">
        <f>IF($D41="Trigger",VLOOKUP("*"&amp;$C41&amp;"*",'Lower Cask Weld Failures'!$D$53:$G$622,4,FALSE),E41+F40)</f>
        <v>237.94026581576836</v>
      </c>
      <c r="G41" s="2781"/>
      <c r="H41" s="2782" t="s">
        <v>263</v>
      </c>
      <c r="I41" s="2783"/>
      <c r="J41" s="2779"/>
      <c r="K41" s="2779"/>
      <c r="L41" s="2784" t="str">
        <f>IFERROR(INDEX('Lower Cask Movement &amp; Logistics'!$I$13:$O$19,MATCH($J41,'Lower Cask Movement &amp; Logistics'!$H$13:$H$19,0),MATCH($K41,'Lower Cask Movement &amp; Logistics'!$H$13:$H$19,0)),"N/A")</f>
        <v>N/A</v>
      </c>
      <c r="M41" s="2784" t="str">
        <f>IFERROR(VLOOKUP($I41,'Lower Cask Movement &amp; Logistics'!$H$4:$I$8,2,FALSE),"N/A")</f>
        <v>N/A</v>
      </c>
      <c r="N41" s="2785" t="str">
        <f t="shared" si="3"/>
        <v>N/A</v>
      </c>
      <c r="O41" s="2786"/>
      <c r="P41" s="2787" t="str">
        <f>IF($D41="Logistics",VLOOKUP($O41,'Lower Cask Movement &amp; Logistics'!$C$4:$D$54,2,FALSE),"N/A")</f>
        <v>N/A</v>
      </c>
      <c r="Q41" s="2764"/>
    </row>
    <row r="42" spans="1:17" ht="12.75" customHeight="1" outlineLevel="1" x14ac:dyDescent="0.4">
      <c r="A42" s="2754"/>
      <c r="B42" s="3863" t="s">
        <v>1944</v>
      </c>
      <c r="C42" s="2823" t="s">
        <v>1862</v>
      </c>
      <c r="D42" s="2823" t="s">
        <v>907</v>
      </c>
      <c r="E42" s="2824">
        <f t="shared" si="0"/>
        <v>0</v>
      </c>
      <c r="F42" s="2796">
        <f>IF($D42="Trigger",VLOOKUP("*"&amp;$C42&amp;"*",'Lower Cask Weld Failures'!$D$53:$G$622,4,FALSE),E42+F27)</f>
        <v>0</v>
      </c>
      <c r="G42" s="2790"/>
      <c r="H42" s="2791" t="s">
        <v>263</v>
      </c>
      <c r="I42" s="2823"/>
      <c r="J42" s="2823"/>
      <c r="K42" s="2823"/>
      <c r="L42" s="2824" t="str">
        <f>IFERROR(INDEX('Lower Cask Movement &amp; Logistics'!$I$13:$O$19,MATCH($J42,'Lower Cask Movement &amp; Logistics'!$H$13:$H$19,0),MATCH($K42,'Lower Cask Movement &amp; Logistics'!$H$13:$H$19,0)),"N/A")</f>
        <v>N/A</v>
      </c>
      <c r="M42" s="2824" t="str">
        <f>IFERROR(VLOOKUP($I42,'Lower Cask Movement &amp; Logistics'!$H$4:$I$8,2,FALSE),"N/A")</f>
        <v>N/A</v>
      </c>
      <c r="N42" s="2824" t="str">
        <f t="shared" si="1"/>
        <v>N/A</v>
      </c>
      <c r="O42" s="2795"/>
      <c r="P42" s="2796" t="str">
        <f>IF($D42="Logistics",VLOOKUP($O42,'Lower Cask Movement &amp; Logistics'!$C$4:$D$54,2,FALSE),"N/A")</f>
        <v>N/A</v>
      </c>
    </row>
    <row r="43" spans="1:17" ht="12.75" customHeight="1" outlineLevel="1" x14ac:dyDescent="0.4">
      <c r="A43" s="2754"/>
      <c r="B43" s="3864"/>
      <c r="C43" s="2825" t="s">
        <v>1945</v>
      </c>
      <c r="D43" s="2825" t="s">
        <v>251</v>
      </c>
      <c r="E43" s="2826">
        <f t="shared" si="0"/>
        <v>111.87944444444439</v>
      </c>
      <c r="F43" s="2805">
        <f>IF($D43="Trigger",VLOOKUP("*"&amp;$C43&amp;"*",'Lower Cask Weld Failures'!$D$53:$G$622,4,FALSE),E43+F42)</f>
        <v>111.87944444444439</v>
      </c>
      <c r="G43" s="2808" t="s">
        <v>134</v>
      </c>
      <c r="H43" s="2805">
        <f>VLOOKUP(G43,'Upper Hot Cell Welding failures'!$E$46:$I$123,5,FALSE)</f>
        <v>111.87944444444439</v>
      </c>
      <c r="I43" s="2825"/>
      <c r="J43" s="2825"/>
      <c r="K43" s="2825"/>
      <c r="L43" s="2826" t="str">
        <f>IFERROR(INDEX('Lower Cask Movement &amp; Logistics'!$I$13:$O$19,MATCH($J43,'Lower Cask Movement &amp; Logistics'!$H$13:$H$19,0),MATCH($K43,'Lower Cask Movement &amp; Logistics'!$H$13:$H$19,0)),"N/A")</f>
        <v>N/A</v>
      </c>
      <c r="M43" s="2826" t="str">
        <f>IFERROR(VLOOKUP($I43,'Lower Cask Movement &amp; Logistics'!$H$4:$I$8,2,FALSE),"N/A")</f>
        <v>N/A</v>
      </c>
      <c r="N43" s="2826" t="str">
        <f t="shared" si="1"/>
        <v>N/A</v>
      </c>
      <c r="O43" s="2809"/>
      <c r="P43" s="2805" t="str">
        <f>IF($D43="Logistics",VLOOKUP($O43,'Lower Cask Movement &amp; Logistics'!$C$4:$D$54,2,FALSE),"N/A")</f>
        <v>N/A</v>
      </c>
    </row>
    <row r="44" spans="1:17" ht="13.5" customHeight="1" outlineLevel="1" thickBot="1" x14ac:dyDescent="0.45">
      <c r="A44" s="2754"/>
      <c r="B44" s="3865"/>
      <c r="C44" s="2827" t="str">
        <f>B42</f>
        <v>COB Blanket segment installed</v>
      </c>
      <c r="D44" s="2827" t="s">
        <v>11</v>
      </c>
      <c r="E44" s="2828">
        <f t="shared" si="0"/>
        <v>0</v>
      </c>
      <c r="F44" s="2822">
        <f>IF($D44="Trigger",VLOOKUP("*"&amp;$C44&amp;"*",'Lower Cask Weld Failures'!$D$53:$G$622,4,FALSE),E44+F43)</f>
        <v>111.87944444444439</v>
      </c>
      <c r="G44" s="2812"/>
      <c r="H44" s="2813" t="s">
        <v>263</v>
      </c>
      <c r="I44" s="2827"/>
      <c r="J44" s="2827"/>
      <c r="K44" s="2827"/>
      <c r="L44" s="2828" t="str">
        <f>IFERROR(INDEX('Lower Cask Movement &amp; Logistics'!$I$13:$O$19,MATCH($J44,'Lower Cask Movement &amp; Logistics'!$H$13:$H$19,0),MATCH($K44,'Lower Cask Movement &amp; Logistics'!$H$13:$H$19,0)),"N/A")</f>
        <v>N/A</v>
      </c>
      <c r="M44" s="2828" t="str">
        <f>IFERROR(VLOOKUP($I44,'Lower Cask Movement &amp; Logistics'!$H$4:$I$8,2,FALSE),"N/A")</f>
        <v>N/A</v>
      </c>
      <c r="N44" s="2828" t="str">
        <f t="shared" si="1"/>
        <v>N/A</v>
      </c>
      <c r="O44" s="2817"/>
      <c r="P44" s="2822" t="str">
        <f>IF($D44="Logistics",VLOOKUP($O44,'Lower Cask Movement &amp; Logistics'!$C$4:$D$54,2,FALSE),"N/A")</f>
        <v>N/A</v>
      </c>
    </row>
    <row r="45" spans="1:17" ht="12.75" customHeight="1" outlineLevel="1" x14ac:dyDescent="0.4">
      <c r="A45" s="2754"/>
      <c r="B45" s="3863" t="s">
        <v>1946</v>
      </c>
      <c r="C45" s="2823" t="s">
        <v>1862</v>
      </c>
      <c r="D45" s="2823" t="s">
        <v>907</v>
      </c>
      <c r="E45" s="2824">
        <f t="shared" si="0"/>
        <v>0</v>
      </c>
      <c r="F45" s="2796">
        <f>IF($D45="Trigger",VLOOKUP("*"&amp;$C45&amp;"*",'Lower Cask Weld Failures'!$D$53:$G$622,4,FALSE),E45+F44)</f>
        <v>0</v>
      </c>
      <c r="G45" s="2790"/>
      <c r="H45" s="2791" t="s">
        <v>263</v>
      </c>
      <c r="I45" s="2823"/>
      <c r="J45" s="2823"/>
      <c r="K45" s="2823"/>
      <c r="L45" s="2824" t="str">
        <f>IFERROR(INDEX('Lower Cask Movement &amp; Logistics'!$I$13:$O$19,MATCH($J45,'Lower Cask Movement &amp; Logistics'!$H$13:$H$19,0),MATCH($K45,'Lower Cask Movement &amp; Logistics'!$H$13:$H$19,0)),"N/A")</f>
        <v>N/A</v>
      </c>
      <c r="M45" s="2824" t="str">
        <f>IFERROR(VLOOKUP($I45,'Lower Cask Movement &amp; Logistics'!$H$4:$I$8,2,FALSE),"N/A")</f>
        <v>N/A</v>
      </c>
      <c r="N45" s="2824" t="str">
        <f t="shared" si="1"/>
        <v>N/A</v>
      </c>
      <c r="O45" s="2795"/>
      <c r="P45" s="2796" t="str">
        <f>IF($D45="Logistics",VLOOKUP($O45,'Lower Cask Movement &amp; Logistics'!$C$4:$D$54,2,FALSE),"N/A")</f>
        <v>N/A</v>
      </c>
    </row>
    <row r="46" spans="1:17" ht="12.75" customHeight="1" outlineLevel="1" x14ac:dyDescent="0.4">
      <c r="A46" s="2754"/>
      <c r="B46" s="3864"/>
      <c r="C46" s="2825" t="s">
        <v>1945</v>
      </c>
      <c r="D46" s="2825" t="s">
        <v>251</v>
      </c>
      <c r="E46" s="2826">
        <f t="shared" si="0"/>
        <v>331.25989681952478</v>
      </c>
      <c r="F46" s="2805">
        <f>IF($D46="Trigger",VLOOKUP("*"&amp;$C46&amp;"*",'Lower Cask Weld Failures'!$D$53:$G$622,4,FALSE),E46+F45)</f>
        <v>331.25989681952478</v>
      </c>
      <c r="G46" s="2808" t="s">
        <v>1097</v>
      </c>
      <c r="H46" s="2805">
        <f>VLOOKUP(G46,'Upper Hot Cell Welding failures'!$E$46:$I$123,5,FALSE)</f>
        <v>331.25989681952478</v>
      </c>
      <c r="I46" s="2825"/>
      <c r="J46" s="2825"/>
      <c r="K46" s="2825"/>
      <c r="L46" s="2826" t="str">
        <f>IFERROR(INDEX('Lower Cask Movement &amp; Logistics'!$I$13:$O$19,MATCH($J46,'Lower Cask Movement &amp; Logistics'!$H$13:$H$19,0),MATCH($K46,'Lower Cask Movement &amp; Logistics'!$H$13:$H$19,0)),"N/A")</f>
        <v>N/A</v>
      </c>
      <c r="M46" s="2826" t="str">
        <f>IFERROR(VLOOKUP($I46,'Lower Cask Movement &amp; Logistics'!$H$4:$I$8,2,FALSE),"N/A")</f>
        <v>N/A</v>
      </c>
      <c r="N46" s="2826" t="str">
        <f t="shared" si="1"/>
        <v>N/A</v>
      </c>
      <c r="O46" s="2809"/>
      <c r="P46" s="2805" t="str">
        <f>IF($D46="Logistics",VLOOKUP($O46,'Lower Cask Movement &amp; Logistics'!$C$4:$D$54,2,FALSE),"N/A")</f>
        <v>N/A</v>
      </c>
    </row>
    <row r="47" spans="1:17" ht="13.5" customHeight="1" outlineLevel="1" thickBot="1" x14ac:dyDescent="0.45">
      <c r="A47" s="2754"/>
      <c r="B47" s="3865"/>
      <c r="C47" s="2827" t="str">
        <f>B45</f>
        <v>COB Upper Port Pipe Module installed</v>
      </c>
      <c r="D47" s="2827" t="s">
        <v>11</v>
      </c>
      <c r="E47" s="2828">
        <f t="shared" si="0"/>
        <v>0</v>
      </c>
      <c r="F47" s="2822">
        <f>IF($D47="Trigger",VLOOKUP("*"&amp;$C47&amp;"*",'Lower Cask Weld Failures'!$D$53:$G$622,4,FALSE),E47+F46)</f>
        <v>331.25989681952478</v>
      </c>
      <c r="G47" s="2812"/>
      <c r="H47" s="2813" t="s">
        <v>263</v>
      </c>
      <c r="I47" s="2827"/>
      <c r="J47" s="2827"/>
      <c r="K47" s="2827"/>
      <c r="L47" s="2828" t="str">
        <f>IFERROR(INDEX('Lower Cask Movement &amp; Logistics'!$I$13:$O$19,MATCH($J47,'Lower Cask Movement &amp; Logistics'!$H$13:$H$19,0),MATCH($K47,'Lower Cask Movement &amp; Logistics'!$H$13:$H$19,0)),"N/A")</f>
        <v>N/A</v>
      </c>
      <c r="M47" s="2828" t="str">
        <f>IFERROR(VLOOKUP($I47,'Lower Cask Movement &amp; Logistics'!$H$4:$I$8,2,FALSE),"N/A")</f>
        <v>N/A</v>
      </c>
      <c r="N47" s="2828" t="str">
        <f t="shared" si="1"/>
        <v>N/A</v>
      </c>
      <c r="O47" s="2817"/>
      <c r="P47" s="2822" t="str">
        <f>IF($D47="Logistics",VLOOKUP($O47,'Lower Cask Movement &amp; Logistics'!$C$4:$D$54,2,FALSE),"N/A")</f>
        <v>N/A</v>
      </c>
    </row>
    <row r="48" spans="1:17" ht="12.75" customHeight="1" outlineLevel="1" x14ac:dyDescent="0.4">
      <c r="A48" s="2754"/>
      <c r="B48" s="3863" t="s">
        <v>1947</v>
      </c>
      <c r="C48" s="2823" t="s">
        <v>1862</v>
      </c>
      <c r="D48" s="2823" t="s">
        <v>907</v>
      </c>
      <c r="E48" s="2824">
        <f t="shared" si="0"/>
        <v>0</v>
      </c>
      <c r="F48" s="2796">
        <f>IF($D48="Trigger",VLOOKUP("*"&amp;$C48&amp;"*",'Lower Cask Weld Failures'!$D$53:$G$622,4,FALSE),E48+F47)</f>
        <v>0</v>
      </c>
      <c r="G48" s="2790"/>
      <c r="H48" s="2791" t="s">
        <v>263</v>
      </c>
      <c r="I48" s="2823"/>
      <c r="J48" s="2823"/>
      <c r="K48" s="2823"/>
      <c r="L48" s="2824" t="str">
        <f>IFERROR(INDEX('Lower Cask Movement &amp; Logistics'!$I$13:$O$19,MATCH($J48,'Lower Cask Movement &amp; Logistics'!$H$13:$H$19,0),MATCH($K48,'Lower Cask Movement &amp; Logistics'!$H$13:$H$19,0)),"N/A")</f>
        <v>N/A</v>
      </c>
      <c r="M48" s="2824" t="str">
        <f>IFERROR(VLOOKUP($I48,'Lower Cask Movement &amp; Logistics'!$H$4:$I$8,2,FALSE),"N/A")</f>
        <v>N/A</v>
      </c>
      <c r="N48" s="2824" t="str">
        <f t="shared" si="1"/>
        <v>N/A</v>
      </c>
      <c r="O48" s="2795"/>
      <c r="P48" s="2796" t="str">
        <f>IF($D48="Logistics",VLOOKUP($O48,'Lower Cask Movement &amp; Logistics'!$C$4:$D$54,2,FALSE),"N/A")</f>
        <v>N/A</v>
      </c>
    </row>
    <row r="49" spans="1:16" ht="12.75" customHeight="1" outlineLevel="1" x14ac:dyDescent="0.4">
      <c r="A49" s="2754"/>
      <c r="B49" s="3864"/>
      <c r="C49" s="2825" t="s">
        <v>1945</v>
      </c>
      <c r="D49" s="2825" t="s">
        <v>251</v>
      </c>
      <c r="E49" s="2826">
        <f t="shared" si="0"/>
        <v>106.06999999999995</v>
      </c>
      <c r="F49" s="2805">
        <f>IF($D49="Trigger",VLOOKUP("*"&amp;$C49&amp;"*",'Lower Cask Weld Failures'!$D$53:$G$622,4,FALSE),E49+F48)</f>
        <v>106.06999999999995</v>
      </c>
      <c r="G49" s="2808" t="s">
        <v>133</v>
      </c>
      <c r="H49" s="2805">
        <f>VLOOKUP(G49,'Upper Hot Cell Welding failures'!$E$46:$I$123,5,FALSE)</f>
        <v>106.06999999999995</v>
      </c>
      <c r="I49" s="2825"/>
      <c r="J49" s="2825"/>
      <c r="K49" s="2825"/>
      <c r="L49" s="2826" t="str">
        <f>IFERROR(INDEX('Lower Cask Movement &amp; Logistics'!$I$13:$O$19,MATCH($J49,'Lower Cask Movement &amp; Logistics'!$H$13:$H$19,0),MATCH($K49,'Lower Cask Movement &amp; Logistics'!$H$13:$H$19,0)),"N/A")</f>
        <v>N/A</v>
      </c>
      <c r="M49" s="2826" t="str">
        <f>IFERROR(VLOOKUP($I49,'Lower Cask Movement &amp; Logistics'!$H$4:$I$8,2,FALSE),"N/A")</f>
        <v>N/A</v>
      </c>
      <c r="N49" s="2826" t="str">
        <f t="shared" si="1"/>
        <v>N/A</v>
      </c>
      <c r="O49" s="2809"/>
      <c r="P49" s="2805" t="str">
        <f>IF($D49="Logistics",VLOOKUP($O49,'Lower Cask Movement &amp; Logistics'!$C$4:$D$54,2,FALSE),"N/A")</f>
        <v>N/A</v>
      </c>
    </row>
    <row r="50" spans="1:16" ht="13.5" customHeight="1" outlineLevel="1" thickBot="1" x14ac:dyDescent="0.45">
      <c r="A50" s="2754"/>
      <c r="B50" s="3865"/>
      <c r="C50" s="2827" t="str">
        <f>B48</f>
        <v>LOB Blanket segment installed</v>
      </c>
      <c r="D50" s="2827" t="s">
        <v>11</v>
      </c>
      <c r="E50" s="2828">
        <f t="shared" si="0"/>
        <v>0</v>
      </c>
      <c r="F50" s="2822">
        <f>IF($D50="Trigger",VLOOKUP("*"&amp;$C50&amp;"*",'Lower Cask Weld Failures'!$D$53:$G$622,4,FALSE),E50+F49)</f>
        <v>106.06999999999995</v>
      </c>
      <c r="G50" s="2812"/>
      <c r="H50" s="2813" t="s">
        <v>263</v>
      </c>
      <c r="I50" s="2827"/>
      <c r="J50" s="2827"/>
      <c r="K50" s="2827"/>
      <c r="L50" s="2828" t="str">
        <f>IFERROR(INDEX('Lower Cask Movement &amp; Logistics'!$I$13:$O$19,MATCH($J50,'Lower Cask Movement &amp; Logistics'!$H$13:$H$19,0),MATCH($K50,'Lower Cask Movement &amp; Logistics'!$H$13:$H$19,0)),"N/A")</f>
        <v>N/A</v>
      </c>
      <c r="M50" s="2828" t="str">
        <f>IFERROR(VLOOKUP($I50,'Lower Cask Movement &amp; Logistics'!$H$4:$I$8,2,FALSE),"N/A")</f>
        <v>N/A</v>
      </c>
      <c r="N50" s="2828" t="str">
        <f t="shared" si="1"/>
        <v>N/A</v>
      </c>
      <c r="O50" s="2817"/>
      <c r="P50" s="2822" t="str">
        <f>IF($D50="Logistics",VLOOKUP($O50,'Lower Cask Movement &amp; Logistics'!$C$4:$D$54,2,FALSE),"N/A")</f>
        <v>N/A</v>
      </c>
    </row>
    <row r="51" spans="1:16" ht="12.75" customHeight="1" outlineLevel="1" x14ac:dyDescent="0.4">
      <c r="A51" s="2754"/>
      <c r="B51" s="3863" t="s">
        <v>1948</v>
      </c>
      <c r="C51" s="2823" t="s">
        <v>1862</v>
      </c>
      <c r="D51" s="2823" t="s">
        <v>907</v>
      </c>
      <c r="E51" s="2824">
        <f t="shared" si="0"/>
        <v>0</v>
      </c>
      <c r="F51" s="2796">
        <f>IF($D51="Trigger",VLOOKUP("*"&amp;$C51&amp;"*",'Lower Cask Weld Failures'!$D$53:$G$622,4,FALSE),E51+F50)</f>
        <v>0</v>
      </c>
      <c r="G51" s="2790"/>
      <c r="H51" s="2791" t="s">
        <v>263</v>
      </c>
      <c r="I51" s="2823"/>
      <c r="J51" s="2823"/>
      <c r="K51" s="2823"/>
      <c r="L51" s="2824" t="str">
        <f>IFERROR(INDEX('Lower Cask Movement &amp; Logistics'!$I$13:$O$19,MATCH($J51,'Lower Cask Movement &amp; Logistics'!$H$13:$H$19,0),MATCH($K51,'Lower Cask Movement &amp; Logistics'!$H$13:$H$19,0)),"N/A")</f>
        <v>N/A</v>
      </c>
      <c r="M51" s="2824" t="str">
        <f>IFERROR(VLOOKUP($I51,'Lower Cask Movement &amp; Logistics'!$H$4:$I$8,2,FALSE),"N/A")</f>
        <v>N/A</v>
      </c>
      <c r="N51" s="2824" t="str">
        <f t="shared" si="1"/>
        <v>N/A</v>
      </c>
      <c r="O51" s="2795"/>
      <c r="P51" s="2796" t="str">
        <f>IF($D51="Logistics",VLOOKUP($O51,'Lower Cask Movement &amp; Logistics'!$C$4:$D$54,2,FALSE),"N/A")</f>
        <v>N/A</v>
      </c>
    </row>
    <row r="52" spans="1:16" ht="12.75" customHeight="1" outlineLevel="1" x14ac:dyDescent="0.4">
      <c r="A52" s="2754"/>
      <c r="B52" s="3864"/>
      <c r="C52" s="2825" t="s">
        <v>1945</v>
      </c>
      <c r="D52" s="2825" t="s">
        <v>251</v>
      </c>
      <c r="E52" s="2826">
        <f t="shared" si="0"/>
        <v>277.39327537876244</v>
      </c>
      <c r="F52" s="2805">
        <f>IF($D52="Trigger",VLOOKUP("*"&amp;$C52&amp;"*",'Lower Cask Weld Failures'!$D$53:$G$622,4,FALSE),E52+F51)</f>
        <v>277.39327537876244</v>
      </c>
      <c r="G52" s="2808" t="s">
        <v>1094</v>
      </c>
      <c r="H52" s="2805">
        <f>VLOOKUP(G52,'Upper Hot Cell Welding failures'!$E$46:$I$123,5,FALSE)</f>
        <v>277.39327537876244</v>
      </c>
      <c r="I52" s="2825"/>
      <c r="J52" s="2825"/>
      <c r="K52" s="2825"/>
      <c r="L52" s="2826" t="str">
        <f>IFERROR(INDEX('Lower Cask Movement &amp; Logistics'!$I$13:$O$19,MATCH($J52,'Lower Cask Movement &amp; Logistics'!$H$13:$H$19,0),MATCH($K52,'Lower Cask Movement &amp; Logistics'!$H$13:$H$19,0)),"N/A")</f>
        <v>N/A</v>
      </c>
      <c r="M52" s="2826" t="str">
        <f>IFERROR(VLOOKUP($I52,'Lower Cask Movement &amp; Logistics'!$H$4:$I$8,2,FALSE),"N/A")</f>
        <v>N/A</v>
      </c>
      <c r="N52" s="2826" t="str">
        <f t="shared" si="1"/>
        <v>N/A</v>
      </c>
      <c r="O52" s="2809"/>
      <c r="P52" s="2805" t="str">
        <f>IF($D52="Logistics",VLOOKUP($O52,'Lower Cask Movement &amp; Logistics'!$C$4:$D$54,2,FALSE),"N/A")</f>
        <v>N/A</v>
      </c>
    </row>
    <row r="53" spans="1:16" ht="13.5" customHeight="1" outlineLevel="1" thickBot="1" x14ac:dyDescent="0.45">
      <c r="A53" s="2754"/>
      <c r="B53" s="3865"/>
      <c r="C53" s="2827" t="str">
        <f>B51</f>
        <v>LOB Upper Port Pipe Module installed</v>
      </c>
      <c r="D53" s="2827" t="s">
        <v>11</v>
      </c>
      <c r="E53" s="2828">
        <f t="shared" si="0"/>
        <v>0</v>
      </c>
      <c r="F53" s="2822">
        <f>IF($D53="Trigger",VLOOKUP("*"&amp;$C53&amp;"*",'Lower Cask Weld Failures'!$D$53:$G$622,4,FALSE),E53+F52)</f>
        <v>277.39327537876244</v>
      </c>
      <c r="G53" s="2812"/>
      <c r="H53" s="2813" t="s">
        <v>263</v>
      </c>
      <c r="I53" s="2827"/>
      <c r="J53" s="2827"/>
      <c r="K53" s="2827"/>
      <c r="L53" s="2828" t="str">
        <f>IFERROR(INDEX('Lower Cask Movement &amp; Logistics'!$I$13:$O$19,MATCH($J53,'Lower Cask Movement &amp; Logistics'!$H$13:$H$19,0),MATCH($K53,'Lower Cask Movement &amp; Logistics'!$H$13:$H$19,0)),"N/A")</f>
        <v>N/A</v>
      </c>
      <c r="M53" s="2828" t="str">
        <f>IFERROR(VLOOKUP($I53,'Lower Cask Movement &amp; Logistics'!$H$4:$I$8,2,FALSE),"N/A")</f>
        <v>N/A</v>
      </c>
      <c r="N53" s="2828" t="str">
        <f t="shared" si="1"/>
        <v>N/A</v>
      </c>
      <c r="O53" s="2817"/>
      <c r="P53" s="2822" t="str">
        <f>IF($D53="Logistics",VLOOKUP($O53,'Lower Cask Movement &amp; Logistics'!$C$4:$D$54,2,FALSE),"N/A")</f>
        <v>N/A</v>
      </c>
    </row>
    <row r="54" spans="1:16" ht="12.75" customHeight="1" outlineLevel="1" x14ac:dyDescent="0.4">
      <c r="A54" s="2754"/>
      <c r="B54" s="3863" t="s">
        <v>1949</v>
      </c>
      <c r="C54" s="2823" t="s">
        <v>1862</v>
      </c>
      <c r="D54" s="2823" t="s">
        <v>907</v>
      </c>
      <c r="E54" s="2824">
        <f t="shared" si="0"/>
        <v>0</v>
      </c>
      <c r="F54" s="2796">
        <f>IF($D54="Trigger",VLOOKUP("*"&amp;$C54&amp;"*",'Lower Cask Weld Failures'!$D$53:$G$622,4,FALSE),E54+F53)</f>
        <v>0</v>
      </c>
      <c r="G54" s="2790"/>
      <c r="H54" s="2791" t="s">
        <v>263</v>
      </c>
      <c r="I54" s="2823"/>
      <c r="J54" s="2823"/>
      <c r="K54" s="2823"/>
      <c r="L54" s="2824" t="str">
        <f>IFERROR(INDEX('Lower Cask Movement &amp; Logistics'!$I$13:$O$19,MATCH($J54,'Lower Cask Movement &amp; Logistics'!$H$13:$H$19,0),MATCH($K54,'Lower Cask Movement &amp; Logistics'!$H$13:$H$19,0)),"N/A")</f>
        <v>N/A</v>
      </c>
      <c r="M54" s="2824" t="str">
        <f>IFERROR(VLOOKUP($I54,'Lower Cask Movement &amp; Logistics'!$H$4:$I$8,2,FALSE),"N/A")</f>
        <v>N/A</v>
      </c>
      <c r="N54" s="2824" t="str">
        <f t="shared" si="1"/>
        <v>N/A</v>
      </c>
      <c r="O54" s="2795"/>
      <c r="P54" s="2796" t="str">
        <f>IF($D54="Logistics",VLOOKUP($O54,'Lower Cask Movement &amp; Logistics'!$C$4:$D$54,2,FALSE),"N/A")</f>
        <v>N/A</v>
      </c>
    </row>
    <row r="55" spans="1:16" ht="12.75" customHeight="1" outlineLevel="1" x14ac:dyDescent="0.4">
      <c r="A55" s="2754"/>
      <c r="B55" s="3864"/>
      <c r="C55" s="2825" t="s">
        <v>1945</v>
      </c>
      <c r="D55" s="2825" t="s">
        <v>251</v>
      </c>
      <c r="E55" s="2826">
        <f t="shared" si="0"/>
        <v>100.26055555555551</v>
      </c>
      <c r="F55" s="2805">
        <f>IF($D55="Trigger",VLOOKUP("*"&amp;$C55&amp;"*",'Lower Cask Weld Failures'!$D$53:$G$622,4,FALSE),E55+F54)</f>
        <v>100.26055555555551</v>
      </c>
      <c r="G55" s="2808" t="s">
        <v>137</v>
      </c>
      <c r="H55" s="2805">
        <f>VLOOKUP(G55,'Upper Hot Cell Welding failures'!$E$46:$I$123,5,FALSE)</f>
        <v>100.26055555555551</v>
      </c>
      <c r="I55" s="2825"/>
      <c r="J55" s="2825"/>
      <c r="K55" s="2825"/>
      <c r="L55" s="2826" t="str">
        <f>IFERROR(INDEX('Lower Cask Movement &amp; Logistics'!$I$13:$O$19,MATCH($J55,'Lower Cask Movement &amp; Logistics'!$H$13:$H$19,0),MATCH($K55,'Lower Cask Movement &amp; Logistics'!$H$13:$H$19,0)),"N/A")</f>
        <v>N/A</v>
      </c>
      <c r="M55" s="2826" t="str">
        <f>IFERROR(VLOOKUP($I55,'Lower Cask Movement &amp; Logistics'!$H$4:$I$8,2,FALSE),"N/A")</f>
        <v>N/A</v>
      </c>
      <c r="N55" s="2826" t="str">
        <f t="shared" si="1"/>
        <v>N/A</v>
      </c>
      <c r="O55" s="2809"/>
      <c r="P55" s="2805" t="str">
        <f>IF($D55="Logistics",VLOOKUP($O55,'Lower Cask Movement &amp; Logistics'!$C$4:$D$54,2,FALSE),"N/A")</f>
        <v>N/A</v>
      </c>
    </row>
    <row r="56" spans="1:16" ht="13.5" customHeight="1" outlineLevel="1" thickBot="1" x14ac:dyDescent="0.45">
      <c r="A56" s="2754"/>
      <c r="B56" s="3865"/>
      <c r="C56" s="2827" t="str">
        <f>B54</f>
        <v>ROB Blanket segment installed</v>
      </c>
      <c r="D56" s="2827" t="s">
        <v>11</v>
      </c>
      <c r="E56" s="2828">
        <f t="shared" si="0"/>
        <v>0</v>
      </c>
      <c r="F56" s="2822">
        <f>IF($D56="Trigger",VLOOKUP("*"&amp;$C56&amp;"*",'Lower Cask Weld Failures'!$D$53:$G$622,4,FALSE),E56+F55)</f>
        <v>100.26055555555551</v>
      </c>
      <c r="G56" s="2812"/>
      <c r="H56" s="2813" t="s">
        <v>263</v>
      </c>
      <c r="I56" s="2827"/>
      <c r="J56" s="2827"/>
      <c r="K56" s="2827"/>
      <c r="L56" s="2828" t="str">
        <f>IFERROR(INDEX('Lower Cask Movement &amp; Logistics'!$I$13:$O$19,MATCH($J56,'Lower Cask Movement &amp; Logistics'!$H$13:$H$19,0),MATCH($K56,'Lower Cask Movement &amp; Logistics'!$H$13:$H$19,0)),"N/A")</f>
        <v>N/A</v>
      </c>
      <c r="M56" s="2828" t="str">
        <f>IFERROR(VLOOKUP($I56,'Lower Cask Movement &amp; Logistics'!$H$4:$I$8,2,FALSE),"N/A")</f>
        <v>N/A</v>
      </c>
      <c r="N56" s="2828" t="str">
        <f t="shared" si="1"/>
        <v>N/A</v>
      </c>
      <c r="O56" s="2817"/>
      <c r="P56" s="2822" t="str">
        <f>IF($D56="Logistics",VLOOKUP($O56,'Lower Cask Movement &amp; Logistics'!$C$4:$D$54,2,FALSE),"N/A")</f>
        <v>N/A</v>
      </c>
    </row>
    <row r="57" spans="1:16" ht="12.75" customHeight="1" outlineLevel="1" x14ac:dyDescent="0.4">
      <c r="A57" s="2754"/>
      <c r="B57" s="3863" t="s">
        <v>1950</v>
      </c>
      <c r="C57" s="2823" t="s">
        <v>1862</v>
      </c>
      <c r="D57" s="2823" t="s">
        <v>907</v>
      </c>
      <c r="E57" s="2824">
        <f t="shared" si="0"/>
        <v>0</v>
      </c>
      <c r="F57" s="2796">
        <f>IF($D57="Trigger",VLOOKUP("*"&amp;$C57&amp;"*",'Lower Cask Weld Failures'!$D$53:$G$622,4,FALSE),E57+F56)</f>
        <v>0</v>
      </c>
      <c r="G57" s="2790"/>
      <c r="H57" s="2791" t="s">
        <v>263</v>
      </c>
      <c r="I57" s="2823"/>
      <c r="J57" s="2823"/>
      <c r="K57" s="2823"/>
      <c r="L57" s="2824" t="str">
        <f>IFERROR(INDEX('Lower Cask Movement &amp; Logistics'!$I$13:$O$19,MATCH($J57,'Lower Cask Movement &amp; Logistics'!$H$13:$H$19,0),MATCH($K57,'Lower Cask Movement &amp; Logistics'!$H$13:$H$19,0)),"N/A")</f>
        <v>N/A</v>
      </c>
      <c r="M57" s="2824" t="str">
        <f>IFERROR(VLOOKUP($I57,'Lower Cask Movement &amp; Logistics'!$H$4:$I$8,2,FALSE),"N/A")</f>
        <v>N/A</v>
      </c>
      <c r="N57" s="2824" t="str">
        <f t="shared" si="1"/>
        <v>N/A</v>
      </c>
      <c r="O57" s="2795"/>
      <c r="P57" s="2796" t="str">
        <f>IF($D57="Logistics",VLOOKUP($O57,'Lower Cask Movement &amp; Logistics'!$C$4:$D$54,2,FALSE),"N/A")</f>
        <v>N/A</v>
      </c>
    </row>
    <row r="58" spans="1:16" ht="12.75" customHeight="1" outlineLevel="1" x14ac:dyDescent="0.4">
      <c r="A58" s="2754"/>
      <c r="B58" s="3864"/>
      <c r="C58" s="2825" t="s">
        <v>1945</v>
      </c>
      <c r="D58" s="2825" t="s">
        <v>251</v>
      </c>
      <c r="E58" s="2826">
        <f t="shared" si="0"/>
        <v>240.47332060466661</v>
      </c>
      <c r="F58" s="2805">
        <f>IF($D58="Trigger",VLOOKUP("*"&amp;$C58&amp;"*",'Lower Cask Weld Failures'!$D$53:$G$622,4,FALSE),E58+F57)</f>
        <v>240.47332060466661</v>
      </c>
      <c r="G58" s="2808" t="s">
        <v>1091</v>
      </c>
      <c r="H58" s="2805">
        <f>VLOOKUP(G58,'Upper Hot Cell Welding failures'!$E$46:$I$123,5,FALSE)</f>
        <v>240.47332060466661</v>
      </c>
      <c r="I58" s="2825"/>
      <c r="J58" s="2825"/>
      <c r="K58" s="2825"/>
      <c r="L58" s="2826" t="str">
        <f>IFERROR(INDEX('Lower Cask Movement &amp; Logistics'!$I$13:$O$19,MATCH($J58,'Lower Cask Movement &amp; Logistics'!$H$13:$H$19,0),MATCH($K58,'Lower Cask Movement &amp; Logistics'!$H$13:$H$19,0)),"N/A")</f>
        <v>N/A</v>
      </c>
      <c r="M58" s="2826" t="str">
        <f>IFERROR(VLOOKUP($I58,'Lower Cask Movement &amp; Logistics'!$H$4:$I$8,2,FALSE),"N/A")</f>
        <v>N/A</v>
      </c>
      <c r="N58" s="2826" t="str">
        <f t="shared" si="1"/>
        <v>N/A</v>
      </c>
      <c r="O58" s="2809"/>
      <c r="P58" s="2805" t="str">
        <f>IF($D58="Logistics",VLOOKUP($O58,'Lower Cask Movement &amp; Logistics'!$C$4:$D$54,2,FALSE),"N/A")</f>
        <v>N/A</v>
      </c>
    </row>
    <row r="59" spans="1:16" ht="13.5" customHeight="1" outlineLevel="1" thickBot="1" x14ac:dyDescent="0.45">
      <c r="A59" s="2754"/>
      <c r="B59" s="3865"/>
      <c r="C59" s="2827" t="str">
        <f>B57</f>
        <v>ROB Upper Port Pipe Module installed</v>
      </c>
      <c r="D59" s="2827" t="s">
        <v>11</v>
      </c>
      <c r="E59" s="2828">
        <f t="shared" si="0"/>
        <v>0</v>
      </c>
      <c r="F59" s="2822">
        <f>IF($D59="Trigger",VLOOKUP("*"&amp;$C59&amp;"*",'Lower Cask Weld Failures'!$D$53:$G$622,4,FALSE),E59+F58)</f>
        <v>240.47332060466661</v>
      </c>
      <c r="G59" s="2812"/>
      <c r="H59" s="2813" t="s">
        <v>263</v>
      </c>
      <c r="I59" s="2827"/>
      <c r="J59" s="2827"/>
      <c r="K59" s="2827"/>
      <c r="L59" s="2828" t="str">
        <f>IFERROR(INDEX('Lower Cask Movement &amp; Logistics'!$I$13:$O$19,MATCH($J59,'Lower Cask Movement &amp; Logistics'!$H$13:$H$19,0),MATCH($K59,'Lower Cask Movement &amp; Logistics'!$H$13:$H$19,0)),"N/A")</f>
        <v>N/A</v>
      </c>
      <c r="M59" s="2828" t="str">
        <f>IFERROR(VLOOKUP($I59,'Lower Cask Movement &amp; Logistics'!$H$4:$I$8,2,FALSE),"N/A")</f>
        <v>N/A</v>
      </c>
      <c r="N59" s="2828" t="str">
        <f t="shared" si="1"/>
        <v>N/A</v>
      </c>
      <c r="O59" s="2817"/>
      <c r="P59" s="2822" t="str">
        <f>IF($D59="Logistics",VLOOKUP($O59,'Lower Cask Movement &amp; Logistics'!$C$4:$D$54,2,FALSE),"N/A")</f>
        <v>N/A</v>
      </c>
    </row>
    <row r="60" spans="1:16" ht="12.75" customHeight="1" outlineLevel="1" x14ac:dyDescent="0.4">
      <c r="A60" s="2754"/>
      <c r="B60" s="3863" t="s">
        <v>1881</v>
      </c>
      <c r="C60" s="2823" t="s">
        <v>1862</v>
      </c>
      <c r="D60" s="2823" t="s">
        <v>907</v>
      </c>
      <c r="E60" s="2824">
        <f t="shared" si="0"/>
        <v>0</v>
      </c>
      <c r="F60" s="2796">
        <f>IF($D60="Trigger",VLOOKUP("*"&amp;$C60&amp;"*",'Lower Cask Weld Failures'!$D$53:$G$622,4,FALSE),E60+F59)</f>
        <v>0</v>
      </c>
      <c r="G60" s="2790"/>
      <c r="H60" s="2791" t="s">
        <v>263</v>
      </c>
      <c r="I60" s="2823"/>
      <c r="J60" s="2823"/>
      <c r="K60" s="2823"/>
      <c r="L60" s="2824" t="str">
        <f>IFERROR(INDEX('Lower Cask Movement &amp; Logistics'!$I$13:$O$19,MATCH($J60,'Lower Cask Movement &amp; Logistics'!$H$13:$H$19,0),MATCH($K60,'Lower Cask Movement &amp; Logistics'!$H$13:$H$19,0)),"N/A")</f>
        <v>N/A</v>
      </c>
      <c r="M60" s="2824" t="str">
        <f>IFERROR(VLOOKUP($I60,'Lower Cask Movement &amp; Logistics'!$H$4:$I$8,2,FALSE),"N/A")</f>
        <v>N/A</v>
      </c>
      <c r="N60" s="2824" t="str">
        <f t="shared" si="1"/>
        <v>N/A</v>
      </c>
      <c r="O60" s="2795"/>
      <c r="P60" s="2796" t="str">
        <f>IF($D60="Logistics",VLOOKUP($O60,'Lower Cask Movement &amp; Logistics'!$C$4:$D$54,2,FALSE),"N/A")</f>
        <v>N/A</v>
      </c>
    </row>
    <row r="61" spans="1:16" ht="12.75" customHeight="1" outlineLevel="1" x14ac:dyDescent="0.4">
      <c r="A61" s="2754"/>
      <c r="B61" s="3864"/>
      <c r="C61" s="2825" t="s">
        <v>1945</v>
      </c>
      <c r="D61" s="2825" t="s">
        <v>251</v>
      </c>
      <c r="E61" s="2826">
        <f t="shared" si="0"/>
        <v>215.32389748606744</v>
      </c>
      <c r="F61" s="2805">
        <f>IF($D61="Trigger",VLOOKUP("*"&amp;$C61&amp;"*",'Lower Cask Weld Failures'!$D$53:$G$622,4,FALSE),E61+F60)</f>
        <v>215.32389748606744</v>
      </c>
      <c r="G61" s="2808" t="s">
        <v>139</v>
      </c>
      <c r="H61" s="2805">
        <v>215.32389748606744</v>
      </c>
      <c r="I61" s="2825"/>
      <c r="J61" s="2825"/>
      <c r="K61" s="2825"/>
      <c r="L61" s="2826" t="str">
        <f>IFERROR(INDEX('Lower Cask Movement &amp; Logistics'!$I$13:$O$19,MATCH($J61,'Lower Cask Movement &amp; Logistics'!$H$13:$H$19,0),MATCH($K61,'Lower Cask Movement &amp; Logistics'!$H$13:$H$19,0)),"N/A")</f>
        <v>N/A</v>
      </c>
      <c r="M61" s="2826" t="str">
        <f>IFERROR(VLOOKUP($I61,'Lower Cask Movement &amp; Logistics'!$H$4:$I$8,2,FALSE),"N/A")</f>
        <v>N/A</v>
      </c>
      <c r="N61" s="2826" t="str">
        <f t="shared" si="1"/>
        <v>N/A</v>
      </c>
      <c r="O61" s="2809"/>
      <c r="P61" s="2805" t="str">
        <f>IF($D61="Logistics",VLOOKUP($O61,'Lower Cask Movement &amp; Logistics'!$C$4:$D$54,2,FALSE),"N/A")</f>
        <v>N/A</v>
      </c>
    </row>
    <row r="62" spans="1:16" ht="13.5" customHeight="1" outlineLevel="1" thickBot="1" x14ac:dyDescent="0.45">
      <c r="A62" s="2754"/>
      <c r="B62" s="3865"/>
      <c r="C62" s="2827" t="str">
        <f>B60</f>
        <v>LIB Blanket segment installed</v>
      </c>
      <c r="D62" s="2827" t="s">
        <v>11</v>
      </c>
      <c r="E62" s="2828">
        <f t="shared" si="0"/>
        <v>0</v>
      </c>
      <c r="F62" s="2822">
        <f>IF($D62="Trigger",VLOOKUP("*"&amp;$C62&amp;"*",'Lower Cask Weld Failures'!$D$53:$G$622,4,FALSE),E62+F61)</f>
        <v>215.32389748606744</v>
      </c>
      <c r="G62" s="2812"/>
      <c r="H62" s="2813" t="s">
        <v>263</v>
      </c>
      <c r="I62" s="2827"/>
      <c r="J62" s="2827"/>
      <c r="K62" s="2827"/>
      <c r="L62" s="2828" t="str">
        <f>IFERROR(INDEX('Lower Cask Movement &amp; Logistics'!$I$13:$O$19,MATCH($J62,'Lower Cask Movement &amp; Logistics'!$H$13:$H$19,0),MATCH($K62,'Lower Cask Movement &amp; Logistics'!$H$13:$H$19,0)),"N/A")</f>
        <v>N/A</v>
      </c>
      <c r="M62" s="2828" t="str">
        <f>IFERROR(VLOOKUP($I62,'Lower Cask Movement &amp; Logistics'!$H$4:$I$8,2,FALSE),"N/A")</f>
        <v>N/A</v>
      </c>
      <c r="N62" s="2828" t="str">
        <f t="shared" si="1"/>
        <v>N/A</v>
      </c>
      <c r="O62" s="2817"/>
      <c r="P62" s="2822" t="str">
        <f>IF($D62="Logistics",VLOOKUP($O62,'Lower Cask Movement &amp; Logistics'!$C$4:$D$54,2,FALSE),"N/A")</f>
        <v>N/A</v>
      </c>
    </row>
    <row r="63" spans="1:16" ht="12.75" customHeight="1" outlineLevel="1" x14ac:dyDescent="0.4">
      <c r="A63" s="2754"/>
      <c r="B63" s="3863" t="s">
        <v>1951</v>
      </c>
      <c r="C63" s="2823" t="s">
        <v>1862</v>
      </c>
      <c r="D63" s="2823" t="s">
        <v>907</v>
      </c>
      <c r="E63" s="2824">
        <f t="shared" si="0"/>
        <v>0</v>
      </c>
      <c r="F63" s="2796">
        <f>IF($D63="Trigger",VLOOKUP("*"&amp;$C63&amp;"*",'Lower Cask Weld Failures'!$D$53:$G$622,4,FALSE),E63+F62)</f>
        <v>0</v>
      </c>
      <c r="G63" s="2790"/>
      <c r="H63" s="2791" t="s">
        <v>263</v>
      </c>
      <c r="I63" s="2823"/>
      <c r="J63" s="2823"/>
      <c r="K63" s="2823"/>
      <c r="L63" s="2824" t="str">
        <f>IFERROR(INDEX('Lower Cask Movement &amp; Logistics'!$I$13:$O$19,MATCH($J63,'Lower Cask Movement &amp; Logistics'!$H$13:$H$19,0),MATCH($K63,'Lower Cask Movement &amp; Logistics'!$H$13:$H$19,0)),"N/A")</f>
        <v>N/A</v>
      </c>
      <c r="M63" s="2824" t="str">
        <f>IFERROR(VLOOKUP($I63,'Lower Cask Movement &amp; Logistics'!$H$4:$I$8,2,FALSE),"N/A")</f>
        <v>N/A</v>
      </c>
      <c r="N63" s="2824" t="str">
        <f t="shared" si="1"/>
        <v>N/A</v>
      </c>
      <c r="O63" s="2795"/>
      <c r="P63" s="2796" t="str">
        <f>IF($D63="Logistics",VLOOKUP($O63,'Lower Cask Movement &amp; Logistics'!$C$4:$D$54,2,FALSE),"N/A")</f>
        <v>N/A</v>
      </c>
    </row>
    <row r="64" spans="1:16" ht="12.75" customHeight="1" outlineLevel="1" x14ac:dyDescent="0.4">
      <c r="A64" s="2754"/>
      <c r="B64" s="3864"/>
      <c r="C64" s="2825" t="s">
        <v>1945</v>
      </c>
      <c r="D64" s="2825" t="s">
        <v>251</v>
      </c>
      <c r="E64" s="2826">
        <f t="shared" si="0"/>
        <v>168.51503249723754</v>
      </c>
      <c r="F64" s="2805">
        <f>IF($D64="Trigger",VLOOKUP("*"&amp;$C64&amp;"*",'Lower Cask Weld Failures'!$D$53:$G$622,4,FALSE),E64+F63)</f>
        <v>168.51503249723754</v>
      </c>
      <c r="G64" s="2808" t="s">
        <v>1088</v>
      </c>
      <c r="H64" s="2805">
        <f>VLOOKUP(G64,'Upper Hot Cell Welding failures'!$E$46:$I$123,5,FALSE)</f>
        <v>168.51503249723754</v>
      </c>
      <c r="I64" s="2825"/>
      <c r="J64" s="2825"/>
      <c r="K64" s="2825"/>
      <c r="L64" s="2826" t="str">
        <f>IFERROR(INDEX('Lower Cask Movement &amp; Logistics'!$I$13:$O$19,MATCH($J64,'Lower Cask Movement &amp; Logistics'!$H$13:$H$19,0),MATCH($K64,'Lower Cask Movement &amp; Logistics'!$H$13:$H$19,0)),"N/A")</f>
        <v>N/A</v>
      </c>
      <c r="M64" s="2826" t="str">
        <f>IFERROR(VLOOKUP($I64,'Lower Cask Movement &amp; Logistics'!$H$4:$I$8,2,FALSE),"N/A")</f>
        <v>N/A</v>
      </c>
      <c r="N64" s="2826" t="str">
        <f t="shared" si="1"/>
        <v>N/A</v>
      </c>
      <c r="O64" s="2809"/>
      <c r="P64" s="2805" t="str">
        <f>IF($D64="Logistics",VLOOKUP($O64,'Lower Cask Movement &amp; Logistics'!$C$4:$D$54,2,FALSE),"N/A")</f>
        <v>N/A</v>
      </c>
    </row>
    <row r="65" spans="1:19" ht="13.5" customHeight="1" outlineLevel="1" thickBot="1" x14ac:dyDescent="0.45">
      <c r="A65" s="2754"/>
      <c r="B65" s="3865"/>
      <c r="C65" s="2827" t="str">
        <f>B63</f>
        <v>LIB Upper Port Pipe Module installed</v>
      </c>
      <c r="D65" s="2827" t="s">
        <v>11</v>
      </c>
      <c r="E65" s="2828">
        <f t="shared" si="0"/>
        <v>0</v>
      </c>
      <c r="F65" s="2822">
        <f>IF($D65="Trigger",VLOOKUP("*"&amp;$C65&amp;"*",'Lower Cask Weld Failures'!$D$53:$G$622,4,FALSE),E65+F64)</f>
        <v>168.51503249723754</v>
      </c>
      <c r="G65" s="2812"/>
      <c r="H65" s="2813" t="s">
        <v>263</v>
      </c>
      <c r="I65" s="2827"/>
      <c r="J65" s="2827"/>
      <c r="K65" s="2827"/>
      <c r="L65" s="2828" t="str">
        <f>IFERROR(INDEX('Lower Cask Movement &amp; Logistics'!$I$13:$O$19,MATCH($J65,'Lower Cask Movement &amp; Logistics'!$H$13:$H$19,0),MATCH($K65,'Lower Cask Movement &amp; Logistics'!$H$13:$H$19,0)),"N/A")</f>
        <v>N/A</v>
      </c>
      <c r="M65" s="2828" t="str">
        <f>IFERROR(VLOOKUP($I65,'Lower Cask Movement &amp; Logistics'!$H$4:$I$8,2,FALSE),"N/A")</f>
        <v>N/A</v>
      </c>
      <c r="N65" s="2828" t="str">
        <f t="shared" si="1"/>
        <v>N/A</v>
      </c>
      <c r="O65" s="2817"/>
      <c r="P65" s="2822" t="str">
        <f>IF($D65="Logistics",VLOOKUP($O65,'Lower Cask Movement &amp; Logistics'!$C$4:$D$54,2,FALSE),"N/A")</f>
        <v>N/A</v>
      </c>
    </row>
    <row r="66" spans="1:19" ht="12.75" customHeight="1" outlineLevel="1" x14ac:dyDescent="0.4">
      <c r="A66" s="2754"/>
      <c r="B66" s="3863" t="s">
        <v>1880</v>
      </c>
      <c r="C66" s="2823" t="s">
        <v>1862</v>
      </c>
      <c r="D66" s="2823" t="s">
        <v>907</v>
      </c>
      <c r="E66" s="2824">
        <f t="shared" si="0"/>
        <v>0</v>
      </c>
      <c r="F66" s="2796">
        <f>IF($D66="Trigger",VLOOKUP("*"&amp;$C66&amp;"*",'Lower Cask Weld Failures'!$D$53:$G$622,4,FALSE),E66+F65)</f>
        <v>0</v>
      </c>
      <c r="G66" s="2790"/>
      <c r="H66" s="2791" t="s">
        <v>263</v>
      </c>
      <c r="I66" s="2823"/>
      <c r="J66" s="2823"/>
      <c r="K66" s="2823"/>
      <c r="L66" s="2824" t="str">
        <f>IFERROR(INDEX('Lower Cask Movement &amp; Logistics'!$I$13:$O$19,MATCH($J66,'Lower Cask Movement &amp; Logistics'!$H$13:$H$19,0),MATCH($K66,'Lower Cask Movement &amp; Logistics'!$H$13:$H$19,0)),"N/A")</f>
        <v>N/A</v>
      </c>
      <c r="M66" s="2824" t="str">
        <f>IFERROR(VLOOKUP($I66,'Lower Cask Movement &amp; Logistics'!$H$4:$I$8,2,FALSE),"N/A")</f>
        <v>N/A</v>
      </c>
      <c r="N66" s="2824" t="str">
        <f t="shared" si="1"/>
        <v>N/A</v>
      </c>
      <c r="O66" s="2795"/>
      <c r="P66" s="2796" t="str">
        <f>IF($D66="Logistics",VLOOKUP($O66,'Lower Cask Movement &amp; Logistics'!$C$4:$D$54,2,FALSE),"N/A")</f>
        <v>N/A</v>
      </c>
    </row>
    <row r="67" spans="1:19" ht="12.75" customHeight="1" outlineLevel="1" x14ac:dyDescent="0.4">
      <c r="A67" s="2754"/>
      <c r="B67" s="3864"/>
      <c r="C67" s="2825" t="s">
        <v>1945</v>
      </c>
      <c r="D67" s="2825" t="s">
        <v>251</v>
      </c>
      <c r="E67" s="2826">
        <f t="shared" si="0"/>
        <v>91.46166666666663</v>
      </c>
      <c r="F67" s="2805">
        <f>IF($D67="Trigger",VLOOKUP("*"&amp;$C67&amp;"*",'Lower Cask Weld Failures'!$D$53:$G$622,4,FALSE),E67+F66)</f>
        <v>91.46166666666663</v>
      </c>
      <c r="G67" s="2808" t="s">
        <v>141</v>
      </c>
      <c r="H67" s="2805">
        <f>VLOOKUP(G67,'Upper Hot Cell Welding failures'!$E$46:$I$123,5,FALSE)</f>
        <v>91.46166666666663</v>
      </c>
      <c r="I67" s="2825"/>
      <c r="J67" s="2825"/>
      <c r="K67" s="2825"/>
      <c r="L67" s="2826" t="str">
        <f>IFERROR(INDEX('Lower Cask Movement &amp; Logistics'!$I$13:$O$19,MATCH($J67,'Lower Cask Movement &amp; Logistics'!$H$13:$H$19,0),MATCH($K67,'Lower Cask Movement &amp; Logistics'!$H$13:$H$19,0)),"N/A")</f>
        <v>N/A</v>
      </c>
      <c r="M67" s="2826" t="str">
        <f>IFERROR(VLOOKUP($I67,'Lower Cask Movement &amp; Logistics'!$H$4:$I$8,2,FALSE),"N/A")</f>
        <v>N/A</v>
      </c>
      <c r="N67" s="2826" t="str">
        <f t="shared" si="1"/>
        <v>N/A</v>
      </c>
      <c r="O67" s="2809"/>
      <c r="P67" s="2805" t="str">
        <f>IF($D67="Logistics",VLOOKUP($O67,'Lower Cask Movement &amp; Logistics'!$C$4:$D$54,2,FALSE),"N/A")</f>
        <v>N/A</v>
      </c>
    </row>
    <row r="68" spans="1:19" ht="13.5" customHeight="1" outlineLevel="1" thickBot="1" x14ac:dyDescent="0.45">
      <c r="A68" s="2754"/>
      <c r="B68" s="3865"/>
      <c r="C68" s="2827" t="str">
        <f>B66</f>
        <v>RIB Blanket segment installed</v>
      </c>
      <c r="D68" s="2827" t="s">
        <v>11</v>
      </c>
      <c r="E68" s="2828">
        <f t="shared" si="0"/>
        <v>0</v>
      </c>
      <c r="F68" s="2822">
        <f>IF($D68="Trigger",VLOOKUP("*"&amp;$C68&amp;"*",'Lower Cask Weld Failures'!$D$53:$G$622,4,FALSE),E68+F67)</f>
        <v>91.46166666666663</v>
      </c>
      <c r="G68" s="2812"/>
      <c r="H68" s="2813" t="s">
        <v>263</v>
      </c>
      <c r="I68" s="2827"/>
      <c r="J68" s="2827"/>
      <c r="K68" s="2827"/>
      <c r="L68" s="2828" t="str">
        <f>IFERROR(INDEX('Lower Cask Movement &amp; Logistics'!$I$13:$O$19,MATCH($J68,'Lower Cask Movement &amp; Logistics'!$H$13:$H$19,0),MATCH($K68,'Lower Cask Movement &amp; Logistics'!$H$13:$H$19,0)),"N/A")</f>
        <v>N/A</v>
      </c>
      <c r="M68" s="2828" t="str">
        <f>IFERROR(VLOOKUP($I68,'Lower Cask Movement &amp; Logistics'!$H$4:$I$8,2,FALSE),"N/A")</f>
        <v>N/A</v>
      </c>
      <c r="N68" s="2828" t="str">
        <f t="shared" si="1"/>
        <v>N/A</v>
      </c>
      <c r="O68" s="2817"/>
      <c r="P68" s="2822" t="str">
        <f>IF($D68="Logistics",VLOOKUP($O68,'Lower Cask Movement &amp; Logistics'!$C$4:$D$54,2,FALSE),"N/A")</f>
        <v>N/A</v>
      </c>
    </row>
    <row r="69" spans="1:19" ht="12.75" customHeight="1" outlineLevel="1" x14ac:dyDescent="0.4">
      <c r="A69" s="2754"/>
      <c r="B69" s="3863" t="s">
        <v>1894</v>
      </c>
      <c r="C69" s="2823" t="s">
        <v>1862</v>
      </c>
      <c r="D69" s="2823" t="s">
        <v>907</v>
      </c>
      <c r="E69" s="2824">
        <f t="shared" si="0"/>
        <v>0</v>
      </c>
      <c r="F69" s="2796">
        <f>IF($D69="Trigger",VLOOKUP("*"&amp;$C69&amp;"*",'Lower Cask Weld Failures'!$D$53:$G$622,4,FALSE),E69+F68)</f>
        <v>0</v>
      </c>
      <c r="G69" s="2790"/>
      <c r="H69" s="2791" t="s">
        <v>263</v>
      </c>
      <c r="I69" s="2823"/>
      <c r="J69" s="2823"/>
      <c r="K69" s="2823"/>
      <c r="L69" s="2824" t="str">
        <f>IFERROR(INDEX('Lower Cask Movement &amp; Logistics'!$I$13:$O$19,MATCH($J69,'Lower Cask Movement &amp; Logistics'!$H$13:$H$19,0),MATCH($K69,'Lower Cask Movement &amp; Logistics'!$H$13:$H$19,0)),"N/A")</f>
        <v>N/A</v>
      </c>
      <c r="M69" s="2824" t="str">
        <f>IFERROR(VLOOKUP($I69,'Lower Cask Movement &amp; Logistics'!$H$4:$I$8,2,FALSE),"N/A")</f>
        <v>N/A</v>
      </c>
      <c r="N69" s="2824" t="str">
        <f t="shared" si="1"/>
        <v>N/A</v>
      </c>
      <c r="O69" s="2795"/>
      <c r="P69" s="2796" t="str">
        <f>IF($D69="Logistics",VLOOKUP($O69,'Lower Cask Movement &amp; Logistics'!$C$4:$D$54,2,FALSE),"N/A")</f>
        <v>N/A</v>
      </c>
    </row>
    <row r="70" spans="1:19" ht="12.75" customHeight="1" outlineLevel="1" x14ac:dyDescent="0.4">
      <c r="A70" s="2754"/>
      <c r="B70" s="3864"/>
      <c r="C70" s="2825" t="s">
        <v>1945</v>
      </c>
      <c r="D70" s="2825" t="s">
        <v>251</v>
      </c>
      <c r="E70" s="2826">
        <f t="shared" si="0"/>
        <v>116.66888888888883</v>
      </c>
      <c r="F70" s="2805">
        <f>IF($D70="Trigger",VLOOKUP("*"&amp;$C70&amp;"*",'Lower Cask Weld Failures'!$D$53:$G$622,4,FALSE),E70+F69)</f>
        <v>116.66888888888883</v>
      </c>
      <c r="G70" s="2808" t="s">
        <v>1085</v>
      </c>
      <c r="H70" s="2805">
        <f>VLOOKUP(G70,'Upper Hot Cell Welding failures'!$E$46:$I$123,5,FALSE)</f>
        <v>116.66888888888883</v>
      </c>
      <c r="I70" s="2825"/>
      <c r="J70" s="2825"/>
      <c r="K70" s="2825"/>
      <c r="L70" s="2826" t="str">
        <f>IFERROR(INDEX('Lower Cask Movement &amp; Logistics'!$I$13:$O$19,MATCH($J70,'Lower Cask Movement &amp; Logistics'!$H$13:$H$19,0),MATCH($K70,'Lower Cask Movement &amp; Logistics'!$H$13:$H$19,0)),"N/A")</f>
        <v>N/A</v>
      </c>
      <c r="M70" s="2826" t="str">
        <f>IFERROR(VLOOKUP($I70,'Lower Cask Movement &amp; Logistics'!$H$4:$I$8,2,FALSE),"N/A")</f>
        <v>N/A</v>
      </c>
      <c r="N70" s="2826" t="str">
        <f t="shared" si="1"/>
        <v>N/A</v>
      </c>
      <c r="O70" s="2809"/>
      <c r="P70" s="2805" t="str">
        <f>IF($D70="Logistics",VLOOKUP($O70,'Lower Cask Movement &amp; Logistics'!$C$4:$D$54,2,FALSE),"N/A")</f>
        <v>N/A</v>
      </c>
    </row>
    <row r="71" spans="1:19" ht="13.5" customHeight="1" outlineLevel="1" thickBot="1" x14ac:dyDescent="0.45">
      <c r="A71" s="2754"/>
      <c r="B71" s="3865"/>
      <c r="C71" s="2827" t="str">
        <f>B69</f>
        <v>RIB Upper Port Pipe Module installed</v>
      </c>
      <c r="D71" s="2827" t="s">
        <v>11</v>
      </c>
      <c r="E71" s="2828">
        <f t="shared" si="0"/>
        <v>0</v>
      </c>
      <c r="F71" s="2822">
        <f>IF($D71="Trigger",VLOOKUP("*"&amp;$C71&amp;"*",'Lower Cask Weld Failures'!$D$53:$G$622,4,FALSE),E71+F70)</f>
        <v>116.66888888888883</v>
      </c>
      <c r="G71" s="2812"/>
      <c r="H71" s="2813" t="s">
        <v>263</v>
      </c>
      <c r="I71" s="2827"/>
      <c r="J71" s="2827"/>
      <c r="K71" s="2827"/>
      <c r="L71" s="2828" t="str">
        <f>IFERROR(INDEX('Lower Cask Movement &amp; Logistics'!$I$13:$O$19,MATCH($J71,'Lower Cask Movement &amp; Logistics'!$H$13:$H$19,0),MATCH($K71,'Lower Cask Movement &amp; Logistics'!$H$13:$H$19,0)),"N/A")</f>
        <v>N/A</v>
      </c>
      <c r="M71" s="2828" t="str">
        <f>IFERROR(VLOOKUP($I71,'Lower Cask Movement &amp; Logistics'!$H$4:$I$8,2,FALSE),"N/A")</f>
        <v>N/A</v>
      </c>
      <c r="N71" s="2828" t="str">
        <f t="shared" si="1"/>
        <v>N/A</v>
      </c>
      <c r="O71" s="2817"/>
      <c r="P71" s="2822" t="str">
        <f>IF($D71="Logistics",VLOOKUP($O71,'Lower Cask Movement &amp; Logistics'!$C$4:$D$54,2,FALSE),"N/A")</f>
        <v>N/A</v>
      </c>
    </row>
    <row r="72" spans="1:19" s="2835" customFormat="1" ht="13.3" thickBot="1" x14ac:dyDescent="0.45">
      <c r="A72" s="2829"/>
      <c r="B72" s="2830"/>
      <c r="C72" s="2831"/>
      <c r="D72" s="2831"/>
      <c r="E72" s="2831"/>
      <c r="F72" s="2831"/>
      <c r="G72" s="2831"/>
      <c r="H72" s="2832"/>
      <c r="I72" s="2831"/>
      <c r="J72" s="2831"/>
      <c r="K72" s="2831"/>
      <c r="L72" s="2833"/>
      <c r="M72" s="2833"/>
      <c r="N72" s="2833"/>
      <c r="O72" s="2831"/>
      <c r="P72" s="2834"/>
    </row>
    <row r="73" spans="1:19" s="2835" customFormat="1" x14ac:dyDescent="0.4">
      <c r="A73" s="2836"/>
      <c r="B73" s="2837" t="s">
        <v>1952</v>
      </c>
      <c r="C73" s="2837"/>
      <c r="D73" s="2837"/>
      <c r="E73" s="2837"/>
      <c r="F73" s="2837"/>
      <c r="G73" s="2837"/>
      <c r="H73" s="2837"/>
      <c r="I73" s="2837"/>
      <c r="J73" s="2837"/>
      <c r="K73" s="2837"/>
      <c r="L73" s="2837"/>
      <c r="M73" s="2837"/>
      <c r="N73" s="2837"/>
      <c r="O73" s="2837"/>
      <c r="P73" s="2838"/>
    </row>
    <row r="74" spans="1:19" s="2835" customFormat="1" ht="13.3" outlineLevel="1" thickBot="1" x14ac:dyDescent="0.45">
      <c r="A74" s="2839"/>
      <c r="B74" s="2840"/>
      <c r="C74" s="2841"/>
      <c r="D74" s="2841"/>
      <c r="E74" s="2841"/>
      <c r="F74" s="2841"/>
      <c r="G74" s="2841"/>
      <c r="H74" s="2842"/>
      <c r="I74" s="2841"/>
      <c r="J74" s="2841"/>
      <c r="K74" s="2841"/>
      <c r="L74" s="2843"/>
      <c r="M74" s="2843"/>
      <c r="N74" s="2843"/>
      <c r="O74" s="2841"/>
      <c r="P74" s="2844"/>
    </row>
    <row r="75" spans="1:19" s="2764" customFormat="1" ht="14.6" outlineLevel="1" x14ac:dyDescent="0.4">
      <c r="A75" s="2839"/>
      <c r="B75" s="3866" t="s">
        <v>1631</v>
      </c>
      <c r="C75" s="2755" t="s">
        <v>1936</v>
      </c>
      <c r="D75" s="2755" t="s">
        <v>907</v>
      </c>
      <c r="E75" s="2756">
        <f t="shared" ref="E75:E134" si="4">MAX($P75,$N75,$H75)</f>
        <v>0</v>
      </c>
      <c r="F75" s="2756">
        <f>IF($D75="Trigger",VLOOKUP("*"&amp;$C75&amp;"*",'Lower Cask Weld Failures'!$D$142:$G$191,4,FALSE),E75+#REF!)</f>
        <v>0</v>
      </c>
      <c r="G75" s="2757"/>
      <c r="H75" s="2758" t="s">
        <v>263</v>
      </c>
      <c r="I75" s="2759"/>
      <c r="J75" s="2755"/>
      <c r="K75" s="2755"/>
      <c r="L75" s="2760" t="str">
        <f>IFERROR(INDEX('Lower Cask Movement &amp; Logistics'!$I$13:$O$19,MATCH($J75,'Lower Cask Movement &amp; Logistics'!$H$13:$H$19,0),MATCH($K75,'Lower Cask Movement &amp; Logistics'!$H$13:$H$19,0)),"N/A")</f>
        <v>N/A</v>
      </c>
      <c r="M75" s="2760" t="str">
        <f>IFERROR(VLOOKUP($I75,'Lower Cask Movement &amp; Logistics'!$H$4:$I$8,2,FALSE),"N/A")</f>
        <v>N/A</v>
      </c>
      <c r="N75" s="2761" t="str">
        <f t="shared" ref="N75:N84" si="5">IF(D75="Movement",IFERROR((L75/M75)/(60*60),"Error"),"N/A")</f>
        <v>N/A</v>
      </c>
      <c r="O75" s="2762"/>
      <c r="P75" s="2763" t="str">
        <f>IF($D75="Logistics",VLOOKUP($O75,'Lower Cask Movement &amp; Logistics'!$C$4:$D$54,2,FALSE),"N/A")</f>
        <v>N/A</v>
      </c>
      <c r="R75" s="2765"/>
      <c r="S75" s="2765"/>
    </row>
    <row r="76" spans="1:19" s="2764" customFormat="1" ht="14.6" outlineLevel="1" x14ac:dyDescent="0.4">
      <c r="A76" s="2839"/>
      <c r="B76" s="3867"/>
      <c r="C76" s="2766" t="s">
        <v>1732</v>
      </c>
      <c r="D76" s="2767" t="s">
        <v>778</v>
      </c>
      <c r="E76" s="2768">
        <f t="shared" si="4"/>
        <v>0.23148148148148148</v>
      </c>
      <c r="F76" s="2768">
        <f>IF($D76="Trigger",VLOOKUP("*"&amp;$C76&amp;"*",'Lower Cask Weld Failures'!$D$142:$G$191,4,FALSE),E76+F75)</f>
        <v>0.23148148148148148</v>
      </c>
      <c r="G76" s="2769"/>
      <c r="H76" s="2770" t="s">
        <v>263</v>
      </c>
      <c r="I76" s="2771" t="s">
        <v>1536</v>
      </c>
      <c r="J76" s="2767" t="s">
        <v>1203</v>
      </c>
      <c r="K76" s="2767" t="s">
        <v>914</v>
      </c>
      <c r="L76" s="2772">
        <f>IFERROR(INDEX('Lower Cask Movement &amp; Logistics'!$I$13:$O$19,MATCH($J76,'Lower Cask Movement &amp; Logistics'!$H$13:$H$19,0),MATCH($K76,'Lower Cask Movement &amp; Logistics'!$H$13:$H$19,0)),"N/A")</f>
        <v>50</v>
      </c>
      <c r="M76" s="2773">
        <f>IFERROR(VLOOKUP($I76,'Lower Cask Movement &amp; Logistics'!$H$4:$I$8,2,FALSE),"N/A")</f>
        <v>0.06</v>
      </c>
      <c r="N76" s="2774">
        <f t="shared" si="5"/>
        <v>0.23148148148148148</v>
      </c>
      <c r="O76" s="2775"/>
      <c r="P76" s="2776" t="str">
        <f>IF($D76="Logistics",VLOOKUP($O76,'Lower Cask Movement &amp; Logistics'!$C$4:$D$54,2,FALSE),"N/A")</f>
        <v>N/A</v>
      </c>
      <c r="R76" s="2765"/>
      <c r="S76" s="2765"/>
    </row>
    <row r="77" spans="1:19" s="2764" customFormat="1" ht="14.6" outlineLevel="1" x14ac:dyDescent="0.4">
      <c r="A77" s="2839"/>
      <c r="B77" s="3867"/>
      <c r="C77" s="2766" t="s">
        <v>1733</v>
      </c>
      <c r="D77" s="2767" t="s">
        <v>3</v>
      </c>
      <c r="E77" s="2768">
        <f t="shared" si="4"/>
        <v>1.9</v>
      </c>
      <c r="F77" s="2768">
        <f>IF($D77="Trigger",VLOOKUP("*"&amp;$C77&amp;"*",'Lower Cask Weld Failures'!$D$142:$G$191,4,FALSE),E77+F76)</f>
        <v>2.1314814814814813</v>
      </c>
      <c r="G77" s="2769"/>
      <c r="H77" s="2770" t="s">
        <v>263</v>
      </c>
      <c r="I77" s="2771"/>
      <c r="J77" s="2767"/>
      <c r="K77" s="2767"/>
      <c r="L77" s="2772" t="str">
        <f>IFERROR(INDEX('Lower Cask Movement &amp; Logistics'!$I$13:$O$19,MATCH($J77,'Lower Cask Movement &amp; Logistics'!$H$13:$H$19,0),MATCH($K77,'Lower Cask Movement &amp; Logistics'!$H$13:$H$19,0)),"N/A")</f>
        <v>N/A</v>
      </c>
      <c r="M77" s="2773" t="str">
        <f>IFERROR(VLOOKUP($I77,'Lower Cask Movement &amp; Logistics'!$H$4:$I$8,2,FALSE),"N/A")</f>
        <v>N/A</v>
      </c>
      <c r="N77" s="2774" t="str">
        <f t="shared" si="5"/>
        <v>N/A</v>
      </c>
      <c r="O77" s="2775" t="s">
        <v>1734</v>
      </c>
      <c r="P77" s="2776">
        <f>IF($D77="Logistics",VLOOKUP($O77,'Lower Cask Movement &amp; Logistics'!$C$4:$D$54,2,FALSE),"N/A")</f>
        <v>1.9</v>
      </c>
      <c r="R77" s="2765"/>
      <c r="S77" s="2765"/>
    </row>
    <row r="78" spans="1:19" s="2764" customFormat="1" ht="14.6" outlineLevel="1" x14ac:dyDescent="0.4">
      <c r="A78" s="2839"/>
      <c r="B78" s="3867"/>
      <c r="C78" s="2766" t="s">
        <v>1742</v>
      </c>
      <c r="D78" s="2767" t="s">
        <v>3</v>
      </c>
      <c r="E78" s="2768">
        <f t="shared" si="4"/>
        <v>0.58000000000000007</v>
      </c>
      <c r="F78" s="2768">
        <f>IF($D78="Trigger",VLOOKUP("*"&amp;$C78&amp;"*",'Lower Cask Weld Failures'!$D$142:$G$191,4,FALSE),E78+F77)</f>
        <v>2.7114814814814814</v>
      </c>
      <c r="G78" s="2769"/>
      <c r="H78" s="2770" t="s">
        <v>263</v>
      </c>
      <c r="I78" s="2771"/>
      <c r="J78" s="2767"/>
      <c r="K78" s="2767"/>
      <c r="L78" s="2772" t="str">
        <f>IFERROR(INDEX('Lower Cask Movement &amp; Logistics'!$I$13:$O$19,MATCH($J78,'Lower Cask Movement &amp; Logistics'!$H$13:$H$19,0),MATCH($K78,'Lower Cask Movement &amp; Logistics'!$H$13:$H$19,0)),"N/A")</f>
        <v>N/A</v>
      </c>
      <c r="M78" s="2773" t="str">
        <f>IFERROR(VLOOKUP($I78,'Lower Cask Movement &amp; Logistics'!$H$4:$I$8,2,FALSE),"N/A")</f>
        <v>N/A</v>
      </c>
      <c r="N78" s="2774" t="str">
        <f t="shared" si="5"/>
        <v>N/A</v>
      </c>
      <c r="O78" s="2775" t="s">
        <v>1539</v>
      </c>
      <c r="P78" s="2776">
        <f>IF($D78="Logistics",VLOOKUP($O78,'Lower Cask Movement &amp; Logistics'!$C$4:$D$54,2,FALSE),"N/A")</f>
        <v>0.58000000000000007</v>
      </c>
      <c r="R78" s="2765"/>
      <c r="S78" s="2765"/>
    </row>
    <row r="79" spans="1:19" s="2764" customFormat="1" ht="14.6" outlineLevel="1" x14ac:dyDescent="0.4">
      <c r="A79" s="2839"/>
      <c r="B79" s="3867"/>
      <c r="C79" s="2766" t="s">
        <v>1737</v>
      </c>
      <c r="D79" s="2767" t="s">
        <v>778</v>
      </c>
      <c r="E79" s="2768">
        <f t="shared" si="4"/>
        <v>2.7777777777777776E-2</v>
      </c>
      <c r="F79" s="2768">
        <f>IF($D79="Trigger",VLOOKUP("*"&amp;$C79&amp;"*",'Lower Cask Weld Failures'!$D$142:$G$191,4,FALSE),E79+F78)</f>
        <v>2.7392592592592591</v>
      </c>
      <c r="G79" s="2769"/>
      <c r="H79" s="2770" t="s">
        <v>263</v>
      </c>
      <c r="I79" s="2771" t="s">
        <v>1738</v>
      </c>
      <c r="J79" s="2767" t="s">
        <v>914</v>
      </c>
      <c r="K79" s="2767" t="s">
        <v>799</v>
      </c>
      <c r="L79" s="2772">
        <f>IFERROR(INDEX('Lower Cask Movement &amp; Logistics'!$I$13:$O$19,MATCH($J79,'Lower Cask Movement &amp; Logistics'!$H$13:$H$19,0),MATCH($K79,'Lower Cask Movement &amp; Logistics'!$H$13:$H$19,0)),"N/A")</f>
        <v>20</v>
      </c>
      <c r="M79" s="2773">
        <f>IFERROR(VLOOKUP($I79,'Lower Cask Movement &amp; Logistics'!$H$4:$I$8,2,FALSE),"N/A")</f>
        <v>0.2</v>
      </c>
      <c r="N79" s="2774">
        <f t="shared" si="5"/>
        <v>2.7777777777777776E-2</v>
      </c>
      <c r="O79" s="2775"/>
      <c r="P79" s="2776" t="str">
        <f>IF($D79="Logistics",VLOOKUP($O79,'Lower Cask Movement &amp; Logistics'!$C$4:$D$54,2,FALSE),"N/A")</f>
        <v>N/A</v>
      </c>
      <c r="R79" s="2765"/>
      <c r="S79" s="2765"/>
    </row>
    <row r="80" spans="1:19" s="2764" customFormat="1" ht="14.6" outlineLevel="1" x14ac:dyDescent="0.4">
      <c r="A80" s="2839"/>
      <c r="B80" s="3867"/>
      <c r="C80" s="2767" t="s">
        <v>1759</v>
      </c>
      <c r="D80" s="2767" t="s">
        <v>3</v>
      </c>
      <c r="E80" s="2768">
        <f t="shared" si="4"/>
        <v>0.78</v>
      </c>
      <c r="F80" s="2768">
        <f>IF($D80="Trigger",VLOOKUP("*"&amp;$C80&amp;"*",'Lower Cask Weld Failures'!$D$142:$G$191,4,FALSE),E80+F79)</f>
        <v>3.5192592592592593</v>
      </c>
      <c r="G80" s="2777"/>
      <c r="H80" s="2770" t="s">
        <v>263</v>
      </c>
      <c r="I80" s="2771"/>
      <c r="J80" s="2767"/>
      <c r="K80" s="2767"/>
      <c r="L80" s="2772" t="str">
        <f>IFERROR(INDEX('Lower Cask Movement &amp; Logistics'!$I$13:$O$19,MATCH($J80,'Lower Cask Movement &amp; Logistics'!$H$13:$H$19,0),MATCH($K80,'Lower Cask Movement &amp; Logistics'!$H$13:$H$19,0)),"N/A")</f>
        <v>N/A</v>
      </c>
      <c r="M80" s="2773" t="str">
        <f>IFERROR(VLOOKUP($I80,'Lower Cask Movement &amp; Logistics'!$H$4:$I$8,2,FALSE),"N/A")</f>
        <v>N/A</v>
      </c>
      <c r="N80" s="2774" t="str">
        <f t="shared" si="5"/>
        <v>N/A</v>
      </c>
      <c r="O80" s="2778" t="s">
        <v>1740</v>
      </c>
      <c r="P80" s="2776">
        <f>IF($D80="Logistics",VLOOKUP($O80,'Lower Cask Movement &amp; Logistics'!$C$4:$D$54,2,FALSE),"N/A")</f>
        <v>0.78</v>
      </c>
      <c r="R80" s="2765"/>
      <c r="S80" s="2765"/>
    </row>
    <row r="81" spans="1:19" s="2764" customFormat="1" ht="14.6" outlineLevel="1" x14ac:dyDescent="0.4">
      <c r="A81" s="2839"/>
      <c r="B81" s="3867"/>
      <c r="C81" s="2767" t="s">
        <v>1760</v>
      </c>
      <c r="D81" s="2767" t="s">
        <v>778</v>
      </c>
      <c r="E81" s="2768">
        <f t="shared" si="4"/>
        <v>0.69444444444444442</v>
      </c>
      <c r="F81" s="2768">
        <f>IF($D81="Trigger",VLOOKUP("*"&amp;$C81&amp;"*",'Lower Cask Weld Failures'!$D$142:$G$191,4,FALSE),E81+F80)</f>
        <v>4.213703703703704</v>
      </c>
      <c r="G81" s="2777"/>
      <c r="H81" s="2770" t="s">
        <v>263</v>
      </c>
      <c r="I81" s="2771" t="s">
        <v>1538</v>
      </c>
      <c r="J81" s="2767" t="s">
        <v>799</v>
      </c>
      <c r="K81" s="2767" t="s">
        <v>1203</v>
      </c>
      <c r="L81" s="2772">
        <f>IFERROR(INDEX('Lower Cask Movement &amp; Logistics'!$I$13:$O$19,MATCH($J81,'Lower Cask Movement &amp; Logistics'!$H$13:$H$19,0),MATCH($K81,'Lower Cask Movement &amp; Logistics'!$H$13:$H$19,0)),"N/A")</f>
        <v>50</v>
      </c>
      <c r="M81" s="2773">
        <f>IFERROR(VLOOKUP($I81,'Lower Cask Movement &amp; Logistics'!$H$4:$I$8,2,FALSE),"N/A")</f>
        <v>0.02</v>
      </c>
      <c r="N81" s="2774">
        <f t="shared" si="5"/>
        <v>0.69444444444444442</v>
      </c>
      <c r="O81" s="2778"/>
      <c r="P81" s="2776" t="str">
        <f>IF($D81="Logistics",VLOOKUP($O81,'Lower Cask Movement &amp; Logistics'!$C$4:$D$54,2,FALSE),"N/A")</f>
        <v>N/A</v>
      </c>
      <c r="R81" s="2765"/>
      <c r="S81" s="2765"/>
    </row>
    <row r="82" spans="1:19" s="2764" customFormat="1" ht="39.450000000000003" outlineLevel="1" thickBot="1" x14ac:dyDescent="0.45">
      <c r="A82" s="2839"/>
      <c r="B82" s="3868"/>
      <c r="C82" s="2779" t="s">
        <v>1631</v>
      </c>
      <c r="D82" s="2779" t="s">
        <v>11</v>
      </c>
      <c r="E82" s="2780">
        <f t="shared" si="4"/>
        <v>0</v>
      </c>
      <c r="F82" s="2780">
        <f>IF($D82="Trigger",VLOOKUP("*"&amp;$C82&amp;"*",'Lower Cask Weld Failures'!$D$142:$G$191,4,FALSE),E82+F81)</f>
        <v>4.213703703703704</v>
      </c>
      <c r="G82" s="2781"/>
      <c r="H82" s="2782" t="s">
        <v>263</v>
      </c>
      <c r="I82" s="2783"/>
      <c r="J82" s="2779"/>
      <c r="K82" s="2779"/>
      <c r="L82" s="2784" t="str">
        <f>IFERROR(INDEX('Lower Cask Movement &amp; Logistics'!$I$13:$O$19,MATCH($J82,'Lower Cask Movement &amp; Logistics'!$H$13:$H$19,0),MATCH($K82,'Lower Cask Movement &amp; Logistics'!$H$13:$H$19,0)),"N/A")</f>
        <v>N/A</v>
      </c>
      <c r="M82" s="2784" t="str">
        <f>IFERROR(VLOOKUP($I82,'Lower Cask Movement &amp; Logistics'!$H$4:$I$8,2,FALSE),"N/A")</f>
        <v>N/A</v>
      </c>
      <c r="N82" s="2785" t="str">
        <f t="shared" si="5"/>
        <v>N/A</v>
      </c>
      <c r="O82" s="2786"/>
      <c r="P82" s="2787" t="str">
        <f>IF($D82="Logistics",VLOOKUP($O82,'Lower Cask Movement &amp; Logistics'!$C$4:$D$54,2,FALSE),"N/A")</f>
        <v>N/A</v>
      </c>
      <c r="R82" s="2765"/>
      <c r="S82" s="2765"/>
    </row>
    <row r="83" spans="1:19" s="2764" customFormat="1" ht="15" customHeight="1" outlineLevel="1" x14ac:dyDescent="0.4">
      <c r="A83" s="2839"/>
      <c r="B83" s="3863" t="s">
        <v>1636</v>
      </c>
      <c r="C83" s="2788" t="s">
        <v>1937</v>
      </c>
      <c r="D83" s="2788" t="s">
        <v>907</v>
      </c>
      <c r="E83" s="2789">
        <f t="shared" si="4"/>
        <v>0</v>
      </c>
      <c r="F83" s="2789">
        <f>IF($D83="Trigger",VLOOKUP("*"&amp;$C83&amp;"*",'Lower Cask Weld Failures'!$D$142:$G$191,4,FALSE),E83+F82)</f>
        <v>29.175934119456777</v>
      </c>
      <c r="G83" s="2790"/>
      <c r="H83" s="2791" t="s">
        <v>263</v>
      </c>
      <c r="I83" s="2792"/>
      <c r="J83" s="2788"/>
      <c r="K83" s="2788"/>
      <c r="L83" s="2793" t="str">
        <f>IFERROR(INDEX('Lower Cask Movement &amp; Logistics'!$I$13:$O$19,MATCH($J83,'Lower Cask Movement &amp; Logistics'!$H$13:$H$19,0),MATCH($K83,'Lower Cask Movement &amp; Logistics'!$H$13:$H$19,0)),"N/A")</f>
        <v>N/A</v>
      </c>
      <c r="M83" s="2793" t="str">
        <f>IFERROR(VLOOKUP($I83,'Lower Cask Movement &amp; Logistics'!$H$4:$I$8,2,FALSE),"N/A")</f>
        <v>N/A</v>
      </c>
      <c r="N83" s="2794" t="str">
        <f t="shared" si="5"/>
        <v>N/A</v>
      </c>
      <c r="O83" s="2795"/>
      <c r="P83" s="2796" t="str">
        <f>IF($D83="Logistics",VLOOKUP($O83,'Lower Cask Movement &amp; Logistics'!$C$4:$D$54,2,FALSE),"N/A")</f>
        <v>N/A</v>
      </c>
      <c r="R83" s="2765"/>
      <c r="S83" s="2765"/>
    </row>
    <row r="84" spans="1:19" s="2764" customFormat="1" ht="15" customHeight="1" outlineLevel="1" x14ac:dyDescent="0.4">
      <c r="A84" s="2839"/>
      <c r="B84" s="3864"/>
      <c r="C84" s="2797" t="s">
        <v>1732</v>
      </c>
      <c r="D84" s="2798" t="s">
        <v>778</v>
      </c>
      <c r="E84" s="2799">
        <f t="shared" si="4"/>
        <v>0.23148148148148148</v>
      </c>
      <c r="F84" s="2799">
        <f>IF($D84="Trigger",VLOOKUP("*"&amp;$C84&amp;"*",'Lower Cask Weld Failures'!$D$142:$G$191,4,FALSE),E84+F83)</f>
        <v>29.407415600938258</v>
      </c>
      <c r="G84" s="2800"/>
      <c r="H84" s="2801" t="s">
        <v>263</v>
      </c>
      <c r="I84" s="2802" t="s">
        <v>1536</v>
      </c>
      <c r="J84" s="2798" t="s">
        <v>1203</v>
      </c>
      <c r="K84" s="2798" t="s">
        <v>914</v>
      </c>
      <c r="L84" s="2803">
        <f>IFERROR(INDEX('Lower Cask Movement &amp; Logistics'!$I$13:$O$19,MATCH($J84,'Lower Cask Movement &amp; Logistics'!$H$13:$H$19,0),MATCH($K84,'Lower Cask Movement &amp; Logistics'!$H$13:$H$19,0)),"N/A")</f>
        <v>50</v>
      </c>
      <c r="M84" s="2804">
        <f>IFERROR(VLOOKUP($I84,'Lower Cask Movement &amp; Logistics'!$H$4:$I$8,2,FALSE),"N/A")</f>
        <v>0.06</v>
      </c>
      <c r="N84" s="2805">
        <f t="shared" si="5"/>
        <v>0.23148148148148148</v>
      </c>
      <c r="O84" s="2806"/>
      <c r="P84" s="2807" t="str">
        <f>IF($D84="Logistics",VLOOKUP($O84,'Lower Cask Movement &amp; Logistics'!$C$4:$D$54,2,FALSE),"N/A")</f>
        <v>N/A</v>
      </c>
      <c r="R84" s="2765"/>
      <c r="S84" s="2765"/>
    </row>
    <row r="85" spans="1:19" s="2764" customFormat="1" ht="15" customHeight="1" outlineLevel="1" x14ac:dyDescent="0.4">
      <c r="A85" s="2839"/>
      <c r="B85" s="3864"/>
      <c r="C85" s="2797" t="s">
        <v>1751</v>
      </c>
      <c r="D85" s="2798" t="s">
        <v>3</v>
      </c>
      <c r="E85" s="2799">
        <f t="shared" si="4"/>
        <v>0.58000000000000007</v>
      </c>
      <c r="F85" s="2799">
        <f>IF($D85="Trigger",VLOOKUP("*"&amp;$C85&amp;"*",'Lower Cask Weld Failures'!$D$142:$G$191,4,FALSE),E85+F84)</f>
        <v>29.987415600938256</v>
      </c>
      <c r="G85" s="2800"/>
      <c r="H85" s="2801" t="s">
        <v>263</v>
      </c>
      <c r="I85" s="2802"/>
      <c r="J85" s="2798"/>
      <c r="K85" s="2798"/>
      <c r="L85" s="2803" t="str">
        <f>IFERROR(INDEX('Lower Cask Movement &amp; Logistics'!$I$13:$O$19,MATCH($J85,'Lower Cask Movement &amp; Logistics'!$H$13:$H$19,0),MATCH($K85,'Lower Cask Movement &amp; Logistics'!$H$13:$H$19,0)),"N/A")</f>
        <v>N/A</v>
      </c>
      <c r="M85" s="2804" t="str">
        <f>IFERROR(VLOOKUP($I85,'Lower Cask Movement &amp; Logistics'!$H$4:$I$8,2,FALSE),"N/A")</f>
        <v>N/A</v>
      </c>
      <c r="N85" s="2805" t="str">
        <f t="shared" ref="N85:N106" si="6">IF(D85="Movement",IFERROR((L85/M85)/(60*60),"Error"),"N/A")</f>
        <v>N/A</v>
      </c>
      <c r="O85" s="2806" t="s">
        <v>1539</v>
      </c>
      <c r="P85" s="2807">
        <f>IF($D85="Logistics",VLOOKUP($O85,'Lower Cask Movement &amp; Logistics'!$C$4:$D$54,2,FALSE),"N/A")</f>
        <v>0.58000000000000007</v>
      </c>
      <c r="R85" s="2765"/>
      <c r="S85" s="2765"/>
    </row>
    <row r="86" spans="1:19" s="2764" customFormat="1" ht="15" customHeight="1" outlineLevel="1" x14ac:dyDescent="0.4">
      <c r="A86" s="2839"/>
      <c r="B86" s="3864"/>
      <c r="C86" s="2797" t="s">
        <v>1737</v>
      </c>
      <c r="D86" s="2798" t="s">
        <v>778</v>
      </c>
      <c r="E86" s="2799">
        <f t="shared" si="4"/>
        <v>2.7777777777777776E-2</v>
      </c>
      <c r="F86" s="2799">
        <f>IF($D86="Trigger",VLOOKUP("*"&amp;$C86&amp;"*",'Lower Cask Weld Failures'!$D$142:$G$191,4,FALSE),E86+F85)</f>
        <v>30.015193378716035</v>
      </c>
      <c r="G86" s="2800"/>
      <c r="H86" s="2801" t="s">
        <v>263</v>
      </c>
      <c r="I86" s="2802" t="s">
        <v>1738</v>
      </c>
      <c r="J86" s="2798" t="s">
        <v>914</v>
      </c>
      <c r="K86" s="2798" t="s">
        <v>799</v>
      </c>
      <c r="L86" s="2803">
        <f>IFERROR(INDEX('Lower Cask Movement &amp; Logistics'!$I$13:$O$19,MATCH($J86,'Lower Cask Movement &amp; Logistics'!$H$13:$H$19,0),MATCH($K86,'Lower Cask Movement &amp; Logistics'!$H$13:$H$19,0)),"N/A")</f>
        <v>20</v>
      </c>
      <c r="M86" s="2804">
        <f>IFERROR(VLOOKUP($I86,'Lower Cask Movement &amp; Logistics'!$H$4:$I$8,2,FALSE),"N/A")</f>
        <v>0.2</v>
      </c>
      <c r="N86" s="2805">
        <f t="shared" si="6"/>
        <v>2.7777777777777776E-2</v>
      </c>
      <c r="O86" s="2806"/>
      <c r="P86" s="2807" t="str">
        <f>IF($D86="Logistics",VLOOKUP($O86,'Lower Cask Movement &amp; Logistics'!$C$4:$D$54,2,FALSE),"N/A")</f>
        <v>N/A</v>
      </c>
      <c r="R86" s="2765"/>
      <c r="S86" s="2765"/>
    </row>
    <row r="87" spans="1:19" s="2764" customFormat="1" ht="14.6" outlineLevel="1" x14ac:dyDescent="0.4">
      <c r="A87" s="2839"/>
      <c r="B87" s="3864"/>
      <c r="C87" s="2798" t="s">
        <v>1762</v>
      </c>
      <c r="D87" s="2798" t="s">
        <v>3</v>
      </c>
      <c r="E87" s="2799">
        <f t="shared" si="4"/>
        <v>0.88000000000000012</v>
      </c>
      <c r="F87" s="2799">
        <f>IF($D87="Trigger",VLOOKUP("*"&amp;$C87&amp;"*",'Lower Cask Weld Failures'!$D$142:$G$191,4,FALSE),E87+F86)</f>
        <v>30.895193378716034</v>
      </c>
      <c r="G87" s="2808"/>
      <c r="H87" s="2801" t="s">
        <v>263</v>
      </c>
      <c r="I87" s="2802"/>
      <c r="J87" s="2798"/>
      <c r="K87" s="2798"/>
      <c r="L87" s="2803" t="str">
        <f>IFERROR(INDEX('Lower Cask Movement &amp; Logistics'!$I$13:$O$19,MATCH($J87,'Lower Cask Movement &amp; Logistics'!$H$13:$H$19,0),MATCH($K87,'Lower Cask Movement &amp; Logistics'!$H$13:$H$19,0)),"N/A")</f>
        <v>N/A</v>
      </c>
      <c r="M87" s="2804" t="str">
        <f>IFERROR(VLOOKUP($I87,'Lower Cask Movement &amp; Logistics'!$H$4:$I$8,2,FALSE),"N/A")</f>
        <v>N/A</v>
      </c>
      <c r="N87" s="2805" t="str">
        <f t="shared" si="6"/>
        <v>N/A</v>
      </c>
      <c r="O87" s="2809" t="s">
        <v>1730</v>
      </c>
      <c r="P87" s="2807">
        <f>IF($D87="Logistics",VLOOKUP($O87,'Lower Cask Movement &amp; Logistics'!$C$4:$D$54,2,FALSE),"N/A")</f>
        <v>0.88000000000000012</v>
      </c>
      <c r="R87" s="2765"/>
      <c r="S87" s="2765"/>
    </row>
    <row r="88" spans="1:19" s="2764" customFormat="1" ht="14.6" outlineLevel="1" x14ac:dyDescent="0.4">
      <c r="A88" s="2839"/>
      <c r="B88" s="3864"/>
      <c r="C88" s="2798" t="s">
        <v>1763</v>
      </c>
      <c r="D88" s="2798" t="s">
        <v>778</v>
      </c>
      <c r="E88" s="2799">
        <f t="shared" si="4"/>
        <v>0.69444444444444442</v>
      </c>
      <c r="F88" s="2799">
        <f>IF($D88="Trigger",VLOOKUP("*"&amp;$C88&amp;"*",'Lower Cask Weld Failures'!$D$142:$G$191,4,FALSE),E88+F87)</f>
        <v>31.589637823160476</v>
      </c>
      <c r="G88" s="2808"/>
      <c r="H88" s="2801" t="s">
        <v>263</v>
      </c>
      <c r="I88" s="2802" t="s">
        <v>1538</v>
      </c>
      <c r="J88" s="2798" t="s">
        <v>799</v>
      </c>
      <c r="K88" s="2798" t="s">
        <v>1203</v>
      </c>
      <c r="L88" s="2803">
        <f>IFERROR(INDEX('Lower Cask Movement &amp; Logistics'!$I$13:$O$19,MATCH($J88,'Lower Cask Movement &amp; Logistics'!$H$13:$H$19,0),MATCH($K88,'Lower Cask Movement &amp; Logistics'!$H$13:$H$19,0)),"N/A")</f>
        <v>50</v>
      </c>
      <c r="M88" s="2804">
        <f>IFERROR(VLOOKUP($I88,'Lower Cask Movement &amp; Logistics'!$H$4:$I$8,2,FALSE),"N/A")</f>
        <v>0.02</v>
      </c>
      <c r="N88" s="2805">
        <f t="shared" si="6"/>
        <v>0.69444444444444442</v>
      </c>
      <c r="O88" s="2809"/>
      <c r="P88" s="2807" t="str">
        <f>IF($D88="Logistics",VLOOKUP($O88,'Lower Cask Movement &amp; Logistics'!$C$4:$D$54,2,FALSE),"N/A")</f>
        <v>N/A</v>
      </c>
      <c r="R88" s="2765"/>
      <c r="S88" s="2765"/>
    </row>
    <row r="89" spans="1:19" s="2764" customFormat="1" ht="26.6" outlineLevel="1" thickBot="1" x14ac:dyDescent="0.45">
      <c r="A89" s="2839"/>
      <c r="B89" s="3865"/>
      <c r="C89" s="2810" t="str">
        <f>B83</f>
        <v>Outboard Pipework Cask Stored;  Inner Port Pipework Cask Prepared; Inner Port Pipework Cask Moved to Lower Port</v>
      </c>
      <c r="D89" s="2810" t="s">
        <v>11</v>
      </c>
      <c r="E89" s="2811">
        <f t="shared" si="4"/>
        <v>0</v>
      </c>
      <c r="F89" s="2811">
        <f>IF($D89="Trigger",VLOOKUP("*"&amp;$C89&amp;"*",'Lower Cask Weld Failures'!$D$142:$G$191,4,FALSE),E89+F88)</f>
        <v>31.589637823160476</v>
      </c>
      <c r="G89" s="2812"/>
      <c r="H89" s="2813" t="s">
        <v>263</v>
      </c>
      <c r="I89" s="2814"/>
      <c r="J89" s="2810"/>
      <c r="K89" s="2810"/>
      <c r="L89" s="2815" t="str">
        <f>IFERROR(INDEX('Lower Cask Movement &amp; Logistics'!$I$13:$O$19,MATCH($J89,'Lower Cask Movement &amp; Logistics'!$H$13:$H$19,0),MATCH($K89,'Lower Cask Movement &amp; Logistics'!$H$13:$H$19,0)),"N/A")</f>
        <v>N/A</v>
      </c>
      <c r="M89" s="2815" t="str">
        <f>IFERROR(VLOOKUP($I89,'Lower Cask Movement &amp; Logistics'!$H$4:$I$8,2,FALSE),"N/A")</f>
        <v>N/A</v>
      </c>
      <c r="N89" s="2816" t="str">
        <f t="shared" si="6"/>
        <v>N/A</v>
      </c>
      <c r="O89" s="2817"/>
      <c r="P89" s="2787" t="str">
        <f>IF($D89="Logistics",VLOOKUP($O89,'Lower Cask Movement &amp; Logistics'!$C$4:$D$54,2,FALSE),"N/A")</f>
        <v>N/A</v>
      </c>
      <c r="R89" s="2765"/>
      <c r="S89" s="2765"/>
    </row>
    <row r="90" spans="1:19" s="2765" customFormat="1" ht="14.6" outlineLevel="1" x14ac:dyDescent="0.4">
      <c r="A90" s="2839"/>
      <c r="B90" s="3866" t="s">
        <v>1866</v>
      </c>
      <c r="C90" s="2755" t="s">
        <v>1938</v>
      </c>
      <c r="D90" s="2755" t="s">
        <v>907</v>
      </c>
      <c r="E90" s="2772">
        <f t="shared" si="4"/>
        <v>0</v>
      </c>
      <c r="F90" s="2772">
        <f>IF($D90="Trigger",VLOOKUP("*"&amp;$C90&amp;"*",'Lower Cask Weld Failures'!$D$142:$G$191,4,FALSE),E90+F89)</f>
        <v>60.631868238913555</v>
      </c>
      <c r="G90" s="2777"/>
      <c r="H90" s="2818" t="s">
        <v>263</v>
      </c>
      <c r="I90" s="2771"/>
      <c r="J90" s="2767"/>
      <c r="K90" s="2767"/>
      <c r="L90" s="2819" t="str">
        <f>IFERROR(INDEX('Lower Cask Movement &amp; Logistics'!$I$13:$O$19,MATCH($J90,'Lower Cask Movement &amp; Logistics'!$H$13:$H$19,0),MATCH($K90,'Lower Cask Movement &amp; Logistics'!$H$13:$H$19,0)),"N/A")</f>
        <v>N/A</v>
      </c>
      <c r="M90" s="2819" t="str">
        <f>IFERROR(VLOOKUP($I90,'Lower Cask Movement &amp; Logistics'!$H$4:$I$8,2,FALSE),"N/A")</f>
        <v>N/A</v>
      </c>
      <c r="N90" s="2768" t="str">
        <f t="shared" si="6"/>
        <v>N/A</v>
      </c>
      <c r="O90" s="2778"/>
      <c r="P90" s="2774" t="str">
        <f>IF($D90="Logistics",VLOOKUP($O90,'Lower Cask Movement &amp; Logistics'!$C$4:$D$54,2,FALSE),"N/A")</f>
        <v>N/A</v>
      </c>
      <c r="Q90" s="2764"/>
    </row>
    <row r="91" spans="1:19" s="2765" customFormat="1" ht="14.6" outlineLevel="1" x14ac:dyDescent="0.4">
      <c r="A91" s="2839"/>
      <c r="B91" s="3867"/>
      <c r="C91" s="2766" t="s">
        <v>1939</v>
      </c>
      <c r="D91" s="2766" t="s">
        <v>778</v>
      </c>
      <c r="E91" s="2772">
        <f t="shared" si="4"/>
        <v>0.23148148148148148</v>
      </c>
      <c r="F91" s="2772">
        <f>IF($D91="Trigger",VLOOKUP("*"&amp;$C91&amp;"*",'Lower Cask Weld Failures'!$D$142:$G$191,4,FALSE),E91+F90)</f>
        <v>60.863349720395036</v>
      </c>
      <c r="G91" s="2777"/>
      <c r="H91" s="2818" t="s">
        <v>263</v>
      </c>
      <c r="I91" s="2771" t="s">
        <v>1536</v>
      </c>
      <c r="J91" s="2767" t="s">
        <v>1203</v>
      </c>
      <c r="K91" s="2767" t="s">
        <v>914</v>
      </c>
      <c r="L91" s="2819">
        <f>IFERROR(INDEX('Lower Cask Movement &amp; Logistics'!$I$13:$O$19,MATCH($J91,'Lower Cask Movement &amp; Logistics'!$H$13:$H$19,0),MATCH($K91,'Lower Cask Movement &amp; Logistics'!$H$13:$H$19,0)),"N/A")</f>
        <v>50</v>
      </c>
      <c r="M91" s="2819">
        <f>IFERROR(VLOOKUP($I91,'Lower Cask Movement &amp; Logistics'!$H$4:$I$8,2,FALSE),"N/A")</f>
        <v>0.06</v>
      </c>
      <c r="N91" s="2768">
        <f t="shared" si="6"/>
        <v>0.23148148148148148</v>
      </c>
      <c r="O91" s="2778"/>
      <c r="P91" s="2774" t="str">
        <f>IF($D91="Logistics",VLOOKUP($O91,'Lower Cask Movement &amp; Logistics'!$C$4:$D$54,2,FALSE),"N/A")</f>
        <v>N/A</v>
      </c>
      <c r="Q91" s="2764"/>
    </row>
    <row r="92" spans="1:19" s="2765" customFormat="1" ht="14.6" outlineLevel="1" x14ac:dyDescent="0.4">
      <c r="A92" s="2839"/>
      <c r="B92" s="3867"/>
      <c r="C92" s="2766" t="s">
        <v>1940</v>
      </c>
      <c r="D92" s="2766" t="s">
        <v>3</v>
      </c>
      <c r="E92" s="2772">
        <f t="shared" si="4"/>
        <v>0.58000000000000007</v>
      </c>
      <c r="F92" s="2772">
        <f>IF($D92="Trigger",VLOOKUP("*"&amp;$C92&amp;"*",'Lower Cask Weld Failures'!$D$142:$G$191,4,FALSE),E92+F91)</f>
        <v>61.443349720395034</v>
      </c>
      <c r="G92" s="2777"/>
      <c r="H92" s="2818" t="s">
        <v>263</v>
      </c>
      <c r="I92" s="2771"/>
      <c r="J92" s="2767"/>
      <c r="K92" s="2767"/>
      <c r="L92" s="2819" t="str">
        <f>IFERROR(INDEX('Lower Cask Movement &amp; Logistics'!$I$13:$O$19,MATCH($J92,'Lower Cask Movement &amp; Logistics'!$H$13:$H$19,0),MATCH($K92,'Lower Cask Movement &amp; Logistics'!$H$13:$H$19,0)),"N/A")</f>
        <v>N/A</v>
      </c>
      <c r="M92" s="2819" t="str">
        <f>IFERROR(VLOOKUP($I92,'Lower Cask Movement &amp; Logistics'!$H$4:$I$8,2,FALSE),"N/A")</f>
        <v>N/A</v>
      </c>
      <c r="N92" s="2768" t="str">
        <f t="shared" si="6"/>
        <v>N/A</v>
      </c>
      <c r="O92" s="2778" t="s">
        <v>1539</v>
      </c>
      <c r="P92" s="2774">
        <f>IF($D92="Logistics",VLOOKUP($O92,'Lower Cask Movement &amp; Logistics'!$C$4:$D$54,2,FALSE),"N/A")</f>
        <v>0.58000000000000007</v>
      </c>
      <c r="Q92" s="2764"/>
    </row>
    <row r="93" spans="1:19" s="2765" customFormat="1" ht="14.6" outlineLevel="1" x14ac:dyDescent="0.4">
      <c r="A93" s="2839"/>
      <c r="B93" s="3867"/>
      <c r="C93" s="2767" t="s">
        <v>1737</v>
      </c>
      <c r="D93" s="2767" t="s">
        <v>778</v>
      </c>
      <c r="E93" s="2772">
        <f t="shared" si="4"/>
        <v>2.7777777777777776E-2</v>
      </c>
      <c r="F93" s="2772">
        <f>IF($D93="Trigger",VLOOKUP("*"&amp;$C93&amp;"*",'Lower Cask Weld Failures'!$D$142:$G$191,4,FALSE),E93+F92)</f>
        <v>61.471127498172812</v>
      </c>
      <c r="G93" s="2777"/>
      <c r="H93" s="2818" t="s">
        <v>263</v>
      </c>
      <c r="I93" s="2771" t="s">
        <v>1738</v>
      </c>
      <c r="J93" s="2767" t="s">
        <v>914</v>
      </c>
      <c r="K93" s="2767" t="s">
        <v>799</v>
      </c>
      <c r="L93" s="2819">
        <f>IFERROR(INDEX('Lower Cask Movement &amp; Logistics'!$I$13:$O$19,MATCH($J93,'Lower Cask Movement &amp; Logistics'!$H$13:$H$19,0),MATCH($K93,'Lower Cask Movement &amp; Logistics'!$H$13:$H$19,0)),"N/A")</f>
        <v>20</v>
      </c>
      <c r="M93" s="2819">
        <f>IFERROR(VLOOKUP($I93,'Lower Cask Movement &amp; Logistics'!$H$4:$I$8,2,FALSE),"N/A")</f>
        <v>0.2</v>
      </c>
      <c r="N93" s="2768">
        <f t="shared" si="6"/>
        <v>2.7777777777777776E-2</v>
      </c>
      <c r="O93" s="2778"/>
      <c r="P93" s="2774" t="str">
        <f>IF($D93="Logistics",VLOOKUP($O93,'Lower Cask Movement &amp; Logistics'!$C$4:$D$54,2,FALSE),"N/A")</f>
        <v>N/A</v>
      </c>
      <c r="Q93" s="2764"/>
    </row>
    <row r="94" spans="1:19" s="2765" customFormat="1" ht="14.6" outlineLevel="1" x14ac:dyDescent="0.4">
      <c r="A94" s="2839"/>
      <c r="B94" s="3867"/>
      <c r="C94" s="2767" t="s">
        <v>1941</v>
      </c>
      <c r="D94" s="2767" t="s">
        <v>3</v>
      </c>
      <c r="E94" s="2772">
        <f t="shared" si="4"/>
        <v>0.78</v>
      </c>
      <c r="F94" s="2772">
        <f>IF($D94="Trigger",VLOOKUP("*"&amp;$C94&amp;"*",'Lower Cask Weld Failures'!$D$142:$G$191,4,FALSE),E94+F93)</f>
        <v>62.251127498172814</v>
      </c>
      <c r="G94" s="2777"/>
      <c r="H94" s="2818" t="s">
        <v>263</v>
      </c>
      <c r="I94" s="2771"/>
      <c r="J94" s="2767"/>
      <c r="K94" s="2767"/>
      <c r="L94" s="2819" t="str">
        <f>IFERROR(INDEX('Lower Cask Movement &amp; Logistics'!$I$13:$O$19,MATCH($J94,'Lower Cask Movement &amp; Logistics'!$H$13:$H$19,0),MATCH($K94,'Lower Cask Movement &amp; Logistics'!$H$13:$H$19,0)),"N/A")</f>
        <v>N/A</v>
      </c>
      <c r="M94" s="2819" t="str">
        <f>IFERROR(VLOOKUP($I94,'Lower Cask Movement &amp; Logistics'!$H$4:$I$8,2,FALSE),"N/A")</f>
        <v>N/A</v>
      </c>
      <c r="N94" s="2768" t="str">
        <f t="shared" si="6"/>
        <v>N/A</v>
      </c>
      <c r="O94" s="2778" t="s">
        <v>1740</v>
      </c>
      <c r="P94" s="2774">
        <f>IF($D94="Logistics",VLOOKUP($O94,'Lower Cask Movement &amp; Logistics'!$C$4:$D$54,2,FALSE),"N/A")</f>
        <v>0.78</v>
      </c>
      <c r="Q94" s="2764"/>
    </row>
    <row r="95" spans="1:19" s="2765" customFormat="1" ht="14.6" outlineLevel="1" x14ac:dyDescent="0.4">
      <c r="A95" s="2839"/>
      <c r="B95" s="3867"/>
      <c r="C95" s="2767" t="s">
        <v>1771</v>
      </c>
      <c r="D95" s="2767" t="s">
        <v>778</v>
      </c>
      <c r="E95" s="2772">
        <f t="shared" si="4"/>
        <v>0.69444444444444442</v>
      </c>
      <c r="F95" s="2772">
        <f>IF($D95="Trigger",VLOOKUP("*"&amp;$C95&amp;"*",'Lower Cask Weld Failures'!$D$142:$G$191,4,FALSE),E95+F94)</f>
        <v>62.945571942617256</v>
      </c>
      <c r="G95" s="2777"/>
      <c r="H95" s="2818" t="s">
        <v>263</v>
      </c>
      <c r="I95" s="2771" t="s">
        <v>1538</v>
      </c>
      <c r="J95" s="2767" t="s">
        <v>799</v>
      </c>
      <c r="K95" s="2767" t="s">
        <v>1203</v>
      </c>
      <c r="L95" s="2819">
        <f>IFERROR(INDEX('Lower Cask Movement &amp; Logistics'!$I$13:$O$19,MATCH($J95,'Lower Cask Movement &amp; Logistics'!$H$13:$H$19,0),MATCH($K95,'Lower Cask Movement &amp; Logistics'!$H$13:$H$19,0)),"N/A")</f>
        <v>50</v>
      </c>
      <c r="M95" s="2819">
        <f>IFERROR(VLOOKUP($I95,'Lower Cask Movement &amp; Logistics'!$H$4:$I$8,2,FALSE),"N/A")</f>
        <v>0.02</v>
      </c>
      <c r="N95" s="2768">
        <f t="shared" si="6"/>
        <v>0.69444444444444442</v>
      </c>
      <c r="O95" s="2778"/>
      <c r="P95" s="2774" t="str">
        <f>IF($D95="Logistics",VLOOKUP($O95,'Lower Cask Movement &amp; Logistics'!$C$4:$D$54,2,FALSE),"N/A")</f>
        <v>N/A</v>
      </c>
      <c r="Q95" s="2764"/>
    </row>
    <row r="96" spans="1:19" s="2765" customFormat="1" ht="26.6" outlineLevel="1" thickBot="1" x14ac:dyDescent="0.45">
      <c r="A96" s="2839"/>
      <c r="B96" s="3868"/>
      <c r="C96" s="2779" t="str">
        <f>B90</f>
        <v>Removed Inboard blankets stored, New Inner Port Pipe Modules Collected and moved to port</v>
      </c>
      <c r="D96" s="2779" t="s">
        <v>11</v>
      </c>
      <c r="E96" s="2780">
        <f t="shared" si="4"/>
        <v>0</v>
      </c>
      <c r="F96" s="2780">
        <f>IF($D96="Trigger",VLOOKUP("*"&amp;$C96&amp;"*",'Lower Cask Weld Failures'!$D$142:$G$191,4,FALSE),E96+F95)</f>
        <v>62.945571942617256</v>
      </c>
      <c r="G96" s="2781"/>
      <c r="H96" s="2782" t="s">
        <v>263</v>
      </c>
      <c r="I96" s="2783"/>
      <c r="J96" s="2779"/>
      <c r="K96" s="2779"/>
      <c r="L96" s="2784" t="str">
        <f>IFERROR(INDEX('Lower Cask Movement &amp; Logistics'!$I$13:$O$19,MATCH($J96,'Lower Cask Movement &amp; Logistics'!$H$13:$H$19,0),MATCH($K96,'Lower Cask Movement &amp; Logistics'!$H$13:$H$19,0)),"N/A")</f>
        <v>N/A</v>
      </c>
      <c r="M96" s="2784" t="str">
        <f>IFERROR(VLOOKUP($I96,'Lower Cask Movement &amp; Logistics'!$H$4:$I$8,2,FALSE),"N/A")</f>
        <v>N/A</v>
      </c>
      <c r="N96" s="2785" t="str">
        <f t="shared" si="6"/>
        <v>N/A</v>
      </c>
      <c r="O96" s="2786"/>
      <c r="P96" s="2787" t="str">
        <f>IF($D96="Logistics",VLOOKUP($O96,'Lower Cask Movement &amp; Logistics'!$C$4:$D$54,2,FALSE),"N/A")</f>
        <v>N/A</v>
      </c>
      <c r="Q96" s="2764"/>
    </row>
    <row r="97" spans="1:17" s="2765" customFormat="1" ht="14.6" outlineLevel="1" x14ac:dyDescent="0.4">
      <c r="A97" s="2839"/>
      <c r="B97" s="3863" t="s">
        <v>1869</v>
      </c>
      <c r="C97" s="2788" t="s">
        <v>1641</v>
      </c>
      <c r="D97" s="2788" t="s">
        <v>907</v>
      </c>
      <c r="E97" s="2803">
        <f t="shared" si="4"/>
        <v>0</v>
      </c>
      <c r="F97" s="2803">
        <f>IF($D97="Trigger",VLOOKUP("*"&amp;$C97&amp;"*",'Lower Cask Weld Failures'!$D$142:$G$191,4,FALSE),E97+F96)</f>
        <v>81.927802358370315</v>
      </c>
      <c r="G97" s="2808"/>
      <c r="H97" s="2820" t="s">
        <v>263</v>
      </c>
      <c r="I97" s="2802"/>
      <c r="J97" s="2798"/>
      <c r="K97" s="2798"/>
      <c r="L97" s="2821" t="str">
        <f>IFERROR(INDEX('Lower Cask Movement &amp; Logistics'!$I$13:$O$19,MATCH($J97,'Lower Cask Movement &amp; Logistics'!$H$13:$H$19,0),MATCH($K97,'Lower Cask Movement &amp; Logistics'!$H$13:$H$19,0)),"N/A")</f>
        <v>N/A</v>
      </c>
      <c r="M97" s="2821" t="str">
        <f>IFERROR(VLOOKUP($I97,'Lower Cask Movement &amp; Logistics'!$H$4:$I$8,2,FALSE),"N/A")</f>
        <v>N/A</v>
      </c>
      <c r="N97" s="2799" t="str">
        <f t="shared" si="6"/>
        <v>N/A</v>
      </c>
      <c r="O97" s="2809"/>
      <c r="P97" s="2805" t="str">
        <f>IF($D97="Logistics",VLOOKUP($O97,'Lower Cask Movement &amp; Logistics'!$C$4:$D$54,2,FALSE),"N/A")</f>
        <v>N/A</v>
      </c>
      <c r="Q97" s="2764"/>
    </row>
    <row r="98" spans="1:17" s="2765" customFormat="1" ht="14.6" outlineLevel="1" x14ac:dyDescent="0.4">
      <c r="A98" s="2839"/>
      <c r="B98" s="3864"/>
      <c r="C98" s="2797" t="s">
        <v>1772</v>
      </c>
      <c r="D98" s="2797" t="s">
        <v>778</v>
      </c>
      <c r="E98" s="2803">
        <f t="shared" si="4"/>
        <v>0.23148148148148148</v>
      </c>
      <c r="F98" s="2803">
        <f>IF($D98="Trigger",VLOOKUP("*"&amp;$C98&amp;"*",'Lower Cask Weld Failures'!$D$142:$G$191,4,FALSE),E98+F97)</f>
        <v>82.159283839851796</v>
      </c>
      <c r="G98" s="2808"/>
      <c r="H98" s="2820" t="s">
        <v>263</v>
      </c>
      <c r="I98" s="2802" t="s">
        <v>1536</v>
      </c>
      <c r="J98" s="2798" t="s">
        <v>1203</v>
      </c>
      <c r="K98" s="2798" t="s">
        <v>914</v>
      </c>
      <c r="L98" s="2821">
        <f>IFERROR(INDEX('Lower Cask Movement &amp; Logistics'!$I$13:$O$19,MATCH($J98,'Lower Cask Movement &amp; Logistics'!$H$13:$H$19,0),MATCH($K98,'Lower Cask Movement &amp; Logistics'!$H$13:$H$19,0)),"N/A")</f>
        <v>50</v>
      </c>
      <c r="M98" s="2821">
        <f>IFERROR(VLOOKUP($I98,'Lower Cask Movement &amp; Logistics'!$H$4:$I$8,2,FALSE),"N/A")</f>
        <v>0.06</v>
      </c>
      <c r="N98" s="2799">
        <f t="shared" si="6"/>
        <v>0.23148148148148148</v>
      </c>
      <c r="O98" s="2809"/>
      <c r="P98" s="2805" t="str">
        <f>IF($D98="Logistics",VLOOKUP($O98,'Lower Cask Movement &amp; Logistics'!$C$4:$D$54,2,FALSE),"N/A")</f>
        <v>N/A</v>
      </c>
      <c r="Q98" s="2764"/>
    </row>
    <row r="99" spans="1:17" s="2765" customFormat="1" ht="14.6" outlineLevel="1" x14ac:dyDescent="0.4">
      <c r="A99" s="2839"/>
      <c r="B99" s="3864"/>
      <c r="C99" s="2797" t="s">
        <v>1773</v>
      </c>
      <c r="D99" s="2797" t="s">
        <v>3</v>
      </c>
      <c r="E99" s="2803">
        <f t="shared" si="4"/>
        <v>0.58000000000000007</v>
      </c>
      <c r="F99" s="2803">
        <f>IF($D99="Trigger",VLOOKUP("*"&amp;$C99&amp;"*",'Lower Cask Weld Failures'!$D$142:$G$191,4,FALSE),E99+F98)</f>
        <v>82.739283839851794</v>
      </c>
      <c r="G99" s="2808"/>
      <c r="H99" s="2820" t="s">
        <v>263</v>
      </c>
      <c r="I99" s="2802"/>
      <c r="J99" s="2798"/>
      <c r="K99" s="2798"/>
      <c r="L99" s="2821" t="str">
        <f>IFERROR(INDEX('Lower Cask Movement &amp; Logistics'!$I$13:$O$19,MATCH($J99,'Lower Cask Movement &amp; Logistics'!$H$13:$H$19,0),MATCH($K99,'Lower Cask Movement &amp; Logistics'!$H$13:$H$19,0)),"N/A")</f>
        <v>N/A</v>
      </c>
      <c r="M99" s="2821" t="str">
        <f>IFERROR(VLOOKUP($I99,'Lower Cask Movement &amp; Logistics'!$H$4:$I$8,2,FALSE),"N/A")</f>
        <v>N/A</v>
      </c>
      <c r="N99" s="2799" t="str">
        <f t="shared" si="6"/>
        <v>N/A</v>
      </c>
      <c r="O99" s="2809" t="s">
        <v>1539</v>
      </c>
      <c r="P99" s="2805">
        <f>IF($D99="Logistics",VLOOKUP($O99,'Lower Cask Movement &amp; Logistics'!$C$4:$D$54,2,FALSE),"N/A")</f>
        <v>0.58000000000000007</v>
      </c>
      <c r="Q99" s="2764"/>
    </row>
    <row r="100" spans="1:17" s="2765" customFormat="1" ht="14.6" outlineLevel="1" x14ac:dyDescent="0.4">
      <c r="A100" s="2839"/>
      <c r="B100" s="3864"/>
      <c r="C100" s="2798" t="s">
        <v>1737</v>
      </c>
      <c r="D100" s="2798" t="s">
        <v>778</v>
      </c>
      <c r="E100" s="2803">
        <f t="shared" si="4"/>
        <v>2.7777777777777776E-2</v>
      </c>
      <c r="F100" s="2803">
        <f>IF($D100="Trigger",VLOOKUP("*"&amp;$C100&amp;"*",'Lower Cask Weld Failures'!$D$142:$G$191,4,FALSE),E100+F99)</f>
        <v>82.767061617629565</v>
      </c>
      <c r="G100" s="2808"/>
      <c r="H100" s="2820" t="s">
        <v>263</v>
      </c>
      <c r="I100" s="2802" t="s">
        <v>1738</v>
      </c>
      <c r="J100" s="2798" t="s">
        <v>914</v>
      </c>
      <c r="K100" s="2798" t="s">
        <v>799</v>
      </c>
      <c r="L100" s="2821">
        <f>IFERROR(INDEX('Lower Cask Movement &amp; Logistics'!$I$13:$O$19,MATCH($J100,'Lower Cask Movement &amp; Logistics'!$H$13:$H$19,0),MATCH($K100,'Lower Cask Movement &amp; Logistics'!$H$13:$H$19,0)),"N/A")</f>
        <v>20</v>
      </c>
      <c r="M100" s="2821">
        <f>IFERROR(VLOOKUP($I100,'Lower Cask Movement &amp; Logistics'!$H$4:$I$8,2,FALSE),"N/A")</f>
        <v>0.2</v>
      </c>
      <c r="N100" s="2799">
        <f t="shared" si="6"/>
        <v>2.7777777777777776E-2</v>
      </c>
      <c r="O100" s="2809"/>
      <c r="P100" s="2805" t="str">
        <f>IF($D100="Logistics",VLOOKUP($O100,'Lower Cask Movement &amp; Logistics'!$C$4:$D$54,2,FALSE),"N/A")</f>
        <v>N/A</v>
      </c>
      <c r="Q100" s="2764"/>
    </row>
    <row r="101" spans="1:17" s="2765" customFormat="1" ht="14.6" outlineLevel="1" x14ac:dyDescent="0.4">
      <c r="A101" s="2839"/>
      <c r="B101" s="3864"/>
      <c r="C101" s="2798" t="s">
        <v>1942</v>
      </c>
      <c r="D101" s="2798" t="s">
        <v>3</v>
      </c>
      <c r="E101" s="2803">
        <f t="shared" si="4"/>
        <v>0.78</v>
      </c>
      <c r="F101" s="2803">
        <f>IF($D101="Trigger",VLOOKUP("*"&amp;$C101&amp;"*",'Lower Cask Weld Failures'!$D$142:$G$191,4,FALSE),E101+F100)</f>
        <v>83.547061617629566</v>
      </c>
      <c r="G101" s="2808"/>
      <c r="H101" s="2820" t="s">
        <v>263</v>
      </c>
      <c r="I101" s="2802"/>
      <c r="J101" s="2798"/>
      <c r="K101" s="2798"/>
      <c r="L101" s="2821" t="str">
        <f>IFERROR(INDEX('Lower Cask Movement &amp; Logistics'!$I$13:$O$19,MATCH($J101,'Lower Cask Movement &amp; Logistics'!$H$13:$H$19,0),MATCH($K101,'Lower Cask Movement &amp; Logistics'!$H$13:$H$19,0)),"N/A")</f>
        <v>N/A</v>
      </c>
      <c r="M101" s="2821" t="str">
        <f>IFERROR(VLOOKUP($I101,'Lower Cask Movement &amp; Logistics'!$H$4:$I$8,2,FALSE),"N/A")</f>
        <v>N/A</v>
      </c>
      <c r="N101" s="2799" t="str">
        <f t="shared" si="6"/>
        <v>N/A</v>
      </c>
      <c r="O101" s="2809" t="s">
        <v>1740</v>
      </c>
      <c r="P101" s="2805">
        <f>IF($D101="Logistics",VLOOKUP($O101,'Lower Cask Movement &amp; Logistics'!$C$4:$D$54,2,FALSE),"N/A")</f>
        <v>0.78</v>
      </c>
      <c r="Q101" s="2764"/>
    </row>
    <row r="102" spans="1:17" s="2765" customFormat="1" ht="14.6" outlineLevel="1" x14ac:dyDescent="0.4">
      <c r="A102" s="2839"/>
      <c r="B102" s="3864"/>
      <c r="C102" s="2798" t="s">
        <v>1771</v>
      </c>
      <c r="D102" s="2798" t="s">
        <v>778</v>
      </c>
      <c r="E102" s="2803">
        <f t="shared" si="4"/>
        <v>0.69444444444444442</v>
      </c>
      <c r="F102" s="2803">
        <f>IF($D102="Trigger",VLOOKUP("*"&amp;$C102&amp;"*",'Lower Cask Weld Failures'!$D$142:$G$191,4,FALSE),E102+F101)</f>
        <v>84.241506062074009</v>
      </c>
      <c r="G102" s="2808"/>
      <c r="H102" s="2820" t="s">
        <v>263</v>
      </c>
      <c r="I102" s="2802" t="s">
        <v>1538</v>
      </c>
      <c r="J102" s="2798" t="s">
        <v>799</v>
      </c>
      <c r="K102" s="2798" t="s">
        <v>1203</v>
      </c>
      <c r="L102" s="2821">
        <f>IFERROR(INDEX('Lower Cask Movement &amp; Logistics'!$I$13:$O$19,MATCH($J102,'Lower Cask Movement &amp; Logistics'!$H$13:$H$19,0),MATCH($K102,'Lower Cask Movement &amp; Logistics'!$H$13:$H$19,0)),"N/A")</f>
        <v>50</v>
      </c>
      <c r="M102" s="2821">
        <f>IFERROR(VLOOKUP($I102,'Lower Cask Movement &amp; Logistics'!$H$4:$I$8,2,FALSE),"N/A")</f>
        <v>0.02</v>
      </c>
      <c r="N102" s="2799">
        <f t="shared" si="6"/>
        <v>0.69444444444444442</v>
      </c>
      <c r="O102" s="2809"/>
      <c r="P102" s="2805" t="str">
        <f>IF($D102="Logistics",VLOOKUP($O102,'Lower Cask Movement &amp; Logistics'!$C$4:$D$54,2,FALSE),"N/A")</f>
        <v>N/A</v>
      </c>
      <c r="Q102" s="2764"/>
    </row>
    <row r="103" spans="1:17" s="2765" customFormat="1" ht="26.6" outlineLevel="1" thickBot="1" x14ac:dyDescent="0.45">
      <c r="A103" s="2839"/>
      <c r="B103" s="3865"/>
      <c r="C103" s="2810" t="str">
        <f>B97</f>
        <v>Removed Inner Port Pipe Modules stored, New Inboard Pipe Modules Collected and moved to port</v>
      </c>
      <c r="D103" s="2810" t="s">
        <v>11</v>
      </c>
      <c r="E103" s="2811">
        <f t="shared" si="4"/>
        <v>0</v>
      </c>
      <c r="F103" s="2811">
        <f>IF($D103="Trigger",VLOOKUP("*"&amp;$C103&amp;"*",'Lower Cask Weld Failures'!$D$142:$G$191,4,FALSE),E103+F102)</f>
        <v>84.241506062074009</v>
      </c>
      <c r="G103" s="2812"/>
      <c r="H103" s="2813" t="s">
        <v>263</v>
      </c>
      <c r="I103" s="2814"/>
      <c r="J103" s="2810"/>
      <c r="K103" s="2810"/>
      <c r="L103" s="2815" t="str">
        <f>IFERROR(INDEX('Lower Cask Movement &amp; Logistics'!$I$13:$O$19,MATCH($J103,'Lower Cask Movement &amp; Logistics'!$H$13:$H$19,0),MATCH($K103,'Lower Cask Movement &amp; Logistics'!$H$13:$H$19,0)),"N/A")</f>
        <v>N/A</v>
      </c>
      <c r="M103" s="2815" t="str">
        <f>IFERROR(VLOOKUP($I103,'Lower Cask Movement &amp; Logistics'!$H$4:$I$8,2,FALSE),"N/A")</f>
        <v>N/A</v>
      </c>
      <c r="N103" s="2816" t="str">
        <f t="shared" si="6"/>
        <v>N/A</v>
      </c>
      <c r="O103" s="2817"/>
      <c r="P103" s="2822" t="str">
        <f>IF($D103="Logistics",VLOOKUP($O103,'Lower Cask Movement &amp; Logistics'!$C$4:$D$54,2,FALSE),"N/A")</f>
        <v>N/A</v>
      </c>
      <c r="Q103" s="2764"/>
    </row>
    <row r="104" spans="1:17" s="2765" customFormat="1" ht="14.6" outlineLevel="1" x14ac:dyDescent="0.4">
      <c r="A104" s="2839"/>
      <c r="B104" s="3866" t="s">
        <v>1870</v>
      </c>
      <c r="C104" s="2755" t="s">
        <v>1656</v>
      </c>
      <c r="D104" s="2755" t="s">
        <v>907</v>
      </c>
      <c r="E104" s="2772">
        <f t="shared" si="4"/>
        <v>0</v>
      </c>
      <c r="F104" s="2772">
        <f>IF($D104="Trigger",VLOOKUP("*"&amp;$C104&amp;"*",'Lower Cask Weld Failures'!$D$142:$G$191,4,FALSE),E104+F103)</f>
        <v>122.51313161036462</v>
      </c>
      <c r="G104" s="2777"/>
      <c r="H104" s="2818" t="s">
        <v>263</v>
      </c>
      <c r="I104" s="2771"/>
      <c r="J104" s="2767"/>
      <c r="K104" s="2767"/>
      <c r="L104" s="2819" t="str">
        <f>IFERROR(INDEX('Lower Cask Movement &amp; Logistics'!$I$13:$O$19,MATCH($J104,'Lower Cask Movement &amp; Logistics'!$H$13:$H$19,0),MATCH($K104,'Lower Cask Movement &amp; Logistics'!$H$13:$H$19,0)),"N/A")</f>
        <v>N/A</v>
      </c>
      <c r="M104" s="2819" t="str">
        <f>IFERROR(VLOOKUP($I104,'Lower Cask Movement &amp; Logistics'!$H$4:$I$8,2,FALSE),"N/A")</f>
        <v>N/A</v>
      </c>
      <c r="N104" s="2768" t="str">
        <f t="shared" si="6"/>
        <v>N/A</v>
      </c>
      <c r="O104" s="2778"/>
      <c r="P104" s="2774" t="str">
        <f>IF($D104="Logistics",VLOOKUP($O104,'Lower Cask Movement &amp; Logistics'!$C$4:$D$54,2,FALSE),"N/A")</f>
        <v>N/A</v>
      </c>
      <c r="Q104" s="2764"/>
    </row>
    <row r="105" spans="1:17" s="2765" customFormat="1" ht="14.6" outlineLevel="1" x14ac:dyDescent="0.4">
      <c r="A105" s="2839"/>
      <c r="B105" s="3867"/>
      <c r="C105" s="2766" t="s">
        <v>1772</v>
      </c>
      <c r="D105" s="2766" t="s">
        <v>778</v>
      </c>
      <c r="E105" s="2772">
        <f t="shared" si="4"/>
        <v>0.23148148148148148</v>
      </c>
      <c r="F105" s="2772">
        <f>IF($D105="Trigger",VLOOKUP("*"&amp;$C105&amp;"*",'Lower Cask Weld Failures'!$D$142:$G$191,4,FALSE),E105+F104)</f>
        <v>122.74461309184611</v>
      </c>
      <c r="G105" s="2777"/>
      <c r="H105" s="2818" t="s">
        <v>263</v>
      </c>
      <c r="I105" s="2771" t="s">
        <v>1536</v>
      </c>
      <c r="J105" s="2767" t="s">
        <v>1203</v>
      </c>
      <c r="K105" s="2767" t="s">
        <v>914</v>
      </c>
      <c r="L105" s="2819">
        <f>IFERROR(INDEX('Lower Cask Movement &amp; Logistics'!$I$13:$O$19,MATCH($J105,'Lower Cask Movement &amp; Logistics'!$H$13:$H$19,0),MATCH($K105,'Lower Cask Movement &amp; Logistics'!$H$13:$H$19,0)),"N/A")</f>
        <v>50</v>
      </c>
      <c r="M105" s="2819">
        <f>IFERROR(VLOOKUP($I105,'Lower Cask Movement &amp; Logistics'!$H$4:$I$8,2,FALSE),"N/A")</f>
        <v>0.06</v>
      </c>
      <c r="N105" s="2768">
        <f t="shared" si="6"/>
        <v>0.23148148148148148</v>
      </c>
      <c r="O105" s="2778"/>
      <c r="P105" s="2774" t="str">
        <f>IF($D105="Logistics",VLOOKUP($O105,'Lower Cask Movement &amp; Logistics'!$C$4:$D$54,2,FALSE),"N/A")</f>
        <v>N/A</v>
      </c>
      <c r="Q105" s="2764"/>
    </row>
    <row r="106" spans="1:17" s="2765" customFormat="1" ht="14.6" outlineLevel="1" x14ac:dyDescent="0.4">
      <c r="A106" s="2839"/>
      <c r="B106" s="3867"/>
      <c r="C106" s="2766" t="s">
        <v>1773</v>
      </c>
      <c r="D106" s="2766" t="s">
        <v>3</v>
      </c>
      <c r="E106" s="2772">
        <f t="shared" si="4"/>
        <v>0.58000000000000007</v>
      </c>
      <c r="F106" s="2772">
        <f>IF($D106="Trigger",VLOOKUP("*"&amp;$C106&amp;"*",'Lower Cask Weld Failures'!$D$142:$G$191,4,FALSE),E106+F105)</f>
        <v>123.3246130918461</v>
      </c>
      <c r="G106" s="2777"/>
      <c r="H106" s="2818" t="s">
        <v>263</v>
      </c>
      <c r="I106" s="2771"/>
      <c r="J106" s="2767"/>
      <c r="K106" s="2767"/>
      <c r="L106" s="2819" t="str">
        <f>IFERROR(INDEX('Lower Cask Movement &amp; Logistics'!$I$13:$O$19,MATCH($J106,'Lower Cask Movement &amp; Logistics'!$H$13:$H$19,0),MATCH($K106,'Lower Cask Movement &amp; Logistics'!$H$13:$H$19,0)),"N/A")</f>
        <v>N/A</v>
      </c>
      <c r="M106" s="2819" t="str">
        <f>IFERROR(VLOOKUP($I106,'Lower Cask Movement &amp; Logistics'!$H$4:$I$8,2,FALSE),"N/A")</f>
        <v>N/A</v>
      </c>
      <c r="N106" s="2768" t="str">
        <f t="shared" si="6"/>
        <v>N/A</v>
      </c>
      <c r="O106" s="2778" t="s">
        <v>1539</v>
      </c>
      <c r="P106" s="2774">
        <f>IF($D106="Logistics",VLOOKUP($O106,'Lower Cask Movement &amp; Logistics'!$C$4:$D$54,2,FALSE),"N/A")</f>
        <v>0.58000000000000007</v>
      </c>
      <c r="Q106" s="2764"/>
    </row>
    <row r="107" spans="1:17" s="2765" customFormat="1" ht="14.6" outlineLevel="1" x14ac:dyDescent="0.4">
      <c r="A107" s="2839"/>
      <c r="B107" s="3867"/>
      <c r="C107" s="2767" t="s">
        <v>1737</v>
      </c>
      <c r="D107" s="2767" t="s">
        <v>778</v>
      </c>
      <c r="E107" s="2772">
        <f t="shared" si="4"/>
        <v>2.7777777777777776E-2</v>
      </c>
      <c r="F107" s="2772">
        <f>IF($D107="Trigger",VLOOKUP("*"&amp;$C107&amp;"*",'Lower Cask Weld Failures'!$D$142:$G$191,4,FALSE),E107+F106)</f>
        <v>123.35239086962387</v>
      </c>
      <c r="G107" s="2777"/>
      <c r="H107" s="2818" t="s">
        <v>263</v>
      </c>
      <c r="I107" s="2771" t="s">
        <v>1738</v>
      </c>
      <c r="J107" s="2767" t="s">
        <v>914</v>
      </c>
      <c r="K107" s="2767" t="s">
        <v>799</v>
      </c>
      <c r="L107" s="2819">
        <f>IFERROR(INDEX('Lower Cask Movement &amp; Logistics'!$I$13:$O$19,MATCH($J107,'Lower Cask Movement &amp; Logistics'!$H$13:$H$19,0),MATCH($K107,'Lower Cask Movement &amp; Logistics'!$H$13:$H$19,0)),"N/A")</f>
        <v>20</v>
      </c>
      <c r="M107" s="2819">
        <f>IFERROR(VLOOKUP($I107,'Lower Cask Movement &amp; Logistics'!$H$4:$I$8,2,FALSE),"N/A")</f>
        <v>0.2</v>
      </c>
      <c r="N107" s="2768">
        <f t="shared" ref="N107:N134" si="7">IF(D107="Movement",IFERROR((L107/M107)/(60*60),"Error"),"N/A")</f>
        <v>2.7777777777777776E-2</v>
      </c>
      <c r="O107" s="2778"/>
      <c r="P107" s="2774" t="str">
        <f>IF($D107="Logistics",VLOOKUP($O107,'Lower Cask Movement &amp; Logistics'!$C$4:$D$54,2,FALSE),"N/A")</f>
        <v>N/A</v>
      </c>
      <c r="Q107" s="2764"/>
    </row>
    <row r="108" spans="1:17" s="2765" customFormat="1" ht="14.6" outlineLevel="1" x14ac:dyDescent="0.4">
      <c r="A108" s="2839"/>
      <c r="B108" s="3867"/>
      <c r="C108" s="2767" t="s">
        <v>1943</v>
      </c>
      <c r="D108" s="2767" t="s">
        <v>3</v>
      </c>
      <c r="E108" s="2772">
        <f t="shared" si="4"/>
        <v>0.78</v>
      </c>
      <c r="F108" s="2772">
        <f>IF($D108="Trigger",VLOOKUP("*"&amp;$C108&amp;"*",'Lower Cask Weld Failures'!$D$142:$G$191,4,FALSE),E108+F107)</f>
        <v>124.13239086962388</v>
      </c>
      <c r="G108" s="2777"/>
      <c r="H108" s="2818" t="s">
        <v>263</v>
      </c>
      <c r="I108" s="2771"/>
      <c r="J108" s="2767"/>
      <c r="K108" s="2767"/>
      <c r="L108" s="2819" t="str">
        <f>IFERROR(INDEX('Lower Cask Movement &amp; Logistics'!$I$13:$O$19,MATCH($J108,'Lower Cask Movement &amp; Logistics'!$H$13:$H$19,0),MATCH($K108,'Lower Cask Movement &amp; Logistics'!$H$13:$H$19,0)),"N/A")</f>
        <v>N/A</v>
      </c>
      <c r="M108" s="2819" t="str">
        <f>IFERROR(VLOOKUP($I108,'Lower Cask Movement &amp; Logistics'!$H$4:$I$8,2,FALSE),"N/A")</f>
        <v>N/A</v>
      </c>
      <c r="N108" s="2768" t="str">
        <f t="shared" si="7"/>
        <v>N/A</v>
      </c>
      <c r="O108" s="2778" t="s">
        <v>1740</v>
      </c>
      <c r="P108" s="2774">
        <f>IF($D108="Logistics",VLOOKUP($O108,'Lower Cask Movement &amp; Logistics'!$C$4:$D$54,2,FALSE),"N/A")</f>
        <v>0.78</v>
      </c>
      <c r="Q108" s="2764"/>
    </row>
    <row r="109" spans="1:17" s="2765" customFormat="1" ht="14.6" outlineLevel="1" x14ac:dyDescent="0.4">
      <c r="A109" s="2839"/>
      <c r="B109" s="3867"/>
      <c r="C109" s="2767" t="s">
        <v>1771</v>
      </c>
      <c r="D109" s="2767" t="s">
        <v>778</v>
      </c>
      <c r="E109" s="2772">
        <f t="shared" si="4"/>
        <v>0.69444444444444442</v>
      </c>
      <c r="F109" s="2772">
        <f>IF($D109="Trigger",VLOOKUP("*"&amp;$C109&amp;"*",'Lower Cask Weld Failures'!$D$142:$G$191,4,FALSE),E109+F108)</f>
        <v>124.82683531406832</v>
      </c>
      <c r="G109" s="2777"/>
      <c r="H109" s="2818" t="s">
        <v>263</v>
      </c>
      <c r="I109" s="2771" t="s">
        <v>1538</v>
      </c>
      <c r="J109" s="2767" t="s">
        <v>799</v>
      </c>
      <c r="K109" s="2767" t="s">
        <v>1203</v>
      </c>
      <c r="L109" s="2819">
        <f>IFERROR(INDEX('Lower Cask Movement &amp; Logistics'!$I$13:$O$19,MATCH($J109,'Lower Cask Movement &amp; Logistics'!$H$13:$H$19,0),MATCH($K109,'Lower Cask Movement &amp; Logistics'!$H$13:$H$19,0)),"N/A")</f>
        <v>50</v>
      </c>
      <c r="M109" s="2819">
        <f>IFERROR(VLOOKUP($I109,'Lower Cask Movement &amp; Logistics'!$H$4:$I$8,2,FALSE),"N/A")</f>
        <v>0.02</v>
      </c>
      <c r="N109" s="2768">
        <f t="shared" si="7"/>
        <v>0.69444444444444442</v>
      </c>
      <c r="O109" s="2778"/>
      <c r="P109" s="2774" t="str">
        <f>IF($D109="Logistics",VLOOKUP($O109,'Lower Cask Movement &amp; Logistics'!$C$4:$D$54,2,FALSE),"N/A")</f>
        <v>N/A</v>
      </c>
      <c r="Q109" s="2764"/>
    </row>
    <row r="110" spans="1:17" s="2765" customFormat="1" ht="26.6" outlineLevel="1" thickBot="1" x14ac:dyDescent="0.45">
      <c r="A110" s="2839"/>
      <c r="B110" s="3868"/>
      <c r="C110" s="2779" t="str">
        <f>B104</f>
        <v>Inner Port Pipe Cask stored; New Outboard Pipe Modules Collected and moved to port</v>
      </c>
      <c r="D110" s="2779" t="s">
        <v>11</v>
      </c>
      <c r="E110" s="2780">
        <f t="shared" si="4"/>
        <v>0</v>
      </c>
      <c r="F110" s="2780">
        <f>IF($D110="Trigger",VLOOKUP("*"&amp;$C110&amp;"*",'Lower Cask Weld Failures'!$D$142:$G$191,4,FALSE),E110+F109)</f>
        <v>124.82683531406832</v>
      </c>
      <c r="G110" s="2781"/>
      <c r="H110" s="2782" t="s">
        <v>263</v>
      </c>
      <c r="I110" s="2783"/>
      <c r="J110" s="2779"/>
      <c r="K110" s="2779"/>
      <c r="L110" s="2784" t="str">
        <f>IFERROR(INDEX('Lower Cask Movement &amp; Logistics'!$I$13:$O$19,MATCH($J110,'Lower Cask Movement &amp; Logistics'!$H$13:$H$19,0),MATCH($K110,'Lower Cask Movement &amp; Logistics'!$H$13:$H$19,0)),"N/A")</f>
        <v>N/A</v>
      </c>
      <c r="M110" s="2784" t="str">
        <f>IFERROR(VLOOKUP($I110,'Lower Cask Movement &amp; Logistics'!$H$4:$I$8,2,FALSE),"N/A")</f>
        <v>N/A</v>
      </c>
      <c r="N110" s="2785" t="str">
        <f t="shared" si="7"/>
        <v>N/A</v>
      </c>
      <c r="O110" s="2786"/>
      <c r="P110" s="2787" t="str">
        <f>IF($D110="Logistics",VLOOKUP($O110,'Lower Cask Movement &amp; Logistics'!$C$4:$D$54,2,FALSE),"N/A")</f>
        <v>N/A</v>
      </c>
      <c r="Q110" s="2764"/>
    </row>
    <row r="111" spans="1:17" s="2835" customFormat="1" ht="12.75" customHeight="1" outlineLevel="1" x14ac:dyDescent="0.4">
      <c r="A111" s="2839"/>
      <c r="B111" s="3863" t="s">
        <v>1947</v>
      </c>
      <c r="C111" s="2823" t="s">
        <v>1862</v>
      </c>
      <c r="D111" s="2823" t="s">
        <v>907</v>
      </c>
      <c r="E111" s="2824">
        <f t="shared" si="4"/>
        <v>0</v>
      </c>
      <c r="F111" s="2796">
        <f>IF($D111="Trigger",VLOOKUP("*"&amp;$C111&amp;"*",'Lower Cask Weld Failures'!$D$53:$G$570,4,FALSE),E111+#REF!)</f>
        <v>0</v>
      </c>
      <c r="G111" s="2790"/>
      <c r="H111" s="2791" t="s">
        <v>263</v>
      </c>
      <c r="I111" s="2823"/>
      <c r="J111" s="2823"/>
      <c r="K111" s="2823"/>
      <c r="L111" s="2824" t="str">
        <f>IFERROR(INDEX('Lower Cask Movement &amp; Logistics'!$I$13:$O$19,MATCH($J111,'Lower Cask Movement &amp; Logistics'!$H$13:$H$19,0),MATCH($K111,'Lower Cask Movement &amp; Logistics'!$H$13:$H$19,0)),"N/A")</f>
        <v>N/A</v>
      </c>
      <c r="M111" s="2824" t="str">
        <f>IFERROR(VLOOKUP($I111,'Lower Cask Movement &amp; Logistics'!$H$4:$I$8,2,FALSE),"N/A")</f>
        <v>N/A</v>
      </c>
      <c r="N111" s="2824" t="str">
        <f t="shared" si="7"/>
        <v>N/A</v>
      </c>
      <c r="O111" s="2795"/>
      <c r="P111" s="2796" t="str">
        <f>IF($D111="Logistics",VLOOKUP($O111,'Lower Cask Movement &amp; Logistics'!$C$4:$D$54,2,FALSE),"N/A")</f>
        <v>N/A</v>
      </c>
    </row>
    <row r="112" spans="1:17" s="2835" customFormat="1" ht="12.75" customHeight="1" outlineLevel="1" x14ac:dyDescent="0.4">
      <c r="A112" s="2839"/>
      <c r="B112" s="3864"/>
      <c r="C112" s="2825" t="s">
        <v>1945</v>
      </c>
      <c r="D112" s="2825" t="s">
        <v>251</v>
      </c>
      <c r="E112" s="2826">
        <f t="shared" si="4"/>
        <v>78.260579928483622</v>
      </c>
      <c r="F112" s="2805">
        <f>IF($D112="Trigger",VLOOKUP("*"&amp;$C112&amp;"*",'Lower Cask Weld Failures'!$D$53:$G$622,4,FALSE),E112+F111)</f>
        <v>78.260579928483622</v>
      </c>
      <c r="G112" s="2808" t="s">
        <v>133</v>
      </c>
      <c r="H112" s="2805">
        <f>VLOOKUP(G112,'Upper Hot Cell Welding failures'!$E$144:$I$209,5,FALSE)</f>
        <v>78.260579928483622</v>
      </c>
      <c r="I112" s="2825"/>
      <c r="J112" s="2825"/>
      <c r="K112" s="2825"/>
      <c r="L112" s="2826" t="str">
        <f>IFERROR(INDEX('Lower Cask Movement &amp; Logistics'!$I$13:$O$19,MATCH($J112,'Lower Cask Movement &amp; Logistics'!$H$13:$H$19,0),MATCH($K112,'Lower Cask Movement &amp; Logistics'!$H$13:$H$19,0)),"N/A")</f>
        <v>N/A</v>
      </c>
      <c r="M112" s="2826" t="str">
        <f>IFERROR(VLOOKUP($I112,'Lower Cask Movement &amp; Logistics'!$H$4:$I$8,2,FALSE),"N/A")</f>
        <v>N/A</v>
      </c>
      <c r="N112" s="2826" t="str">
        <f t="shared" si="7"/>
        <v>N/A</v>
      </c>
      <c r="O112" s="2809"/>
      <c r="P112" s="2805" t="str">
        <f>IF($D112="Logistics",VLOOKUP($O112,'Lower Cask Movement &amp; Logistics'!$C$4:$D$54,2,FALSE),"N/A")</f>
        <v>N/A</v>
      </c>
    </row>
    <row r="113" spans="1:16" s="2835" customFormat="1" ht="13.5" customHeight="1" outlineLevel="1" thickBot="1" x14ac:dyDescent="0.45">
      <c r="A113" s="2839"/>
      <c r="B113" s="3865"/>
      <c r="C113" s="2827" t="str">
        <f>B111</f>
        <v>LOB Blanket segment installed</v>
      </c>
      <c r="D113" s="2827" t="s">
        <v>11</v>
      </c>
      <c r="E113" s="2828">
        <f t="shared" si="4"/>
        <v>0</v>
      </c>
      <c r="F113" s="2822">
        <f>IF($D113="Trigger",VLOOKUP("*"&amp;$C113&amp;"*",'Lower Cask Weld Failures'!$D$53:$G$622,4,FALSE),E113+F112)</f>
        <v>78.260579928483622</v>
      </c>
      <c r="G113" s="2812"/>
      <c r="H113" s="2813" t="s">
        <v>263</v>
      </c>
      <c r="I113" s="2827"/>
      <c r="J113" s="2827"/>
      <c r="K113" s="2827"/>
      <c r="L113" s="2828" t="str">
        <f>IFERROR(INDEX('Lower Cask Movement &amp; Logistics'!$I$13:$O$19,MATCH($J113,'Lower Cask Movement &amp; Logistics'!$H$13:$H$19,0),MATCH($K113,'Lower Cask Movement &amp; Logistics'!$H$13:$H$19,0)),"N/A")</f>
        <v>N/A</v>
      </c>
      <c r="M113" s="2828" t="str">
        <f>IFERROR(VLOOKUP($I113,'Lower Cask Movement &amp; Logistics'!$H$4:$I$8,2,FALSE),"N/A")</f>
        <v>N/A</v>
      </c>
      <c r="N113" s="2828" t="str">
        <f t="shared" si="7"/>
        <v>N/A</v>
      </c>
      <c r="O113" s="2817"/>
      <c r="P113" s="2822" t="str">
        <f>IF($D113="Logistics",VLOOKUP($O113,'Lower Cask Movement &amp; Logistics'!$C$4:$D$54,2,FALSE),"N/A")</f>
        <v>N/A</v>
      </c>
    </row>
    <row r="114" spans="1:16" s="2835" customFormat="1" ht="12.75" customHeight="1" outlineLevel="1" x14ac:dyDescent="0.4">
      <c r="A114" s="2839"/>
      <c r="B114" s="3863" t="s">
        <v>1948</v>
      </c>
      <c r="C114" s="2823" t="s">
        <v>1862</v>
      </c>
      <c r="D114" s="2823" t="s">
        <v>907</v>
      </c>
      <c r="E114" s="2824">
        <f t="shared" si="4"/>
        <v>0</v>
      </c>
      <c r="F114" s="2796">
        <f>IF($D114="Trigger",VLOOKUP("*"&amp;$C114&amp;"*",'Lower Cask Weld Failures'!$D$53:$G$622,4,FALSE),E114+F113)</f>
        <v>0</v>
      </c>
      <c r="G114" s="2790"/>
      <c r="H114" s="2791" t="s">
        <v>263</v>
      </c>
      <c r="I114" s="2823"/>
      <c r="J114" s="2823"/>
      <c r="K114" s="2823"/>
      <c r="L114" s="2824" t="str">
        <f>IFERROR(INDEX('Lower Cask Movement &amp; Logistics'!$I$13:$O$19,MATCH($J114,'Lower Cask Movement &amp; Logistics'!$H$13:$H$19,0),MATCH($K114,'Lower Cask Movement &amp; Logistics'!$H$13:$H$19,0)),"N/A")</f>
        <v>N/A</v>
      </c>
      <c r="M114" s="2824" t="str">
        <f>IFERROR(VLOOKUP($I114,'Lower Cask Movement &amp; Logistics'!$H$4:$I$8,2,FALSE),"N/A")</f>
        <v>N/A</v>
      </c>
      <c r="N114" s="2824" t="str">
        <f t="shared" si="7"/>
        <v>N/A</v>
      </c>
      <c r="O114" s="2795"/>
      <c r="P114" s="2796" t="str">
        <f>IF($D114="Logistics",VLOOKUP($O114,'Lower Cask Movement &amp; Logistics'!$C$4:$D$54,2,FALSE),"N/A")</f>
        <v>N/A</v>
      </c>
    </row>
    <row r="115" spans="1:16" s="2835" customFormat="1" ht="12.75" customHeight="1" outlineLevel="1" x14ac:dyDescent="0.4">
      <c r="A115" s="2839"/>
      <c r="B115" s="3864"/>
      <c r="C115" s="2825" t="s">
        <v>1945</v>
      </c>
      <c r="D115" s="2825" t="s">
        <v>251</v>
      </c>
      <c r="E115" s="2826">
        <f t="shared" si="4"/>
        <v>266.24711904174711</v>
      </c>
      <c r="F115" s="2805">
        <f>IF($D115="Trigger",VLOOKUP("*"&amp;$C115&amp;"*",'Lower Cask Weld Failures'!$D$53:$G$622,4,FALSE),E115+F114)</f>
        <v>266.24711904174711</v>
      </c>
      <c r="G115" s="2808" t="s">
        <v>1094</v>
      </c>
      <c r="H115" s="2805">
        <f>VLOOKUP(G115,'Upper Hot Cell Welding failures'!$E$144:$I$209,5,FALSE)</f>
        <v>266.24711904174711</v>
      </c>
      <c r="I115" s="2825"/>
      <c r="J115" s="2825"/>
      <c r="K115" s="2825"/>
      <c r="L115" s="2826" t="str">
        <f>IFERROR(INDEX('Lower Cask Movement &amp; Logistics'!$I$13:$O$19,MATCH($J115,'Lower Cask Movement &amp; Logistics'!$H$13:$H$19,0),MATCH($K115,'Lower Cask Movement &amp; Logistics'!$H$13:$H$19,0)),"N/A")</f>
        <v>N/A</v>
      </c>
      <c r="M115" s="2826" t="str">
        <f>IFERROR(VLOOKUP($I115,'Lower Cask Movement &amp; Logistics'!$H$4:$I$8,2,FALSE),"N/A")</f>
        <v>N/A</v>
      </c>
      <c r="N115" s="2826" t="str">
        <f t="shared" si="7"/>
        <v>N/A</v>
      </c>
      <c r="O115" s="2809"/>
      <c r="P115" s="2805" t="str">
        <f>IF($D115="Logistics",VLOOKUP($O115,'Lower Cask Movement &amp; Logistics'!$C$4:$D$54,2,FALSE),"N/A")</f>
        <v>N/A</v>
      </c>
    </row>
    <row r="116" spans="1:16" s="2835" customFormat="1" ht="13.5" customHeight="1" outlineLevel="1" thickBot="1" x14ac:dyDescent="0.45">
      <c r="A116" s="2839"/>
      <c r="B116" s="3865"/>
      <c r="C116" s="2827" t="str">
        <f>B114</f>
        <v>LOB Upper Port Pipe Module installed</v>
      </c>
      <c r="D116" s="2827" t="s">
        <v>11</v>
      </c>
      <c r="E116" s="2828">
        <f t="shared" si="4"/>
        <v>0</v>
      </c>
      <c r="F116" s="2822">
        <f>IF($D116="Trigger",VLOOKUP("*"&amp;$C116&amp;"*",'Lower Cask Weld Failures'!$D$53:$G$622,4,FALSE),E116+F115)</f>
        <v>266.24711904174711</v>
      </c>
      <c r="G116" s="2812"/>
      <c r="H116" s="2813" t="s">
        <v>263</v>
      </c>
      <c r="I116" s="2827"/>
      <c r="J116" s="2827"/>
      <c r="K116" s="2827"/>
      <c r="L116" s="2828" t="str">
        <f>IFERROR(INDEX('Lower Cask Movement &amp; Logistics'!$I$13:$O$19,MATCH($J116,'Lower Cask Movement &amp; Logistics'!$H$13:$H$19,0),MATCH($K116,'Lower Cask Movement &amp; Logistics'!$H$13:$H$19,0)),"N/A")</f>
        <v>N/A</v>
      </c>
      <c r="M116" s="2828" t="str">
        <f>IFERROR(VLOOKUP($I116,'Lower Cask Movement &amp; Logistics'!$H$4:$I$8,2,FALSE),"N/A")</f>
        <v>N/A</v>
      </c>
      <c r="N116" s="2828" t="str">
        <f t="shared" si="7"/>
        <v>N/A</v>
      </c>
      <c r="O116" s="2817"/>
      <c r="P116" s="2822" t="str">
        <f>IF($D116="Logistics",VLOOKUP($O116,'Lower Cask Movement &amp; Logistics'!$C$4:$D$54,2,FALSE),"N/A")</f>
        <v>N/A</v>
      </c>
    </row>
    <row r="117" spans="1:16" s="2835" customFormat="1" ht="12.75" customHeight="1" outlineLevel="1" x14ac:dyDescent="0.4">
      <c r="A117" s="2839"/>
      <c r="B117" s="3863" t="s">
        <v>1949</v>
      </c>
      <c r="C117" s="2823" t="s">
        <v>1862</v>
      </c>
      <c r="D117" s="2823" t="s">
        <v>907</v>
      </c>
      <c r="E117" s="2824">
        <f t="shared" si="4"/>
        <v>0</v>
      </c>
      <c r="F117" s="2796">
        <f>IF($D117="Trigger",VLOOKUP("*"&amp;$C117&amp;"*",'Lower Cask Weld Failures'!$D$53:$G$622,4,FALSE),E117+F116)</f>
        <v>0</v>
      </c>
      <c r="G117" s="2790"/>
      <c r="H117" s="2791" t="s">
        <v>263</v>
      </c>
      <c r="I117" s="2823"/>
      <c r="J117" s="2823"/>
      <c r="K117" s="2823"/>
      <c r="L117" s="2824" t="str">
        <f>IFERROR(INDEX('Lower Cask Movement &amp; Logistics'!$I$13:$O$19,MATCH($J117,'Lower Cask Movement &amp; Logistics'!$H$13:$H$19,0),MATCH($K117,'Lower Cask Movement &amp; Logistics'!$H$13:$H$19,0)),"N/A")</f>
        <v>N/A</v>
      </c>
      <c r="M117" s="2824" t="str">
        <f>IFERROR(VLOOKUP($I117,'Lower Cask Movement &amp; Logistics'!$H$4:$I$8,2,FALSE),"N/A")</f>
        <v>N/A</v>
      </c>
      <c r="N117" s="2824" t="str">
        <f t="shared" si="7"/>
        <v>N/A</v>
      </c>
      <c r="O117" s="2795"/>
      <c r="P117" s="2796" t="str">
        <f>IF($D117="Logistics",VLOOKUP($O117,'Lower Cask Movement &amp; Logistics'!$C$4:$D$54,2,FALSE),"N/A")</f>
        <v>N/A</v>
      </c>
    </row>
    <row r="118" spans="1:16" s="2835" customFormat="1" ht="12.75" customHeight="1" outlineLevel="1" x14ac:dyDescent="0.4">
      <c r="A118" s="2839"/>
      <c r="B118" s="3864"/>
      <c r="C118" s="2825" t="s">
        <v>1945</v>
      </c>
      <c r="D118" s="2825" t="s">
        <v>251</v>
      </c>
      <c r="E118" s="2826">
        <f t="shared" si="4"/>
        <v>72.451135484039185</v>
      </c>
      <c r="F118" s="2805">
        <f>IF($D118="Trigger",VLOOKUP("*"&amp;$C118&amp;"*",'Lower Cask Weld Failures'!$D$53:$G$622,4,FALSE),E118+F117)</f>
        <v>72.451135484039185</v>
      </c>
      <c r="G118" s="2808" t="s">
        <v>137</v>
      </c>
      <c r="H118" s="2805">
        <f>VLOOKUP(G118,'Upper Hot Cell Welding failures'!$E$144:$I$209,5,FALSE)</f>
        <v>72.451135484039185</v>
      </c>
      <c r="I118" s="2825"/>
      <c r="J118" s="2825"/>
      <c r="K118" s="2825"/>
      <c r="L118" s="2826" t="str">
        <f>IFERROR(INDEX('Lower Cask Movement &amp; Logistics'!$I$13:$O$19,MATCH($J118,'Lower Cask Movement &amp; Logistics'!$H$13:$H$19,0),MATCH($K118,'Lower Cask Movement &amp; Logistics'!$H$13:$H$19,0)),"N/A")</f>
        <v>N/A</v>
      </c>
      <c r="M118" s="2826" t="str">
        <f>IFERROR(VLOOKUP($I118,'Lower Cask Movement &amp; Logistics'!$H$4:$I$8,2,FALSE),"N/A")</f>
        <v>N/A</v>
      </c>
      <c r="N118" s="2826" t="str">
        <f t="shared" si="7"/>
        <v>N/A</v>
      </c>
      <c r="O118" s="2809"/>
      <c r="P118" s="2805" t="str">
        <f>IF($D118="Logistics",VLOOKUP($O118,'Lower Cask Movement &amp; Logistics'!$C$4:$D$54,2,FALSE),"N/A")</f>
        <v>N/A</v>
      </c>
    </row>
    <row r="119" spans="1:16" s="2835" customFormat="1" ht="13.5" customHeight="1" outlineLevel="1" thickBot="1" x14ac:dyDescent="0.45">
      <c r="A119" s="2839"/>
      <c r="B119" s="3865"/>
      <c r="C119" s="2827" t="str">
        <f>B117</f>
        <v>ROB Blanket segment installed</v>
      </c>
      <c r="D119" s="2827" t="s">
        <v>11</v>
      </c>
      <c r="E119" s="2828">
        <f t="shared" si="4"/>
        <v>0</v>
      </c>
      <c r="F119" s="2822">
        <f>IF($D119="Trigger",VLOOKUP("*"&amp;$C119&amp;"*",'Lower Cask Weld Failures'!$D$53:$G$622,4,FALSE),E119+F118)</f>
        <v>72.451135484039185</v>
      </c>
      <c r="G119" s="2812"/>
      <c r="H119" s="2813" t="s">
        <v>263</v>
      </c>
      <c r="I119" s="2827"/>
      <c r="J119" s="2827"/>
      <c r="K119" s="2827"/>
      <c r="L119" s="2828" t="str">
        <f>IFERROR(INDEX('Lower Cask Movement &amp; Logistics'!$I$13:$O$19,MATCH($J119,'Lower Cask Movement &amp; Logistics'!$H$13:$H$19,0),MATCH($K119,'Lower Cask Movement &amp; Logistics'!$H$13:$H$19,0)),"N/A")</f>
        <v>N/A</v>
      </c>
      <c r="M119" s="2828" t="str">
        <f>IFERROR(VLOOKUP($I119,'Lower Cask Movement &amp; Logistics'!$H$4:$I$8,2,FALSE),"N/A")</f>
        <v>N/A</v>
      </c>
      <c r="N119" s="2828" t="str">
        <f t="shared" si="7"/>
        <v>N/A</v>
      </c>
      <c r="O119" s="2817"/>
      <c r="P119" s="2822" t="str">
        <f>IF($D119="Logistics",VLOOKUP($O119,'Lower Cask Movement &amp; Logistics'!$C$4:$D$54,2,FALSE),"N/A")</f>
        <v>N/A</v>
      </c>
    </row>
    <row r="120" spans="1:16" s="2835" customFormat="1" ht="12.75" customHeight="1" outlineLevel="1" x14ac:dyDescent="0.4">
      <c r="A120" s="2839"/>
      <c r="B120" s="3863" t="s">
        <v>1950</v>
      </c>
      <c r="C120" s="2823" t="s">
        <v>1862</v>
      </c>
      <c r="D120" s="2823" t="s">
        <v>907</v>
      </c>
      <c r="E120" s="2824">
        <f t="shared" si="4"/>
        <v>0</v>
      </c>
      <c r="F120" s="2796">
        <f>IF($D120="Trigger",VLOOKUP("*"&amp;$C120&amp;"*",'Lower Cask Weld Failures'!$D$53:$G$622,4,FALSE),E120+F119)</f>
        <v>0</v>
      </c>
      <c r="G120" s="2790"/>
      <c r="H120" s="2791" t="s">
        <v>263</v>
      </c>
      <c r="I120" s="2823"/>
      <c r="J120" s="2823"/>
      <c r="K120" s="2823"/>
      <c r="L120" s="2824" t="str">
        <f>IFERROR(INDEX('Lower Cask Movement &amp; Logistics'!$I$13:$O$19,MATCH($J120,'Lower Cask Movement &amp; Logistics'!$H$13:$H$19,0),MATCH($K120,'Lower Cask Movement &amp; Logistics'!$H$13:$H$19,0)),"N/A")</f>
        <v>N/A</v>
      </c>
      <c r="M120" s="2824" t="str">
        <f>IFERROR(VLOOKUP($I120,'Lower Cask Movement &amp; Logistics'!$H$4:$I$8,2,FALSE),"N/A")</f>
        <v>N/A</v>
      </c>
      <c r="N120" s="2824" t="str">
        <f t="shared" si="7"/>
        <v>N/A</v>
      </c>
      <c r="O120" s="2795"/>
      <c r="P120" s="2796" t="str">
        <f>IF($D120="Logistics",VLOOKUP($O120,'Lower Cask Movement &amp; Logistics'!$C$4:$D$54,2,FALSE),"N/A")</f>
        <v>N/A</v>
      </c>
    </row>
    <row r="121" spans="1:16" s="2835" customFormat="1" ht="12.75" customHeight="1" outlineLevel="1" x14ac:dyDescent="0.4">
      <c r="A121" s="2839"/>
      <c r="B121" s="3864"/>
      <c r="C121" s="2825" t="s">
        <v>1945</v>
      </c>
      <c r="D121" s="2825" t="s">
        <v>251</v>
      </c>
      <c r="E121" s="2826">
        <f t="shared" si="4"/>
        <v>229.32716426765128</v>
      </c>
      <c r="F121" s="2805">
        <f>IF($D121="Trigger",VLOOKUP("*"&amp;$C121&amp;"*",'Lower Cask Weld Failures'!$D$53:$G$622,4,FALSE),E121+F120)</f>
        <v>229.32716426765128</v>
      </c>
      <c r="G121" s="2808" t="s">
        <v>1091</v>
      </c>
      <c r="H121" s="2805">
        <f>VLOOKUP(G121,'Upper Hot Cell Welding failures'!$E$144:$I$209,5,FALSE)</f>
        <v>229.32716426765128</v>
      </c>
      <c r="I121" s="2825"/>
      <c r="J121" s="2825"/>
      <c r="K121" s="2825"/>
      <c r="L121" s="2826" t="str">
        <f>IFERROR(INDEX('Lower Cask Movement &amp; Logistics'!$I$13:$O$19,MATCH($J121,'Lower Cask Movement &amp; Logistics'!$H$13:$H$19,0),MATCH($K121,'Lower Cask Movement &amp; Logistics'!$H$13:$H$19,0)),"N/A")</f>
        <v>N/A</v>
      </c>
      <c r="M121" s="2826" t="str">
        <f>IFERROR(VLOOKUP($I121,'Lower Cask Movement &amp; Logistics'!$H$4:$I$8,2,FALSE),"N/A")</f>
        <v>N/A</v>
      </c>
      <c r="N121" s="2826" t="str">
        <f t="shared" si="7"/>
        <v>N/A</v>
      </c>
      <c r="O121" s="2809"/>
      <c r="P121" s="2805" t="str">
        <f>IF($D121="Logistics",VLOOKUP($O121,'Lower Cask Movement &amp; Logistics'!$C$4:$D$54,2,FALSE),"N/A")</f>
        <v>N/A</v>
      </c>
    </row>
    <row r="122" spans="1:16" s="2835" customFormat="1" ht="13.5" customHeight="1" outlineLevel="1" thickBot="1" x14ac:dyDescent="0.45">
      <c r="A122" s="2839"/>
      <c r="B122" s="3865"/>
      <c r="C122" s="2827" t="str">
        <f>B120</f>
        <v>ROB Upper Port Pipe Module installed</v>
      </c>
      <c r="D122" s="2827" t="s">
        <v>11</v>
      </c>
      <c r="E122" s="2828">
        <f t="shared" si="4"/>
        <v>0</v>
      </c>
      <c r="F122" s="2822">
        <f>IF($D122="Trigger",VLOOKUP("*"&amp;$C122&amp;"*",'Lower Cask Weld Failures'!$D$53:$G$622,4,FALSE),E122+F121)</f>
        <v>229.32716426765128</v>
      </c>
      <c r="G122" s="2812"/>
      <c r="H122" s="2813" t="s">
        <v>263</v>
      </c>
      <c r="I122" s="2827"/>
      <c r="J122" s="2827"/>
      <c r="K122" s="2827"/>
      <c r="L122" s="2828" t="str">
        <f>IFERROR(INDEX('Lower Cask Movement &amp; Logistics'!$I$13:$O$19,MATCH($J122,'Lower Cask Movement &amp; Logistics'!$H$13:$H$19,0),MATCH($K122,'Lower Cask Movement &amp; Logistics'!$H$13:$H$19,0)),"N/A")</f>
        <v>N/A</v>
      </c>
      <c r="M122" s="2828" t="str">
        <f>IFERROR(VLOOKUP($I122,'Lower Cask Movement &amp; Logistics'!$H$4:$I$8,2,FALSE),"N/A")</f>
        <v>N/A</v>
      </c>
      <c r="N122" s="2828" t="str">
        <f t="shared" si="7"/>
        <v>N/A</v>
      </c>
      <c r="O122" s="2817"/>
      <c r="P122" s="2822" t="str">
        <f>IF($D122="Logistics",VLOOKUP($O122,'Lower Cask Movement &amp; Logistics'!$C$4:$D$54,2,FALSE),"N/A")</f>
        <v>N/A</v>
      </c>
    </row>
    <row r="123" spans="1:16" s="2835" customFormat="1" ht="12.75" customHeight="1" outlineLevel="1" x14ac:dyDescent="0.4">
      <c r="A123" s="2839"/>
      <c r="B123" s="3863" t="s">
        <v>1881</v>
      </c>
      <c r="C123" s="2823" t="s">
        <v>1862</v>
      </c>
      <c r="D123" s="2823" t="s">
        <v>907</v>
      </c>
      <c r="E123" s="2824">
        <f t="shared" si="4"/>
        <v>0</v>
      </c>
      <c r="F123" s="2796">
        <f>IF($D123="Trigger",VLOOKUP("*"&amp;$C123&amp;"*",'Lower Cask Weld Failures'!$D$53:$G$622,4,FALSE),E123+F122)</f>
        <v>0</v>
      </c>
      <c r="G123" s="2790"/>
      <c r="H123" s="2791" t="s">
        <v>263</v>
      </c>
      <c r="I123" s="2823"/>
      <c r="J123" s="2823"/>
      <c r="K123" s="2823"/>
      <c r="L123" s="2824" t="str">
        <f>IFERROR(INDEX('Lower Cask Movement &amp; Logistics'!$I$13:$O$19,MATCH($J123,'Lower Cask Movement &amp; Logistics'!$H$13:$H$19,0),MATCH($K123,'Lower Cask Movement &amp; Logistics'!$H$13:$H$19,0)),"N/A")</f>
        <v>N/A</v>
      </c>
      <c r="M123" s="2824" t="str">
        <f>IFERROR(VLOOKUP($I123,'Lower Cask Movement &amp; Logistics'!$H$4:$I$8,2,FALSE),"N/A")</f>
        <v>N/A</v>
      </c>
      <c r="N123" s="2824" t="str">
        <f t="shared" si="7"/>
        <v>N/A</v>
      </c>
      <c r="O123" s="2795"/>
      <c r="P123" s="2796" t="str">
        <f>IF($D123="Logistics",VLOOKUP($O123,'Lower Cask Movement &amp; Logistics'!$C$4:$D$54,2,FALSE),"N/A")</f>
        <v>N/A</v>
      </c>
    </row>
    <row r="124" spans="1:16" s="2835" customFormat="1" ht="12.75" customHeight="1" outlineLevel="1" x14ac:dyDescent="0.4">
      <c r="A124" s="2839"/>
      <c r="B124" s="3864"/>
      <c r="C124" s="2825" t="s">
        <v>1945</v>
      </c>
      <c r="D124" s="2825" t="s">
        <v>251</v>
      </c>
      <c r="E124" s="2826">
        <f t="shared" si="4"/>
        <v>68.051691039594743</v>
      </c>
      <c r="F124" s="2805">
        <f>IF($D124="Trigger",VLOOKUP("*"&amp;$C124&amp;"*",'Lower Cask Weld Failures'!$D$53:$G$622,4,FALSE),E124+F123)</f>
        <v>68.051691039594743</v>
      </c>
      <c r="G124" s="2808" t="s">
        <v>139</v>
      </c>
      <c r="H124" s="2805">
        <f>VLOOKUP(G124,'Upper Hot Cell Welding failures'!$E$144:$I$209,5,FALSE)</f>
        <v>68.051691039594743</v>
      </c>
      <c r="I124" s="2825"/>
      <c r="J124" s="2825"/>
      <c r="K124" s="2825"/>
      <c r="L124" s="2826" t="str">
        <f>IFERROR(INDEX('Lower Cask Movement &amp; Logistics'!$I$13:$O$19,MATCH($J124,'Lower Cask Movement &amp; Logistics'!$H$13:$H$19,0),MATCH($K124,'Lower Cask Movement &amp; Logistics'!$H$13:$H$19,0)),"N/A")</f>
        <v>N/A</v>
      </c>
      <c r="M124" s="2826" t="str">
        <f>IFERROR(VLOOKUP($I124,'Lower Cask Movement &amp; Logistics'!$H$4:$I$8,2,FALSE),"N/A")</f>
        <v>N/A</v>
      </c>
      <c r="N124" s="2826" t="str">
        <f t="shared" si="7"/>
        <v>N/A</v>
      </c>
      <c r="O124" s="2809"/>
      <c r="P124" s="2805" t="str">
        <f>IF($D124="Logistics",VLOOKUP($O124,'Lower Cask Movement &amp; Logistics'!$C$4:$D$54,2,FALSE),"N/A")</f>
        <v>N/A</v>
      </c>
    </row>
    <row r="125" spans="1:16" s="2835" customFormat="1" ht="13.5" customHeight="1" outlineLevel="1" thickBot="1" x14ac:dyDescent="0.45">
      <c r="A125" s="2839"/>
      <c r="B125" s="3865"/>
      <c r="C125" s="2827" t="str">
        <f>B123</f>
        <v>LIB Blanket segment installed</v>
      </c>
      <c r="D125" s="2827" t="s">
        <v>11</v>
      </c>
      <c r="E125" s="2828">
        <f t="shared" si="4"/>
        <v>0</v>
      </c>
      <c r="F125" s="2822">
        <f>IF($D125="Trigger",VLOOKUP("*"&amp;$C125&amp;"*",'Lower Cask Weld Failures'!$D$53:$G$622,4,FALSE),E125+F124)</f>
        <v>68.051691039594743</v>
      </c>
      <c r="G125" s="2812"/>
      <c r="H125" s="2813" t="s">
        <v>263</v>
      </c>
      <c r="I125" s="2827"/>
      <c r="J125" s="2827"/>
      <c r="K125" s="2827"/>
      <c r="L125" s="2828" t="str">
        <f>IFERROR(INDEX('Lower Cask Movement &amp; Logistics'!$I$13:$O$19,MATCH($J125,'Lower Cask Movement &amp; Logistics'!$H$13:$H$19,0),MATCH($K125,'Lower Cask Movement &amp; Logistics'!$H$13:$H$19,0)),"N/A")</f>
        <v>N/A</v>
      </c>
      <c r="M125" s="2828" t="str">
        <f>IFERROR(VLOOKUP($I125,'Lower Cask Movement &amp; Logistics'!$H$4:$I$8,2,FALSE),"N/A")</f>
        <v>N/A</v>
      </c>
      <c r="N125" s="2828" t="str">
        <f t="shared" si="7"/>
        <v>N/A</v>
      </c>
      <c r="O125" s="2817"/>
      <c r="P125" s="2822" t="str">
        <f>IF($D125="Logistics",VLOOKUP($O125,'Lower Cask Movement &amp; Logistics'!$C$4:$D$54,2,FALSE),"N/A")</f>
        <v>N/A</v>
      </c>
    </row>
    <row r="126" spans="1:16" s="2835" customFormat="1" ht="12.75" customHeight="1" outlineLevel="1" x14ac:dyDescent="0.4">
      <c r="A126" s="2845"/>
      <c r="B126" s="3863" t="s">
        <v>1951</v>
      </c>
      <c r="C126" s="2823" t="s">
        <v>1862</v>
      </c>
      <c r="D126" s="2823" t="s">
        <v>907</v>
      </c>
      <c r="E126" s="2824">
        <f t="shared" si="4"/>
        <v>0</v>
      </c>
      <c r="F126" s="2796">
        <f>IF($D126="Trigger",VLOOKUP("*"&amp;$C126&amp;"*",'Lower Cask Weld Failures'!$D$53:$G$622,4,FALSE),E126+F125)</f>
        <v>0</v>
      </c>
      <c r="G126" s="2790"/>
      <c r="H126" s="2791" t="s">
        <v>263</v>
      </c>
      <c r="I126" s="2823"/>
      <c r="J126" s="2823"/>
      <c r="K126" s="2823"/>
      <c r="L126" s="2824" t="str">
        <f>IFERROR(INDEX('Lower Cask Movement &amp; Logistics'!$I$13:$O$19,MATCH($J126,'Lower Cask Movement &amp; Logistics'!$H$13:$H$19,0),MATCH($K126,'Lower Cask Movement &amp; Logistics'!$H$13:$H$19,0)),"N/A")</f>
        <v>N/A</v>
      </c>
      <c r="M126" s="2824" t="str">
        <f>IFERROR(VLOOKUP($I126,'Lower Cask Movement &amp; Logistics'!$H$4:$I$8,2,FALSE),"N/A")</f>
        <v>N/A</v>
      </c>
      <c r="N126" s="2824" t="str">
        <f t="shared" si="7"/>
        <v>N/A</v>
      </c>
      <c r="O126" s="2795"/>
      <c r="P126" s="2796" t="str">
        <f>IF($D126="Logistics",VLOOKUP($O126,'Lower Cask Movement &amp; Logistics'!$C$4:$D$54,2,FALSE),"N/A")</f>
        <v>N/A</v>
      </c>
    </row>
    <row r="127" spans="1:16" s="2835" customFormat="1" ht="12.75" customHeight="1" outlineLevel="1" x14ac:dyDescent="0.4">
      <c r="A127" s="2845"/>
      <c r="B127" s="3864"/>
      <c r="C127" s="2825" t="s">
        <v>1945</v>
      </c>
      <c r="D127" s="2825" t="s">
        <v>251</v>
      </c>
      <c r="E127" s="2826">
        <f t="shared" si="4"/>
        <v>192.40720949355546</v>
      </c>
      <c r="F127" s="2805">
        <f>IF($D127="Trigger",VLOOKUP("*"&amp;$C127&amp;"*",'Lower Cask Weld Failures'!$D$53:$G$622,4,FALSE),E127+F126)</f>
        <v>192.40720949355546</v>
      </c>
      <c r="G127" s="2808" t="s">
        <v>1088</v>
      </c>
      <c r="H127" s="2805">
        <f>VLOOKUP(G127,'Upper Hot Cell Welding failures'!$E$144:$I$209,5,FALSE)</f>
        <v>192.40720949355546</v>
      </c>
      <c r="I127" s="2825"/>
      <c r="J127" s="2825"/>
      <c r="K127" s="2825"/>
      <c r="L127" s="2826" t="str">
        <f>IFERROR(INDEX('Lower Cask Movement &amp; Logistics'!$I$13:$O$19,MATCH($J127,'Lower Cask Movement &amp; Logistics'!$H$13:$H$19,0),MATCH($K127,'Lower Cask Movement &amp; Logistics'!$H$13:$H$19,0)),"N/A")</f>
        <v>N/A</v>
      </c>
      <c r="M127" s="2826" t="str">
        <f>IFERROR(VLOOKUP($I127,'Lower Cask Movement &amp; Logistics'!$H$4:$I$8,2,FALSE),"N/A")</f>
        <v>N/A</v>
      </c>
      <c r="N127" s="2826" t="str">
        <f t="shared" si="7"/>
        <v>N/A</v>
      </c>
      <c r="O127" s="2809"/>
      <c r="P127" s="2805" t="str">
        <f>IF($D127="Logistics",VLOOKUP($O127,'Lower Cask Movement &amp; Logistics'!$C$4:$D$54,2,FALSE),"N/A")</f>
        <v>N/A</v>
      </c>
    </row>
    <row r="128" spans="1:16" s="2835" customFormat="1" ht="13.5" customHeight="1" outlineLevel="1" thickBot="1" x14ac:dyDescent="0.45">
      <c r="A128" s="2845"/>
      <c r="B128" s="3865"/>
      <c r="C128" s="2827" t="str">
        <f>B126</f>
        <v>LIB Upper Port Pipe Module installed</v>
      </c>
      <c r="D128" s="2827" t="s">
        <v>11</v>
      </c>
      <c r="E128" s="2828">
        <f t="shared" si="4"/>
        <v>0</v>
      </c>
      <c r="F128" s="2822">
        <f>IF($D128="Trigger",VLOOKUP("*"&amp;$C128&amp;"*",'Lower Cask Weld Failures'!$D$53:$G$622,4,FALSE),E128+F127)</f>
        <v>192.40720949355546</v>
      </c>
      <c r="G128" s="2812"/>
      <c r="H128" s="2813" t="s">
        <v>263</v>
      </c>
      <c r="I128" s="2827"/>
      <c r="J128" s="2827"/>
      <c r="K128" s="2827"/>
      <c r="L128" s="2828" t="str">
        <f>IFERROR(INDEX('Lower Cask Movement &amp; Logistics'!$I$13:$O$19,MATCH($J128,'Lower Cask Movement &amp; Logistics'!$H$13:$H$19,0),MATCH($K128,'Lower Cask Movement &amp; Logistics'!$H$13:$H$19,0)),"N/A")</f>
        <v>N/A</v>
      </c>
      <c r="M128" s="2828" t="str">
        <f>IFERROR(VLOOKUP($I128,'Lower Cask Movement &amp; Logistics'!$H$4:$I$8,2,FALSE),"N/A")</f>
        <v>N/A</v>
      </c>
      <c r="N128" s="2828" t="str">
        <f t="shared" si="7"/>
        <v>N/A</v>
      </c>
      <c r="O128" s="2817"/>
      <c r="P128" s="2822" t="str">
        <f>IF($D128="Logistics",VLOOKUP($O128,'Lower Cask Movement &amp; Logistics'!$C$4:$D$54,2,FALSE),"N/A")</f>
        <v>N/A</v>
      </c>
    </row>
    <row r="129" spans="1:19" s="2835" customFormat="1" ht="12.75" customHeight="1" outlineLevel="1" x14ac:dyDescent="0.4">
      <c r="A129" s="2845"/>
      <c r="B129" s="3863" t="s">
        <v>1880</v>
      </c>
      <c r="C129" s="2823" t="s">
        <v>1862</v>
      </c>
      <c r="D129" s="2823" t="s">
        <v>907</v>
      </c>
      <c r="E129" s="2824">
        <f t="shared" si="4"/>
        <v>0</v>
      </c>
      <c r="F129" s="2796">
        <f>IF($D129="Trigger",VLOOKUP("*"&amp;$C129&amp;"*",'Lower Cask Weld Failures'!$D$53:$G$622,4,FALSE),E129+F128)</f>
        <v>0</v>
      </c>
      <c r="G129" s="2790"/>
      <c r="H129" s="2791" t="s">
        <v>263</v>
      </c>
      <c r="I129" s="2823"/>
      <c r="J129" s="2823"/>
      <c r="K129" s="2823"/>
      <c r="L129" s="2824" t="str">
        <f>IFERROR(INDEX('Lower Cask Movement &amp; Logistics'!$I$13:$O$19,MATCH($J129,'Lower Cask Movement &amp; Logistics'!$H$13:$H$19,0),MATCH($K129,'Lower Cask Movement &amp; Logistics'!$H$13:$H$19,0)),"N/A")</f>
        <v>N/A</v>
      </c>
      <c r="M129" s="2824" t="str">
        <f>IFERROR(VLOOKUP($I129,'Lower Cask Movement &amp; Logistics'!$H$4:$I$8,2,FALSE),"N/A")</f>
        <v>N/A</v>
      </c>
      <c r="N129" s="2824" t="str">
        <f t="shared" si="7"/>
        <v>N/A</v>
      </c>
      <c r="O129" s="2795"/>
      <c r="P129" s="2796" t="str">
        <f>IF($D129="Logistics",VLOOKUP($O129,'Lower Cask Movement &amp; Logistics'!$C$4:$D$54,2,FALSE),"N/A")</f>
        <v>N/A</v>
      </c>
    </row>
    <row r="130" spans="1:19" s="2835" customFormat="1" ht="12.75" customHeight="1" outlineLevel="1" x14ac:dyDescent="0.4">
      <c r="A130" s="2845"/>
      <c r="B130" s="3864"/>
      <c r="C130" s="2825" t="s">
        <v>1945</v>
      </c>
      <c r="D130" s="2825" t="s">
        <v>251</v>
      </c>
      <c r="E130" s="2826">
        <f t="shared" si="4"/>
        <v>63.652246595150302</v>
      </c>
      <c r="F130" s="2805">
        <f>IF($D130="Trigger",VLOOKUP("*"&amp;$C130&amp;"*",'Lower Cask Weld Failures'!$D$53:$G$622,4,FALSE),E130+F129)</f>
        <v>63.652246595150302</v>
      </c>
      <c r="G130" s="2808" t="s">
        <v>141</v>
      </c>
      <c r="H130" s="2805">
        <f>VLOOKUP(G130,'Upper Hot Cell Welding failures'!$E$144:$I$209,5,FALSE)</f>
        <v>63.652246595150302</v>
      </c>
      <c r="I130" s="2825"/>
      <c r="J130" s="2825"/>
      <c r="K130" s="2825"/>
      <c r="L130" s="2826" t="str">
        <f>IFERROR(INDEX('Lower Cask Movement &amp; Logistics'!$I$13:$O$19,MATCH($J130,'Lower Cask Movement &amp; Logistics'!$H$13:$H$19,0),MATCH($K130,'Lower Cask Movement &amp; Logistics'!$H$13:$H$19,0)),"N/A")</f>
        <v>N/A</v>
      </c>
      <c r="M130" s="2826" t="str">
        <f>IFERROR(VLOOKUP($I130,'Lower Cask Movement &amp; Logistics'!$H$4:$I$8,2,FALSE),"N/A")</f>
        <v>N/A</v>
      </c>
      <c r="N130" s="2826" t="str">
        <f t="shared" si="7"/>
        <v>N/A</v>
      </c>
      <c r="O130" s="2809"/>
      <c r="P130" s="2805" t="str">
        <f>IF($D130="Logistics",VLOOKUP($O130,'Lower Cask Movement &amp; Logistics'!$C$4:$D$54,2,FALSE),"N/A")</f>
        <v>N/A</v>
      </c>
    </row>
    <row r="131" spans="1:19" s="2835" customFormat="1" ht="13.5" customHeight="1" outlineLevel="1" thickBot="1" x14ac:dyDescent="0.45">
      <c r="A131" s="2845"/>
      <c r="B131" s="3865"/>
      <c r="C131" s="2827" t="str">
        <f>B129</f>
        <v>RIB Blanket segment installed</v>
      </c>
      <c r="D131" s="2827" t="s">
        <v>11</v>
      </c>
      <c r="E131" s="2828">
        <f t="shared" si="4"/>
        <v>0</v>
      </c>
      <c r="F131" s="2822">
        <f>IF($D131="Trigger",VLOOKUP("*"&amp;$C131&amp;"*",'Lower Cask Weld Failures'!$D$53:$G$622,4,FALSE),E131+F130)</f>
        <v>63.652246595150302</v>
      </c>
      <c r="G131" s="2812"/>
      <c r="H131" s="2813" t="s">
        <v>263</v>
      </c>
      <c r="I131" s="2827"/>
      <c r="J131" s="2827"/>
      <c r="K131" s="2827"/>
      <c r="L131" s="2828" t="str">
        <f>IFERROR(INDEX('Lower Cask Movement &amp; Logistics'!$I$13:$O$19,MATCH($J131,'Lower Cask Movement &amp; Logistics'!$H$13:$H$19,0),MATCH($K131,'Lower Cask Movement &amp; Logistics'!$H$13:$H$19,0)),"N/A")</f>
        <v>N/A</v>
      </c>
      <c r="M131" s="2828" t="str">
        <f>IFERROR(VLOOKUP($I131,'Lower Cask Movement &amp; Logistics'!$H$4:$I$8,2,FALSE),"N/A")</f>
        <v>N/A</v>
      </c>
      <c r="N131" s="2828" t="str">
        <f t="shared" si="7"/>
        <v>N/A</v>
      </c>
      <c r="O131" s="2817"/>
      <c r="P131" s="2822" t="str">
        <f>IF($D131="Logistics",VLOOKUP($O131,'Lower Cask Movement &amp; Logistics'!$C$4:$D$54,2,FALSE),"N/A")</f>
        <v>N/A</v>
      </c>
    </row>
    <row r="132" spans="1:19" s="2835" customFormat="1" ht="12.75" customHeight="1" outlineLevel="1" x14ac:dyDescent="0.4">
      <c r="A132" s="2845"/>
      <c r="B132" s="3863" t="s">
        <v>1894</v>
      </c>
      <c r="C132" s="2823" t="s">
        <v>1862</v>
      </c>
      <c r="D132" s="2823" t="s">
        <v>907</v>
      </c>
      <c r="E132" s="2824">
        <f t="shared" si="4"/>
        <v>0</v>
      </c>
      <c r="F132" s="2796">
        <f>IF($D132="Trigger",VLOOKUP("*"&amp;$C132&amp;"*",'Lower Cask Weld Failures'!$D$53:$G$622,4,FALSE),E132+F131)</f>
        <v>0</v>
      </c>
      <c r="G132" s="2790"/>
      <c r="H132" s="2791" t="s">
        <v>263</v>
      </c>
      <c r="I132" s="2823"/>
      <c r="J132" s="2823"/>
      <c r="K132" s="2823"/>
      <c r="L132" s="2824" t="str">
        <f>IFERROR(INDEX('Lower Cask Movement &amp; Logistics'!$I$13:$O$19,MATCH($J132,'Lower Cask Movement &amp; Logistics'!$H$13:$H$19,0),MATCH($K132,'Lower Cask Movement &amp; Logistics'!$H$13:$H$19,0)),"N/A")</f>
        <v>N/A</v>
      </c>
      <c r="M132" s="2824" t="str">
        <f>IFERROR(VLOOKUP($I132,'Lower Cask Movement &amp; Logistics'!$H$4:$I$8,2,FALSE),"N/A")</f>
        <v>N/A</v>
      </c>
      <c r="N132" s="2824" t="str">
        <f t="shared" si="7"/>
        <v>N/A</v>
      </c>
      <c r="O132" s="2795"/>
      <c r="P132" s="2796" t="str">
        <f>IF($D132="Logistics",VLOOKUP($O132,'Lower Cask Movement &amp; Logistics'!$C$4:$D$54,2,FALSE),"N/A")</f>
        <v>N/A</v>
      </c>
    </row>
    <row r="133" spans="1:19" s="2835" customFormat="1" ht="12.75" customHeight="1" outlineLevel="1" x14ac:dyDescent="0.4">
      <c r="A133" s="2845"/>
      <c r="B133" s="3864"/>
      <c r="C133" s="2825" t="s">
        <v>1945</v>
      </c>
      <c r="D133" s="2825" t="s">
        <v>251</v>
      </c>
      <c r="E133" s="2826">
        <f t="shared" si="4"/>
        <v>88.859468817372502</v>
      </c>
      <c r="F133" s="2805">
        <f>IF($D133="Trigger",VLOOKUP("*"&amp;$C133&amp;"*",'Lower Cask Weld Failures'!$D$53:$G$622,4,FALSE),E133+F132)</f>
        <v>88.859468817372502</v>
      </c>
      <c r="G133" s="2808" t="s">
        <v>1085</v>
      </c>
      <c r="H133" s="2805">
        <f>VLOOKUP(G133,'Upper Hot Cell Welding failures'!$E$144:$I$209,5,FALSE)</f>
        <v>88.859468817372502</v>
      </c>
      <c r="I133" s="2825"/>
      <c r="J133" s="2825"/>
      <c r="K133" s="2825"/>
      <c r="L133" s="2826" t="str">
        <f>IFERROR(INDEX('Lower Cask Movement &amp; Logistics'!$I$13:$O$19,MATCH($J133,'Lower Cask Movement &amp; Logistics'!$H$13:$H$19,0),MATCH($K133,'Lower Cask Movement &amp; Logistics'!$H$13:$H$19,0)),"N/A")</f>
        <v>N/A</v>
      </c>
      <c r="M133" s="2826" t="str">
        <f>IFERROR(VLOOKUP($I133,'Lower Cask Movement &amp; Logistics'!$H$4:$I$8,2,FALSE),"N/A")</f>
        <v>N/A</v>
      </c>
      <c r="N133" s="2826" t="str">
        <f t="shared" si="7"/>
        <v>N/A</v>
      </c>
      <c r="O133" s="2809"/>
      <c r="P133" s="2805" t="str">
        <f>IF($D133="Logistics",VLOOKUP($O133,'Lower Cask Movement &amp; Logistics'!$C$4:$D$54,2,FALSE),"N/A")</f>
        <v>N/A</v>
      </c>
    </row>
    <row r="134" spans="1:19" s="2835" customFormat="1" ht="13.5" customHeight="1" outlineLevel="1" thickBot="1" x14ac:dyDescent="0.45">
      <c r="A134" s="2845"/>
      <c r="B134" s="3865"/>
      <c r="C134" s="2827" t="str">
        <f>B132</f>
        <v>RIB Upper Port Pipe Module installed</v>
      </c>
      <c r="D134" s="2827" t="s">
        <v>11</v>
      </c>
      <c r="E134" s="2828">
        <f t="shared" si="4"/>
        <v>0</v>
      </c>
      <c r="F134" s="2822">
        <f>IF($D134="Trigger",VLOOKUP("*"&amp;$C134&amp;"*",'Lower Cask Weld Failures'!$D$53:$G$622,4,FALSE),E134+F133)</f>
        <v>88.859468817372502</v>
      </c>
      <c r="G134" s="2812"/>
      <c r="H134" s="2813" t="s">
        <v>263</v>
      </c>
      <c r="I134" s="2827"/>
      <c r="J134" s="2827"/>
      <c r="K134" s="2827"/>
      <c r="L134" s="2828" t="str">
        <f>IFERROR(INDEX('Lower Cask Movement &amp; Logistics'!$I$13:$O$19,MATCH($J134,'Lower Cask Movement &amp; Logistics'!$H$13:$H$19,0),MATCH($K134,'Lower Cask Movement &amp; Logistics'!$H$13:$H$19,0)),"N/A")</f>
        <v>N/A</v>
      </c>
      <c r="M134" s="2828" t="str">
        <f>IFERROR(VLOOKUP($I134,'Lower Cask Movement &amp; Logistics'!$H$4:$I$8,2,FALSE),"N/A")</f>
        <v>N/A</v>
      </c>
      <c r="N134" s="2828" t="str">
        <f t="shared" si="7"/>
        <v>N/A</v>
      </c>
      <c r="O134" s="2817"/>
      <c r="P134" s="2822" t="str">
        <f>IF($D134="Logistics",VLOOKUP($O134,'Lower Cask Movement &amp; Logistics'!$C$4:$D$54,2,FALSE),"N/A")</f>
        <v>N/A</v>
      </c>
    </row>
    <row r="135" spans="1:19" s="2835" customFormat="1" ht="13.3" thickBot="1" x14ac:dyDescent="0.45">
      <c r="A135" s="2846"/>
      <c r="B135" s="2847"/>
      <c r="C135" s="2848"/>
      <c r="D135" s="2848"/>
      <c r="E135" s="2848"/>
      <c r="F135" s="2848"/>
      <c r="G135" s="2848"/>
      <c r="H135" s="2849"/>
      <c r="I135" s="2848"/>
      <c r="J135" s="2848"/>
      <c r="K135" s="2848"/>
      <c r="L135" s="2850"/>
      <c r="M135" s="2850"/>
      <c r="N135" s="2850"/>
      <c r="O135" s="2848"/>
      <c r="P135" s="2851"/>
    </row>
    <row r="136" spans="1:19" s="2835" customFormat="1" x14ac:dyDescent="0.4">
      <c r="A136" s="2852"/>
      <c r="B136" s="2853" t="s">
        <v>1953</v>
      </c>
      <c r="C136" s="2853"/>
      <c r="D136" s="2853"/>
      <c r="E136" s="2853"/>
      <c r="F136" s="2853"/>
      <c r="G136" s="2853"/>
      <c r="H136" s="2853"/>
      <c r="I136" s="2853"/>
      <c r="J136" s="2853"/>
      <c r="K136" s="2853"/>
      <c r="L136" s="2853"/>
      <c r="M136" s="2853"/>
      <c r="N136" s="2853"/>
      <c r="O136" s="2853"/>
      <c r="P136" s="2854"/>
    </row>
    <row r="137" spans="1:19" s="2835" customFormat="1" ht="13.3" outlineLevel="1" thickBot="1" x14ac:dyDescent="0.45">
      <c r="A137" s="2855"/>
      <c r="B137" s="2856"/>
      <c r="C137" s="2857"/>
      <c r="D137" s="2857"/>
      <c r="E137" s="2857"/>
      <c r="F137" s="2857"/>
      <c r="G137" s="2857"/>
      <c r="H137" s="2858"/>
      <c r="I137" s="2857"/>
      <c r="J137" s="2857"/>
      <c r="K137" s="2857"/>
      <c r="L137" s="2859"/>
      <c r="M137" s="2859"/>
      <c r="N137" s="2859"/>
      <c r="O137" s="2857"/>
      <c r="P137" s="2860"/>
    </row>
    <row r="138" spans="1:19" s="2764" customFormat="1" ht="14.6" outlineLevel="1" x14ac:dyDescent="0.4">
      <c r="A138" s="2855"/>
      <c r="B138" s="3866" t="s">
        <v>1631</v>
      </c>
      <c r="C138" s="2755" t="s">
        <v>1936</v>
      </c>
      <c r="D138" s="2755" t="s">
        <v>907</v>
      </c>
      <c r="E138" s="2756">
        <f t="shared" ref="E138:E191" si="8">MAX($P138,$N138,$H138)</f>
        <v>0</v>
      </c>
      <c r="F138" s="2756">
        <f>IF($D138="Trigger",VLOOKUP("*"&amp;$C138&amp;"*",'Lower Cask Weld Failures'!$D$215:$G$256,4,FALSE),E138+F137)</f>
        <v>0</v>
      </c>
      <c r="G138" s="2757"/>
      <c r="H138" s="2758" t="s">
        <v>263</v>
      </c>
      <c r="I138" s="2759"/>
      <c r="J138" s="2755"/>
      <c r="K138" s="2755"/>
      <c r="L138" s="2760" t="str">
        <f>IFERROR(INDEX('Lower Cask Movement &amp; Logistics'!$I$13:$O$19,MATCH($J138,'Lower Cask Movement &amp; Logistics'!$H$13:$H$19,0),MATCH($K138,'Lower Cask Movement &amp; Logistics'!$H$13:$H$19,0)),"N/A")</f>
        <v>N/A</v>
      </c>
      <c r="M138" s="2760" t="str">
        <f>IFERROR(VLOOKUP($I138,'Lower Cask Movement &amp; Logistics'!$H$4:$I$8,2,FALSE),"N/A")</f>
        <v>N/A</v>
      </c>
      <c r="N138" s="2761" t="str">
        <f t="shared" ref="N138:N191" si="9">IF(D138="Movement",IFERROR((L138/M138)/(60*60),"Error"),"N/A")</f>
        <v>N/A</v>
      </c>
      <c r="O138" s="2762"/>
      <c r="P138" s="2763" t="str">
        <f>IF($D138="Logistics",VLOOKUP($O138,'Lower Cask Movement &amp; Logistics'!$C$4:$D$54,2,FALSE),"N/A")</f>
        <v>N/A</v>
      </c>
      <c r="R138" s="2765"/>
      <c r="S138" s="2765"/>
    </row>
    <row r="139" spans="1:19" s="2764" customFormat="1" ht="14.6" outlineLevel="1" x14ac:dyDescent="0.4">
      <c r="A139" s="2855"/>
      <c r="B139" s="3867"/>
      <c r="C139" s="2766" t="s">
        <v>1732</v>
      </c>
      <c r="D139" s="2767" t="s">
        <v>778</v>
      </c>
      <c r="E139" s="2768">
        <f>MAX($P139,$N139,$H139)</f>
        <v>0.23148148148148148</v>
      </c>
      <c r="F139" s="2768">
        <f>IF($D139="Trigger",VLOOKUP("*"&amp;$C139&amp;"*",'Lower Cask Weld Failures'!$D$215:$G$256,4,FALSE),E139+F138)</f>
        <v>0.23148148148148148</v>
      </c>
      <c r="G139" s="2769"/>
      <c r="H139" s="2770" t="s">
        <v>263</v>
      </c>
      <c r="I139" s="2771" t="s">
        <v>1536</v>
      </c>
      <c r="J139" s="2767" t="s">
        <v>1203</v>
      </c>
      <c r="K139" s="2767" t="s">
        <v>914</v>
      </c>
      <c r="L139" s="2772">
        <f>IFERROR(INDEX('Lower Cask Movement &amp; Logistics'!$I$13:$O$19,MATCH($J139,'Lower Cask Movement &amp; Logistics'!$H$13:$H$19,0),MATCH($K139,'Lower Cask Movement &amp; Logistics'!$H$13:$H$19,0)),"N/A")</f>
        <v>50</v>
      </c>
      <c r="M139" s="2773">
        <f>IFERROR(VLOOKUP($I139,'Lower Cask Movement &amp; Logistics'!$H$4:$I$8,2,FALSE),"N/A")</f>
        <v>0.06</v>
      </c>
      <c r="N139" s="2774">
        <f t="shared" si="9"/>
        <v>0.23148148148148148</v>
      </c>
      <c r="O139" s="2775"/>
      <c r="P139" s="2776" t="str">
        <f>IF($D139="Logistics",VLOOKUP($O139,'Lower Cask Movement &amp; Logistics'!$C$4:$D$54,2,FALSE),"N/A")</f>
        <v>N/A</v>
      </c>
      <c r="R139" s="2765"/>
      <c r="S139" s="2765"/>
    </row>
    <row r="140" spans="1:19" s="2764" customFormat="1" ht="14.6" outlineLevel="1" x14ac:dyDescent="0.4">
      <c r="A140" s="2855"/>
      <c r="B140" s="3867"/>
      <c r="C140" s="2766" t="s">
        <v>1733</v>
      </c>
      <c r="D140" s="2767" t="s">
        <v>3</v>
      </c>
      <c r="E140" s="2768">
        <f t="shared" si="8"/>
        <v>1.9</v>
      </c>
      <c r="F140" s="2768">
        <f>IF($D140="Trigger",VLOOKUP("*"&amp;$C140&amp;"*",'Lower Cask Weld Failures'!$D$215:$G$256,4,FALSE),E140+F139)</f>
        <v>2.1314814814814813</v>
      </c>
      <c r="G140" s="2769"/>
      <c r="H140" s="2770" t="s">
        <v>263</v>
      </c>
      <c r="I140" s="2771"/>
      <c r="J140" s="2767"/>
      <c r="K140" s="2767"/>
      <c r="L140" s="2772" t="str">
        <f>IFERROR(INDEX('Lower Cask Movement &amp; Logistics'!$I$13:$O$19,MATCH($J140,'Lower Cask Movement &amp; Logistics'!$H$13:$H$19,0),MATCH($K140,'Lower Cask Movement &amp; Logistics'!$H$13:$H$19,0)),"N/A")</f>
        <v>N/A</v>
      </c>
      <c r="M140" s="2773" t="str">
        <f>IFERROR(VLOOKUP($I140,'Lower Cask Movement &amp; Logistics'!$H$4:$I$8,2,FALSE),"N/A")</f>
        <v>N/A</v>
      </c>
      <c r="N140" s="2774" t="str">
        <f t="shared" si="9"/>
        <v>N/A</v>
      </c>
      <c r="O140" s="2775" t="s">
        <v>1734</v>
      </c>
      <c r="P140" s="2776">
        <f>IF($D140="Logistics",VLOOKUP($O140,'Lower Cask Movement &amp; Logistics'!$C$4:$D$54,2,FALSE),"N/A")</f>
        <v>1.9</v>
      </c>
      <c r="R140" s="2765"/>
      <c r="S140" s="2765"/>
    </row>
    <row r="141" spans="1:19" s="2764" customFormat="1" ht="14.6" outlineLevel="1" x14ac:dyDescent="0.4">
      <c r="A141" s="2855"/>
      <c r="B141" s="3867"/>
      <c r="C141" s="2766" t="s">
        <v>1742</v>
      </c>
      <c r="D141" s="2767" t="s">
        <v>3</v>
      </c>
      <c r="E141" s="2768">
        <f t="shared" si="8"/>
        <v>0.58000000000000007</v>
      </c>
      <c r="F141" s="2768">
        <f>IF($D141="Trigger",VLOOKUP("*"&amp;$C141&amp;"*",'Lower Cask Weld Failures'!$D$215:$G$256,4,FALSE),E141+F140)</f>
        <v>2.7114814814814814</v>
      </c>
      <c r="G141" s="2769"/>
      <c r="H141" s="2770" t="s">
        <v>263</v>
      </c>
      <c r="I141" s="2771"/>
      <c r="J141" s="2767"/>
      <c r="K141" s="2767"/>
      <c r="L141" s="2772" t="str">
        <f>IFERROR(INDEX('Lower Cask Movement &amp; Logistics'!$I$13:$O$19,MATCH($J141,'Lower Cask Movement &amp; Logistics'!$H$13:$H$19,0),MATCH($K141,'Lower Cask Movement &amp; Logistics'!$H$13:$H$19,0)),"N/A")</f>
        <v>N/A</v>
      </c>
      <c r="M141" s="2773" t="str">
        <f>IFERROR(VLOOKUP($I141,'Lower Cask Movement &amp; Logistics'!$H$4:$I$8,2,FALSE),"N/A")</f>
        <v>N/A</v>
      </c>
      <c r="N141" s="2774" t="str">
        <f t="shared" si="9"/>
        <v>N/A</v>
      </c>
      <c r="O141" s="2775" t="s">
        <v>1539</v>
      </c>
      <c r="P141" s="2776">
        <f>IF($D141="Logistics",VLOOKUP($O141,'Lower Cask Movement &amp; Logistics'!$C$4:$D$54,2,FALSE),"N/A")</f>
        <v>0.58000000000000007</v>
      </c>
      <c r="R141" s="2765"/>
      <c r="S141" s="2765"/>
    </row>
    <row r="142" spans="1:19" s="2764" customFormat="1" ht="14.6" outlineLevel="1" x14ac:dyDescent="0.4">
      <c r="A142" s="2855"/>
      <c r="B142" s="3867"/>
      <c r="C142" s="2766" t="s">
        <v>1737</v>
      </c>
      <c r="D142" s="2767" t="s">
        <v>778</v>
      </c>
      <c r="E142" s="2768">
        <f t="shared" si="8"/>
        <v>2.7777777777777776E-2</v>
      </c>
      <c r="F142" s="2768">
        <f>IF($D142="Trigger",VLOOKUP("*"&amp;$C142&amp;"*",'Lower Cask Weld Failures'!$D$215:$G$256,4,FALSE),E142+F141)</f>
        <v>2.7392592592592591</v>
      </c>
      <c r="G142" s="2769"/>
      <c r="H142" s="2770" t="s">
        <v>263</v>
      </c>
      <c r="I142" s="2771" t="s">
        <v>1738</v>
      </c>
      <c r="J142" s="2767" t="s">
        <v>914</v>
      </c>
      <c r="K142" s="2767" t="s">
        <v>799</v>
      </c>
      <c r="L142" s="2772">
        <f>IFERROR(INDEX('Lower Cask Movement &amp; Logistics'!$I$13:$O$19,MATCH($J142,'Lower Cask Movement &amp; Logistics'!$H$13:$H$19,0),MATCH($K142,'Lower Cask Movement &amp; Logistics'!$H$13:$H$19,0)),"N/A")</f>
        <v>20</v>
      </c>
      <c r="M142" s="2773">
        <f>IFERROR(VLOOKUP($I142,'Lower Cask Movement &amp; Logistics'!$H$4:$I$8,2,FALSE),"N/A")</f>
        <v>0.2</v>
      </c>
      <c r="N142" s="2774">
        <f t="shared" si="9"/>
        <v>2.7777777777777776E-2</v>
      </c>
      <c r="O142" s="2775"/>
      <c r="P142" s="2776" t="str">
        <f>IF($D142="Logistics",VLOOKUP($O142,'Lower Cask Movement &amp; Logistics'!$C$4:$D$54,2,FALSE),"N/A")</f>
        <v>N/A</v>
      </c>
      <c r="R142" s="2765"/>
      <c r="S142" s="2765"/>
    </row>
    <row r="143" spans="1:19" s="2764" customFormat="1" ht="14.6" outlineLevel="1" x14ac:dyDescent="0.4">
      <c r="A143" s="2855"/>
      <c r="B143" s="3867"/>
      <c r="C143" s="2767" t="s">
        <v>1759</v>
      </c>
      <c r="D143" s="2767" t="s">
        <v>3</v>
      </c>
      <c r="E143" s="2768">
        <f t="shared" si="8"/>
        <v>0.78</v>
      </c>
      <c r="F143" s="2768">
        <f>IF($D143="Trigger",VLOOKUP("*"&amp;$C143&amp;"*",'Lower Cask Weld Failures'!$D$215:$G$256,4,FALSE),E143+F142)</f>
        <v>3.5192592592592593</v>
      </c>
      <c r="G143" s="2777"/>
      <c r="H143" s="2770" t="s">
        <v>263</v>
      </c>
      <c r="I143" s="2771"/>
      <c r="J143" s="2767"/>
      <c r="K143" s="2767"/>
      <c r="L143" s="2772" t="str">
        <f>IFERROR(INDEX('Lower Cask Movement &amp; Logistics'!$I$13:$O$19,MATCH($J143,'Lower Cask Movement &amp; Logistics'!$H$13:$H$19,0),MATCH($K143,'Lower Cask Movement &amp; Logistics'!$H$13:$H$19,0)),"N/A")</f>
        <v>N/A</v>
      </c>
      <c r="M143" s="2773" t="str">
        <f>IFERROR(VLOOKUP($I143,'Lower Cask Movement &amp; Logistics'!$H$4:$I$8,2,FALSE),"N/A")</f>
        <v>N/A</v>
      </c>
      <c r="N143" s="2774" t="str">
        <f t="shared" si="9"/>
        <v>N/A</v>
      </c>
      <c r="O143" s="2778" t="s">
        <v>1740</v>
      </c>
      <c r="P143" s="2776">
        <f>IF($D143="Logistics",VLOOKUP($O143,'Lower Cask Movement &amp; Logistics'!$C$4:$D$54,2,FALSE),"N/A")</f>
        <v>0.78</v>
      </c>
      <c r="R143" s="2765"/>
      <c r="S143" s="2765"/>
    </row>
    <row r="144" spans="1:19" s="2764" customFormat="1" ht="14.6" outlineLevel="1" x14ac:dyDescent="0.4">
      <c r="A144" s="2855"/>
      <c r="B144" s="3867"/>
      <c r="C144" s="2767" t="s">
        <v>1760</v>
      </c>
      <c r="D144" s="2767" t="s">
        <v>778</v>
      </c>
      <c r="E144" s="2768">
        <f t="shared" si="8"/>
        <v>0.69444444444444442</v>
      </c>
      <c r="F144" s="2768">
        <f>IF($D144="Trigger",VLOOKUP("*"&amp;$C144&amp;"*",'Lower Cask Weld Failures'!$D$215:$G$256,4,FALSE),E144+F143)</f>
        <v>4.213703703703704</v>
      </c>
      <c r="G144" s="2777"/>
      <c r="H144" s="2770" t="s">
        <v>263</v>
      </c>
      <c r="I144" s="2771" t="s">
        <v>1538</v>
      </c>
      <c r="J144" s="2767" t="s">
        <v>799</v>
      </c>
      <c r="K144" s="2767" t="s">
        <v>1203</v>
      </c>
      <c r="L144" s="2772">
        <f>IFERROR(INDEX('Lower Cask Movement &amp; Logistics'!$I$13:$O$19,MATCH($J144,'Lower Cask Movement &amp; Logistics'!$H$13:$H$19,0),MATCH($K144,'Lower Cask Movement &amp; Logistics'!$H$13:$H$19,0)),"N/A")</f>
        <v>50</v>
      </c>
      <c r="M144" s="2773">
        <f>IFERROR(VLOOKUP($I144,'Lower Cask Movement &amp; Logistics'!$H$4:$I$8,2,FALSE),"N/A")</f>
        <v>0.02</v>
      </c>
      <c r="N144" s="2774">
        <f t="shared" si="9"/>
        <v>0.69444444444444442</v>
      </c>
      <c r="O144" s="2778"/>
      <c r="P144" s="2776" t="str">
        <f>IF($D144="Logistics",VLOOKUP($O144,'Lower Cask Movement &amp; Logistics'!$C$4:$D$54,2,FALSE),"N/A")</f>
        <v>N/A</v>
      </c>
      <c r="R144" s="2765"/>
      <c r="S144" s="2765"/>
    </row>
    <row r="145" spans="1:19" s="2764" customFormat="1" ht="39.450000000000003" outlineLevel="1" thickBot="1" x14ac:dyDescent="0.45">
      <c r="A145" s="2855"/>
      <c r="B145" s="3868"/>
      <c r="C145" s="2779" t="s">
        <v>1631</v>
      </c>
      <c r="D145" s="2779" t="s">
        <v>11</v>
      </c>
      <c r="E145" s="2780">
        <f t="shared" si="8"/>
        <v>0</v>
      </c>
      <c r="F145" s="2780">
        <f>IF($D145="Trigger",VLOOKUP("*"&amp;$C145&amp;"*",'Lower Cask Weld Failures'!$D$215:$G$256,4,FALSE),E145+F144)</f>
        <v>4.213703703703704</v>
      </c>
      <c r="G145" s="2781"/>
      <c r="H145" s="2782" t="s">
        <v>263</v>
      </c>
      <c r="I145" s="2783"/>
      <c r="J145" s="2779"/>
      <c r="K145" s="2779"/>
      <c r="L145" s="2784" t="str">
        <f>IFERROR(INDEX('Lower Cask Movement &amp; Logistics'!$I$13:$O$19,MATCH($J145,'Lower Cask Movement &amp; Logistics'!$H$13:$H$19,0),MATCH($K145,'Lower Cask Movement &amp; Logistics'!$H$13:$H$19,0)),"N/A")</f>
        <v>N/A</v>
      </c>
      <c r="M145" s="2784" t="str">
        <f>IFERROR(VLOOKUP($I145,'Lower Cask Movement &amp; Logistics'!$H$4:$I$8,2,FALSE),"N/A")</f>
        <v>N/A</v>
      </c>
      <c r="N145" s="2785" t="str">
        <f t="shared" si="9"/>
        <v>N/A</v>
      </c>
      <c r="O145" s="2786"/>
      <c r="P145" s="2787" t="str">
        <f>IF($D145="Logistics",VLOOKUP($O145,'Lower Cask Movement &amp; Logistics'!$C$4:$D$54,2,FALSE),"N/A")</f>
        <v>N/A</v>
      </c>
      <c r="R145" s="2765"/>
      <c r="S145" s="2765"/>
    </row>
    <row r="146" spans="1:19" s="2764" customFormat="1" ht="15" customHeight="1" outlineLevel="1" x14ac:dyDescent="0.4">
      <c r="A146" s="2855"/>
      <c r="B146" s="3863" t="s">
        <v>1636</v>
      </c>
      <c r="C146" s="2788" t="s">
        <v>1634</v>
      </c>
      <c r="D146" s="2788" t="s">
        <v>907</v>
      </c>
      <c r="E146" s="2789">
        <f t="shared" si="8"/>
        <v>0</v>
      </c>
      <c r="F146" s="2789">
        <f>IF($D146="Trigger",VLOOKUP("*"&amp;$C146&amp;"*",'Lower Cask Weld Failures'!$D$215:$G$256,4,FALSE),E146+F145)</f>
        <v>44.838901179185171</v>
      </c>
      <c r="G146" s="2790"/>
      <c r="H146" s="2791" t="s">
        <v>263</v>
      </c>
      <c r="I146" s="2792"/>
      <c r="J146" s="2788"/>
      <c r="K146" s="2788"/>
      <c r="L146" s="2793" t="str">
        <f>IFERROR(INDEX('Lower Cask Movement &amp; Logistics'!$I$13:$O$19,MATCH($J146,'Lower Cask Movement &amp; Logistics'!$H$13:$H$19,0),MATCH($K146,'Lower Cask Movement &amp; Logistics'!$H$13:$H$19,0)),"N/A")</f>
        <v>N/A</v>
      </c>
      <c r="M146" s="2793" t="str">
        <f>IFERROR(VLOOKUP($I146,'Lower Cask Movement &amp; Logistics'!$H$4:$I$8,2,FALSE),"N/A")</f>
        <v>N/A</v>
      </c>
      <c r="N146" s="2794" t="str">
        <f t="shared" si="9"/>
        <v>N/A</v>
      </c>
      <c r="O146" s="2795"/>
      <c r="P146" s="2796" t="str">
        <f>IF($D146="Logistics",VLOOKUP($O146,'Lower Cask Movement &amp; Logistics'!$C$4:$D$54,2,FALSE),"N/A")</f>
        <v>N/A</v>
      </c>
      <c r="R146" s="2765"/>
      <c r="S146" s="2765"/>
    </row>
    <row r="147" spans="1:19" s="2764" customFormat="1" ht="15" customHeight="1" outlineLevel="1" x14ac:dyDescent="0.4">
      <c r="A147" s="2855"/>
      <c r="B147" s="3864"/>
      <c r="C147" s="2797" t="s">
        <v>1732</v>
      </c>
      <c r="D147" s="2798" t="s">
        <v>778</v>
      </c>
      <c r="E147" s="2799">
        <f>MAX($P147,$N147,$H147)</f>
        <v>0.23148148148148148</v>
      </c>
      <c r="F147" s="2799">
        <f>IF($D147="Trigger",VLOOKUP("*"&amp;$C147&amp;"*",'Lower Cask Weld Failures'!$D$215:$G$256,4,FALSE),E147+F146)</f>
        <v>45.070382660666652</v>
      </c>
      <c r="G147" s="2861"/>
      <c r="H147" s="2801" t="s">
        <v>263</v>
      </c>
      <c r="I147" s="2802" t="s">
        <v>1536</v>
      </c>
      <c r="J147" s="2798" t="s">
        <v>1203</v>
      </c>
      <c r="K147" s="2798" t="s">
        <v>914</v>
      </c>
      <c r="L147" s="2803">
        <f>IFERROR(INDEX('Lower Cask Movement &amp; Logistics'!$I$13:$O$19,MATCH($J147,'Lower Cask Movement &amp; Logistics'!$H$13:$H$19,0),MATCH($K147,'Lower Cask Movement &amp; Logistics'!$H$13:$H$19,0)),"N/A")</f>
        <v>50</v>
      </c>
      <c r="M147" s="2804">
        <f>IFERROR(VLOOKUP($I147,'Lower Cask Movement &amp; Logistics'!$H$4:$I$8,2,FALSE),"N/A")</f>
        <v>0.06</v>
      </c>
      <c r="N147" s="2805">
        <f t="shared" si="9"/>
        <v>0.23148148148148148</v>
      </c>
      <c r="O147" s="2806"/>
      <c r="P147" s="2807" t="str">
        <f>IF($D147="Logistics",VLOOKUP($O147,'Lower Cask Movement &amp; Logistics'!$C$4:$D$54,2,FALSE),"N/A")</f>
        <v>N/A</v>
      </c>
      <c r="R147" s="2765"/>
      <c r="S147" s="2765"/>
    </row>
    <row r="148" spans="1:19" s="2764" customFormat="1" ht="15" customHeight="1" outlineLevel="1" x14ac:dyDescent="0.4">
      <c r="A148" s="2855"/>
      <c r="B148" s="3864"/>
      <c r="C148" s="2797" t="s">
        <v>1751</v>
      </c>
      <c r="D148" s="2798" t="s">
        <v>3</v>
      </c>
      <c r="E148" s="2799">
        <f t="shared" si="8"/>
        <v>0.58000000000000007</v>
      </c>
      <c r="F148" s="2799">
        <f>IF($D148="Trigger",VLOOKUP("*"&amp;$C148&amp;"*",'Lower Cask Weld Failures'!$D$215:$G$256,4,FALSE),E148+F147)</f>
        <v>45.650382660666651</v>
      </c>
      <c r="G148" s="2861"/>
      <c r="H148" s="2801" t="s">
        <v>263</v>
      </c>
      <c r="I148" s="2802"/>
      <c r="J148" s="2798"/>
      <c r="K148" s="2798"/>
      <c r="L148" s="2803" t="str">
        <f>IFERROR(INDEX('Lower Cask Movement &amp; Logistics'!$I$13:$O$19,MATCH($J148,'Lower Cask Movement &amp; Logistics'!$H$13:$H$19,0),MATCH($K148,'Lower Cask Movement &amp; Logistics'!$H$13:$H$19,0)),"N/A")</f>
        <v>N/A</v>
      </c>
      <c r="M148" s="2804" t="str">
        <f>IFERROR(VLOOKUP($I148,'Lower Cask Movement &amp; Logistics'!$H$4:$I$8,2,FALSE),"N/A")</f>
        <v>N/A</v>
      </c>
      <c r="N148" s="2805" t="str">
        <f t="shared" ref="N148:N173" si="10">IF(D148="Movement",IFERROR((L148/M148)/(60*60),"Error"),"N/A")</f>
        <v>N/A</v>
      </c>
      <c r="O148" s="2806" t="s">
        <v>1539</v>
      </c>
      <c r="P148" s="2807">
        <f>IF($D148="Logistics",VLOOKUP($O148,'Lower Cask Movement &amp; Logistics'!$C$4:$D$54,2,FALSE),"N/A")</f>
        <v>0.58000000000000007</v>
      </c>
      <c r="R148" s="2765"/>
      <c r="S148" s="2765"/>
    </row>
    <row r="149" spans="1:19" s="2764" customFormat="1" ht="15" customHeight="1" outlineLevel="1" x14ac:dyDescent="0.4">
      <c r="A149" s="2855"/>
      <c r="B149" s="3864"/>
      <c r="C149" s="2797" t="s">
        <v>1737</v>
      </c>
      <c r="D149" s="2798" t="s">
        <v>778</v>
      </c>
      <c r="E149" s="2799">
        <f t="shared" si="8"/>
        <v>2.7777777777777776E-2</v>
      </c>
      <c r="F149" s="2799">
        <f>IF($D149="Trigger",VLOOKUP("*"&amp;$C149&amp;"*",'Lower Cask Weld Failures'!$D$215:$G$256,4,FALSE),E149+F148)</f>
        <v>45.678160438444429</v>
      </c>
      <c r="G149" s="2861"/>
      <c r="H149" s="2801" t="s">
        <v>263</v>
      </c>
      <c r="I149" s="2802" t="s">
        <v>1738</v>
      </c>
      <c r="J149" s="2798" t="s">
        <v>914</v>
      </c>
      <c r="K149" s="2798" t="s">
        <v>799</v>
      </c>
      <c r="L149" s="2803">
        <f>IFERROR(INDEX('Lower Cask Movement &amp; Logistics'!$I$13:$O$19,MATCH($J149,'Lower Cask Movement &amp; Logistics'!$H$13:$H$19,0),MATCH($K149,'Lower Cask Movement &amp; Logistics'!$H$13:$H$19,0)),"N/A")</f>
        <v>20</v>
      </c>
      <c r="M149" s="2804">
        <f>IFERROR(VLOOKUP($I149,'Lower Cask Movement &amp; Logistics'!$H$4:$I$8,2,FALSE),"N/A")</f>
        <v>0.2</v>
      </c>
      <c r="N149" s="2805">
        <f t="shared" si="10"/>
        <v>2.7777777777777776E-2</v>
      </c>
      <c r="O149" s="2806"/>
      <c r="P149" s="2807" t="str">
        <f>IF($D149="Logistics",VLOOKUP($O149,'Lower Cask Movement &amp; Logistics'!$C$4:$D$54,2,FALSE),"N/A")</f>
        <v>N/A</v>
      </c>
      <c r="R149" s="2765"/>
      <c r="S149" s="2765"/>
    </row>
    <row r="150" spans="1:19" s="2764" customFormat="1" ht="14.6" outlineLevel="1" x14ac:dyDescent="0.4">
      <c r="A150" s="2855"/>
      <c r="B150" s="3864"/>
      <c r="C150" s="2798" t="s">
        <v>1762</v>
      </c>
      <c r="D150" s="2798" t="s">
        <v>3</v>
      </c>
      <c r="E150" s="2799">
        <f t="shared" si="8"/>
        <v>0.88000000000000012</v>
      </c>
      <c r="F150" s="2799">
        <f>IF($D150="Trigger",VLOOKUP("*"&amp;$C150&amp;"*",'Lower Cask Weld Failures'!$D$215:$G$256,4,FALSE),E150+F149)</f>
        <v>46.558160438444432</v>
      </c>
      <c r="G150" s="2861"/>
      <c r="H150" s="2801" t="s">
        <v>263</v>
      </c>
      <c r="I150" s="2802"/>
      <c r="J150" s="2798"/>
      <c r="K150" s="2798"/>
      <c r="L150" s="2803" t="str">
        <f>IFERROR(INDEX('Lower Cask Movement &amp; Logistics'!$I$13:$O$19,MATCH($J150,'Lower Cask Movement &amp; Logistics'!$H$13:$H$19,0),MATCH($K150,'Lower Cask Movement &amp; Logistics'!$H$13:$H$19,0)),"N/A")</f>
        <v>N/A</v>
      </c>
      <c r="M150" s="2804" t="str">
        <f>IFERROR(VLOOKUP($I150,'Lower Cask Movement &amp; Logistics'!$H$4:$I$8,2,FALSE),"N/A")</f>
        <v>N/A</v>
      </c>
      <c r="N150" s="2805" t="str">
        <f t="shared" si="10"/>
        <v>N/A</v>
      </c>
      <c r="O150" s="2809" t="s">
        <v>1730</v>
      </c>
      <c r="P150" s="2807">
        <f>IF($D150="Logistics",VLOOKUP($O150,'Lower Cask Movement &amp; Logistics'!$C$4:$D$54,2,FALSE),"N/A")</f>
        <v>0.88000000000000012</v>
      </c>
      <c r="R150" s="2765"/>
      <c r="S150" s="2765"/>
    </row>
    <row r="151" spans="1:19" s="2764" customFormat="1" ht="14.6" outlineLevel="1" x14ac:dyDescent="0.4">
      <c r="A151" s="2855"/>
      <c r="B151" s="3864"/>
      <c r="C151" s="2798" t="s">
        <v>1763</v>
      </c>
      <c r="D151" s="2798" t="s">
        <v>778</v>
      </c>
      <c r="E151" s="2799">
        <f t="shared" si="8"/>
        <v>0.69444444444444442</v>
      </c>
      <c r="F151" s="2799">
        <f>IF($D151="Trigger",VLOOKUP("*"&amp;$C151&amp;"*",'Lower Cask Weld Failures'!$D$215:$G$256,4,FALSE),E151+F150)</f>
        <v>47.252604882888875</v>
      </c>
      <c r="G151" s="2861"/>
      <c r="H151" s="2801" t="s">
        <v>263</v>
      </c>
      <c r="I151" s="2802" t="s">
        <v>1538</v>
      </c>
      <c r="J151" s="2798" t="s">
        <v>799</v>
      </c>
      <c r="K151" s="2798" t="s">
        <v>1203</v>
      </c>
      <c r="L151" s="2803">
        <f>IFERROR(INDEX('Lower Cask Movement &amp; Logistics'!$I$13:$O$19,MATCH($J151,'Lower Cask Movement &amp; Logistics'!$H$13:$H$19,0),MATCH($K151,'Lower Cask Movement &amp; Logistics'!$H$13:$H$19,0)),"N/A")</f>
        <v>50</v>
      </c>
      <c r="M151" s="2804">
        <f>IFERROR(VLOOKUP($I151,'Lower Cask Movement &amp; Logistics'!$H$4:$I$8,2,FALSE),"N/A")</f>
        <v>0.02</v>
      </c>
      <c r="N151" s="2805">
        <f t="shared" si="10"/>
        <v>0.69444444444444442</v>
      </c>
      <c r="O151" s="2809"/>
      <c r="P151" s="2807" t="str">
        <f>IF($D151="Logistics",VLOOKUP($O151,'Lower Cask Movement &amp; Logistics'!$C$4:$D$54,2,FALSE),"N/A")</f>
        <v>N/A</v>
      </c>
      <c r="R151" s="2765"/>
      <c r="S151" s="2765"/>
    </row>
    <row r="152" spans="1:19" s="2764" customFormat="1" ht="26.6" outlineLevel="1" thickBot="1" x14ac:dyDescent="0.45">
      <c r="A152" s="2855"/>
      <c r="B152" s="3865"/>
      <c r="C152" s="2810" t="str">
        <f>B146</f>
        <v>Outboard Pipework Cask Stored;  Inner Port Pipework Cask Prepared; Inner Port Pipework Cask Moved to Lower Port</v>
      </c>
      <c r="D152" s="2810" t="s">
        <v>11</v>
      </c>
      <c r="E152" s="2811">
        <f t="shared" si="8"/>
        <v>0</v>
      </c>
      <c r="F152" s="2799">
        <f>IF($D152="Trigger",VLOOKUP("*"&amp;$C152&amp;"*",'Lower Cask Weld Failures'!$D$215:$G$256,4,FALSE),E152+F151)</f>
        <v>47.252604882888875</v>
      </c>
      <c r="G152" s="2812"/>
      <c r="H152" s="2813" t="s">
        <v>263</v>
      </c>
      <c r="I152" s="2814"/>
      <c r="J152" s="2810"/>
      <c r="K152" s="2810"/>
      <c r="L152" s="2815" t="str">
        <f>IFERROR(INDEX('Lower Cask Movement &amp; Logistics'!$I$13:$O$19,MATCH($J152,'Lower Cask Movement &amp; Logistics'!$H$13:$H$19,0),MATCH($K152,'Lower Cask Movement &amp; Logistics'!$H$13:$H$19,0)),"N/A")</f>
        <v>N/A</v>
      </c>
      <c r="M152" s="2815" t="str">
        <f>IFERROR(VLOOKUP($I152,'Lower Cask Movement &amp; Logistics'!$H$4:$I$8,2,FALSE),"N/A")</f>
        <v>N/A</v>
      </c>
      <c r="N152" s="2816" t="str">
        <f t="shared" si="10"/>
        <v>N/A</v>
      </c>
      <c r="O152" s="2817"/>
      <c r="P152" s="2787" t="str">
        <f>IF($D152="Logistics",VLOOKUP($O152,'Lower Cask Movement &amp; Logistics'!$C$4:$D$54,2,FALSE),"N/A")</f>
        <v>N/A</v>
      </c>
      <c r="R152" s="2765"/>
      <c r="S152" s="2765"/>
    </row>
    <row r="153" spans="1:19" s="2765" customFormat="1" ht="14.6" outlineLevel="1" x14ac:dyDescent="0.4">
      <c r="A153" s="2855"/>
      <c r="B153" s="3866" t="s">
        <v>1866</v>
      </c>
      <c r="C153" s="2755" t="s">
        <v>1938</v>
      </c>
      <c r="D153" s="2755" t="s">
        <v>907</v>
      </c>
      <c r="E153" s="2772">
        <f t="shared" si="8"/>
        <v>0</v>
      </c>
      <c r="F153" s="2772">
        <f>IF($D153="Trigger",VLOOKUP("*"&amp;$C153&amp;"*",'Lower Cask Weld Failures'!$D$215:$G$256,4,FALSE),E153+F152)</f>
        <v>44.838901179185171</v>
      </c>
      <c r="G153" s="2777"/>
      <c r="H153" s="2818" t="s">
        <v>263</v>
      </c>
      <c r="I153" s="2771"/>
      <c r="J153" s="2767"/>
      <c r="K153" s="2767"/>
      <c r="L153" s="2819" t="str">
        <f>IFERROR(INDEX('Lower Cask Movement &amp; Logistics'!$I$13:$O$19,MATCH($J153,'Lower Cask Movement &amp; Logistics'!$H$13:$H$19,0),MATCH($K153,'Lower Cask Movement &amp; Logistics'!$H$13:$H$19,0)),"N/A")</f>
        <v>N/A</v>
      </c>
      <c r="M153" s="2819" t="str">
        <f>IFERROR(VLOOKUP($I153,'Lower Cask Movement &amp; Logistics'!$H$4:$I$8,2,FALSE),"N/A")</f>
        <v>N/A</v>
      </c>
      <c r="N153" s="2768" t="str">
        <f t="shared" si="10"/>
        <v>N/A</v>
      </c>
      <c r="O153" s="2778"/>
      <c r="P153" s="2774" t="str">
        <f>IF($D153="Logistics",VLOOKUP($O153,'Lower Cask Movement &amp; Logistics'!$C$4:$D$54,2,FALSE),"N/A")</f>
        <v>N/A</v>
      </c>
      <c r="Q153" s="2764"/>
    </row>
    <row r="154" spans="1:19" s="2765" customFormat="1" ht="14.6" outlineLevel="1" x14ac:dyDescent="0.4">
      <c r="A154" s="2855"/>
      <c r="B154" s="3867"/>
      <c r="C154" s="2766" t="s">
        <v>1939</v>
      </c>
      <c r="D154" s="2766" t="s">
        <v>778</v>
      </c>
      <c r="E154" s="2772">
        <f t="shared" si="8"/>
        <v>0.23148148148148148</v>
      </c>
      <c r="F154" s="2772">
        <f>IF($D154="Trigger",VLOOKUP("*"&amp;$C154&amp;"*",'Lower Cask Weld Failures'!$D$215:$G$256,4,FALSE),E154+F153)</f>
        <v>45.070382660666652</v>
      </c>
      <c r="G154" s="2777"/>
      <c r="H154" s="2818" t="s">
        <v>263</v>
      </c>
      <c r="I154" s="2771" t="s">
        <v>1536</v>
      </c>
      <c r="J154" s="2767" t="s">
        <v>1203</v>
      </c>
      <c r="K154" s="2767" t="s">
        <v>914</v>
      </c>
      <c r="L154" s="2819">
        <f>IFERROR(INDEX('Lower Cask Movement &amp; Logistics'!$I$13:$O$19,MATCH($J154,'Lower Cask Movement &amp; Logistics'!$H$13:$H$19,0),MATCH($K154,'Lower Cask Movement &amp; Logistics'!$H$13:$H$19,0)),"N/A")</f>
        <v>50</v>
      </c>
      <c r="M154" s="2819">
        <f>IFERROR(VLOOKUP($I154,'Lower Cask Movement &amp; Logistics'!$H$4:$I$8,2,FALSE),"N/A")</f>
        <v>0.06</v>
      </c>
      <c r="N154" s="2768">
        <f t="shared" si="10"/>
        <v>0.23148148148148148</v>
      </c>
      <c r="O154" s="2778"/>
      <c r="P154" s="2774" t="str">
        <f>IF($D154="Logistics",VLOOKUP($O154,'Lower Cask Movement &amp; Logistics'!$C$4:$D$54,2,FALSE),"N/A")</f>
        <v>N/A</v>
      </c>
      <c r="Q154" s="2764"/>
    </row>
    <row r="155" spans="1:19" s="2765" customFormat="1" ht="14.6" outlineLevel="1" x14ac:dyDescent="0.4">
      <c r="A155" s="2855"/>
      <c r="B155" s="3867"/>
      <c r="C155" s="2766" t="s">
        <v>1940</v>
      </c>
      <c r="D155" s="2766" t="s">
        <v>3</v>
      </c>
      <c r="E155" s="2772">
        <f t="shared" si="8"/>
        <v>0.58000000000000007</v>
      </c>
      <c r="F155" s="2772">
        <f>IF($D155="Trigger",VLOOKUP("*"&amp;$C155&amp;"*",'Lower Cask Weld Failures'!$D$215:$G$256,4,FALSE),E155+F154)</f>
        <v>45.650382660666651</v>
      </c>
      <c r="G155" s="2777"/>
      <c r="H155" s="2818" t="s">
        <v>263</v>
      </c>
      <c r="I155" s="2771"/>
      <c r="J155" s="2767"/>
      <c r="K155" s="2767"/>
      <c r="L155" s="2819" t="str">
        <f>IFERROR(INDEX('Lower Cask Movement &amp; Logistics'!$I$13:$O$19,MATCH($J155,'Lower Cask Movement &amp; Logistics'!$H$13:$H$19,0),MATCH($K155,'Lower Cask Movement &amp; Logistics'!$H$13:$H$19,0)),"N/A")</f>
        <v>N/A</v>
      </c>
      <c r="M155" s="2819" t="str">
        <f>IFERROR(VLOOKUP($I155,'Lower Cask Movement &amp; Logistics'!$H$4:$I$8,2,FALSE),"N/A")</f>
        <v>N/A</v>
      </c>
      <c r="N155" s="2768" t="str">
        <f t="shared" si="10"/>
        <v>N/A</v>
      </c>
      <c r="O155" s="2778" t="s">
        <v>1539</v>
      </c>
      <c r="P155" s="2774">
        <f>IF($D155="Logistics",VLOOKUP($O155,'Lower Cask Movement &amp; Logistics'!$C$4:$D$54,2,FALSE),"N/A")</f>
        <v>0.58000000000000007</v>
      </c>
      <c r="Q155" s="2764"/>
    </row>
    <row r="156" spans="1:19" s="2765" customFormat="1" ht="14.6" outlineLevel="1" x14ac:dyDescent="0.4">
      <c r="A156" s="2855"/>
      <c r="B156" s="3867"/>
      <c r="C156" s="2767" t="s">
        <v>1737</v>
      </c>
      <c r="D156" s="2767" t="s">
        <v>778</v>
      </c>
      <c r="E156" s="2772">
        <f t="shared" si="8"/>
        <v>2.7777777777777776E-2</v>
      </c>
      <c r="F156" s="2772">
        <f>IF($D156="Trigger",VLOOKUP("*"&amp;$C156&amp;"*",'Lower Cask Weld Failures'!$D$215:$G$256,4,FALSE),E156+F155)</f>
        <v>45.678160438444429</v>
      </c>
      <c r="G156" s="2777"/>
      <c r="H156" s="2818" t="s">
        <v>263</v>
      </c>
      <c r="I156" s="2771" t="s">
        <v>1738</v>
      </c>
      <c r="J156" s="2767" t="s">
        <v>914</v>
      </c>
      <c r="K156" s="2767" t="s">
        <v>799</v>
      </c>
      <c r="L156" s="2819">
        <f>IFERROR(INDEX('Lower Cask Movement &amp; Logistics'!$I$13:$O$19,MATCH($J156,'Lower Cask Movement &amp; Logistics'!$H$13:$H$19,0),MATCH($K156,'Lower Cask Movement &amp; Logistics'!$H$13:$H$19,0)),"N/A")</f>
        <v>20</v>
      </c>
      <c r="M156" s="2819">
        <f>IFERROR(VLOOKUP($I156,'Lower Cask Movement &amp; Logistics'!$H$4:$I$8,2,FALSE),"N/A")</f>
        <v>0.2</v>
      </c>
      <c r="N156" s="2768">
        <f t="shared" si="10"/>
        <v>2.7777777777777776E-2</v>
      </c>
      <c r="O156" s="2778"/>
      <c r="P156" s="2774" t="str">
        <f>IF($D156="Logistics",VLOOKUP($O156,'Lower Cask Movement &amp; Logistics'!$C$4:$D$54,2,FALSE),"N/A")</f>
        <v>N/A</v>
      </c>
      <c r="Q156" s="2764"/>
    </row>
    <row r="157" spans="1:19" s="2765" customFormat="1" ht="14.6" outlineLevel="1" x14ac:dyDescent="0.4">
      <c r="A157" s="2855"/>
      <c r="B157" s="3867"/>
      <c r="C157" s="2767" t="s">
        <v>1941</v>
      </c>
      <c r="D157" s="2767" t="s">
        <v>3</v>
      </c>
      <c r="E157" s="2772">
        <f t="shared" si="8"/>
        <v>0.78</v>
      </c>
      <c r="F157" s="2772">
        <f>IF($D157="Trigger",VLOOKUP("*"&amp;$C157&amp;"*",'Lower Cask Weld Failures'!$D$215:$G$256,4,FALSE),E157+F156)</f>
        <v>46.45816043844443</v>
      </c>
      <c r="G157" s="2777"/>
      <c r="H157" s="2818" t="s">
        <v>263</v>
      </c>
      <c r="I157" s="2771"/>
      <c r="J157" s="2767"/>
      <c r="K157" s="2767"/>
      <c r="L157" s="2819" t="str">
        <f>IFERROR(INDEX('Lower Cask Movement &amp; Logistics'!$I$13:$O$19,MATCH($J157,'Lower Cask Movement &amp; Logistics'!$H$13:$H$19,0),MATCH($K157,'Lower Cask Movement &amp; Logistics'!$H$13:$H$19,0)),"N/A")</f>
        <v>N/A</v>
      </c>
      <c r="M157" s="2819" t="str">
        <f>IFERROR(VLOOKUP($I157,'Lower Cask Movement &amp; Logistics'!$H$4:$I$8,2,FALSE),"N/A")</f>
        <v>N/A</v>
      </c>
      <c r="N157" s="2768" t="str">
        <f t="shared" si="10"/>
        <v>N/A</v>
      </c>
      <c r="O157" s="2778" t="s">
        <v>1740</v>
      </c>
      <c r="P157" s="2774">
        <f>IF($D157="Logistics",VLOOKUP($O157,'Lower Cask Movement &amp; Logistics'!$C$4:$D$54,2,FALSE),"N/A")</f>
        <v>0.78</v>
      </c>
      <c r="Q157" s="2764"/>
    </row>
    <row r="158" spans="1:19" s="2765" customFormat="1" ht="14.6" outlineLevel="1" x14ac:dyDescent="0.4">
      <c r="A158" s="2855"/>
      <c r="B158" s="3867"/>
      <c r="C158" s="2767" t="s">
        <v>1771</v>
      </c>
      <c r="D158" s="2767" t="s">
        <v>778</v>
      </c>
      <c r="E158" s="2772">
        <f t="shared" si="8"/>
        <v>0.69444444444444442</v>
      </c>
      <c r="F158" s="2772">
        <f>IF($D158="Trigger",VLOOKUP("*"&amp;$C158&amp;"*",'Lower Cask Weld Failures'!$D$215:$G$256,4,FALSE),E158+F157)</f>
        <v>47.152604882888873</v>
      </c>
      <c r="G158" s="2777"/>
      <c r="H158" s="2818" t="s">
        <v>263</v>
      </c>
      <c r="I158" s="2771" t="s">
        <v>1538</v>
      </c>
      <c r="J158" s="2767" t="s">
        <v>799</v>
      </c>
      <c r="K158" s="2767" t="s">
        <v>1203</v>
      </c>
      <c r="L158" s="2819">
        <f>IFERROR(INDEX('Lower Cask Movement &amp; Logistics'!$I$13:$O$19,MATCH($J158,'Lower Cask Movement &amp; Logistics'!$H$13:$H$19,0),MATCH($K158,'Lower Cask Movement &amp; Logistics'!$H$13:$H$19,0)),"N/A")</f>
        <v>50</v>
      </c>
      <c r="M158" s="2819">
        <f>IFERROR(VLOOKUP($I158,'Lower Cask Movement &amp; Logistics'!$H$4:$I$8,2,FALSE),"N/A")</f>
        <v>0.02</v>
      </c>
      <c r="N158" s="2768">
        <f t="shared" si="10"/>
        <v>0.69444444444444442</v>
      </c>
      <c r="O158" s="2778"/>
      <c r="P158" s="2774" t="str">
        <f>IF($D158="Logistics",VLOOKUP($O158,'Lower Cask Movement &amp; Logistics'!$C$4:$D$54,2,FALSE),"N/A")</f>
        <v>N/A</v>
      </c>
      <c r="Q158" s="2764"/>
    </row>
    <row r="159" spans="1:19" s="2765" customFormat="1" ht="26.6" outlineLevel="1" thickBot="1" x14ac:dyDescent="0.45">
      <c r="A159" s="2855"/>
      <c r="B159" s="3868"/>
      <c r="C159" s="2779" t="str">
        <f>B153</f>
        <v>Removed Inboard blankets stored, New Inner Port Pipe Modules Collected and moved to port</v>
      </c>
      <c r="D159" s="2779" t="s">
        <v>11</v>
      </c>
      <c r="E159" s="2780">
        <f t="shared" si="8"/>
        <v>0</v>
      </c>
      <c r="F159" s="2780">
        <f>IF($D159="Trigger",VLOOKUP("*"&amp;$C159&amp;"*",'Lower Cask Weld Failures'!$D$215:$G$256,4,FALSE),E159+F158)</f>
        <v>47.152604882888873</v>
      </c>
      <c r="G159" s="2781"/>
      <c r="H159" s="2782" t="s">
        <v>263</v>
      </c>
      <c r="I159" s="2783"/>
      <c r="J159" s="2779"/>
      <c r="K159" s="2779"/>
      <c r="L159" s="2784" t="str">
        <f>IFERROR(INDEX('Lower Cask Movement &amp; Logistics'!$I$13:$O$19,MATCH($J159,'Lower Cask Movement &amp; Logistics'!$H$13:$H$19,0),MATCH($K159,'Lower Cask Movement &amp; Logistics'!$H$13:$H$19,0)),"N/A")</f>
        <v>N/A</v>
      </c>
      <c r="M159" s="2784" t="str">
        <f>IFERROR(VLOOKUP($I159,'Lower Cask Movement &amp; Logistics'!$H$4:$I$8,2,FALSE),"N/A")</f>
        <v>N/A</v>
      </c>
      <c r="N159" s="2785" t="str">
        <f t="shared" si="10"/>
        <v>N/A</v>
      </c>
      <c r="O159" s="2786"/>
      <c r="P159" s="2787" t="str">
        <f>IF($D159="Logistics",VLOOKUP($O159,'Lower Cask Movement &amp; Logistics'!$C$4:$D$54,2,FALSE),"N/A")</f>
        <v>N/A</v>
      </c>
      <c r="Q159" s="2764"/>
    </row>
    <row r="160" spans="1:19" s="2765" customFormat="1" ht="14.6" outlineLevel="1" x14ac:dyDescent="0.4">
      <c r="A160" s="2855"/>
      <c r="B160" s="3863" t="s">
        <v>1869</v>
      </c>
      <c r="C160" s="2788" t="s">
        <v>1641</v>
      </c>
      <c r="D160" s="2788" t="s">
        <v>907</v>
      </c>
      <c r="E160" s="2803">
        <f t="shared" si="8"/>
        <v>0</v>
      </c>
      <c r="F160" s="2803">
        <f>IF($D160="Trigger",VLOOKUP("*"&amp;$C160&amp;"*",'Lower Cask Weld Failures'!$D$215:$G$256,4,FALSE),E160+F159)</f>
        <v>70.44853900234564</v>
      </c>
      <c r="G160" s="2808"/>
      <c r="H160" s="2820" t="s">
        <v>263</v>
      </c>
      <c r="I160" s="2802"/>
      <c r="J160" s="2798"/>
      <c r="K160" s="2798"/>
      <c r="L160" s="2821" t="str">
        <f>IFERROR(INDEX('Lower Cask Movement &amp; Logistics'!$I$13:$O$19,MATCH($J160,'Lower Cask Movement &amp; Logistics'!$H$13:$H$19,0),MATCH($K160,'Lower Cask Movement &amp; Logistics'!$H$13:$H$19,0)),"N/A")</f>
        <v>N/A</v>
      </c>
      <c r="M160" s="2821" t="str">
        <f>IFERROR(VLOOKUP($I160,'Lower Cask Movement &amp; Logistics'!$H$4:$I$8,2,FALSE),"N/A")</f>
        <v>N/A</v>
      </c>
      <c r="N160" s="2799" t="str">
        <f t="shared" si="10"/>
        <v>N/A</v>
      </c>
      <c r="O160" s="2809"/>
      <c r="P160" s="2805" t="str">
        <f>IF($D160="Logistics",VLOOKUP($O160,'Lower Cask Movement &amp; Logistics'!$C$4:$D$54,2,FALSE),"N/A")</f>
        <v>N/A</v>
      </c>
      <c r="Q160" s="2764"/>
    </row>
    <row r="161" spans="1:17" s="2765" customFormat="1" ht="14.6" outlineLevel="1" x14ac:dyDescent="0.4">
      <c r="A161" s="2855"/>
      <c r="B161" s="3864"/>
      <c r="C161" s="2797" t="s">
        <v>1772</v>
      </c>
      <c r="D161" s="2797" t="s">
        <v>778</v>
      </c>
      <c r="E161" s="2803">
        <f t="shared" si="8"/>
        <v>0.23148148148148148</v>
      </c>
      <c r="F161" s="2803">
        <f>IF($D161="Trigger",VLOOKUP("*"&amp;$C161&amp;"*",'Lower Cask Weld Failures'!$D$215:$G$256,4,FALSE),E161+F160)</f>
        <v>70.680020483827121</v>
      </c>
      <c r="G161" s="2808"/>
      <c r="H161" s="2820" t="s">
        <v>263</v>
      </c>
      <c r="I161" s="2802" t="s">
        <v>1536</v>
      </c>
      <c r="J161" s="2798" t="s">
        <v>1203</v>
      </c>
      <c r="K161" s="2798" t="s">
        <v>914</v>
      </c>
      <c r="L161" s="2821">
        <f>IFERROR(INDEX('Lower Cask Movement &amp; Logistics'!$I$13:$O$19,MATCH($J161,'Lower Cask Movement &amp; Logistics'!$H$13:$H$19,0),MATCH($K161,'Lower Cask Movement &amp; Logistics'!$H$13:$H$19,0)),"N/A")</f>
        <v>50</v>
      </c>
      <c r="M161" s="2821">
        <f>IFERROR(VLOOKUP($I161,'Lower Cask Movement &amp; Logistics'!$H$4:$I$8,2,FALSE),"N/A")</f>
        <v>0.06</v>
      </c>
      <c r="N161" s="2799">
        <f t="shared" si="10"/>
        <v>0.23148148148148148</v>
      </c>
      <c r="O161" s="2809"/>
      <c r="P161" s="2805" t="str">
        <f>IF($D161="Logistics",VLOOKUP($O161,'Lower Cask Movement &amp; Logistics'!$C$4:$D$54,2,FALSE),"N/A")</f>
        <v>N/A</v>
      </c>
      <c r="Q161" s="2764"/>
    </row>
    <row r="162" spans="1:17" s="2765" customFormat="1" ht="14.6" outlineLevel="1" x14ac:dyDescent="0.4">
      <c r="A162" s="2855"/>
      <c r="B162" s="3864"/>
      <c r="C162" s="2797" t="s">
        <v>1773</v>
      </c>
      <c r="D162" s="2797" t="s">
        <v>3</v>
      </c>
      <c r="E162" s="2803">
        <f t="shared" si="8"/>
        <v>0.58000000000000007</v>
      </c>
      <c r="F162" s="2803">
        <f>IF($D162="Trigger",VLOOKUP("*"&amp;$C162&amp;"*",'Lower Cask Weld Failures'!$D$215:$G$256,4,FALSE),E162+F161)</f>
        <v>71.26002048382712</v>
      </c>
      <c r="G162" s="2808"/>
      <c r="H162" s="2820" t="s">
        <v>263</v>
      </c>
      <c r="I162" s="2802"/>
      <c r="J162" s="2798"/>
      <c r="K162" s="2798"/>
      <c r="L162" s="2821" t="str">
        <f>IFERROR(INDEX('Lower Cask Movement &amp; Logistics'!$I$13:$O$19,MATCH($J162,'Lower Cask Movement &amp; Logistics'!$H$13:$H$19,0),MATCH($K162,'Lower Cask Movement &amp; Logistics'!$H$13:$H$19,0)),"N/A")</f>
        <v>N/A</v>
      </c>
      <c r="M162" s="2821" t="str">
        <f>IFERROR(VLOOKUP($I162,'Lower Cask Movement &amp; Logistics'!$H$4:$I$8,2,FALSE),"N/A")</f>
        <v>N/A</v>
      </c>
      <c r="N162" s="2799" t="str">
        <f t="shared" si="10"/>
        <v>N/A</v>
      </c>
      <c r="O162" s="2809" t="s">
        <v>1539</v>
      </c>
      <c r="P162" s="2805">
        <f>IF($D162="Logistics",VLOOKUP($O162,'Lower Cask Movement &amp; Logistics'!$C$4:$D$54,2,FALSE),"N/A")</f>
        <v>0.58000000000000007</v>
      </c>
      <c r="Q162" s="2764"/>
    </row>
    <row r="163" spans="1:17" s="2765" customFormat="1" ht="14.6" outlineLevel="1" x14ac:dyDescent="0.4">
      <c r="A163" s="2855"/>
      <c r="B163" s="3864"/>
      <c r="C163" s="2798" t="s">
        <v>1737</v>
      </c>
      <c r="D163" s="2798" t="s">
        <v>778</v>
      </c>
      <c r="E163" s="2803">
        <f t="shared" si="8"/>
        <v>2.7777777777777776E-2</v>
      </c>
      <c r="F163" s="2803">
        <f>IF($D163="Trigger",VLOOKUP("*"&amp;$C163&amp;"*",'Lower Cask Weld Failures'!$D$215:$G$256,4,FALSE),E163+F162)</f>
        <v>71.287798261604891</v>
      </c>
      <c r="G163" s="2808"/>
      <c r="H163" s="2820" t="s">
        <v>263</v>
      </c>
      <c r="I163" s="2802" t="s">
        <v>1738</v>
      </c>
      <c r="J163" s="2798" t="s">
        <v>914</v>
      </c>
      <c r="K163" s="2798" t="s">
        <v>799</v>
      </c>
      <c r="L163" s="2821">
        <f>IFERROR(INDEX('Lower Cask Movement &amp; Logistics'!$I$13:$O$19,MATCH($J163,'Lower Cask Movement &amp; Logistics'!$H$13:$H$19,0),MATCH($K163,'Lower Cask Movement &amp; Logistics'!$H$13:$H$19,0)),"N/A")</f>
        <v>20</v>
      </c>
      <c r="M163" s="2821">
        <f>IFERROR(VLOOKUP($I163,'Lower Cask Movement &amp; Logistics'!$H$4:$I$8,2,FALSE),"N/A")</f>
        <v>0.2</v>
      </c>
      <c r="N163" s="2799">
        <f t="shared" si="10"/>
        <v>2.7777777777777776E-2</v>
      </c>
      <c r="O163" s="2809"/>
      <c r="P163" s="2805" t="str">
        <f>IF($D163="Logistics",VLOOKUP($O163,'Lower Cask Movement &amp; Logistics'!$C$4:$D$54,2,FALSE),"N/A")</f>
        <v>N/A</v>
      </c>
      <c r="Q163" s="2764"/>
    </row>
    <row r="164" spans="1:17" s="2765" customFormat="1" ht="14.6" outlineLevel="1" x14ac:dyDescent="0.4">
      <c r="A164" s="2855"/>
      <c r="B164" s="3864"/>
      <c r="C164" s="2798" t="s">
        <v>1942</v>
      </c>
      <c r="D164" s="2798" t="s">
        <v>3</v>
      </c>
      <c r="E164" s="2803">
        <f t="shared" si="8"/>
        <v>0.78</v>
      </c>
      <c r="F164" s="2803">
        <f>IF($D164="Trigger",VLOOKUP("*"&amp;$C164&amp;"*",'Lower Cask Weld Failures'!$D$215:$G$256,4,FALSE),E164+F163)</f>
        <v>72.067798261604892</v>
      </c>
      <c r="G164" s="2808"/>
      <c r="H164" s="2820" t="s">
        <v>263</v>
      </c>
      <c r="I164" s="2802"/>
      <c r="J164" s="2798"/>
      <c r="K164" s="2798"/>
      <c r="L164" s="2821" t="str">
        <f>IFERROR(INDEX('Lower Cask Movement &amp; Logistics'!$I$13:$O$19,MATCH($J164,'Lower Cask Movement &amp; Logistics'!$H$13:$H$19,0),MATCH($K164,'Lower Cask Movement &amp; Logistics'!$H$13:$H$19,0)),"N/A")</f>
        <v>N/A</v>
      </c>
      <c r="M164" s="2821" t="str">
        <f>IFERROR(VLOOKUP($I164,'Lower Cask Movement &amp; Logistics'!$H$4:$I$8,2,FALSE),"N/A")</f>
        <v>N/A</v>
      </c>
      <c r="N164" s="2799" t="str">
        <f t="shared" si="10"/>
        <v>N/A</v>
      </c>
      <c r="O164" s="2809" t="s">
        <v>1740</v>
      </c>
      <c r="P164" s="2805">
        <f>IF($D164="Logistics",VLOOKUP($O164,'Lower Cask Movement &amp; Logistics'!$C$4:$D$54,2,FALSE),"N/A")</f>
        <v>0.78</v>
      </c>
      <c r="Q164" s="2764"/>
    </row>
    <row r="165" spans="1:17" s="2765" customFormat="1" ht="14.6" outlineLevel="1" x14ac:dyDescent="0.4">
      <c r="A165" s="2855"/>
      <c r="B165" s="3864"/>
      <c r="C165" s="2798" t="s">
        <v>1771</v>
      </c>
      <c r="D165" s="2798" t="s">
        <v>778</v>
      </c>
      <c r="E165" s="2803">
        <f t="shared" si="8"/>
        <v>0.69444444444444442</v>
      </c>
      <c r="F165" s="2803">
        <f>IF($D165="Trigger",VLOOKUP("*"&amp;$C165&amp;"*",'Lower Cask Weld Failures'!$D$215:$G$256,4,FALSE),E165+F164)</f>
        <v>72.762242706049335</v>
      </c>
      <c r="G165" s="2808"/>
      <c r="H165" s="2820" t="s">
        <v>263</v>
      </c>
      <c r="I165" s="2802" t="s">
        <v>1538</v>
      </c>
      <c r="J165" s="2798" t="s">
        <v>799</v>
      </c>
      <c r="K165" s="2798" t="s">
        <v>1203</v>
      </c>
      <c r="L165" s="2821">
        <f>IFERROR(INDEX('Lower Cask Movement &amp; Logistics'!$I$13:$O$19,MATCH($J165,'Lower Cask Movement &amp; Logistics'!$H$13:$H$19,0),MATCH($K165,'Lower Cask Movement &amp; Logistics'!$H$13:$H$19,0)),"N/A")</f>
        <v>50</v>
      </c>
      <c r="M165" s="2821">
        <f>IFERROR(VLOOKUP($I165,'Lower Cask Movement &amp; Logistics'!$H$4:$I$8,2,FALSE),"N/A")</f>
        <v>0.02</v>
      </c>
      <c r="N165" s="2799">
        <f t="shared" si="10"/>
        <v>0.69444444444444442</v>
      </c>
      <c r="O165" s="2809"/>
      <c r="P165" s="2805" t="str">
        <f>IF($D165="Logistics",VLOOKUP($O165,'Lower Cask Movement &amp; Logistics'!$C$4:$D$54,2,FALSE),"N/A")</f>
        <v>N/A</v>
      </c>
      <c r="Q165" s="2764"/>
    </row>
    <row r="166" spans="1:17" s="2765" customFormat="1" ht="26.6" outlineLevel="1" thickBot="1" x14ac:dyDescent="0.45">
      <c r="A166" s="2855"/>
      <c r="B166" s="3865"/>
      <c r="C166" s="2810" t="str">
        <f>B160</f>
        <v>Removed Inner Port Pipe Modules stored, New Inboard Pipe Modules Collected and moved to port</v>
      </c>
      <c r="D166" s="2810" t="s">
        <v>11</v>
      </c>
      <c r="E166" s="2811">
        <f t="shared" si="8"/>
        <v>0</v>
      </c>
      <c r="F166" s="2811">
        <f>IF($D166="Trigger",VLOOKUP("*"&amp;$C166&amp;"*",'Lower Cask Weld Failures'!$D$215:$G$256,4,FALSE),E166+F165)</f>
        <v>72.762242706049335</v>
      </c>
      <c r="G166" s="2812"/>
      <c r="H166" s="2813" t="s">
        <v>263</v>
      </c>
      <c r="I166" s="2814"/>
      <c r="J166" s="2810"/>
      <c r="K166" s="2810"/>
      <c r="L166" s="2815" t="str">
        <f>IFERROR(INDEX('Lower Cask Movement &amp; Logistics'!$I$13:$O$19,MATCH($J166,'Lower Cask Movement &amp; Logistics'!$H$13:$H$19,0),MATCH($K166,'Lower Cask Movement &amp; Logistics'!$H$13:$H$19,0)),"N/A")</f>
        <v>N/A</v>
      </c>
      <c r="M166" s="2815" t="str">
        <f>IFERROR(VLOOKUP($I166,'Lower Cask Movement &amp; Logistics'!$H$4:$I$8,2,FALSE),"N/A")</f>
        <v>N/A</v>
      </c>
      <c r="N166" s="2816" t="str">
        <f t="shared" si="10"/>
        <v>N/A</v>
      </c>
      <c r="O166" s="2817"/>
      <c r="P166" s="2822" t="str">
        <f>IF($D166="Logistics",VLOOKUP($O166,'Lower Cask Movement &amp; Logistics'!$C$4:$D$54,2,FALSE),"N/A")</f>
        <v>N/A</v>
      </c>
      <c r="Q166" s="2764"/>
    </row>
    <row r="167" spans="1:17" s="2765" customFormat="1" ht="14.6" outlineLevel="1" x14ac:dyDescent="0.4">
      <c r="A167" s="2855"/>
      <c r="B167" s="3866" t="s">
        <v>1870</v>
      </c>
      <c r="C167" s="2755" t="s">
        <v>1656</v>
      </c>
      <c r="D167" s="2755" t="s">
        <v>907</v>
      </c>
      <c r="E167" s="2772">
        <f t="shared" si="8"/>
        <v>0</v>
      </c>
      <c r="F167" s="2772">
        <f>IF($D167="Trigger",VLOOKUP("*"&amp;$C167&amp;"*",'Lower Cask Weld Failures'!$D$215:$G$256,4,FALSE),E167+F166)</f>
        <v>111.03386825433995</v>
      </c>
      <c r="G167" s="2777"/>
      <c r="H167" s="2818" t="s">
        <v>263</v>
      </c>
      <c r="I167" s="2771"/>
      <c r="J167" s="2767"/>
      <c r="K167" s="2767"/>
      <c r="L167" s="2819" t="str">
        <f>IFERROR(INDEX('Lower Cask Movement &amp; Logistics'!$I$13:$O$19,MATCH($J167,'Lower Cask Movement &amp; Logistics'!$H$13:$H$19,0),MATCH($K167,'Lower Cask Movement &amp; Logistics'!$H$13:$H$19,0)),"N/A")</f>
        <v>N/A</v>
      </c>
      <c r="M167" s="2819" t="str">
        <f>IFERROR(VLOOKUP($I167,'Lower Cask Movement &amp; Logistics'!$H$4:$I$8,2,FALSE),"N/A")</f>
        <v>N/A</v>
      </c>
      <c r="N167" s="2768" t="str">
        <f t="shared" si="10"/>
        <v>N/A</v>
      </c>
      <c r="O167" s="2778"/>
      <c r="P167" s="2774" t="str">
        <f>IF($D167="Logistics",VLOOKUP($O167,'Lower Cask Movement &amp; Logistics'!$C$4:$D$54,2,FALSE),"N/A")</f>
        <v>N/A</v>
      </c>
      <c r="Q167" s="2764"/>
    </row>
    <row r="168" spans="1:17" s="2765" customFormat="1" ht="14.6" outlineLevel="1" x14ac:dyDescent="0.4">
      <c r="A168" s="2855"/>
      <c r="B168" s="3867"/>
      <c r="C168" s="2766" t="s">
        <v>1772</v>
      </c>
      <c r="D168" s="2766" t="s">
        <v>778</v>
      </c>
      <c r="E168" s="2772">
        <f t="shared" si="8"/>
        <v>0.23148148148148148</v>
      </c>
      <c r="F168" s="2772">
        <f>IF($D168="Trigger",VLOOKUP("*"&amp;$C168&amp;"*",'Lower Cask Weld Failures'!$D$215:$G$256,4,FALSE),E168+F167)</f>
        <v>111.26534973582143</v>
      </c>
      <c r="G168" s="2777"/>
      <c r="H168" s="2818" t="s">
        <v>263</v>
      </c>
      <c r="I168" s="2771" t="s">
        <v>1536</v>
      </c>
      <c r="J168" s="2767" t="s">
        <v>1203</v>
      </c>
      <c r="K168" s="2767" t="s">
        <v>914</v>
      </c>
      <c r="L168" s="2819">
        <f>IFERROR(INDEX('Lower Cask Movement &amp; Logistics'!$I$13:$O$19,MATCH($J168,'Lower Cask Movement &amp; Logistics'!$H$13:$H$19,0),MATCH($K168,'Lower Cask Movement &amp; Logistics'!$H$13:$H$19,0)),"N/A")</f>
        <v>50</v>
      </c>
      <c r="M168" s="2819">
        <f>IFERROR(VLOOKUP($I168,'Lower Cask Movement &amp; Logistics'!$H$4:$I$8,2,FALSE),"N/A")</f>
        <v>0.06</v>
      </c>
      <c r="N168" s="2768">
        <f t="shared" si="10"/>
        <v>0.23148148148148148</v>
      </c>
      <c r="O168" s="2778"/>
      <c r="P168" s="2774" t="str">
        <f>IF($D168="Logistics",VLOOKUP($O168,'Lower Cask Movement &amp; Logistics'!$C$4:$D$54,2,FALSE),"N/A")</f>
        <v>N/A</v>
      </c>
      <c r="Q168" s="2764"/>
    </row>
    <row r="169" spans="1:17" s="2765" customFormat="1" ht="14.6" outlineLevel="1" x14ac:dyDescent="0.4">
      <c r="A169" s="2855"/>
      <c r="B169" s="3867"/>
      <c r="C169" s="2766" t="s">
        <v>1773</v>
      </c>
      <c r="D169" s="2766" t="s">
        <v>3</v>
      </c>
      <c r="E169" s="2772">
        <f t="shared" si="8"/>
        <v>0.58000000000000007</v>
      </c>
      <c r="F169" s="2772">
        <f>IF($D169="Trigger",VLOOKUP("*"&amp;$C169&amp;"*",'Lower Cask Weld Failures'!$D$215:$G$256,4,FALSE),E169+F168)</f>
        <v>111.84534973582143</v>
      </c>
      <c r="G169" s="2777"/>
      <c r="H169" s="2818" t="s">
        <v>263</v>
      </c>
      <c r="I169" s="2771"/>
      <c r="J169" s="2767"/>
      <c r="K169" s="2767"/>
      <c r="L169" s="2819" t="str">
        <f>IFERROR(INDEX('Lower Cask Movement &amp; Logistics'!$I$13:$O$19,MATCH($J169,'Lower Cask Movement &amp; Logistics'!$H$13:$H$19,0),MATCH($K169,'Lower Cask Movement &amp; Logistics'!$H$13:$H$19,0)),"N/A")</f>
        <v>N/A</v>
      </c>
      <c r="M169" s="2819" t="str">
        <f>IFERROR(VLOOKUP($I169,'Lower Cask Movement &amp; Logistics'!$H$4:$I$8,2,FALSE),"N/A")</f>
        <v>N/A</v>
      </c>
      <c r="N169" s="2768" t="str">
        <f t="shared" si="10"/>
        <v>N/A</v>
      </c>
      <c r="O169" s="2778" t="s">
        <v>1539</v>
      </c>
      <c r="P169" s="2774">
        <f>IF($D169="Logistics",VLOOKUP($O169,'Lower Cask Movement &amp; Logistics'!$C$4:$D$54,2,FALSE),"N/A")</f>
        <v>0.58000000000000007</v>
      </c>
      <c r="Q169" s="2764"/>
    </row>
    <row r="170" spans="1:17" s="2765" customFormat="1" ht="14.6" outlineLevel="1" x14ac:dyDescent="0.4">
      <c r="A170" s="2855"/>
      <c r="B170" s="3867"/>
      <c r="C170" s="2767" t="s">
        <v>1737</v>
      </c>
      <c r="D170" s="2767" t="s">
        <v>778</v>
      </c>
      <c r="E170" s="2772">
        <f t="shared" si="8"/>
        <v>2.7777777777777776E-2</v>
      </c>
      <c r="F170" s="2772">
        <f>IF($D170="Trigger",VLOOKUP("*"&amp;$C170&amp;"*",'Lower Cask Weld Failures'!$D$215:$G$256,4,FALSE),E170+F169)</f>
        <v>111.8731275135992</v>
      </c>
      <c r="G170" s="2777"/>
      <c r="H170" s="2818" t="s">
        <v>263</v>
      </c>
      <c r="I170" s="2771" t="s">
        <v>1738</v>
      </c>
      <c r="J170" s="2767" t="s">
        <v>914</v>
      </c>
      <c r="K170" s="2767" t="s">
        <v>799</v>
      </c>
      <c r="L170" s="2819">
        <f>IFERROR(INDEX('Lower Cask Movement &amp; Logistics'!$I$13:$O$19,MATCH($J170,'Lower Cask Movement &amp; Logistics'!$H$13:$H$19,0),MATCH($K170,'Lower Cask Movement &amp; Logistics'!$H$13:$H$19,0)),"N/A")</f>
        <v>20</v>
      </c>
      <c r="M170" s="2819">
        <f>IFERROR(VLOOKUP($I170,'Lower Cask Movement &amp; Logistics'!$H$4:$I$8,2,FALSE),"N/A")</f>
        <v>0.2</v>
      </c>
      <c r="N170" s="2768">
        <f t="shared" si="10"/>
        <v>2.7777777777777776E-2</v>
      </c>
      <c r="O170" s="2778"/>
      <c r="P170" s="2774" t="str">
        <f>IF($D170="Logistics",VLOOKUP($O170,'Lower Cask Movement &amp; Logistics'!$C$4:$D$54,2,FALSE),"N/A")</f>
        <v>N/A</v>
      </c>
      <c r="Q170" s="2764"/>
    </row>
    <row r="171" spans="1:17" s="2765" customFormat="1" ht="14.6" outlineLevel="1" x14ac:dyDescent="0.4">
      <c r="A171" s="2855"/>
      <c r="B171" s="3867"/>
      <c r="C171" s="2767" t="s">
        <v>1943</v>
      </c>
      <c r="D171" s="2767" t="s">
        <v>3</v>
      </c>
      <c r="E171" s="2772">
        <f t="shared" si="8"/>
        <v>0.78</v>
      </c>
      <c r="F171" s="2772">
        <f>IF($D171="Trigger",VLOOKUP("*"&amp;$C171&amp;"*",'Lower Cask Weld Failures'!$D$215:$G$256,4,FALSE),E171+F170)</f>
        <v>112.6531275135992</v>
      </c>
      <c r="G171" s="2777"/>
      <c r="H171" s="2818" t="s">
        <v>263</v>
      </c>
      <c r="I171" s="2771"/>
      <c r="J171" s="2767"/>
      <c r="K171" s="2767"/>
      <c r="L171" s="2819" t="str">
        <f>IFERROR(INDEX('Lower Cask Movement &amp; Logistics'!$I$13:$O$19,MATCH($J171,'Lower Cask Movement &amp; Logistics'!$H$13:$H$19,0),MATCH($K171,'Lower Cask Movement &amp; Logistics'!$H$13:$H$19,0)),"N/A")</f>
        <v>N/A</v>
      </c>
      <c r="M171" s="2819" t="str">
        <f>IFERROR(VLOOKUP($I171,'Lower Cask Movement &amp; Logistics'!$H$4:$I$8,2,FALSE),"N/A")</f>
        <v>N/A</v>
      </c>
      <c r="N171" s="2768" t="str">
        <f t="shared" si="10"/>
        <v>N/A</v>
      </c>
      <c r="O171" s="2778" t="s">
        <v>1740</v>
      </c>
      <c r="P171" s="2774">
        <f>IF($D171="Logistics",VLOOKUP($O171,'Lower Cask Movement &amp; Logistics'!$C$4:$D$54,2,FALSE),"N/A")</f>
        <v>0.78</v>
      </c>
      <c r="Q171" s="2764"/>
    </row>
    <row r="172" spans="1:17" s="2765" customFormat="1" ht="14.6" outlineLevel="1" x14ac:dyDescent="0.4">
      <c r="A172" s="2855"/>
      <c r="B172" s="3867"/>
      <c r="C172" s="2767" t="s">
        <v>1771</v>
      </c>
      <c r="D172" s="2767" t="s">
        <v>778</v>
      </c>
      <c r="E172" s="2772">
        <f t="shared" si="8"/>
        <v>0.69444444444444442</v>
      </c>
      <c r="F172" s="2772">
        <f>IF($D172="Trigger",VLOOKUP("*"&amp;$C172&amp;"*",'Lower Cask Weld Failures'!$D$215:$G$256,4,FALSE),E172+F171)</f>
        <v>113.34757195804364</v>
      </c>
      <c r="G172" s="2777"/>
      <c r="H172" s="2818" t="s">
        <v>263</v>
      </c>
      <c r="I172" s="2771" t="s">
        <v>1538</v>
      </c>
      <c r="J172" s="2767" t="s">
        <v>799</v>
      </c>
      <c r="K172" s="2767" t="s">
        <v>1203</v>
      </c>
      <c r="L172" s="2819">
        <f>IFERROR(INDEX('Lower Cask Movement &amp; Logistics'!$I$13:$O$19,MATCH($J172,'Lower Cask Movement &amp; Logistics'!$H$13:$H$19,0),MATCH($K172,'Lower Cask Movement &amp; Logistics'!$H$13:$H$19,0)),"N/A")</f>
        <v>50</v>
      </c>
      <c r="M172" s="2819">
        <f>IFERROR(VLOOKUP($I172,'Lower Cask Movement &amp; Logistics'!$H$4:$I$8,2,FALSE),"N/A")</f>
        <v>0.02</v>
      </c>
      <c r="N172" s="2768">
        <f t="shared" si="10"/>
        <v>0.69444444444444442</v>
      </c>
      <c r="O172" s="2778"/>
      <c r="P172" s="2774" t="str">
        <f>IF($D172="Logistics",VLOOKUP($O172,'Lower Cask Movement &amp; Logistics'!$C$4:$D$54,2,FALSE),"N/A")</f>
        <v>N/A</v>
      </c>
      <c r="Q172" s="2764"/>
    </row>
    <row r="173" spans="1:17" s="2765" customFormat="1" ht="26.6" outlineLevel="1" thickBot="1" x14ac:dyDescent="0.45">
      <c r="A173" s="2855"/>
      <c r="B173" s="3868"/>
      <c r="C173" s="2779" t="str">
        <f>B167</f>
        <v>Inner Port Pipe Cask stored; New Outboard Pipe Modules Collected and moved to port</v>
      </c>
      <c r="D173" s="2779" t="s">
        <v>11</v>
      </c>
      <c r="E173" s="2780">
        <f t="shared" si="8"/>
        <v>0</v>
      </c>
      <c r="F173" s="2780">
        <f>IF($D173="Trigger",VLOOKUP("*"&amp;$C173&amp;"*",'Lower Cask Weld Failures'!$D$215:$G$256,4,FALSE),E173+F172)</f>
        <v>113.34757195804364</v>
      </c>
      <c r="G173" s="2781"/>
      <c r="H173" s="2782" t="s">
        <v>263</v>
      </c>
      <c r="I173" s="2783"/>
      <c r="J173" s="2779"/>
      <c r="K173" s="2779"/>
      <c r="L173" s="2784" t="str">
        <f>IFERROR(INDEX('Lower Cask Movement &amp; Logistics'!$I$13:$O$19,MATCH($J173,'Lower Cask Movement &amp; Logistics'!$H$13:$H$19,0),MATCH($K173,'Lower Cask Movement &amp; Logistics'!$H$13:$H$19,0)),"N/A")</f>
        <v>N/A</v>
      </c>
      <c r="M173" s="2784" t="str">
        <f>IFERROR(VLOOKUP($I173,'Lower Cask Movement &amp; Logistics'!$H$4:$I$8,2,FALSE),"N/A")</f>
        <v>N/A</v>
      </c>
      <c r="N173" s="2785" t="str">
        <f t="shared" si="10"/>
        <v>N/A</v>
      </c>
      <c r="O173" s="2786"/>
      <c r="P173" s="2787" t="str">
        <f>IF($D173="Logistics",VLOOKUP($O173,'Lower Cask Movement &amp; Logistics'!$C$4:$D$54,2,FALSE),"N/A")</f>
        <v>N/A</v>
      </c>
      <c r="Q173" s="2764"/>
    </row>
    <row r="174" spans="1:17" s="2835" customFormat="1" ht="12.75" customHeight="1" outlineLevel="1" x14ac:dyDescent="0.4">
      <c r="A174" s="2855"/>
      <c r="B174" s="3863" t="s">
        <v>1949</v>
      </c>
      <c r="C174" s="2823" t="s">
        <v>1862</v>
      </c>
      <c r="D174" s="2823" t="s">
        <v>907</v>
      </c>
      <c r="E174" s="2824">
        <f t="shared" si="8"/>
        <v>0</v>
      </c>
      <c r="F174" s="2796">
        <f>IF($D174="Trigger",VLOOKUP("*"&amp;$C174&amp;"*",'Lower Cask Weld Failures'!$D$53:$G$622,4,FALSE),E174+#REF!)</f>
        <v>0</v>
      </c>
      <c r="G174" s="2790"/>
      <c r="H174" s="2791" t="s">
        <v>263</v>
      </c>
      <c r="I174" s="2823"/>
      <c r="J174" s="2823"/>
      <c r="K174" s="2823"/>
      <c r="L174" s="2824" t="str">
        <f>IFERROR(INDEX('Lower Cask Movement &amp; Logistics'!$I$13:$O$19,MATCH($J174,'Lower Cask Movement &amp; Logistics'!$H$13:$H$19,0),MATCH($K174,'Lower Cask Movement &amp; Logistics'!$H$13:$H$19,0)),"N/A")</f>
        <v>N/A</v>
      </c>
      <c r="M174" s="2824" t="str">
        <f>IFERROR(VLOOKUP($I174,'Lower Cask Movement &amp; Logistics'!$H$4:$I$8,2,FALSE),"N/A")</f>
        <v>N/A</v>
      </c>
      <c r="N174" s="2824" t="str">
        <f t="shared" si="9"/>
        <v>N/A</v>
      </c>
      <c r="O174" s="2795"/>
      <c r="P174" s="2796" t="str">
        <f>IF($D174="Logistics",VLOOKUP($O174,'Lower Cask Movement &amp; Logistics'!$C$4:$D$54,2,FALSE),"N/A")</f>
        <v>N/A</v>
      </c>
    </row>
    <row r="175" spans="1:17" s="2835" customFormat="1" ht="12.75" customHeight="1" outlineLevel="1" x14ac:dyDescent="0.4">
      <c r="A175" s="2855"/>
      <c r="B175" s="3864"/>
      <c r="C175" s="2825" t="s">
        <v>1945</v>
      </c>
      <c r="D175" s="2825" t="s">
        <v>251</v>
      </c>
      <c r="E175" s="2826">
        <f t="shared" si="8"/>
        <v>63.547608841211307</v>
      </c>
      <c r="F175" s="2805">
        <f>IF($D175="Trigger",VLOOKUP("*"&amp;$C175&amp;"*",'Lower Cask Weld Failures'!$D$53:$G$622,4,FALSE),E175+F174)</f>
        <v>63.547608841211307</v>
      </c>
      <c r="G175" s="2808" t="s">
        <v>137</v>
      </c>
      <c r="H175" s="2805">
        <f>VLOOKUP(G175,'Upper Hot Cell Welding failures'!E$230:I$283,5,FALSE)</f>
        <v>63.547608841211307</v>
      </c>
      <c r="I175" s="2825"/>
      <c r="J175" s="2825"/>
      <c r="K175" s="2825"/>
      <c r="L175" s="2826" t="str">
        <f>IFERROR(INDEX('Lower Cask Movement &amp; Logistics'!$I$13:$O$19,MATCH($J175,'Lower Cask Movement &amp; Logistics'!$H$13:$H$19,0),MATCH($K175,'Lower Cask Movement &amp; Logistics'!$H$13:$H$19,0)),"N/A")</f>
        <v>N/A</v>
      </c>
      <c r="M175" s="2826" t="str">
        <f>IFERROR(VLOOKUP($I175,'Lower Cask Movement &amp; Logistics'!$H$4:$I$8,2,FALSE),"N/A")</f>
        <v>N/A</v>
      </c>
      <c r="N175" s="2826" t="str">
        <f t="shared" si="9"/>
        <v>N/A</v>
      </c>
      <c r="O175" s="2809"/>
      <c r="P175" s="2805" t="str">
        <f>IF($D175="Logistics",VLOOKUP($O175,'Lower Cask Movement &amp; Logistics'!$C$4:$D$54,2,FALSE),"N/A")</f>
        <v>N/A</v>
      </c>
    </row>
    <row r="176" spans="1:17" s="2835" customFormat="1" ht="13.5" customHeight="1" outlineLevel="1" thickBot="1" x14ac:dyDescent="0.45">
      <c r="A176" s="2855"/>
      <c r="B176" s="3865"/>
      <c r="C176" s="2827" t="str">
        <f>B174</f>
        <v>ROB Blanket segment installed</v>
      </c>
      <c r="D176" s="2827" t="s">
        <v>11</v>
      </c>
      <c r="E176" s="2828">
        <f t="shared" si="8"/>
        <v>0</v>
      </c>
      <c r="F176" s="2822">
        <f>IF($D176="Trigger",VLOOKUP("*"&amp;$C176&amp;"*",'Lower Cask Weld Failures'!$D$53:$G$622,4,FALSE),E176+F175)</f>
        <v>63.547608841211307</v>
      </c>
      <c r="G176" s="2812"/>
      <c r="H176" s="2813" t="s">
        <v>263</v>
      </c>
      <c r="I176" s="2827"/>
      <c r="J176" s="2827"/>
      <c r="K176" s="2827"/>
      <c r="L176" s="2828" t="str">
        <f>IFERROR(INDEX('Lower Cask Movement &amp; Logistics'!$I$13:$O$19,MATCH($J176,'Lower Cask Movement &amp; Logistics'!$H$13:$H$19,0),MATCH($K176,'Lower Cask Movement &amp; Logistics'!$H$13:$H$19,0)),"N/A")</f>
        <v>N/A</v>
      </c>
      <c r="M176" s="2828" t="str">
        <f>IFERROR(VLOOKUP($I176,'Lower Cask Movement &amp; Logistics'!$H$4:$I$8,2,FALSE),"N/A")</f>
        <v>N/A</v>
      </c>
      <c r="N176" s="2828" t="str">
        <f t="shared" si="9"/>
        <v>N/A</v>
      </c>
      <c r="O176" s="2817"/>
      <c r="P176" s="2822" t="str">
        <f>IF($D176="Logistics",VLOOKUP($O176,'Lower Cask Movement &amp; Logistics'!$C$4:$D$54,2,FALSE),"N/A")</f>
        <v>N/A</v>
      </c>
    </row>
    <row r="177" spans="1:16" s="2835" customFormat="1" ht="12.75" customHeight="1" outlineLevel="1" x14ac:dyDescent="0.4">
      <c r="A177" s="2855"/>
      <c r="B177" s="3863" t="s">
        <v>1950</v>
      </c>
      <c r="C177" s="2823" t="s">
        <v>1862</v>
      </c>
      <c r="D177" s="2823" t="s">
        <v>907</v>
      </c>
      <c r="E177" s="2824">
        <f t="shared" si="8"/>
        <v>0</v>
      </c>
      <c r="F177" s="2796">
        <f>IF($D177="Trigger",VLOOKUP("*"&amp;$C177&amp;"*",'Lower Cask Weld Failures'!$D$53:$G$622,4,FALSE),E177+F176)</f>
        <v>0</v>
      </c>
      <c r="G177" s="2790"/>
      <c r="H177" s="2791" t="s">
        <v>263</v>
      </c>
      <c r="I177" s="2823"/>
      <c r="J177" s="2823"/>
      <c r="K177" s="2823"/>
      <c r="L177" s="2824" t="str">
        <f>IFERROR(INDEX('Lower Cask Movement &amp; Logistics'!$I$13:$O$19,MATCH($J177,'Lower Cask Movement &amp; Logistics'!$H$13:$H$19,0),MATCH($K177,'Lower Cask Movement &amp; Logistics'!$H$13:$H$19,0)),"N/A")</f>
        <v>N/A</v>
      </c>
      <c r="M177" s="2824" t="str">
        <f>IFERROR(VLOOKUP($I177,'Lower Cask Movement &amp; Logistics'!$H$4:$I$8,2,FALSE),"N/A")</f>
        <v>N/A</v>
      </c>
      <c r="N177" s="2824" t="str">
        <f t="shared" si="9"/>
        <v>N/A</v>
      </c>
      <c r="O177" s="2795"/>
      <c r="P177" s="2796" t="str">
        <f>IF($D177="Logistics",VLOOKUP($O177,'Lower Cask Movement &amp; Logistics'!$C$4:$D$54,2,FALSE),"N/A")</f>
        <v>N/A</v>
      </c>
    </row>
    <row r="178" spans="1:16" s="2835" customFormat="1" ht="12.75" customHeight="1" outlineLevel="1" x14ac:dyDescent="0.4">
      <c r="A178" s="2855"/>
      <c r="B178" s="3864"/>
      <c r="C178" s="2825" t="s">
        <v>1945</v>
      </c>
      <c r="D178" s="2825" t="s">
        <v>251</v>
      </c>
      <c r="E178" s="2826">
        <f t="shared" si="8"/>
        <v>192.40720949355548</v>
      </c>
      <c r="F178" s="2805">
        <f>IF($D178="Trigger",VLOOKUP("*"&amp;$C178&amp;"*",'Lower Cask Weld Failures'!$D$53:$G$622,4,FALSE),E178+F177)</f>
        <v>192.40720949355548</v>
      </c>
      <c r="G178" s="2808" t="s">
        <v>1091</v>
      </c>
      <c r="H178" s="2805">
        <f>VLOOKUP(G178,'Upper Hot Cell Welding failures'!E$230:I$283,5,FALSE)</f>
        <v>192.40720949355548</v>
      </c>
      <c r="I178" s="2825"/>
      <c r="J178" s="2825"/>
      <c r="K178" s="2825"/>
      <c r="L178" s="2826" t="str">
        <f>IFERROR(INDEX('Lower Cask Movement &amp; Logistics'!$I$13:$O$19,MATCH($J178,'Lower Cask Movement &amp; Logistics'!$H$13:$H$19,0),MATCH($K178,'Lower Cask Movement &amp; Logistics'!$H$13:$H$19,0)),"N/A")</f>
        <v>N/A</v>
      </c>
      <c r="M178" s="2826" t="str">
        <f>IFERROR(VLOOKUP($I178,'Lower Cask Movement &amp; Logistics'!$H$4:$I$8,2,FALSE),"N/A")</f>
        <v>N/A</v>
      </c>
      <c r="N178" s="2826" t="str">
        <f t="shared" si="9"/>
        <v>N/A</v>
      </c>
      <c r="O178" s="2809"/>
      <c r="P178" s="2805" t="str">
        <f>IF($D178="Logistics",VLOOKUP($O178,'Lower Cask Movement &amp; Logistics'!$C$4:$D$54,2,FALSE),"N/A")</f>
        <v>N/A</v>
      </c>
    </row>
    <row r="179" spans="1:16" s="2835" customFormat="1" ht="13.5" customHeight="1" outlineLevel="1" thickBot="1" x14ac:dyDescent="0.45">
      <c r="A179" s="2855"/>
      <c r="B179" s="3865"/>
      <c r="C179" s="2827" t="str">
        <f>B177</f>
        <v>ROB Upper Port Pipe Module installed</v>
      </c>
      <c r="D179" s="2827" t="s">
        <v>11</v>
      </c>
      <c r="E179" s="2828">
        <f t="shared" si="8"/>
        <v>0</v>
      </c>
      <c r="F179" s="2822">
        <f>IF($D179="Trigger",VLOOKUP("*"&amp;$C179&amp;"*",'Lower Cask Weld Failures'!$D$53:$G$622,4,FALSE),E179+F178)</f>
        <v>192.40720949355548</v>
      </c>
      <c r="G179" s="2812"/>
      <c r="H179" s="2813" t="s">
        <v>263</v>
      </c>
      <c r="I179" s="2827"/>
      <c r="J179" s="2827"/>
      <c r="K179" s="2827"/>
      <c r="L179" s="2828" t="str">
        <f>IFERROR(INDEX('Lower Cask Movement &amp; Logistics'!$I$13:$O$19,MATCH($J179,'Lower Cask Movement &amp; Logistics'!$H$13:$H$19,0),MATCH($K179,'Lower Cask Movement &amp; Logistics'!$H$13:$H$19,0)),"N/A")</f>
        <v>N/A</v>
      </c>
      <c r="M179" s="2828" t="str">
        <f>IFERROR(VLOOKUP($I179,'Lower Cask Movement &amp; Logistics'!$H$4:$I$8,2,FALSE),"N/A")</f>
        <v>N/A</v>
      </c>
      <c r="N179" s="2828" t="str">
        <f t="shared" si="9"/>
        <v>N/A</v>
      </c>
      <c r="O179" s="2817"/>
      <c r="P179" s="2822" t="str">
        <f>IF($D179="Logistics",VLOOKUP($O179,'Lower Cask Movement &amp; Logistics'!$C$4:$D$54,2,FALSE),"N/A")</f>
        <v>N/A</v>
      </c>
    </row>
    <row r="180" spans="1:16" s="2835" customFormat="1" ht="12.75" customHeight="1" outlineLevel="1" x14ac:dyDescent="0.4">
      <c r="A180" s="2862"/>
      <c r="B180" s="3863" t="s">
        <v>1881</v>
      </c>
      <c r="C180" s="2823" t="s">
        <v>1862</v>
      </c>
      <c r="D180" s="2823" t="s">
        <v>907</v>
      </c>
      <c r="E180" s="2824">
        <f t="shared" si="8"/>
        <v>0</v>
      </c>
      <c r="F180" s="2796">
        <f>IF($D180="Trigger",VLOOKUP("*"&amp;$C180&amp;"*",'Lower Cask Weld Failures'!$D$53:$G$622,4,FALSE),E180+F179)</f>
        <v>0</v>
      </c>
      <c r="G180" s="2790"/>
      <c r="H180" s="2791" t="s">
        <v>263</v>
      </c>
      <c r="I180" s="2823"/>
      <c r="J180" s="2823"/>
      <c r="K180" s="2823"/>
      <c r="L180" s="2824" t="str">
        <f>IFERROR(INDEX('Lower Cask Movement &amp; Logistics'!$I$13:$O$19,MATCH($J180,'Lower Cask Movement &amp; Logistics'!$H$13:$H$19,0),MATCH($K180,'Lower Cask Movement &amp; Logistics'!$H$13:$H$19,0)),"N/A")</f>
        <v>N/A</v>
      </c>
      <c r="M180" s="2824" t="str">
        <f>IFERROR(VLOOKUP($I180,'Lower Cask Movement &amp; Logistics'!$H$4:$I$8,2,FALSE),"N/A")</f>
        <v>N/A</v>
      </c>
      <c r="N180" s="2824" t="str">
        <f t="shared" si="9"/>
        <v>N/A</v>
      </c>
      <c r="O180" s="2795"/>
      <c r="P180" s="2796" t="str">
        <f>IF($D180="Logistics",VLOOKUP($O180,'Lower Cask Movement &amp; Logistics'!$C$4:$D$54,2,FALSE),"N/A")</f>
        <v>N/A</v>
      </c>
    </row>
    <row r="181" spans="1:16" s="2835" customFormat="1" ht="12.75" customHeight="1" outlineLevel="1" x14ac:dyDescent="0.4">
      <c r="A181" s="2862"/>
      <c r="B181" s="3864"/>
      <c r="C181" s="2825" t="s">
        <v>1945</v>
      </c>
      <c r="D181" s="2825" t="s">
        <v>251</v>
      </c>
      <c r="E181" s="2826">
        <f t="shared" si="8"/>
        <v>59.148164396766866</v>
      </c>
      <c r="F181" s="2805">
        <f>IF($D181="Trigger",VLOOKUP("*"&amp;$C181&amp;"*",'Lower Cask Weld Failures'!$D$53:$G$622,4,FALSE),E181+F180)</f>
        <v>59.148164396766866</v>
      </c>
      <c r="G181" s="2808" t="s">
        <v>139</v>
      </c>
      <c r="H181" s="2805">
        <f>VLOOKUP(G181,'Upper Hot Cell Welding failures'!E$230:I$283,5,FALSE)</f>
        <v>59.148164396766866</v>
      </c>
      <c r="I181" s="2825"/>
      <c r="J181" s="2825"/>
      <c r="K181" s="2825"/>
      <c r="L181" s="2826" t="str">
        <f>IFERROR(INDEX('Lower Cask Movement &amp; Logistics'!$I$13:$O$19,MATCH($J181,'Lower Cask Movement &amp; Logistics'!$H$13:$H$19,0),MATCH($K181,'Lower Cask Movement &amp; Logistics'!$H$13:$H$19,0)),"N/A")</f>
        <v>N/A</v>
      </c>
      <c r="M181" s="2826" t="str">
        <f>IFERROR(VLOOKUP($I181,'Lower Cask Movement &amp; Logistics'!$H$4:$I$8,2,FALSE),"N/A")</f>
        <v>N/A</v>
      </c>
      <c r="N181" s="2826" t="str">
        <f t="shared" si="9"/>
        <v>N/A</v>
      </c>
      <c r="O181" s="2809"/>
      <c r="P181" s="2805" t="str">
        <f>IF($D181="Logistics",VLOOKUP($O181,'Lower Cask Movement &amp; Logistics'!$C$4:$D$54,2,FALSE),"N/A")</f>
        <v>N/A</v>
      </c>
    </row>
    <row r="182" spans="1:16" s="2835" customFormat="1" ht="13.5" customHeight="1" outlineLevel="1" thickBot="1" x14ac:dyDescent="0.45">
      <c r="A182" s="2862"/>
      <c r="B182" s="3865"/>
      <c r="C182" s="2827" t="str">
        <f>B180</f>
        <v>LIB Blanket segment installed</v>
      </c>
      <c r="D182" s="2827" t="s">
        <v>11</v>
      </c>
      <c r="E182" s="2828">
        <f t="shared" si="8"/>
        <v>0</v>
      </c>
      <c r="F182" s="2822">
        <f>IF($D182="Trigger",VLOOKUP("*"&amp;$C182&amp;"*",'Lower Cask Weld Failures'!$D$53:$G$622,4,FALSE),E182+F181)</f>
        <v>59.148164396766866</v>
      </c>
      <c r="G182" s="2812"/>
      <c r="H182" s="2813" t="s">
        <v>263</v>
      </c>
      <c r="I182" s="2827"/>
      <c r="J182" s="2827"/>
      <c r="K182" s="2827"/>
      <c r="L182" s="2828" t="str">
        <f>IFERROR(INDEX('Lower Cask Movement &amp; Logistics'!$I$13:$O$19,MATCH($J182,'Lower Cask Movement &amp; Logistics'!$H$13:$H$19,0),MATCH($K182,'Lower Cask Movement &amp; Logistics'!$H$13:$H$19,0)),"N/A")</f>
        <v>N/A</v>
      </c>
      <c r="M182" s="2828" t="str">
        <f>IFERROR(VLOOKUP($I182,'Lower Cask Movement &amp; Logistics'!$H$4:$I$8,2,FALSE),"N/A")</f>
        <v>N/A</v>
      </c>
      <c r="N182" s="2828" t="str">
        <f t="shared" si="9"/>
        <v>N/A</v>
      </c>
      <c r="O182" s="2817"/>
      <c r="P182" s="2822" t="str">
        <f>IF($D182="Logistics",VLOOKUP($O182,'Lower Cask Movement &amp; Logistics'!$C$4:$D$54,2,FALSE),"N/A")</f>
        <v>N/A</v>
      </c>
    </row>
    <row r="183" spans="1:16" s="2835" customFormat="1" ht="12.75" customHeight="1" outlineLevel="1" x14ac:dyDescent="0.4">
      <c r="A183" s="2862"/>
      <c r="B183" s="3863" t="s">
        <v>1951</v>
      </c>
      <c r="C183" s="2823" t="s">
        <v>1862</v>
      </c>
      <c r="D183" s="2823" t="s">
        <v>907</v>
      </c>
      <c r="E183" s="2824">
        <f t="shared" si="8"/>
        <v>0</v>
      </c>
      <c r="F183" s="2796">
        <f>IF($D183="Trigger",VLOOKUP("*"&amp;$C183&amp;"*",'Lower Cask Weld Failures'!$D$53:$G$622,4,FALSE),E183+F182)</f>
        <v>0</v>
      </c>
      <c r="G183" s="2790"/>
      <c r="H183" s="2791" t="s">
        <v>263</v>
      </c>
      <c r="I183" s="2823"/>
      <c r="J183" s="2823"/>
      <c r="K183" s="2823"/>
      <c r="L183" s="2824" t="str">
        <f>IFERROR(INDEX('Lower Cask Movement &amp; Logistics'!$I$13:$O$19,MATCH($J183,'Lower Cask Movement &amp; Logistics'!$H$13:$H$19,0),MATCH($K183,'Lower Cask Movement &amp; Logistics'!$H$13:$H$19,0)),"N/A")</f>
        <v>N/A</v>
      </c>
      <c r="M183" s="2824" t="str">
        <f>IFERROR(VLOOKUP($I183,'Lower Cask Movement &amp; Logistics'!$H$4:$I$8,2,FALSE),"N/A")</f>
        <v>N/A</v>
      </c>
      <c r="N183" s="2824" t="str">
        <f t="shared" si="9"/>
        <v>N/A</v>
      </c>
      <c r="O183" s="2795"/>
      <c r="P183" s="2796" t="str">
        <f>IF($D183="Logistics",VLOOKUP($O183,'Lower Cask Movement &amp; Logistics'!$C$4:$D$54,2,FALSE),"N/A")</f>
        <v>N/A</v>
      </c>
    </row>
    <row r="184" spans="1:16" s="2835" customFormat="1" ht="12.75" customHeight="1" outlineLevel="1" x14ac:dyDescent="0.4">
      <c r="A184" s="2862"/>
      <c r="B184" s="3864"/>
      <c r="C184" s="2825" t="s">
        <v>1945</v>
      </c>
      <c r="D184" s="2825" t="s">
        <v>251</v>
      </c>
      <c r="E184" s="2826">
        <f t="shared" si="8"/>
        <v>153.57947694168195</v>
      </c>
      <c r="F184" s="2805">
        <f>IF($D184="Trigger",VLOOKUP("*"&amp;$C184&amp;"*",'Lower Cask Weld Failures'!$D$53:$G$622,4,FALSE),E184+F183)</f>
        <v>153.57947694168195</v>
      </c>
      <c r="G184" s="2808" t="s">
        <v>1088</v>
      </c>
      <c r="H184" s="2805">
        <f>VLOOKUP(G184,'Upper Hot Cell Welding failures'!E$230:I$283,5,FALSE)</f>
        <v>153.57947694168195</v>
      </c>
      <c r="I184" s="2825"/>
      <c r="J184" s="2825"/>
      <c r="K184" s="2825"/>
      <c r="L184" s="2826" t="str">
        <f>IFERROR(INDEX('Lower Cask Movement &amp; Logistics'!$I$13:$O$19,MATCH($J184,'Lower Cask Movement &amp; Logistics'!$H$13:$H$19,0),MATCH($K184,'Lower Cask Movement &amp; Logistics'!$H$13:$H$19,0)),"N/A")</f>
        <v>N/A</v>
      </c>
      <c r="M184" s="2826" t="str">
        <f>IFERROR(VLOOKUP($I184,'Lower Cask Movement &amp; Logistics'!$H$4:$I$8,2,FALSE),"N/A")</f>
        <v>N/A</v>
      </c>
      <c r="N184" s="2826" t="str">
        <f t="shared" si="9"/>
        <v>N/A</v>
      </c>
      <c r="O184" s="2809"/>
      <c r="P184" s="2805" t="str">
        <f>IF($D184="Logistics",VLOOKUP($O184,'Lower Cask Movement &amp; Logistics'!$C$4:$D$54,2,FALSE),"N/A")</f>
        <v>N/A</v>
      </c>
    </row>
    <row r="185" spans="1:16" s="2835" customFormat="1" ht="13.5" customHeight="1" outlineLevel="1" thickBot="1" x14ac:dyDescent="0.45">
      <c r="A185" s="2862"/>
      <c r="B185" s="3865"/>
      <c r="C185" s="2827" t="str">
        <f>B183</f>
        <v>LIB Upper Port Pipe Module installed</v>
      </c>
      <c r="D185" s="2827" t="s">
        <v>11</v>
      </c>
      <c r="E185" s="2828">
        <f t="shared" si="8"/>
        <v>0</v>
      </c>
      <c r="F185" s="2822">
        <f>IF($D185="Trigger",VLOOKUP("*"&amp;$C185&amp;"*",'Lower Cask Weld Failures'!$D$53:$G$622,4,FALSE),E185+F184)</f>
        <v>153.57947694168195</v>
      </c>
      <c r="G185" s="2812"/>
      <c r="H185" s="2813" t="s">
        <v>263</v>
      </c>
      <c r="I185" s="2827"/>
      <c r="J185" s="2827"/>
      <c r="K185" s="2827"/>
      <c r="L185" s="2828" t="str">
        <f>IFERROR(INDEX('Lower Cask Movement &amp; Logistics'!$I$13:$O$19,MATCH($J185,'Lower Cask Movement &amp; Logistics'!$H$13:$H$19,0),MATCH($K185,'Lower Cask Movement &amp; Logistics'!$H$13:$H$19,0)),"N/A")</f>
        <v>N/A</v>
      </c>
      <c r="M185" s="2828" t="str">
        <f>IFERROR(VLOOKUP($I185,'Lower Cask Movement &amp; Logistics'!$H$4:$I$8,2,FALSE),"N/A")</f>
        <v>N/A</v>
      </c>
      <c r="N185" s="2828" t="str">
        <f t="shared" si="9"/>
        <v>N/A</v>
      </c>
      <c r="O185" s="2817"/>
      <c r="P185" s="2822" t="str">
        <f>IF($D185="Logistics",VLOOKUP($O185,'Lower Cask Movement &amp; Logistics'!$C$4:$D$54,2,FALSE),"N/A")</f>
        <v>N/A</v>
      </c>
    </row>
    <row r="186" spans="1:16" s="2835" customFormat="1" ht="12.75" customHeight="1" outlineLevel="1" x14ac:dyDescent="0.4">
      <c r="A186" s="2862"/>
      <c r="B186" s="3863" t="s">
        <v>1880</v>
      </c>
      <c r="C186" s="2823" t="s">
        <v>1862</v>
      </c>
      <c r="D186" s="2823" t="s">
        <v>907</v>
      </c>
      <c r="E186" s="2824">
        <f t="shared" si="8"/>
        <v>0</v>
      </c>
      <c r="F186" s="2796">
        <f>IF($D186="Trigger",VLOOKUP("*"&amp;$C186&amp;"*",'Lower Cask Weld Failures'!$D$53:$G$622,4,FALSE),E186+F185)</f>
        <v>0</v>
      </c>
      <c r="G186" s="2790"/>
      <c r="H186" s="2791" t="s">
        <v>263</v>
      </c>
      <c r="I186" s="2823"/>
      <c r="J186" s="2823"/>
      <c r="K186" s="2823"/>
      <c r="L186" s="2824" t="str">
        <f>IFERROR(INDEX('Lower Cask Movement &amp; Logistics'!$I$13:$O$19,MATCH($J186,'Lower Cask Movement &amp; Logistics'!$H$13:$H$19,0),MATCH($K186,'Lower Cask Movement &amp; Logistics'!$H$13:$H$19,0)),"N/A")</f>
        <v>N/A</v>
      </c>
      <c r="M186" s="2824" t="str">
        <f>IFERROR(VLOOKUP($I186,'Lower Cask Movement &amp; Logistics'!$H$4:$I$8,2,FALSE),"N/A")</f>
        <v>N/A</v>
      </c>
      <c r="N186" s="2824" t="str">
        <f t="shared" si="9"/>
        <v>N/A</v>
      </c>
      <c r="O186" s="2795"/>
      <c r="P186" s="2796" t="str">
        <f>IF($D186="Logistics",VLOOKUP($O186,'Lower Cask Movement &amp; Logistics'!$C$4:$D$54,2,FALSE),"N/A")</f>
        <v>N/A</v>
      </c>
    </row>
    <row r="187" spans="1:16" s="2835" customFormat="1" ht="12.75" customHeight="1" outlineLevel="1" x14ac:dyDescent="0.4">
      <c r="A187" s="2862"/>
      <c r="B187" s="3864"/>
      <c r="C187" s="2825" t="s">
        <v>1945</v>
      </c>
      <c r="D187" s="2825" t="s">
        <v>251</v>
      </c>
      <c r="E187" s="2826">
        <f t="shared" si="8"/>
        <v>54.748719952322425</v>
      </c>
      <c r="F187" s="2805">
        <f>IF($D187="Trigger",VLOOKUP("*"&amp;$C187&amp;"*",'Lower Cask Weld Failures'!$D$53:$G$622,4,FALSE),E187+F186)</f>
        <v>54.748719952322425</v>
      </c>
      <c r="G187" s="2808" t="s">
        <v>141</v>
      </c>
      <c r="H187" s="2805">
        <f>VLOOKUP(G187,'Upper Hot Cell Welding failures'!E$230:I$283,5,FALSE)</f>
        <v>54.748719952322425</v>
      </c>
      <c r="I187" s="2825"/>
      <c r="J187" s="2825"/>
      <c r="K187" s="2825"/>
      <c r="L187" s="2826" t="str">
        <f>IFERROR(INDEX('Lower Cask Movement &amp; Logistics'!$I$13:$O$19,MATCH($J187,'Lower Cask Movement &amp; Logistics'!$H$13:$H$19,0),MATCH($K187,'Lower Cask Movement &amp; Logistics'!$H$13:$H$19,0)),"N/A")</f>
        <v>N/A</v>
      </c>
      <c r="M187" s="2826" t="str">
        <f>IFERROR(VLOOKUP($I187,'Lower Cask Movement &amp; Logistics'!$H$4:$I$8,2,FALSE),"N/A")</f>
        <v>N/A</v>
      </c>
      <c r="N187" s="2826" t="str">
        <f t="shared" si="9"/>
        <v>N/A</v>
      </c>
      <c r="O187" s="2809"/>
      <c r="P187" s="2805" t="str">
        <f>IF($D187="Logistics",VLOOKUP($O187,'Lower Cask Movement &amp; Logistics'!$C$4:$D$54,2,FALSE),"N/A")</f>
        <v>N/A</v>
      </c>
    </row>
    <row r="188" spans="1:16" s="2835" customFormat="1" ht="13.5" customHeight="1" outlineLevel="1" thickBot="1" x14ac:dyDescent="0.45">
      <c r="A188" s="2862"/>
      <c r="B188" s="3865"/>
      <c r="C188" s="2827" t="str">
        <f>B186</f>
        <v>RIB Blanket segment installed</v>
      </c>
      <c r="D188" s="2827" t="s">
        <v>11</v>
      </c>
      <c r="E188" s="2828">
        <f t="shared" si="8"/>
        <v>0</v>
      </c>
      <c r="F188" s="2822">
        <f>IF($D188="Trigger",VLOOKUP("*"&amp;$C188&amp;"*",'Lower Cask Weld Failures'!$D$53:$G$622,4,FALSE),E188+F187)</f>
        <v>54.748719952322425</v>
      </c>
      <c r="G188" s="2812"/>
      <c r="H188" s="2813" t="s">
        <v>263</v>
      </c>
      <c r="I188" s="2827"/>
      <c r="J188" s="2827"/>
      <c r="K188" s="2827"/>
      <c r="L188" s="2828" t="str">
        <f>IFERROR(INDEX('Lower Cask Movement &amp; Logistics'!$I$13:$O$19,MATCH($J188,'Lower Cask Movement &amp; Logistics'!$H$13:$H$19,0),MATCH($K188,'Lower Cask Movement &amp; Logistics'!$H$13:$H$19,0)),"N/A")</f>
        <v>N/A</v>
      </c>
      <c r="M188" s="2828" t="str">
        <f>IFERROR(VLOOKUP($I188,'Lower Cask Movement &amp; Logistics'!$H$4:$I$8,2,FALSE),"N/A")</f>
        <v>N/A</v>
      </c>
      <c r="N188" s="2828" t="str">
        <f t="shared" si="9"/>
        <v>N/A</v>
      </c>
      <c r="O188" s="2817"/>
      <c r="P188" s="2822" t="str">
        <f>IF($D188="Logistics",VLOOKUP($O188,'Lower Cask Movement &amp; Logistics'!$C$4:$D$54,2,FALSE),"N/A")</f>
        <v>N/A</v>
      </c>
    </row>
    <row r="189" spans="1:16" s="2835" customFormat="1" ht="12.75" customHeight="1" outlineLevel="1" x14ac:dyDescent="0.4">
      <c r="A189" s="2862"/>
      <c r="B189" s="3863" t="s">
        <v>1894</v>
      </c>
      <c r="C189" s="2823" t="s">
        <v>1862</v>
      </c>
      <c r="D189" s="2823" t="s">
        <v>907</v>
      </c>
      <c r="E189" s="2824">
        <f t="shared" si="8"/>
        <v>0</v>
      </c>
      <c r="F189" s="2796">
        <f>IF($D189="Trigger",VLOOKUP("*"&amp;$C189&amp;"*",'Lower Cask Weld Failures'!$D$53:$G$622,4,FALSE),E189+F188)</f>
        <v>0</v>
      </c>
      <c r="G189" s="2790"/>
      <c r="H189" s="2791" t="s">
        <v>263</v>
      </c>
      <c r="I189" s="2823"/>
      <c r="J189" s="2823"/>
      <c r="K189" s="2823"/>
      <c r="L189" s="2824" t="str">
        <f>IFERROR(INDEX('Lower Cask Movement &amp; Logistics'!$I$13:$O$19,MATCH($J189,'Lower Cask Movement &amp; Logistics'!$H$13:$H$19,0),MATCH($K189,'Lower Cask Movement &amp; Logistics'!$H$13:$H$19,0)),"N/A")</f>
        <v>N/A</v>
      </c>
      <c r="M189" s="2824" t="str">
        <f>IFERROR(VLOOKUP($I189,'Lower Cask Movement &amp; Logistics'!$H$4:$I$8,2,FALSE),"N/A")</f>
        <v>N/A</v>
      </c>
      <c r="N189" s="2824" t="str">
        <f t="shared" si="9"/>
        <v>N/A</v>
      </c>
      <c r="O189" s="2795"/>
      <c r="P189" s="2796" t="str">
        <f>IF($D189="Logistics",VLOOKUP($O189,'Lower Cask Movement &amp; Logistics'!$C$4:$D$54,2,FALSE),"N/A")</f>
        <v>N/A</v>
      </c>
    </row>
    <row r="190" spans="1:16" s="2835" customFormat="1" ht="12.75" customHeight="1" outlineLevel="1" x14ac:dyDescent="0.4">
      <c r="A190" s="2862"/>
      <c r="B190" s="3864"/>
      <c r="C190" s="2825" t="s">
        <v>1945</v>
      </c>
      <c r="D190" s="2825" t="s">
        <v>251</v>
      </c>
      <c r="E190" s="2826">
        <f t="shared" si="8"/>
        <v>79.955942174544631</v>
      </c>
      <c r="F190" s="2805">
        <f>IF($D190="Trigger",VLOOKUP("*"&amp;$C190&amp;"*",'Lower Cask Weld Failures'!$D$53:$G$622,4,FALSE),E190+F189)</f>
        <v>79.955942174544631</v>
      </c>
      <c r="G190" s="2808" t="s">
        <v>1085</v>
      </c>
      <c r="H190" s="2805">
        <f>VLOOKUP(G190,'Upper Hot Cell Welding failures'!E$230:I$283,5,FALSE)</f>
        <v>79.955942174544631</v>
      </c>
      <c r="I190" s="2825"/>
      <c r="J190" s="2825"/>
      <c r="K190" s="2825"/>
      <c r="L190" s="2826" t="str">
        <f>IFERROR(INDEX('Lower Cask Movement &amp; Logistics'!$I$13:$O$19,MATCH($J190,'Lower Cask Movement &amp; Logistics'!$H$13:$H$19,0),MATCH($K190,'Lower Cask Movement &amp; Logistics'!$H$13:$H$19,0)),"N/A")</f>
        <v>N/A</v>
      </c>
      <c r="M190" s="2826" t="str">
        <f>IFERROR(VLOOKUP($I190,'Lower Cask Movement &amp; Logistics'!$H$4:$I$8,2,FALSE),"N/A")</f>
        <v>N/A</v>
      </c>
      <c r="N190" s="2826" t="str">
        <f t="shared" si="9"/>
        <v>N/A</v>
      </c>
      <c r="O190" s="2809"/>
      <c r="P190" s="2805" t="str">
        <f>IF($D190="Logistics",VLOOKUP($O190,'Lower Cask Movement &amp; Logistics'!$C$4:$D$54,2,FALSE),"N/A")</f>
        <v>N/A</v>
      </c>
    </row>
    <row r="191" spans="1:16" s="2835" customFormat="1" ht="13.5" customHeight="1" outlineLevel="1" thickBot="1" x14ac:dyDescent="0.45">
      <c r="A191" s="2862"/>
      <c r="B191" s="3865"/>
      <c r="C191" s="2827" t="str">
        <f>B189</f>
        <v>RIB Upper Port Pipe Module installed</v>
      </c>
      <c r="D191" s="2827" t="s">
        <v>11</v>
      </c>
      <c r="E191" s="2828">
        <f t="shared" si="8"/>
        <v>0</v>
      </c>
      <c r="F191" s="2822">
        <f>IF($D191="Trigger",VLOOKUP("*"&amp;$C191&amp;"*",'Lower Cask Weld Failures'!$D$53:$G$622,4,FALSE),E191+F190)</f>
        <v>79.955942174544631</v>
      </c>
      <c r="G191" s="2812"/>
      <c r="H191" s="2813" t="s">
        <v>263</v>
      </c>
      <c r="I191" s="2827"/>
      <c r="J191" s="2827"/>
      <c r="K191" s="2827"/>
      <c r="L191" s="2828" t="str">
        <f>IFERROR(INDEX('Lower Cask Movement &amp; Logistics'!$I$13:$O$19,MATCH($J191,'Lower Cask Movement &amp; Logistics'!$H$13:$H$19,0),MATCH($K191,'Lower Cask Movement &amp; Logistics'!$H$13:$H$19,0)),"N/A")</f>
        <v>N/A</v>
      </c>
      <c r="M191" s="2828" t="str">
        <f>IFERROR(VLOOKUP($I191,'Lower Cask Movement &amp; Logistics'!$H$4:$I$8,2,FALSE),"N/A")</f>
        <v>N/A</v>
      </c>
      <c r="N191" s="2828" t="str">
        <f t="shared" si="9"/>
        <v>N/A</v>
      </c>
      <c r="O191" s="2817"/>
      <c r="P191" s="2822" t="str">
        <f>IF($D191="Logistics",VLOOKUP($O191,'Lower Cask Movement &amp; Logistics'!$C$4:$D$54,2,FALSE),"N/A")</f>
        <v>N/A</v>
      </c>
    </row>
    <row r="192" spans="1:16" s="2835" customFormat="1" ht="13.3" thickBot="1" x14ac:dyDescent="0.45">
      <c r="A192" s="2863"/>
      <c r="B192" s="2864"/>
      <c r="C192" s="2865"/>
      <c r="D192" s="2865"/>
      <c r="E192" s="2865"/>
      <c r="F192" s="2865"/>
      <c r="G192" s="2865"/>
      <c r="H192" s="2866"/>
      <c r="I192" s="2865"/>
      <c r="J192" s="2865"/>
      <c r="K192" s="2865"/>
      <c r="L192" s="2867"/>
      <c r="M192" s="2867"/>
      <c r="N192" s="2867"/>
      <c r="O192" s="2865"/>
      <c r="P192" s="2868"/>
    </row>
    <row r="193" spans="1:19" s="2835" customFormat="1" x14ac:dyDescent="0.4">
      <c r="A193" s="2869"/>
      <c r="B193" s="2870" t="s">
        <v>1954</v>
      </c>
      <c r="C193" s="2870"/>
      <c r="D193" s="2870"/>
      <c r="E193" s="2870"/>
      <c r="F193" s="2870"/>
      <c r="G193" s="2870"/>
      <c r="H193" s="2870"/>
      <c r="I193" s="2870"/>
      <c r="J193" s="2870"/>
      <c r="K193" s="2870"/>
      <c r="L193" s="2870"/>
      <c r="M193" s="2870"/>
      <c r="N193" s="2870"/>
      <c r="O193" s="2870"/>
      <c r="P193" s="2871"/>
    </row>
    <row r="194" spans="1:19" s="2835" customFormat="1" ht="13.3" outlineLevel="1" thickBot="1" x14ac:dyDescent="0.45">
      <c r="A194" s="2872"/>
      <c r="B194" s="2873"/>
      <c r="C194" s="2874"/>
      <c r="D194" s="2874"/>
      <c r="E194" s="2874"/>
      <c r="F194" s="2874"/>
      <c r="G194" s="2874"/>
      <c r="H194" s="2875"/>
      <c r="I194" s="2874"/>
      <c r="J194" s="2874"/>
      <c r="K194" s="2874"/>
      <c r="L194" s="2876"/>
      <c r="M194" s="2876"/>
      <c r="N194" s="2876"/>
      <c r="O194" s="2874"/>
      <c r="P194" s="2877"/>
    </row>
    <row r="195" spans="1:19" s="2764" customFormat="1" ht="15" customHeight="1" outlineLevel="1" x14ac:dyDescent="0.4">
      <c r="A195" s="2872"/>
      <c r="B195" s="3863" t="s">
        <v>1889</v>
      </c>
      <c r="C195" s="2788" t="s">
        <v>1884</v>
      </c>
      <c r="D195" s="2788" t="s">
        <v>907</v>
      </c>
      <c r="E195" s="2789">
        <f t="shared" ref="E195:E227" si="11">MAX($P195,$N195,$H195)</f>
        <v>0</v>
      </c>
      <c r="F195" s="2789">
        <f>IF($D195="Trigger",VLOOKUP("*"&amp;$C195&amp;"*",'Lower Cask Weld Failures'!$D$280:$G$312,4,FALSE),E195+F194)</f>
        <v>0</v>
      </c>
      <c r="G195" s="2790"/>
      <c r="H195" s="2791" t="s">
        <v>263</v>
      </c>
      <c r="I195" s="2792"/>
      <c r="J195" s="2788"/>
      <c r="K195" s="2788"/>
      <c r="L195" s="2793" t="str">
        <f>IFERROR(INDEX('Lower Cask Movement &amp; Logistics'!$I$13:$O$19,MATCH($J195,'Lower Cask Movement &amp; Logistics'!$H$13:$H$19,0),MATCH($K195,'Lower Cask Movement &amp; Logistics'!$H$13:$H$19,0)),"N/A")</f>
        <v>N/A</v>
      </c>
      <c r="M195" s="2793" t="str">
        <f>IFERROR(VLOOKUP($I195,'Lower Cask Movement &amp; Logistics'!$H$4:$I$8,2,FALSE),"N/A")</f>
        <v>N/A</v>
      </c>
      <c r="N195" s="2794" t="str">
        <f t="shared" ref="N195:N227" si="12">IF(D195="Movement",IFERROR((L195/M195)/(60*60),"Error"),"N/A")</f>
        <v>N/A</v>
      </c>
      <c r="O195" s="2795"/>
      <c r="P195" s="2796" t="str">
        <f>IF($D195="Logistics",VLOOKUP($O195,'Lower Cask Movement &amp; Logistics'!$C$4:$D$54,2,FALSE),"N/A")</f>
        <v>N/A</v>
      </c>
      <c r="R195" s="2765"/>
      <c r="S195" s="2765"/>
    </row>
    <row r="196" spans="1:19" s="2764" customFormat="1" ht="15" customHeight="1" outlineLevel="1" x14ac:dyDescent="0.4">
      <c r="A196" s="2872"/>
      <c r="B196" s="3864"/>
      <c r="C196" s="2797" t="s">
        <v>1732</v>
      </c>
      <c r="D196" s="2798" t="s">
        <v>778</v>
      </c>
      <c r="E196" s="2799">
        <f>MAX($P196,$N196,$H196)</f>
        <v>0.23148148148148148</v>
      </c>
      <c r="F196" s="2799">
        <f>IF($D196="Trigger",VLOOKUP("*"&amp;$C196&amp;"*",'Lower Cask Weld Failures'!$D$280:$G$312,4,FALSE),E196+F195)</f>
        <v>0.23148148148148148</v>
      </c>
      <c r="G196" s="2861"/>
      <c r="H196" s="2801" t="s">
        <v>263</v>
      </c>
      <c r="I196" s="2802" t="s">
        <v>1536</v>
      </c>
      <c r="J196" s="2798" t="s">
        <v>1203</v>
      </c>
      <c r="K196" s="2798" t="s">
        <v>914</v>
      </c>
      <c r="L196" s="2803">
        <f>IFERROR(INDEX('Lower Cask Movement &amp; Logistics'!$I$13:$O$19,MATCH($J196,'Lower Cask Movement &amp; Logistics'!$H$13:$H$19,0),MATCH($K196,'Lower Cask Movement &amp; Logistics'!$H$13:$H$19,0)),"N/A")</f>
        <v>50</v>
      </c>
      <c r="M196" s="2804">
        <f>IFERROR(VLOOKUP($I196,'Lower Cask Movement &amp; Logistics'!$H$4:$I$8,2,FALSE),"N/A")</f>
        <v>0.06</v>
      </c>
      <c r="N196" s="2805">
        <f t="shared" si="12"/>
        <v>0.23148148148148148</v>
      </c>
      <c r="O196" s="2806"/>
      <c r="P196" s="2807" t="str">
        <f>IF($D196="Logistics",VLOOKUP($O196,'Lower Cask Movement &amp; Logistics'!$C$4:$D$54,2,FALSE),"N/A")</f>
        <v>N/A</v>
      </c>
      <c r="R196" s="2765"/>
      <c r="S196" s="2765"/>
    </row>
    <row r="197" spans="1:19" s="2764" customFormat="1" ht="15" customHeight="1" outlineLevel="1" x14ac:dyDescent="0.4">
      <c r="A197" s="2872"/>
      <c r="B197" s="3864"/>
      <c r="C197" s="2797" t="s">
        <v>1751</v>
      </c>
      <c r="D197" s="2798" t="s">
        <v>3</v>
      </c>
      <c r="E197" s="2799">
        <f t="shared" si="11"/>
        <v>0.58000000000000007</v>
      </c>
      <c r="F197" s="2799">
        <f>IF($D197="Trigger",VLOOKUP("*"&amp;$C197&amp;"*",'Lower Cask Weld Failures'!$D$280:$G$312,4,FALSE),E197+F196)</f>
        <v>0.81148148148148158</v>
      </c>
      <c r="G197" s="2861"/>
      <c r="H197" s="2801" t="s">
        <v>263</v>
      </c>
      <c r="I197" s="2802"/>
      <c r="J197" s="2798"/>
      <c r="K197" s="2798"/>
      <c r="L197" s="2803" t="str">
        <f>IFERROR(INDEX('Lower Cask Movement &amp; Logistics'!$I$13:$O$19,MATCH($J197,'Lower Cask Movement &amp; Logistics'!$H$13:$H$19,0),MATCH($K197,'Lower Cask Movement &amp; Logistics'!$H$13:$H$19,0)),"N/A")</f>
        <v>N/A</v>
      </c>
      <c r="M197" s="2804" t="str">
        <f>IFERROR(VLOOKUP($I197,'Lower Cask Movement &amp; Logistics'!$H$4:$I$8,2,FALSE),"N/A")</f>
        <v>N/A</v>
      </c>
      <c r="N197" s="2805" t="str">
        <f t="shared" si="12"/>
        <v>N/A</v>
      </c>
      <c r="O197" s="2806" t="s">
        <v>1539</v>
      </c>
      <c r="P197" s="2807">
        <f>IF($D197="Logistics",VLOOKUP($O197,'Lower Cask Movement &amp; Logistics'!$C$4:$D$54,2,FALSE),"N/A")</f>
        <v>0.58000000000000007</v>
      </c>
      <c r="R197" s="2765"/>
      <c r="S197" s="2765"/>
    </row>
    <row r="198" spans="1:19" s="2764" customFormat="1" ht="15" customHeight="1" outlineLevel="1" x14ac:dyDescent="0.4">
      <c r="A198" s="2872"/>
      <c r="B198" s="3864"/>
      <c r="C198" s="2797" t="s">
        <v>1737</v>
      </c>
      <c r="D198" s="2798" t="s">
        <v>778</v>
      </c>
      <c r="E198" s="2799">
        <f t="shared" si="11"/>
        <v>2.7777777777777776E-2</v>
      </c>
      <c r="F198" s="2799">
        <f>IF($D198="Trigger",VLOOKUP("*"&amp;$C198&amp;"*",'Lower Cask Weld Failures'!$D$280:$G$312,4,FALSE),E198+F197)</f>
        <v>0.83925925925925937</v>
      </c>
      <c r="G198" s="2861"/>
      <c r="H198" s="2801" t="s">
        <v>263</v>
      </c>
      <c r="I198" s="2802" t="s">
        <v>1738</v>
      </c>
      <c r="J198" s="2798" t="s">
        <v>914</v>
      </c>
      <c r="K198" s="2798" t="s">
        <v>799</v>
      </c>
      <c r="L198" s="2803">
        <f>IFERROR(INDEX('Lower Cask Movement &amp; Logistics'!$I$13:$O$19,MATCH($J198,'Lower Cask Movement &amp; Logistics'!$H$13:$H$19,0),MATCH($K198,'Lower Cask Movement &amp; Logistics'!$H$13:$H$19,0)),"N/A")</f>
        <v>20</v>
      </c>
      <c r="M198" s="2804">
        <f>IFERROR(VLOOKUP($I198,'Lower Cask Movement &amp; Logistics'!$H$4:$I$8,2,FALSE),"N/A")</f>
        <v>0.2</v>
      </c>
      <c r="N198" s="2805">
        <f t="shared" si="12"/>
        <v>2.7777777777777776E-2</v>
      </c>
      <c r="O198" s="2806"/>
      <c r="P198" s="2807" t="str">
        <f>IF($D198="Logistics",VLOOKUP($O198,'Lower Cask Movement &amp; Logistics'!$C$4:$D$54,2,FALSE),"N/A")</f>
        <v>N/A</v>
      </c>
      <c r="R198" s="2765"/>
      <c r="S198" s="2765"/>
    </row>
    <row r="199" spans="1:19" s="2764" customFormat="1" ht="14.6" outlineLevel="1" x14ac:dyDescent="0.4">
      <c r="A199" s="2872"/>
      <c r="B199" s="3864"/>
      <c r="C199" s="2798" t="s">
        <v>1762</v>
      </c>
      <c r="D199" s="2798" t="s">
        <v>3</v>
      </c>
      <c r="E199" s="2799">
        <f t="shared" si="11"/>
        <v>0.88000000000000012</v>
      </c>
      <c r="F199" s="2799">
        <f>IF($D199="Trigger",VLOOKUP("*"&amp;$C199&amp;"*",'Lower Cask Weld Failures'!$D$280:$G$312,4,FALSE),E199+F198)</f>
        <v>1.7192592592592595</v>
      </c>
      <c r="G199" s="2861"/>
      <c r="H199" s="2801" t="s">
        <v>263</v>
      </c>
      <c r="I199" s="2802"/>
      <c r="J199" s="2798"/>
      <c r="K199" s="2798"/>
      <c r="L199" s="2803" t="str">
        <f>IFERROR(INDEX('Lower Cask Movement &amp; Logistics'!$I$13:$O$19,MATCH($J199,'Lower Cask Movement &amp; Logistics'!$H$13:$H$19,0),MATCH($K199,'Lower Cask Movement &amp; Logistics'!$H$13:$H$19,0)),"N/A")</f>
        <v>N/A</v>
      </c>
      <c r="M199" s="2804" t="str">
        <f>IFERROR(VLOOKUP($I199,'Lower Cask Movement &amp; Logistics'!$H$4:$I$8,2,FALSE),"N/A")</f>
        <v>N/A</v>
      </c>
      <c r="N199" s="2805" t="str">
        <f t="shared" si="12"/>
        <v>N/A</v>
      </c>
      <c r="O199" s="2809" t="s">
        <v>1730</v>
      </c>
      <c r="P199" s="2807">
        <f>IF($D199="Logistics",VLOOKUP($O199,'Lower Cask Movement &amp; Logistics'!$C$4:$D$54,2,FALSE),"N/A")</f>
        <v>0.88000000000000012</v>
      </c>
      <c r="R199" s="2765"/>
      <c r="S199" s="2765"/>
    </row>
    <row r="200" spans="1:19" s="2764" customFormat="1" ht="14.6" outlineLevel="1" x14ac:dyDescent="0.4">
      <c r="A200" s="2872"/>
      <c r="B200" s="3864"/>
      <c r="C200" s="2798" t="s">
        <v>1763</v>
      </c>
      <c r="D200" s="2798" t="s">
        <v>778</v>
      </c>
      <c r="E200" s="2799">
        <f t="shared" si="11"/>
        <v>0.69444444444444442</v>
      </c>
      <c r="F200" s="2799">
        <f>IF($D200="Trigger",VLOOKUP("*"&amp;$C200&amp;"*",'Lower Cask Weld Failures'!$D$280:$G$312,4,FALSE),E200+F199)</f>
        <v>2.4137037037037041</v>
      </c>
      <c r="G200" s="2861"/>
      <c r="H200" s="2801" t="s">
        <v>263</v>
      </c>
      <c r="I200" s="2802" t="s">
        <v>1538</v>
      </c>
      <c r="J200" s="2798" t="s">
        <v>799</v>
      </c>
      <c r="K200" s="2798" t="s">
        <v>1203</v>
      </c>
      <c r="L200" s="2803">
        <f>IFERROR(INDEX('Lower Cask Movement &amp; Logistics'!$I$13:$O$19,MATCH($J200,'Lower Cask Movement &amp; Logistics'!$H$13:$H$19,0),MATCH($K200,'Lower Cask Movement &amp; Logistics'!$H$13:$H$19,0)),"N/A")</f>
        <v>50</v>
      </c>
      <c r="M200" s="2804">
        <f>IFERROR(VLOOKUP($I200,'Lower Cask Movement &amp; Logistics'!$H$4:$I$8,2,FALSE),"N/A")</f>
        <v>0.02</v>
      </c>
      <c r="N200" s="2805">
        <f t="shared" si="12"/>
        <v>0.69444444444444442</v>
      </c>
      <c r="O200" s="2809"/>
      <c r="P200" s="2807" t="str">
        <f>IF($D200="Logistics",VLOOKUP($O200,'Lower Cask Movement &amp; Logistics'!$C$4:$D$54,2,FALSE),"N/A")</f>
        <v>N/A</v>
      </c>
      <c r="R200" s="2765"/>
      <c r="S200" s="2765"/>
    </row>
    <row r="201" spans="1:19" s="2764" customFormat="1" ht="26.6" outlineLevel="1" thickBot="1" x14ac:dyDescent="0.45">
      <c r="A201" s="2872"/>
      <c r="B201" s="3865"/>
      <c r="C201" s="2810" t="str">
        <f>B195</f>
        <v>Outboard Port Pipework Cask Stored; Inner Port Pipework cask Prepared; Inner Port Pipework Cask Moved to Lower Port</v>
      </c>
      <c r="D201" s="2810" t="s">
        <v>11</v>
      </c>
      <c r="E201" s="2811">
        <f t="shared" si="11"/>
        <v>0</v>
      </c>
      <c r="F201" s="2799">
        <f>IF($D201="Trigger",VLOOKUP("*"&amp;$C201&amp;"*",'Lower Cask Weld Failures'!$D$280:$G$312,4,FALSE),E201+F200)</f>
        <v>2.4137037037037041</v>
      </c>
      <c r="G201" s="2812"/>
      <c r="H201" s="2813" t="s">
        <v>263</v>
      </c>
      <c r="I201" s="2814"/>
      <c r="J201" s="2810"/>
      <c r="K201" s="2810"/>
      <c r="L201" s="2815" t="str">
        <f>IFERROR(INDEX('Lower Cask Movement &amp; Logistics'!$I$13:$O$19,MATCH($J201,'Lower Cask Movement &amp; Logistics'!$H$13:$H$19,0),MATCH($K201,'Lower Cask Movement &amp; Logistics'!$H$13:$H$19,0)),"N/A")</f>
        <v>N/A</v>
      </c>
      <c r="M201" s="2815" t="str">
        <f>IFERROR(VLOOKUP($I201,'Lower Cask Movement &amp; Logistics'!$H$4:$I$8,2,FALSE),"N/A")</f>
        <v>N/A</v>
      </c>
      <c r="N201" s="2816" t="str">
        <f t="shared" si="12"/>
        <v>N/A</v>
      </c>
      <c r="O201" s="2817"/>
      <c r="P201" s="2787" t="str">
        <f>IF($D201="Logistics",VLOOKUP($O201,'Lower Cask Movement &amp; Logistics'!$C$4:$D$54,2,FALSE),"N/A")</f>
        <v>N/A</v>
      </c>
      <c r="R201" s="2765"/>
      <c r="S201" s="2765"/>
    </row>
    <row r="202" spans="1:19" s="2765" customFormat="1" ht="14.6" outlineLevel="1" x14ac:dyDescent="0.4">
      <c r="A202" s="2872"/>
      <c r="B202" s="3866" t="s">
        <v>1866</v>
      </c>
      <c r="C202" s="2755" t="s">
        <v>1938</v>
      </c>
      <c r="D202" s="2755" t="s">
        <v>907</v>
      </c>
      <c r="E202" s="2772">
        <f t="shared" si="11"/>
        <v>0</v>
      </c>
      <c r="F202" s="2772">
        <f>IF($D202="Trigger",VLOOKUP("*"&amp;$C202&amp;"*",'Lower Cask Weld Failures'!$D$280:$G$312,4,FALSE),E202+F201)</f>
        <v>31.85593411945678</v>
      </c>
      <c r="G202" s="2777"/>
      <c r="H202" s="2818" t="s">
        <v>263</v>
      </c>
      <c r="I202" s="2771"/>
      <c r="J202" s="2767"/>
      <c r="K202" s="2767"/>
      <c r="L202" s="2819" t="str">
        <f>IFERROR(INDEX('Lower Cask Movement &amp; Logistics'!$I$13:$O$19,MATCH($J202,'Lower Cask Movement &amp; Logistics'!$H$13:$H$19,0),MATCH($K202,'Lower Cask Movement &amp; Logistics'!$H$13:$H$19,0)),"N/A")</f>
        <v>N/A</v>
      </c>
      <c r="M202" s="2819" t="str">
        <f>IFERROR(VLOOKUP($I202,'Lower Cask Movement &amp; Logistics'!$H$4:$I$8,2,FALSE),"N/A")</f>
        <v>N/A</v>
      </c>
      <c r="N202" s="2768" t="str">
        <f t="shared" si="12"/>
        <v>N/A</v>
      </c>
      <c r="O202" s="2778"/>
      <c r="P202" s="2774" t="str">
        <f>IF($D202="Logistics",VLOOKUP($O202,'Lower Cask Movement &amp; Logistics'!$C$4:$D$54,2,FALSE),"N/A")</f>
        <v>N/A</v>
      </c>
      <c r="Q202" s="2764"/>
    </row>
    <row r="203" spans="1:19" s="2765" customFormat="1" ht="14.6" outlineLevel="1" x14ac:dyDescent="0.4">
      <c r="A203" s="2872"/>
      <c r="B203" s="3867"/>
      <c r="C203" s="2766" t="s">
        <v>1939</v>
      </c>
      <c r="D203" s="2766" t="s">
        <v>778</v>
      </c>
      <c r="E203" s="2772">
        <f t="shared" si="11"/>
        <v>0.23148148148148148</v>
      </c>
      <c r="F203" s="2772">
        <f>IF($D203="Trigger",VLOOKUP("*"&amp;$C203&amp;"*",'Lower Cask Weld Failures'!$D$280:$G$312,4,FALSE),E203+F202)</f>
        <v>32.087415600938265</v>
      </c>
      <c r="G203" s="2777"/>
      <c r="H203" s="2818" t="s">
        <v>263</v>
      </c>
      <c r="I203" s="2771" t="s">
        <v>1536</v>
      </c>
      <c r="J203" s="2767" t="s">
        <v>1203</v>
      </c>
      <c r="K203" s="2767" t="s">
        <v>914</v>
      </c>
      <c r="L203" s="2819">
        <f>IFERROR(INDEX('Lower Cask Movement &amp; Logistics'!$I$13:$O$19,MATCH($J203,'Lower Cask Movement &amp; Logistics'!$H$13:$H$19,0),MATCH($K203,'Lower Cask Movement &amp; Logistics'!$H$13:$H$19,0)),"N/A")</f>
        <v>50</v>
      </c>
      <c r="M203" s="2819">
        <f>IFERROR(VLOOKUP($I203,'Lower Cask Movement &amp; Logistics'!$H$4:$I$8,2,FALSE),"N/A")</f>
        <v>0.06</v>
      </c>
      <c r="N203" s="2768">
        <f t="shared" si="12"/>
        <v>0.23148148148148148</v>
      </c>
      <c r="O203" s="2778"/>
      <c r="P203" s="2774" t="str">
        <f>IF($D203="Logistics",VLOOKUP($O203,'Lower Cask Movement &amp; Logistics'!$C$4:$D$54,2,FALSE),"N/A")</f>
        <v>N/A</v>
      </c>
      <c r="Q203" s="2764"/>
    </row>
    <row r="204" spans="1:19" s="2765" customFormat="1" ht="14.6" outlineLevel="1" x14ac:dyDescent="0.4">
      <c r="A204" s="2872"/>
      <c r="B204" s="3867"/>
      <c r="C204" s="2766" t="s">
        <v>1940</v>
      </c>
      <c r="D204" s="2766" t="s">
        <v>3</v>
      </c>
      <c r="E204" s="2772">
        <f t="shared" si="11"/>
        <v>0.58000000000000007</v>
      </c>
      <c r="F204" s="2772">
        <f>IF($D204="Trigger",VLOOKUP("*"&amp;$C204&amp;"*",'Lower Cask Weld Failures'!$D$280:$G$312,4,FALSE),E204+F203)</f>
        <v>32.667415600938263</v>
      </c>
      <c r="G204" s="2777"/>
      <c r="H204" s="2818" t="s">
        <v>263</v>
      </c>
      <c r="I204" s="2771"/>
      <c r="J204" s="2767"/>
      <c r="K204" s="2767"/>
      <c r="L204" s="2819" t="str">
        <f>IFERROR(INDEX('Lower Cask Movement &amp; Logistics'!$I$13:$O$19,MATCH($J204,'Lower Cask Movement &amp; Logistics'!$H$13:$H$19,0),MATCH($K204,'Lower Cask Movement &amp; Logistics'!$H$13:$H$19,0)),"N/A")</f>
        <v>N/A</v>
      </c>
      <c r="M204" s="2819" t="str">
        <f>IFERROR(VLOOKUP($I204,'Lower Cask Movement &amp; Logistics'!$H$4:$I$8,2,FALSE),"N/A")</f>
        <v>N/A</v>
      </c>
      <c r="N204" s="2768" t="str">
        <f t="shared" si="12"/>
        <v>N/A</v>
      </c>
      <c r="O204" s="2778" t="s">
        <v>1539</v>
      </c>
      <c r="P204" s="2774">
        <f>IF($D204="Logistics",VLOOKUP($O204,'Lower Cask Movement &amp; Logistics'!$C$4:$D$54,2,FALSE),"N/A")</f>
        <v>0.58000000000000007</v>
      </c>
      <c r="Q204" s="2764"/>
    </row>
    <row r="205" spans="1:19" s="2765" customFormat="1" ht="14.6" outlineLevel="1" x14ac:dyDescent="0.4">
      <c r="A205" s="2872"/>
      <c r="B205" s="3867"/>
      <c r="C205" s="2767" t="s">
        <v>1737</v>
      </c>
      <c r="D205" s="2767" t="s">
        <v>778</v>
      </c>
      <c r="E205" s="2772">
        <f t="shared" si="11"/>
        <v>2.7777777777777776E-2</v>
      </c>
      <c r="F205" s="2772">
        <f>IF($D205="Trigger",VLOOKUP("*"&amp;$C205&amp;"*",'Lower Cask Weld Failures'!$D$280:$G$312,4,FALSE),E205+F204)</f>
        <v>32.695193378716041</v>
      </c>
      <c r="G205" s="2777"/>
      <c r="H205" s="2818" t="s">
        <v>263</v>
      </c>
      <c r="I205" s="2771" t="s">
        <v>1738</v>
      </c>
      <c r="J205" s="2767" t="s">
        <v>914</v>
      </c>
      <c r="K205" s="2767" t="s">
        <v>799</v>
      </c>
      <c r="L205" s="2819">
        <f>IFERROR(INDEX('Lower Cask Movement &amp; Logistics'!$I$13:$O$19,MATCH($J205,'Lower Cask Movement &amp; Logistics'!$H$13:$H$19,0),MATCH($K205,'Lower Cask Movement &amp; Logistics'!$H$13:$H$19,0)),"N/A")</f>
        <v>20</v>
      </c>
      <c r="M205" s="2819">
        <f>IFERROR(VLOOKUP($I205,'Lower Cask Movement &amp; Logistics'!$H$4:$I$8,2,FALSE),"N/A")</f>
        <v>0.2</v>
      </c>
      <c r="N205" s="2768">
        <f t="shared" si="12"/>
        <v>2.7777777777777776E-2</v>
      </c>
      <c r="O205" s="2778"/>
      <c r="P205" s="2774" t="str">
        <f>IF($D205="Logistics",VLOOKUP($O205,'Lower Cask Movement &amp; Logistics'!$C$4:$D$54,2,FALSE),"N/A")</f>
        <v>N/A</v>
      </c>
      <c r="Q205" s="2764"/>
    </row>
    <row r="206" spans="1:19" s="2765" customFormat="1" ht="14.6" outlineLevel="1" x14ac:dyDescent="0.4">
      <c r="A206" s="2872"/>
      <c r="B206" s="3867"/>
      <c r="C206" s="2767" t="s">
        <v>1941</v>
      </c>
      <c r="D206" s="2767" t="s">
        <v>3</v>
      </c>
      <c r="E206" s="2772">
        <f t="shared" si="11"/>
        <v>0.78</v>
      </c>
      <c r="F206" s="2772">
        <f>IF($D206="Trigger",VLOOKUP("*"&amp;$C206&amp;"*",'Lower Cask Weld Failures'!$D$280:$G$312,4,FALSE),E206+F205)</f>
        <v>33.475193378716043</v>
      </c>
      <c r="G206" s="2777"/>
      <c r="H206" s="2818" t="s">
        <v>263</v>
      </c>
      <c r="I206" s="2771"/>
      <c r="J206" s="2767"/>
      <c r="K206" s="2767"/>
      <c r="L206" s="2819" t="str">
        <f>IFERROR(INDEX('Lower Cask Movement &amp; Logistics'!$I$13:$O$19,MATCH($J206,'Lower Cask Movement &amp; Logistics'!$H$13:$H$19,0),MATCH($K206,'Lower Cask Movement &amp; Logistics'!$H$13:$H$19,0)),"N/A")</f>
        <v>N/A</v>
      </c>
      <c r="M206" s="2819" t="str">
        <f>IFERROR(VLOOKUP($I206,'Lower Cask Movement &amp; Logistics'!$H$4:$I$8,2,FALSE),"N/A")</f>
        <v>N/A</v>
      </c>
      <c r="N206" s="2768" t="str">
        <f t="shared" si="12"/>
        <v>N/A</v>
      </c>
      <c r="O206" s="2778" t="s">
        <v>1740</v>
      </c>
      <c r="P206" s="2774">
        <f>IF($D206="Logistics",VLOOKUP($O206,'Lower Cask Movement &amp; Logistics'!$C$4:$D$54,2,FALSE),"N/A")</f>
        <v>0.78</v>
      </c>
      <c r="Q206" s="2764"/>
    </row>
    <row r="207" spans="1:19" s="2765" customFormat="1" ht="14.6" outlineLevel="1" x14ac:dyDescent="0.4">
      <c r="A207" s="2872"/>
      <c r="B207" s="3867"/>
      <c r="C207" s="2767" t="s">
        <v>1771</v>
      </c>
      <c r="D207" s="2767" t="s">
        <v>778</v>
      </c>
      <c r="E207" s="2772">
        <f t="shared" si="11"/>
        <v>0.69444444444444442</v>
      </c>
      <c r="F207" s="2772">
        <f>IF($D207="Trigger",VLOOKUP("*"&amp;$C207&amp;"*",'Lower Cask Weld Failures'!$D$280:$G$312,4,FALSE),E207+F206)</f>
        <v>34.169637823160485</v>
      </c>
      <c r="G207" s="2777"/>
      <c r="H207" s="2818" t="s">
        <v>263</v>
      </c>
      <c r="I207" s="2771" t="s">
        <v>1538</v>
      </c>
      <c r="J207" s="2767" t="s">
        <v>799</v>
      </c>
      <c r="K207" s="2767" t="s">
        <v>1203</v>
      </c>
      <c r="L207" s="2819">
        <f>IFERROR(INDEX('Lower Cask Movement &amp; Logistics'!$I$13:$O$19,MATCH($J207,'Lower Cask Movement &amp; Logistics'!$H$13:$H$19,0),MATCH($K207,'Lower Cask Movement &amp; Logistics'!$H$13:$H$19,0)),"N/A")</f>
        <v>50</v>
      </c>
      <c r="M207" s="2819">
        <f>IFERROR(VLOOKUP($I207,'Lower Cask Movement &amp; Logistics'!$H$4:$I$8,2,FALSE),"N/A")</f>
        <v>0.02</v>
      </c>
      <c r="N207" s="2768">
        <f t="shared" si="12"/>
        <v>0.69444444444444442</v>
      </c>
      <c r="O207" s="2778"/>
      <c r="P207" s="2774" t="str">
        <f>IF($D207="Logistics",VLOOKUP($O207,'Lower Cask Movement &amp; Logistics'!$C$4:$D$54,2,FALSE),"N/A")</f>
        <v>N/A</v>
      </c>
      <c r="Q207" s="2764"/>
    </row>
    <row r="208" spans="1:19" s="2765" customFormat="1" ht="26.6" outlineLevel="1" thickBot="1" x14ac:dyDescent="0.45">
      <c r="A208" s="2872"/>
      <c r="B208" s="3868"/>
      <c r="C208" s="2779" t="str">
        <f>B202</f>
        <v>Removed Inboard blankets stored, New Inner Port Pipe Modules Collected and moved to port</v>
      </c>
      <c r="D208" s="2779" t="s">
        <v>11</v>
      </c>
      <c r="E208" s="2780">
        <f t="shared" si="11"/>
        <v>0</v>
      </c>
      <c r="F208" s="2780">
        <f>IF($D208="Trigger",VLOOKUP("*"&amp;$C208&amp;"*",'Lower Cask Weld Failures'!$D$280:$G$312,4,FALSE),E208+F207)</f>
        <v>34.169637823160485</v>
      </c>
      <c r="G208" s="2781"/>
      <c r="H208" s="2782" t="s">
        <v>263</v>
      </c>
      <c r="I208" s="2783"/>
      <c r="J208" s="2779"/>
      <c r="K208" s="2779"/>
      <c r="L208" s="2784" t="str">
        <f>IFERROR(INDEX('Lower Cask Movement &amp; Logistics'!$I$13:$O$19,MATCH($J208,'Lower Cask Movement &amp; Logistics'!$H$13:$H$19,0),MATCH($K208,'Lower Cask Movement &amp; Logistics'!$H$13:$H$19,0)),"N/A")</f>
        <v>N/A</v>
      </c>
      <c r="M208" s="2784" t="str">
        <f>IFERROR(VLOOKUP($I208,'Lower Cask Movement &amp; Logistics'!$H$4:$I$8,2,FALSE),"N/A")</f>
        <v>N/A</v>
      </c>
      <c r="N208" s="2785" t="str">
        <f t="shared" si="12"/>
        <v>N/A</v>
      </c>
      <c r="O208" s="2786"/>
      <c r="P208" s="2787" t="str">
        <f>IF($D208="Logistics",VLOOKUP($O208,'Lower Cask Movement &amp; Logistics'!$C$4:$D$54,2,FALSE),"N/A")</f>
        <v>N/A</v>
      </c>
      <c r="Q208" s="2764"/>
    </row>
    <row r="209" spans="1:17" s="2765" customFormat="1" ht="14.6" outlineLevel="1" x14ac:dyDescent="0.4">
      <c r="A209" s="2872"/>
      <c r="B209" s="3863" t="s">
        <v>1869</v>
      </c>
      <c r="C209" s="2788" t="s">
        <v>1641</v>
      </c>
      <c r="D209" s="2788" t="s">
        <v>907</v>
      </c>
      <c r="E209" s="2803">
        <f t="shared" si="11"/>
        <v>0</v>
      </c>
      <c r="F209" s="2803">
        <f>IF($D209="Trigger",VLOOKUP("*"&amp;$C209&amp;"*",'Lower Cask Weld Failures'!$D$280:$G$312,4,FALSE),E209+F208)</f>
        <v>53.151868238913565</v>
      </c>
      <c r="G209" s="2808"/>
      <c r="H209" s="2820" t="s">
        <v>263</v>
      </c>
      <c r="I209" s="2802"/>
      <c r="J209" s="2798"/>
      <c r="K209" s="2798"/>
      <c r="L209" s="2821" t="str">
        <f>IFERROR(INDEX('Lower Cask Movement &amp; Logistics'!$I$13:$O$19,MATCH($J209,'Lower Cask Movement &amp; Logistics'!$H$13:$H$19,0),MATCH($K209,'Lower Cask Movement &amp; Logistics'!$H$13:$H$19,0)),"N/A")</f>
        <v>N/A</v>
      </c>
      <c r="M209" s="2821" t="str">
        <f>IFERROR(VLOOKUP($I209,'Lower Cask Movement &amp; Logistics'!$H$4:$I$8,2,FALSE),"N/A")</f>
        <v>N/A</v>
      </c>
      <c r="N209" s="2799" t="str">
        <f t="shared" si="12"/>
        <v>N/A</v>
      </c>
      <c r="O209" s="2809"/>
      <c r="P209" s="2805" t="str">
        <f>IF($D209="Logistics",VLOOKUP($O209,'Lower Cask Movement &amp; Logistics'!$C$4:$D$54,2,FALSE),"N/A")</f>
        <v>N/A</v>
      </c>
      <c r="Q209" s="2764"/>
    </row>
    <row r="210" spans="1:17" s="2765" customFormat="1" ht="14.6" outlineLevel="1" x14ac:dyDescent="0.4">
      <c r="A210" s="2872"/>
      <c r="B210" s="3864"/>
      <c r="C210" s="2797" t="s">
        <v>1772</v>
      </c>
      <c r="D210" s="2797" t="s">
        <v>778</v>
      </c>
      <c r="E210" s="2803">
        <f t="shared" si="11"/>
        <v>0.23148148148148148</v>
      </c>
      <c r="F210" s="2803">
        <f>IF($D210="Trigger",VLOOKUP("*"&amp;$C210&amp;"*",'Lower Cask Weld Failures'!$D$280:$G$312,4,FALSE),E210+F209)</f>
        <v>53.383349720395046</v>
      </c>
      <c r="G210" s="2808"/>
      <c r="H210" s="2820" t="s">
        <v>263</v>
      </c>
      <c r="I210" s="2802" t="s">
        <v>1536</v>
      </c>
      <c r="J210" s="2798" t="s">
        <v>1203</v>
      </c>
      <c r="K210" s="2798" t="s">
        <v>914</v>
      </c>
      <c r="L210" s="2821">
        <f>IFERROR(INDEX('Lower Cask Movement &amp; Logistics'!$I$13:$O$19,MATCH($J210,'Lower Cask Movement &amp; Logistics'!$H$13:$H$19,0),MATCH($K210,'Lower Cask Movement &amp; Logistics'!$H$13:$H$19,0)),"N/A")</f>
        <v>50</v>
      </c>
      <c r="M210" s="2821">
        <f>IFERROR(VLOOKUP($I210,'Lower Cask Movement &amp; Logistics'!$H$4:$I$8,2,FALSE),"N/A")</f>
        <v>0.06</v>
      </c>
      <c r="N210" s="2799">
        <f t="shared" si="12"/>
        <v>0.23148148148148148</v>
      </c>
      <c r="O210" s="2809"/>
      <c r="P210" s="2805" t="str">
        <f>IF($D210="Logistics",VLOOKUP($O210,'Lower Cask Movement &amp; Logistics'!$C$4:$D$54,2,FALSE),"N/A")</f>
        <v>N/A</v>
      </c>
      <c r="Q210" s="2764"/>
    </row>
    <row r="211" spans="1:17" s="2765" customFormat="1" ht="14.6" outlineLevel="1" x14ac:dyDescent="0.4">
      <c r="A211" s="2872"/>
      <c r="B211" s="3864"/>
      <c r="C211" s="2797" t="s">
        <v>1773</v>
      </c>
      <c r="D211" s="2797" t="s">
        <v>3</v>
      </c>
      <c r="E211" s="2803">
        <f t="shared" si="11"/>
        <v>0.58000000000000007</v>
      </c>
      <c r="F211" s="2803">
        <f>IF($D211="Trigger",VLOOKUP("*"&amp;$C211&amp;"*",'Lower Cask Weld Failures'!$D$280:$G$312,4,FALSE),E211+F210)</f>
        <v>53.963349720395044</v>
      </c>
      <c r="G211" s="2808"/>
      <c r="H211" s="2820" t="s">
        <v>263</v>
      </c>
      <c r="I211" s="2802"/>
      <c r="J211" s="2798"/>
      <c r="K211" s="2798"/>
      <c r="L211" s="2821" t="str">
        <f>IFERROR(INDEX('Lower Cask Movement &amp; Logistics'!$I$13:$O$19,MATCH($J211,'Lower Cask Movement &amp; Logistics'!$H$13:$H$19,0),MATCH($K211,'Lower Cask Movement &amp; Logistics'!$H$13:$H$19,0)),"N/A")</f>
        <v>N/A</v>
      </c>
      <c r="M211" s="2821" t="str">
        <f>IFERROR(VLOOKUP($I211,'Lower Cask Movement &amp; Logistics'!$H$4:$I$8,2,FALSE),"N/A")</f>
        <v>N/A</v>
      </c>
      <c r="N211" s="2799" t="str">
        <f t="shared" si="12"/>
        <v>N/A</v>
      </c>
      <c r="O211" s="2809" t="s">
        <v>1539</v>
      </c>
      <c r="P211" s="2805">
        <f>IF($D211="Logistics",VLOOKUP($O211,'Lower Cask Movement &amp; Logistics'!$C$4:$D$54,2,FALSE),"N/A")</f>
        <v>0.58000000000000007</v>
      </c>
      <c r="Q211" s="2764"/>
    </row>
    <row r="212" spans="1:17" s="2765" customFormat="1" ht="14.6" outlineLevel="1" x14ac:dyDescent="0.4">
      <c r="A212" s="2872"/>
      <c r="B212" s="3864"/>
      <c r="C212" s="2798" t="s">
        <v>1737</v>
      </c>
      <c r="D212" s="2798" t="s">
        <v>778</v>
      </c>
      <c r="E212" s="2803">
        <f t="shared" si="11"/>
        <v>2.7777777777777776E-2</v>
      </c>
      <c r="F212" s="2803">
        <f>IF($D212="Trigger",VLOOKUP("*"&amp;$C212&amp;"*",'Lower Cask Weld Failures'!$D$280:$G$312,4,FALSE),E212+F211)</f>
        <v>53.991127498172823</v>
      </c>
      <c r="G212" s="2808"/>
      <c r="H212" s="2820" t="s">
        <v>263</v>
      </c>
      <c r="I212" s="2802" t="s">
        <v>1738</v>
      </c>
      <c r="J212" s="2798" t="s">
        <v>914</v>
      </c>
      <c r="K212" s="2798" t="s">
        <v>799</v>
      </c>
      <c r="L212" s="2821">
        <f>IFERROR(INDEX('Lower Cask Movement &amp; Logistics'!$I$13:$O$19,MATCH($J212,'Lower Cask Movement &amp; Logistics'!$H$13:$H$19,0),MATCH($K212,'Lower Cask Movement &amp; Logistics'!$H$13:$H$19,0)),"N/A")</f>
        <v>20</v>
      </c>
      <c r="M212" s="2821">
        <f>IFERROR(VLOOKUP($I212,'Lower Cask Movement &amp; Logistics'!$H$4:$I$8,2,FALSE),"N/A")</f>
        <v>0.2</v>
      </c>
      <c r="N212" s="2799">
        <f t="shared" si="12"/>
        <v>2.7777777777777776E-2</v>
      </c>
      <c r="O212" s="2809"/>
      <c r="P212" s="2805" t="str">
        <f>IF($D212="Logistics",VLOOKUP($O212,'Lower Cask Movement &amp; Logistics'!$C$4:$D$54,2,FALSE),"N/A")</f>
        <v>N/A</v>
      </c>
      <c r="Q212" s="2764"/>
    </row>
    <row r="213" spans="1:17" s="2765" customFormat="1" ht="14.6" outlineLevel="1" x14ac:dyDescent="0.4">
      <c r="A213" s="2872"/>
      <c r="B213" s="3864"/>
      <c r="C213" s="2798" t="s">
        <v>1942</v>
      </c>
      <c r="D213" s="2798" t="s">
        <v>3</v>
      </c>
      <c r="E213" s="2803">
        <f t="shared" si="11"/>
        <v>0.78</v>
      </c>
      <c r="F213" s="2803">
        <f>IF($D213="Trigger",VLOOKUP("*"&amp;$C213&amp;"*",'Lower Cask Weld Failures'!$D$280:$G$312,4,FALSE),E213+F212)</f>
        <v>54.771127498172824</v>
      </c>
      <c r="G213" s="2808"/>
      <c r="H213" s="2820" t="s">
        <v>263</v>
      </c>
      <c r="I213" s="2802"/>
      <c r="J213" s="2798"/>
      <c r="K213" s="2798"/>
      <c r="L213" s="2821" t="str">
        <f>IFERROR(INDEX('Lower Cask Movement &amp; Logistics'!$I$13:$O$19,MATCH($J213,'Lower Cask Movement &amp; Logistics'!$H$13:$H$19,0),MATCH($K213,'Lower Cask Movement &amp; Logistics'!$H$13:$H$19,0)),"N/A")</f>
        <v>N/A</v>
      </c>
      <c r="M213" s="2821" t="str">
        <f>IFERROR(VLOOKUP($I213,'Lower Cask Movement &amp; Logistics'!$H$4:$I$8,2,FALSE),"N/A")</f>
        <v>N/A</v>
      </c>
      <c r="N213" s="2799" t="str">
        <f t="shared" si="12"/>
        <v>N/A</v>
      </c>
      <c r="O213" s="2809" t="s">
        <v>1740</v>
      </c>
      <c r="P213" s="2805">
        <f>IF($D213="Logistics",VLOOKUP($O213,'Lower Cask Movement &amp; Logistics'!$C$4:$D$54,2,FALSE),"N/A")</f>
        <v>0.78</v>
      </c>
      <c r="Q213" s="2764"/>
    </row>
    <row r="214" spans="1:17" s="2765" customFormat="1" ht="14.6" outlineLevel="1" x14ac:dyDescent="0.4">
      <c r="A214" s="2872"/>
      <c r="B214" s="3864"/>
      <c r="C214" s="2798" t="s">
        <v>1771</v>
      </c>
      <c r="D214" s="2798" t="s">
        <v>778</v>
      </c>
      <c r="E214" s="2803">
        <f t="shared" si="11"/>
        <v>0.69444444444444442</v>
      </c>
      <c r="F214" s="2803">
        <f>IF($D214="Trigger",VLOOKUP("*"&amp;$C214&amp;"*",'Lower Cask Weld Failures'!$D$280:$G$312,4,FALSE),E214+F213)</f>
        <v>55.465571942617267</v>
      </c>
      <c r="G214" s="2808"/>
      <c r="H214" s="2820" t="s">
        <v>263</v>
      </c>
      <c r="I214" s="2802" t="s">
        <v>1538</v>
      </c>
      <c r="J214" s="2798" t="s">
        <v>799</v>
      </c>
      <c r="K214" s="2798" t="s">
        <v>1203</v>
      </c>
      <c r="L214" s="2821">
        <f>IFERROR(INDEX('Lower Cask Movement &amp; Logistics'!$I$13:$O$19,MATCH($J214,'Lower Cask Movement &amp; Logistics'!$H$13:$H$19,0),MATCH($K214,'Lower Cask Movement &amp; Logistics'!$H$13:$H$19,0)),"N/A")</f>
        <v>50</v>
      </c>
      <c r="M214" s="2821">
        <f>IFERROR(VLOOKUP($I214,'Lower Cask Movement &amp; Logistics'!$H$4:$I$8,2,FALSE),"N/A")</f>
        <v>0.02</v>
      </c>
      <c r="N214" s="2799">
        <f t="shared" si="12"/>
        <v>0.69444444444444442</v>
      </c>
      <c r="O214" s="2809"/>
      <c r="P214" s="2805" t="str">
        <f>IF($D214="Logistics",VLOOKUP($O214,'Lower Cask Movement &amp; Logistics'!$C$4:$D$54,2,FALSE),"N/A")</f>
        <v>N/A</v>
      </c>
      <c r="Q214" s="2764"/>
    </row>
    <row r="215" spans="1:17" s="2765" customFormat="1" ht="26.6" outlineLevel="1" thickBot="1" x14ac:dyDescent="0.45">
      <c r="A215" s="2872"/>
      <c r="B215" s="3865"/>
      <c r="C215" s="2810" t="str">
        <f>B209</f>
        <v>Removed Inner Port Pipe Modules stored, New Inboard Pipe Modules Collected and moved to port</v>
      </c>
      <c r="D215" s="2810" t="s">
        <v>11</v>
      </c>
      <c r="E215" s="2811">
        <f t="shared" si="11"/>
        <v>0</v>
      </c>
      <c r="F215" s="2811">
        <f>IF($D215="Trigger",VLOOKUP("*"&amp;$C215&amp;"*",'Lower Cask Weld Failures'!$D$280:$G$312,4,FALSE),E215+F214)</f>
        <v>55.465571942617267</v>
      </c>
      <c r="G215" s="2812"/>
      <c r="H215" s="2813" t="s">
        <v>263</v>
      </c>
      <c r="I215" s="2814"/>
      <c r="J215" s="2810"/>
      <c r="K215" s="2810"/>
      <c r="L215" s="2815" t="str">
        <f>IFERROR(INDEX('Lower Cask Movement &amp; Logistics'!$I$13:$O$19,MATCH($J215,'Lower Cask Movement &amp; Logistics'!$H$13:$H$19,0),MATCH($K215,'Lower Cask Movement &amp; Logistics'!$H$13:$H$19,0)),"N/A")</f>
        <v>N/A</v>
      </c>
      <c r="M215" s="2815" t="str">
        <f>IFERROR(VLOOKUP($I215,'Lower Cask Movement &amp; Logistics'!$H$4:$I$8,2,FALSE),"N/A")</f>
        <v>N/A</v>
      </c>
      <c r="N215" s="2816" t="str">
        <f t="shared" si="12"/>
        <v>N/A</v>
      </c>
      <c r="O215" s="2817"/>
      <c r="P215" s="2822" t="str">
        <f>IF($D215="Logistics",VLOOKUP($O215,'Lower Cask Movement &amp; Logistics'!$C$4:$D$54,2,FALSE),"N/A")</f>
        <v>N/A</v>
      </c>
      <c r="Q215" s="2764"/>
    </row>
    <row r="216" spans="1:17" s="2835" customFormat="1" ht="12.75" customHeight="1" outlineLevel="1" x14ac:dyDescent="0.4">
      <c r="A216" s="2872"/>
      <c r="B216" s="3866" t="s">
        <v>1881</v>
      </c>
      <c r="C216" s="2878" t="s">
        <v>1862</v>
      </c>
      <c r="D216" s="2878" t="s">
        <v>907</v>
      </c>
      <c r="E216" s="2879">
        <f t="shared" si="11"/>
        <v>0</v>
      </c>
      <c r="F216" s="2763">
        <f>IF($D216="Trigger",VLOOKUP("*"&amp;$C216&amp;"*",'Lower Cask Weld Failures'!$D$53:$G$622,4,FALSE),E216+#REF!)</f>
        <v>0</v>
      </c>
      <c r="G216" s="2757"/>
      <c r="H216" s="2758" t="s">
        <v>263</v>
      </c>
      <c r="I216" s="2878"/>
      <c r="J216" s="2878"/>
      <c r="K216" s="2878"/>
      <c r="L216" s="2879" t="str">
        <f>IFERROR(INDEX('Lower Cask Movement &amp; Logistics'!$I$13:$O$19,MATCH($J216,'Lower Cask Movement &amp; Logistics'!$H$13:$H$19,0),MATCH($K216,'Lower Cask Movement &amp; Logistics'!$H$13:$H$19,0)),"N/A")</f>
        <v>N/A</v>
      </c>
      <c r="M216" s="2879" t="str">
        <f>IFERROR(VLOOKUP($I216,'Lower Cask Movement &amp; Logistics'!$H$4:$I$8,2,FALSE),"N/A")</f>
        <v>N/A</v>
      </c>
      <c r="N216" s="2879" t="str">
        <f t="shared" si="12"/>
        <v>N/A</v>
      </c>
      <c r="O216" s="2762"/>
      <c r="P216" s="2763" t="str">
        <f>IF($D216="Logistics",VLOOKUP($O216,'Lower Cask Movement &amp; Logistics'!$C$4:$D$54,2,FALSE),"N/A")</f>
        <v>N/A</v>
      </c>
    </row>
    <row r="217" spans="1:17" s="2835" customFormat="1" ht="12.75" customHeight="1" outlineLevel="1" x14ac:dyDescent="0.4">
      <c r="A217" s="2872"/>
      <c r="B217" s="3867"/>
      <c r="C217" s="2880" t="s">
        <v>1945</v>
      </c>
      <c r="D217" s="2880" t="s">
        <v>251</v>
      </c>
      <c r="E217" s="2881">
        <f t="shared" si="11"/>
        <v>49.86788661898909</v>
      </c>
      <c r="F217" s="2774">
        <f>IF($D217="Trigger",VLOOKUP("*"&amp;$C217&amp;"*",'Lower Cask Weld Failures'!$D$53:$G$622,4,FALSE),E217+F216)</f>
        <v>49.86788661898909</v>
      </c>
      <c r="G217" s="2777" t="s">
        <v>139</v>
      </c>
      <c r="H217" s="2774">
        <f>VLOOKUP(G217,'Upper Hot Cell Welding failures'!E$304:I$345,5,FALSE)</f>
        <v>49.86788661898909</v>
      </c>
      <c r="I217" s="2880"/>
      <c r="J217" s="2880"/>
      <c r="K217" s="2880"/>
      <c r="L217" s="2881" t="str">
        <f>IFERROR(INDEX('Lower Cask Movement &amp; Logistics'!$I$13:$O$19,MATCH($J217,'Lower Cask Movement &amp; Logistics'!$H$13:$H$19,0),MATCH($K217,'Lower Cask Movement &amp; Logistics'!$H$13:$H$19,0)),"N/A")</f>
        <v>N/A</v>
      </c>
      <c r="M217" s="2881" t="str">
        <f>IFERROR(VLOOKUP($I217,'Lower Cask Movement &amp; Logistics'!$H$4:$I$8,2,FALSE),"N/A")</f>
        <v>N/A</v>
      </c>
      <c r="N217" s="2881" t="str">
        <f t="shared" si="12"/>
        <v>N/A</v>
      </c>
      <c r="O217" s="2778"/>
      <c r="P217" s="2774" t="str">
        <f>IF($D217="Logistics",VLOOKUP($O217,'Lower Cask Movement &amp; Logistics'!$C$4:$D$54,2,FALSE),"N/A")</f>
        <v>N/A</v>
      </c>
    </row>
    <row r="218" spans="1:17" s="2835" customFormat="1" ht="13.5" customHeight="1" outlineLevel="1" thickBot="1" x14ac:dyDescent="0.45">
      <c r="A218" s="2872"/>
      <c r="B218" s="3868"/>
      <c r="C218" s="2882" t="str">
        <f>B216</f>
        <v>LIB Blanket segment installed</v>
      </c>
      <c r="D218" s="2882" t="s">
        <v>11</v>
      </c>
      <c r="E218" s="2883">
        <f t="shared" si="11"/>
        <v>0</v>
      </c>
      <c r="F218" s="2787">
        <f>IF($D218="Trigger",VLOOKUP("*"&amp;$C218&amp;"*",'Lower Cask Weld Failures'!$D$53:$G$622,4,FALSE),E218+F217)</f>
        <v>49.86788661898909</v>
      </c>
      <c r="G218" s="2781"/>
      <c r="H218" s="2782" t="s">
        <v>263</v>
      </c>
      <c r="I218" s="2882"/>
      <c r="J218" s="2882"/>
      <c r="K218" s="2882"/>
      <c r="L218" s="2883" t="str">
        <f>IFERROR(INDEX('Lower Cask Movement &amp; Logistics'!$I$13:$O$19,MATCH($J218,'Lower Cask Movement &amp; Logistics'!$H$13:$H$19,0),MATCH($K218,'Lower Cask Movement &amp; Logistics'!$H$13:$H$19,0)),"N/A")</f>
        <v>N/A</v>
      </c>
      <c r="M218" s="2883" t="str">
        <f>IFERROR(VLOOKUP($I218,'Lower Cask Movement &amp; Logistics'!$H$4:$I$8,2,FALSE),"N/A")</f>
        <v>N/A</v>
      </c>
      <c r="N218" s="2883" t="str">
        <f t="shared" si="12"/>
        <v>N/A</v>
      </c>
      <c r="O218" s="2786"/>
      <c r="P218" s="2787" t="str">
        <f>IF($D218="Logistics",VLOOKUP($O218,'Lower Cask Movement &amp; Logistics'!$C$4:$D$54,2,FALSE),"N/A")</f>
        <v>N/A</v>
      </c>
    </row>
    <row r="219" spans="1:17" s="2835" customFormat="1" ht="12.75" customHeight="1" outlineLevel="1" x14ac:dyDescent="0.4">
      <c r="A219" s="2872"/>
      <c r="B219" s="3863" t="s">
        <v>1951</v>
      </c>
      <c r="C219" s="2823" t="s">
        <v>1862</v>
      </c>
      <c r="D219" s="2823" t="s">
        <v>907</v>
      </c>
      <c r="E219" s="2824">
        <f t="shared" si="11"/>
        <v>0</v>
      </c>
      <c r="F219" s="2796">
        <f>IF($D219="Trigger",VLOOKUP("*"&amp;$C219&amp;"*",'Lower Cask Weld Failures'!$D$53:$G$622,4,FALSE),E219+F218)</f>
        <v>0</v>
      </c>
      <c r="G219" s="2790"/>
      <c r="H219" s="2791" t="s">
        <v>263</v>
      </c>
      <c r="I219" s="2823"/>
      <c r="J219" s="2823"/>
      <c r="K219" s="2823"/>
      <c r="L219" s="2824" t="str">
        <f>IFERROR(INDEX('Lower Cask Movement &amp; Logistics'!$I$13:$O$19,MATCH($J219,'Lower Cask Movement &amp; Logistics'!$H$13:$H$19,0),MATCH($K219,'Lower Cask Movement &amp; Logistics'!$H$13:$H$19,0)),"N/A")</f>
        <v>N/A</v>
      </c>
      <c r="M219" s="2824" t="str">
        <f>IFERROR(VLOOKUP($I219,'Lower Cask Movement &amp; Logistics'!$H$4:$I$8,2,FALSE),"N/A")</f>
        <v>N/A</v>
      </c>
      <c r="N219" s="2824" t="str">
        <f t="shared" si="12"/>
        <v>N/A</v>
      </c>
      <c r="O219" s="2795"/>
      <c r="P219" s="2796" t="str">
        <f>IF($D219="Logistics",VLOOKUP($O219,'Lower Cask Movement &amp; Logistics'!$C$4:$D$54,2,FALSE),"N/A")</f>
        <v>N/A</v>
      </c>
    </row>
    <row r="220" spans="1:17" s="2835" customFormat="1" ht="12.75" customHeight="1" outlineLevel="1" x14ac:dyDescent="0.4">
      <c r="A220" s="2872"/>
      <c r="B220" s="3864"/>
      <c r="C220" s="2825" t="s">
        <v>1945</v>
      </c>
      <c r="D220" s="2825" t="s">
        <v>251</v>
      </c>
      <c r="E220" s="2826">
        <f t="shared" si="11"/>
        <v>107.59561917086263</v>
      </c>
      <c r="F220" s="2805">
        <f>IF($D220="Trigger",VLOOKUP("*"&amp;$C220&amp;"*",'Lower Cask Weld Failures'!$D$53:$G$622,4,FALSE),E220+F219)</f>
        <v>107.59561917086263</v>
      </c>
      <c r="G220" s="2808" t="s">
        <v>1088</v>
      </c>
      <c r="H220" s="2805">
        <f>VLOOKUP(G220,'Upper Hot Cell Welding failures'!E$304:I$345,5,FALSE)</f>
        <v>107.59561917086263</v>
      </c>
      <c r="I220" s="2825"/>
      <c r="J220" s="2825"/>
      <c r="K220" s="2825"/>
      <c r="L220" s="2826" t="str">
        <f>IFERROR(INDEX('Lower Cask Movement &amp; Logistics'!$I$13:$O$19,MATCH($J220,'Lower Cask Movement &amp; Logistics'!$H$13:$H$19,0),MATCH($K220,'Lower Cask Movement &amp; Logistics'!$H$13:$H$19,0)),"N/A")</f>
        <v>N/A</v>
      </c>
      <c r="M220" s="2826" t="str">
        <f>IFERROR(VLOOKUP($I220,'Lower Cask Movement &amp; Logistics'!$H$4:$I$8,2,FALSE),"N/A")</f>
        <v>N/A</v>
      </c>
      <c r="N220" s="2826" t="str">
        <f t="shared" si="12"/>
        <v>N/A</v>
      </c>
      <c r="O220" s="2809"/>
      <c r="P220" s="2805" t="str">
        <f>IF($D220="Logistics",VLOOKUP($O220,'Lower Cask Movement &amp; Logistics'!$C$4:$D$54,2,FALSE),"N/A")</f>
        <v>N/A</v>
      </c>
    </row>
    <row r="221" spans="1:17" s="2835" customFormat="1" ht="13.5" customHeight="1" outlineLevel="1" thickBot="1" x14ac:dyDescent="0.45">
      <c r="A221" s="2884"/>
      <c r="B221" s="3865"/>
      <c r="C221" s="2827" t="str">
        <f>B219</f>
        <v>LIB Upper Port Pipe Module installed</v>
      </c>
      <c r="D221" s="2827" t="s">
        <v>11</v>
      </c>
      <c r="E221" s="2828">
        <f t="shared" si="11"/>
        <v>0</v>
      </c>
      <c r="F221" s="2822">
        <f>IF($D221="Trigger",VLOOKUP("*"&amp;$C221&amp;"*",'Lower Cask Weld Failures'!$D$53:$G$622,4,FALSE),E221+F220)</f>
        <v>107.59561917086263</v>
      </c>
      <c r="G221" s="2812"/>
      <c r="H221" s="2813" t="s">
        <v>263</v>
      </c>
      <c r="I221" s="2827"/>
      <c r="J221" s="2827"/>
      <c r="K221" s="2827"/>
      <c r="L221" s="2828" t="str">
        <f>IFERROR(INDEX('Lower Cask Movement &amp; Logistics'!$I$13:$O$19,MATCH($J221,'Lower Cask Movement &amp; Logistics'!$H$13:$H$19,0),MATCH($K221,'Lower Cask Movement &amp; Logistics'!$H$13:$H$19,0)),"N/A")</f>
        <v>N/A</v>
      </c>
      <c r="M221" s="2828" t="str">
        <f>IFERROR(VLOOKUP($I221,'Lower Cask Movement &amp; Logistics'!$H$4:$I$8,2,FALSE),"N/A")</f>
        <v>N/A</v>
      </c>
      <c r="N221" s="2828" t="str">
        <f t="shared" si="12"/>
        <v>N/A</v>
      </c>
      <c r="O221" s="2817"/>
      <c r="P221" s="2822" t="str">
        <f>IF($D221="Logistics",VLOOKUP($O221,'Lower Cask Movement &amp; Logistics'!$C$4:$D$54,2,FALSE),"N/A")</f>
        <v>N/A</v>
      </c>
    </row>
    <row r="222" spans="1:17" s="2835" customFormat="1" ht="12.75" customHeight="1" outlineLevel="1" x14ac:dyDescent="0.4">
      <c r="A222" s="2884"/>
      <c r="B222" s="3866" t="s">
        <v>1880</v>
      </c>
      <c r="C222" s="2878" t="s">
        <v>1862</v>
      </c>
      <c r="D222" s="2878" t="s">
        <v>907</v>
      </c>
      <c r="E222" s="2879">
        <f t="shared" si="11"/>
        <v>0</v>
      </c>
      <c r="F222" s="2763">
        <f>IF($D222="Trigger",VLOOKUP("*"&amp;$C222&amp;"*",'Lower Cask Weld Failures'!$D$53:$G$622,4,FALSE),E222+F221)</f>
        <v>0</v>
      </c>
      <c r="G222" s="2757"/>
      <c r="H222" s="2758" t="s">
        <v>263</v>
      </c>
      <c r="I222" s="2878"/>
      <c r="J222" s="2878"/>
      <c r="K222" s="2878"/>
      <c r="L222" s="2879" t="str">
        <f>IFERROR(INDEX('Lower Cask Movement &amp; Logistics'!$I$13:$O$19,MATCH($J222,'Lower Cask Movement &amp; Logistics'!$H$13:$H$19,0),MATCH($K222,'Lower Cask Movement &amp; Logistics'!$H$13:$H$19,0)),"N/A")</f>
        <v>N/A</v>
      </c>
      <c r="M222" s="2879" t="str">
        <f>IFERROR(VLOOKUP($I222,'Lower Cask Movement &amp; Logistics'!$H$4:$I$8,2,FALSE),"N/A")</f>
        <v>N/A</v>
      </c>
      <c r="N222" s="2879" t="str">
        <f t="shared" si="12"/>
        <v>N/A</v>
      </c>
      <c r="O222" s="2762"/>
      <c r="P222" s="2763" t="str">
        <f>IF($D222="Logistics",VLOOKUP($O222,'Lower Cask Movement &amp; Logistics'!$C$4:$D$54,2,FALSE),"N/A")</f>
        <v>N/A</v>
      </c>
    </row>
    <row r="223" spans="1:17" s="2835" customFormat="1" ht="12.75" customHeight="1" outlineLevel="1" x14ac:dyDescent="0.4">
      <c r="A223" s="2884"/>
      <c r="B223" s="3867"/>
      <c r="C223" s="2880" t="s">
        <v>1945</v>
      </c>
      <c r="D223" s="2880" t="s">
        <v>251</v>
      </c>
      <c r="E223" s="2881">
        <f t="shared" si="11"/>
        <v>45.468442174544649</v>
      </c>
      <c r="F223" s="2774">
        <f>IF($D223="Trigger",VLOOKUP("*"&amp;$C223&amp;"*",'Lower Cask Weld Failures'!$D$53:$G$622,4,FALSE),E223+F222)</f>
        <v>45.468442174544649</v>
      </c>
      <c r="G223" s="2777" t="s">
        <v>141</v>
      </c>
      <c r="H223" s="2774">
        <f>VLOOKUP(G223,'Upper Hot Cell Welding failures'!E$304:I$345,5,FALSE)</f>
        <v>45.468442174544649</v>
      </c>
      <c r="I223" s="2880"/>
      <c r="J223" s="2880"/>
      <c r="K223" s="2880"/>
      <c r="L223" s="2881" t="str">
        <f>IFERROR(INDEX('Lower Cask Movement &amp; Logistics'!$I$13:$O$19,MATCH($J223,'Lower Cask Movement &amp; Logistics'!$H$13:$H$19,0),MATCH($K223,'Lower Cask Movement &amp; Logistics'!$H$13:$H$19,0)),"N/A")</f>
        <v>N/A</v>
      </c>
      <c r="M223" s="2881" t="str">
        <f>IFERROR(VLOOKUP($I223,'Lower Cask Movement &amp; Logistics'!$H$4:$I$8,2,FALSE),"N/A")</f>
        <v>N/A</v>
      </c>
      <c r="N223" s="2881" t="str">
        <f t="shared" si="12"/>
        <v>N/A</v>
      </c>
      <c r="O223" s="2778"/>
      <c r="P223" s="2774" t="str">
        <f>IF($D223="Logistics",VLOOKUP($O223,'Lower Cask Movement &amp; Logistics'!$C$4:$D$54,2,FALSE),"N/A")</f>
        <v>N/A</v>
      </c>
    </row>
    <row r="224" spans="1:17" s="2835" customFormat="1" ht="13.5" customHeight="1" outlineLevel="1" thickBot="1" x14ac:dyDescent="0.45">
      <c r="A224" s="2884"/>
      <c r="B224" s="3868"/>
      <c r="C224" s="2882" t="str">
        <f>B222</f>
        <v>RIB Blanket segment installed</v>
      </c>
      <c r="D224" s="2882" t="s">
        <v>11</v>
      </c>
      <c r="E224" s="2883">
        <f t="shared" si="11"/>
        <v>0</v>
      </c>
      <c r="F224" s="2787">
        <f>IF($D224="Trigger",VLOOKUP("*"&amp;$C224&amp;"*",'Lower Cask Weld Failures'!$D$53:$G$622,4,FALSE),E224+F223)</f>
        <v>45.468442174544649</v>
      </c>
      <c r="G224" s="2781"/>
      <c r="H224" s="2782" t="s">
        <v>263</v>
      </c>
      <c r="I224" s="2882"/>
      <c r="J224" s="2882"/>
      <c r="K224" s="2882"/>
      <c r="L224" s="2883" t="str">
        <f>IFERROR(INDEX('Lower Cask Movement &amp; Logistics'!$I$13:$O$19,MATCH($J224,'Lower Cask Movement &amp; Logistics'!$H$13:$H$19,0),MATCH($K224,'Lower Cask Movement &amp; Logistics'!$H$13:$H$19,0)),"N/A")</f>
        <v>N/A</v>
      </c>
      <c r="M224" s="2883" t="str">
        <f>IFERROR(VLOOKUP($I224,'Lower Cask Movement &amp; Logistics'!$H$4:$I$8,2,FALSE),"N/A")</f>
        <v>N/A</v>
      </c>
      <c r="N224" s="2883" t="str">
        <f t="shared" si="12"/>
        <v>N/A</v>
      </c>
      <c r="O224" s="2786"/>
      <c r="P224" s="2787" t="str">
        <f>IF($D224="Logistics",VLOOKUP($O224,'Lower Cask Movement &amp; Logistics'!$C$4:$D$54,2,FALSE),"N/A")</f>
        <v>N/A</v>
      </c>
    </row>
    <row r="225" spans="1:16" s="2835" customFormat="1" ht="12.75" customHeight="1" outlineLevel="1" x14ac:dyDescent="0.4">
      <c r="A225" s="2884"/>
      <c r="B225" s="3863" t="s">
        <v>1894</v>
      </c>
      <c r="C225" s="2823" t="s">
        <v>1862</v>
      </c>
      <c r="D225" s="2823" t="s">
        <v>907</v>
      </c>
      <c r="E225" s="2824">
        <f t="shared" si="11"/>
        <v>0</v>
      </c>
      <c r="F225" s="2796">
        <f>IF($D225="Trigger",VLOOKUP("*"&amp;$C225&amp;"*",'Lower Cask Weld Failures'!$D$53:$G$622,4,FALSE),E225+F224)</f>
        <v>0</v>
      </c>
      <c r="G225" s="2790"/>
      <c r="H225" s="2791" t="s">
        <v>263</v>
      </c>
      <c r="I225" s="2823"/>
      <c r="J225" s="2823"/>
      <c r="K225" s="2823"/>
      <c r="L225" s="2824" t="str">
        <f>IFERROR(INDEX('Lower Cask Movement &amp; Logistics'!$I$13:$O$19,MATCH($J225,'Lower Cask Movement &amp; Logistics'!$H$13:$H$19,0),MATCH($K225,'Lower Cask Movement &amp; Logistics'!$H$13:$H$19,0)),"N/A")</f>
        <v>N/A</v>
      </c>
      <c r="M225" s="2824" t="str">
        <f>IFERROR(VLOOKUP($I225,'Lower Cask Movement &amp; Logistics'!$H$4:$I$8,2,FALSE),"N/A")</f>
        <v>N/A</v>
      </c>
      <c r="N225" s="2824" t="str">
        <f t="shared" si="12"/>
        <v>N/A</v>
      </c>
      <c r="O225" s="2795"/>
      <c r="P225" s="2796" t="str">
        <f>IF($D225="Logistics",VLOOKUP($O225,'Lower Cask Movement &amp; Logistics'!$C$4:$D$54,2,FALSE),"N/A")</f>
        <v>N/A</v>
      </c>
    </row>
    <row r="226" spans="1:16" s="2835" customFormat="1" ht="12.75" customHeight="1" outlineLevel="1" x14ac:dyDescent="0.4">
      <c r="A226" s="2884"/>
      <c r="B226" s="3864"/>
      <c r="C226" s="2825" t="s">
        <v>1945</v>
      </c>
      <c r="D226" s="2825" t="s">
        <v>251</v>
      </c>
      <c r="E226" s="2826">
        <f t="shared" si="11"/>
        <v>70.675664396766862</v>
      </c>
      <c r="F226" s="2805">
        <f>IF($D226="Trigger",VLOOKUP("*"&amp;$C226&amp;"*",'Lower Cask Weld Failures'!$D$53:$G$622,4,FALSE),E226+F225)</f>
        <v>70.675664396766862</v>
      </c>
      <c r="G226" s="2808" t="s">
        <v>1085</v>
      </c>
      <c r="H226" s="2805">
        <f>VLOOKUP(G226,'Upper Hot Cell Welding failures'!E$304:I$345,5,FALSE)</f>
        <v>70.675664396766862</v>
      </c>
      <c r="I226" s="2825"/>
      <c r="J226" s="2825"/>
      <c r="K226" s="2825"/>
      <c r="L226" s="2826" t="str">
        <f>IFERROR(INDEX('Lower Cask Movement &amp; Logistics'!$I$13:$O$19,MATCH($J226,'Lower Cask Movement &amp; Logistics'!$H$13:$H$19,0),MATCH($K226,'Lower Cask Movement &amp; Logistics'!$H$13:$H$19,0)),"N/A")</f>
        <v>N/A</v>
      </c>
      <c r="M226" s="2826" t="str">
        <f>IFERROR(VLOOKUP($I226,'Lower Cask Movement &amp; Logistics'!$H$4:$I$8,2,FALSE),"N/A")</f>
        <v>N/A</v>
      </c>
      <c r="N226" s="2826" t="str">
        <f t="shared" si="12"/>
        <v>N/A</v>
      </c>
      <c r="O226" s="2809"/>
      <c r="P226" s="2805" t="str">
        <f>IF($D226="Logistics",VLOOKUP($O226,'Lower Cask Movement &amp; Logistics'!$C$4:$D$54,2,FALSE),"N/A")</f>
        <v>N/A</v>
      </c>
    </row>
    <row r="227" spans="1:16" s="2835" customFormat="1" ht="13.5" customHeight="1" outlineLevel="1" thickBot="1" x14ac:dyDescent="0.45">
      <c r="A227" s="2884"/>
      <c r="B227" s="3865"/>
      <c r="C227" s="2827" t="str">
        <f>B225</f>
        <v>RIB Upper Port Pipe Module installed</v>
      </c>
      <c r="D227" s="2827" t="s">
        <v>11</v>
      </c>
      <c r="E227" s="2828">
        <f t="shared" si="11"/>
        <v>0</v>
      </c>
      <c r="F227" s="2822">
        <f>IF($D227="Trigger",VLOOKUP("*"&amp;$C227&amp;"*",'Lower Cask Weld Failures'!$D$53:$G$622,4,FALSE),E227+F226)</f>
        <v>70.675664396766862</v>
      </c>
      <c r="G227" s="2812"/>
      <c r="H227" s="2813" t="s">
        <v>263</v>
      </c>
      <c r="I227" s="2827"/>
      <c r="J227" s="2827"/>
      <c r="K227" s="2827"/>
      <c r="L227" s="2828" t="str">
        <f>IFERROR(INDEX('Lower Cask Movement &amp; Logistics'!$I$13:$O$19,MATCH($J227,'Lower Cask Movement &amp; Logistics'!$H$13:$H$19,0),MATCH($K227,'Lower Cask Movement &amp; Logistics'!$H$13:$H$19,0)),"N/A")</f>
        <v>N/A</v>
      </c>
      <c r="M227" s="2828" t="str">
        <f>IFERROR(VLOOKUP($I227,'Lower Cask Movement &amp; Logistics'!$H$4:$I$8,2,FALSE),"N/A")</f>
        <v>N/A</v>
      </c>
      <c r="N227" s="2828" t="str">
        <f t="shared" si="12"/>
        <v>N/A</v>
      </c>
      <c r="O227" s="2817"/>
      <c r="P227" s="2822" t="str">
        <f>IF($D227="Logistics",VLOOKUP($O227,'Lower Cask Movement &amp; Logistics'!$C$4:$D$54,2,FALSE),"N/A")</f>
        <v>N/A</v>
      </c>
    </row>
    <row r="228" spans="1:16" s="2835" customFormat="1" ht="13.3" thickBot="1" x14ac:dyDescent="0.45">
      <c r="A228" s="2885"/>
      <c r="B228" s="2886"/>
      <c r="C228" s="2887"/>
      <c r="D228" s="2887"/>
      <c r="E228" s="2887"/>
      <c r="F228" s="2887"/>
      <c r="G228" s="2887"/>
      <c r="H228" s="2888"/>
      <c r="I228" s="2887"/>
      <c r="J228" s="2887"/>
      <c r="K228" s="2887"/>
      <c r="L228" s="2889"/>
      <c r="M228" s="2889"/>
      <c r="N228" s="2889"/>
      <c r="O228" s="2887"/>
      <c r="P228" s="2890"/>
    </row>
    <row r="229" spans="1:16" s="2835" customFormat="1" x14ac:dyDescent="0.4">
      <c r="A229" s="2891"/>
      <c r="B229" s="2892" t="s">
        <v>1955</v>
      </c>
      <c r="C229" s="2892"/>
      <c r="D229" s="2892"/>
      <c r="E229" s="2892"/>
      <c r="F229" s="2892"/>
      <c r="G229" s="2892"/>
      <c r="H229" s="2892"/>
      <c r="I229" s="2892"/>
      <c r="J229" s="2892"/>
      <c r="K229" s="2892"/>
      <c r="L229" s="2892"/>
      <c r="M229" s="2892"/>
      <c r="N229" s="2892"/>
      <c r="O229" s="2892"/>
      <c r="P229" s="2893"/>
    </row>
    <row r="230" spans="1:16" s="2835" customFormat="1" ht="13.3" outlineLevel="1" thickBot="1" x14ac:dyDescent="0.45">
      <c r="A230" s="2894"/>
      <c r="B230" s="2895"/>
      <c r="C230" s="2896"/>
      <c r="D230" s="2896"/>
      <c r="E230" s="2896"/>
      <c r="F230" s="2896"/>
      <c r="G230" s="2896"/>
      <c r="H230" s="2897"/>
      <c r="I230" s="2896"/>
      <c r="J230" s="2896"/>
      <c r="K230" s="2896"/>
      <c r="L230" s="2898"/>
      <c r="M230" s="2898"/>
      <c r="N230" s="2898"/>
      <c r="O230" s="2896"/>
      <c r="P230" s="2899"/>
    </row>
    <row r="231" spans="1:16" s="2835" customFormat="1" ht="12.75" customHeight="1" outlineLevel="1" x14ac:dyDescent="0.4">
      <c r="A231" s="2900"/>
      <c r="B231" s="3872" t="s">
        <v>1902</v>
      </c>
      <c r="C231" s="2823" t="s">
        <v>1936</v>
      </c>
      <c r="D231" s="2823" t="s">
        <v>907</v>
      </c>
      <c r="E231" s="2824">
        <f t="shared" ref="E231:E247" si="13">MAX($P231,$N231,$H231)</f>
        <v>0</v>
      </c>
      <c r="F231" s="2796">
        <f>IF($D231="Trigger",VLOOKUP("*"&amp;$C231&amp;"*",'Lower Cask Weld Failures'!$D$53:$G$622,4,FALSE),E231+F230)</f>
        <v>0</v>
      </c>
      <c r="G231" s="2790"/>
      <c r="H231" s="2791" t="s">
        <v>263</v>
      </c>
      <c r="I231" s="2823"/>
      <c r="J231" s="2823"/>
      <c r="K231" s="2823"/>
      <c r="L231" s="2824" t="str">
        <f>IFERROR(INDEX('Lower Cask Movement &amp; Logistics'!$I$13:$O$19,MATCH($J231,'Lower Cask Movement &amp; Logistics'!$H$13:$H$19,0),MATCH($K231,'Lower Cask Movement &amp; Logistics'!$H$13:$H$19,0)),"N/A")</f>
        <v>N/A</v>
      </c>
      <c r="M231" s="2824" t="str">
        <f>IFERROR(VLOOKUP($I231,'Lower Cask Movement &amp; Logistics'!$H$4:$I$8,2,FALSE),"N/A")</f>
        <v>N/A</v>
      </c>
      <c r="N231" s="2824" t="str">
        <f>IF(D231="Movement",IFERROR((L231/M231)/(60*60),"Error"),"N/A")</f>
        <v>N/A</v>
      </c>
      <c r="O231" s="2795"/>
      <c r="P231" s="2796" t="str">
        <f>IF($D231="Logistics",VLOOKUP($O231,'Lower Cask Movement &amp; Logistics'!$C$4:$D$54,2,FALSE),"N/A")</f>
        <v>N/A</v>
      </c>
    </row>
    <row r="232" spans="1:16" s="2835" customFormat="1" ht="12.75" customHeight="1" outlineLevel="1" x14ac:dyDescent="0.4">
      <c r="A232" s="2900"/>
      <c r="B232" s="3873"/>
      <c r="C232" s="2825" t="s">
        <v>1956</v>
      </c>
      <c r="D232" s="2825" t="s">
        <v>778</v>
      </c>
      <c r="E232" s="2826">
        <f t="shared" si="13"/>
        <v>0.69444444444444442</v>
      </c>
      <c r="F232" s="2805">
        <f>IF($D232="Trigger",VLOOKUP("*"&amp;$C232&amp;"*",'Lower Cask Weld Failures'!$D$53:$G$622,4,FALSE),E232+F231)</f>
        <v>0.69444444444444442</v>
      </c>
      <c r="G232" s="2808"/>
      <c r="H232" s="2820" t="s">
        <v>263</v>
      </c>
      <c r="I232" s="2825" t="s">
        <v>1789</v>
      </c>
      <c r="J232" s="2825" t="s">
        <v>1203</v>
      </c>
      <c r="K232" s="2825" t="s">
        <v>1957</v>
      </c>
      <c r="L232" s="2826">
        <f>IFERROR(INDEX('Lower Cask Movement &amp; Logistics'!$I$13:$O$19,MATCH($J232,'Lower Cask Movement &amp; Logistics'!$H$13:$H$19,0),MATCH($K232,'Lower Cask Movement &amp; Logistics'!$H$13:$H$19,0)),"N/A")</f>
        <v>50</v>
      </c>
      <c r="M232" s="2826">
        <f>IFERROR(VLOOKUP($I232,'Lower Cask Movement &amp; Logistics'!$H$4:$I$8,2,FALSE),"N/A")</f>
        <v>0.02</v>
      </c>
      <c r="N232" s="2826">
        <f t="shared" ref="N232:N247" si="14">IF(D232="Movement",IFERROR((L232/M232)/(60*60),"Error"),"N/A")</f>
        <v>0.69444444444444442</v>
      </c>
      <c r="O232" s="2809"/>
      <c r="P232" s="2805" t="str">
        <f>IF($D232="Logistics",VLOOKUP($O232,'Lower Cask Movement &amp; Logistics'!$C$4:$D$54,2,FALSE),"N/A")</f>
        <v>N/A</v>
      </c>
    </row>
    <row r="233" spans="1:16" s="2835" customFormat="1" ht="12.75" customHeight="1" outlineLevel="1" x14ac:dyDescent="0.4">
      <c r="A233" s="2900"/>
      <c r="B233" s="3873"/>
      <c r="C233" s="2825" t="s">
        <v>1958</v>
      </c>
      <c r="D233" s="2825" t="s">
        <v>3</v>
      </c>
      <c r="E233" s="2826">
        <f t="shared" si="13"/>
        <v>1.9</v>
      </c>
      <c r="F233" s="2805">
        <f>IF($D233="Trigger",VLOOKUP("*"&amp;$C233&amp;"*",'Lower Cask Weld Failures'!$D$53:$G$622,4,FALSE),E233+F232)</f>
        <v>2.5944444444444441</v>
      </c>
      <c r="G233" s="2808"/>
      <c r="H233" s="2820" t="s">
        <v>263</v>
      </c>
      <c r="I233" s="2825"/>
      <c r="J233" s="2825"/>
      <c r="K233" s="2825"/>
      <c r="L233" s="2826" t="str">
        <f>IFERROR(INDEX('Lower Cask Movement &amp; Logistics'!$I$13:$O$19,MATCH($J233,'Lower Cask Movement &amp; Logistics'!$H$13:$H$19,0),MATCH($K233,'Lower Cask Movement &amp; Logistics'!$H$13:$H$19,0)),"N/A")</f>
        <v>N/A</v>
      </c>
      <c r="M233" s="2826" t="str">
        <f>IFERROR(VLOOKUP($I233,'Lower Cask Movement &amp; Logistics'!$H$4:$I$8,2,FALSE),"N/A")</f>
        <v>N/A</v>
      </c>
      <c r="N233" s="2826" t="str">
        <f t="shared" si="14"/>
        <v>N/A</v>
      </c>
      <c r="O233" s="2809" t="s">
        <v>1541</v>
      </c>
      <c r="P233" s="2805">
        <f>IF($D233="Logistics",VLOOKUP($O233,'Lower Cask Movement &amp; Logistics'!$C$4:$D$54,2,FALSE),"N/A")</f>
        <v>1.9</v>
      </c>
    </row>
    <row r="234" spans="1:16" s="2835" customFormat="1" ht="12.75" customHeight="1" outlineLevel="1" x14ac:dyDescent="0.4">
      <c r="A234" s="2900"/>
      <c r="B234" s="3873"/>
      <c r="C234" s="2825" t="s">
        <v>1959</v>
      </c>
      <c r="D234" s="2825" t="s">
        <v>3</v>
      </c>
      <c r="E234" s="2826">
        <f t="shared" si="13"/>
        <v>0.88000000000000012</v>
      </c>
      <c r="F234" s="2805">
        <f>IF($D234="Trigger",VLOOKUP("*"&amp;$C234&amp;"*",'Lower Cask Weld Failures'!$D$53:$G$622,4,FALSE),E234+F233)</f>
        <v>3.474444444444444</v>
      </c>
      <c r="G234" s="2808"/>
      <c r="H234" s="2820" t="s">
        <v>263</v>
      </c>
      <c r="I234" s="2825"/>
      <c r="J234" s="2825"/>
      <c r="K234" s="2825"/>
      <c r="L234" s="2826" t="str">
        <f>IFERROR(INDEX('Lower Cask Movement &amp; Logistics'!$I$13:$O$19,MATCH($J234,'Lower Cask Movement &amp; Logistics'!$H$13:$H$19,0),MATCH($K234,'Lower Cask Movement &amp; Logistics'!$H$13:$H$19,0)),"N/A")</f>
        <v>N/A</v>
      </c>
      <c r="M234" s="2826" t="str">
        <f>IFERROR(VLOOKUP($I234,'Lower Cask Movement &amp; Logistics'!$H$4:$I$8,2,FALSE),"N/A")</f>
        <v>N/A</v>
      </c>
      <c r="N234" s="2826" t="str">
        <f t="shared" si="14"/>
        <v>N/A</v>
      </c>
      <c r="O234" s="2809" t="s">
        <v>1960</v>
      </c>
      <c r="P234" s="2805">
        <f>IF($D234="Logistics",VLOOKUP($O234,'Lower Cask Movement &amp; Logistics'!$C$4:$D$54,2,FALSE),"N/A")</f>
        <v>0.88000000000000012</v>
      </c>
    </row>
    <row r="235" spans="1:16" s="2835" customFormat="1" ht="12.75" customHeight="1" outlineLevel="1" x14ac:dyDescent="0.4">
      <c r="A235" s="2900"/>
      <c r="B235" s="3873"/>
      <c r="C235" s="2825" t="s">
        <v>1562</v>
      </c>
      <c r="D235" s="2825" t="s">
        <v>3</v>
      </c>
      <c r="E235" s="2826">
        <f t="shared" si="13"/>
        <v>2.3000000000000003</v>
      </c>
      <c r="F235" s="2805">
        <f>IF($D235="Trigger",VLOOKUP("*"&amp;$C235&amp;"*",'Lower Cask Weld Failures'!$D$53:$G$622,4,FALSE),E235+F234)</f>
        <v>5.7744444444444447</v>
      </c>
      <c r="G235" s="2808"/>
      <c r="H235" s="2820" t="s">
        <v>263</v>
      </c>
      <c r="I235" s="2825"/>
      <c r="J235" s="2825"/>
      <c r="K235" s="2825"/>
      <c r="L235" s="2826" t="str">
        <f>IFERROR(INDEX('Lower Cask Movement &amp; Logistics'!$I$13:$O$19,MATCH($J235,'Lower Cask Movement &amp; Logistics'!$H$13:$H$19,0),MATCH($K235,'Lower Cask Movement &amp; Logistics'!$H$13:$H$19,0)),"N/A")</f>
        <v>N/A</v>
      </c>
      <c r="M235" s="2826" t="str">
        <f>IFERROR(VLOOKUP($I235,'Lower Cask Movement &amp; Logistics'!$H$4:$I$8,2,FALSE),"N/A")</f>
        <v>N/A</v>
      </c>
      <c r="N235" s="2826" t="str">
        <f t="shared" si="14"/>
        <v>N/A</v>
      </c>
      <c r="O235" s="2809" t="s">
        <v>1562</v>
      </c>
      <c r="P235" s="2805">
        <f>IF($D235="Logistics",VLOOKUP($O235,'Lower Cask Movement &amp; Logistics'!$C$4:$D$54,2,FALSE),"N/A")</f>
        <v>2.3000000000000003</v>
      </c>
    </row>
    <row r="236" spans="1:16" s="2835" customFormat="1" ht="25.5" customHeight="1" outlineLevel="1" x14ac:dyDescent="0.4">
      <c r="A236" s="2900"/>
      <c r="B236" s="3873"/>
      <c r="C236" s="2825" t="s">
        <v>1961</v>
      </c>
      <c r="D236" s="2825" t="s">
        <v>778</v>
      </c>
      <c r="E236" s="2826">
        <f t="shared" si="13"/>
        <v>4.6296296296296301E-2</v>
      </c>
      <c r="F236" s="2805">
        <f>IF($D236="Trigger",VLOOKUP("*"&amp;$C236&amp;"*",'Lower Cask Weld Failures'!$D$53:$G$622,4,FALSE),E236+F235)</f>
        <v>5.8207407407407414</v>
      </c>
      <c r="G236" s="2808"/>
      <c r="H236" s="2820" t="s">
        <v>263</v>
      </c>
      <c r="I236" s="2825" t="s">
        <v>1962</v>
      </c>
      <c r="J236" s="2825" t="s">
        <v>831</v>
      </c>
      <c r="K236" s="2825" t="s">
        <v>1957</v>
      </c>
      <c r="L236" s="2826">
        <f>IFERROR(INDEX('Lower Cask Movement &amp; Logistics'!$I$13:$O$19,MATCH($J236,'Lower Cask Movement &amp; Logistics'!$H$13:$H$19,0),MATCH($K236,'Lower Cask Movement &amp; Logistics'!$H$13:$H$19,0)),"N/A")</f>
        <v>10</v>
      </c>
      <c r="M236" s="2826">
        <f>IFERROR(VLOOKUP($I236,'Lower Cask Movement &amp; Logistics'!$H$4:$I$8,2,FALSE),"N/A")</f>
        <v>0.06</v>
      </c>
      <c r="N236" s="2826">
        <f t="shared" si="14"/>
        <v>4.6296296296296301E-2</v>
      </c>
      <c r="O236" s="2809"/>
      <c r="P236" s="2805" t="str">
        <f>IF($D236="Logistics",VLOOKUP($O236,'Lower Cask Movement &amp; Logistics'!$C$4:$D$54,2,FALSE),"N/A")</f>
        <v>N/A</v>
      </c>
    </row>
    <row r="237" spans="1:16" s="2835" customFormat="1" ht="12.75" customHeight="1" outlineLevel="1" x14ac:dyDescent="0.4">
      <c r="A237" s="2900"/>
      <c r="B237" s="3873"/>
      <c r="C237" s="2825" t="s">
        <v>1958</v>
      </c>
      <c r="D237" s="2825" t="s">
        <v>3</v>
      </c>
      <c r="E237" s="2826">
        <f t="shared" si="13"/>
        <v>1.9</v>
      </c>
      <c r="F237" s="2805">
        <f>IF($D237="Trigger",VLOOKUP("*"&amp;$C237&amp;"*",'Lower Cask Weld Failures'!$D$53:$G$622,4,FALSE),E237+F236)</f>
        <v>7.7207407407407409</v>
      </c>
      <c r="G237" s="2808"/>
      <c r="H237" s="2820" t="s">
        <v>263</v>
      </c>
      <c r="I237" s="2825"/>
      <c r="J237" s="2825"/>
      <c r="K237" s="2825"/>
      <c r="L237" s="2826" t="str">
        <f>IFERROR(INDEX('Lower Cask Movement &amp; Logistics'!$I$13:$O$19,MATCH($J237,'Lower Cask Movement &amp; Logistics'!$H$13:$H$19,0),MATCH($K237,'Lower Cask Movement &amp; Logistics'!$H$13:$H$19,0)),"N/A")</f>
        <v>N/A</v>
      </c>
      <c r="M237" s="2826" t="str">
        <f>IFERROR(VLOOKUP($I237,'Lower Cask Movement &amp; Logistics'!$H$4:$I$8,2,FALSE),"N/A")</f>
        <v>N/A</v>
      </c>
      <c r="N237" s="2826" t="str">
        <f t="shared" si="14"/>
        <v>N/A</v>
      </c>
      <c r="O237" s="2809" t="s">
        <v>1541</v>
      </c>
      <c r="P237" s="2805">
        <f>IF($D237="Logistics",VLOOKUP($O237,'Lower Cask Movement &amp; Logistics'!$C$4:$D$54,2,FALSE),"N/A")</f>
        <v>1.9</v>
      </c>
    </row>
    <row r="238" spans="1:16" s="2835" customFormat="1" ht="12.75" customHeight="1" outlineLevel="1" x14ac:dyDescent="0.4">
      <c r="A238" s="2900"/>
      <c r="B238" s="3873"/>
      <c r="C238" s="2825" t="s">
        <v>1963</v>
      </c>
      <c r="D238" s="2825" t="s">
        <v>3</v>
      </c>
      <c r="E238" s="2826">
        <f t="shared" si="13"/>
        <v>0.88000000000000012</v>
      </c>
      <c r="F238" s="2805">
        <f>IF($D238="Trigger",VLOOKUP("*"&amp;$C238&amp;"*",'Lower Cask Weld Failures'!$D$53:$G$622,4,FALSE),E238+F237)</f>
        <v>8.6007407407407417</v>
      </c>
      <c r="G238" s="2808"/>
      <c r="H238" s="2820" t="s">
        <v>263</v>
      </c>
      <c r="I238" s="2825"/>
      <c r="J238" s="2825"/>
      <c r="K238" s="2825"/>
      <c r="L238" s="2826" t="str">
        <f>IFERROR(INDEX('Lower Cask Movement &amp; Logistics'!$I$13:$O$19,MATCH($J238,'Lower Cask Movement &amp; Logistics'!$H$13:$H$19,0),MATCH($K238,'Lower Cask Movement &amp; Logistics'!$H$13:$H$19,0)),"N/A")</f>
        <v>N/A</v>
      </c>
      <c r="M238" s="2826" t="str">
        <f>IFERROR(VLOOKUP($I238,'Lower Cask Movement &amp; Logistics'!$H$4:$I$8,2,FALSE),"N/A")</f>
        <v>N/A</v>
      </c>
      <c r="N238" s="2826" t="str">
        <f t="shared" si="14"/>
        <v>N/A</v>
      </c>
      <c r="O238" s="2809" t="s">
        <v>1730</v>
      </c>
      <c r="P238" s="2805">
        <f>IF($D238="Logistics",VLOOKUP($O238,'Lower Cask Movement &amp; Logistics'!$C$4:$D$54,2,FALSE),"N/A")</f>
        <v>0.88000000000000012</v>
      </c>
    </row>
    <row r="239" spans="1:16" s="2835" customFormat="1" ht="12.75" customHeight="1" outlineLevel="1" x14ac:dyDescent="0.4">
      <c r="A239" s="2900"/>
      <c r="B239" s="3873"/>
      <c r="C239" s="2901" t="s">
        <v>1562</v>
      </c>
      <c r="D239" s="2825" t="s">
        <v>3</v>
      </c>
      <c r="E239" s="2826">
        <f t="shared" si="13"/>
        <v>2.3000000000000003</v>
      </c>
      <c r="F239" s="2805">
        <f>IF($D239="Trigger",VLOOKUP("*"&amp;$C239&amp;"*",'Lower Cask Weld Failures'!$D$53:$G$622,4,FALSE),E239+F238)</f>
        <v>10.900740740740742</v>
      </c>
      <c r="G239" s="2808"/>
      <c r="H239" s="2820" t="s">
        <v>263</v>
      </c>
      <c r="I239" s="2825"/>
      <c r="J239" s="2825"/>
      <c r="K239" s="2825"/>
      <c r="L239" s="2826" t="str">
        <f>IFERROR(INDEX('Lower Cask Movement &amp; Logistics'!$I$13:$O$19,MATCH($J239,'Lower Cask Movement &amp; Logistics'!$H$13:$H$19,0),MATCH($K239,'Lower Cask Movement &amp; Logistics'!$H$13:$H$19,0)),"N/A")</f>
        <v>N/A</v>
      </c>
      <c r="M239" s="2826" t="str">
        <f>IFERROR(VLOOKUP($I239,'Lower Cask Movement &amp; Logistics'!$H$4:$I$8,2,FALSE),"N/A")</f>
        <v>N/A</v>
      </c>
      <c r="N239" s="2826" t="str">
        <f t="shared" si="14"/>
        <v>N/A</v>
      </c>
      <c r="O239" s="2809" t="s">
        <v>1562</v>
      </c>
      <c r="P239" s="2805">
        <f>IF($D239="Logistics",VLOOKUP($O239,'Lower Cask Movement &amp; Logistics'!$C$4:$D$54,2,FALSE),"N/A")</f>
        <v>2.3000000000000003</v>
      </c>
    </row>
    <row r="240" spans="1:16" s="2835" customFormat="1" ht="12.75" customHeight="1" outlineLevel="1" x14ac:dyDescent="0.4">
      <c r="A240" s="2900"/>
      <c r="B240" s="3873"/>
      <c r="C240" s="2901" t="s">
        <v>1964</v>
      </c>
      <c r="D240" s="2901" t="s">
        <v>778</v>
      </c>
      <c r="E240" s="2826">
        <f t="shared" si="13"/>
        <v>0.69444444444444442</v>
      </c>
      <c r="F240" s="2805">
        <f>IF($D240="Trigger",VLOOKUP("*"&amp;$C240&amp;"*",'Lower Cask Weld Failures'!$D$53:$G$622,4,FALSE),E240+F239)</f>
        <v>11.595185185185187</v>
      </c>
      <c r="G240" s="2808"/>
      <c r="H240" s="2820" t="s">
        <v>263</v>
      </c>
      <c r="I240" s="2825" t="s">
        <v>1789</v>
      </c>
      <c r="J240" s="2825" t="s">
        <v>1965</v>
      </c>
      <c r="K240" s="2825" t="s">
        <v>1966</v>
      </c>
      <c r="L240" s="2826">
        <f>IFERROR(INDEX('Lower Cask Movement &amp; Logistics'!$I$13:$O$19,MATCH($J240,'Lower Cask Movement &amp; Logistics'!$H$13:$H$19,0),MATCH($K240,'Lower Cask Movement &amp; Logistics'!$H$13:$H$19,0)),"N/A")</f>
        <v>50</v>
      </c>
      <c r="M240" s="2826">
        <f>IFERROR(VLOOKUP($I240,'Lower Cask Movement &amp; Logistics'!$H$4:$I$8,2,FALSE),"N/A")</f>
        <v>0.02</v>
      </c>
      <c r="N240" s="2826">
        <f t="shared" si="14"/>
        <v>0.69444444444444442</v>
      </c>
      <c r="O240" s="2809"/>
      <c r="P240" s="2805" t="str">
        <f>IF($D240="Logistics",VLOOKUP($O240,'Lower Cask Movement &amp; Logistics'!$C$4:$D$54,2,FALSE),"N/A")</f>
        <v>N/A</v>
      </c>
    </row>
    <row r="241" spans="1:19" s="2835" customFormat="1" ht="13.5" customHeight="1" outlineLevel="1" thickBot="1" x14ac:dyDescent="0.45">
      <c r="A241" s="2900"/>
      <c r="B241" s="3874"/>
      <c r="C241" s="2827" t="str">
        <f>B231</f>
        <v>Replacement Pipe modules collected from stores</v>
      </c>
      <c r="D241" s="2827" t="s">
        <v>11</v>
      </c>
      <c r="E241" s="2828">
        <f t="shared" si="13"/>
        <v>0</v>
      </c>
      <c r="F241" s="2822">
        <f>IF($D241="Trigger",VLOOKUP("*"&amp;$C241&amp;"*",'Lower Cask Weld Failures'!$D$53:$G$622,4,FALSE),E241+F240)</f>
        <v>11.595185185185187</v>
      </c>
      <c r="G241" s="2812"/>
      <c r="H241" s="2813" t="s">
        <v>263</v>
      </c>
      <c r="I241" s="2827"/>
      <c r="J241" s="2827"/>
      <c r="K241" s="2827"/>
      <c r="L241" s="2828" t="str">
        <f>IFERROR(INDEX('Lower Cask Movement &amp; Logistics'!$I$13:$O$19,MATCH($J241,'Lower Cask Movement &amp; Logistics'!$H$13:$H$19,0),MATCH($K241,'Lower Cask Movement &amp; Logistics'!$H$13:$H$19,0)),"N/A")</f>
        <v>N/A</v>
      </c>
      <c r="M241" s="2828" t="str">
        <f>IFERROR(VLOOKUP($I241,'Lower Cask Movement &amp; Logistics'!$H$4:$I$8,2,FALSE),"N/A")</f>
        <v>N/A</v>
      </c>
      <c r="N241" s="2828" t="str">
        <f t="shared" si="14"/>
        <v>N/A</v>
      </c>
      <c r="O241" s="2817"/>
      <c r="P241" s="2822" t="str">
        <f>IF($D241="Logistics",VLOOKUP($O241,'Lower Cask Movement &amp; Logistics'!$C$4:$D$54,2,FALSE),"N/A")</f>
        <v>N/A</v>
      </c>
    </row>
    <row r="242" spans="1:19" s="2835" customFormat="1" ht="12.75" customHeight="1" outlineLevel="1" x14ac:dyDescent="0.4">
      <c r="A242" s="2900"/>
      <c r="B242" s="3863" t="s">
        <v>1880</v>
      </c>
      <c r="C242" s="2823" t="s">
        <v>1862</v>
      </c>
      <c r="D242" s="2823" t="s">
        <v>907</v>
      </c>
      <c r="E242" s="2824">
        <f t="shared" si="13"/>
        <v>0</v>
      </c>
      <c r="F242" s="2796">
        <f>IF($D242="Trigger",VLOOKUP("*"&amp;$C242&amp;"*",'Lower Cask Weld Failures'!$D$53:$G$622,4,FALSE),E242+F241)</f>
        <v>0</v>
      </c>
      <c r="G242" s="2790"/>
      <c r="H242" s="2791" t="s">
        <v>263</v>
      </c>
      <c r="I242" s="2823"/>
      <c r="J242" s="2823"/>
      <c r="K242" s="2823"/>
      <c r="L242" s="2824" t="str">
        <f>IFERROR(INDEX('Lower Cask Movement &amp; Logistics'!$I$13:$O$19,MATCH($J242,'Lower Cask Movement &amp; Logistics'!$H$13:$H$19,0),MATCH($K242,'Lower Cask Movement &amp; Logistics'!$H$13:$H$19,0)),"N/A")</f>
        <v>N/A</v>
      </c>
      <c r="M242" s="2824" t="str">
        <f>IFERROR(VLOOKUP($I242,'Lower Cask Movement &amp; Logistics'!$H$4:$I$8,2,FALSE),"N/A")</f>
        <v>N/A</v>
      </c>
      <c r="N242" s="2824" t="str">
        <f t="shared" si="14"/>
        <v>N/A</v>
      </c>
      <c r="O242" s="2795"/>
      <c r="P242" s="2796" t="str">
        <f>IF($D242="Logistics",VLOOKUP($O242,'Lower Cask Movement &amp; Logistics'!$C$4:$D$54,2,FALSE),"N/A")</f>
        <v>N/A</v>
      </c>
    </row>
    <row r="243" spans="1:19" s="2835" customFormat="1" ht="12.75" customHeight="1" outlineLevel="1" x14ac:dyDescent="0.4">
      <c r="A243" s="2900"/>
      <c r="B243" s="3864"/>
      <c r="C243" s="2825" t="s">
        <v>1945</v>
      </c>
      <c r="D243" s="2825" t="s">
        <v>251</v>
      </c>
      <c r="E243" s="2826">
        <f t="shared" si="13"/>
        <v>36.564915531716764</v>
      </c>
      <c r="F243" s="2805">
        <f>IF($D243="Trigger",VLOOKUP("*"&amp;$C243&amp;"*",'Lower Cask Weld Failures'!$D$53:$G$622,4,FALSE),E243+F242)</f>
        <v>36.564915531716764</v>
      </c>
      <c r="G243" s="2808" t="s">
        <v>141</v>
      </c>
      <c r="H243" s="2805">
        <f>VLOOKUP(G243,'Upper Hot Cell Welding failures'!E$366:I$395,5,FALSE)</f>
        <v>36.564915531716764</v>
      </c>
      <c r="I243" s="2825"/>
      <c r="J243" s="2825"/>
      <c r="K243" s="2825"/>
      <c r="L243" s="2826" t="str">
        <f>IFERROR(INDEX('Lower Cask Movement &amp; Logistics'!$I$13:$O$19,MATCH($J243,'Lower Cask Movement &amp; Logistics'!$H$13:$H$19,0),MATCH($K243,'Lower Cask Movement &amp; Logistics'!$H$13:$H$19,0)),"N/A")</f>
        <v>N/A</v>
      </c>
      <c r="M243" s="2826" t="str">
        <f>IFERROR(VLOOKUP($I243,'Lower Cask Movement &amp; Logistics'!$H$4:$I$8,2,FALSE),"N/A")</f>
        <v>N/A</v>
      </c>
      <c r="N243" s="2826" t="str">
        <f t="shared" si="14"/>
        <v>N/A</v>
      </c>
      <c r="O243" s="2809"/>
      <c r="P243" s="2805" t="str">
        <f>IF($D243="Logistics",VLOOKUP($O243,'Lower Cask Movement &amp; Logistics'!$C$4:$D$54,2,FALSE),"N/A")</f>
        <v>N/A</v>
      </c>
    </row>
    <row r="244" spans="1:19" s="2835" customFormat="1" ht="13.5" customHeight="1" outlineLevel="1" thickBot="1" x14ac:dyDescent="0.45">
      <c r="A244" s="2900"/>
      <c r="B244" s="3865"/>
      <c r="C244" s="2827" t="str">
        <f>B242</f>
        <v>RIB Blanket segment installed</v>
      </c>
      <c r="D244" s="2827" t="s">
        <v>11</v>
      </c>
      <c r="E244" s="2828">
        <f t="shared" si="13"/>
        <v>0</v>
      </c>
      <c r="F244" s="2822">
        <f>IF($D244="Trigger",VLOOKUP("*"&amp;$C244&amp;"*",'Lower Cask Weld Failures'!$D$53:$G$622,4,FALSE),E244+F243)</f>
        <v>36.564915531716764</v>
      </c>
      <c r="G244" s="2812"/>
      <c r="H244" s="2813" t="s">
        <v>263</v>
      </c>
      <c r="I244" s="2827"/>
      <c r="J244" s="2827"/>
      <c r="K244" s="2827"/>
      <c r="L244" s="2828" t="str">
        <f>IFERROR(INDEX('Lower Cask Movement &amp; Logistics'!$I$13:$O$19,MATCH($J244,'Lower Cask Movement &amp; Logistics'!$H$13:$H$19,0),MATCH($K244,'Lower Cask Movement &amp; Logistics'!$H$13:$H$19,0)),"N/A")</f>
        <v>N/A</v>
      </c>
      <c r="M244" s="2828" t="str">
        <f>IFERROR(VLOOKUP($I244,'Lower Cask Movement &amp; Logistics'!$H$4:$I$8,2,FALSE),"N/A")</f>
        <v>N/A</v>
      </c>
      <c r="N244" s="2828" t="str">
        <f t="shared" si="14"/>
        <v>N/A</v>
      </c>
      <c r="O244" s="2817"/>
      <c r="P244" s="2822" t="str">
        <f>IF($D244="Logistics",VLOOKUP($O244,'Lower Cask Movement &amp; Logistics'!$C$4:$D$54,2,FALSE),"N/A")</f>
        <v>N/A</v>
      </c>
    </row>
    <row r="245" spans="1:19" s="2835" customFormat="1" ht="12.75" customHeight="1" outlineLevel="1" x14ac:dyDescent="0.4">
      <c r="A245" s="2900"/>
      <c r="B245" s="3863" t="s">
        <v>1894</v>
      </c>
      <c r="C245" s="2823" t="s">
        <v>1862</v>
      </c>
      <c r="D245" s="2823" t="s">
        <v>907</v>
      </c>
      <c r="E245" s="2824">
        <f t="shared" si="13"/>
        <v>0</v>
      </c>
      <c r="F245" s="2796">
        <f>IF($D245="Trigger",VLOOKUP("*"&amp;$C245&amp;"*",'Lower Cask Weld Failures'!$D$53:$G$622,4,FALSE),E245+F244)</f>
        <v>0</v>
      </c>
      <c r="G245" s="2790"/>
      <c r="H245" s="2791" t="s">
        <v>263</v>
      </c>
      <c r="I245" s="2823"/>
      <c r="J245" s="2823"/>
      <c r="K245" s="2823"/>
      <c r="L245" s="2824" t="str">
        <f>IFERROR(INDEX('Lower Cask Movement &amp; Logistics'!$I$13:$O$19,MATCH($J245,'Lower Cask Movement &amp; Logistics'!$H$13:$H$19,0),MATCH($K245,'Lower Cask Movement &amp; Logistics'!$H$13:$H$19,0)),"N/A")</f>
        <v>N/A</v>
      </c>
      <c r="M245" s="2824" t="str">
        <f>IFERROR(VLOOKUP($I245,'Lower Cask Movement &amp; Logistics'!$H$4:$I$8,2,FALSE),"N/A")</f>
        <v>N/A</v>
      </c>
      <c r="N245" s="2824" t="str">
        <f t="shared" si="14"/>
        <v>N/A</v>
      </c>
      <c r="O245" s="2795"/>
      <c r="P245" s="2796" t="str">
        <f>IF($D245="Logistics",VLOOKUP($O245,'Lower Cask Movement &amp; Logistics'!$C$4:$D$54,2,FALSE),"N/A")</f>
        <v>N/A</v>
      </c>
    </row>
    <row r="246" spans="1:19" s="2835" customFormat="1" ht="12.75" customHeight="1" outlineLevel="1" x14ac:dyDescent="0.4">
      <c r="A246" s="2900"/>
      <c r="B246" s="3864"/>
      <c r="C246" s="2825" t="s">
        <v>1945</v>
      </c>
      <c r="D246" s="2825" t="s">
        <v>251</v>
      </c>
      <c r="E246" s="2826">
        <f t="shared" si="13"/>
        <v>61.772137753938978</v>
      </c>
      <c r="F246" s="2805">
        <f>IF($D246="Trigger",VLOOKUP("*"&amp;$C246&amp;"*",'Lower Cask Weld Failures'!$D$53:$G$622,4,FALSE),E246+F245)</f>
        <v>61.772137753938978</v>
      </c>
      <c r="G246" s="2808" t="s">
        <v>1085</v>
      </c>
      <c r="H246" s="2805">
        <f>VLOOKUP(G246,'Upper Hot Cell Welding failures'!E$366:I$395,5,FALSE)</f>
        <v>61.772137753938978</v>
      </c>
      <c r="I246" s="2825"/>
      <c r="J246" s="2825"/>
      <c r="K246" s="2825"/>
      <c r="L246" s="2826" t="str">
        <f>IFERROR(INDEX('Lower Cask Movement &amp; Logistics'!$I$13:$O$19,MATCH($J246,'Lower Cask Movement &amp; Logistics'!$H$13:$H$19,0),MATCH($K246,'Lower Cask Movement &amp; Logistics'!$H$13:$H$19,0)),"N/A")</f>
        <v>N/A</v>
      </c>
      <c r="M246" s="2826" t="str">
        <f>IFERROR(VLOOKUP($I246,'Lower Cask Movement &amp; Logistics'!$H$4:$I$8,2,FALSE),"N/A")</f>
        <v>N/A</v>
      </c>
      <c r="N246" s="2826" t="str">
        <f t="shared" si="14"/>
        <v>N/A</v>
      </c>
      <c r="O246" s="2809"/>
      <c r="P246" s="2805" t="str">
        <f>IF($D246="Logistics",VLOOKUP($O246,'Lower Cask Movement &amp; Logistics'!$C$4:$D$54,2,FALSE),"N/A")</f>
        <v>N/A</v>
      </c>
    </row>
    <row r="247" spans="1:19" s="2835" customFormat="1" ht="13.5" customHeight="1" outlineLevel="1" thickBot="1" x14ac:dyDescent="0.45">
      <c r="A247" s="2900"/>
      <c r="B247" s="3865"/>
      <c r="C247" s="2827" t="str">
        <f>B245</f>
        <v>RIB Upper Port Pipe Module installed</v>
      </c>
      <c r="D247" s="2827" t="s">
        <v>11</v>
      </c>
      <c r="E247" s="2828">
        <f t="shared" si="13"/>
        <v>0</v>
      </c>
      <c r="F247" s="2822">
        <f>IF($D247="Trigger",VLOOKUP("*"&amp;$C247&amp;"*",'Lower Cask Weld Failures'!$D$53:$G$622,4,FALSE),E247+F246)</f>
        <v>61.772137753938978</v>
      </c>
      <c r="G247" s="2812"/>
      <c r="H247" s="2813" t="s">
        <v>263</v>
      </c>
      <c r="I247" s="2827"/>
      <c r="J247" s="2827"/>
      <c r="K247" s="2827"/>
      <c r="L247" s="2828" t="str">
        <f>IFERROR(INDEX('Lower Cask Movement &amp; Logistics'!$I$13:$O$19,MATCH($J247,'Lower Cask Movement &amp; Logistics'!$H$13:$H$19,0),MATCH($K247,'Lower Cask Movement &amp; Logistics'!$H$13:$H$19,0)),"N/A")</f>
        <v>N/A</v>
      </c>
      <c r="M247" s="2828" t="str">
        <f>IFERROR(VLOOKUP($I247,'Lower Cask Movement &amp; Logistics'!$H$4:$I$8,2,FALSE),"N/A")</f>
        <v>N/A</v>
      </c>
      <c r="N247" s="2828" t="str">
        <f t="shared" si="14"/>
        <v>N/A</v>
      </c>
      <c r="O247" s="2817"/>
      <c r="P247" s="2822" t="str">
        <f>IF($D247="Logistics",VLOOKUP($O247,'Lower Cask Movement &amp; Logistics'!$C$4:$D$54,2,FALSE),"N/A")</f>
        <v>N/A</v>
      </c>
    </row>
    <row r="248" spans="1:19" s="2835" customFormat="1" ht="13.3" thickBot="1" x14ac:dyDescent="0.45">
      <c r="A248" s="2902"/>
      <c r="B248" s="2903"/>
      <c r="C248" s="2904"/>
      <c r="D248" s="2904"/>
      <c r="E248" s="2904"/>
      <c r="F248" s="2904"/>
      <c r="G248" s="2904"/>
      <c r="H248" s="2905"/>
      <c r="I248" s="2904"/>
      <c r="J248" s="2904"/>
      <c r="K248" s="2904"/>
      <c r="L248" s="2906"/>
      <c r="M248" s="2906"/>
      <c r="N248" s="2906"/>
      <c r="O248" s="2904"/>
      <c r="P248" s="2907"/>
    </row>
    <row r="249" spans="1:19" s="2835" customFormat="1" x14ac:dyDescent="0.4">
      <c r="A249" s="2908"/>
      <c r="B249" s="2909" t="s">
        <v>1967</v>
      </c>
      <c r="C249" s="2909"/>
      <c r="D249" s="2909"/>
      <c r="E249" s="2909"/>
      <c r="F249" s="2909"/>
      <c r="G249" s="2909"/>
      <c r="H249" s="2909"/>
      <c r="I249" s="2909"/>
      <c r="J249" s="2909"/>
      <c r="K249" s="2909"/>
      <c r="L249" s="2909"/>
      <c r="M249" s="2909"/>
      <c r="N249" s="2909"/>
      <c r="O249" s="2909"/>
      <c r="P249" s="2910"/>
    </row>
    <row r="250" spans="1:19" s="2835" customFormat="1" ht="13.3" outlineLevel="1" thickBot="1" x14ac:dyDescent="0.45">
      <c r="A250" s="2911"/>
      <c r="B250" s="2912"/>
      <c r="C250" s="2913"/>
      <c r="D250" s="2913"/>
      <c r="E250" s="2913"/>
      <c r="F250" s="2913"/>
      <c r="G250" s="2913"/>
      <c r="H250" s="2914"/>
      <c r="I250" s="2913"/>
      <c r="J250" s="2913"/>
      <c r="K250" s="2913"/>
      <c r="L250" s="2915"/>
      <c r="M250" s="2915"/>
      <c r="N250" s="2915"/>
      <c r="O250" s="2913"/>
      <c r="P250" s="2916"/>
    </row>
    <row r="251" spans="1:19" s="2764" customFormat="1" ht="15" customHeight="1" outlineLevel="1" x14ac:dyDescent="0.4">
      <c r="A251" s="2911"/>
      <c r="B251" s="3863" t="s">
        <v>1899</v>
      </c>
      <c r="C251" s="2788" t="s">
        <v>1896</v>
      </c>
      <c r="D251" s="2788" t="s">
        <v>907</v>
      </c>
      <c r="E251" s="2789">
        <f t="shared" ref="E251:E269" si="15">MAX($P251,$N251,$H251)</f>
        <v>0</v>
      </c>
      <c r="F251" s="2789">
        <f>IF($D251="Trigger",VLOOKUP("*"&amp;$C251&amp;"*",'Lower Cask Weld Failures'!$D$335:$G$350,4,FALSE),E251+F250)</f>
        <v>0</v>
      </c>
      <c r="G251" s="2790"/>
      <c r="H251" s="2791" t="s">
        <v>263</v>
      </c>
      <c r="I251" s="2792"/>
      <c r="J251" s="2788"/>
      <c r="K251" s="2788"/>
      <c r="L251" s="2793" t="str">
        <f>IFERROR(INDEX('Lower Cask Movement &amp; Logistics'!$I$13:$O$19,MATCH($J251,'Lower Cask Movement &amp; Logistics'!$H$13:$H$19,0),MATCH($K251,'Lower Cask Movement &amp; Logistics'!$H$13:$H$19,0)),"N/A")</f>
        <v>N/A</v>
      </c>
      <c r="M251" s="2793" t="str">
        <f>IFERROR(VLOOKUP($I251,'Lower Cask Movement &amp; Logistics'!$H$4:$I$8,2,FALSE),"N/A")</f>
        <v>N/A</v>
      </c>
      <c r="N251" s="2794" t="str">
        <f t="shared" ref="N251:N257" si="16">IF(D251="Movement",IFERROR((L251/M251)/(60*60),"Error"),"N/A")</f>
        <v>N/A</v>
      </c>
      <c r="O251" s="2795"/>
      <c r="P251" s="2796" t="str">
        <f>IF($D251="Logistics",VLOOKUP($O251,'Lower Cask Movement &amp; Logistics'!$C$4:$D$54,2,FALSE),"N/A")</f>
        <v>N/A</v>
      </c>
      <c r="R251" s="2765"/>
      <c r="S251" s="2765"/>
    </row>
    <row r="252" spans="1:19" s="2764" customFormat="1" ht="15" customHeight="1" outlineLevel="1" x14ac:dyDescent="0.4">
      <c r="A252" s="2911"/>
      <c r="B252" s="3864"/>
      <c r="C252" s="2797" t="s">
        <v>1732</v>
      </c>
      <c r="D252" s="2798" t="s">
        <v>778</v>
      </c>
      <c r="E252" s="2799">
        <f>MAX($P252,$N252,$H252)</f>
        <v>0.23148148148148148</v>
      </c>
      <c r="F252" s="2799">
        <f>IF($D252="Trigger",VLOOKUP("*"&amp;$C252&amp;"*",'Lower Cask Weld Failures'!$D$335:$G$350,4,FALSE),E252+F251)</f>
        <v>0.23148148148148148</v>
      </c>
      <c r="G252" s="2861"/>
      <c r="H252" s="2801" t="s">
        <v>263</v>
      </c>
      <c r="I252" s="2802" t="s">
        <v>1536</v>
      </c>
      <c r="J252" s="2798" t="s">
        <v>1203</v>
      </c>
      <c r="K252" s="2798" t="s">
        <v>914</v>
      </c>
      <c r="L252" s="2803">
        <f>IFERROR(INDEX('Lower Cask Movement &amp; Logistics'!$I$13:$O$19,MATCH($J252,'Lower Cask Movement &amp; Logistics'!$H$13:$H$19,0),MATCH($K252,'Lower Cask Movement &amp; Logistics'!$H$13:$H$19,0)),"N/A")</f>
        <v>50</v>
      </c>
      <c r="M252" s="2804">
        <f>IFERROR(VLOOKUP($I252,'Lower Cask Movement &amp; Logistics'!$H$4:$I$8,2,FALSE),"N/A")</f>
        <v>0.06</v>
      </c>
      <c r="N252" s="2805">
        <f t="shared" si="16"/>
        <v>0.23148148148148148</v>
      </c>
      <c r="O252" s="2806"/>
      <c r="P252" s="2807" t="str">
        <f>IF($D252="Logistics",VLOOKUP($O252,'Lower Cask Movement &amp; Logistics'!$C$4:$D$54,2,FALSE),"N/A")</f>
        <v>N/A</v>
      </c>
      <c r="R252" s="2765"/>
      <c r="S252" s="2765"/>
    </row>
    <row r="253" spans="1:19" s="2764" customFormat="1" ht="15" customHeight="1" outlineLevel="1" x14ac:dyDescent="0.4">
      <c r="A253" s="2911"/>
      <c r="B253" s="3864"/>
      <c r="C253" s="2797" t="s">
        <v>1751</v>
      </c>
      <c r="D253" s="2798" t="s">
        <v>3</v>
      </c>
      <c r="E253" s="2799">
        <f t="shared" si="15"/>
        <v>0.58000000000000007</v>
      </c>
      <c r="F253" s="2799">
        <f>IF($D253="Trigger",VLOOKUP("*"&amp;$C253&amp;"*",'Lower Cask Weld Failures'!$D$335:$G$350,4,FALSE),E253+F252)</f>
        <v>0.81148148148148158</v>
      </c>
      <c r="G253" s="2861"/>
      <c r="H253" s="2801" t="s">
        <v>263</v>
      </c>
      <c r="I253" s="2802"/>
      <c r="J253" s="2798"/>
      <c r="K253" s="2798"/>
      <c r="L253" s="2803" t="str">
        <f>IFERROR(INDEX('Lower Cask Movement &amp; Logistics'!$I$13:$O$19,MATCH($J253,'Lower Cask Movement &amp; Logistics'!$H$13:$H$19,0),MATCH($K253,'Lower Cask Movement &amp; Logistics'!$H$13:$H$19,0)),"N/A")</f>
        <v>N/A</v>
      </c>
      <c r="M253" s="2804" t="str">
        <f>IFERROR(VLOOKUP($I253,'Lower Cask Movement &amp; Logistics'!$H$4:$I$8,2,FALSE),"N/A")</f>
        <v>N/A</v>
      </c>
      <c r="N253" s="2805" t="str">
        <f t="shared" si="16"/>
        <v>N/A</v>
      </c>
      <c r="O253" s="2806" t="s">
        <v>1539</v>
      </c>
      <c r="P253" s="2807">
        <f>IF($D253="Logistics",VLOOKUP($O253,'Lower Cask Movement &amp; Logistics'!$C$4:$D$54,2,FALSE),"N/A")</f>
        <v>0.58000000000000007</v>
      </c>
      <c r="R253" s="2765"/>
      <c r="S253" s="2765"/>
    </row>
    <row r="254" spans="1:19" s="2764" customFormat="1" ht="15" customHeight="1" outlineLevel="1" x14ac:dyDescent="0.4">
      <c r="A254" s="2911"/>
      <c r="B254" s="3864"/>
      <c r="C254" s="2797" t="s">
        <v>1737</v>
      </c>
      <c r="D254" s="2798" t="s">
        <v>778</v>
      </c>
      <c r="E254" s="2799">
        <f t="shared" si="15"/>
        <v>2.7777777777777776E-2</v>
      </c>
      <c r="F254" s="2799">
        <f>IF($D254="Trigger",VLOOKUP("*"&amp;$C254&amp;"*",'Lower Cask Weld Failures'!$D$335:$G$350,4,FALSE),E254+F253)</f>
        <v>0.83925925925925937</v>
      </c>
      <c r="G254" s="2861"/>
      <c r="H254" s="2801" t="s">
        <v>263</v>
      </c>
      <c r="I254" s="2802" t="s">
        <v>1738</v>
      </c>
      <c r="J254" s="2798" t="s">
        <v>914</v>
      </c>
      <c r="K254" s="2798" t="s">
        <v>799</v>
      </c>
      <c r="L254" s="2803">
        <f>IFERROR(INDEX('Lower Cask Movement &amp; Logistics'!$I$13:$O$19,MATCH($J254,'Lower Cask Movement &amp; Logistics'!$H$13:$H$19,0),MATCH($K254,'Lower Cask Movement &amp; Logistics'!$H$13:$H$19,0)),"N/A")</f>
        <v>20</v>
      </c>
      <c r="M254" s="2804">
        <f>IFERROR(VLOOKUP($I254,'Lower Cask Movement &amp; Logistics'!$H$4:$I$8,2,FALSE),"N/A")</f>
        <v>0.2</v>
      </c>
      <c r="N254" s="2805">
        <f t="shared" si="16"/>
        <v>2.7777777777777776E-2</v>
      </c>
      <c r="O254" s="2806"/>
      <c r="P254" s="2807" t="str">
        <f>IF($D254="Logistics",VLOOKUP($O254,'Lower Cask Movement &amp; Logistics'!$C$4:$D$54,2,FALSE),"N/A")</f>
        <v>N/A</v>
      </c>
      <c r="R254" s="2765"/>
      <c r="S254" s="2765"/>
    </row>
    <row r="255" spans="1:19" s="2764" customFormat="1" ht="14.6" outlineLevel="1" x14ac:dyDescent="0.4">
      <c r="A255" s="2911"/>
      <c r="B255" s="3864"/>
      <c r="C255" s="2798" t="s">
        <v>1762</v>
      </c>
      <c r="D255" s="2798" t="s">
        <v>3</v>
      </c>
      <c r="E255" s="2799">
        <f t="shared" si="15"/>
        <v>0.88000000000000012</v>
      </c>
      <c r="F255" s="2799">
        <f>IF($D255="Trigger",VLOOKUP("*"&amp;$C255&amp;"*",'Lower Cask Weld Failures'!$D$335:$G$350,4,FALSE),E255+F254)</f>
        <v>1.7192592592592595</v>
      </c>
      <c r="G255" s="2861"/>
      <c r="H255" s="2801" t="s">
        <v>263</v>
      </c>
      <c r="I255" s="2802"/>
      <c r="J255" s="2798"/>
      <c r="K255" s="2798"/>
      <c r="L255" s="2803" t="str">
        <f>IFERROR(INDEX('Lower Cask Movement &amp; Logistics'!$I$13:$O$19,MATCH($J255,'Lower Cask Movement &amp; Logistics'!$H$13:$H$19,0),MATCH($K255,'Lower Cask Movement &amp; Logistics'!$H$13:$H$19,0)),"N/A")</f>
        <v>N/A</v>
      </c>
      <c r="M255" s="2804" t="str">
        <f>IFERROR(VLOOKUP($I255,'Lower Cask Movement &amp; Logistics'!$H$4:$I$8,2,FALSE),"N/A")</f>
        <v>N/A</v>
      </c>
      <c r="N255" s="2805" t="str">
        <f t="shared" si="16"/>
        <v>N/A</v>
      </c>
      <c r="O255" s="2809" t="s">
        <v>1730</v>
      </c>
      <c r="P255" s="2807">
        <f>IF($D255="Logistics",VLOOKUP($O255,'Lower Cask Movement &amp; Logistics'!$C$4:$D$54,2,FALSE),"N/A")</f>
        <v>0.88000000000000012</v>
      </c>
      <c r="R255" s="2765"/>
      <c r="S255" s="2765"/>
    </row>
    <row r="256" spans="1:19" s="2764" customFormat="1" ht="14.6" outlineLevel="1" x14ac:dyDescent="0.4">
      <c r="A256" s="2911"/>
      <c r="B256" s="3864"/>
      <c r="C256" s="2798" t="s">
        <v>1763</v>
      </c>
      <c r="D256" s="2798" t="s">
        <v>778</v>
      </c>
      <c r="E256" s="2799">
        <f t="shared" si="15"/>
        <v>0.69444444444444442</v>
      </c>
      <c r="F256" s="2799">
        <f>IF($D256="Trigger",VLOOKUP("*"&amp;$C256&amp;"*",'Lower Cask Weld Failures'!$D$335:$G$350,4,FALSE),E256+F255)</f>
        <v>2.4137037037037041</v>
      </c>
      <c r="G256" s="2861"/>
      <c r="H256" s="2801" t="s">
        <v>263</v>
      </c>
      <c r="I256" s="2802" t="s">
        <v>1538</v>
      </c>
      <c r="J256" s="2798" t="s">
        <v>799</v>
      </c>
      <c r="K256" s="2798" t="s">
        <v>1203</v>
      </c>
      <c r="L256" s="2803">
        <f>IFERROR(INDEX('Lower Cask Movement &amp; Logistics'!$I$13:$O$19,MATCH($J256,'Lower Cask Movement &amp; Logistics'!$H$13:$H$19,0),MATCH($K256,'Lower Cask Movement &amp; Logistics'!$H$13:$H$19,0)),"N/A")</f>
        <v>50</v>
      </c>
      <c r="M256" s="2804">
        <f>IFERROR(VLOOKUP($I256,'Lower Cask Movement &amp; Logistics'!$H$4:$I$8,2,FALSE),"N/A")</f>
        <v>0.02</v>
      </c>
      <c r="N256" s="2805">
        <f t="shared" si="16"/>
        <v>0.69444444444444442</v>
      </c>
      <c r="O256" s="2809"/>
      <c r="P256" s="2807" t="str">
        <f>IF($D256="Logistics",VLOOKUP($O256,'Lower Cask Movement &amp; Logistics'!$C$4:$D$54,2,FALSE),"N/A")</f>
        <v>N/A</v>
      </c>
      <c r="R256" s="2765"/>
      <c r="S256" s="2765"/>
    </row>
    <row r="257" spans="1:19" s="2764" customFormat="1" ht="26.6" outlineLevel="1" thickBot="1" x14ac:dyDescent="0.45">
      <c r="A257" s="2911"/>
      <c r="B257" s="3865"/>
      <c r="C257" s="2810" t="str">
        <f>B251</f>
        <v>Inboard Port Pipework Cask Stored; Inner Port Pipework cask Prepared; Inner Port Pipework Cask Moved to Lower Port</v>
      </c>
      <c r="D257" s="2810" t="s">
        <v>11</v>
      </c>
      <c r="E257" s="2811">
        <f t="shared" si="15"/>
        <v>0</v>
      </c>
      <c r="F257" s="2799">
        <f>IF($D257="Trigger",VLOOKUP("*"&amp;$C257&amp;"*",'Lower Cask Weld Failures'!$D$335:$G$350,4,FALSE),E257+F256)</f>
        <v>2.4137037037037041</v>
      </c>
      <c r="G257" s="2812"/>
      <c r="H257" s="2813" t="s">
        <v>263</v>
      </c>
      <c r="I257" s="2814"/>
      <c r="J257" s="2810"/>
      <c r="K257" s="2810"/>
      <c r="L257" s="2815" t="str">
        <f>IFERROR(INDEX('Lower Cask Movement &amp; Logistics'!$I$13:$O$19,MATCH($J257,'Lower Cask Movement &amp; Logistics'!$H$13:$H$19,0),MATCH($K257,'Lower Cask Movement &amp; Logistics'!$H$13:$H$19,0)),"N/A")</f>
        <v>N/A</v>
      </c>
      <c r="M257" s="2815" t="str">
        <f>IFERROR(VLOOKUP($I257,'Lower Cask Movement &amp; Logistics'!$H$4:$I$8,2,FALSE),"N/A")</f>
        <v>N/A</v>
      </c>
      <c r="N257" s="2816" t="str">
        <f t="shared" si="16"/>
        <v>N/A</v>
      </c>
      <c r="O257" s="2817"/>
      <c r="P257" s="2822" t="str">
        <f>IF($D257="Logistics",VLOOKUP($O257,'Lower Cask Movement &amp; Logistics'!$C$4:$D$54,2,FALSE),"N/A")</f>
        <v>N/A</v>
      </c>
      <c r="R257" s="2765"/>
      <c r="S257" s="2765"/>
    </row>
    <row r="258" spans="1:19" s="2835" customFormat="1" ht="12.75" customHeight="1" outlineLevel="1" x14ac:dyDescent="0.4">
      <c r="A258" s="2911"/>
      <c r="B258" s="3866" t="s">
        <v>1881</v>
      </c>
      <c r="C258" s="2878" t="s">
        <v>1862</v>
      </c>
      <c r="D258" s="2878" t="s">
        <v>907</v>
      </c>
      <c r="E258" s="2879">
        <f t="shared" si="15"/>
        <v>0</v>
      </c>
      <c r="F258" s="2763">
        <f>IF($D258="Trigger",VLOOKUP("*"&amp;$C258&amp;"*",'Lower Cask Weld Failures'!$D$53:$G$622,4,FALSE),E258+#REF!)</f>
        <v>0</v>
      </c>
      <c r="G258" s="2757"/>
      <c r="H258" s="2758" t="s">
        <v>263</v>
      </c>
      <c r="I258" s="2878"/>
      <c r="J258" s="2878"/>
      <c r="K258" s="2878"/>
      <c r="L258" s="2879" t="str">
        <f>IFERROR(INDEX('Lower Cask Movement &amp; Logistics'!$I$13:$O$19,MATCH($J258,'Lower Cask Movement &amp; Logistics'!$H$13:$H$19,0),MATCH($K258,'Lower Cask Movement &amp; Logistics'!$H$13:$H$19,0)),"N/A")</f>
        <v>N/A</v>
      </c>
      <c r="M258" s="2879" t="str">
        <f>IFERROR(VLOOKUP($I258,'Lower Cask Movement &amp; Logistics'!$H$4:$I$8,2,FALSE),"N/A")</f>
        <v>N/A</v>
      </c>
      <c r="N258" s="2879" t="str">
        <f t="shared" ref="N258:N269" si="17">IF(D258="Movement",IFERROR((L258/M258)/(60*60),"Error"),"N/A")</f>
        <v>N/A</v>
      </c>
      <c r="O258" s="2762"/>
      <c r="P258" s="2763" t="str">
        <f>IF($D258="Logistics",VLOOKUP($O258,'Lower Cask Movement &amp; Logistics'!$C$4:$D$54,2,FALSE),"N/A")</f>
        <v>N/A</v>
      </c>
    </row>
    <row r="259" spans="1:19" s="2835" customFormat="1" ht="12.75" customHeight="1" outlineLevel="1" x14ac:dyDescent="0.4">
      <c r="A259" s="2911"/>
      <c r="B259" s="3867"/>
      <c r="C259" s="2880" t="s">
        <v>1945</v>
      </c>
      <c r="D259" s="2880" t="s">
        <v>251</v>
      </c>
      <c r="E259" s="2881">
        <f t="shared" si="15"/>
        <v>149.0874496027516</v>
      </c>
      <c r="F259" s="2774">
        <f>IF($D259="Trigger",VLOOKUP("*"&amp;$C259&amp;"*",'Lower Cask Weld Failures'!$D$53:$G$622,4,FALSE),E259+F258)</f>
        <v>149.0874496027516</v>
      </c>
      <c r="G259" s="2777" t="s">
        <v>139</v>
      </c>
      <c r="H259" s="2774">
        <v>149.0874496027516</v>
      </c>
      <c r="I259" s="2880"/>
      <c r="J259" s="2880"/>
      <c r="K259" s="2880"/>
      <c r="L259" s="2881" t="str">
        <f>IFERROR(INDEX('Lower Cask Movement &amp; Logistics'!$I$13:$O$19,MATCH($J259,'Lower Cask Movement &amp; Logistics'!$H$13:$H$19,0),MATCH($K259,'Lower Cask Movement &amp; Logistics'!$H$13:$H$19,0)),"N/A")</f>
        <v>N/A</v>
      </c>
      <c r="M259" s="2881" t="str">
        <f>IFERROR(VLOOKUP($I259,'Lower Cask Movement &amp; Logistics'!$H$4:$I$8,2,FALSE),"N/A")</f>
        <v>N/A</v>
      </c>
      <c r="N259" s="2881" t="str">
        <f t="shared" si="17"/>
        <v>N/A</v>
      </c>
      <c r="O259" s="2778"/>
      <c r="P259" s="2774" t="str">
        <f>IF($D259="Logistics",VLOOKUP($O259,'Lower Cask Movement &amp; Logistics'!$C$4:$D$54,2,FALSE),"N/A")</f>
        <v>N/A</v>
      </c>
    </row>
    <row r="260" spans="1:19" s="2835" customFormat="1" ht="13.5" customHeight="1" outlineLevel="1" thickBot="1" x14ac:dyDescent="0.45">
      <c r="A260" s="2911"/>
      <c r="B260" s="3868"/>
      <c r="C260" s="2882" t="str">
        <f>B258</f>
        <v>LIB Blanket segment installed</v>
      </c>
      <c r="D260" s="2882" t="s">
        <v>11</v>
      </c>
      <c r="E260" s="2883">
        <f t="shared" si="15"/>
        <v>0</v>
      </c>
      <c r="F260" s="2787">
        <f>IF($D260="Trigger",VLOOKUP("*"&amp;$C260&amp;"*",'Lower Cask Weld Failures'!$D$53:$G$622,4,FALSE),E260+F259)</f>
        <v>149.0874496027516</v>
      </c>
      <c r="G260" s="2781"/>
      <c r="H260" s="2782" t="s">
        <v>263</v>
      </c>
      <c r="I260" s="2882"/>
      <c r="J260" s="2882"/>
      <c r="K260" s="2882"/>
      <c r="L260" s="2883" t="str">
        <f>IFERROR(INDEX('Lower Cask Movement &amp; Logistics'!$I$13:$O$19,MATCH($J260,'Lower Cask Movement &amp; Logistics'!$H$13:$H$19,0),MATCH($K260,'Lower Cask Movement &amp; Logistics'!$H$13:$H$19,0)),"N/A")</f>
        <v>N/A</v>
      </c>
      <c r="M260" s="2883" t="str">
        <f>IFERROR(VLOOKUP($I260,'Lower Cask Movement &amp; Logistics'!$H$4:$I$8,2,FALSE),"N/A")</f>
        <v>N/A</v>
      </c>
      <c r="N260" s="2883" t="str">
        <f t="shared" si="17"/>
        <v>N/A</v>
      </c>
      <c r="O260" s="2786"/>
      <c r="P260" s="2787" t="str">
        <f>IF($D260="Logistics",VLOOKUP($O260,'Lower Cask Movement &amp; Logistics'!$C$4:$D$54,2,FALSE),"N/A")</f>
        <v>N/A</v>
      </c>
    </row>
    <row r="261" spans="1:19" s="2835" customFormat="1" ht="12.75" customHeight="1" outlineLevel="1" x14ac:dyDescent="0.4">
      <c r="A261" s="2911"/>
      <c r="B261" s="3863" t="s">
        <v>1951</v>
      </c>
      <c r="C261" s="2823" t="s">
        <v>1862</v>
      </c>
      <c r="D261" s="2823" t="s">
        <v>907</v>
      </c>
      <c r="E261" s="2824">
        <f t="shared" si="15"/>
        <v>0</v>
      </c>
      <c r="F261" s="2796">
        <f>IF($D261="Trigger",VLOOKUP("*"&amp;$C261&amp;"*",'Lower Cask Weld Failures'!$D$53:$G$622,4,FALSE),E261+F260)</f>
        <v>0</v>
      </c>
      <c r="G261" s="2790"/>
      <c r="H261" s="2791" t="s">
        <v>263</v>
      </c>
      <c r="I261" s="2823"/>
      <c r="J261" s="2823"/>
      <c r="K261" s="2823"/>
      <c r="L261" s="2824" t="str">
        <f>IFERROR(INDEX('Lower Cask Movement &amp; Logistics'!$I$13:$O$19,MATCH($J261,'Lower Cask Movement &amp; Logistics'!$H$13:$H$19,0),MATCH($K261,'Lower Cask Movement &amp; Logistics'!$H$13:$H$19,0)),"N/A")</f>
        <v>N/A</v>
      </c>
      <c r="M261" s="2824" t="str">
        <f>IFERROR(VLOOKUP($I261,'Lower Cask Movement &amp; Logistics'!$H$4:$I$8,2,FALSE),"N/A")</f>
        <v>N/A</v>
      </c>
      <c r="N261" s="2824" t="str">
        <f t="shared" si="17"/>
        <v>N/A</v>
      </c>
      <c r="O261" s="2795"/>
      <c r="P261" s="2796" t="str">
        <f>IF($D261="Logistics",VLOOKUP($O261,'Lower Cask Movement &amp; Logistics'!$C$4:$D$54,2,FALSE),"N/A")</f>
        <v>N/A</v>
      </c>
    </row>
    <row r="262" spans="1:19" s="2835" customFormat="1" ht="12.75" customHeight="1" outlineLevel="1" x14ac:dyDescent="0.4">
      <c r="A262" s="2911"/>
      <c r="B262" s="3864"/>
      <c r="C262" s="2825" t="s">
        <v>1945</v>
      </c>
      <c r="D262" s="2825" t="s">
        <v>251</v>
      </c>
      <c r="E262" s="2826">
        <f t="shared" si="15"/>
        <v>252.24860004348082</v>
      </c>
      <c r="F262" s="2805">
        <f>IF($D262="Trigger",VLOOKUP("*"&amp;$C262&amp;"*",'Lower Cask Weld Failures'!$D$53:$G$622,4,FALSE),E262+F261)</f>
        <v>252.24860004348082</v>
      </c>
      <c r="G262" s="2808" t="s">
        <v>118</v>
      </c>
      <c r="H262" s="2805">
        <v>252.24860004348082</v>
      </c>
      <c r="I262" s="2825"/>
      <c r="J262" s="2825"/>
      <c r="K262" s="2825"/>
      <c r="L262" s="2826" t="str">
        <f>IFERROR(INDEX('Lower Cask Movement &amp; Logistics'!$I$13:$O$19,MATCH($J262,'Lower Cask Movement &amp; Logistics'!$H$13:$H$19,0),MATCH($K262,'Lower Cask Movement &amp; Logistics'!$H$13:$H$19,0)),"N/A")</f>
        <v>N/A</v>
      </c>
      <c r="M262" s="2826" t="str">
        <f>IFERROR(VLOOKUP($I262,'Lower Cask Movement &amp; Logistics'!$H$4:$I$8,2,FALSE),"N/A")</f>
        <v>N/A</v>
      </c>
      <c r="N262" s="2826" t="str">
        <f t="shared" si="17"/>
        <v>N/A</v>
      </c>
      <c r="O262" s="2809"/>
      <c r="P262" s="2805" t="str">
        <f>IF($D262="Logistics",VLOOKUP($O262,'Lower Cask Movement &amp; Logistics'!$C$4:$D$54,2,FALSE),"N/A")</f>
        <v>N/A</v>
      </c>
    </row>
    <row r="263" spans="1:19" s="2835" customFormat="1" ht="13.5" customHeight="1" outlineLevel="1" thickBot="1" x14ac:dyDescent="0.45">
      <c r="A263" s="2917"/>
      <c r="B263" s="3865"/>
      <c r="C263" s="2827" t="str">
        <f>B261</f>
        <v>LIB Upper Port Pipe Module installed</v>
      </c>
      <c r="D263" s="2827" t="s">
        <v>11</v>
      </c>
      <c r="E263" s="2828">
        <f t="shared" si="15"/>
        <v>0</v>
      </c>
      <c r="F263" s="2822">
        <f>IF($D263="Trigger",VLOOKUP("*"&amp;$C263&amp;"*",'Lower Cask Weld Failures'!$D$53:$G$622,4,FALSE),E263+F262)</f>
        <v>252.24860004348082</v>
      </c>
      <c r="G263" s="2812"/>
      <c r="H263" s="2813" t="s">
        <v>263</v>
      </c>
      <c r="I263" s="2827"/>
      <c r="J263" s="2827"/>
      <c r="K263" s="2827"/>
      <c r="L263" s="2828" t="str">
        <f>IFERROR(INDEX('Lower Cask Movement &amp; Logistics'!$I$13:$O$19,MATCH($J263,'Lower Cask Movement &amp; Logistics'!$H$13:$H$19,0),MATCH($K263,'Lower Cask Movement &amp; Logistics'!$H$13:$H$19,0)),"N/A")</f>
        <v>N/A</v>
      </c>
      <c r="M263" s="2828" t="str">
        <f>IFERROR(VLOOKUP($I263,'Lower Cask Movement &amp; Logistics'!$H$4:$I$8,2,FALSE),"N/A")</f>
        <v>N/A</v>
      </c>
      <c r="N263" s="2828" t="str">
        <f t="shared" si="17"/>
        <v>N/A</v>
      </c>
      <c r="O263" s="2817"/>
      <c r="P263" s="2822" t="str">
        <f>IF($D263="Logistics",VLOOKUP($O263,'Lower Cask Movement &amp; Logistics'!$C$4:$D$54,2,FALSE),"N/A")</f>
        <v>N/A</v>
      </c>
    </row>
    <row r="264" spans="1:19" s="2835" customFormat="1" ht="12.75" customHeight="1" outlineLevel="1" x14ac:dyDescent="0.4">
      <c r="A264" s="2917"/>
      <c r="B264" s="3866" t="s">
        <v>1880</v>
      </c>
      <c r="C264" s="2878" t="s">
        <v>1862</v>
      </c>
      <c r="D264" s="2878" t="s">
        <v>907</v>
      </c>
      <c r="E264" s="2879">
        <f t="shared" si="15"/>
        <v>0</v>
      </c>
      <c r="F264" s="2763">
        <f>IF($D264="Trigger",VLOOKUP("*"&amp;$C264&amp;"*",'Lower Cask Weld Failures'!$D$53:$G$622,4,FALSE),E264+F263)</f>
        <v>0</v>
      </c>
      <c r="G264" s="2757"/>
      <c r="H264" s="2758" t="s">
        <v>263</v>
      </c>
      <c r="I264" s="2878"/>
      <c r="J264" s="2878"/>
      <c r="K264" s="2878"/>
      <c r="L264" s="2879" t="str">
        <f>IFERROR(INDEX('Lower Cask Movement &amp; Logistics'!$I$13:$O$19,MATCH($J264,'Lower Cask Movement &amp; Logistics'!$H$13:$H$19,0),MATCH($K264,'Lower Cask Movement &amp; Logistics'!$H$13:$H$19,0)),"N/A")</f>
        <v>N/A</v>
      </c>
      <c r="M264" s="2879" t="str">
        <f>IFERROR(VLOOKUP($I264,'Lower Cask Movement &amp; Logistics'!$H$4:$I$8,2,FALSE),"N/A")</f>
        <v>N/A</v>
      </c>
      <c r="N264" s="2879" t="str">
        <f t="shared" si="17"/>
        <v>N/A</v>
      </c>
      <c r="O264" s="2762"/>
      <c r="P264" s="2763" t="str">
        <f>IF($D264="Logistics",VLOOKUP($O264,'Lower Cask Movement &amp; Logistics'!$C$4:$D$54,2,FALSE),"N/A")</f>
        <v>N/A</v>
      </c>
    </row>
    <row r="265" spans="1:19" s="2835" customFormat="1" ht="12.75" customHeight="1" outlineLevel="1" x14ac:dyDescent="0.4">
      <c r="A265" s="2917"/>
      <c r="B265" s="3867"/>
      <c r="C265" s="2880" t="s">
        <v>1945</v>
      </c>
      <c r="D265" s="2880" t="s">
        <v>251</v>
      </c>
      <c r="E265" s="2881">
        <f t="shared" si="15"/>
        <v>138.2857829360849</v>
      </c>
      <c r="F265" s="2774">
        <f>IF($D265="Trigger",VLOOKUP("*"&amp;$C265&amp;"*",'Lower Cask Weld Failures'!$D$53:$G$622,4,FALSE),E265+F264)</f>
        <v>138.2857829360849</v>
      </c>
      <c r="G265" s="2777" t="s">
        <v>141</v>
      </c>
      <c r="H265" s="2774">
        <v>138.2857829360849</v>
      </c>
      <c r="I265" s="2880"/>
      <c r="J265" s="2880"/>
      <c r="K265" s="2880"/>
      <c r="L265" s="2881" t="str">
        <f>IFERROR(INDEX('Lower Cask Movement &amp; Logistics'!$I$13:$O$19,MATCH($J265,'Lower Cask Movement &amp; Logistics'!$H$13:$H$19,0),MATCH($K265,'Lower Cask Movement &amp; Logistics'!$H$13:$H$19,0)),"N/A")</f>
        <v>N/A</v>
      </c>
      <c r="M265" s="2881" t="str">
        <f>IFERROR(VLOOKUP($I265,'Lower Cask Movement &amp; Logistics'!$H$4:$I$8,2,FALSE),"N/A")</f>
        <v>N/A</v>
      </c>
      <c r="N265" s="2881" t="str">
        <f t="shared" si="17"/>
        <v>N/A</v>
      </c>
      <c r="O265" s="2778"/>
      <c r="P265" s="2774" t="str">
        <f>IF($D265="Logistics",VLOOKUP($O265,'Lower Cask Movement &amp; Logistics'!$C$4:$D$54,2,FALSE),"N/A")</f>
        <v>N/A</v>
      </c>
    </row>
    <row r="266" spans="1:19" s="2835" customFormat="1" ht="13.5" customHeight="1" outlineLevel="1" thickBot="1" x14ac:dyDescent="0.45">
      <c r="A266" s="2917"/>
      <c r="B266" s="3868"/>
      <c r="C266" s="2882" t="str">
        <f>B264</f>
        <v>RIB Blanket segment installed</v>
      </c>
      <c r="D266" s="2882" t="s">
        <v>11</v>
      </c>
      <c r="E266" s="2883">
        <f t="shared" si="15"/>
        <v>0</v>
      </c>
      <c r="F266" s="2787">
        <f>IF($D266="Trigger",VLOOKUP("*"&amp;$C266&amp;"*",'Lower Cask Weld Failures'!$D$53:$G$622,4,FALSE),E266+F265)</f>
        <v>138.2857829360849</v>
      </c>
      <c r="G266" s="2781"/>
      <c r="H266" s="2782" t="s">
        <v>263</v>
      </c>
      <c r="I266" s="2882"/>
      <c r="J266" s="2882"/>
      <c r="K266" s="2882"/>
      <c r="L266" s="2883" t="str">
        <f>IFERROR(INDEX('Lower Cask Movement &amp; Logistics'!$I$13:$O$19,MATCH($J266,'Lower Cask Movement &amp; Logistics'!$H$13:$H$19,0),MATCH($K266,'Lower Cask Movement &amp; Logistics'!$H$13:$H$19,0)),"N/A")</f>
        <v>N/A</v>
      </c>
      <c r="M266" s="2883" t="str">
        <f>IFERROR(VLOOKUP($I266,'Lower Cask Movement &amp; Logistics'!$H$4:$I$8,2,FALSE),"N/A")</f>
        <v>N/A</v>
      </c>
      <c r="N266" s="2883" t="str">
        <f t="shared" si="17"/>
        <v>N/A</v>
      </c>
      <c r="O266" s="2786"/>
      <c r="P266" s="2787" t="str">
        <f>IF($D266="Logistics",VLOOKUP($O266,'Lower Cask Movement &amp; Logistics'!$C$4:$D$54,2,FALSE),"N/A")</f>
        <v>N/A</v>
      </c>
    </row>
    <row r="267" spans="1:19" s="2835" customFormat="1" ht="12.75" customHeight="1" outlineLevel="1" x14ac:dyDescent="0.4">
      <c r="A267" s="2917"/>
      <c r="B267" s="3863" t="s">
        <v>1894</v>
      </c>
      <c r="C267" s="2823" t="s">
        <v>1862</v>
      </c>
      <c r="D267" s="2823" t="s">
        <v>907</v>
      </c>
      <c r="E267" s="2824">
        <f t="shared" si="15"/>
        <v>0</v>
      </c>
      <c r="F267" s="2796">
        <f>IF($D267="Trigger",VLOOKUP("*"&amp;$C267&amp;"*",'Lower Cask Weld Failures'!$D$53:$G$622,4,FALSE),E267+F266)</f>
        <v>0</v>
      </c>
      <c r="G267" s="2790"/>
      <c r="H267" s="2791" t="s">
        <v>263</v>
      </c>
      <c r="I267" s="2823"/>
      <c r="J267" s="2823"/>
      <c r="K267" s="2823"/>
      <c r="L267" s="2824" t="str">
        <f>IFERROR(INDEX('Lower Cask Movement &amp; Logistics'!$I$13:$O$19,MATCH($J267,'Lower Cask Movement &amp; Logistics'!$H$13:$H$19,0),MATCH($K267,'Lower Cask Movement &amp; Logistics'!$H$13:$H$19,0)),"N/A")</f>
        <v>N/A</v>
      </c>
      <c r="M267" s="2824" t="str">
        <f>IFERROR(VLOOKUP($I267,'Lower Cask Movement &amp; Logistics'!$H$4:$I$8,2,FALSE),"N/A")</f>
        <v>N/A</v>
      </c>
      <c r="N267" s="2824" t="str">
        <f t="shared" si="17"/>
        <v>N/A</v>
      </c>
      <c r="O267" s="2795"/>
      <c r="P267" s="2796" t="str">
        <f>IF($D267="Logistics",VLOOKUP($O267,'Lower Cask Movement &amp; Logistics'!$C$4:$D$54,2,FALSE),"N/A")</f>
        <v>N/A</v>
      </c>
    </row>
    <row r="268" spans="1:19" s="2835" customFormat="1" ht="12.75" customHeight="1" outlineLevel="1" x14ac:dyDescent="0.4">
      <c r="A268" s="2917"/>
      <c r="B268" s="3864"/>
      <c r="C268" s="2825" t="s">
        <v>1945</v>
      </c>
      <c r="D268" s="2825" t="s">
        <v>251</v>
      </c>
      <c r="E268" s="2826">
        <f t="shared" si="15"/>
        <v>195.51800515830732</v>
      </c>
      <c r="F268" s="2805">
        <f>IF($D268="Trigger",VLOOKUP("*"&amp;$C268&amp;"*",'Lower Cask Weld Failures'!$D$53:$G$622,4,FALSE),E268+F267)</f>
        <v>195.51800515830732</v>
      </c>
      <c r="G268" s="2808" t="s">
        <v>117</v>
      </c>
      <c r="H268" s="2805">
        <v>195.51800515830732</v>
      </c>
      <c r="I268" s="2825"/>
      <c r="J268" s="2825"/>
      <c r="K268" s="2825"/>
      <c r="L268" s="2826" t="str">
        <f>IFERROR(INDEX('Lower Cask Movement &amp; Logistics'!$I$13:$O$19,MATCH($J268,'Lower Cask Movement &amp; Logistics'!$H$13:$H$19,0),MATCH($K268,'Lower Cask Movement &amp; Logistics'!$H$13:$H$19,0)),"N/A")</f>
        <v>N/A</v>
      </c>
      <c r="M268" s="2826" t="str">
        <f>IFERROR(VLOOKUP($I268,'Lower Cask Movement &amp; Logistics'!$H$4:$I$8,2,FALSE),"N/A")</f>
        <v>N/A</v>
      </c>
      <c r="N268" s="2826" t="str">
        <f t="shared" si="17"/>
        <v>N/A</v>
      </c>
      <c r="O268" s="2809"/>
      <c r="P268" s="2805" t="str">
        <f>IF($D268="Logistics",VLOOKUP($O268,'Lower Cask Movement &amp; Logistics'!$C$4:$D$54,2,FALSE),"N/A")</f>
        <v>N/A</v>
      </c>
    </row>
    <row r="269" spans="1:19" s="2835" customFormat="1" ht="13.5" customHeight="1" outlineLevel="1" thickBot="1" x14ac:dyDescent="0.45">
      <c r="A269" s="2917"/>
      <c r="B269" s="3865"/>
      <c r="C269" s="2827" t="str">
        <f>B267</f>
        <v>RIB Upper Port Pipe Module installed</v>
      </c>
      <c r="D269" s="2827" t="s">
        <v>11</v>
      </c>
      <c r="E269" s="2828">
        <f t="shared" si="15"/>
        <v>0</v>
      </c>
      <c r="F269" s="2822">
        <f>IF($D269="Trigger",VLOOKUP("*"&amp;$C269&amp;"*",'Lower Cask Weld Failures'!$D$53:$G$622,4,FALSE),E269+F268)</f>
        <v>195.51800515830732</v>
      </c>
      <c r="G269" s="2812"/>
      <c r="H269" s="2813" t="s">
        <v>263</v>
      </c>
      <c r="I269" s="2827"/>
      <c r="J269" s="2827"/>
      <c r="K269" s="2827"/>
      <c r="L269" s="2828" t="str">
        <f>IFERROR(INDEX('Lower Cask Movement &amp; Logistics'!$I$13:$O$19,MATCH($J269,'Lower Cask Movement &amp; Logistics'!$H$13:$H$19,0),MATCH($K269,'Lower Cask Movement &amp; Logistics'!$H$13:$H$19,0)),"N/A")</f>
        <v>N/A</v>
      </c>
      <c r="M269" s="2828" t="str">
        <f>IFERROR(VLOOKUP($I269,'Lower Cask Movement &amp; Logistics'!$H$4:$I$8,2,FALSE),"N/A")</f>
        <v>N/A</v>
      </c>
      <c r="N269" s="2828" t="str">
        <f t="shared" si="17"/>
        <v>N/A</v>
      </c>
      <c r="O269" s="2817"/>
      <c r="P269" s="2822" t="str">
        <f>IF($D269="Logistics",VLOOKUP($O269,'Lower Cask Movement &amp; Logistics'!$C$4:$D$54,2,FALSE),"N/A")</f>
        <v>N/A</v>
      </c>
    </row>
    <row r="270" spans="1:19" s="2835" customFormat="1" ht="13.3" thickBot="1" x14ac:dyDescent="0.45">
      <c r="A270" s="2918"/>
      <c r="B270" s="2919"/>
      <c r="C270" s="2920"/>
      <c r="D270" s="2920"/>
      <c r="E270" s="2920"/>
      <c r="F270" s="2920"/>
      <c r="G270" s="2920"/>
      <c r="H270" s="2921"/>
      <c r="I270" s="2920"/>
      <c r="J270" s="2920"/>
      <c r="K270" s="2920"/>
      <c r="L270" s="2922"/>
      <c r="M270" s="2922"/>
      <c r="N270" s="2922"/>
      <c r="O270" s="2920"/>
      <c r="P270" s="2923"/>
    </row>
    <row r="271" spans="1:19" s="2835" customFormat="1" x14ac:dyDescent="0.4">
      <c r="A271" s="2908"/>
      <c r="B271" s="2909" t="s">
        <v>1968</v>
      </c>
      <c r="C271" s="2909"/>
      <c r="D271" s="2909"/>
      <c r="E271" s="2909"/>
      <c r="F271" s="2909"/>
      <c r="G271" s="2909"/>
      <c r="H271" s="2909"/>
      <c r="I271" s="2909"/>
      <c r="J271" s="2909"/>
      <c r="K271" s="2909"/>
      <c r="L271" s="2909"/>
      <c r="M271" s="2909"/>
      <c r="N271" s="2909"/>
      <c r="O271" s="2909"/>
      <c r="P271" s="2910"/>
    </row>
    <row r="272" spans="1:19" s="2835" customFormat="1" ht="13.3" outlineLevel="1" thickBot="1" x14ac:dyDescent="0.45">
      <c r="A272" s="2911"/>
      <c r="B272" s="2912"/>
      <c r="C272" s="2913"/>
      <c r="D272" s="2913"/>
      <c r="E272" s="2913"/>
      <c r="F272" s="2913"/>
      <c r="G272" s="2913"/>
      <c r="H272" s="2914"/>
      <c r="I272" s="2913"/>
      <c r="J272" s="2913"/>
      <c r="K272" s="2913"/>
      <c r="L272" s="2915"/>
      <c r="M272" s="2915"/>
      <c r="N272" s="2915"/>
      <c r="O272" s="2913"/>
      <c r="P272" s="2916"/>
    </row>
    <row r="273" spans="1:19" s="2764" customFormat="1" ht="15" customHeight="1" outlineLevel="1" x14ac:dyDescent="0.4">
      <c r="A273" s="2911"/>
      <c r="B273" s="3863" t="s">
        <v>1899</v>
      </c>
      <c r="C273" s="2788" t="s">
        <v>1905</v>
      </c>
      <c r="D273" s="2788" t="s">
        <v>907</v>
      </c>
      <c r="E273" s="2789">
        <f t="shared" ref="E273:E285" si="18">MAX($P273,$N273,$H273)</f>
        <v>0</v>
      </c>
      <c r="F273" s="2789">
        <f>IF($D273="Trigger",VLOOKUP("*"&amp;$C273&amp;"*",'Lower Cask Weld Failures'!$D$404:$G$411,4,FALSE),E273+F272)</f>
        <v>0</v>
      </c>
      <c r="G273" s="2790"/>
      <c r="H273" s="2791" t="s">
        <v>263</v>
      </c>
      <c r="I273" s="2792"/>
      <c r="J273" s="2788"/>
      <c r="K273" s="2788"/>
      <c r="L273" s="2793" t="str">
        <f>IFERROR(INDEX('Lower Cask Movement &amp; Logistics'!$I$13:$O$19,MATCH($J273,'Lower Cask Movement &amp; Logistics'!$H$13:$H$19,0),MATCH($K273,'Lower Cask Movement &amp; Logistics'!$H$13:$H$19,0)),"N/A")</f>
        <v>N/A</v>
      </c>
      <c r="M273" s="2793" t="str">
        <f>IFERROR(VLOOKUP($I273,'Lower Cask Movement &amp; Logistics'!$H$4:$I$8,2,FALSE),"N/A")</f>
        <v>N/A</v>
      </c>
      <c r="N273" s="2794" t="str">
        <f t="shared" ref="N273:N279" si="19">IF(D273="Movement",IFERROR((L273/M273)/(60*60),"Error"),"N/A")</f>
        <v>N/A</v>
      </c>
      <c r="O273" s="2795"/>
      <c r="P273" s="2796" t="str">
        <f>IF($D273="Logistics",VLOOKUP($O273,'Lower Cask Movement &amp; Logistics'!$C$4:$D$54,2,FALSE),"N/A")</f>
        <v>N/A</v>
      </c>
      <c r="R273" s="2765"/>
      <c r="S273" s="2765"/>
    </row>
    <row r="274" spans="1:19" s="2764" customFormat="1" ht="15" customHeight="1" outlineLevel="1" x14ac:dyDescent="0.4">
      <c r="A274" s="2911"/>
      <c r="B274" s="3864"/>
      <c r="C274" s="2797" t="s">
        <v>1732</v>
      </c>
      <c r="D274" s="2798" t="s">
        <v>778</v>
      </c>
      <c r="E274" s="2799">
        <f>MAX($P274,$N274,$H274)</f>
        <v>0.23148148148148148</v>
      </c>
      <c r="F274" s="2799">
        <f>IF($D274="Trigger",VLOOKUP("*"&amp;$C274&amp;"*",'Lower Cask Weld Failures'!$D$404:$G$411,4,FALSE),E274+F273)</f>
        <v>0.23148148148148148</v>
      </c>
      <c r="G274" s="2861"/>
      <c r="H274" s="2801" t="s">
        <v>263</v>
      </c>
      <c r="I274" s="2802" t="s">
        <v>1536</v>
      </c>
      <c r="J274" s="2798" t="s">
        <v>1203</v>
      </c>
      <c r="K274" s="2798" t="s">
        <v>914</v>
      </c>
      <c r="L274" s="2803">
        <f>IFERROR(INDEX('Lower Cask Movement &amp; Logistics'!$I$13:$O$19,MATCH($J274,'Lower Cask Movement &amp; Logistics'!$H$13:$H$19,0),MATCH($K274,'Lower Cask Movement &amp; Logistics'!$H$13:$H$19,0)),"N/A")</f>
        <v>50</v>
      </c>
      <c r="M274" s="2804">
        <f>IFERROR(VLOOKUP($I274,'Lower Cask Movement &amp; Logistics'!$H$4:$I$8,2,FALSE),"N/A")</f>
        <v>0.06</v>
      </c>
      <c r="N274" s="2805">
        <f t="shared" si="19"/>
        <v>0.23148148148148148</v>
      </c>
      <c r="O274" s="2806"/>
      <c r="P274" s="2807" t="str">
        <f>IF($D274="Logistics",VLOOKUP($O274,'Lower Cask Movement &amp; Logistics'!$C$4:$D$54,2,FALSE),"N/A")</f>
        <v>N/A</v>
      </c>
      <c r="R274" s="2765"/>
      <c r="S274" s="2765"/>
    </row>
    <row r="275" spans="1:19" s="2764" customFormat="1" ht="15" customHeight="1" outlineLevel="1" x14ac:dyDescent="0.4">
      <c r="A275" s="2911"/>
      <c r="B275" s="3864"/>
      <c r="C275" s="2797" t="s">
        <v>1751</v>
      </c>
      <c r="D275" s="2798" t="s">
        <v>3</v>
      </c>
      <c r="E275" s="2799">
        <f t="shared" si="18"/>
        <v>0.58000000000000007</v>
      </c>
      <c r="F275" s="2799">
        <f>IF($D275="Trigger",VLOOKUP("*"&amp;$C275&amp;"*",'Lower Cask Weld Failures'!$D$404:$G$411,4,FALSE),E275+F274)</f>
        <v>0.81148148148148158</v>
      </c>
      <c r="G275" s="2861"/>
      <c r="H275" s="2801" t="s">
        <v>263</v>
      </c>
      <c r="I275" s="2802"/>
      <c r="J275" s="2798"/>
      <c r="K275" s="2798"/>
      <c r="L275" s="2803" t="str">
        <f>IFERROR(INDEX('Lower Cask Movement &amp; Logistics'!$I$13:$O$19,MATCH($J275,'Lower Cask Movement &amp; Logistics'!$H$13:$H$19,0),MATCH($K275,'Lower Cask Movement &amp; Logistics'!$H$13:$H$19,0)),"N/A")</f>
        <v>N/A</v>
      </c>
      <c r="M275" s="2804" t="str">
        <f>IFERROR(VLOOKUP($I275,'Lower Cask Movement &amp; Logistics'!$H$4:$I$8,2,FALSE),"N/A")</f>
        <v>N/A</v>
      </c>
      <c r="N275" s="2805" t="str">
        <f t="shared" si="19"/>
        <v>N/A</v>
      </c>
      <c r="O275" s="2806" t="s">
        <v>1539</v>
      </c>
      <c r="P275" s="2807">
        <f>IF($D275="Logistics",VLOOKUP($O275,'Lower Cask Movement &amp; Logistics'!$C$4:$D$54,2,FALSE),"N/A")</f>
        <v>0.58000000000000007</v>
      </c>
      <c r="R275" s="2765"/>
      <c r="S275" s="2765"/>
    </row>
    <row r="276" spans="1:19" s="2764" customFormat="1" ht="15" customHeight="1" outlineLevel="1" x14ac:dyDescent="0.4">
      <c r="A276" s="2911"/>
      <c r="B276" s="3864"/>
      <c r="C276" s="2797" t="s">
        <v>1737</v>
      </c>
      <c r="D276" s="2798" t="s">
        <v>778</v>
      </c>
      <c r="E276" s="2799">
        <f t="shared" si="18"/>
        <v>2.7777777777777776E-2</v>
      </c>
      <c r="F276" s="2799">
        <f>IF($D276="Trigger",VLOOKUP("*"&amp;$C276&amp;"*",'Lower Cask Weld Failures'!$D$404:$G$411,4,FALSE),E276+F275)</f>
        <v>0.83925925925925937</v>
      </c>
      <c r="G276" s="2861"/>
      <c r="H276" s="2801" t="s">
        <v>263</v>
      </c>
      <c r="I276" s="2802" t="s">
        <v>1738</v>
      </c>
      <c r="J276" s="2798" t="s">
        <v>914</v>
      </c>
      <c r="K276" s="2798" t="s">
        <v>799</v>
      </c>
      <c r="L276" s="2803">
        <f>IFERROR(INDEX('Lower Cask Movement &amp; Logistics'!$I$13:$O$19,MATCH($J276,'Lower Cask Movement &amp; Logistics'!$H$13:$H$19,0),MATCH($K276,'Lower Cask Movement &amp; Logistics'!$H$13:$H$19,0)),"N/A")</f>
        <v>20</v>
      </c>
      <c r="M276" s="2804">
        <f>IFERROR(VLOOKUP($I276,'Lower Cask Movement &amp; Logistics'!$H$4:$I$8,2,FALSE),"N/A")</f>
        <v>0.2</v>
      </c>
      <c r="N276" s="2805">
        <f t="shared" si="19"/>
        <v>2.7777777777777776E-2</v>
      </c>
      <c r="O276" s="2806"/>
      <c r="P276" s="2807" t="str">
        <f>IF($D276="Logistics",VLOOKUP($O276,'Lower Cask Movement &amp; Logistics'!$C$4:$D$54,2,FALSE),"N/A")</f>
        <v>N/A</v>
      </c>
      <c r="R276" s="2765"/>
      <c r="S276" s="2765"/>
    </row>
    <row r="277" spans="1:19" s="2764" customFormat="1" ht="14.6" outlineLevel="1" x14ac:dyDescent="0.4">
      <c r="A277" s="2911"/>
      <c r="B277" s="3864"/>
      <c r="C277" s="2798" t="s">
        <v>1762</v>
      </c>
      <c r="D277" s="2798" t="s">
        <v>3</v>
      </c>
      <c r="E277" s="2799">
        <f t="shared" si="18"/>
        <v>0.88000000000000012</v>
      </c>
      <c r="F277" s="2799">
        <f>IF($D277="Trigger",VLOOKUP("*"&amp;$C277&amp;"*",'Lower Cask Weld Failures'!$D$404:$G$411,4,FALSE),E277+F276)</f>
        <v>1.7192592592592595</v>
      </c>
      <c r="G277" s="2861"/>
      <c r="H277" s="2801" t="s">
        <v>263</v>
      </c>
      <c r="I277" s="2802"/>
      <c r="J277" s="2798"/>
      <c r="K277" s="2798"/>
      <c r="L277" s="2803" t="str">
        <f>IFERROR(INDEX('Lower Cask Movement &amp; Logistics'!$I$13:$O$19,MATCH($J277,'Lower Cask Movement &amp; Logistics'!$H$13:$H$19,0),MATCH($K277,'Lower Cask Movement &amp; Logistics'!$H$13:$H$19,0)),"N/A")</f>
        <v>N/A</v>
      </c>
      <c r="M277" s="2804" t="str">
        <f>IFERROR(VLOOKUP($I277,'Lower Cask Movement &amp; Logistics'!$H$4:$I$8,2,FALSE),"N/A")</f>
        <v>N/A</v>
      </c>
      <c r="N277" s="2805" t="str">
        <f t="shared" si="19"/>
        <v>N/A</v>
      </c>
      <c r="O277" s="2809" t="s">
        <v>1730</v>
      </c>
      <c r="P277" s="2807">
        <f>IF($D277="Logistics",VLOOKUP($O277,'Lower Cask Movement &amp; Logistics'!$C$4:$D$54,2,FALSE),"N/A")</f>
        <v>0.88000000000000012</v>
      </c>
      <c r="R277" s="2765"/>
      <c r="S277" s="2765"/>
    </row>
    <row r="278" spans="1:19" s="2764" customFormat="1" ht="14.6" outlineLevel="1" x14ac:dyDescent="0.4">
      <c r="A278" s="2911"/>
      <c r="B278" s="3864"/>
      <c r="C278" s="2798" t="s">
        <v>1763</v>
      </c>
      <c r="D278" s="2798" t="s">
        <v>778</v>
      </c>
      <c r="E278" s="2799">
        <f t="shared" si="18"/>
        <v>0.69444444444444442</v>
      </c>
      <c r="F278" s="2799">
        <f>IF($D278="Trigger",VLOOKUP("*"&amp;$C278&amp;"*",'Lower Cask Weld Failures'!$D$404:$G$411,4,FALSE),E278+F277)</f>
        <v>2.4137037037037041</v>
      </c>
      <c r="G278" s="2861"/>
      <c r="H278" s="2801" t="s">
        <v>263</v>
      </c>
      <c r="I278" s="2802" t="s">
        <v>1538</v>
      </c>
      <c r="J278" s="2798" t="s">
        <v>799</v>
      </c>
      <c r="K278" s="2798" t="s">
        <v>1203</v>
      </c>
      <c r="L278" s="2803">
        <f>IFERROR(INDEX('Lower Cask Movement &amp; Logistics'!$I$13:$O$19,MATCH($J278,'Lower Cask Movement &amp; Logistics'!$H$13:$H$19,0),MATCH($K278,'Lower Cask Movement &amp; Logistics'!$H$13:$H$19,0)),"N/A")</f>
        <v>50</v>
      </c>
      <c r="M278" s="2804">
        <f>IFERROR(VLOOKUP($I278,'Lower Cask Movement &amp; Logistics'!$H$4:$I$8,2,FALSE),"N/A")</f>
        <v>0.02</v>
      </c>
      <c r="N278" s="2805">
        <f t="shared" si="19"/>
        <v>0.69444444444444442</v>
      </c>
      <c r="O278" s="2809"/>
      <c r="P278" s="2807" t="str">
        <f>IF($D278="Logistics",VLOOKUP($O278,'Lower Cask Movement &amp; Logistics'!$C$4:$D$54,2,FALSE),"N/A")</f>
        <v>N/A</v>
      </c>
      <c r="R278" s="2765"/>
      <c r="S278" s="2765"/>
    </row>
    <row r="279" spans="1:19" s="2764" customFormat="1" ht="26.6" outlineLevel="1" thickBot="1" x14ac:dyDescent="0.45">
      <c r="A279" s="2911"/>
      <c r="B279" s="3865"/>
      <c r="C279" s="2810" t="str">
        <f>B273</f>
        <v>Inboard Port Pipework Cask Stored; Inner Port Pipework cask Prepared; Inner Port Pipework Cask Moved to Lower Port</v>
      </c>
      <c r="D279" s="2810" t="s">
        <v>11</v>
      </c>
      <c r="E279" s="2811">
        <f t="shared" si="18"/>
        <v>0</v>
      </c>
      <c r="F279" s="2799">
        <f>IF($D279="Trigger",VLOOKUP("*"&amp;$C279&amp;"*",'Lower Cask Weld Failures'!$D$404:$G$411,4,FALSE),E279+F278)</f>
        <v>2.4137037037037041</v>
      </c>
      <c r="G279" s="2812"/>
      <c r="H279" s="2813" t="s">
        <v>263</v>
      </c>
      <c r="I279" s="2814"/>
      <c r="J279" s="2810"/>
      <c r="K279" s="2810"/>
      <c r="L279" s="2815" t="str">
        <f>IFERROR(INDEX('Lower Cask Movement &amp; Logistics'!$I$13:$O$19,MATCH($J279,'Lower Cask Movement &amp; Logistics'!$H$13:$H$19,0),MATCH($K279,'Lower Cask Movement &amp; Logistics'!$H$13:$H$19,0)),"N/A")</f>
        <v>N/A</v>
      </c>
      <c r="M279" s="2815" t="str">
        <f>IFERROR(VLOOKUP($I279,'Lower Cask Movement &amp; Logistics'!$H$4:$I$8,2,FALSE),"N/A")</f>
        <v>N/A</v>
      </c>
      <c r="N279" s="2816" t="str">
        <f t="shared" si="19"/>
        <v>N/A</v>
      </c>
      <c r="O279" s="2817"/>
      <c r="P279" s="2822" t="str">
        <f>IF($D279="Logistics",VLOOKUP($O279,'Lower Cask Movement &amp; Logistics'!$C$4:$D$54,2,FALSE),"N/A")</f>
        <v>N/A</v>
      </c>
      <c r="R279" s="2765"/>
      <c r="S279" s="2765"/>
    </row>
    <row r="280" spans="1:19" s="2835" customFormat="1" ht="12.75" customHeight="1" outlineLevel="1" x14ac:dyDescent="0.4">
      <c r="A280" s="2917"/>
      <c r="B280" s="3866" t="s">
        <v>1880</v>
      </c>
      <c r="C280" s="2878" t="s">
        <v>1862</v>
      </c>
      <c r="D280" s="2878" t="s">
        <v>907</v>
      </c>
      <c r="E280" s="2879">
        <f t="shared" si="18"/>
        <v>0</v>
      </c>
      <c r="F280" s="2763">
        <f>IF($D280="Trigger",VLOOKUP("*"&amp;$C280&amp;"*",'Lower Cask Weld Failures'!$D$53:$G$622,4,FALSE),E280+#REF!)</f>
        <v>0</v>
      </c>
      <c r="G280" s="2757"/>
      <c r="H280" s="2758" t="s">
        <v>263</v>
      </c>
      <c r="I280" s="2878"/>
      <c r="J280" s="2878"/>
      <c r="K280" s="2878"/>
      <c r="L280" s="2879" t="str">
        <f>IFERROR(INDEX('Lower Cask Movement &amp; Logistics'!$I$13:$O$19,MATCH($J280,'Lower Cask Movement &amp; Logistics'!$H$13:$H$19,0),MATCH($K280,'Lower Cask Movement &amp; Logistics'!$H$13:$H$19,0)),"N/A")</f>
        <v>N/A</v>
      </c>
      <c r="M280" s="2879" t="str">
        <f>IFERROR(VLOOKUP($I280,'Lower Cask Movement &amp; Logistics'!$H$4:$I$8,2,FALSE),"N/A")</f>
        <v>N/A</v>
      </c>
      <c r="N280" s="2879" t="str">
        <f t="shared" ref="N280:N285" si="20">IF(D280="Movement",IFERROR((L280/M280)/(60*60),"Error"),"N/A")</f>
        <v>N/A</v>
      </c>
      <c r="O280" s="2762"/>
      <c r="P280" s="2763" t="str">
        <f>IF($D280="Logistics",VLOOKUP($O280,'Lower Cask Movement &amp; Logistics'!$C$4:$D$54,2,FALSE),"N/A")</f>
        <v>N/A</v>
      </c>
    </row>
    <row r="281" spans="1:19" s="2835" customFormat="1" ht="12.75" customHeight="1" outlineLevel="1" x14ac:dyDescent="0.4">
      <c r="A281" s="2917"/>
      <c r="B281" s="3867"/>
      <c r="C281" s="2880" t="s">
        <v>1945</v>
      </c>
      <c r="D281" s="2880" t="s">
        <v>251</v>
      </c>
      <c r="E281" s="2881">
        <f t="shared" si="18"/>
        <v>138.2857829360849</v>
      </c>
      <c r="F281" s="2774">
        <f>IF($D281="Trigger",VLOOKUP("*"&amp;$C281&amp;"*",'Lower Cask Weld Failures'!$D$53:$G$622,4,FALSE),E281+F280)</f>
        <v>138.2857829360849</v>
      </c>
      <c r="G281" s="2777" t="s">
        <v>141</v>
      </c>
      <c r="H281" s="2774">
        <v>138.2857829360849</v>
      </c>
      <c r="I281" s="2880"/>
      <c r="J281" s="2880"/>
      <c r="K281" s="2880"/>
      <c r="L281" s="2881" t="str">
        <f>IFERROR(INDEX('Lower Cask Movement &amp; Logistics'!$I$13:$O$19,MATCH($J281,'Lower Cask Movement &amp; Logistics'!$H$13:$H$19,0),MATCH($K281,'Lower Cask Movement &amp; Logistics'!$H$13:$H$19,0)),"N/A")</f>
        <v>N/A</v>
      </c>
      <c r="M281" s="2881" t="str">
        <f>IFERROR(VLOOKUP($I281,'Lower Cask Movement &amp; Logistics'!$H$4:$I$8,2,FALSE),"N/A")</f>
        <v>N/A</v>
      </c>
      <c r="N281" s="2881" t="str">
        <f t="shared" si="20"/>
        <v>N/A</v>
      </c>
      <c r="O281" s="2778"/>
      <c r="P281" s="2774" t="str">
        <f>IF($D281="Logistics",VLOOKUP($O281,'Lower Cask Movement &amp; Logistics'!$C$4:$D$54,2,FALSE),"N/A")</f>
        <v>N/A</v>
      </c>
    </row>
    <row r="282" spans="1:19" s="2835" customFormat="1" ht="13.5" customHeight="1" outlineLevel="1" thickBot="1" x14ac:dyDescent="0.45">
      <c r="A282" s="2917"/>
      <c r="B282" s="3868"/>
      <c r="C282" s="2882" t="str">
        <f>B280</f>
        <v>RIB Blanket segment installed</v>
      </c>
      <c r="D282" s="2882" t="s">
        <v>11</v>
      </c>
      <c r="E282" s="2883">
        <f t="shared" si="18"/>
        <v>0</v>
      </c>
      <c r="F282" s="2787">
        <f>IF($D282="Trigger",VLOOKUP("*"&amp;$C282&amp;"*",'Lower Cask Weld Failures'!$D$53:$G$622,4,FALSE),E282+F281)</f>
        <v>138.2857829360849</v>
      </c>
      <c r="G282" s="2781"/>
      <c r="H282" s="2782" t="s">
        <v>263</v>
      </c>
      <c r="I282" s="2882"/>
      <c r="J282" s="2882"/>
      <c r="K282" s="2882"/>
      <c r="L282" s="2883" t="str">
        <f>IFERROR(INDEX('Lower Cask Movement &amp; Logistics'!$I$13:$O$19,MATCH($J282,'Lower Cask Movement &amp; Logistics'!$H$13:$H$19,0),MATCH($K282,'Lower Cask Movement &amp; Logistics'!$H$13:$H$19,0)),"N/A")</f>
        <v>N/A</v>
      </c>
      <c r="M282" s="2883" t="str">
        <f>IFERROR(VLOOKUP($I282,'Lower Cask Movement &amp; Logistics'!$H$4:$I$8,2,FALSE),"N/A")</f>
        <v>N/A</v>
      </c>
      <c r="N282" s="2883" t="str">
        <f t="shared" si="20"/>
        <v>N/A</v>
      </c>
      <c r="O282" s="2786"/>
      <c r="P282" s="2787" t="str">
        <f>IF($D282="Logistics",VLOOKUP($O282,'Lower Cask Movement &amp; Logistics'!$C$4:$D$54,2,FALSE),"N/A")</f>
        <v>N/A</v>
      </c>
    </row>
    <row r="283" spans="1:19" s="2835" customFormat="1" ht="12.75" customHeight="1" outlineLevel="1" x14ac:dyDescent="0.4">
      <c r="A283" s="2917"/>
      <c r="B283" s="3863" t="s">
        <v>1894</v>
      </c>
      <c r="C283" s="2823" t="s">
        <v>1862</v>
      </c>
      <c r="D283" s="2823" t="s">
        <v>907</v>
      </c>
      <c r="E283" s="2824">
        <f t="shared" si="18"/>
        <v>0</v>
      </c>
      <c r="F283" s="2796">
        <f>IF($D283="Trigger",VLOOKUP("*"&amp;$C283&amp;"*",'Lower Cask Weld Failures'!$D$53:$G$622,4,FALSE),E283+F282)</f>
        <v>0</v>
      </c>
      <c r="G283" s="2790"/>
      <c r="H283" s="2791" t="s">
        <v>263</v>
      </c>
      <c r="I283" s="2823"/>
      <c r="J283" s="2823"/>
      <c r="K283" s="2823"/>
      <c r="L283" s="2824" t="str">
        <f>IFERROR(INDEX('Lower Cask Movement &amp; Logistics'!$I$13:$O$19,MATCH($J283,'Lower Cask Movement &amp; Logistics'!$H$13:$H$19,0),MATCH($K283,'Lower Cask Movement &amp; Logistics'!$H$13:$H$19,0)),"N/A")</f>
        <v>N/A</v>
      </c>
      <c r="M283" s="2824" t="str">
        <f>IFERROR(VLOOKUP($I283,'Lower Cask Movement &amp; Logistics'!$H$4:$I$8,2,FALSE),"N/A")</f>
        <v>N/A</v>
      </c>
      <c r="N283" s="2824" t="str">
        <f t="shared" si="20"/>
        <v>N/A</v>
      </c>
      <c r="O283" s="2795"/>
      <c r="P283" s="2796" t="str">
        <f>IF($D283="Logistics",VLOOKUP($O283,'Lower Cask Movement &amp; Logistics'!$C$4:$D$54,2,FALSE),"N/A")</f>
        <v>N/A</v>
      </c>
    </row>
    <row r="284" spans="1:19" s="2835" customFormat="1" ht="12.75" customHeight="1" outlineLevel="1" x14ac:dyDescent="0.4">
      <c r="A284" s="2917"/>
      <c r="B284" s="3864"/>
      <c r="C284" s="2825" t="s">
        <v>1945</v>
      </c>
      <c r="D284" s="2825" t="s">
        <v>251</v>
      </c>
      <c r="E284" s="2826">
        <f t="shared" si="18"/>
        <v>195.51800515830732</v>
      </c>
      <c r="F284" s="2805">
        <f>IF($D284="Trigger",VLOOKUP("*"&amp;$C284&amp;"*",'Lower Cask Weld Failures'!$D$53:$G$622,4,FALSE),E284+F283)</f>
        <v>195.51800515830732</v>
      </c>
      <c r="G284" s="2808" t="s">
        <v>117</v>
      </c>
      <c r="H284" s="2805">
        <v>195.51800515830732</v>
      </c>
      <c r="I284" s="2825"/>
      <c r="J284" s="2825"/>
      <c r="K284" s="2825"/>
      <c r="L284" s="2826" t="str">
        <f>IFERROR(INDEX('Lower Cask Movement &amp; Logistics'!$I$13:$O$19,MATCH($J284,'Lower Cask Movement &amp; Logistics'!$H$13:$H$19,0),MATCH($K284,'Lower Cask Movement &amp; Logistics'!$H$13:$H$19,0)),"N/A")</f>
        <v>N/A</v>
      </c>
      <c r="M284" s="2826" t="str">
        <f>IFERROR(VLOOKUP($I284,'Lower Cask Movement &amp; Logistics'!$H$4:$I$8,2,FALSE),"N/A")</f>
        <v>N/A</v>
      </c>
      <c r="N284" s="2826" t="str">
        <f t="shared" si="20"/>
        <v>N/A</v>
      </c>
      <c r="O284" s="2809"/>
      <c r="P284" s="2805" t="str">
        <f>IF($D284="Logistics",VLOOKUP($O284,'Lower Cask Movement &amp; Logistics'!$C$4:$D$54,2,FALSE),"N/A")</f>
        <v>N/A</v>
      </c>
    </row>
    <row r="285" spans="1:19" s="2835" customFormat="1" ht="13.5" customHeight="1" outlineLevel="1" thickBot="1" x14ac:dyDescent="0.45">
      <c r="A285" s="2917"/>
      <c r="B285" s="3865"/>
      <c r="C285" s="2827" t="str">
        <f>B283</f>
        <v>RIB Upper Port Pipe Module installed</v>
      </c>
      <c r="D285" s="2827" t="s">
        <v>11</v>
      </c>
      <c r="E285" s="2828">
        <f t="shared" si="18"/>
        <v>0</v>
      </c>
      <c r="F285" s="2822">
        <f>IF($D285="Trigger",VLOOKUP("*"&amp;$C285&amp;"*",'Lower Cask Weld Failures'!$D$53:$G$622,4,FALSE),E285+F284)</f>
        <v>195.51800515830732</v>
      </c>
      <c r="G285" s="2812"/>
      <c r="H285" s="2813" t="s">
        <v>263</v>
      </c>
      <c r="I285" s="2827"/>
      <c r="J285" s="2827"/>
      <c r="K285" s="2827"/>
      <c r="L285" s="2828" t="str">
        <f>IFERROR(INDEX('Lower Cask Movement &amp; Logistics'!$I$13:$O$19,MATCH($J285,'Lower Cask Movement &amp; Logistics'!$H$13:$H$19,0),MATCH($K285,'Lower Cask Movement &amp; Logistics'!$H$13:$H$19,0)),"N/A")</f>
        <v>N/A</v>
      </c>
      <c r="M285" s="2828" t="str">
        <f>IFERROR(VLOOKUP($I285,'Lower Cask Movement &amp; Logistics'!$H$4:$I$8,2,FALSE),"N/A")</f>
        <v>N/A</v>
      </c>
      <c r="N285" s="2828" t="str">
        <f t="shared" si="20"/>
        <v>N/A</v>
      </c>
      <c r="O285" s="2817"/>
      <c r="P285" s="2822" t="str">
        <f>IF($D285="Logistics",VLOOKUP($O285,'Lower Cask Movement &amp; Logistics'!$C$4:$D$54,2,FALSE),"N/A")</f>
        <v>N/A</v>
      </c>
    </row>
    <row r="286" spans="1:19" s="2835" customFormat="1" ht="13.3" thickBot="1" x14ac:dyDescent="0.45">
      <c r="A286" s="2918"/>
      <c r="B286" s="2919"/>
      <c r="C286" s="2920"/>
      <c r="D286" s="2920"/>
      <c r="E286" s="2920"/>
      <c r="F286" s="2920"/>
      <c r="G286" s="2920"/>
      <c r="H286" s="2921"/>
      <c r="I286" s="2920"/>
      <c r="J286" s="2920"/>
      <c r="K286" s="2920"/>
      <c r="L286" s="2922"/>
      <c r="M286" s="2922"/>
      <c r="N286" s="2922"/>
      <c r="O286" s="2920"/>
      <c r="P286" s="2923"/>
    </row>
    <row r="287" spans="1:19" s="2835" customFormat="1" x14ac:dyDescent="0.4">
      <c r="A287" s="2924"/>
      <c r="B287" s="2925" t="s">
        <v>1969</v>
      </c>
      <c r="C287" s="2925"/>
      <c r="D287" s="2925"/>
      <c r="E287" s="2925"/>
      <c r="F287" s="2925"/>
      <c r="G287" s="2925"/>
      <c r="H287" s="2925"/>
      <c r="I287" s="2925"/>
      <c r="J287" s="2925"/>
      <c r="K287" s="2925"/>
      <c r="L287" s="2925"/>
      <c r="M287" s="2925"/>
      <c r="N287" s="2925"/>
      <c r="O287" s="2925"/>
      <c r="P287" s="2926"/>
    </row>
    <row r="288" spans="1:19" s="2835" customFormat="1" ht="13.3" outlineLevel="1" thickBot="1" x14ac:dyDescent="0.45">
      <c r="A288" s="2927"/>
      <c r="B288" s="2928"/>
      <c r="C288" s="2929"/>
      <c r="D288" s="2929"/>
      <c r="E288" s="2929"/>
      <c r="F288" s="2929"/>
      <c r="G288" s="2929"/>
      <c r="H288" s="2930"/>
      <c r="I288" s="2929"/>
      <c r="J288" s="2929"/>
      <c r="K288" s="2929"/>
      <c r="L288" s="2931"/>
      <c r="M288" s="2931"/>
      <c r="N288" s="2931"/>
      <c r="O288" s="2929"/>
      <c r="P288" s="2932"/>
    </row>
    <row r="289" spans="1:16" s="2835" customFormat="1" ht="25.5" customHeight="1" outlineLevel="1" x14ac:dyDescent="0.4">
      <c r="A289" s="2927"/>
      <c r="B289" s="3863" t="s">
        <v>1910</v>
      </c>
      <c r="C289" s="2823" t="s">
        <v>1907</v>
      </c>
      <c r="D289" s="2823" t="s">
        <v>907</v>
      </c>
      <c r="E289" s="2824">
        <f t="shared" ref="E289:E298" si="21">MAX($P289,$N289,$H289)</f>
        <v>0</v>
      </c>
      <c r="F289" s="2796">
        <f>IF($D289="Trigger",VLOOKUP($C289,'Lower Cask Weld Failures'!$D$434:$G$487,4,FALSE),E289+F288)</f>
        <v>0</v>
      </c>
      <c r="G289" s="2790"/>
      <c r="H289" s="2791" t="s">
        <v>263</v>
      </c>
      <c r="I289" s="2823"/>
      <c r="J289" s="2823"/>
      <c r="K289" s="2823"/>
      <c r="L289" s="2824" t="str">
        <f>IFERROR(INDEX('Lower Cask Movement &amp; Logistics'!$I$13:$O$19,MATCH($J289,'Lower Cask Movement &amp; Logistics'!$H$13:$H$19,0),MATCH($K289,'Lower Cask Movement &amp; Logistics'!$H$13:$H$19,0)),"N/A")</f>
        <v>N/A</v>
      </c>
      <c r="M289" s="2824" t="str">
        <f>IFERROR(VLOOKUP($I289,'Lower Cask Movement &amp; Logistics'!$H$4:$I$8,2,FALSE),"N/A")</f>
        <v>N/A</v>
      </c>
      <c r="N289" s="2824" t="str">
        <f t="shared" ref="N289:N298" si="22">IF(D289="Movement",IFERROR((L289/M289)/(60*60),"Error"),"N/A")</f>
        <v>N/A</v>
      </c>
      <c r="O289" s="2795"/>
      <c r="P289" s="2796" t="str">
        <f>IF($D289="Logistics",VLOOKUP($O289,'Lower Cask Movement &amp; Logistics'!$C$4:$D$54,2,FALSE),"N/A")</f>
        <v>N/A</v>
      </c>
    </row>
    <row r="290" spans="1:16" s="2835" customFormat="1" ht="12.75" customHeight="1" outlineLevel="1" x14ac:dyDescent="0.4">
      <c r="A290" s="2927"/>
      <c r="B290" s="3864"/>
      <c r="C290" s="2825" t="s">
        <v>1956</v>
      </c>
      <c r="D290" s="2825" t="s">
        <v>778</v>
      </c>
      <c r="E290" s="2826">
        <f t="shared" si="21"/>
        <v>0.69444444444444442</v>
      </c>
      <c r="F290" s="2805">
        <f>IF($D290="Trigger",VLOOKUP($C290,'Lower Cask Weld Failures'!$D$434:$G$487,4,FALSE),E290+F289)</f>
        <v>0.69444444444444442</v>
      </c>
      <c r="G290" s="2808"/>
      <c r="H290" s="2820" t="s">
        <v>263</v>
      </c>
      <c r="I290" s="2825" t="s">
        <v>1789</v>
      </c>
      <c r="J290" s="2825" t="s">
        <v>1203</v>
      </c>
      <c r="K290" s="2825" t="s">
        <v>1957</v>
      </c>
      <c r="L290" s="2826">
        <f>IFERROR(INDEX('Lower Cask Movement &amp; Logistics'!$I$13:$O$19,MATCH($J290,'Lower Cask Movement &amp; Logistics'!$H$13:$H$19,0),MATCH($K290,'Lower Cask Movement &amp; Logistics'!$H$13:$H$19,0)),"N/A")</f>
        <v>50</v>
      </c>
      <c r="M290" s="2826">
        <f>IFERROR(VLOOKUP($I290,'Lower Cask Movement &amp; Logistics'!$H$4:$I$8,2,FALSE),"N/A")</f>
        <v>0.02</v>
      </c>
      <c r="N290" s="2826">
        <f t="shared" si="22"/>
        <v>0.69444444444444442</v>
      </c>
      <c r="O290" s="2809"/>
      <c r="P290" s="2805" t="str">
        <f>IF($D290="Logistics",VLOOKUP($O290,'Lower Cask Movement &amp; Logistics'!$C$4:$D$54,2,FALSE),"N/A")</f>
        <v>N/A</v>
      </c>
    </row>
    <row r="291" spans="1:16" s="2835" customFormat="1" ht="12.75" customHeight="1" outlineLevel="1" x14ac:dyDescent="0.4">
      <c r="A291" s="2927"/>
      <c r="B291" s="3864"/>
      <c r="C291" s="2825" t="s">
        <v>1958</v>
      </c>
      <c r="D291" s="2825" t="s">
        <v>3</v>
      </c>
      <c r="E291" s="2826">
        <f t="shared" si="21"/>
        <v>1.9</v>
      </c>
      <c r="F291" s="2805">
        <f>IF($D291="Trigger",VLOOKUP($C291,'Lower Cask Weld Failures'!$D$434:$G$487,4,FALSE),E291+F290)</f>
        <v>2.5944444444444441</v>
      </c>
      <c r="G291" s="2808"/>
      <c r="H291" s="2820" t="s">
        <v>263</v>
      </c>
      <c r="I291" s="2825"/>
      <c r="J291" s="2825"/>
      <c r="K291" s="2825"/>
      <c r="L291" s="2826" t="str">
        <f>IFERROR(INDEX('Lower Cask Movement &amp; Logistics'!$I$13:$O$19,MATCH($J291,'Lower Cask Movement &amp; Logistics'!$H$13:$H$19,0),MATCH($K291,'Lower Cask Movement &amp; Logistics'!$H$13:$H$19,0)),"N/A")</f>
        <v>N/A</v>
      </c>
      <c r="M291" s="2826" t="str">
        <f>IFERROR(VLOOKUP($I291,'Lower Cask Movement &amp; Logistics'!$H$4:$I$8,2,FALSE),"N/A")</f>
        <v>N/A</v>
      </c>
      <c r="N291" s="2826" t="str">
        <f t="shared" si="22"/>
        <v>N/A</v>
      </c>
      <c r="O291" s="2809" t="s">
        <v>1541</v>
      </c>
      <c r="P291" s="2805">
        <f>IF($D291="Logistics",VLOOKUP($O291,'Lower Cask Movement &amp; Logistics'!$C$4:$D$54,2,FALSE),"N/A")</f>
        <v>1.9</v>
      </c>
    </row>
    <row r="292" spans="1:16" s="2835" customFormat="1" ht="12.75" customHeight="1" outlineLevel="1" x14ac:dyDescent="0.4">
      <c r="A292" s="2927"/>
      <c r="B292" s="3864"/>
      <c r="C292" s="2825" t="s">
        <v>1959</v>
      </c>
      <c r="D292" s="2825" t="s">
        <v>3</v>
      </c>
      <c r="E292" s="2826">
        <f t="shared" si="21"/>
        <v>0.88000000000000012</v>
      </c>
      <c r="F292" s="2805">
        <f>IF($D292="Trigger",VLOOKUP($C292,'Lower Cask Weld Failures'!$D$434:$G$487,4,FALSE),E292+F291)</f>
        <v>3.474444444444444</v>
      </c>
      <c r="G292" s="2808"/>
      <c r="H292" s="2820" t="s">
        <v>263</v>
      </c>
      <c r="I292" s="2825"/>
      <c r="J292" s="2825"/>
      <c r="K292" s="2825"/>
      <c r="L292" s="2826" t="str">
        <f>IFERROR(INDEX('Lower Cask Movement &amp; Logistics'!$I$13:$O$19,MATCH($J292,'Lower Cask Movement &amp; Logistics'!$H$13:$H$19,0),MATCH($K292,'Lower Cask Movement &amp; Logistics'!$H$13:$H$19,0)),"N/A")</f>
        <v>N/A</v>
      </c>
      <c r="M292" s="2826" t="str">
        <f>IFERROR(VLOOKUP($I292,'Lower Cask Movement &amp; Logistics'!$H$4:$I$8,2,FALSE),"N/A")</f>
        <v>N/A</v>
      </c>
      <c r="N292" s="2826" t="str">
        <f t="shared" si="22"/>
        <v>N/A</v>
      </c>
      <c r="O292" s="2809" t="s">
        <v>1960</v>
      </c>
      <c r="P292" s="2805">
        <f>IF($D292="Logistics",VLOOKUP($O292,'Lower Cask Movement &amp; Logistics'!$C$4:$D$54,2,FALSE),"N/A")</f>
        <v>0.88000000000000012</v>
      </c>
    </row>
    <row r="293" spans="1:16" s="2835" customFormat="1" ht="12.75" customHeight="1" outlineLevel="1" x14ac:dyDescent="0.4">
      <c r="A293" s="2927"/>
      <c r="B293" s="3864"/>
      <c r="C293" s="2825" t="s">
        <v>1562</v>
      </c>
      <c r="D293" s="2825" t="s">
        <v>3</v>
      </c>
      <c r="E293" s="2826">
        <f t="shared" si="21"/>
        <v>2.3000000000000003</v>
      </c>
      <c r="F293" s="2805">
        <f>IF($D293="Trigger",VLOOKUP($C293,'Lower Cask Weld Failures'!$D$434:$G$487,4,FALSE),E293+F292)</f>
        <v>5.7744444444444447</v>
      </c>
      <c r="G293" s="2808"/>
      <c r="H293" s="2820" t="s">
        <v>263</v>
      </c>
      <c r="I293" s="2825"/>
      <c r="J293" s="2825"/>
      <c r="K293" s="2825"/>
      <c r="L293" s="2826" t="str">
        <f>IFERROR(INDEX('Lower Cask Movement &amp; Logistics'!$I$13:$O$19,MATCH($J293,'Lower Cask Movement &amp; Logistics'!$H$13:$H$19,0),MATCH($K293,'Lower Cask Movement &amp; Logistics'!$H$13:$H$19,0)),"N/A")</f>
        <v>N/A</v>
      </c>
      <c r="M293" s="2826" t="str">
        <f>IFERROR(VLOOKUP($I293,'Lower Cask Movement &amp; Logistics'!$H$4:$I$8,2,FALSE),"N/A")</f>
        <v>N/A</v>
      </c>
      <c r="N293" s="2826" t="str">
        <f t="shared" si="22"/>
        <v>N/A</v>
      </c>
      <c r="O293" s="2809" t="s">
        <v>1562</v>
      </c>
      <c r="P293" s="2805">
        <f>IF($D293="Logistics",VLOOKUP($O293,'Lower Cask Movement &amp; Logistics'!$C$4:$D$54,2,FALSE),"N/A")</f>
        <v>2.3000000000000003</v>
      </c>
    </row>
    <row r="294" spans="1:16" s="2835" customFormat="1" ht="12.75" customHeight="1" outlineLevel="1" x14ac:dyDescent="0.4">
      <c r="A294" s="2927"/>
      <c r="B294" s="3864"/>
      <c r="C294" s="2901" t="s">
        <v>1970</v>
      </c>
      <c r="D294" s="2825" t="s">
        <v>3</v>
      </c>
      <c r="E294" s="2826">
        <f t="shared" si="21"/>
        <v>0.58000000000000007</v>
      </c>
      <c r="F294" s="2805">
        <f>IF($D294="Trigger",VLOOKUP($C294,'Lower Cask Weld Failures'!$D$434:$G$487,4,FALSE),E294+F293)</f>
        <v>6.3544444444444448</v>
      </c>
      <c r="G294" s="2808"/>
      <c r="H294" s="2820" t="s">
        <v>263</v>
      </c>
      <c r="I294" s="2825"/>
      <c r="J294" s="2825"/>
      <c r="K294" s="2825"/>
      <c r="L294" s="2826" t="str">
        <f>IFERROR(INDEX('Lower Cask Movement &amp; Logistics'!$I$13:$O$19,MATCH($J294,'Lower Cask Movement &amp; Logistics'!$H$13:$H$19,0),MATCH($K294,'Lower Cask Movement &amp; Logistics'!$H$13:$H$19,0)),"N/A")</f>
        <v>N/A</v>
      </c>
      <c r="M294" s="2826" t="str">
        <f>IFERROR(VLOOKUP($I294,'Lower Cask Movement &amp; Logistics'!$H$4:$I$8,2,FALSE),"N/A")</f>
        <v>N/A</v>
      </c>
      <c r="N294" s="2826" t="str">
        <f t="shared" si="22"/>
        <v>N/A</v>
      </c>
      <c r="O294" s="2809" t="s">
        <v>1971</v>
      </c>
      <c r="P294" s="2805">
        <f>IF($D294="Logistics",VLOOKUP($O294,'Lower Cask Movement &amp; Logistics'!$C$4:$D$54,2,FALSE),"N/A")</f>
        <v>0.58000000000000007</v>
      </c>
    </row>
    <row r="295" spans="1:16" ht="12.75" customHeight="1" outlineLevel="1" x14ac:dyDescent="0.4">
      <c r="A295" s="2927"/>
      <c r="B295" s="3864"/>
      <c r="C295" s="2901" t="s">
        <v>1972</v>
      </c>
      <c r="D295" s="2825" t="s">
        <v>3</v>
      </c>
      <c r="E295" s="2826">
        <f t="shared" si="21"/>
        <v>0.78</v>
      </c>
      <c r="F295" s="2805">
        <f>IF($D295="Trigger",VLOOKUP($C295,'Lower Cask Weld Failures'!$D$434:$G$487,4,FALSE),E295+F294)</f>
        <v>7.134444444444445</v>
      </c>
      <c r="G295" s="2808"/>
      <c r="H295" s="2820" t="s">
        <v>263</v>
      </c>
      <c r="I295" s="2825"/>
      <c r="J295" s="2825"/>
      <c r="K295" s="2825"/>
      <c r="L295" s="2826" t="str">
        <f>IFERROR(INDEX('Lower Cask Movement &amp; Logistics'!$I$13:$O$19,MATCH($J295,'Lower Cask Movement &amp; Logistics'!$H$13:$H$19,0),MATCH($K295,'Lower Cask Movement &amp; Logistics'!$H$13:$H$19,0)),"N/A")</f>
        <v>N/A</v>
      </c>
      <c r="M295" s="2826" t="str">
        <f>IFERROR(VLOOKUP($I295,'Lower Cask Movement &amp; Logistics'!$H$4:$I$8,2,FALSE),"N/A")</f>
        <v>N/A</v>
      </c>
      <c r="N295" s="2826" t="str">
        <f t="shared" si="22"/>
        <v>N/A</v>
      </c>
      <c r="O295" s="2809" t="s">
        <v>1973</v>
      </c>
      <c r="P295" s="2805">
        <f>IF($D295="Logistics",VLOOKUP($O295,'Lower Cask Movement &amp; Logistics'!$C$4:$D$54,2,FALSE),"N/A")</f>
        <v>0.78</v>
      </c>
    </row>
    <row r="296" spans="1:16" ht="25.5" customHeight="1" outlineLevel="1" x14ac:dyDescent="0.4">
      <c r="A296" s="2927"/>
      <c r="B296" s="3864"/>
      <c r="C296" s="2901" t="s">
        <v>1974</v>
      </c>
      <c r="D296" s="2825" t="s">
        <v>778</v>
      </c>
      <c r="E296" s="2826">
        <f t="shared" si="21"/>
        <v>0.23148148148148148</v>
      </c>
      <c r="F296" s="2805">
        <f>IF($D296="Trigger",VLOOKUP($C296,'Lower Cask Weld Failures'!$D$434:$G$487,4,FALSE),E296+F295)</f>
        <v>7.3659259259259269</v>
      </c>
      <c r="G296" s="2808"/>
      <c r="H296" s="2820" t="s">
        <v>263</v>
      </c>
      <c r="I296" s="2825" t="s">
        <v>1962</v>
      </c>
      <c r="J296" s="2825" t="s">
        <v>1975</v>
      </c>
      <c r="K296" s="2825" t="s">
        <v>1203</v>
      </c>
      <c r="L296" s="2826">
        <f>IFERROR(INDEX('Lower Cask Movement &amp; Logistics'!$I$13:$O$19,MATCH($J296,'Lower Cask Movement &amp; Logistics'!$H$13:$H$19,0),MATCH($K296,'Lower Cask Movement &amp; Logistics'!$H$13:$H$19,0)),"N/A")</f>
        <v>50</v>
      </c>
      <c r="M296" s="2826">
        <f>IFERROR(VLOOKUP($I296,'Lower Cask Movement &amp; Logistics'!$H$4:$I$8,2,FALSE),"N/A")</f>
        <v>0.06</v>
      </c>
      <c r="N296" s="2826">
        <f t="shared" si="22"/>
        <v>0.23148148148148148</v>
      </c>
      <c r="O296" s="2809"/>
      <c r="P296" s="2805" t="str">
        <f>IF($D296="Logistics",VLOOKUP($O296,'Lower Cask Movement &amp; Logistics'!$C$4:$D$54,2,FALSE),"N/A")</f>
        <v>N/A</v>
      </c>
    </row>
    <row r="297" spans="1:16" ht="26.25" customHeight="1" outlineLevel="1" thickBot="1" x14ac:dyDescent="0.45">
      <c r="A297" s="2927"/>
      <c r="B297" s="3865"/>
      <c r="C297" s="2827" t="str">
        <f>B289</f>
        <v>Current payload stored; Divertor transport cask collected; cask moved to Lower Port</v>
      </c>
      <c r="D297" s="2827" t="s">
        <v>11</v>
      </c>
      <c r="E297" s="2828">
        <f t="shared" si="21"/>
        <v>0</v>
      </c>
      <c r="F297" s="2822">
        <f>IF($D297="Trigger",VLOOKUP($C297,'Lower Cask Weld Failures'!$D$434:$G$487,4,FALSE),E297+F296)</f>
        <v>7.3659259259259269</v>
      </c>
      <c r="G297" s="2812"/>
      <c r="H297" s="2813" t="s">
        <v>263</v>
      </c>
      <c r="I297" s="2827"/>
      <c r="J297" s="2827"/>
      <c r="K297" s="2827"/>
      <c r="L297" s="2828" t="str">
        <f>IFERROR(INDEX('Lower Cask Movement &amp; Logistics'!$I$13:$O$19,MATCH($J297,'Lower Cask Movement &amp; Logistics'!$H$13:$H$19,0),MATCH($K297,'Lower Cask Movement &amp; Logistics'!$H$13:$H$19,0)),"N/A")</f>
        <v>N/A</v>
      </c>
      <c r="M297" s="2828" t="str">
        <f>IFERROR(VLOOKUP($I297,'Lower Cask Movement &amp; Logistics'!$H$4:$I$8,2,FALSE),"N/A")</f>
        <v>N/A</v>
      </c>
      <c r="N297" s="2828" t="str">
        <f t="shared" si="22"/>
        <v>N/A</v>
      </c>
      <c r="O297" s="2817"/>
      <c r="P297" s="2822" t="str">
        <f>IF($D297="Logistics",VLOOKUP($O297,'Lower Cask Movement &amp; Logistics'!$C$4:$D$54,2,FALSE),"N/A")</f>
        <v>N/A</v>
      </c>
    </row>
    <row r="298" spans="1:16" ht="25.5" customHeight="1" outlineLevel="1" x14ac:dyDescent="0.4">
      <c r="A298" s="2927"/>
      <c r="B298" s="3863" t="s">
        <v>1910</v>
      </c>
      <c r="C298" s="2823" t="s">
        <v>1907</v>
      </c>
      <c r="D298" s="2823" t="s">
        <v>907</v>
      </c>
      <c r="E298" s="2824">
        <f t="shared" si="21"/>
        <v>0</v>
      </c>
      <c r="F298" s="2796">
        <f>IF($D298="Trigger",VLOOKUP($C298,'Lower Cask Weld Failures'!$D$434:$G$487,4,FALSE),E298+F297)</f>
        <v>0</v>
      </c>
      <c r="G298" s="2790"/>
      <c r="H298" s="2791" t="s">
        <v>263</v>
      </c>
      <c r="I298" s="2823"/>
      <c r="J298" s="2823"/>
      <c r="K298" s="2823"/>
      <c r="L298" s="2824" t="str">
        <f>IFERROR(INDEX('Lower Cask Movement &amp; Logistics'!$I$13:$O$19,MATCH($J298,'Lower Cask Movement &amp; Logistics'!$H$13:$H$19,0),MATCH($K298,'Lower Cask Movement &amp; Logistics'!$H$13:$H$19,0)),"N/A")</f>
        <v>N/A</v>
      </c>
      <c r="M298" s="2824" t="str">
        <f>IFERROR(VLOOKUP($I298,'Lower Cask Movement &amp; Logistics'!$H$4:$I$8,2,FALSE),"N/A")</f>
        <v>N/A</v>
      </c>
      <c r="N298" s="2824" t="str">
        <f t="shared" si="22"/>
        <v>N/A</v>
      </c>
      <c r="O298" s="2795"/>
      <c r="P298" s="2796" t="str">
        <f>IF($D298="Logistics",VLOOKUP($O298,'Lower Cask Movement &amp; Logistics'!$C$4:$D$54,2,FALSE),"N/A")</f>
        <v>N/A</v>
      </c>
    </row>
    <row r="299" spans="1:16" ht="12.75" customHeight="1" outlineLevel="1" x14ac:dyDescent="0.4">
      <c r="A299" s="2927"/>
      <c r="B299" s="3864"/>
      <c r="C299" s="2825" t="s">
        <v>1956</v>
      </c>
      <c r="D299" s="2825" t="s">
        <v>778</v>
      </c>
      <c r="E299" s="2826">
        <f t="shared" ref="E299:E371" si="23">MAX($P299,$N299,$H299)</f>
        <v>0.69444444444444442</v>
      </c>
      <c r="F299" s="2805">
        <f>IF($D299="Trigger",VLOOKUP($C299,'Lower Cask Weld Failures'!$D$434:$G$487,4,FALSE),E299+F298)</f>
        <v>0.69444444444444442</v>
      </c>
      <c r="G299" s="2808"/>
      <c r="H299" s="2820" t="s">
        <v>263</v>
      </c>
      <c r="I299" s="2825" t="s">
        <v>1789</v>
      </c>
      <c r="J299" s="2825" t="s">
        <v>1203</v>
      </c>
      <c r="K299" s="2825" t="s">
        <v>1957</v>
      </c>
      <c r="L299" s="2826">
        <f>IFERROR(INDEX('Lower Cask Movement &amp; Logistics'!$I$13:$O$19,MATCH($J299,'Lower Cask Movement &amp; Logistics'!$H$13:$H$19,0),MATCH($K299,'Lower Cask Movement &amp; Logistics'!$H$13:$H$19,0)),"N/A")</f>
        <v>50</v>
      </c>
      <c r="M299" s="2826">
        <f>IFERROR(VLOOKUP($I299,'Lower Cask Movement &amp; Logistics'!$H$4:$I$8,2,FALSE),"N/A")</f>
        <v>0.02</v>
      </c>
      <c r="N299" s="2826">
        <f t="shared" ref="N299:N371" si="24">IF(D299="Movement",IFERROR((L299/M299)/(60*60),"Error"),"N/A")</f>
        <v>0.69444444444444442</v>
      </c>
      <c r="O299" s="2809"/>
      <c r="P299" s="2805" t="str">
        <f>IF($D299="Logistics",VLOOKUP($O299,'Lower Cask Movement &amp; Logistics'!$C$4:$D$54,2,FALSE),"N/A")</f>
        <v>N/A</v>
      </c>
    </row>
    <row r="300" spans="1:16" ht="12.75" customHeight="1" outlineLevel="1" x14ac:dyDescent="0.4">
      <c r="A300" s="2927"/>
      <c r="B300" s="3864"/>
      <c r="C300" s="2825" t="s">
        <v>1958</v>
      </c>
      <c r="D300" s="2825" t="s">
        <v>3</v>
      </c>
      <c r="E300" s="2826">
        <f t="shared" si="23"/>
        <v>1.9</v>
      </c>
      <c r="F300" s="2805">
        <f>IF($D300="Trigger",VLOOKUP($C300,'Lower Cask Weld Failures'!$D$434:$G$487,4,FALSE),E300+F299)</f>
        <v>2.5944444444444441</v>
      </c>
      <c r="G300" s="2808"/>
      <c r="H300" s="2820" t="s">
        <v>263</v>
      </c>
      <c r="I300" s="2825"/>
      <c r="J300" s="2825"/>
      <c r="K300" s="2825"/>
      <c r="L300" s="2826" t="str">
        <f>IFERROR(INDEX('Lower Cask Movement &amp; Logistics'!$I$13:$O$19,MATCH($J300,'Lower Cask Movement &amp; Logistics'!$H$13:$H$19,0),MATCH($K300,'Lower Cask Movement &amp; Logistics'!$H$13:$H$19,0)),"N/A")</f>
        <v>N/A</v>
      </c>
      <c r="M300" s="2826" t="str">
        <f>IFERROR(VLOOKUP($I300,'Lower Cask Movement &amp; Logistics'!$H$4:$I$8,2,FALSE),"N/A")</f>
        <v>N/A</v>
      </c>
      <c r="N300" s="2826" t="str">
        <f t="shared" si="24"/>
        <v>N/A</v>
      </c>
      <c r="O300" s="2809" t="s">
        <v>1541</v>
      </c>
      <c r="P300" s="2805">
        <f>IF($D300="Logistics",VLOOKUP($O300,'Lower Cask Movement &amp; Logistics'!$C$4:$D$54,2,FALSE),"N/A")</f>
        <v>1.9</v>
      </c>
    </row>
    <row r="301" spans="1:16" ht="12.75" customHeight="1" outlineLevel="1" x14ac:dyDescent="0.4">
      <c r="A301" s="2927"/>
      <c r="B301" s="3864"/>
      <c r="C301" s="2825" t="s">
        <v>1959</v>
      </c>
      <c r="D301" s="2825" t="s">
        <v>3</v>
      </c>
      <c r="E301" s="2826">
        <f t="shared" si="23"/>
        <v>0.88000000000000012</v>
      </c>
      <c r="F301" s="2805">
        <f>IF($D301="Trigger",VLOOKUP($C301,'Lower Cask Weld Failures'!$D$434:$G$487,4,FALSE),E301+F300)</f>
        <v>3.474444444444444</v>
      </c>
      <c r="G301" s="2808"/>
      <c r="H301" s="2820" t="s">
        <v>263</v>
      </c>
      <c r="I301" s="2825"/>
      <c r="J301" s="2825"/>
      <c r="K301" s="2825"/>
      <c r="L301" s="2826" t="str">
        <f>IFERROR(INDEX('Lower Cask Movement &amp; Logistics'!$I$13:$O$19,MATCH($J301,'Lower Cask Movement &amp; Logistics'!$H$13:$H$19,0),MATCH($K301,'Lower Cask Movement &amp; Logistics'!$H$13:$H$19,0)),"N/A")</f>
        <v>N/A</v>
      </c>
      <c r="M301" s="2826" t="str">
        <f>IFERROR(VLOOKUP($I301,'Lower Cask Movement &amp; Logistics'!$H$4:$I$8,2,FALSE),"N/A")</f>
        <v>N/A</v>
      </c>
      <c r="N301" s="2826" t="str">
        <f t="shared" si="24"/>
        <v>N/A</v>
      </c>
      <c r="O301" s="2809" t="s">
        <v>1960</v>
      </c>
      <c r="P301" s="2805">
        <f>IF($D301="Logistics",VLOOKUP($O301,'Lower Cask Movement &amp; Logistics'!$C$4:$D$54,2,FALSE),"N/A")</f>
        <v>0.88000000000000012</v>
      </c>
    </row>
    <row r="302" spans="1:16" ht="12.75" customHeight="1" outlineLevel="1" x14ac:dyDescent="0.4">
      <c r="A302" s="2927"/>
      <c r="B302" s="3864"/>
      <c r="C302" s="2825" t="s">
        <v>1562</v>
      </c>
      <c r="D302" s="2825" t="s">
        <v>3</v>
      </c>
      <c r="E302" s="2826">
        <f t="shared" si="23"/>
        <v>2.3000000000000003</v>
      </c>
      <c r="F302" s="2805">
        <f>IF($D302="Trigger",VLOOKUP($C302,'Lower Cask Weld Failures'!$D$434:$G$487,4,FALSE),E302+F301)</f>
        <v>5.7744444444444447</v>
      </c>
      <c r="G302" s="2808"/>
      <c r="H302" s="2820" t="s">
        <v>263</v>
      </c>
      <c r="I302" s="2825"/>
      <c r="J302" s="2825"/>
      <c r="K302" s="2825"/>
      <c r="L302" s="2826" t="str">
        <f>IFERROR(INDEX('Lower Cask Movement &amp; Logistics'!$I$13:$O$19,MATCH($J302,'Lower Cask Movement &amp; Logistics'!$H$13:$H$19,0),MATCH($K302,'Lower Cask Movement &amp; Logistics'!$H$13:$H$19,0)),"N/A")</f>
        <v>N/A</v>
      </c>
      <c r="M302" s="2826" t="str">
        <f>IFERROR(VLOOKUP($I302,'Lower Cask Movement &amp; Logistics'!$H$4:$I$8,2,FALSE),"N/A")</f>
        <v>N/A</v>
      </c>
      <c r="N302" s="2826" t="str">
        <f t="shared" si="24"/>
        <v>N/A</v>
      </c>
      <c r="O302" s="2809" t="s">
        <v>1562</v>
      </c>
      <c r="P302" s="2805">
        <f>IF($D302="Logistics",VLOOKUP($O302,'Lower Cask Movement &amp; Logistics'!$C$4:$D$54,2,FALSE),"N/A")</f>
        <v>2.3000000000000003</v>
      </c>
    </row>
    <row r="303" spans="1:16" ht="12.75" customHeight="1" outlineLevel="1" x14ac:dyDescent="0.4">
      <c r="A303" s="2927"/>
      <c r="B303" s="3864"/>
      <c r="C303" s="2901" t="s">
        <v>1970</v>
      </c>
      <c r="D303" s="2825" t="s">
        <v>3</v>
      </c>
      <c r="E303" s="2826">
        <f t="shared" si="23"/>
        <v>0.58000000000000007</v>
      </c>
      <c r="F303" s="2805">
        <f>IF($D303="Trigger",VLOOKUP($C303,'Lower Cask Weld Failures'!$D$434:$G$487,4,FALSE),E303+F302)</f>
        <v>6.3544444444444448</v>
      </c>
      <c r="G303" s="2808"/>
      <c r="H303" s="2820" t="s">
        <v>263</v>
      </c>
      <c r="I303" s="2825"/>
      <c r="J303" s="2825"/>
      <c r="K303" s="2825"/>
      <c r="L303" s="2826" t="str">
        <f>IFERROR(INDEX('Lower Cask Movement &amp; Logistics'!$I$13:$O$19,MATCH($J303,'Lower Cask Movement &amp; Logistics'!$H$13:$H$19,0),MATCH($K303,'Lower Cask Movement &amp; Logistics'!$H$13:$H$19,0)),"N/A")</f>
        <v>N/A</v>
      </c>
      <c r="M303" s="2826" t="str">
        <f>IFERROR(VLOOKUP($I303,'Lower Cask Movement &amp; Logistics'!$H$4:$I$8,2,FALSE),"N/A")</f>
        <v>N/A</v>
      </c>
      <c r="N303" s="2826" t="str">
        <f t="shared" si="24"/>
        <v>N/A</v>
      </c>
      <c r="O303" s="2809" t="s">
        <v>1971</v>
      </c>
      <c r="P303" s="2805">
        <f>IF($D303="Logistics",VLOOKUP($O303,'Lower Cask Movement &amp; Logistics'!$C$4:$D$54,2,FALSE),"N/A")</f>
        <v>0.58000000000000007</v>
      </c>
    </row>
    <row r="304" spans="1:16" ht="12.75" customHeight="1" outlineLevel="1" x14ac:dyDescent="0.4">
      <c r="A304" s="2927"/>
      <c r="B304" s="3864"/>
      <c r="C304" s="2901" t="s">
        <v>1972</v>
      </c>
      <c r="D304" s="2825" t="s">
        <v>3</v>
      </c>
      <c r="E304" s="2826">
        <f t="shared" si="23"/>
        <v>0.78</v>
      </c>
      <c r="F304" s="2805">
        <f>IF($D304="Trigger",VLOOKUP($C304,'Lower Cask Weld Failures'!$D$434:$G$487,4,FALSE),E304+F303)</f>
        <v>7.134444444444445</v>
      </c>
      <c r="G304" s="2808"/>
      <c r="H304" s="2820" t="s">
        <v>263</v>
      </c>
      <c r="I304" s="2825"/>
      <c r="J304" s="2825"/>
      <c r="K304" s="2825"/>
      <c r="L304" s="2826" t="str">
        <f>IFERROR(INDEX('Lower Cask Movement &amp; Logistics'!$I$13:$O$19,MATCH($J304,'Lower Cask Movement &amp; Logistics'!$H$13:$H$19,0),MATCH($K304,'Lower Cask Movement &amp; Logistics'!$H$13:$H$19,0)),"N/A")</f>
        <v>N/A</v>
      </c>
      <c r="M304" s="2826" t="str">
        <f>IFERROR(VLOOKUP($I304,'Lower Cask Movement &amp; Logistics'!$H$4:$I$8,2,FALSE),"N/A")</f>
        <v>N/A</v>
      </c>
      <c r="N304" s="2826" t="str">
        <f t="shared" si="24"/>
        <v>N/A</v>
      </c>
      <c r="O304" s="2809" t="s">
        <v>1973</v>
      </c>
      <c r="P304" s="2805">
        <f>IF($D304="Logistics",VLOOKUP($O304,'Lower Cask Movement &amp; Logistics'!$C$4:$D$54,2,FALSE),"N/A")</f>
        <v>0.78</v>
      </c>
    </row>
    <row r="305" spans="1:19" ht="25.5" customHeight="1" outlineLevel="1" x14ac:dyDescent="0.4">
      <c r="A305" s="2927"/>
      <c r="B305" s="3864"/>
      <c r="C305" s="2901" t="s">
        <v>1974</v>
      </c>
      <c r="D305" s="2825" t="s">
        <v>778</v>
      </c>
      <c r="E305" s="2826">
        <f t="shared" si="23"/>
        <v>0.23148148148148148</v>
      </c>
      <c r="F305" s="2805">
        <f>IF($D305="Trigger",VLOOKUP($C305,'Lower Cask Weld Failures'!$D$434:$G$487,4,FALSE),E305+F304)</f>
        <v>7.3659259259259269</v>
      </c>
      <c r="G305" s="2808"/>
      <c r="H305" s="2820" t="s">
        <v>263</v>
      </c>
      <c r="I305" s="2825" t="s">
        <v>1962</v>
      </c>
      <c r="J305" s="2825" t="s">
        <v>1975</v>
      </c>
      <c r="K305" s="2825" t="s">
        <v>1203</v>
      </c>
      <c r="L305" s="2826">
        <f>IFERROR(INDEX('Lower Cask Movement &amp; Logistics'!$I$13:$O$19,MATCH($J305,'Lower Cask Movement &amp; Logistics'!$H$13:$H$19,0),MATCH($K305,'Lower Cask Movement &amp; Logistics'!$H$13:$H$19,0)),"N/A")</f>
        <v>50</v>
      </c>
      <c r="M305" s="2826">
        <f>IFERROR(VLOOKUP($I305,'Lower Cask Movement &amp; Logistics'!$H$4:$I$8,2,FALSE),"N/A")</f>
        <v>0.06</v>
      </c>
      <c r="N305" s="2826">
        <f t="shared" si="24"/>
        <v>0.23148148148148148</v>
      </c>
      <c r="O305" s="2809"/>
      <c r="P305" s="2805" t="str">
        <f>IF($D305="Logistics",VLOOKUP($O305,'Lower Cask Movement &amp; Logistics'!$C$4:$D$54,2,FALSE),"N/A")</f>
        <v>N/A</v>
      </c>
    </row>
    <row r="306" spans="1:19" ht="26.25" customHeight="1" outlineLevel="1" thickBot="1" x14ac:dyDescent="0.45">
      <c r="A306" s="2927"/>
      <c r="B306" s="3865"/>
      <c r="C306" s="2827" t="str">
        <f>B298</f>
        <v>Current payload stored; Divertor transport cask collected; cask moved to Lower Port</v>
      </c>
      <c r="D306" s="2827" t="s">
        <v>11</v>
      </c>
      <c r="E306" s="2828">
        <f t="shared" si="23"/>
        <v>0</v>
      </c>
      <c r="F306" s="2822">
        <f>IF($D306="Trigger",VLOOKUP($C306,'Lower Cask Weld Failures'!$D$434:$G$487,4,FALSE),E306+F305)</f>
        <v>7.3659259259259269</v>
      </c>
      <c r="G306" s="2812"/>
      <c r="H306" s="2813" t="s">
        <v>263</v>
      </c>
      <c r="I306" s="2827"/>
      <c r="J306" s="2827"/>
      <c r="K306" s="2827"/>
      <c r="L306" s="2828" t="str">
        <f>IFERROR(INDEX('Lower Cask Movement &amp; Logistics'!$I$13:$O$19,MATCH($J306,'Lower Cask Movement &amp; Logistics'!$H$13:$H$19,0),MATCH($K306,'Lower Cask Movement &amp; Logistics'!$H$13:$H$19,0)),"N/A")</f>
        <v>N/A</v>
      </c>
      <c r="M306" s="2828" t="str">
        <f>IFERROR(VLOOKUP($I306,'Lower Cask Movement &amp; Logistics'!$H$4:$I$8,2,FALSE),"N/A")</f>
        <v>N/A</v>
      </c>
      <c r="N306" s="2828" t="str">
        <f t="shared" si="24"/>
        <v>N/A</v>
      </c>
      <c r="O306" s="2817"/>
      <c r="P306" s="2822" t="str">
        <f>IF($D306="Logistics",VLOOKUP($O306,'Lower Cask Movement &amp; Logistics'!$C$4:$D$54,2,FALSE),"N/A")</f>
        <v>N/A</v>
      </c>
    </row>
    <row r="307" spans="1:19" s="2764" customFormat="1" ht="15" customHeight="1" outlineLevel="1" x14ac:dyDescent="0.4">
      <c r="A307" s="2927"/>
      <c r="B307" s="3863" t="s">
        <v>1932</v>
      </c>
      <c r="C307" s="2788" t="s">
        <v>1600</v>
      </c>
      <c r="D307" s="2788" t="s">
        <v>907</v>
      </c>
      <c r="E307" s="2789">
        <f t="shared" si="23"/>
        <v>0</v>
      </c>
      <c r="F307" s="2789">
        <f>IF($D307="Trigger",VLOOKUP($C307,'Lower Cask Weld Failures'!$D$434:$G$487,4,FALSE),E307+F306)</f>
        <v>42.688901179185166</v>
      </c>
      <c r="G307" s="2790"/>
      <c r="H307" s="2791" t="s">
        <v>263</v>
      </c>
      <c r="I307" s="2792"/>
      <c r="J307" s="2788"/>
      <c r="K307" s="2788"/>
      <c r="L307" s="2793" t="str">
        <f>IFERROR(INDEX('Lower Cask Movement &amp; Logistics'!$I$13:$O$19,MATCH($J307,'Lower Cask Movement &amp; Logistics'!$H$13:$H$19,0),MATCH($K307,'Lower Cask Movement &amp; Logistics'!$H$13:$H$19,0)),"N/A")</f>
        <v>N/A</v>
      </c>
      <c r="M307" s="2933" t="str">
        <f>IFERROR(VLOOKUP($I307,'Lower Cask Movement &amp; Logistics'!$H$4:$I$8,2,FALSE),"N/A")</f>
        <v>N/A</v>
      </c>
      <c r="N307" s="2794" t="str">
        <f t="shared" si="24"/>
        <v>N/A</v>
      </c>
      <c r="O307" s="2795"/>
      <c r="P307" s="2796" t="str">
        <f>IF($D307="Logistics",VLOOKUP($O307,'Lower Cask Movement &amp; Logistics'!$C$4:$D$54,2,FALSE),"N/A")</f>
        <v>N/A</v>
      </c>
      <c r="R307" s="2765"/>
      <c r="S307" s="2765"/>
    </row>
    <row r="308" spans="1:19" s="2764" customFormat="1" ht="26.25" customHeight="1" outlineLevel="1" x14ac:dyDescent="0.4">
      <c r="A308" s="2927"/>
      <c r="B308" s="3864"/>
      <c r="C308" s="2797" t="s">
        <v>1732</v>
      </c>
      <c r="D308" s="2798" t="s">
        <v>778</v>
      </c>
      <c r="E308" s="2799">
        <f t="shared" si="23"/>
        <v>0.23148148148148148</v>
      </c>
      <c r="F308" s="2799">
        <f>IF($D308="Trigger",VLOOKUP($C308,'Lower Cask Weld Failures'!$D$434:$G$487,4,FALSE),E308+F307)</f>
        <v>42.920382660666647</v>
      </c>
      <c r="G308" s="2800"/>
      <c r="H308" s="2801" t="s">
        <v>263</v>
      </c>
      <c r="I308" s="2802" t="s">
        <v>1536</v>
      </c>
      <c r="J308" s="2798" t="s">
        <v>1203</v>
      </c>
      <c r="K308" s="2798" t="s">
        <v>914</v>
      </c>
      <c r="L308" s="2803">
        <f>IFERROR(INDEX('Lower Cask Movement &amp; Logistics'!$I$13:$O$19,MATCH($J308,'Lower Cask Movement &amp; Logistics'!$H$13:$H$19,0),MATCH($K308,'Lower Cask Movement &amp; Logistics'!$H$13:$H$19,0)),"N/A")</f>
        <v>50</v>
      </c>
      <c r="M308" s="2804">
        <f>IFERROR(VLOOKUP($I308,'Lower Cask Movement &amp; Logistics'!$H$4:$I$8,2,FALSE),"N/A")</f>
        <v>0.06</v>
      </c>
      <c r="N308" s="2805">
        <f t="shared" si="24"/>
        <v>0.23148148148148148</v>
      </c>
      <c r="O308" s="2806"/>
      <c r="P308" s="2807" t="str">
        <f>IF($D308="Logistics",VLOOKUP($O308,'Lower Cask Movement &amp; Logistics'!$C$4:$D$54,2,FALSE),"N/A")</f>
        <v>N/A</v>
      </c>
      <c r="R308" s="2765"/>
      <c r="S308" s="2765"/>
    </row>
    <row r="309" spans="1:19" s="2764" customFormat="1" ht="15" customHeight="1" outlineLevel="1" x14ac:dyDescent="0.4">
      <c r="A309" s="2927"/>
      <c r="B309" s="3864"/>
      <c r="C309" s="2797" t="s">
        <v>1733</v>
      </c>
      <c r="D309" s="2798" t="s">
        <v>3</v>
      </c>
      <c r="E309" s="2799">
        <f t="shared" si="23"/>
        <v>1.9</v>
      </c>
      <c r="F309" s="2799">
        <f>IF($D309="Trigger",VLOOKUP($C309,'Lower Cask Weld Failures'!$D$434:$G$487,4,FALSE),E309+F308)</f>
        <v>44.820382660666645</v>
      </c>
      <c r="G309" s="2800"/>
      <c r="H309" s="2801" t="s">
        <v>263</v>
      </c>
      <c r="I309" s="2802"/>
      <c r="J309" s="2798"/>
      <c r="K309" s="2798"/>
      <c r="L309" s="2803" t="str">
        <f>IFERROR(INDEX('Lower Cask Movement &amp; Logistics'!$I$13:$O$19,MATCH($J309,'Lower Cask Movement &amp; Logistics'!$H$13:$H$19,0),MATCH($K309,'Lower Cask Movement &amp; Logistics'!$H$13:$H$19,0)),"N/A")</f>
        <v>N/A</v>
      </c>
      <c r="M309" s="2804" t="str">
        <f>IFERROR(VLOOKUP($I309,'Lower Cask Movement &amp; Logistics'!$H$4:$I$8,2,FALSE),"N/A")</f>
        <v>N/A</v>
      </c>
      <c r="N309" s="2805" t="str">
        <f t="shared" si="24"/>
        <v>N/A</v>
      </c>
      <c r="O309" s="2806" t="s">
        <v>1734</v>
      </c>
      <c r="P309" s="2807">
        <f>IF($D309="Logistics",VLOOKUP($O309,'Lower Cask Movement &amp; Logistics'!$C$4:$D$54,2,FALSE),"N/A")</f>
        <v>1.9</v>
      </c>
      <c r="R309" s="2765"/>
      <c r="S309" s="2765"/>
    </row>
    <row r="310" spans="1:19" s="2764" customFormat="1" ht="15" customHeight="1" outlineLevel="1" x14ac:dyDescent="0.4">
      <c r="A310" s="2927"/>
      <c r="B310" s="3864"/>
      <c r="C310" s="2797" t="s">
        <v>1757</v>
      </c>
      <c r="D310" s="2798" t="s">
        <v>3</v>
      </c>
      <c r="E310" s="2799">
        <f t="shared" si="23"/>
        <v>0.88000000000000012</v>
      </c>
      <c r="F310" s="2799">
        <f>IF($D310="Trigger",VLOOKUP($C310,'Lower Cask Weld Failures'!$D$434:$G$487,4,FALSE),E310+F309)</f>
        <v>45.700382660666648</v>
      </c>
      <c r="G310" s="2800"/>
      <c r="H310" s="2801" t="s">
        <v>263</v>
      </c>
      <c r="I310" s="2802"/>
      <c r="J310" s="2798"/>
      <c r="K310" s="2798"/>
      <c r="L310" s="2803" t="str">
        <f>IFERROR(INDEX('Lower Cask Movement &amp; Logistics'!$I$13:$O$19,MATCH($J310,'Lower Cask Movement &amp; Logistics'!$H$13:$H$19,0),MATCH($K310,'Lower Cask Movement &amp; Logistics'!$H$13:$H$19,0)),"N/A")</f>
        <v>N/A</v>
      </c>
      <c r="M310" s="2804" t="str">
        <f>IFERROR(VLOOKUP($I310,'Lower Cask Movement &amp; Logistics'!$H$4:$I$8,2,FALSE),"N/A")</f>
        <v>N/A</v>
      </c>
      <c r="N310" s="2805" t="str">
        <f t="shared" si="24"/>
        <v>N/A</v>
      </c>
      <c r="O310" s="2806" t="s">
        <v>1736</v>
      </c>
      <c r="P310" s="2807">
        <f>IF($D310="Logistics",VLOOKUP($O310,'Lower Cask Movement &amp; Logistics'!$C$4:$D$54,2,FALSE),"N/A")</f>
        <v>0.88000000000000012</v>
      </c>
      <c r="R310" s="2765"/>
      <c r="S310" s="2765"/>
    </row>
    <row r="311" spans="1:19" s="2764" customFormat="1" ht="15" customHeight="1" outlineLevel="1" x14ac:dyDescent="0.4">
      <c r="A311" s="2927"/>
      <c r="B311" s="3864"/>
      <c r="C311" s="2798" t="s">
        <v>1562</v>
      </c>
      <c r="D311" s="2798" t="s">
        <v>3</v>
      </c>
      <c r="E311" s="2799">
        <f t="shared" si="23"/>
        <v>2.3000000000000003</v>
      </c>
      <c r="F311" s="2799">
        <f>IF($D311="Trigger",VLOOKUP($C311,'Lower Cask Weld Failures'!$D$434:$G$487,4,FALSE),E311+F310)</f>
        <v>48.000382660666645</v>
      </c>
      <c r="G311" s="2800"/>
      <c r="H311" s="2801" t="s">
        <v>263</v>
      </c>
      <c r="I311" s="2802"/>
      <c r="J311" s="2798"/>
      <c r="K311" s="2798"/>
      <c r="L311" s="2803" t="str">
        <f>IFERROR(INDEX('Lower Cask Movement &amp; Logistics'!$I$13:$O$19,MATCH($J311,'Lower Cask Movement &amp; Logistics'!$H$13:$H$19,0),MATCH($K311,'Lower Cask Movement &amp; Logistics'!$H$13:$H$19,0)),"N/A")</f>
        <v>N/A</v>
      </c>
      <c r="M311" s="2804" t="str">
        <f>IFERROR(VLOOKUP($I311,'Lower Cask Movement &amp; Logistics'!$H$4:$I$8,2,FALSE),"N/A")</f>
        <v>N/A</v>
      </c>
      <c r="N311" s="2805" t="str">
        <f t="shared" si="24"/>
        <v>N/A</v>
      </c>
      <c r="O311" s="2806" t="s">
        <v>1562</v>
      </c>
      <c r="P311" s="2807">
        <f>IF($D311="Logistics",VLOOKUP($O311,'Lower Cask Movement &amp; Logistics'!$C$4:$D$54,2,FALSE),"N/A")</f>
        <v>2.3000000000000003</v>
      </c>
      <c r="R311" s="2765"/>
      <c r="S311" s="2765"/>
    </row>
    <row r="312" spans="1:19" s="2764" customFormat="1" ht="15" customHeight="1" outlineLevel="1" x14ac:dyDescent="0.4">
      <c r="A312" s="2927"/>
      <c r="B312" s="3864"/>
      <c r="C312" s="2797" t="s">
        <v>1737</v>
      </c>
      <c r="D312" s="2798" t="s">
        <v>778</v>
      </c>
      <c r="E312" s="2799">
        <f t="shared" si="23"/>
        <v>2.7777777777777776E-2</v>
      </c>
      <c r="F312" s="2799">
        <f>IF($D312="Trigger",VLOOKUP($C312,'Lower Cask Weld Failures'!$D$434:$G$487,4,FALSE),E312+F311)</f>
        <v>48.028160438444424</v>
      </c>
      <c r="G312" s="2800"/>
      <c r="H312" s="2801" t="s">
        <v>263</v>
      </c>
      <c r="I312" s="2802" t="s">
        <v>1738</v>
      </c>
      <c r="J312" s="2798" t="s">
        <v>914</v>
      </c>
      <c r="K312" s="2798" t="s">
        <v>799</v>
      </c>
      <c r="L312" s="2803">
        <f>IFERROR(INDEX('Lower Cask Movement &amp; Logistics'!$I$13:$O$19,MATCH($J312,'Lower Cask Movement &amp; Logistics'!$H$13:$H$19,0),MATCH($K312,'Lower Cask Movement &amp; Logistics'!$H$13:$H$19,0)),"N/A")</f>
        <v>20</v>
      </c>
      <c r="M312" s="2804">
        <f>IFERROR(VLOOKUP($I312,'Lower Cask Movement &amp; Logistics'!$H$4:$I$8,2,FALSE),"N/A")</f>
        <v>0.2</v>
      </c>
      <c r="N312" s="2805">
        <f t="shared" si="24"/>
        <v>2.7777777777777776E-2</v>
      </c>
      <c r="O312" s="2806"/>
      <c r="P312" s="2807" t="str">
        <f>IF($D312="Logistics",VLOOKUP($O312,'Lower Cask Movement &amp; Logistics'!$C$4:$D$54,2,FALSE),"N/A")</f>
        <v>N/A</v>
      </c>
      <c r="R312" s="2765"/>
      <c r="S312" s="2765"/>
    </row>
    <row r="313" spans="1:19" s="2764" customFormat="1" ht="15" customHeight="1" outlineLevel="1" x14ac:dyDescent="0.4">
      <c r="A313" s="2927"/>
      <c r="B313" s="3864"/>
      <c r="C313" s="2797" t="s">
        <v>1330</v>
      </c>
      <c r="D313" s="2798" t="s">
        <v>3</v>
      </c>
      <c r="E313" s="2799">
        <f t="shared" si="23"/>
        <v>0.58000000000000007</v>
      </c>
      <c r="F313" s="2799">
        <f>IF($D313="Trigger",VLOOKUP($C313,'Lower Cask Weld Failures'!$D$434:$G$487,4,FALSE),E313+F312)</f>
        <v>48.608160438444422</v>
      </c>
      <c r="G313" s="2800"/>
      <c r="H313" s="2801" t="s">
        <v>263</v>
      </c>
      <c r="I313" s="2802"/>
      <c r="J313" s="2798"/>
      <c r="K313" s="2798"/>
      <c r="L313" s="2803" t="str">
        <f>IFERROR(INDEX('Lower Cask Movement &amp; Logistics'!$I$13:$O$19,MATCH($J313,'Lower Cask Movement &amp; Logistics'!$H$13:$H$19,0),MATCH($K313,'Lower Cask Movement &amp; Logistics'!$H$13:$H$19,0)),"N/A")</f>
        <v>N/A</v>
      </c>
      <c r="M313" s="2804" t="str">
        <f>IFERROR(VLOOKUP($I313,'Lower Cask Movement &amp; Logistics'!$H$4:$I$8,2,FALSE),"N/A")</f>
        <v>N/A</v>
      </c>
      <c r="N313" s="2805" t="str">
        <f t="shared" si="24"/>
        <v>N/A</v>
      </c>
      <c r="O313" s="2806" t="s">
        <v>1539</v>
      </c>
      <c r="P313" s="2807">
        <f>IF($D313="Logistics",VLOOKUP($O313,'Lower Cask Movement &amp; Logistics'!$C$4:$D$54,2,FALSE),"N/A")</f>
        <v>0.58000000000000007</v>
      </c>
      <c r="R313" s="2765"/>
      <c r="S313" s="2765"/>
    </row>
    <row r="314" spans="1:19" s="2764" customFormat="1" ht="15" customHeight="1" outlineLevel="1" x14ac:dyDescent="0.4">
      <c r="A314" s="2927"/>
      <c r="B314" s="3864"/>
      <c r="C314" s="2798" t="s">
        <v>1755</v>
      </c>
      <c r="D314" s="2798" t="s">
        <v>3</v>
      </c>
      <c r="E314" s="2803">
        <f t="shared" si="23"/>
        <v>0.78</v>
      </c>
      <c r="F314" s="2803">
        <f>IF($D314="Trigger",VLOOKUP($C314,'Lower Cask Weld Failures'!$D$434:$G$487,4,FALSE),E314+F313)</f>
        <v>49.388160438444423</v>
      </c>
      <c r="G314" s="2808"/>
      <c r="H314" s="2820" t="s">
        <v>263</v>
      </c>
      <c r="I314" s="2802"/>
      <c r="J314" s="2798"/>
      <c r="K314" s="2798"/>
      <c r="L314" s="2821" t="str">
        <f>IFERROR(INDEX('Lower Cask Movement &amp; Logistics'!$I$13:$O$19,MATCH($J314,'Lower Cask Movement &amp; Logistics'!$H$13:$H$19,0),MATCH($K314,'Lower Cask Movement &amp; Logistics'!$H$13:$H$19,0)),"N/A")</f>
        <v>N/A</v>
      </c>
      <c r="M314" s="2934" t="str">
        <f>IFERROR(VLOOKUP($I314,'Lower Cask Movement &amp; Logistics'!$H$4:$I$8,2,FALSE),"N/A")</f>
        <v>N/A</v>
      </c>
      <c r="N314" s="2799" t="str">
        <f t="shared" si="24"/>
        <v>N/A</v>
      </c>
      <c r="O314" s="2809" t="s">
        <v>1740</v>
      </c>
      <c r="P314" s="2805">
        <f>IF($D314="Logistics",VLOOKUP($O314,'Lower Cask Movement &amp; Logistics'!$C$4:$D$54,2,FALSE),"N/A")</f>
        <v>0.78</v>
      </c>
      <c r="R314" s="2765"/>
      <c r="S314" s="2765"/>
    </row>
    <row r="315" spans="1:19" s="2764" customFormat="1" ht="15" customHeight="1" outlineLevel="1" x14ac:dyDescent="0.4">
      <c r="A315" s="2927"/>
      <c r="B315" s="3864"/>
      <c r="C315" s="2798" t="s">
        <v>1756</v>
      </c>
      <c r="D315" s="2798" t="s">
        <v>778</v>
      </c>
      <c r="E315" s="2803">
        <f t="shared" si="23"/>
        <v>0.69444444444444442</v>
      </c>
      <c r="F315" s="2803">
        <f>IF($D315="Trigger",VLOOKUP($C315,'Lower Cask Weld Failures'!$D$434:$G$487,4,FALSE),E315+F314)</f>
        <v>50.082604882888866</v>
      </c>
      <c r="G315" s="2808"/>
      <c r="H315" s="2820" t="s">
        <v>263</v>
      </c>
      <c r="I315" s="2802" t="s">
        <v>1538</v>
      </c>
      <c r="J315" s="2798" t="s">
        <v>799</v>
      </c>
      <c r="K315" s="2798" t="s">
        <v>1203</v>
      </c>
      <c r="L315" s="2821">
        <f>IFERROR(INDEX('Lower Cask Movement &amp; Logistics'!$I$13:$O$19,MATCH($J315,'Lower Cask Movement &amp; Logistics'!$H$13:$H$19,0),MATCH($K315,'Lower Cask Movement &amp; Logistics'!$H$13:$H$19,0)),"N/A")</f>
        <v>50</v>
      </c>
      <c r="M315" s="2821">
        <f>IFERROR(VLOOKUP($I315,'Lower Cask Movement &amp; Logistics'!$H$4:$I$8,2,FALSE),"N/A")</f>
        <v>0.02</v>
      </c>
      <c r="N315" s="2799">
        <f t="shared" si="24"/>
        <v>0.69444444444444442</v>
      </c>
      <c r="O315" s="2809"/>
      <c r="P315" s="2805" t="str">
        <f>IF($D315="Logistics",VLOOKUP($O315,'Lower Cask Movement &amp; Logistics'!$C$4:$D$54,2,FALSE),"N/A")</f>
        <v>N/A</v>
      </c>
      <c r="R315" s="2765"/>
      <c r="S315" s="2765"/>
    </row>
    <row r="316" spans="1:19" s="2764" customFormat="1" ht="39.75" customHeight="1" outlineLevel="1" thickBot="1" x14ac:dyDescent="0.45">
      <c r="A316" s="2927"/>
      <c r="B316" s="3865"/>
      <c r="C316" s="2810" t="str">
        <f>B307</f>
        <v>failed Divertor Pipework Modules Stored;  Cassette Transport Cask Prepared; Cassette Transport Cask Moved to Lower Port</v>
      </c>
      <c r="D316" s="2810" t="s">
        <v>11</v>
      </c>
      <c r="E316" s="2811">
        <f t="shared" si="23"/>
        <v>0</v>
      </c>
      <c r="F316" s="2811">
        <f>IF($D316="Trigger",VLOOKUP($C316,'Lower Cask Weld Failures'!$D$434:$G$487,4,FALSE),E316+F315)</f>
        <v>50.082604882888866</v>
      </c>
      <c r="G316" s="2812"/>
      <c r="H316" s="2813" t="s">
        <v>263</v>
      </c>
      <c r="I316" s="2814"/>
      <c r="J316" s="2810"/>
      <c r="K316" s="2810"/>
      <c r="L316" s="2815" t="str">
        <f>IFERROR(INDEX('Lower Cask Movement &amp; Logistics'!$I$13:$O$19,MATCH($J316,'Lower Cask Movement &amp; Logistics'!$H$13:$H$19,0),MATCH($K316,'Lower Cask Movement &amp; Logistics'!$H$13:$H$19,0)),"N/A")</f>
        <v>N/A</v>
      </c>
      <c r="M316" s="2815" t="str">
        <f>IFERROR(VLOOKUP($I316,'Lower Cask Movement &amp; Logistics'!$H$4:$I$8,2,FALSE),"N/A")</f>
        <v>N/A</v>
      </c>
      <c r="N316" s="2816" t="str">
        <f t="shared" si="24"/>
        <v>N/A</v>
      </c>
      <c r="O316" s="2817"/>
      <c r="P316" s="2822" t="str">
        <f>IF($D316="Logistics",VLOOKUP($O316,'Lower Cask Movement &amp; Logistics'!$C$4:$D$54,2,FALSE),"N/A")</f>
        <v>N/A</v>
      </c>
      <c r="R316" s="2765"/>
      <c r="S316" s="2765"/>
    </row>
    <row r="317" spans="1:19" s="2764" customFormat="1" ht="15" customHeight="1" outlineLevel="1" x14ac:dyDescent="0.4">
      <c r="A317" s="2927"/>
      <c r="B317" s="3863" t="s">
        <v>1614</v>
      </c>
      <c r="C317" s="2788" t="s">
        <v>1911</v>
      </c>
      <c r="D317" s="2788" t="s">
        <v>907</v>
      </c>
      <c r="E317" s="2789">
        <f t="shared" si="23"/>
        <v>0</v>
      </c>
      <c r="F317" s="2789">
        <f>IF($D317="Trigger",VLOOKUP($C317,'Lower Cask Weld Failures'!$D$434:$G$487,4,FALSE),E317+F316)</f>
        <v>57.708901179185169</v>
      </c>
      <c r="G317" s="2790"/>
      <c r="H317" s="2791" t="s">
        <v>263</v>
      </c>
      <c r="I317" s="2792"/>
      <c r="J317" s="2788"/>
      <c r="K317" s="2788"/>
      <c r="L317" s="2793" t="str">
        <f>IFERROR(INDEX('Lower Cask Movement &amp; Logistics'!$I$13:$O$19,MATCH($J317,'Lower Cask Movement &amp; Logistics'!$H$13:$H$19,0),MATCH($K317,'Lower Cask Movement &amp; Logistics'!$H$13:$H$19,0)),"N/A")</f>
        <v>N/A</v>
      </c>
      <c r="M317" s="2933" t="str">
        <f>IFERROR(VLOOKUP($I317,'Lower Cask Movement &amp; Logistics'!$H$4:$I$8,2,FALSE),"N/A")</f>
        <v>N/A</v>
      </c>
      <c r="N317" s="2794" t="str">
        <f t="shared" si="24"/>
        <v>N/A</v>
      </c>
      <c r="O317" s="2795"/>
      <c r="P317" s="2796" t="str">
        <f>IF($D317="Logistics",VLOOKUP($O317,'Lower Cask Movement &amp; Logistics'!$C$4:$D$54,2,FALSE),"N/A")</f>
        <v>N/A</v>
      </c>
      <c r="R317" s="2765"/>
      <c r="S317" s="2765"/>
    </row>
    <row r="318" spans="1:19" s="2764" customFormat="1" ht="15" customHeight="1" outlineLevel="1" x14ac:dyDescent="0.4">
      <c r="A318" s="2927"/>
      <c r="B318" s="3864"/>
      <c r="C318" s="2797" t="s">
        <v>1732</v>
      </c>
      <c r="D318" s="2798" t="s">
        <v>778</v>
      </c>
      <c r="E318" s="2799">
        <f t="shared" si="23"/>
        <v>0.69444444444444442</v>
      </c>
      <c r="F318" s="2799">
        <f>IF($D318="Trigger",VLOOKUP($C318,'Lower Cask Weld Failures'!$D$434:$G$487,4,FALSE),E318+F317)</f>
        <v>58.403345623629612</v>
      </c>
      <c r="G318" s="2800"/>
      <c r="H318" s="2801" t="s">
        <v>263</v>
      </c>
      <c r="I318" s="2802" t="s">
        <v>1538</v>
      </c>
      <c r="J318" s="2798" t="s">
        <v>1203</v>
      </c>
      <c r="K318" s="2798" t="s">
        <v>914</v>
      </c>
      <c r="L318" s="2803">
        <f>IFERROR(INDEX('Lower Cask Movement &amp; Logistics'!$I$13:$O$19,MATCH($J318,'Lower Cask Movement &amp; Logistics'!$H$13:$H$19,0),MATCH($K318,'Lower Cask Movement &amp; Logistics'!$H$13:$H$19,0)),"N/A")</f>
        <v>50</v>
      </c>
      <c r="M318" s="2804">
        <f>IFERROR(VLOOKUP($I318,'Lower Cask Movement &amp; Logistics'!$H$4:$I$8,2,FALSE),"N/A")</f>
        <v>0.02</v>
      </c>
      <c r="N318" s="2805">
        <f t="shared" si="24"/>
        <v>0.69444444444444442</v>
      </c>
      <c r="O318" s="2806"/>
      <c r="P318" s="2807" t="str">
        <f>IF($D318="Logistics",VLOOKUP($O318,'Lower Cask Movement &amp; Logistics'!$C$4:$D$54,2,FALSE),"N/A")</f>
        <v>N/A</v>
      </c>
      <c r="R318" s="2765"/>
      <c r="S318" s="2765"/>
    </row>
    <row r="319" spans="1:19" s="2764" customFormat="1" ht="15" customHeight="1" outlineLevel="1" x14ac:dyDescent="0.4">
      <c r="A319" s="2927"/>
      <c r="B319" s="3864"/>
      <c r="C319" s="2797" t="s">
        <v>1733</v>
      </c>
      <c r="D319" s="2798" t="s">
        <v>3</v>
      </c>
      <c r="E319" s="2799">
        <f t="shared" si="23"/>
        <v>1.9</v>
      </c>
      <c r="F319" s="2799">
        <f>IF($D319="Trigger",VLOOKUP($C319,'Lower Cask Weld Failures'!$D$434:$G$487,4,FALSE),E319+F318)</f>
        <v>60.30334562362961</v>
      </c>
      <c r="G319" s="2800"/>
      <c r="H319" s="2801" t="s">
        <v>263</v>
      </c>
      <c r="I319" s="2802"/>
      <c r="J319" s="2798"/>
      <c r="K319" s="2798"/>
      <c r="L319" s="2803" t="str">
        <f>IFERROR(INDEX('Lower Cask Movement &amp; Logistics'!$I$13:$O$19,MATCH($J319,'Lower Cask Movement &amp; Logistics'!$H$13:$H$19,0),MATCH($K319,'Lower Cask Movement &amp; Logistics'!$H$13:$H$19,0)),"N/A")</f>
        <v>N/A</v>
      </c>
      <c r="M319" s="2804" t="str">
        <f>IFERROR(VLOOKUP($I319,'Lower Cask Movement &amp; Logistics'!$H$4:$I$8,2,FALSE),"N/A")</f>
        <v>N/A</v>
      </c>
      <c r="N319" s="2805" t="str">
        <f t="shared" si="24"/>
        <v>N/A</v>
      </c>
      <c r="O319" s="2806" t="s">
        <v>1734</v>
      </c>
      <c r="P319" s="2807">
        <f>IF($D319="Logistics",VLOOKUP($O319,'Lower Cask Movement &amp; Logistics'!$C$4:$D$54,2,FALSE),"N/A")</f>
        <v>1.9</v>
      </c>
      <c r="R319" s="2765"/>
      <c r="S319" s="2765"/>
    </row>
    <row r="320" spans="1:19" s="2764" customFormat="1" ht="15" customHeight="1" outlineLevel="1" x14ac:dyDescent="0.4">
      <c r="A320" s="2927"/>
      <c r="B320" s="3864"/>
      <c r="C320" s="2798" t="s">
        <v>1986</v>
      </c>
      <c r="D320" s="2798" t="s">
        <v>3</v>
      </c>
      <c r="E320" s="2799">
        <f t="shared" si="23"/>
        <v>0.88000000000000012</v>
      </c>
      <c r="F320" s="2799">
        <f>IF($D320="Trigger",VLOOKUP($C320,'Lower Cask Weld Failures'!$D$434:$G$487,4,FALSE),E320+F319)</f>
        <v>61.183345623629613</v>
      </c>
      <c r="G320" s="2808"/>
      <c r="H320" s="2801" t="s">
        <v>263</v>
      </c>
      <c r="I320" s="2802"/>
      <c r="J320" s="2798"/>
      <c r="K320" s="2798"/>
      <c r="L320" s="2803" t="str">
        <f>IFERROR(INDEX('Lower Cask Movement &amp; Logistics'!$I$13:$O$19,MATCH($J320,'Lower Cask Movement &amp; Logistics'!$H$13:$H$19,0),MATCH($K320,'Lower Cask Movement &amp; Logistics'!$H$13:$H$19,0)),"N/A")</f>
        <v>N/A</v>
      </c>
      <c r="M320" s="2804" t="str">
        <f>IFERROR(VLOOKUP($I320,'Lower Cask Movement &amp; Logistics'!$H$4:$I$8,2,FALSE),"N/A")</f>
        <v>N/A</v>
      </c>
      <c r="N320" s="2805" t="str">
        <f t="shared" si="24"/>
        <v>N/A</v>
      </c>
      <c r="O320" s="2809" t="s">
        <v>1960</v>
      </c>
      <c r="P320" s="2807">
        <f>IF($D320="Logistics",VLOOKUP($O320,'Lower Cask Movement &amp; Logistics'!$C$4:$D$54,2,FALSE),"N/A")</f>
        <v>0.88000000000000012</v>
      </c>
      <c r="R320" s="2765"/>
      <c r="S320" s="2765"/>
    </row>
    <row r="321" spans="1:19" s="2764" customFormat="1" ht="15" customHeight="1" outlineLevel="1" x14ac:dyDescent="0.4">
      <c r="A321" s="2927"/>
      <c r="B321" s="3864"/>
      <c r="C321" s="2798" t="s">
        <v>1562</v>
      </c>
      <c r="D321" s="2798" t="s">
        <v>3</v>
      </c>
      <c r="E321" s="2799">
        <f t="shared" si="23"/>
        <v>2.3000000000000003</v>
      </c>
      <c r="F321" s="2799">
        <f>IF($D321="Trigger",VLOOKUP($C321,'Lower Cask Weld Failures'!$D$434:$G$487,4,FALSE),E321+F320)</f>
        <v>63.48334562362961</v>
      </c>
      <c r="G321" s="2808"/>
      <c r="H321" s="2801" t="s">
        <v>263</v>
      </c>
      <c r="I321" s="2802"/>
      <c r="J321" s="2798"/>
      <c r="K321" s="2798"/>
      <c r="L321" s="2803" t="str">
        <f>IFERROR(INDEX('Lower Cask Movement &amp; Logistics'!$I$13:$O$19,MATCH($J321,'Lower Cask Movement &amp; Logistics'!$H$13:$H$19,0),MATCH($K321,'Lower Cask Movement &amp; Logistics'!$H$13:$H$19,0)),"N/A")</f>
        <v>N/A</v>
      </c>
      <c r="M321" s="2804" t="str">
        <f>IFERROR(VLOOKUP($I321,'Lower Cask Movement &amp; Logistics'!$H$4:$I$8,2,FALSE),"N/A")</f>
        <v>N/A</v>
      </c>
      <c r="N321" s="2805" t="str">
        <f t="shared" si="24"/>
        <v>N/A</v>
      </c>
      <c r="O321" s="2809" t="s">
        <v>1562</v>
      </c>
      <c r="P321" s="2807">
        <f>IF($D321="Logistics",VLOOKUP($O321,'Lower Cask Movement &amp; Logistics'!$C$4:$D$54,2,FALSE),"N/A")</f>
        <v>2.3000000000000003</v>
      </c>
      <c r="R321" s="2765"/>
      <c r="S321" s="2765"/>
    </row>
    <row r="322" spans="1:19" s="2764" customFormat="1" ht="15" customHeight="1" outlineLevel="1" x14ac:dyDescent="0.4">
      <c r="A322" s="2927"/>
      <c r="B322" s="3864"/>
      <c r="C322" s="2798" t="s">
        <v>1737</v>
      </c>
      <c r="D322" s="2798" t="s">
        <v>778</v>
      </c>
      <c r="E322" s="2799">
        <f t="shared" si="23"/>
        <v>2.7777777777777776E-2</v>
      </c>
      <c r="F322" s="2799">
        <f>IF($D322="Trigger",VLOOKUP($C322,'Lower Cask Weld Failures'!$D$434:$G$487,4,FALSE),E322+F321)</f>
        <v>63.511123401407389</v>
      </c>
      <c r="G322" s="2808"/>
      <c r="H322" s="2801" t="s">
        <v>263</v>
      </c>
      <c r="I322" s="2802" t="s">
        <v>1738</v>
      </c>
      <c r="J322" s="2798" t="s">
        <v>914</v>
      </c>
      <c r="K322" s="2798" t="s">
        <v>799</v>
      </c>
      <c r="L322" s="2803">
        <f>IFERROR(INDEX('Lower Cask Movement &amp; Logistics'!$I$13:$O$19,MATCH($J322,'Lower Cask Movement &amp; Logistics'!$H$13:$H$19,0),MATCH($K322,'Lower Cask Movement &amp; Logistics'!$H$13:$H$19,0)),"N/A")</f>
        <v>20</v>
      </c>
      <c r="M322" s="2804">
        <f>IFERROR(VLOOKUP($I322,'Lower Cask Movement &amp; Logistics'!$H$4:$I$8,2,FALSE),"N/A")</f>
        <v>0.2</v>
      </c>
      <c r="N322" s="2805">
        <f t="shared" si="24"/>
        <v>2.7777777777777776E-2</v>
      </c>
      <c r="O322" s="2809"/>
      <c r="P322" s="2807" t="str">
        <f>IF($D322="Logistics",VLOOKUP($O322,'Lower Cask Movement &amp; Logistics'!$C$4:$D$54,2,FALSE),"N/A")</f>
        <v>N/A</v>
      </c>
      <c r="R322" s="2765"/>
      <c r="S322" s="2765"/>
    </row>
    <row r="323" spans="1:19" s="2764" customFormat="1" ht="15" customHeight="1" outlineLevel="1" x14ac:dyDescent="0.4">
      <c r="A323" s="2927"/>
      <c r="B323" s="3864"/>
      <c r="C323" s="2798" t="s">
        <v>1733</v>
      </c>
      <c r="D323" s="2798" t="s">
        <v>3</v>
      </c>
      <c r="E323" s="2799">
        <f t="shared" si="23"/>
        <v>1.9</v>
      </c>
      <c r="F323" s="2799">
        <f>IF($D323="Trigger",VLOOKUP($C323,'Lower Cask Weld Failures'!$D$434:$G$487,4,FALSE),E323+F322)</f>
        <v>65.411123401407394</v>
      </c>
      <c r="G323" s="2808"/>
      <c r="H323" s="2801" t="s">
        <v>263</v>
      </c>
      <c r="I323" s="2802"/>
      <c r="J323" s="2798"/>
      <c r="K323" s="2798"/>
      <c r="L323" s="2803" t="str">
        <f>IFERROR(INDEX('Lower Cask Movement &amp; Logistics'!$I$13:$O$19,MATCH($J323,'Lower Cask Movement &amp; Logistics'!$H$13:$H$19,0),MATCH($K323,'Lower Cask Movement &amp; Logistics'!$H$13:$H$19,0)),"N/A")</f>
        <v>N/A</v>
      </c>
      <c r="M323" s="2804" t="str">
        <f>IFERROR(VLOOKUP($I323,'Lower Cask Movement &amp; Logistics'!$H$4:$I$8,2,FALSE),"N/A")</f>
        <v>N/A</v>
      </c>
      <c r="N323" s="2805" t="str">
        <f t="shared" si="24"/>
        <v>N/A</v>
      </c>
      <c r="O323" s="2809" t="s">
        <v>1734</v>
      </c>
      <c r="P323" s="2807">
        <f>IF($D323="Logistics",VLOOKUP($O323,'Lower Cask Movement &amp; Logistics'!$C$4:$D$54,2,FALSE),"N/A")</f>
        <v>1.9</v>
      </c>
      <c r="R323" s="2765"/>
      <c r="S323" s="2765"/>
    </row>
    <row r="324" spans="1:19" s="2764" customFormat="1" ht="15" customHeight="1" outlineLevel="1" x14ac:dyDescent="0.4">
      <c r="A324" s="2927"/>
      <c r="B324" s="3864"/>
      <c r="C324" s="2798" t="s">
        <v>1987</v>
      </c>
      <c r="D324" s="2798" t="s">
        <v>3</v>
      </c>
      <c r="E324" s="2799">
        <f t="shared" si="23"/>
        <v>0.88000000000000012</v>
      </c>
      <c r="F324" s="2799">
        <f>IF($D324="Trigger",VLOOKUP($C324,'Lower Cask Weld Failures'!$D$434:$G$487,4,FALSE),E324+F323)</f>
        <v>66.29112340140739</v>
      </c>
      <c r="G324" s="2808"/>
      <c r="H324" s="2801" t="s">
        <v>263</v>
      </c>
      <c r="I324" s="2802"/>
      <c r="J324" s="2798"/>
      <c r="K324" s="2798"/>
      <c r="L324" s="2803" t="str">
        <f>IFERROR(INDEX('Lower Cask Movement &amp; Logistics'!$I$13:$O$19,MATCH($J324,'Lower Cask Movement &amp; Logistics'!$H$13:$H$19,0),MATCH($K324,'Lower Cask Movement &amp; Logistics'!$H$13:$H$19,0)),"N/A")</f>
        <v>N/A</v>
      </c>
      <c r="M324" s="2804" t="str">
        <f>IFERROR(VLOOKUP($I324,'Lower Cask Movement &amp; Logistics'!$H$4:$I$8,2,FALSE),"N/A")</f>
        <v>N/A</v>
      </c>
      <c r="N324" s="2805" t="str">
        <f t="shared" si="24"/>
        <v>N/A</v>
      </c>
      <c r="O324" s="2809" t="s">
        <v>1730</v>
      </c>
      <c r="P324" s="2807">
        <f>IF($D324="Logistics",VLOOKUP($O324,'Lower Cask Movement &amp; Logistics'!$C$4:$D$54,2,FALSE),"N/A")</f>
        <v>0.88000000000000012</v>
      </c>
      <c r="R324" s="2765"/>
      <c r="S324" s="2765"/>
    </row>
    <row r="325" spans="1:19" s="2764" customFormat="1" ht="15" customHeight="1" outlineLevel="1" x14ac:dyDescent="0.4">
      <c r="A325" s="2927"/>
      <c r="B325" s="3864"/>
      <c r="C325" s="2798" t="s">
        <v>1562</v>
      </c>
      <c r="D325" s="2798" t="s">
        <v>3</v>
      </c>
      <c r="E325" s="2799">
        <f t="shared" si="23"/>
        <v>2.3000000000000003</v>
      </c>
      <c r="F325" s="2799">
        <f>IF($D325="Trigger",VLOOKUP($C325,'Lower Cask Weld Failures'!$D$434:$G$487,4,FALSE),E325+F324)</f>
        <v>68.591123401407387</v>
      </c>
      <c r="G325" s="2808"/>
      <c r="H325" s="2801" t="s">
        <v>263</v>
      </c>
      <c r="I325" s="2802"/>
      <c r="J325" s="2798"/>
      <c r="K325" s="2798"/>
      <c r="L325" s="2803" t="str">
        <f>IFERROR(INDEX('Lower Cask Movement &amp; Logistics'!$I$13:$O$19,MATCH($J325,'Lower Cask Movement &amp; Logistics'!$H$13:$H$19,0),MATCH($K325,'Lower Cask Movement &amp; Logistics'!$H$13:$H$19,0)),"N/A")</f>
        <v>N/A</v>
      </c>
      <c r="M325" s="2804" t="str">
        <f>IFERROR(VLOOKUP($I325,'Lower Cask Movement &amp; Logistics'!$H$4:$I$8,2,FALSE),"N/A")</f>
        <v>N/A</v>
      </c>
      <c r="N325" s="2805" t="str">
        <f t="shared" si="24"/>
        <v>N/A</v>
      </c>
      <c r="O325" s="2809" t="s">
        <v>1562</v>
      </c>
      <c r="P325" s="2807">
        <f>IF($D325="Logistics",VLOOKUP($O325,'Lower Cask Movement &amp; Logistics'!$C$4:$D$54,2,FALSE),"N/A")</f>
        <v>2.3000000000000003</v>
      </c>
      <c r="R325" s="2765"/>
      <c r="S325" s="2765"/>
    </row>
    <row r="326" spans="1:19" s="2764" customFormat="1" ht="26.25" customHeight="1" outlineLevel="1" x14ac:dyDescent="0.4">
      <c r="A326" s="2927"/>
      <c r="B326" s="3864"/>
      <c r="C326" s="2798" t="s">
        <v>1756</v>
      </c>
      <c r="D326" s="2798" t="s">
        <v>778</v>
      </c>
      <c r="E326" s="2799">
        <f t="shared" si="23"/>
        <v>0.23148148148148148</v>
      </c>
      <c r="F326" s="2799">
        <f>IF($D326="Trigger",VLOOKUP($C326,'Lower Cask Weld Failures'!$D$434:$G$487,4,FALSE),E326+F325)</f>
        <v>68.822604882888868</v>
      </c>
      <c r="G326" s="2808"/>
      <c r="H326" s="2820" t="s">
        <v>263</v>
      </c>
      <c r="I326" s="2802" t="s">
        <v>1536</v>
      </c>
      <c r="J326" s="2798" t="s">
        <v>799</v>
      </c>
      <c r="K326" s="2798" t="s">
        <v>1203</v>
      </c>
      <c r="L326" s="2803">
        <f>IFERROR(INDEX('Lower Cask Movement &amp; Logistics'!$I$13:$O$19,MATCH($J326,'Lower Cask Movement &amp; Logistics'!$H$13:$H$19,0),MATCH($K326,'Lower Cask Movement &amp; Logistics'!$H$13:$H$19,0)),"N/A")</f>
        <v>50</v>
      </c>
      <c r="M326" s="2804">
        <f>IFERROR(VLOOKUP($I326,'Lower Cask Movement &amp; Logistics'!$H$4:$I$8,2,FALSE),"N/A")</f>
        <v>0.06</v>
      </c>
      <c r="N326" s="2805">
        <f t="shared" si="24"/>
        <v>0.23148148148148148</v>
      </c>
      <c r="O326" s="2809"/>
      <c r="P326" s="2807" t="str">
        <f>IF($D326="Logistics",VLOOKUP($O326,'Lower Cask Movement &amp; Logistics'!$C$4:$D$54,2,FALSE),"N/A")</f>
        <v>N/A</v>
      </c>
      <c r="R326" s="2765"/>
      <c r="S326" s="2765"/>
    </row>
    <row r="327" spans="1:19" s="2764" customFormat="1" ht="27" customHeight="1" outlineLevel="1" thickBot="1" x14ac:dyDescent="0.45">
      <c r="A327" s="2927"/>
      <c r="B327" s="3865"/>
      <c r="C327" s="2810" t="str">
        <f>B317</f>
        <v>Central Cassette Stored; Cassette Transport Cask Moved to Lower Port</v>
      </c>
      <c r="D327" s="2810" t="s">
        <v>11</v>
      </c>
      <c r="E327" s="2811">
        <f t="shared" si="23"/>
        <v>0</v>
      </c>
      <c r="F327" s="2811">
        <f>IF($D327="Trigger",VLOOKUP($C327,'Lower Cask Weld Failures'!$D$434:$G$487,4,FALSE),E327+F326)</f>
        <v>68.822604882888868</v>
      </c>
      <c r="G327" s="2812"/>
      <c r="H327" s="2813" t="s">
        <v>263</v>
      </c>
      <c r="I327" s="2814"/>
      <c r="J327" s="2810"/>
      <c r="K327" s="2810"/>
      <c r="L327" s="2815" t="str">
        <f>IFERROR(INDEX('Lower Cask Movement &amp; Logistics'!$I$13:$O$19,MATCH($J327,'Lower Cask Movement &amp; Logistics'!$H$13:$H$19,0),MATCH($K327,'Lower Cask Movement &amp; Logistics'!$H$13:$H$19,0)),"N/A")</f>
        <v>N/A</v>
      </c>
      <c r="M327" s="2815" t="str">
        <f>IFERROR(VLOOKUP($I327,'Lower Cask Movement &amp; Logistics'!$H$4:$I$8,2,FALSE),"N/A")</f>
        <v>N/A</v>
      </c>
      <c r="N327" s="2816" t="str">
        <f t="shared" si="24"/>
        <v>N/A</v>
      </c>
      <c r="O327" s="2817"/>
      <c r="P327" s="2822" t="str">
        <f>IF($D327="Logistics",VLOOKUP($O327,'Lower Cask Movement &amp; Logistics'!$C$4:$D$54,2,FALSE),"N/A")</f>
        <v>N/A</v>
      </c>
      <c r="R327" s="2765"/>
      <c r="S327" s="2765"/>
    </row>
    <row r="328" spans="1:19" ht="12.75" customHeight="1" outlineLevel="1" x14ac:dyDescent="0.4">
      <c r="A328" s="2927"/>
      <c r="B328" s="3863" t="s">
        <v>1916</v>
      </c>
      <c r="C328" s="2823" t="s">
        <v>1612</v>
      </c>
      <c r="D328" s="2823" t="s">
        <v>907</v>
      </c>
      <c r="E328" s="2935">
        <f t="shared" si="23"/>
        <v>0</v>
      </c>
      <c r="F328" s="2936">
        <f>IF($D328="Trigger",VLOOKUP($C328,'Lower Cask Weld Failures'!$D$434:$G$487,4,FALSE),E328+F327)</f>
        <v>63.66890117918517</v>
      </c>
      <c r="G328" s="2937"/>
      <c r="H328" s="2938" t="s">
        <v>263</v>
      </c>
      <c r="I328" s="2939"/>
      <c r="J328" s="2939"/>
      <c r="K328" s="2939"/>
      <c r="L328" s="2935" t="str">
        <f>IFERROR(INDEX('Lower Cask Movement &amp; Logistics'!$I$13:$O$19,MATCH($J328,'Lower Cask Movement &amp; Logistics'!$H$13:$H$19,0),MATCH($K328,'Lower Cask Movement &amp; Logistics'!$H$13:$H$19,0)),"N/A")</f>
        <v>N/A</v>
      </c>
      <c r="M328" s="2935" t="str">
        <f>IFERROR(VLOOKUP($I328,'Lower Cask Movement &amp; Logistics'!$H$4:$I$8,2,FALSE),"N/A")</f>
        <v>N/A</v>
      </c>
      <c r="N328" s="2935" t="str">
        <f t="shared" si="24"/>
        <v>N/A</v>
      </c>
      <c r="O328" s="2940"/>
      <c r="P328" s="2936" t="str">
        <f>IF($D328="Logistics",VLOOKUP($O328,'Lower Cask Movement &amp; Logistics'!$C$4:$D$54,2,FALSE),"N/A")</f>
        <v>N/A</v>
      </c>
    </row>
    <row r="329" spans="1:19" ht="25.5" customHeight="1" outlineLevel="1" x14ac:dyDescent="0.4">
      <c r="A329" s="2927"/>
      <c r="B329" s="3864"/>
      <c r="C329" s="2941" t="s">
        <v>1976</v>
      </c>
      <c r="D329" s="2941" t="s">
        <v>778</v>
      </c>
      <c r="E329" s="2826">
        <f t="shared" si="23"/>
        <v>0.23148148148148148</v>
      </c>
      <c r="F329" s="2805">
        <f>IF($D329="Trigger",VLOOKUP($C329,'Lower Cask Weld Failures'!$D$434:$G$487,4,FALSE),E329+F328)</f>
        <v>63.900382660666651</v>
      </c>
      <c r="G329" s="2808"/>
      <c r="H329" s="2820" t="s">
        <v>263</v>
      </c>
      <c r="I329" s="2825" t="s">
        <v>1962</v>
      </c>
      <c r="J329" s="2825" t="s">
        <v>1203</v>
      </c>
      <c r="K329" s="2825" t="s">
        <v>1977</v>
      </c>
      <c r="L329" s="2826">
        <f>IFERROR(INDEX('Lower Cask Movement &amp; Logistics'!$I$13:$O$19,MATCH($J329,'Lower Cask Movement &amp; Logistics'!$H$13:$H$19,0),MATCH($K329,'Lower Cask Movement &amp; Logistics'!$H$13:$H$19,0)),"N/A")</f>
        <v>50</v>
      </c>
      <c r="M329" s="2826">
        <f>IFERROR(VLOOKUP($I329,'Lower Cask Movement &amp; Logistics'!$H$4:$I$8,2,FALSE),"N/A")</f>
        <v>0.06</v>
      </c>
      <c r="N329" s="2826">
        <f t="shared" si="24"/>
        <v>0.23148148148148148</v>
      </c>
      <c r="O329" s="2809"/>
      <c r="P329" s="2805" t="str">
        <f>IF($D329="Logistics",VLOOKUP($O329,'Lower Cask Movement &amp; Logistics'!$C$4:$D$54,2,FALSE),"N/A")</f>
        <v>N/A</v>
      </c>
    </row>
    <row r="330" spans="1:19" ht="12.75" customHeight="1" outlineLevel="1" x14ac:dyDescent="0.4">
      <c r="A330" s="2927"/>
      <c r="B330" s="3864"/>
      <c r="C330" s="2941" t="s">
        <v>1978</v>
      </c>
      <c r="D330" s="2825" t="s">
        <v>3</v>
      </c>
      <c r="E330" s="2826">
        <f t="shared" si="23"/>
        <v>0.58000000000000007</v>
      </c>
      <c r="F330" s="2805">
        <f>IF($D330="Trigger",VLOOKUP($C330,'Lower Cask Weld Failures'!$D$434:$G$487,4,FALSE),E330+F329)</f>
        <v>64.480382660666649</v>
      </c>
      <c r="G330" s="2808"/>
      <c r="H330" s="2820" t="s">
        <v>263</v>
      </c>
      <c r="I330" s="2825"/>
      <c r="J330" s="2825"/>
      <c r="K330" s="2825"/>
      <c r="L330" s="2826" t="str">
        <f>IFERROR(INDEX('Lower Cask Movement &amp; Logistics'!$I$13:$O$19,MATCH($J330,'Lower Cask Movement &amp; Logistics'!$H$13:$H$19,0),MATCH($K330,'Lower Cask Movement &amp; Logistics'!$H$13:$H$19,0)),"N/A")</f>
        <v>N/A</v>
      </c>
      <c r="M330" s="2826" t="str">
        <f>IFERROR(VLOOKUP($I330,'Lower Cask Movement &amp; Logistics'!$H$4:$I$8,2,FALSE),"N/A")</f>
        <v>N/A</v>
      </c>
      <c r="N330" s="2826" t="str">
        <f t="shared" si="24"/>
        <v>N/A</v>
      </c>
      <c r="O330" s="2809" t="s">
        <v>1971</v>
      </c>
      <c r="P330" s="2805">
        <f>IF($D330="Logistics",VLOOKUP($O330,'Lower Cask Movement &amp; Logistics'!$C$4:$D$54,2,FALSE),"N/A")</f>
        <v>0.58000000000000007</v>
      </c>
    </row>
    <row r="331" spans="1:19" ht="12.75" customHeight="1" outlineLevel="1" x14ac:dyDescent="0.4">
      <c r="A331" s="2927"/>
      <c r="B331" s="3864"/>
      <c r="C331" s="2941" t="s">
        <v>1979</v>
      </c>
      <c r="D331" s="2825" t="s">
        <v>778</v>
      </c>
      <c r="E331" s="2826">
        <f t="shared" si="23"/>
        <v>2.7777777777777776E-2</v>
      </c>
      <c r="F331" s="2805">
        <f>IF($D331="Trigger",VLOOKUP($C331,'Lower Cask Weld Failures'!$D$434:$G$487,4,FALSE),E331+F330)</f>
        <v>64.50816043844442</v>
      </c>
      <c r="G331" s="2808"/>
      <c r="H331" s="2820" t="s">
        <v>263</v>
      </c>
      <c r="I331" s="2825" t="s">
        <v>1831</v>
      </c>
      <c r="J331" s="2825" t="s">
        <v>1977</v>
      </c>
      <c r="K331" s="2825" t="s">
        <v>1975</v>
      </c>
      <c r="L331" s="2826">
        <f>IFERROR(INDEX('Lower Cask Movement &amp; Logistics'!$I$13:$O$19,MATCH($J331,'Lower Cask Movement &amp; Logistics'!$H$13:$H$19,0),MATCH($K331,'Lower Cask Movement &amp; Logistics'!$H$13:$H$19,0)),"N/A")</f>
        <v>20</v>
      </c>
      <c r="M331" s="2826">
        <f>IFERROR(VLOOKUP($I331,'Lower Cask Movement &amp; Logistics'!$H$4:$I$8,2,FALSE),"N/A")</f>
        <v>0.2</v>
      </c>
      <c r="N331" s="2826">
        <f t="shared" si="24"/>
        <v>2.7777777777777776E-2</v>
      </c>
      <c r="O331" s="2809"/>
      <c r="P331" s="2805" t="str">
        <f>IF($D331="Logistics",VLOOKUP($O331,'Lower Cask Movement &amp; Logistics'!$C$4:$D$54,2,FALSE),"N/A")</f>
        <v>N/A</v>
      </c>
    </row>
    <row r="332" spans="1:19" ht="12.75" customHeight="1" outlineLevel="1" x14ac:dyDescent="0.4">
      <c r="A332" s="2927"/>
      <c r="B332" s="3864"/>
      <c r="C332" s="2941" t="s">
        <v>1980</v>
      </c>
      <c r="D332" s="2825" t="s">
        <v>3</v>
      </c>
      <c r="E332" s="2826">
        <f t="shared" si="23"/>
        <v>0.78</v>
      </c>
      <c r="F332" s="2805">
        <f>IF($D332="Trigger",VLOOKUP($C332,'Lower Cask Weld Failures'!$D$434:$G$487,4,FALSE),E332+F331)</f>
        <v>65.288160438444422</v>
      </c>
      <c r="G332" s="2808"/>
      <c r="H332" s="2820" t="s">
        <v>263</v>
      </c>
      <c r="I332" s="2825"/>
      <c r="J332" s="2825"/>
      <c r="K332" s="2825"/>
      <c r="L332" s="2826" t="str">
        <f>IFERROR(INDEX('Lower Cask Movement &amp; Logistics'!$I$13:$O$19,MATCH($J332,'Lower Cask Movement &amp; Logistics'!$H$13:$H$19,0),MATCH($K332,'Lower Cask Movement &amp; Logistics'!$H$13:$H$19,0)),"N/A")</f>
        <v>N/A</v>
      </c>
      <c r="M332" s="2826" t="str">
        <f>IFERROR(VLOOKUP($I332,'Lower Cask Movement &amp; Logistics'!$H$4:$I$8,2,FALSE),"N/A")</f>
        <v>N/A</v>
      </c>
      <c r="N332" s="2826" t="str">
        <f t="shared" si="24"/>
        <v>N/A</v>
      </c>
      <c r="O332" s="2809" t="s">
        <v>1973</v>
      </c>
      <c r="P332" s="2805">
        <f>IF($D332="Logistics",VLOOKUP($O332,'Lower Cask Movement &amp; Logistics'!$C$4:$D$54,2,FALSE),"N/A")</f>
        <v>0.78</v>
      </c>
    </row>
    <row r="333" spans="1:19" ht="25.5" customHeight="1" outlineLevel="1" x14ac:dyDescent="0.4">
      <c r="A333" s="2927"/>
      <c r="B333" s="3864"/>
      <c r="C333" s="2941" t="s">
        <v>1981</v>
      </c>
      <c r="D333" s="2825" t="s">
        <v>778</v>
      </c>
      <c r="E333" s="2826">
        <f t="shared" si="23"/>
        <v>9.2592592592592601E-2</v>
      </c>
      <c r="F333" s="2805">
        <f>IF($D333="Trigger",VLOOKUP($C333,'Lower Cask Weld Failures'!$D$434:$G$487,4,FALSE),E333+F332)</f>
        <v>65.380753031037017</v>
      </c>
      <c r="G333" s="2808"/>
      <c r="H333" s="2820" t="s">
        <v>263</v>
      </c>
      <c r="I333" s="2825" t="s">
        <v>1962</v>
      </c>
      <c r="J333" s="2825" t="s">
        <v>1778</v>
      </c>
      <c r="K333" s="2825" t="s">
        <v>1957</v>
      </c>
      <c r="L333" s="2826">
        <f>IFERROR(INDEX('Lower Cask Movement &amp; Logistics'!$I$13:$O$19,MATCH($J333,'Lower Cask Movement &amp; Logistics'!$H$13:$H$19,0),MATCH($K333,'Lower Cask Movement &amp; Logistics'!$H$13:$H$19,0)),"N/A")</f>
        <v>20</v>
      </c>
      <c r="M333" s="2826">
        <f>IFERROR(VLOOKUP($I333,'Lower Cask Movement &amp; Logistics'!$H$4:$I$8,2,FALSE),"N/A")</f>
        <v>0.06</v>
      </c>
      <c r="N333" s="2826">
        <f t="shared" si="24"/>
        <v>9.2592592592592601E-2</v>
      </c>
      <c r="O333" s="2809"/>
      <c r="P333" s="2805" t="str">
        <f>IF($D333="Logistics",VLOOKUP($O333,'Lower Cask Movement &amp; Logistics'!$C$4:$D$54,2,FALSE),"N/A")</f>
        <v>N/A</v>
      </c>
    </row>
    <row r="334" spans="1:19" ht="12.75" customHeight="1" outlineLevel="1" x14ac:dyDescent="0.4">
      <c r="A334" s="2927"/>
      <c r="B334" s="3864"/>
      <c r="C334" s="2941" t="s">
        <v>1958</v>
      </c>
      <c r="D334" s="2825" t="s">
        <v>3</v>
      </c>
      <c r="E334" s="2826">
        <f t="shared" si="23"/>
        <v>1.9</v>
      </c>
      <c r="F334" s="2805">
        <f>IF($D334="Trigger",VLOOKUP($C334,'Lower Cask Weld Failures'!$D$434:$G$487,4,FALSE),E334+F333)</f>
        <v>67.280753031037023</v>
      </c>
      <c r="G334" s="2808"/>
      <c r="H334" s="2820" t="s">
        <v>263</v>
      </c>
      <c r="I334" s="2825"/>
      <c r="J334" s="2825"/>
      <c r="K334" s="2825"/>
      <c r="L334" s="2826" t="str">
        <f>IFERROR(INDEX('Lower Cask Movement &amp; Logistics'!$I$13:$O$19,MATCH($J334,'Lower Cask Movement &amp; Logistics'!$H$13:$H$19,0),MATCH($K334,'Lower Cask Movement &amp; Logistics'!$H$13:$H$19,0)),"N/A")</f>
        <v>N/A</v>
      </c>
      <c r="M334" s="2826" t="str">
        <f>IFERROR(VLOOKUP($I334,'Lower Cask Movement &amp; Logistics'!$H$4:$I$8,2,FALSE),"N/A")</f>
        <v>N/A</v>
      </c>
      <c r="N334" s="2826" t="str">
        <f t="shared" si="24"/>
        <v>N/A</v>
      </c>
      <c r="O334" s="2809" t="s">
        <v>1541</v>
      </c>
      <c r="P334" s="2805">
        <f>IF($D334="Logistics",VLOOKUP($O334,'Lower Cask Movement &amp; Logistics'!$C$4:$D$54,2,FALSE),"N/A")</f>
        <v>1.9</v>
      </c>
    </row>
    <row r="335" spans="1:19" ht="12.75" customHeight="1" outlineLevel="1" x14ac:dyDescent="0.4">
      <c r="A335" s="2927"/>
      <c r="B335" s="3864"/>
      <c r="C335" s="2941" t="s">
        <v>1982</v>
      </c>
      <c r="D335" s="2825" t="s">
        <v>3</v>
      </c>
      <c r="E335" s="2826">
        <f t="shared" si="23"/>
        <v>0.88000000000000012</v>
      </c>
      <c r="F335" s="2805">
        <f>IF($D335="Trigger",VLOOKUP($C335,'Lower Cask Weld Failures'!$D$434:$G$487,4,FALSE),E335+F334)</f>
        <v>68.160753031037018</v>
      </c>
      <c r="G335" s="2808"/>
      <c r="H335" s="2820" t="s">
        <v>263</v>
      </c>
      <c r="I335" s="2825"/>
      <c r="J335" s="2825"/>
      <c r="K335" s="2825"/>
      <c r="L335" s="2826" t="str">
        <f>IFERROR(INDEX('Lower Cask Movement &amp; Logistics'!$I$13:$O$19,MATCH($J335,'Lower Cask Movement &amp; Logistics'!$H$13:$H$19,0),MATCH($K335,'Lower Cask Movement &amp; Logistics'!$H$13:$H$19,0)),"N/A")</f>
        <v>N/A</v>
      </c>
      <c r="M335" s="2826" t="str">
        <f>IFERROR(VLOOKUP($I335,'Lower Cask Movement &amp; Logistics'!$H$4:$I$8,2,FALSE),"N/A")</f>
        <v>N/A</v>
      </c>
      <c r="N335" s="2826" t="str">
        <f t="shared" si="24"/>
        <v>N/A</v>
      </c>
      <c r="O335" s="2809" t="s">
        <v>1730</v>
      </c>
      <c r="P335" s="2805">
        <f>IF($D335="Logistics",VLOOKUP($O335,'Lower Cask Movement &amp; Logistics'!$C$4:$D$54,2,FALSE),"N/A")</f>
        <v>0.88000000000000012</v>
      </c>
    </row>
    <row r="336" spans="1:19" ht="12.75" customHeight="1" outlineLevel="1" x14ac:dyDescent="0.4">
      <c r="A336" s="2927"/>
      <c r="B336" s="3864"/>
      <c r="C336" s="2941" t="s">
        <v>1983</v>
      </c>
      <c r="D336" s="2825" t="s">
        <v>3</v>
      </c>
      <c r="E336" s="2826">
        <f t="shared" si="23"/>
        <v>2.3000000000000003</v>
      </c>
      <c r="F336" s="2805">
        <f>IF($D336="Trigger",VLOOKUP($C336,'Lower Cask Weld Failures'!$D$434:$G$487,4,FALSE),E336+F335)</f>
        <v>70.460753031037015</v>
      </c>
      <c r="G336" s="2808"/>
      <c r="H336" s="2820" t="s">
        <v>263</v>
      </c>
      <c r="I336" s="2825"/>
      <c r="J336" s="2825"/>
      <c r="K336" s="2825"/>
      <c r="L336" s="2826" t="str">
        <f>IFERROR(INDEX('Lower Cask Movement &amp; Logistics'!$I$13:$O$19,MATCH($J336,'Lower Cask Movement &amp; Logistics'!$H$13:$H$19,0),MATCH($K336,'Lower Cask Movement &amp; Logistics'!$H$13:$H$19,0)),"N/A")</f>
        <v>N/A</v>
      </c>
      <c r="M336" s="2826" t="str">
        <f>IFERROR(VLOOKUP($I336,'Lower Cask Movement &amp; Logistics'!$H$4:$I$8,2,FALSE),"N/A")</f>
        <v>N/A</v>
      </c>
      <c r="N336" s="2826" t="str">
        <f t="shared" si="24"/>
        <v>N/A</v>
      </c>
      <c r="O336" s="2809" t="s">
        <v>1562</v>
      </c>
      <c r="P336" s="2805">
        <f>IF($D336="Logistics",VLOOKUP($O336,'Lower Cask Movement &amp; Logistics'!$C$4:$D$54,2,FALSE),"N/A")</f>
        <v>2.3000000000000003</v>
      </c>
    </row>
    <row r="337" spans="1:16" ht="12.75" customHeight="1" outlineLevel="1" x14ac:dyDescent="0.4">
      <c r="A337" s="2927"/>
      <c r="B337" s="3864"/>
      <c r="C337" s="2825" t="s">
        <v>1984</v>
      </c>
      <c r="D337" s="2825" t="s">
        <v>778</v>
      </c>
      <c r="E337" s="2826">
        <f t="shared" si="23"/>
        <v>0.69444444444444442</v>
      </c>
      <c r="F337" s="2805">
        <f>IF($D337="Trigger",VLOOKUP($C337,'Lower Cask Weld Failures'!$D$434:$G$487,4,FALSE),E337+F336)</f>
        <v>71.155197475481458</v>
      </c>
      <c r="G337" s="2808"/>
      <c r="H337" s="2820" t="s">
        <v>263</v>
      </c>
      <c r="I337" s="2825" t="s">
        <v>1789</v>
      </c>
      <c r="J337" s="2825" t="s">
        <v>1957</v>
      </c>
      <c r="K337" s="2825" t="s">
        <v>1203</v>
      </c>
      <c r="L337" s="2826">
        <f>IFERROR(INDEX('Lower Cask Movement &amp; Logistics'!$I$13:$O$19,MATCH($J337,'Lower Cask Movement &amp; Logistics'!$H$13:$H$19,0),MATCH($K337,'Lower Cask Movement &amp; Logistics'!$H$13:$H$19,0)),"N/A")</f>
        <v>50</v>
      </c>
      <c r="M337" s="2826">
        <f>IFERROR(VLOOKUP($I337,'Lower Cask Movement &amp; Logistics'!$H$4:$I$8,2,FALSE),"N/A")</f>
        <v>0.02</v>
      </c>
      <c r="N337" s="2826">
        <f t="shared" si="24"/>
        <v>0.69444444444444442</v>
      </c>
      <c r="O337" s="2809"/>
      <c r="P337" s="2805" t="str">
        <f>IF($D337="Logistics",VLOOKUP($O337,'Lower Cask Movement &amp; Logistics'!$C$4:$D$54,2,FALSE),"N/A")</f>
        <v>N/A</v>
      </c>
    </row>
    <row r="338" spans="1:16" ht="26.25" customHeight="1" outlineLevel="1" thickBot="1" x14ac:dyDescent="0.45">
      <c r="A338" s="2927"/>
      <c r="B338" s="3865"/>
      <c r="C338" s="2827" t="str">
        <f>B328</f>
        <v>Left Cassette Stored; Replacement Right Cassette collected; Transport Cask Moved to Lower Port</v>
      </c>
      <c r="D338" s="2827" t="s">
        <v>11</v>
      </c>
      <c r="E338" s="2828">
        <f t="shared" si="23"/>
        <v>0</v>
      </c>
      <c r="F338" s="2822">
        <f>IF($D338="Trigger",VLOOKUP($C338,'Lower Cask Weld Failures'!$D$434:$G$487,4,FALSE),E338+F337)</f>
        <v>71.155197475481458</v>
      </c>
      <c r="G338" s="2812"/>
      <c r="H338" s="2813" t="s">
        <v>263</v>
      </c>
      <c r="I338" s="2827"/>
      <c r="J338" s="2827"/>
      <c r="K338" s="2827"/>
      <c r="L338" s="2828" t="str">
        <f>IFERROR(INDEX('Lower Cask Movement &amp; Logistics'!$I$13:$O$19,MATCH($J338,'Lower Cask Movement &amp; Logistics'!$H$13:$H$19,0),MATCH($K338,'Lower Cask Movement &amp; Logistics'!$H$13:$H$19,0)),"N/A")</f>
        <v>N/A</v>
      </c>
      <c r="M338" s="2828" t="str">
        <f>IFERROR(VLOOKUP($I338,'Lower Cask Movement &amp; Logistics'!$H$4:$I$8,2,FALSE),"N/A")</f>
        <v>N/A</v>
      </c>
      <c r="N338" s="2828" t="str">
        <f t="shared" si="24"/>
        <v>N/A</v>
      </c>
      <c r="O338" s="2817"/>
      <c r="P338" s="2822" t="str">
        <f>IF($D338="Logistics",VLOOKUP($O338,'Lower Cask Movement &amp; Logistics'!$C$4:$D$54,2,FALSE),"N/A")</f>
        <v>N/A</v>
      </c>
    </row>
    <row r="339" spans="1:16" ht="12.75" customHeight="1" outlineLevel="1" x14ac:dyDescent="0.4">
      <c r="A339" s="2927"/>
      <c r="B339" s="3863" t="s">
        <v>2655</v>
      </c>
      <c r="C339" s="2823" t="s">
        <v>2654</v>
      </c>
      <c r="D339" s="2823" t="s">
        <v>907</v>
      </c>
      <c r="E339" s="2935">
        <f t="shared" si="23"/>
        <v>0</v>
      </c>
      <c r="F339" s="2936">
        <f>IF($D339="Trigger",VLOOKUP($C339,'Lower Cask Weld Failures'!$D$434:$G$487,4,FALSE),E339+F338)</f>
        <v>74.782604882888862</v>
      </c>
      <c r="G339" s="2937"/>
      <c r="H339" s="2938" t="s">
        <v>263</v>
      </c>
      <c r="I339" s="2939"/>
      <c r="J339" s="2939"/>
      <c r="K339" s="2939"/>
      <c r="L339" s="2935" t="str">
        <f>IFERROR(INDEX('Lower Cask Movement &amp; Logistics'!$I$13:$O$19,MATCH($J339,'Lower Cask Movement &amp; Logistics'!$H$13:$H$19,0),MATCH($K339,'Lower Cask Movement &amp; Logistics'!$H$13:$H$19,0)),"N/A")</f>
        <v>N/A</v>
      </c>
      <c r="M339" s="2935" t="str">
        <f>IFERROR(VLOOKUP($I339,'Lower Cask Movement &amp; Logistics'!$H$4:$I$8,2,FALSE),"N/A")</f>
        <v>N/A</v>
      </c>
      <c r="N339" s="2935" t="str">
        <f t="shared" ref="N339:N358" si="25">IF(D339="Movement",IFERROR((L339/M339)/(60*60),"Error"),"N/A")</f>
        <v>N/A</v>
      </c>
      <c r="O339" s="2940"/>
      <c r="P339" s="2936" t="str">
        <f>IF($D339="Logistics",VLOOKUP($O339,'Lower Cask Movement &amp; Logistics'!$C$4:$D$54,2,FALSE),"N/A")</f>
        <v>N/A</v>
      </c>
    </row>
    <row r="340" spans="1:16" ht="25.5" customHeight="1" outlineLevel="1" x14ac:dyDescent="0.4">
      <c r="A340" s="2927"/>
      <c r="B340" s="3864"/>
      <c r="C340" s="2941" t="s">
        <v>1976</v>
      </c>
      <c r="D340" s="2941" t="s">
        <v>778</v>
      </c>
      <c r="E340" s="2826">
        <f t="shared" si="23"/>
        <v>0.23148148148148148</v>
      </c>
      <c r="F340" s="2805">
        <f>IF($D340="Trigger",VLOOKUP($C340,'Lower Cask Weld Failures'!$D$434:$G$487,4,FALSE),E340+F339)</f>
        <v>75.014086364370343</v>
      </c>
      <c r="G340" s="2808"/>
      <c r="H340" s="2820" t="s">
        <v>263</v>
      </c>
      <c r="I340" s="2825" t="s">
        <v>1962</v>
      </c>
      <c r="J340" s="2825" t="s">
        <v>1203</v>
      </c>
      <c r="K340" s="2825" t="s">
        <v>1977</v>
      </c>
      <c r="L340" s="2826">
        <f>IFERROR(INDEX('Lower Cask Movement &amp; Logistics'!$I$13:$O$19,MATCH($J340,'Lower Cask Movement &amp; Logistics'!$H$13:$H$19,0),MATCH($K340,'Lower Cask Movement &amp; Logistics'!$H$13:$H$19,0)),"N/A")</f>
        <v>50</v>
      </c>
      <c r="M340" s="2826">
        <f>IFERROR(VLOOKUP($I340,'Lower Cask Movement &amp; Logistics'!$H$4:$I$8,2,FALSE),"N/A")</f>
        <v>0.06</v>
      </c>
      <c r="N340" s="2826">
        <f t="shared" si="25"/>
        <v>0.23148148148148148</v>
      </c>
      <c r="O340" s="2809"/>
      <c r="P340" s="2805" t="str">
        <f>IF($D340="Logistics",VLOOKUP($O340,'Lower Cask Movement &amp; Logistics'!$C$4:$D$54,2,FALSE),"N/A")</f>
        <v>N/A</v>
      </c>
    </row>
    <row r="341" spans="1:16" ht="12.75" customHeight="1" outlineLevel="1" x14ac:dyDescent="0.4">
      <c r="A341" s="2927"/>
      <c r="B341" s="3864"/>
      <c r="C341" s="2941" t="s">
        <v>1978</v>
      </c>
      <c r="D341" s="2825" t="s">
        <v>3</v>
      </c>
      <c r="E341" s="2826">
        <f t="shared" si="23"/>
        <v>0.58000000000000007</v>
      </c>
      <c r="F341" s="2805">
        <f>IF($D341="Trigger",VLOOKUP($C341,'Lower Cask Weld Failures'!$D$434:$G$487,4,FALSE),E341+F340)</f>
        <v>75.594086364370341</v>
      </c>
      <c r="G341" s="2808"/>
      <c r="H341" s="2820" t="s">
        <v>263</v>
      </c>
      <c r="I341" s="2825"/>
      <c r="J341" s="2825"/>
      <c r="K341" s="2825"/>
      <c r="L341" s="2826" t="str">
        <f>IFERROR(INDEX('Lower Cask Movement &amp; Logistics'!$I$13:$O$19,MATCH($J341,'Lower Cask Movement &amp; Logistics'!$H$13:$H$19,0),MATCH($K341,'Lower Cask Movement &amp; Logistics'!$H$13:$H$19,0)),"N/A")</f>
        <v>N/A</v>
      </c>
      <c r="M341" s="2826" t="str">
        <f>IFERROR(VLOOKUP($I341,'Lower Cask Movement &amp; Logistics'!$H$4:$I$8,2,FALSE),"N/A")</f>
        <v>N/A</v>
      </c>
      <c r="N341" s="2826" t="str">
        <f t="shared" si="25"/>
        <v>N/A</v>
      </c>
      <c r="O341" s="2809" t="s">
        <v>1971</v>
      </c>
      <c r="P341" s="2805">
        <f>IF($D341="Logistics",VLOOKUP($O341,'Lower Cask Movement &amp; Logistics'!$C$4:$D$54,2,FALSE),"N/A")</f>
        <v>0.58000000000000007</v>
      </c>
    </row>
    <row r="342" spans="1:16" ht="12.75" customHeight="1" outlineLevel="1" x14ac:dyDescent="0.4">
      <c r="A342" s="2927"/>
      <c r="B342" s="3864"/>
      <c r="C342" s="2941" t="s">
        <v>1979</v>
      </c>
      <c r="D342" s="2825" t="s">
        <v>778</v>
      </c>
      <c r="E342" s="2826">
        <f t="shared" si="23"/>
        <v>2.7777777777777776E-2</v>
      </c>
      <c r="F342" s="2805">
        <f>IF($D342="Trigger",VLOOKUP($C342,'Lower Cask Weld Failures'!$D$434:$G$487,4,FALSE),E342+F341)</f>
        <v>75.621864142148112</v>
      </c>
      <c r="G342" s="2808"/>
      <c r="H342" s="2820" t="s">
        <v>263</v>
      </c>
      <c r="I342" s="2825" t="s">
        <v>1831</v>
      </c>
      <c r="J342" s="2825" t="s">
        <v>1977</v>
      </c>
      <c r="K342" s="2825" t="s">
        <v>1975</v>
      </c>
      <c r="L342" s="2826">
        <f>IFERROR(INDEX('Lower Cask Movement &amp; Logistics'!$I$13:$O$19,MATCH($J342,'Lower Cask Movement &amp; Logistics'!$H$13:$H$19,0),MATCH($K342,'Lower Cask Movement &amp; Logistics'!$H$13:$H$19,0)),"N/A")</f>
        <v>20</v>
      </c>
      <c r="M342" s="2826">
        <f>IFERROR(VLOOKUP($I342,'Lower Cask Movement &amp; Logistics'!$H$4:$I$8,2,FALSE),"N/A")</f>
        <v>0.2</v>
      </c>
      <c r="N342" s="2826">
        <f t="shared" si="25"/>
        <v>2.7777777777777776E-2</v>
      </c>
      <c r="O342" s="2809"/>
      <c r="P342" s="2805" t="str">
        <f>IF($D342="Logistics",VLOOKUP($O342,'Lower Cask Movement &amp; Logistics'!$C$4:$D$54,2,FALSE),"N/A")</f>
        <v>N/A</v>
      </c>
    </row>
    <row r="343" spans="1:16" ht="12.75" customHeight="1" outlineLevel="1" x14ac:dyDescent="0.4">
      <c r="A343" s="2927"/>
      <c r="B343" s="3864"/>
      <c r="C343" s="2941" t="s">
        <v>1980</v>
      </c>
      <c r="D343" s="2825" t="s">
        <v>3</v>
      </c>
      <c r="E343" s="2826">
        <f t="shared" si="23"/>
        <v>0.78</v>
      </c>
      <c r="F343" s="2805">
        <f>IF($D343="Trigger",VLOOKUP($C343,'Lower Cask Weld Failures'!$D$434:$G$487,4,FALSE),E343+F342)</f>
        <v>76.401864142148114</v>
      </c>
      <c r="G343" s="2808"/>
      <c r="H343" s="2820" t="s">
        <v>263</v>
      </c>
      <c r="I343" s="2825"/>
      <c r="J343" s="2825"/>
      <c r="K343" s="2825"/>
      <c r="L343" s="2826" t="str">
        <f>IFERROR(INDEX('Lower Cask Movement &amp; Logistics'!$I$13:$O$19,MATCH($J343,'Lower Cask Movement &amp; Logistics'!$H$13:$H$19,0),MATCH($K343,'Lower Cask Movement &amp; Logistics'!$H$13:$H$19,0)),"N/A")</f>
        <v>N/A</v>
      </c>
      <c r="M343" s="2826" t="str">
        <f>IFERROR(VLOOKUP($I343,'Lower Cask Movement &amp; Logistics'!$H$4:$I$8,2,FALSE),"N/A")</f>
        <v>N/A</v>
      </c>
      <c r="N343" s="2826" t="str">
        <f t="shared" si="25"/>
        <v>N/A</v>
      </c>
      <c r="O343" s="2809" t="s">
        <v>1973</v>
      </c>
      <c r="P343" s="2805">
        <f>IF($D343="Logistics",VLOOKUP($O343,'Lower Cask Movement &amp; Logistics'!$C$4:$D$54,2,FALSE),"N/A")</f>
        <v>0.78</v>
      </c>
    </row>
    <row r="344" spans="1:16" ht="25.5" customHeight="1" outlineLevel="1" x14ac:dyDescent="0.4">
      <c r="A344" s="2927"/>
      <c r="B344" s="3864"/>
      <c r="C344" s="2941" t="s">
        <v>1981</v>
      </c>
      <c r="D344" s="2825" t="s">
        <v>778</v>
      </c>
      <c r="E344" s="2826">
        <f t="shared" si="23"/>
        <v>9.2592592592592601E-2</v>
      </c>
      <c r="F344" s="2805">
        <f>IF($D344="Trigger",VLOOKUP($C344,'Lower Cask Weld Failures'!$D$434:$G$487,4,FALSE),E344+F343)</f>
        <v>76.494456734740709</v>
      </c>
      <c r="G344" s="2808"/>
      <c r="H344" s="2820" t="s">
        <v>263</v>
      </c>
      <c r="I344" s="2825" t="s">
        <v>1962</v>
      </c>
      <c r="J344" s="2825" t="s">
        <v>1778</v>
      </c>
      <c r="K344" s="2825" t="s">
        <v>1957</v>
      </c>
      <c r="L344" s="2826">
        <f>IFERROR(INDEX('Lower Cask Movement &amp; Logistics'!$I$13:$O$19,MATCH($J344,'Lower Cask Movement &amp; Logistics'!$H$13:$H$19,0),MATCH($K344,'Lower Cask Movement &amp; Logistics'!$H$13:$H$19,0)),"N/A")</f>
        <v>20</v>
      </c>
      <c r="M344" s="2826">
        <f>IFERROR(VLOOKUP($I344,'Lower Cask Movement &amp; Logistics'!$H$4:$I$8,2,FALSE),"N/A")</f>
        <v>0.06</v>
      </c>
      <c r="N344" s="2826">
        <f t="shared" si="25"/>
        <v>9.2592592592592601E-2</v>
      </c>
      <c r="O344" s="2809"/>
      <c r="P344" s="2805" t="str">
        <f>IF($D344="Logistics",VLOOKUP($O344,'Lower Cask Movement &amp; Logistics'!$C$4:$D$54,2,FALSE),"N/A")</f>
        <v>N/A</v>
      </c>
    </row>
    <row r="345" spans="1:16" ht="12.75" customHeight="1" outlineLevel="1" x14ac:dyDescent="0.4">
      <c r="A345" s="2927"/>
      <c r="B345" s="3864"/>
      <c r="C345" s="2941" t="s">
        <v>1958</v>
      </c>
      <c r="D345" s="2825" t="s">
        <v>3</v>
      </c>
      <c r="E345" s="2826">
        <f t="shared" si="23"/>
        <v>1.9</v>
      </c>
      <c r="F345" s="2805">
        <f>IF($D345="Trigger",VLOOKUP($C345,'Lower Cask Weld Failures'!$D$434:$G$487,4,FALSE),E345+F344)</f>
        <v>78.394456734740714</v>
      </c>
      <c r="G345" s="2808"/>
      <c r="H345" s="2820" t="s">
        <v>263</v>
      </c>
      <c r="I345" s="2825"/>
      <c r="J345" s="2825"/>
      <c r="K345" s="2825"/>
      <c r="L345" s="2826" t="str">
        <f>IFERROR(INDEX('Lower Cask Movement &amp; Logistics'!$I$13:$O$19,MATCH($J345,'Lower Cask Movement &amp; Logistics'!$H$13:$H$19,0),MATCH($K345,'Lower Cask Movement &amp; Logistics'!$H$13:$H$19,0)),"N/A")</f>
        <v>N/A</v>
      </c>
      <c r="M345" s="2826" t="str">
        <f>IFERROR(VLOOKUP($I345,'Lower Cask Movement &amp; Logistics'!$H$4:$I$8,2,FALSE),"N/A")</f>
        <v>N/A</v>
      </c>
      <c r="N345" s="2826" t="str">
        <f t="shared" si="25"/>
        <v>N/A</v>
      </c>
      <c r="O345" s="2809" t="s">
        <v>1541</v>
      </c>
      <c r="P345" s="2805">
        <f>IF($D345="Logistics",VLOOKUP($O345,'Lower Cask Movement &amp; Logistics'!$C$4:$D$54,2,FALSE),"N/A")</f>
        <v>1.9</v>
      </c>
    </row>
    <row r="346" spans="1:16" ht="12.75" customHeight="1" outlineLevel="1" x14ac:dyDescent="0.4">
      <c r="A346" s="2927"/>
      <c r="B346" s="3864"/>
      <c r="C346" s="2941" t="s">
        <v>1982</v>
      </c>
      <c r="D346" s="2825" t="s">
        <v>3</v>
      </c>
      <c r="E346" s="2826">
        <f t="shared" si="23"/>
        <v>0.88000000000000012</v>
      </c>
      <c r="F346" s="2805">
        <f>IF($D346="Trigger",VLOOKUP($C346,'Lower Cask Weld Failures'!$D$434:$G$487,4,FALSE),E346+F345)</f>
        <v>79.27445673474071</v>
      </c>
      <c r="G346" s="2808"/>
      <c r="H346" s="2820" t="s">
        <v>263</v>
      </c>
      <c r="I346" s="2825"/>
      <c r="J346" s="2825"/>
      <c r="K346" s="2825"/>
      <c r="L346" s="2826" t="str">
        <f>IFERROR(INDEX('Lower Cask Movement &amp; Logistics'!$I$13:$O$19,MATCH($J346,'Lower Cask Movement &amp; Logistics'!$H$13:$H$19,0),MATCH($K346,'Lower Cask Movement &amp; Logistics'!$H$13:$H$19,0)),"N/A")</f>
        <v>N/A</v>
      </c>
      <c r="M346" s="2826" t="str">
        <f>IFERROR(VLOOKUP($I346,'Lower Cask Movement &amp; Logistics'!$H$4:$I$8,2,FALSE),"N/A")</f>
        <v>N/A</v>
      </c>
      <c r="N346" s="2826" t="str">
        <f t="shared" si="25"/>
        <v>N/A</v>
      </c>
      <c r="O346" s="2809" t="s">
        <v>1730</v>
      </c>
      <c r="P346" s="2805">
        <f>IF($D346="Logistics",VLOOKUP($O346,'Lower Cask Movement &amp; Logistics'!$C$4:$D$54,2,FALSE),"N/A")</f>
        <v>0.88000000000000012</v>
      </c>
    </row>
    <row r="347" spans="1:16" ht="12.75" customHeight="1" outlineLevel="1" x14ac:dyDescent="0.4">
      <c r="A347" s="2927"/>
      <c r="B347" s="3864"/>
      <c r="C347" s="2941" t="s">
        <v>1983</v>
      </c>
      <c r="D347" s="2825" t="s">
        <v>3</v>
      </c>
      <c r="E347" s="2826">
        <f t="shared" si="23"/>
        <v>2.3000000000000003</v>
      </c>
      <c r="F347" s="2805">
        <f>IF($D347="Trigger",VLOOKUP($C347,'Lower Cask Weld Failures'!$D$434:$G$487,4,FALSE),E347+F346)</f>
        <v>81.574456734740707</v>
      </c>
      <c r="G347" s="2808"/>
      <c r="H347" s="2820" t="s">
        <v>263</v>
      </c>
      <c r="I347" s="2825"/>
      <c r="J347" s="2825"/>
      <c r="K347" s="2825"/>
      <c r="L347" s="2826" t="str">
        <f>IFERROR(INDEX('Lower Cask Movement &amp; Logistics'!$I$13:$O$19,MATCH($J347,'Lower Cask Movement &amp; Logistics'!$H$13:$H$19,0),MATCH($K347,'Lower Cask Movement &amp; Logistics'!$H$13:$H$19,0)),"N/A")</f>
        <v>N/A</v>
      </c>
      <c r="M347" s="2826" t="str">
        <f>IFERROR(VLOOKUP($I347,'Lower Cask Movement &amp; Logistics'!$H$4:$I$8,2,FALSE),"N/A")</f>
        <v>N/A</v>
      </c>
      <c r="N347" s="2826" t="str">
        <f t="shared" si="25"/>
        <v>N/A</v>
      </c>
      <c r="O347" s="2809" t="s">
        <v>1562</v>
      </c>
      <c r="P347" s="2805">
        <f>IF($D347="Logistics",VLOOKUP($O347,'Lower Cask Movement &amp; Logistics'!$C$4:$D$54,2,FALSE),"N/A")</f>
        <v>2.3000000000000003</v>
      </c>
    </row>
    <row r="348" spans="1:16" ht="12.75" customHeight="1" outlineLevel="1" x14ac:dyDescent="0.4">
      <c r="A348" s="2927"/>
      <c r="B348" s="3864"/>
      <c r="C348" s="2825" t="s">
        <v>1984</v>
      </c>
      <c r="D348" s="2825" t="s">
        <v>778</v>
      </c>
      <c r="E348" s="2826">
        <f t="shared" si="23"/>
        <v>0.69444444444444442</v>
      </c>
      <c r="F348" s="2805">
        <f>IF($D348="Trigger",VLOOKUP($C348,'Lower Cask Weld Failures'!$D$434:$G$487,4,FALSE),E348+F347)</f>
        <v>82.26890117918515</v>
      </c>
      <c r="G348" s="2808"/>
      <c r="H348" s="2820" t="s">
        <v>263</v>
      </c>
      <c r="I348" s="2825" t="s">
        <v>1789</v>
      </c>
      <c r="J348" s="2825" t="s">
        <v>1957</v>
      </c>
      <c r="K348" s="2825" t="s">
        <v>1203</v>
      </c>
      <c r="L348" s="2826">
        <f>IFERROR(INDEX('Lower Cask Movement &amp; Logistics'!$I$13:$O$19,MATCH($J348,'Lower Cask Movement &amp; Logistics'!$H$13:$H$19,0),MATCH($K348,'Lower Cask Movement &amp; Logistics'!$H$13:$H$19,0)),"N/A")</f>
        <v>50</v>
      </c>
      <c r="M348" s="2826">
        <f>IFERROR(VLOOKUP($I348,'Lower Cask Movement &amp; Logistics'!$H$4:$I$8,2,FALSE),"N/A")</f>
        <v>0.02</v>
      </c>
      <c r="N348" s="2826">
        <f t="shared" si="25"/>
        <v>0.69444444444444442</v>
      </c>
      <c r="O348" s="2809"/>
      <c r="P348" s="2805" t="str">
        <f>IF($D348="Logistics",VLOOKUP($O348,'Lower Cask Movement &amp; Logistics'!$C$4:$D$54,2,FALSE),"N/A")</f>
        <v>N/A</v>
      </c>
    </row>
    <row r="349" spans="1:16" ht="26.25" customHeight="1" outlineLevel="1" thickBot="1" x14ac:dyDescent="0.45">
      <c r="A349" s="2927"/>
      <c r="B349" s="3865"/>
      <c r="C349" s="2827" t="str">
        <f>B339</f>
        <v>Right Cassette Stored; Replacement Left Cassette collected; Transport Cask Moved to Lower Port</v>
      </c>
      <c r="D349" s="2827" t="s">
        <v>11</v>
      </c>
      <c r="E349" s="2828">
        <f t="shared" si="23"/>
        <v>0</v>
      </c>
      <c r="F349" s="2822">
        <f>IF($D349="Trigger",VLOOKUP($C349,'Lower Cask Weld Failures'!$D$434:$G$487,4,FALSE),E349+F348)</f>
        <v>82.26890117918515</v>
      </c>
      <c r="G349" s="2812"/>
      <c r="H349" s="2813" t="s">
        <v>263</v>
      </c>
      <c r="I349" s="2827"/>
      <c r="J349" s="2827"/>
      <c r="K349" s="2827"/>
      <c r="L349" s="2828" t="str">
        <f>IFERROR(INDEX('Lower Cask Movement &amp; Logistics'!$I$13:$O$19,MATCH($J349,'Lower Cask Movement &amp; Logistics'!$H$13:$H$19,0),MATCH($K349,'Lower Cask Movement &amp; Logistics'!$H$13:$H$19,0)),"N/A")</f>
        <v>N/A</v>
      </c>
      <c r="M349" s="2828" t="str">
        <f>IFERROR(VLOOKUP($I349,'Lower Cask Movement &amp; Logistics'!$H$4:$I$8,2,FALSE),"N/A")</f>
        <v>N/A</v>
      </c>
      <c r="N349" s="2828" t="str">
        <f t="shared" si="25"/>
        <v>N/A</v>
      </c>
      <c r="O349" s="2817"/>
      <c r="P349" s="2822" t="str">
        <f>IF($D349="Logistics",VLOOKUP($O349,'Lower Cask Movement &amp; Logistics'!$C$4:$D$54,2,FALSE),"N/A")</f>
        <v>N/A</v>
      </c>
    </row>
    <row r="350" spans="1:16" ht="12.75" customHeight="1" outlineLevel="1" x14ac:dyDescent="0.4">
      <c r="A350" s="2927"/>
      <c r="B350" s="3863" t="s">
        <v>1934</v>
      </c>
      <c r="C350" s="2823" t="s">
        <v>1996</v>
      </c>
      <c r="D350" s="2823" t="s">
        <v>907</v>
      </c>
      <c r="E350" s="2935">
        <f t="shared" si="23"/>
        <v>0</v>
      </c>
      <c r="F350" s="2936">
        <f>IF($D350="Trigger",VLOOKUP($C350,'Lower Cask Weld Failures'!$D$434:$G$487,4,FALSE),E350+F349)</f>
        <v>80.742604882888855</v>
      </c>
      <c r="G350" s="2937"/>
      <c r="H350" s="2938" t="s">
        <v>263</v>
      </c>
      <c r="I350" s="2939"/>
      <c r="J350" s="2939"/>
      <c r="K350" s="2939"/>
      <c r="L350" s="2935" t="str">
        <f>IFERROR(INDEX('Lower Cask Movement &amp; Logistics'!$I$13:$O$19,MATCH($J350,'Lower Cask Movement &amp; Logistics'!$H$13:$H$19,0),MATCH($K350,'Lower Cask Movement &amp; Logistics'!$H$13:$H$19,0)),"N/A")</f>
        <v>N/A</v>
      </c>
      <c r="M350" s="2935" t="str">
        <f>IFERROR(VLOOKUP($I350,'Lower Cask Movement &amp; Logistics'!$H$4:$I$8,2,FALSE),"N/A")</f>
        <v>N/A</v>
      </c>
      <c r="N350" s="2935" t="str">
        <f t="shared" si="25"/>
        <v>N/A</v>
      </c>
      <c r="O350" s="2940"/>
      <c r="P350" s="2936" t="str">
        <f>IF($D350="Logistics",VLOOKUP($O350,'Lower Cask Movement &amp; Logistics'!$C$4:$D$54,2,FALSE),"N/A")</f>
        <v>N/A</v>
      </c>
    </row>
    <row r="351" spans="1:16" ht="12.75" customHeight="1" outlineLevel="1" x14ac:dyDescent="0.4">
      <c r="A351" s="2927"/>
      <c r="B351" s="3864"/>
      <c r="C351" s="2941" t="s">
        <v>1979</v>
      </c>
      <c r="D351" s="2825" t="s">
        <v>778</v>
      </c>
      <c r="E351" s="2826">
        <f t="shared" si="23"/>
        <v>2.7777777777777776E-2</v>
      </c>
      <c r="F351" s="2805">
        <f>IF($D351="Trigger",VLOOKUP($C351,'Lower Cask Weld Failures'!$D$434:$G$487,4,FALSE),E351+F350)</f>
        <v>80.770382660666627</v>
      </c>
      <c r="G351" s="2808"/>
      <c r="H351" s="2820" t="s">
        <v>263</v>
      </c>
      <c r="I351" s="2825" t="s">
        <v>1831</v>
      </c>
      <c r="J351" s="2825" t="s">
        <v>1977</v>
      </c>
      <c r="K351" s="2825" t="s">
        <v>1975</v>
      </c>
      <c r="L351" s="2826">
        <f>IFERROR(INDEX('Lower Cask Movement &amp; Logistics'!$I$13:$O$19,MATCH($J351,'Lower Cask Movement &amp; Logistics'!$H$13:$H$19,0),MATCH($K351,'Lower Cask Movement &amp; Logistics'!$H$13:$H$19,0)),"N/A")</f>
        <v>20</v>
      </c>
      <c r="M351" s="2826">
        <f>IFERROR(VLOOKUP($I351,'Lower Cask Movement &amp; Logistics'!$H$4:$I$8,2,FALSE),"N/A")</f>
        <v>0.2</v>
      </c>
      <c r="N351" s="2826">
        <f t="shared" si="25"/>
        <v>2.7777777777777776E-2</v>
      </c>
      <c r="O351" s="2809"/>
      <c r="P351" s="2805" t="str">
        <f>IF($D351="Logistics",VLOOKUP($O351,'Lower Cask Movement &amp; Logistics'!$C$4:$D$54,2,FALSE),"N/A")</f>
        <v>N/A</v>
      </c>
    </row>
    <row r="352" spans="1:16" ht="12.75" customHeight="1" outlineLevel="1" x14ac:dyDescent="0.4">
      <c r="A352" s="2927"/>
      <c r="B352" s="3864"/>
      <c r="C352" s="2941" t="s">
        <v>1980</v>
      </c>
      <c r="D352" s="2825" t="s">
        <v>3</v>
      </c>
      <c r="E352" s="2826">
        <f t="shared" si="23"/>
        <v>0.78</v>
      </c>
      <c r="F352" s="2805">
        <f>IF($D352="Trigger",VLOOKUP($C352,'Lower Cask Weld Failures'!$D$434:$G$487,4,FALSE),E352+F351)</f>
        <v>81.550382660666628</v>
      </c>
      <c r="G352" s="2808"/>
      <c r="H352" s="2820" t="s">
        <v>263</v>
      </c>
      <c r="I352" s="2825"/>
      <c r="J352" s="2825"/>
      <c r="K352" s="2825"/>
      <c r="L352" s="2826" t="str">
        <f>IFERROR(INDEX('Lower Cask Movement &amp; Logistics'!$I$13:$O$19,MATCH($J352,'Lower Cask Movement &amp; Logistics'!$H$13:$H$19,0),MATCH($K352,'Lower Cask Movement &amp; Logistics'!$H$13:$H$19,0)),"N/A")</f>
        <v>N/A</v>
      </c>
      <c r="M352" s="2826" t="str">
        <f>IFERROR(VLOOKUP($I352,'Lower Cask Movement &amp; Logistics'!$H$4:$I$8,2,FALSE),"N/A")</f>
        <v>N/A</v>
      </c>
      <c r="N352" s="2826" t="str">
        <f t="shared" si="25"/>
        <v>N/A</v>
      </c>
      <c r="O352" s="2809" t="s">
        <v>1973</v>
      </c>
      <c r="P352" s="2805">
        <f>IF($D352="Logistics",VLOOKUP($O352,'Lower Cask Movement &amp; Logistics'!$C$4:$D$54,2,FALSE),"N/A")</f>
        <v>0.78</v>
      </c>
    </row>
    <row r="353" spans="1:16" ht="25.5" customHeight="1" outlineLevel="1" x14ac:dyDescent="0.4">
      <c r="A353" s="2927"/>
      <c r="B353" s="3864"/>
      <c r="C353" s="2941" t="s">
        <v>1981</v>
      </c>
      <c r="D353" s="2825" t="s">
        <v>778</v>
      </c>
      <c r="E353" s="2826">
        <f t="shared" si="23"/>
        <v>9.2592592592592601E-2</v>
      </c>
      <c r="F353" s="2805">
        <f>IF($D353="Trigger",VLOOKUP($C353,'Lower Cask Weld Failures'!$D$434:$G$487,4,FALSE),E353+F352)</f>
        <v>81.642975253259223</v>
      </c>
      <c r="G353" s="2808"/>
      <c r="H353" s="2820" t="s">
        <v>263</v>
      </c>
      <c r="I353" s="2825" t="s">
        <v>1962</v>
      </c>
      <c r="J353" s="2825" t="s">
        <v>1778</v>
      </c>
      <c r="K353" s="2825" t="s">
        <v>1957</v>
      </c>
      <c r="L353" s="2826">
        <f>IFERROR(INDEX('Lower Cask Movement &amp; Logistics'!$I$13:$O$19,MATCH($J353,'Lower Cask Movement &amp; Logistics'!$H$13:$H$19,0),MATCH($K353,'Lower Cask Movement &amp; Logistics'!$H$13:$H$19,0)),"N/A")</f>
        <v>20</v>
      </c>
      <c r="M353" s="2826">
        <f>IFERROR(VLOOKUP($I353,'Lower Cask Movement &amp; Logistics'!$H$4:$I$8,2,FALSE),"N/A")</f>
        <v>0.06</v>
      </c>
      <c r="N353" s="2826">
        <f t="shared" si="25"/>
        <v>9.2592592592592601E-2</v>
      </c>
      <c r="O353" s="2809"/>
      <c r="P353" s="2805" t="str">
        <f>IF($D353="Logistics",VLOOKUP($O353,'Lower Cask Movement &amp; Logistics'!$C$4:$D$54,2,FALSE),"N/A")</f>
        <v>N/A</v>
      </c>
    </row>
    <row r="354" spans="1:16" ht="12.75" customHeight="1" outlineLevel="1" x14ac:dyDescent="0.4">
      <c r="A354" s="2927"/>
      <c r="B354" s="3864"/>
      <c r="C354" s="2941" t="s">
        <v>1958</v>
      </c>
      <c r="D354" s="2825" t="s">
        <v>3</v>
      </c>
      <c r="E354" s="2826">
        <f t="shared" si="23"/>
        <v>1.9</v>
      </c>
      <c r="F354" s="2805">
        <f>IF($D354="Trigger",VLOOKUP($C354,'Lower Cask Weld Failures'!$D$434:$G$487,4,FALSE),E354+F353)</f>
        <v>83.542975253259229</v>
      </c>
      <c r="G354" s="2808"/>
      <c r="H354" s="2820" t="s">
        <v>263</v>
      </c>
      <c r="I354" s="2825"/>
      <c r="J354" s="2825"/>
      <c r="K354" s="2825"/>
      <c r="L354" s="2826" t="str">
        <f>IFERROR(INDEX('Lower Cask Movement &amp; Logistics'!$I$13:$O$19,MATCH($J354,'Lower Cask Movement &amp; Logistics'!$H$13:$H$19,0),MATCH($K354,'Lower Cask Movement &amp; Logistics'!$H$13:$H$19,0)),"N/A")</f>
        <v>N/A</v>
      </c>
      <c r="M354" s="2826" t="str">
        <f>IFERROR(VLOOKUP($I354,'Lower Cask Movement &amp; Logistics'!$H$4:$I$8,2,FALSE),"N/A")</f>
        <v>N/A</v>
      </c>
      <c r="N354" s="2826" t="str">
        <f t="shared" si="25"/>
        <v>N/A</v>
      </c>
      <c r="O354" s="2809" t="s">
        <v>1541</v>
      </c>
      <c r="P354" s="2805">
        <f>IF($D354="Logistics",VLOOKUP($O354,'Lower Cask Movement &amp; Logistics'!$C$4:$D$54,2,FALSE),"N/A")</f>
        <v>1.9</v>
      </c>
    </row>
    <row r="355" spans="1:16" ht="12.75" customHeight="1" outlineLevel="1" x14ac:dyDescent="0.4">
      <c r="A355" s="2927"/>
      <c r="B355" s="3864"/>
      <c r="C355" s="2941" t="s">
        <v>1982</v>
      </c>
      <c r="D355" s="2825" t="s">
        <v>3</v>
      </c>
      <c r="E355" s="2826">
        <f t="shared" si="23"/>
        <v>0.88000000000000012</v>
      </c>
      <c r="F355" s="2805">
        <f>IF($D355="Trigger",VLOOKUP($C355,'Lower Cask Weld Failures'!$D$434:$G$487,4,FALSE),E355+F354)</f>
        <v>84.422975253259224</v>
      </c>
      <c r="G355" s="2808"/>
      <c r="H355" s="2820" t="s">
        <v>263</v>
      </c>
      <c r="I355" s="2825"/>
      <c r="J355" s="2825"/>
      <c r="K355" s="2825"/>
      <c r="L355" s="2826" t="str">
        <f>IFERROR(INDEX('Lower Cask Movement &amp; Logistics'!$I$13:$O$19,MATCH($J355,'Lower Cask Movement &amp; Logistics'!$H$13:$H$19,0),MATCH($K355,'Lower Cask Movement &amp; Logistics'!$H$13:$H$19,0)),"N/A")</f>
        <v>N/A</v>
      </c>
      <c r="M355" s="2826" t="str">
        <f>IFERROR(VLOOKUP($I355,'Lower Cask Movement &amp; Logistics'!$H$4:$I$8,2,FALSE),"N/A")</f>
        <v>N/A</v>
      </c>
      <c r="N355" s="2826" t="str">
        <f t="shared" si="25"/>
        <v>N/A</v>
      </c>
      <c r="O355" s="2809" t="s">
        <v>1730</v>
      </c>
      <c r="P355" s="2805">
        <f>IF($D355="Logistics",VLOOKUP($O355,'Lower Cask Movement &amp; Logistics'!$C$4:$D$54,2,FALSE),"N/A")</f>
        <v>0.88000000000000012</v>
      </c>
    </row>
    <row r="356" spans="1:16" ht="12.75" customHeight="1" outlineLevel="1" x14ac:dyDescent="0.4">
      <c r="A356" s="2927"/>
      <c r="B356" s="3864"/>
      <c r="C356" s="2941" t="s">
        <v>1983</v>
      </c>
      <c r="D356" s="2825" t="s">
        <v>3</v>
      </c>
      <c r="E356" s="2826">
        <f t="shared" si="23"/>
        <v>2.3000000000000003</v>
      </c>
      <c r="F356" s="2805">
        <f>IF($D356="Trigger",VLOOKUP($C356,'Lower Cask Weld Failures'!$D$434:$G$487,4,FALSE),E356+F355)</f>
        <v>86.722975253259222</v>
      </c>
      <c r="G356" s="2808"/>
      <c r="H356" s="2820" t="s">
        <v>263</v>
      </c>
      <c r="I356" s="2825"/>
      <c r="J356" s="2825"/>
      <c r="K356" s="2825"/>
      <c r="L356" s="2826" t="str">
        <f>IFERROR(INDEX('Lower Cask Movement &amp; Logistics'!$I$13:$O$19,MATCH($J356,'Lower Cask Movement &amp; Logistics'!$H$13:$H$19,0),MATCH($K356,'Lower Cask Movement &amp; Logistics'!$H$13:$H$19,0)),"N/A")</f>
        <v>N/A</v>
      </c>
      <c r="M356" s="2826" t="str">
        <f>IFERROR(VLOOKUP($I356,'Lower Cask Movement &amp; Logistics'!$H$4:$I$8,2,FALSE),"N/A")</f>
        <v>N/A</v>
      </c>
      <c r="N356" s="2826" t="str">
        <f t="shared" si="25"/>
        <v>N/A</v>
      </c>
      <c r="O356" s="2809" t="s">
        <v>1562</v>
      </c>
      <c r="P356" s="2805">
        <f>IF($D356="Logistics",VLOOKUP($O356,'Lower Cask Movement &amp; Logistics'!$C$4:$D$54,2,FALSE),"N/A")</f>
        <v>2.3000000000000003</v>
      </c>
    </row>
    <row r="357" spans="1:16" ht="12.75" customHeight="1" outlineLevel="1" x14ac:dyDescent="0.4">
      <c r="A357" s="2927"/>
      <c r="B357" s="3864"/>
      <c r="C357" s="2825" t="s">
        <v>1984</v>
      </c>
      <c r="D357" s="2825" t="s">
        <v>778</v>
      </c>
      <c r="E357" s="2826">
        <f t="shared" si="23"/>
        <v>0.69444444444444442</v>
      </c>
      <c r="F357" s="2805">
        <f>IF($D357="Trigger",VLOOKUP($C357,'Lower Cask Weld Failures'!$D$434:$G$487,4,FALSE),E357+F356)</f>
        <v>87.417419697703664</v>
      </c>
      <c r="G357" s="2808"/>
      <c r="H357" s="2820" t="s">
        <v>263</v>
      </c>
      <c r="I357" s="2825" t="s">
        <v>1789</v>
      </c>
      <c r="J357" s="2825" t="s">
        <v>1957</v>
      </c>
      <c r="K357" s="2825" t="s">
        <v>1203</v>
      </c>
      <c r="L357" s="2826">
        <f>IFERROR(INDEX('Lower Cask Movement &amp; Logistics'!$I$13:$O$19,MATCH($J357,'Lower Cask Movement &amp; Logistics'!$H$13:$H$19,0),MATCH($K357,'Lower Cask Movement &amp; Logistics'!$H$13:$H$19,0)),"N/A")</f>
        <v>50</v>
      </c>
      <c r="M357" s="2826">
        <f>IFERROR(VLOOKUP($I357,'Lower Cask Movement &amp; Logistics'!$H$4:$I$8,2,FALSE),"N/A")</f>
        <v>0.02</v>
      </c>
      <c r="N357" s="2826">
        <f t="shared" si="25"/>
        <v>0.69444444444444442</v>
      </c>
      <c r="O357" s="2809"/>
      <c r="P357" s="2805" t="str">
        <f>IF($D357="Logistics",VLOOKUP($O357,'Lower Cask Movement &amp; Logistics'!$C$4:$D$54,2,FALSE),"N/A")</f>
        <v>N/A</v>
      </c>
    </row>
    <row r="358" spans="1:16" ht="26.25" customHeight="1" outlineLevel="1" thickBot="1" x14ac:dyDescent="0.45">
      <c r="A358" s="2927"/>
      <c r="B358" s="3865"/>
      <c r="C358" s="2827" t="str">
        <f>B350</f>
        <v>Collect replacement central cassette from stores; Move transporter to Lower Port</v>
      </c>
      <c r="D358" s="2827" t="s">
        <v>11</v>
      </c>
      <c r="E358" s="2828">
        <f t="shared" si="23"/>
        <v>0</v>
      </c>
      <c r="F358" s="2822">
        <f>IF($D358="Trigger",VLOOKUP($C358,'Lower Cask Weld Failures'!$D$434:$G$487,4,FALSE),E358+F357)</f>
        <v>87.417419697703664</v>
      </c>
      <c r="G358" s="2812"/>
      <c r="H358" s="2813" t="s">
        <v>263</v>
      </c>
      <c r="I358" s="2827"/>
      <c r="J358" s="2827"/>
      <c r="K358" s="2827"/>
      <c r="L358" s="2828" t="str">
        <f>IFERROR(INDEX('Lower Cask Movement &amp; Logistics'!$I$13:$O$19,MATCH($J358,'Lower Cask Movement &amp; Logistics'!$H$13:$H$19,0),MATCH($K358,'Lower Cask Movement &amp; Logistics'!$H$13:$H$19,0)),"N/A")</f>
        <v>N/A</v>
      </c>
      <c r="M358" s="2828" t="str">
        <f>IFERROR(VLOOKUP($I358,'Lower Cask Movement &amp; Logistics'!$H$4:$I$8,2,FALSE),"N/A")</f>
        <v>N/A</v>
      </c>
      <c r="N358" s="2828" t="str">
        <f t="shared" si="25"/>
        <v>N/A</v>
      </c>
      <c r="O358" s="2817"/>
      <c r="P358" s="2822" t="str">
        <f>IF($D358="Logistics",VLOOKUP($O358,'Lower Cask Movement &amp; Logistics'!$C$4:$D$54,2,FALSE),"N/A")</f>
        <v>N/A</v>
      </c>
    </row>
    <row r="359" spans="1:16" ht="12.75" customHeight="1" outlineLevel="1" x14ac:dyDescent="0.4">
      <c r="A359" s="2927"/>
      <c r="B359" s="3872" t="s">
        <v>1927</v>
      </c>
      <c r="C359" s="2823" t="s">
        <v>1688</v>
      </c>
      <c r="D359" s="2823" t="s">
        <v>907</v>
      </c>
      <c r="E359" s="2824">
        <f t="shared" si="23"/>
        <v>0</v>
      </c>
      <c r="F359" s="2796">
        <f>IF($D359="Trigger",VLOOKUP($C359,'Lower Cask Weld Failures'!$D$434:$G$487,4,FALSE),E359+F358)</f>
        <v>93.988901179185135</v>
      </c>
      <c r="G359" s="2790"/>
      <c r="H359" s="2791" t="s">
        <v>263</v>
      </c>
      <c r="I359" s="2823"/>
      <c r="J359" s="2823"/>
      <c r="K359" s="2823"/>
      <c r="L359" s="2824" t="str">
        <f>IFERROR(INDEX('Lower Cask Movement &amp; Logistics'!$I$13:$O$19,MATCH($J359,'Lower Cask Movement &amp; Logistics'!$H$13:$H$19,0),MATCH($K359,'Lower Cask Movement &amp; Logistics'!$H$13:$H$19,0)),"N/A")</f>
        <v>N/A</v>
      </c>
      <c r="M359" s="2824" t="str">
        <f>IFERROR(VLOOKUP($I359,'Lower Cask Movement &amp; Logistics'!$H$4:$I$8,2,FALSE),"N/A")</f>
        <v>N/A</v>
      </c>
      <c r="N359" s="2824" t="str">
        <f t="shared" si="24"/>
        <v>N/A</v>
      </c>
      <c r="O359" s="2795"/>
      <c r="P359" s="2796" t="str">
        <f>IF($D359="Logistics",VLOOKUP($O359,'Lower Cask Movement &amp; Logistics'!$C$4:$D$54,2,FALSE),"N/A")</f>
        <v>N/A</v>
      </c>
    </row>
    <row r="360" spans="1:16" ht="12.75" customHeight="1" outlineLevel="1" x14ac:dyDescent="0.4">
      <c r="A360" s="2927"/>
      <c r="B360" s="3873"/>
      <c r="C360" s="2825" t="s">
        <v>1956</v>
      </c>
      <c r="D360" s="2825" t="s">
        <v>778</v>
      </c>
      <c r="E360" s="2826">
        <f t="shared" si="23"/>
        <v>0.69444444444444442</v>
      </c>
      <c r="F360" s="2805">
        <f>IF($D360="Trigger",VLOOKUP($C360,'Lower Cask Weld Failures'!$D$434:$G$487,4,FALSE),E360+F359)</f>
        <v>94.683345623629577</v>
      </c>
      <c r="G360" s="2808"/>
      <c r="H360" s="2820" t="s">
        <v>263</v>
      </c>
      <c r="I360" s="2825" t="s">
        <v>1789</v>
      </c>
      <c r="J360" s="2825" t="s">
        <v>1203</v>
      </c>
      <c r="K360" s="2825" t="s">
        <v>1957</v>
      </c>
      <c r="L360" s="2826">
        <f>IFERROR(INDEX('Lower Cask Movement &amp; Logistics'!$I$13:$O$19,MATCH($J360,'Lower Cask Movement &amp; Logistics'!$H$13:$H$19,0),MATCH($K360,'Lower Cask Movement &amp; Logistics'!$H$13:$H$19,0)),"N/A")</f>
        <v>50</v>
      </c>
      <c r="M360" s="2826">
        <f>IFERROR(VLOOKUP($I360,'Lower Cask Movement &amp; Logistics'!$H$4:$I$8,2,FALSE),"N/A")</f>
        <v>0.02</v>
      </c>
      <c r="N360" s="2826">
        <f t="shared" si="24"/>
        <v>0.69444444444444442</v>
      </c>
      <c r="O360" s="2809"/>
      <c r="P360" s="2805" t="str">
        <f>IF($D360="Logistics",VLOOKUP($O360,'Lower Cask Movement &amp; Logistics'!$C$4:$D$54,2,FALSE),"N/A")</f>
        <v>N/A</v>
      </c>
    </row>
    <row r="361" spans="1:16" ht="12.75" customHeight="1" outlineLevel="1" x14ac:dyDescent="0.4">
      <c r="A361" s="2927"/>
      <c r="B361" s="3873"/>
      <c r="C361" s="2825" t="s">
        <v>1958</v>
      </c>
      <c r="D361" s="2825" t="s">
        <v>3</v>
      </c>
      <c r="E361" s="2826">
        <f t="shared" si="23"/>
        <v>1.9</v>
      </c>
      <c r="F361" s="2805">
        <f>IF($D361="Trigger",VLOOKUP($C361,'Lower Cask Weld Failures'!$D$434:$G$487,4,FALSE),E361+F360)</f>
        <v>96.583345623629583</v>
      </c>
      <c r="G361" s="2808"/>
      <c r="H361" s="2820" t="s">
        <v>263</v>
      </c>
      <c r="I361" s="2825"/>
      <c r="J361" s="2825"/>
      <c r="K361" s="2825"/>
      <c r="L361" s="2826" t="str">
        <f>IFERROR(INDEX('Lower Cask Movement &amp; Logistics'!$I$13:$O$19,MATCH($J361,'Lower Cask Movement &amp; Logistics'!$H$13:$H$19,0),MATCH($K361,'Lower Cask Movement &amp; Logistics'!$H$13:$H$19,0)),"N/A")</f>
        <v>N/A</v>
      </c>
      <c r="M361" s="2826" t="str">
        <f>IFERROR(VLOOKUP($I361,'Lower Cask Movement &amp; Logistics'!$H$4:$I$8,2,FALSE),"N/A")</f>
        <v>N/A</v>
      </c>
      <c r="N361" s="2826" t="str">
        <f t="shared" si="24"/>
        <v>N/A</v>
      </c>
      <c r="O361" s="2809" t="s">
        <v>1541</v>
      </c>
      <c r="P361" s="2805">
        <f>IF($D361="Logistics",VLOOKUP($O361,'Lower Cask Movement &amp; Logistics'!$C$4:$D$54,2,FALSE),"N/A")</f>
        <v>1.9</v>
      </c>
    </row>
    <row r="362" spans="1:16" ht="12.75" customHeight="1" outlineLevel="1" x14ac:dyDescent="0.4">
      <c r="A362" s="2927"/>
      <c r="B362" s="3873"/>
      <c r="C362" s="2825" t="s">
        <v>1988</v>
      </c>
      <c r="D362" s="2825" t="s">
        <v>3</v>
      </c>
      <c r="E362" s="2826">
        <f t="shared" si="23"/>
        <v>0.88000000000000012</v>
      </c>
      <c r="F362" s="2805">
        <f>IF($D362="Trigger",VLOOKUP($C362,'Lower Cask Weld Failures'!$D$434:$G$487,4,FALSE),E362+F361)</f>
        <v>97.463345623629579</v>
      </c>
      <c r="G362" s="2808"/>
      <c r="H362" s="2820" t="s">
        <v>263</v>
      </c>
      <c r="I362" s="2825"/>
      <c r="J362" s="2825"/>
      <c r="K362" s="2825"/>
      <c r="L362" s="2826" t="str">
        <f>IFERROR(INDEX('Lower Cask Movement &amp; Logistics'!$I$13:$O$19,MATCH($J362,'Lower Cask Movement &amp; Logistics'!$H$13:$H$19,0),MATCH($K362,'Lower Cask Movement &amp; Logistics'!$H$13:$H$19,0)),"N/A")</f>
        <v>N/A</v>
      </c>
      <c r="M362" s="2826" t="str">
        <f>IFERROR(VLOOKUP($I362,'Lower Cask Movement &amp; Logistics'!$H$4:$I$8,2,FALSE),"N/A")</f>
        <v>N/A</v>
      </c>
      <c r="N362" s="2826" t="str">
        <f t="shared" si="24"/>
        <v>N/A</v>
      </c>
      <c r="O362" s="2809" t="s">
        <v>1960</v>
      </c>
      <c r="P362" s="2805">
        <f>IF($D362="Logistics",VLOOKUP($O362,'Lower Cask Movement &amp; Logistics'!$C$4:$D$54,2,FALSE),"N/A")</f>
        <v>0.88000000000000012</v>
      </c>
    </row>
    <row r="363" spans="1:16" ht="12.75" customHeight="1" outlineLevel="1" x14ac:dyDescent="0.4">
      <c r="A363" s="2927"/>
      <c r="B363" s="3873"/>
      <c r="C363" s="2825" t="s">
        <v>1562</v>
      </c>
      <c r="D363" s="2825" t="s">
        <v>3</v>
      </c>
      <c r="E363" s="2826">
        <f t="shared" si="23"/>
        <v>2.3000000000000003</v>
      </c>
      <c r="F363" s="2805">
        <f>IF($D363="Trigger",VLOOKUP($C363,'Lower Cask Weld Failures'!$D$434:$G$487,4,FALSE),E363+F362)</f>
        <v>99.763345623629576</v>
      </c>
      <c r="G363" s="2808"/>
      <c r="H363" s="2820" t="s">
        <v>263</v>
      </c>
      <c r="I363" s="2825"/>
      <c r="J363" s="2825"/>
      <c r="K363" s="2825"/>
      <c r="L363" s="2826" t="str">
        <f>IFERROR(INDEX('Lower Cask Movement &amp; Logistics'!$I$13:$O$19,MATCH($J363,'Lower Cask Movement &amp; Logistics'!$H$13:$H$19,0),MATCH($K363,'Lower Cask Movement &amp; Logistics'!$H$13:$H$19,0)),"N/A")</f>
        <v>N/A</v>
      </c>
      <c r="M363" s="2826" t="str">
        <f>IFERROR(VLOOKUP($I363,'Lower Cask Movement &amp; Logistics'!$H$4:$I$8,2,FALSE),"N/A")</f>
        <v>N/A</v>
      </c>
      <c r="N363" s="2826" t="str">
        <f t="shared" si="24"/>
        <v>N/A</v>
      </c>
      <c r="O363" s="2809" t="s">
        <v>1562</v>
      </c>
      <c r="P363" s="2805">
        <f>IF($D363="Logistics",VLOOKUP($O363,'Lower Cask Movement &amp; Logistics'!$C$4:$D$54,2,FALSE),"N/A")</f>
        <v>2.3000000000000003</v>
      </c>
    </row>
    <row r="364" spans="1:16" ht="25.5" customHeight="1" outlineLevel="1" x14ac:dyDescent="0.4">
      <c r="A364" s="2927"/>
      <c r="B364" s="3873"/>
      <c r="C364" s="2825" t="s">
        <v>1989</v>
      </c>
      <c r="D364" s="2825" t="s">
        <v>778</v>
      </c>
      <c r="E364" s="2826">
        <f t="shared" si="23"/>
        <v>4.6296296296296301E-2</v>
      </c>
      <c r="F364" s="2805">
        <f>IF($D364="Trigger",VLOOKUP($C364,'Lower Cask Weld Failures'!$D$434:$G$487,4,FALSE),E364+F363)</f>
        <v>99.809641919925866</v>
      </c>
      <c r="G364" s="2808"/>
      <c r="H364" s="2820" t="s">
        <v>263</v>
      </c>
      <c r="I364" s="2825" t="s">
        <v>1990</v>
      </c>
      <c r="J364" s="2825" t="s">
        <v>1957</v>
      </c>
      <c r="K364" s="2825" t="s">
        <v>1991</v>
      </c>
      <c r="L364" s="2826">
        <f>IFERROR(INDEX('Lower Cask Movement &amp; Logistics'!$I$13:$O$19,MATCH($J364,'Lower Cask Movement &amp; Logistics'!$H$13:$H$19,0),MATCH($K364,'Lower Cask Movement &amp; Logistics'!$H$13:$H$19,0)),"N/A")</f>
        <v>10</v>
      </c>
      <c r="M364" s="2826">
        <f>IFERROR(VLOOKUP($I364,'Lower Cask Movement &amp; Logistics'!$H$4:$I$8,2,FALSE),"N/A")</f>
        <v>0.06</v>
      </c>
      <c r="N364" s="2826">
        <f t="shared" si="24"/>
        <v>4.6296296296296301E-2</v>
      </c>
      <c r="O364" s="2809"/>
      <c r="P364" s="2805" t="str">
        <f>IF($D364="Logistics",VLOOKUP($O364,'Lower Cask Movement &amp; Logistics'!$C$4:$D$54,2,FALSE),"N/A")</f>
        <v>N/A</v>
      </c>
    </row>
    <row r="365" spans="1:16" ht="12.75" customHeight="1" outlineLevel="1" x14ac:dyDescent="0.4">
      <c r="A365" s="2927"/>
      <c r="B365" s="3873"/>
      <c r="C365" s="2825" t="s">
        <v>1992</v>
      </c>
      <c r="D365" s="2825" t="s">
        <v>3</v>
      </c>
      <c r="E365" s="2826">
        <f t="shared" si="23"/>
        <v>0.58000000000000007</v>
      </c>
      <c r="F365" s="2805">
        <f>IF($D365="Trigger",VLOOKUP($C365,'Lower Cask Weld Failures'!$D$434:$G$487,4,FALSE),E365+F364)</f>
        <v>100.38964191992586</v>
      </c>
      <c r="G365" s="2808"/>
      <c r="H365" s="2820" t="s">
        <v>263</v>
      </c>
      <c r="I365" s="2825"/>
      <c r="J365" s="2825"/>
      <c r="K365" s="2825"/>
      <c r="L365" s="2826" t="str">
        <f>IFERROR(INDEX('Lower Cask Movement &amp; Logistics'!$I$13:$O$19,MATCH($J365,'Lower Cask Movement &amp; Logistics'!$H$13:$H$19,0),MATCH($K365,'Lower Cask Movement &amp; Logistics'!$H$13:$H$19,0)),"N/A")</f>
        <v>N/A</v>
      </c>
      <c r="M365" s="2826" t="str">
        <f>IFERROR(VLOOKUP($I365,'Lower Cask Movement &amp; Logistics'!$H$4:$I$8,2,FALSE),"N/A")</f>
        <v>N/A</v>
      </c>
      <c r="N365" s="2826" t="str">
        <f t="shared" si="24"/>
        <v>N/A</v>
      </c>
      <c r="O365" s="2809" t="s">
        <v>1971</v>
      </c>
      <c r="P365" s="2805">
        <f>IF($D365="Logistics",VLOOKUP($O365,'Lower Cask Movement &amp; Logistics'!$C$4:$D$54,2,FALSE),"N/A")</f>
        <v>0.58000000000000007</v>
      </c>
    </row>
    <row r="366" spans="1:16" ht="12.75" customHeight="1" outlineLevel="1" x14ac:dyDescent="0.4">
      <c r="A366" s="2927"/>
      <c r="B366" s="3873"/>
      <c r="C366" s="2825" t="s">
        <v>1980</v>
      </c>
      <c r="D366" s="2825" t="s">
        <v>3</v>
      </c>
      <c r="E366" s="2826">
        <f t="shared" si="23"/>
        <v>0.78</v>
      </c>
      <c r="F366" s="2805">
        <f>IF($D366="Trigger",VLOOKUP($C366,'Lower Cask Weld Failures'!$D$434:$G$487,4,FALSE),E366+F365)</f>
        <v>101.16964191992587</v>
      </c>
      <c r="G366" s="2808"/>
      <c r="H366" s="2820" t="s">
        <v>263</v>
      </c>
      <c r="I366" s="2825"/>
      <c r="J366" s="2825"/>
      <c r="K366" s="2825"/>
      <c r="L366" s="2826" t="str">
        <f>IFERROR(INDEX('Lower Cask Movement &amp; Logistics'!$I$13:$O$19,MATCH($J366,'Lower Cask Movement &amp; Logistics'!$H$13:$H$19,0),MATCH($K366,'Lower Cask Movement &amp; Logistics'!$H$13:$H$19,0)),"N/A")</f>
        <v>N/A</v>
      </c>
      <c r="M366" s="2826" t="str">
        <f>IFERROR(VLOOKUP($I366,'Lower Cask Movement &amp; Logistics'!$H$4:$I$8,2,FALSE),"N/A")</f>
        <v>N/A</v>
      </c>
      <c r="N366" s="2826" t="str">
        <f t="shared" si="24"/>
        <v>N/A</v>
      </c>
      <c r="O366" s="2809" t="s">
        <v>1973</v>
      </c>
      <c r="P366" s="2805">
        <f>IF($D366="Logistics",VLOOKUP($O366,'Lower Cask Movement &amp; Logistics'!$C$4:$D$54,2,FALSE),"N/A")</f>
        <v>0.78</v>
      </c>
    </row>
    <row r="367" spans="1:16" ht="12.75" customHeight="1" outlineLevel="1" x14ac:dyDescent="0.4">
      <c r="A367" s="2927"/>
      <c r="B367" s="3873"/>
      <c r="C367" s="2825" t="s">
        <v>1958</v>
      </c>
      <c r="D367" s="2825" t="s">
        <v>3</v>
      </c>
      <c r="E367" s="2826">
        <f t="shared" si="23"/>
        <v>1.9</v>
      </c>
      <c r="F367" s="2805">
        <f>IF($D367="Trigger",VLOOKUP($C367,'Lower Cask Weld Failures'!$D$434:$G$487,4,FALSE),E367+F366)</f>
        <v>103.06964191992587</v>
      </c>
      <c r="G367" s="2808"/>
      <c r="H367" s="2820" t="s">
        <v>263</v>
      </c>
      <c r="I367" s="2825"/>
      <c r="J367" s="2825"/>
      <c r="K367" s="2825"/>
      <c r="L367" s="2826" t="str">
        <f>IFERROR(INDEX('Lower Cask Movement &amp; Logistics'!$I$13:$O$19,MATCH($J367,'Lower Cask Movement &amp; Logistics'!$H$13:$H$19,0),MATCH($K367,'Lower Cask Movement &amp; Logistics'!$H$13:$H$19,0)),"N/A")</f>
        <v>N/A</v>
      </c>
      <c r="M367" s="2826" t="str">
        <f>IFERROR(VLOOKUP($I367,'Lower Cask Movement &amp; Logistics'!$H$4:$I$8,2,FALSE),"N/A")</f>
        <v>N/A</v>
      </c>
      <c r="N367" s="2826" t="str">
        <f t="shared" si="24"/>
        <v>N/A</v>
      </c>
      <c r="O367" s="2809" t="s">
        <v>1541</v>
      </c>
      <c r="P367" s="2805">
        <f>IF($D367="Logistics",VLOOKUP($O367,'Lower Cask Movement &amp; Logistics'!$C$4:$D$54,2,FALSE),"N/A")</f>
        <v>1.9</v>
      </c>
    </row>
    <row r="368" spans="1:16" ht="12.75" customHeight="1" outlineLevel="1" x14ac:dyDescent="0.4">
      <c r="A368" s="2927"/>
      <c r="B368" s="3873"/>
      <c r="C368" s="2825" t="s">
        <v>1993</v>
      </c>
      <c r="D368" s="2825" t="s">
        <v>3</v>
      </c>
      <c r="E368" s="2826">
        <f t="shared" si="23"/>
        <v>0.88000000000000012</v>
      </c>
      <c r="F368" s="2805">
        <f>IF($D368="Trigger",VLOOKUP($C368,'Lower Cask Weld Failures'!$D$434:$G$487,4,FALSE),E368+F367)</f>
        <v>103.94964191992587</v>
      </c>
      <c r="G368" s="2808"/>
      <c r="H368" s="2820" t="s">
        <v>263</v>
      </c>
      <c r="I368" s="2825"/>
      <c r="J368" s="2825"/>
      <c r="K368" s="2825"/>
      <c r="L368" s="2826" t="str">
        <f>IFERROR(INDEX('Lower Cask Movement &amp; Logistics'!$I$13:$O$19,MATCH($J368,'Lower Cask Movement &amp; Logistics'!$H$13:$H$19,0),MATCH($K368,'Lower Cask Movement &amp; Logistics'!$H$13:$H$19,0)),"N/A")</f>
        <v>N/A</v>
      </c>
      <c r="M368" s="2826" t="str">
        <f>IFERROR(VLOOKUP($I368,'Lower Cask Movement &amp; Logistics'!$H$4:$I$8,2,FALSE),"N/A")</f>
        <v>N/A</v>
      </c>
      <c r="N368" s="2826" t="str">
        <f t="shared" si="24"/>
        <v>N/A</v>
      </c>
      <c r="O368" s="2809" t="s">
        <v>1730</v>
      </c>
      <c r="P368" s="2805">
        <f>IF($D368="Logistics",VLOOKUP($O368,'Lower Cask Movement &amp; Logistics'!$C$4:$D$54,2,FALSE),"N/A")</f>
        <v>0.88000000000000012</v>
      </c>
    </row>
    <row r="369" spans="1:16" ht="12.75" customHeight="1" outlineLevel="1" x14ac:dyDescent="0.4">
      <c r="A369" s="2927"/>
      <c r="B369" s="3873"/>
      <c r="C369" s="2901" t="s">
        <v>1562</v>
      </c>
      <c r="D369" s="2825" t="s">
        <v>3</v>
      </c>
      <c r="E369" s="2826">
        <f t="shared" si="23"/>
        <v>2.3000000000000003</v>
      </c>
      <c r="F369" s="2805">
        <f>IF($D369="Trigger",VLOOKUP($C369,'Lower Cask Weld Failures'!$D$434:$G$487,4,FALSE),E369+F368)</f>
        <v>106.24964191992586</v>
      </c>
      <c r="G369" s="2808"/>
      <c r="H369" s="2820" t="s">
        <v>263</v>
      </c>
      <c r="I369" s="2825"/>
      <c r="J369" s="2825"/>
      <c r="K369" s="2825"/>
      <c r="L369" s="2826" t="str">
        <f>IFERROR(INDEX('Lower Cask Movement &amp; Logistics'!$I$13:$O$19,MATCH($J369,'Lower Cask Movement &amp; Logistics'!$H$13:$H$19,0),MATCH($K369,'Lower Cask Movement &amp; Logistics'!$H$13:$H$19,0)),"N/A")</f>
        <v>N/A</v>
      </c>
      <c r="M369" s="2826" t="str">
        <f>IFERROR(VLOOKUP($I369,'Lower Cask Movement &amp; Logistics'!$H$4:$I$8,2,FALSE),"N/A")</f>
        <v>N/A</v>
      </c>
      <c r="N369" s="2826" t="str">
        <f t="shared" si="24"/>
        <v>N/A</v>
      </c>
      <c r="O369" s="2809" t="s">
        <v>1562</v>
      </c>
      <c r="P369" s="2805">
        <f>IF($D369="Logistics",VLOOKUP($O369,'Lower Cask Movement &amp; Logistics'!$C$4:$D$54,2,FALSE),"N/A")</f>
        <v>2.3000000000000003</v>
      </c>
    </row>
    <row r="370" spans="1:16" ht="12.75" customHeight="1" outlineLevel="1" x14ac:dyDescent="0.4">
      <c r="A370" s="2927"/>
      <c r="B370" s="3873"/>
      <c r="C370" s="2901" t="s">
        <v>1964</v>
      </c>
      <c r="D370" s="2901" t="s">
        <v>778</v>
      </c>
      <c r="E370" s="2826">
        <f t="shared" si="23"/>
        <v>0.69444444444444442</v>
      </c>
      <c r="F370" s="2805">
        <f>IF($D370="Trigger",VLOOKUP($C370,'Lower Cask Weld Failures'!$D$434:$G$487,4,FALSE),E370+F369)</f>
        <v>106.94408636437031</v>
      </c>
      <c r="G370" s="2808"/>
      <c r="H370" s="2820" t="s">
        <v>263</v>
      </c>
      <c r="I370" s="2825" t="s">
        <v>1789</v>
      </c>
      <c r="J370" s="2825" t="s">
        <v>1965</v>
      </c>
      <c r="K370" s="2825" t="s">
        <v>1966</v>
      </c>
      <c r="L370" s="2826">
        <f>IFERROR(INDEX('Lower Cask Movement &amp; Logistics'!$I$13:$O$19,MATCH($J370,'Lower Cask Movement &amp; Logistics'!$H$13:$H$19,0),MATCH($K370,'Lower Cask Movement &amp; Logistics'!$H$13:$H$19,0)),"N/A")</f>
        <v>50</v>
      </c>
      <c r="M370" s="2826">
        <f>IFERROR(VLOOKUP($I370,'Lower Cask Movement &amp; Logistics'!$H$4:$I$8,2,FALSE),"N/A")</f>
        <v>0.02</v>
      </c>
      <c r="N370" s="2826">
        <f t="shared" si="24"/>
        <v>0.69444444444444442</v>
      </c>
      <c r="O370" s="2809"/>
      <c r="P370" s="2805" t="str">
        <f>IF($D370="Logistics",VLOOKUP($O370,'Lower Cask Movement &amp; Logistics'!$C$4:$D$54,2,FALSE),"N/A")</f>
        <v>N/A</v>
      </c>
    </row>
    <row r="371" spans="1:16" ht="39" customHeight="1" outlineLevel="1" thickBot="1" x14ac:dyDescent="0.45">
      <c r="A371" s="2927"/>
      <c r="B371" s="3874"/>
      <c r="C371" s="2827" t="str">
        <f>B359</f>
        <v>Divertor cassette transport stored; Replacement pipe modules collected; replacement pipework transported to the lower port</v>
      </c>
      <c r="D371" s="2827" t="s">
        <v>11</v>
      </c>
      <c r="E371" s="2828">
        <f t="shared" si="23"/>
        <v>0</v>
      </c>
      <c r="F371" s="2822">
        <f>IF($D371="Trigger",VLOOKUP($C371,'Lower Cask Weld Failures'!$D$434:$G$487,4,FALSE),E371+F370)</f>
        <v>106.94408636437031</v>
      </c>
      <c r="G371" s="2812"/>
      <c r="H371" s="2813" t="s">
        <v>263</v>
      </c>
      <c r="I371" s="2827"/>
      <c r="J371" s="2827"/>
      <c r="K371" s="2827"/>
      <c r="L371" s="2828" t="str">
        <f>IFERROR(INDEX('Lower Cask Movement &amp; Logistics'!$I$13:$O$19,MATCH($J371,'Lower Cask Movement &amp; Logistics'!$H$13:$H$19,0),MATCH($K371,'Lower Cask Movement &amp; Logistics'!$H$13:$H$19,0)),"N/A")</f>
        <v>N/A</v>
      </c>
      <c r="M371" s="2828" t="str">
        <f>IFERROR(VLOOKUP($I371,'Lower Cask Movement &amp; Logistics'!$H$4:$I$8,2,FALSE),"N/A")</f>
        <v>N/A</v>
      </c>
      <c r="N371" s="2828" t="str">
        <f t="shared" si="24"/>
        <v>N/A</v>
      </c>
      <c r="O371" s="2817"/>
      <c r="P371" s="2822" t="str">
        <f>IF($D371="Logistics",VLOOKUP($O371,'Lower Cask Movement &amp; Logistics'!$C$4:$D$54,2,FALSE),"N/A")</f>
        <v>N/A</v>
      </c>
    </row>
    <row r="372" spans="1:16" ht="12.75" customHeight="1" outlineLevel="1" x14ac:dyDescent="0.4">
      <c r="A372" s="2927"/>
      <c r="B372" s="3863" t="s">
        <v>1918</v>
      </c>
      <c r="C372" s="2823" t="s">
        <v>1911</v>
      </c>
      <c r="D372" s="2823" t="s">
        <v>907</v>
      </c>
      <c r="E372" s="2935">
        <f t="shared" ref="E372:E382" si="26">MAX($P372,$N372,$H372)</f>
        <v>0</v>
      </c>
      <c r="F372" s="2936">
        <f>IF($D372="Trigger",VLOOKUP($C372,'Lower Cask Weld Failures'!$D$434:$G$487,4,FALSE),E372+F371)</f>
        <v>57.708901179185169</v>
      </c>
      <c r="G372" s="2937"/>
      <c r="H372" s="2938" t="s">
        <v>263</v>
      </c>
      <c r="I372" s="2939"/>
      <c r="J372" s="2939"/>
      <c r="K372" s="2939"/>
      <c r="L372" s="2935" t="str">
        <f>IFERROR(INDEX('Lower Cask Movement &amp; Logistics'!$I$13:$O$19,MATCH($J372,'Lower Cask Movement &amp; Logistics'!$H$13:$H$19,0),MATCH($K372,'Lower Cask Movement &amp; Logistics'!$H$13:$H$19,0)),"N/A")</f>
        <v>N/A</v>
      </c>
      <c r="M372" s="2935" t="str">
        <f>IFERROR(VLOOKUP($I372,'Lower Cask Movement &amp; Logistics'!$H$4:$I$8,2,FALSE),"N/A")</f>
        <v>N/A</v>
      </c>
      <c r="N372" s="2935" t="str">
        <f t="shared" ref="N372:N382" si="27">IF(D372="Movement",IFERROR((L372/M372)/(60*60),"Error"),"N/A")</f>
        <v>N/A</v>
      </c>
      <c r="O372" s="2940"/>
      <c r="P372" s="2936" t="str">
        <f>IF($D372="Logistics",VLOOKUP($O372,'Lower Cask Movement &amp; Logistics'!$C$4:$D$54,2,FALSE),"N/A")</f>
        <v>N/A</v>
      </c>
    </row>
    <row r="373" spans="1:16" ht="25.5" customHeight="1" outlineLevel="1" x14ac:dyDescent="0.4">
      <c r="A373" s="2927"/>
      <c r="B373" s="3864"/>
      <c r="C373" s="2941" t="s">
        <v>1976</v>
      </c>
      <c r="D373" s="2941" t="s">
        <v>778</v>
      </c>
      <c r="E373" s="2826">
        <f t="shared" si="26"/>
        <v>0.23148148148148148</v>
      </c>
      <c r="F373" s="2805">
        <f>IF($D373="Trigger",VLOOKUP($C373,'Lower Cask Weld Failures'!$D$434:$G$487,4,FALSE),E373+F372)</f>
        <v>57.94038266066665</v>
      </c>
      <c r="G373" s="2808"/>
      <c r="H373" s="2820" t="s">
        <v>263</v>
      </c>
      <c r="I373" s="2825" t="s">
        <v>1962</v>
      </c>
      <c r="J373" s="2825" t="s">
        <v>1203</v>
      </c>
      <c r="K373" s="2825" t="s">
        <v>1977</v>
      </c>
      <c r="L373" s="2826">
        <f>IFERROR(INDEX('Lower Cask Movement &amp; Logistics'!$I$13:$O$19,MATCH($J373,'Lower Cask Movement &amp; Logistics'!$H$13:$H$19,0),MATCH($K373,'Lower Cask Movement &amp; Logistics'!$H$13:$H$19,0)),"N/A")</f>
        <v>50</v>
      </c>
      <c r="M373" s="2826">
        <f>IFERROR(VLOOKUP($I373,'Lower Cask Movement &amp; Logistics'!$H$4:$I$8,2,FALSE),"N/A")</f>
        <v>0.06</v>
      </c>
      <c r="N373" s="2826">
        <f t="shared" si="27"/>
        <v>0.23148148148148148</v>
      </c>
      <c r="O373" s="2809"/>
      <c r="P373" s="2805" t="str">
        <f>IF($D373="Logistics",VLOOKUP($O373,'Lower Cask Movement &amp; Logistics'!$C$4:$D$54,2,FALSE),"N/A")</f>
        <v>N/A</v>
      </c>
    </row>
    <row r="374" spans="1:16" ht="12.75" customHeight="1" outlineLevel="1" x14ac:dyDescent="0.4">
      <c r="A374" s="2927"/>
      <c r="B374" s="3864"/>
      <c r="C374" s="2941" t="s">
        <v>1978</v>
      </c>
      <c r="D374" s="2825" t="s">
        <v>3</v>
      </c>
      <c r="E374" s="2826">
        <f t="shared" si="26"/>
        <v>0.58000000000000007</v>
      </c>
      <c r="F374" s="2805">
        <f>IF($D374="Trigger",VLOOKUP($C374,'Lower Cask Weld Failures'!$D$434:$G$487,4,FALSE),E374+F373)</f>
        <v>58.520382660666648</v>
      </c>
      <c r="G374" s="2808"/>
      <c r="H374" s="2820" t="s">
        <v>263</v>
      </c>
      <c r="I374" s="2825"/>
      <c r="J374" s="2825"/>
      <c r="K374" s="2825"/>
      <c r="L374" s="2826" t="str">
        <f>IFERROR(INDEX('Lower Cask Movement &amp; Logistics'!$I$13:$O$19,MATCH($J374,'Lower Cask Movement &amp; Logistics'!$H$13:$H$19,0),MATCH($K374,'Lower Cask Movement &amp; Logistics'!$H$13:$H$19,0)),"N/A")</f>
        <v>N/A</v>
      </c>
      <c r="M374" s="2826" t="str">
        <f>IFERROR(VLOOKUP($I374,'Lower Cask Movement &amp; Logistics'!$H$4:$I$8,2,FALSE),"N/A")</f>
        <v>N/A</v>
      </c>
      <c r="N374" s="2826" t="str">
        <f t="shared" si="27"/>
        <v>N/A</v>
      </c>
      <c r="O374" s="2809" t="s">
        <v>1971</v>
      </c>
      <c r="P374" s="2805">
        <f>IF($D374="Logistics",VLOOKUP($O374,'Lower Cask Movement &amp; Logistics'!$C$4:$D$54,2,FALSE),"N/A")</f>
        <v>0.58000000000000007</v>
      </c>
    </row>
    <row r="375" spans="1:16" ht="12.75" customHeight="1" outlineLevel="1" x14ac:dyDescent="0.4">
      <c r="A375" s="2927"/>
      <c r="B375" s="3864"/>
      <c r="C375" s="2941" t="s">
        <v>1979</v>
      </c>
      <c r="D375" s="2825" t="s">
        <v>778</v>
      </c>
      <c r="E375" s="2826">
        <f t="shared" si="26"/>
        <v>2.7777777777777776E-2</v>
      </c>
      <c r="F375" s="2805">
        <f>IF($D375="Trigger",VLOOKUP($C375,'Lower Cask Weld Failures'!$D$434:$G$487,4,FALSE),E375+F374)</f>
        <v>58.548160438444427</v>
      </c>
      <c r="G375" s="2808"/>
      <c r="H375" s="2820" t="s">
        <v>263</v>
      </c>
      <c r="I375" s="2825" t="s">
        <v>1831</v>
      </c>
      <c r="J375" s="2825" t="s">
        <v>1977</v>
      </c>
      <c r="K375" s="2825" t="s">
        <v>1975</v>
      </c>
      <c r="L375" s="2826">
        <f>IFERROR(INDEX('Lower Cask Movement &amp; Logistics'!$I$13:$O$19,MATCH($J375,'Lower Cask Movement &amp; Logistics'!$H$13:$H$19,0),MATCH($K375,'Lower Cask Movement &amp; Logistics'!$H$13:$H$19,0)),"N/A")</f>
        <v>20</v>
      </c>
      <c r="M375" s="2826">
        <f>IFERROR(VLOOKUP($I375,'Lower Cask Movement &amp; Logistics'!$H$4:$I$8,2,FALSE),"N/A")</f>
        <v>0.2</v>
      </c>
      <c r="N375" s="2826">
        <f t="shared" si="27"/>
        <v>2.7777777777777776E-2</v>
      </c>
      <c r="O375" s="2809"/>
      <c r="P375" s="2805" t="str">
        <f>IF($D375="Logistics",VLOOKUP($O375,'Lower Cask Movement &amp; Logistics'!$C$4:$D$54,2,FALSE),"N/A")</f>
        <v>N/A</v>
      </c>
    </row>
    <row r="376" spans="1:16" ht="12.75" customHeight="1" outlineLevel="1" x14ac:dyDescent="0.4">
      <c r="A376" s="2927"/>
      <c r="B376" s="3864"/>
      <c r="C376" s="2941" t="s">
        <v>1980</v>
      </c>
      <c r="D376" s="2825" t="s">
        <v>3</v>
      </c>
      <c r="E376" s="2826">
        <f t="shared" si="26"/>
        <v>0.78</v>
      </c>
      <c r="F376" s="2805">
        <f>IF($D376="Trigger",VLOOKUP($C376,'Lower Cask Weld Failures'!$D$434:$G$487,4,FALSE),E376+F375)</f>
        <v>59.328160438444428</v>
      </c>
      <c r="G376" s="2808"/>
      <c r="H376" s="2820" t="s">
        <v>263</v>
      </c>
      <c r="I376" s="2825"/>
      <c r="J376" s="2825"/>
      <c r="K376" s="2825"/>
      <c r="L376" s="2826" t="str">
        <f>IFERROR(INDEX('Lower Cask Movement &amp; Logistics'!$I$13:$O$19,MATCH($J376,'Lower Cask Movement &amp; Logistics'!$H$13:$H$19,0),MATCH($K376,'Lower Cask Movement &amp; Logistics'!$H$13:$H$19,0)),"N/A")</f>
        <v>N/A</v>
      </c>
      <c r="M376" s="2826" t="str">
        <f>IFERROR(VLOOKUP($I376,'Lower Cask Movement &amp; Logistics'!$H$4:$I$8,2,FALSE),"N/A")</f>
        <v>N/A</v>
      </c>
      <c r="N376" s="2826" t="str">
        <f t="shared" si="27"/>
        <v>N/A</v>
      </c>
      <c r="O376" s="2809" t="s">
        <v>1973</v>
      </c>
      <c r="P376" s="2805">
        <f>IF($D376="Logistics",VLOOKUP($O376,'Lower Cask Movement &amp; Logistics'!$C$4:$D$54,2,FALSE),"N/A")</f>
        <v>0.78</v>
      </c>
    </row>
    <row r="377" spans="1:16" ht="25.5" customHeight="1" outlineLevel="1" x14ac:dyDescent="0.4">
      <c r="A377" s="2927"/>
      <c r="B377" s="3864"/>
      <c r="C377" s="2941" t="s">
        <v>1981</v>
      </c>
      <c r="D377" s="2825" t="s">
        <v>778</v>
      </c>
      <c r="E377" s="2826">
        <f t="shared" si="26"/>
        <v>9.2592592592592601E-2</v>
      </c>
      <c r="F377" s="2805">
        <f>IF($D377="Trigger",VLOOKUP($C377,'Lower Cask Weld Failures'!$D$434:$G$487,4,FALSE),E377+F376)</f>
        <v>59.420753031037023</v>
      </c>
      <c r="G377" s="2808"/>
      <c r="H377" s="2820" t="s">
        <v>263</v>
      </c>
      <c r="I377" s="2825" t="s">
        <v>1962</v>
      </c>
      <c r="J377" s="2825" t="s">
        <v>1778</v>
      </c>
      <c r="K377" s="2825" t="s">
        <v>1957</v>
      </c>
      <c r="L377" s="2826">
        <f>IFERROR(INDEX('Lower Cask Movement &amp; Logistics'!$I$13:$O$19,MATCH($J377,'Lower Cask Movement &amp; Logistics'!$H$13:$H$19,0),MATCH($K377,'Lower Cask Movement &amp; Logistics'!$H$13:$H$19,0)),"N/A")</f>
        <v>20</v>
      </c>
      <c r="M377" s="2826">
        <f>IFERROR(VLOOKUP($I377,'Lower Cask Movement &amp; Logistics'!$H$4:$I$8,2,FALSE),"N/A")</f>
        <v>0.06</v>
      </c>
      <c r="N377" s="2826">
        <f t="shared" si="27"/>
        <v>9.2592592592592601E-2</v>
      </c>
      <c r="O377" s="2809"/>
      <c r="P377" s="2805" t="str">
        <f>IF($D377="Logistics",VLOOKUP($O377,'Lower Cask Movement &amp; Logistics'!$C$4:$D$54,2,FALSE),"N/A")</f>
        <v>N/A</v>
      </c>
    </row>
    <row r="378" spans="1:16" ht="12.75" customHeight="1" outlineLevel="1" x14ac:dyDescent="0.4">
      <c r="A378" s="2927"/>
      <c r="B378" s="3864"/>
      <c r="C378" s="2941" t="s">
        <v>1958</v>
      </c>
      <c r="D378" s="2825" t="s">
        <v>3</v>
      </c>
      <c r="E378" s="2826">
        <f t="shared" si="26"/>
        <v>1.9</v>
      </c>
      <c r="F378" s="2805">
        <f>IF($D378="Trigger",VLOOKUP($C378,'Lower Cask Weld Failures'!$D$434:$G$487,4,FALSE),E378+F377)</f>
        <v>61.320753031037022</v>
      </c>
      <c r="G378" s="2808"/>
      <c r="H378" s="2820" t="s">
        <v>263</v>
      </c>
      <c r="I378" s="2825"/>
      <c r="J378" s="2825"/>
      <c r="K378" s="2825"/>
      <c r="L378" s="2826" t="str">
        <f>IFERROR(INDEX('Lower Cask Movement &amp; Logistics'!$I$13:$O$19,MATCH($J378,'Lower Cask Movement &amp; Logistics'!$H$13:$H$19,0),MATCH($K378,'Lower Cask Movement &amp; Logistics'!$H$13:$H$19,0)),"N/A")</f>
        <v>N/A</v>
      </c>
      <c r="M378" s="2826" t="str">
        <f>IFERROR(VLOOKUP($I378,'Lower Cask Movement &amp; Logistics'!$H$4:$I$8,2,FALSE),"N/A")</f>
        <v>N/A</v>
      </c>
      <c r="N378" s="2826" t="str">
        <f t="shared" si="27"/>
        <v>N/A</v>
      </c>
      <c r="O378" s="2809" t="s">
        <v>1541</v>
      </c>
      <c r="P378" s="2805">
        <f>IF($D378="Logistics",VLOOKUP($O378,'Lower Cask Movement &amp; Logistics'!$C$4:$D$54,2,FALSE),"N/A")</f>
        <v>1.9</v>
      </c>
    </row>
    <row r="379" spans="1:16" ht="12.75" customHeight="1" outlineLevel="1" x14ac:dyDescent="0.4">
      <c r="A379" s="2927"/>
      <c r="B379" s="3864"/>
      <c r="C379" s="2941" t="s">
        <v>1982</v>
      </c>
      <c r="D379" s="2825" t="s">
        <v>3</v>
      </c>
      <c r="E379" s="2826">
        <f t="shared" si="26"/>
        <v>0.88000000000000012</v>
      </c>
      <c r="F379" s="2805">
        <f>IF($D379="Trigger",VLOOKUP($C379,'Lower Cask Weld Failures'!$D$434:$G$487,4,FALSE),E379+F378)</f>
        <v>62.200753031037024</v>
      </c>
      <c r="G379" s="2808"/>
      <c r="H379" s="2820" t="s">
        <v>263</v>
      </c>
      <c r="I379" s="2825"/>
      <c r="J379" s="2825"/>
      <c r="K379" s="2825"/>
      <c r="L379" s="2826" t="str">
        <f>IFERROR(INDEX('Lower Cask Movement &amp; Logistics'!$I$13:$O$19,MATCH($J379,'Lower Cask Movement &amp; Logistics'!$H$13:$H$19,0),MATCH($K379,'Lower Cask Movement &amp; Logistics'!$H$13:$H$19,0)),"N/A")</f>
        <v>N/A</v>
      </c>
      <c r="M379" s="2826" t="str">
        <f>IFERROR(VLOOKUP($I379,'Lower Cask Movement &amp; Logistics'!$H$4:$I$8,2,FALSE),"N/A")</f>
        <v>N/A</v>
      </c>
      <c r="N379" s="2826" t="str">
        <f t="shared" si="27"/>
        <v>N/A</v>
      </c>
      <c r="O379" s="2809" t="s">
        <v>1730</v>
      </c>
      <c r="P379" s="2805">
        <f>IF($D379="Logistics",VLOOKUP($O379,'Lower Cask Movement &amp; Logistics'!$C$4:$D$54,2,FALSE),"N/A")</f>
        <v>0.88000000000000012</v>
      </c>
    </row>
    <row r="380" spans="1:16" ht="12.75" customHeight="1" outlineLevel="1" x14ac:dyDescent="0.4">
      <c r="A380" s="2927"/>
      <c r="B380" s="3864"/>
      <c r="C380" s="2941" t="s">
        <v>1983</v>
      </c>
      <c r="D380" s="2825" t="s">
        <v>3</v>
      </c>
      <c r="E380" s="2826">
        <f t="shared" si="26"/>
        <v>2.3000000000000003</v>
      </c>
      <c r="F380" s="2805">
        <f>IF($D380="Trigger",VLOOKUP($C380,'Lower Cask Weld Failures'!$D$434:$G$487,4,FALSE),E380+F379)</f>
        <v>64.500753031037021</v>
      </c>
      <c r="G380" s="2808"/>
      <c r="H380" s="2820" t="s">
        <v>263</v>
      </c>
      <c r="I380" s="2825"/>
      <c r="J380" s="2825"/>
      <c r="K380" s="2825"/>
      <c r="L380" s="2826" t="str">
        <f>IFERROR(INDEX('Lower Cask Movement &amp; Logistics'!$I$13:$O$19,MATCH($J380,'Lower Cask Movement &amp; Logistics'!$H$13:$H$19,0),MATCH($K380,'Lower Cask Movement &amp; Logistics'!$H$13:$H$19,0)),"N/A")</f>
        <v>N/A</v>
      </c>
      <c r="M380" s="2826" t="str">
        <f>IFERROR(VLOOKUP($I380,'Lower Cask Movement &amp; Logistics'!$H$4:$I$8,2,FALSE),"N/A")</f>
        <v>N/A</v>
      </c>
      <c r="N380" s="2826" t="str">
        <f t="shared" si="27"/>
        <v>N/A</v>
      </c>
      <c r="O380" s="2809" t="s">
        <v>1562</v>
      </c>
      <c r="P380" s="2805">
        <f>IF($D380="Logistics",VLOOKUP($O380,'Lower Cask Movement &amp; Logistics'!$C$4:$D$54,2,FALSE),"N/A")</f>
        <v>2.3000000000000003</v>
      </c>
    </row>
    <row r="381" spans="1:16" ht="12.75" customHeight="1" outlineLevel="1" x14ac:dyDescent="0.4">
      <c r="A381" s="2927"/>
      <c r="B381" s="3864"/>
      <c r="C381" s="2825" t="s">
        <v>1984</v>
      </c>
      <c r="D381" s="2825" t="s">
        <v>778</v>
      </c>
      <c r="E381" s="2826">
        <f t="shared" si="26"/>
        <v>0.69444444444444442</v>
      </c>
      <c r="F381" s="2805">
        <f>IF($D381="Trigger",VLOOKUP($C381,'Lower Cask Weld Failures'!$D$434:$G$487,4,FALSE),E381+F380)</f>
        <v>65.195197475481464</v>
      </c>
      <c r="G381" s="2808"/>
      <c r="H381" s="2820" t="s">
        <v>263</v>
      </c>
      <c r="I381" s="2825" t="s">
        <v>1789</v>
      </c>
      <c r="J381" s="2825" t="s">
        <v>1957</v>
      </c>
      <c r="K381" s="2825" t="s">
        <v>1203</v>
      </c>
      <c r="L381" s="2826">
        <f>IFERROR(INDEX('Lower Cask Movement &amp; Logistics'!$I$13:$O$19,MATCH($J381,'Lower Cask Movement &amp; Logistics'!$H$13:$H$19,0),MATCH($K381,'Lower Cask Movement &amp; Logistics'!$H$13:$H$19,0)),"N/A")</f>
        <v>50</v>
      </c>
      <c r="M381" s="2826">
        <f>IFERROR(VLOOKUP($I381,'Lower Cask Movement &amp; Logistics'!$H$4:$I$8,2,FALSE),"N/A")</f>
        <v>0.02</v>
      </c>
      <c r="N381" s="2826">
        <f t="shared" si="27"/>
        <v>0.69444444444444442</v>
      </c>
      <c r="O381" s="2809"/>
      <c r="P381" s="2805" t="str">
        <f>IF($D381="Logistics",VLOOKUP($O381,'Lower Cask Movement &amp; Logistics'!$C$4:$D$54,2,FALSE),"N/A")</f>
        <v>N/A</v>
      </c>
    </row>
    <row r="382" spans="1:16" ht="26.25" customHeight="1" outlineLevel="1" thickBot="1" x14ac:dyDescent="0.45">
      <c r="A382" s="2927"/>
      <c r="B382" s="3865"/>
      <c r="C382" s="2827" t="str">
        <f>B372</f>
        <v>Store failed central Divertor; Collect replacement cassette from stores; Move transporter to Lower Port</v>
      </c>
      <c r="D382" s="2827" t="s">
        <v>11</v>
      </c>
      <c r="E382" s="2828">
        <f t="shared" si="26"/>
        <v>0</v>
      </c>
      <c r="F382" s="2822">
        <f>IF($D382="Trigger",VLOOKUP($C382,'Lower Cask Weld Failures'!$D$434:$G$487,4,FALSE),E382+F381)</f>
        <v>65.195197475481464</v>
      </c>
      <c r="G382" s="2812"/>
      <c r="H382" s="2813" t="s">
        <v>263</v>
      </c>
      <c r="I382" s="2827"/>
      <c r="J382" s="2827"/>
      <c r="K382" s="2827"/>
      <c r="L382" s="2828" t="str">
        <f>IFERROR(INDEX('Lower Cask Movement &amp; Logistics'!$I$13:$O$19,MATCH($J382,'Lower Cask Movement &amp; Logistics'!$H$13:$H$19,0),MATCH($K382,'Lower Cask Movement &amp; Logistics'!$H$13:$H$19,0)),"N/A")</f>
        <v>N/A</v>
      </c>
      <c r="M382" s="2828" t="str">
        <f>IFERROR(VLOOKUP($I382,'Lower Cask Movement &amp; Logistics'!$H$4:$I$8,2,FALSE),"N/A")</f>
        <v>N/A</v>
      </c>
      <c r="N382" s="2828" t="str">
        <f t="shared" si="27"/>
        <v>N/A</v>
      </c>
      <c r="O382" s="2817"/>
      <c r="P382" s="2822" t="str">
        <f>IF($D382="Logistics",VLOOKUP($O382,'Lower Cask Movement &amp; Logistics'!$C$4:$D$54,2,FALSE),"N/A")</f>
        <v>N/A</v>
      </c>
    </row>
    <row r="383" spans="1:16" ht="13.3" thickBot="1" x14ac:dyDescent="0.45">
      <c r="A383" s="2942"/>
      <c r="B383" s="2943"/>
      <c r="C383" s="2944"/>
      <c r="D383" s="2944"/>
      <c r="E383" s="2944"/>
      <c r="F383" s="2944"/>
      <c r="G383" s="2944"/>
      <c r="H383" s="2945"/>
      <c r="I383" s="2944"/>
      <c r="J383" s="2944"/>
      <c r="K383" s="2944"/>
      <c r="L383" s="2946"/>
      <c r="M383" s="2946"/>
      <c r="N383" s="2946"/>
      <c r="O383" s="2944"/>
      <c r="P383" s="2947"/>
    </row>
    <row r="384" spans="1:16" ht="13.3" thickBot="1" x14ac:dyDescent="0.45">
      <c r="A384" s="2948"/>
      <c r="B384" s="2949" t="s">
        <v>1985</v>
      </c>
      <c r="C384" s="2949"/>
      <c r="D384" s="2949"/>
      <c r="E384" s="2949"/>
      <c r="F384" s="2949"/>
      <c r="G384" s="2949"/>
      <c r="H384" s="2949"/>
      <c r="I384" s="2949"/>
      <c r="J384" s="2949"/>
      <c r="K384" s="2949"/>
      <c r="L384" s="2949"/>
      <c r="M384" s="2949"/>
      <c r="N384" s="2949"/>
      <c r="O384" s="2949"/>
      <c r="P384" s="2950"/>
    </row>
    <row r="385" spans="1:19" ht="25.5" customHeight="1" outlineLevel="1" x14ac:dyDescent="0.4">
      <c r="A385" s="2951"/>
      <c r="B385" s="3863" t="s">
        <v>1910</v>
      </c>
      <c r="C385" s="2823" t="s">
        <v>1923</v>
      </c>
      <c r="D385" s="2823" t="s">
        <v>907</v>
      </c>
      <c r="E385" s="2824">
        <f>MAX($P385,$N385,$H385)</f>
        <v>0</v>
      </c>
      <c r="F385" s="2796">
        <f>IF($D385="Trigger",VLOOKUP($C385,'Lower Cask Weld Failures'!$D$511:$G$558,4,FALSE),E385+F384)</f>
        <v>0</v>
      </c>
      <c r="G385" s="2790"/>
      <c r="H385" s="2791" t="s">
        <v>263</v>
      </c>
      <c r="I385" s="2823"/>
      <c r="J385" s="2823"/>
      <c r="K385" s="2823"/>
      <c r="L385" s="2824" t="str">
        <f>IFERROR(INDEX('Lower Cask Movement &amp; Logistics'!$I$13:$O$19,MATCH($J385,'Lower Cask Movement &amp; Logistics'!$H$13:$H$19,0),MATCH($K385,'Lower Cask Movement &amp; Logistics'!$H$13:$H$19,0)),"N/A")</f>
        <v>N/A</v>
      </c>
      <c r="M385" s="2824" t="str">
        <f>IFERROR(VLOOKUP($I385,'Lower Cask Movement &amp; Logistics'!$H$4:$I$8,2,FALSE),"N/A")</f>
        <v>N/A</v>
      </c>
      <c r="N385" s="2824" t="str">
        <f>IF(D385="Movement",IFERROR((L385/M385)/(60*60),"Error"),"N/A")</f>
        <v>N/A</v>
      </c>
      <c r="O385" s="2795"/>
      <c r="P385" s="2796" t="str">
        <f>IF($D385="Logistics",VLOOKUP($O385,'Lower Cask Movement &amp; Logistics'!$C$4:$D$54,2,FALSE),"N/A")</f>
        <v>N/A</v>
      </c>
    </row>
    <row r="386" spans="1:19" ht="12.75" customHeight="1" outlineLevel="1" x14ac:dyDescent="0.4">
      <c r="A386" s="2951"/>
      <c r="B386" s="3864"/>
      <c r="C386" s="2825" t="s">
        <v>1956</v>
      </c>
      <c r="D386" s="2825" t="s">
        <v>778</v>
      </c>
      <c r="E386" s="2826">
        <f t="shared" ref="E386:E447" si="28">MAX($P386,$N386,$H386)</f>
        <v>0.69444444444444442</v>
      </c>
      <c r="F386" s="2805">
        <f>IF($D386="Trigger",VLOOKUP($C386,'Lower Cask Weld Failures'!$D$511:$G$558,4,FALSE),E386+F385)</f>
        <v>0.69444444444444442</v>
      </c>
      <c r="G386" s="2808"/>
      <c r="H386" s="2820" t="s">
        <v>263</v>
      </c>
      <c r="I386" s="2825" t="s">
        <v>1789</v>
      </c>
      <c r="J386" s="2825" t="s">
        <v>1203</v>
      </c>
      <c r="K386" s="2825" t="s">
        <v>1957</v>
      </c>
      <c r="L386" s="2826">
        <f>IFERROR(INDEX('Lower Cask Movement &amp; Logistics'!$I$13:$O$19,MATCH($J386,'Lower Cask Movement &amp; Logistics'!$H$13:$H$19,0),MATCH($K386,'Lower Cask Movement &amp; Logistics'!$H$13:$H$19,0)),"N/A")</f>
        <v>50</v>
      </c>
      <c r="M386" s="2826">
        <f>IFERROR(VLOOKUP($I386,'Lower Cask Movement &amp; Logistics'!$H$4:$I$8,2,FALSE),"N/A")</f>
        <v>0.02</v>
      </c>
      <c r="N386" s="2826">
        <f t="shared" ref="N386:N447" si="29">IF(D386="Movement",IFERROR((L386/M386)/(60*60),"Error"),"N/A")</f>
        <v>0.69444444444444442</v>
      </c>
      <c r="O386" s="2809"/>
      <c r="P386" s="2805" t="str">
        <f>IF($D386="Logistics",VLOOKUP($O386,'Lower Cask Movement &amp; Logistics'!$C$4:$D$54,2,FALSE),"N/A")</f>
        <v>N/A</v>
      </c>
    </row>
    <row r="387" spans="1:19" ht="12.75" customHeight="1" outlineLevel="1" x14ac:dyDescent="0.4">
      <c r="A387" s="2951"/>
      <c r="B387" s="3864"/>
      <c r="C387" s="2825" t="s">
        <v>1958</v>
      </c>
      <c r="D387" s="2825" t="s">
        <v>3</v>
      </c>
      <c r="E387" s="2826">
        <f t="shared" si="28"/>
        <v>1.9</v>
      </c>
      <c r="F387" s="2805">
        <f>IF($D387="Trigger",VLOOKUP($C387,'Lower Cask Weld Failures'!$D$511:$G$558,4,FALSE),E387+F386)</f>
        <v>2.5944444444444441</v>
      </c>
      <c r="G387" s="2808"/>
      <c r="H387" s="2820" t="s">
        <v>263</v>
      </c>
      <c r="I387" s="2825"/>
      <c r="J387" s="2825"/>
      <c r="K387" s="2825"/>
      <c r="L387" s="2826" t="str">
        <f>IFERROR(INDEX('Lower Cask Movement &amp; Logistics'!$I$13:$O$19,MATCH($J387,'Lower Cask Movement &amp; Logistics'!$H$13:$H$19,0),MATCH($K387,'Lower Cask Movement &amp; Logistics'!$H$13:$H$19,0)),"N/A")</f>
        <v>N/A</v>
      </c>
      <c r="M387" s="2826" t="str">
        <f>IFERROR(VLOOKUP($I387,'Lower Cask Movement &amp; Logistics'!$H$4:$I$8,2,FALSE),"N/A")</f>
        <v>N/A</v>
      </c>
      <c r="N387" s="2826" t="str">
        <f t="shared" si="29"/>
        <v>N/A</v>
      </c>
      <c r="O387" s="2809" t="s">
        <v>1541</v>
      </c>
      <c r="P387" s="2805">
        <f>IF($D387="Logistics",VLOOKUP($O387,'Lower Cask Movement &amp; Logistics'!$C$4:$D$54,2,FALSE),"N/A")</f>
        <v>1.9</v>
      </c>
    </row>
    <row r="388" spans="1:19" ht="12.75" customHeight="1" outlineLevel="1" x14ac:dyDescent="0.4">
      <c r="A388" s="2951"/>
      <c r="B388" s="3864"/>
      <c r="C388" s="2825" t="s">
        <v>1959</v>
      </c>
      <c r="D388" s="2825" t="s">
        <v>3</v>
      </c>
      <c r="E388" s="2826">
        <f t="shared" si="28"/>
        <v>0.88000000000000012</v>
      </c>
      <c r="F388" s="2805">
        <f>IF($D388="Trigger",VLOOKUP($C388,'Lower Cask Weld Failures'!$D$511:$G$558,4,FALSE),E388+F387)</f>
        <v>3.474444444444444</v>
      </c>
      <c r="G388" s="2808"/>
      <c r="H388" s="2820" t="s">
        <v>263</v>
      </c>
      <c r="I388" s="2825"/>
      <c r="J388" s="2825"/>
      <c r="K388" s="2825"/>
      <c r="L388" s="2826" t="str">
        <f>IFERROR(INDEX('Lower Cask Movement &amp; Logistics'!$I$13:$O$19,MATCH($J388,'Lower Cask Movement &amp; Logistics'!$H$13:$H$19,0),MATCH($K388,'Lower Cask Movement &amp; Logistics'!$H$13:$H$19,0)),"N/A")</f>
        <v>N/A</v>
      </c>
      <c r="M388" s="2826" t="str">
        <f>IFERROR(VLOOKUP($I388,'Lower Cask Movement &amp; Logistics'!$H$4:$I$8,2,FALSE),"N/A")</f>
        <v>N/A</v>
      </c>
      <c r="N388" s="2826" t="str">
        <f t="shared" si="29"/>
        <v>N/A</v>
      </c>
      <c r="O388" s="2809" t="s">
        <v>1960</v>
      </c>
      <c r="P388" s="2805">
        <f>IF($D388="Logistics",VLOOKUP($O388,'Lower Cask Movement &amp; Logistics'!$C$4:$D$54,2,FALSE),"N/A")</f>
        <v>0.88000000000000012</v>
      </c>
    </row>
    <row r="389" spans="1:19" ht="12.75" customHeight="1" outlineLevel="1" x14ac:dyDescent="0.4">
      <c r="A389" s="2951"/>
      <c r="B389" s="3864"/>
      <c r="C389" s="2825" t="s">
        <v>1562</v>
      </c>
      <c r="D389" s="2825" t="s">
        <v>3</v>
      </c>
      <c r="E389" s="2826">
        <f t="shared" si="28"/>
        <v>2.3000000000000003</v>
      </c>
      <c r="F389" s="2805">
        <f>IF($D389="Trigger",VLOOKUP($C389,'Lower Cask Weld Failures'!$D$511:$G$558,4,FALSE),E389+F388)</f>
        <v>5.7744444444444447</v>
      </c>
      <c r="G389" s="2808"/>
      <c r="H389" s="2820" t="s">
        <v>263</v>
      </c>
      <c r="I389" s="2825"/>
      <c r="J389" s="2825"/>
      <c r="K389" s="2825"/>
      <c r="L389" s="2826" t="str">
        <f>IFERROR(INDEX('Lower Cask Movement &amp; Logistics'!$I$13:$O$19,MATCH($J389,'Lower Cask Movement &amp; Logistics'!$H$13:$H$19,0),MATCH($K389,'Lower Cask Movement &amp; Logistics'!$H$13:$H$19,0)),"N/A")</f>
        <v>N/A</v>
      </c>
      <c r="M389" s="2826" t="str">
        <f>IFERROR(VLOOKUP($I389,'Lower Cask Movement &amp; Logistics'!$H$4:$I$8,2,FALSE),"N/A")</f>
        <v>N/A</v>
      </c>
      <c r="N389" s="2826" t="str">
        <f t="shared" si="29"/>
        <v>N/A</v>
      </c>
      <c r="O389" s="2809" t="s">
        <v>1562</v>
      </c>
      <c r="P389" s="2805">
        <f>IF($D389="Logistics",VLOOKUP($O389,'Lower Cask Movement &amp; Logistics'!$C$4:$D$54,2,FALSE),"N/A")</f>
        <v>2.3000000000000003</v>
      </c>
    </row>
    <row r="390" spans="1:19" ht="12.75" customHeight="1" outlineLevel="1" x14ac:dyDescent="0.4">
      <c r="A390" s="2951"/>
      <c r="B390" s="3864"/>
      <c r="C390" s="2901" t="s">
        <v>1970</v>
      </c>
      <c r="D390" s="2825" t="s">
        <v>3</v>
      </c>
      <c r="E390" s="2826">
        <f t="shared" si="28"/>
        <v>0.58000000000000007</v>
      </c>
      <c r="F390" s="2805">
        <f>IF($D390="Trigger",VLOOKUP($C390,'Lower Cask Weld Failures'!$D$511:$G$558,4,FALSE),E390+F389)</f>
        <v>6.3544444444444448</v>
      </c>
      <c r="G390" s="2808"/>
      <c r="H390" s="2820" t="s">
        <v>263</v>
      </c>
      <c r="I390" s="2825"/>
      <c r="J390" s="2825"/>
      <c r="K390" s="2825"/>
      <c r="L390" s="2826" t="str">
        <f>IFERROR(INDEX('Lower Cask Movement &amp; Logistics'!$I$13:$O$19,MATCH($J390,'Lower Cask Movement &amp; Logistics'!$H$13:$H$19,0),MATCH($K390,'Lower Cask Movement &amp; Logistics'!$H$13:$H$19,0)),"N/A")</f>
        <v>N/A</v>
      </c>
      <c r="M390" s="2826" t="str">
        <f>IFERROR(VLOOKUP($I390,'Lower Cask Movement &amp; Logistics'!$H$4:$I$8,2,FALSE),"N/A")</f>
        <v>N/A</v>
      </c>
      <c r="N390" s="2826" t="str">
        <f t="shared" si="29"/>
        <v>N/A</v>
      </c>
      <c r="O390" s="2809" t="s">
        <v>1971</v>
      </c>
      <c r="P390" s="2805">
        <f>IF($D390="Logistics",VLOOKUP($O390,'Lower Cask Movement &amp; Logistics'!$C$4:$D$54,2,FALSE),"N/A")</f>
        <v>0.58000000000000007</v>
      </c>
    </row>
    <row r="391" spans="1:19" ht="12.75" customHeight="1" outlineLevel="1" x14ac:dyDescent="0.4">
      <c r="A391" s="2951"/>
      <c r="B391" s="3864"/>
      <c r="C391" s="2901" t="s">
        <v>1972</v>
      </c>
      <c r="D391" s="2825" t="s">
        <v>3</v>
      </c>
      <c r="E391" s="2826">
        <f t="shared" si="28"/>
        <v>0.78</v>
      </c>
      <c r="F391" s="2805">
        <f>IF($D391="Trigger",VLOOKUP($C391,'Lower Cask Weld Failures'!$D$511:$G$558,4,FALSE),E391+F390)</f>
        <v>7.134444444444445</v>
      </c>
      <c r="G391" s="2808"/>
      <c r="H391" s="2820" t="s">
        <v>263</v>
      </c>
      <c r="I391" s="2825"/>
      <c r="J391" s="2825"/>
      <c r="K391" s="2825"/>
      <c r="L391" s="2826" t="str">
        <f>IFERROR(INDEX('Lower Cask Movement &amp; Logistics'!$I$13:$O$19,MATCH($J391,'Lower Cask Movement &amp; Logistics'!$H$13:$H$19,0),MATCH($K391,'Lower Cask Movement &amp; Logistics'!$H$13:$H$19,0)),"N/A")</f>
        <v>N/A</v>
      </c>
      <c r="M391" s="2826" t="str">
        <f>IFERROR(VLOOKUP($I391,'Lower Cask Movement &amp; Logistics'!$H$4:$I$8,2,FALSE),"N/A")</f>
        <v>N/A</v>
      </c>
      <c r="N391" s="2826" t="str">
        <f t="shared" si="29"/>
        <v>N/A</v>
      </c>
      <c r="O391" s="2809" t="s">
        <v>1973</v>
      </c>
      <c r="P391" s="2805">
        <f>IF($D391="Logistics",VLOOKUP($O391,'Lower Cask Movement &amp; Logistics'!$C$4:$D$54,2,FALSE),"N/A")</f>
        <v>0.78</v>
      </c>
    </row>
    <row r="392" spans="1:19" ht="25.5" customHeight="1" outlineLevel="1" x14ac:dyDescent="0.4">
      <c r="A392" s="2951"/>
      <c r="B392" s="3864"/>
      <c r="C392" s="2901" t="s">
        <v>1974</v>
      </c>
      <c r="D392" s="2825" t="s">
        <v>778</v>
      </c>
      <c r="E392" s="2826">
        <f t="shared" si="28"/>
        <v>0.23148148148148148</v>
      </c>
      <c r="F392" s="2805">
        <f>IF($D392="Trigger",VLOOKUP($C392,'Lower Cask Weld Failures'!$D$511:$G$558,4,FALSE),E392+F391)</f>
        <v>7.3659259259259269</v>
      </c>
      <c r="G392" s="2808"/>
      <c r="H392" s="2820" t="s">
        <v>263</v>
      </c>
      <c r="I392" s="2825" t="s">
        <v>1962</v>
      </c>
      <c r="J392" s="2825" t="s">
        <v>1975</v>
      </c>
      <c r="K392" s="2825" t="s">
        <v>1203</v>
      </c>
      <c r="L392" s="2826">
        <f>IFERROR(INDEX('Lower Cask Movement &amp; Logistics'!$I$13:$O$19,MATCH($J392,'Lower Cask Movement &amp; Logistics'!$H$13:$H$19,0),MATCH($K392,'Lower Cask Movement &amp; Logistics'!$H$13:$H$19,0)),"N/A")</f>
        <v>50</v>
      </c>
      <c r="M392" s="2826">
        <f>IFERROR(VLOOKUP($I392,'Lower Cask Movement &amp; Logistics'!$H$4:$I$8,2,FALSE),"N/A")</f>
        <v>0.06</v>
      </c>
      <c r="N392" s="2826">
        <f t="shared" si="29"/>
        <v>0.23148148148148148</v>
      </c>
      <c r="O392" s="2809"/>
      <c r="P392" s="2805" t="str">
        <f>IF($D392="Logistics",VLOOKUP($O392,'Lower Cask Movement &amp; Logistics'!$C$4:$D$54,2,FALSE),"N/A")</f>
        <v>N/A</v>
      </c>
    </row>
    <row r="393" spans="1:19" ht="26.25" customHeight="1" outlineLevel="1" thickBot="1" x14ac:dyDescent="0.45">
      <c r="A393" s="2951"/>
      <c r="B393" s="3865"/>
      <c r="C393" s="2827" t="str">
        <f>B385</f>
        <v>Current payload stored; Divertor transport cask collected; cask moved to Lower Port</v>
      </c>
      <c r="D393" s="2827" t="s">
        <v>11</v>
      </c>
      <c r="E393" s="2828">
        <f t="shared" si="28"/>
        <v>0</v>
      </c>
      <c r="F393" s="2822">
        <f>IF($D393="Trigger",VLOOKUP($C393,'Lower Cask Weld Failures'!$D$511:$G$558,4,FALSE),E393+F392)</f>
        <v>7.3659259259259269</v>
      </c>
      <c r="G393" s="2812"/>
      <c r="H393" s="2813" t="s">
        <v>263</v>
      </c>
      <c r="I393" s="2827"/>
      <c r="J393" s="2827"/>
      <c r="K393" s="2827"/>
      <c r="L393" s="2828" t="str">
        <f>IFERROR(INDEX('Lower Cask Movement &amp; Logistics'!$I$13:$O$19,MATCH($J393,'Lower Cask Movement &amp; Logistics'!$H$13:$H$19,0),MATCH($K393,'Lower Cask Movement &amp; Logistics'!$H$13:$H$19,0)),"N/A")</f>
        <v>N/A</v>
      </c>
      <c r="M393" s="2828" t="str">
        <f>IFERROR(VLOOKUP($I393,'Lower Cask Movement &amp; Logistics'!$H$4:$I$8,2,FALSE),"N/A")</f>
        <v>N/A</v>
      </c>
      <c r="N393" s="2828" t="str">
        <f t="shared" si="29"/>
        <v>N/A</v>
      </c>
      <c r="O393" s="2817"/>
      <c r="P393" s="2822" t="str">
        <f>IF($D393="Logistics",VLOOKUP($O393,'Lower Cask Movement &amp; Logistics'!$C$4:$D$54,2,FALSE),"N/A")</f>
        <v>N/A</v>
      </c>
    </row>
    <row r="394" spans="1:19" s="2764" customFormat="1" ht="15" customHeight="1" outlineLevel="1" x14ac:dyDescent="0.4">
      <c r="A394" s="2951"/>
      <c r="B394" s="3863" t="s">
        <v>1932</v>
      </c>
      <c r="C394" s="2788" t="s">
        <v>1600</v>
      </c>
      <c r="D394" s="2788" t="s">
        <v>907</v>
      </c>
      <c r="E394" s="2789">
        <f t="shared" si="28"/>
        <v>0</v>
      </c>
      <c r="F394" s="2789">
        <f>IF($D394="Trigger",VLOOKUP($C394,'Lower Cask Weld Failures'!$D$511:$G$558,4,FALSE),E394+F393)</f>
        <v>29.175934119456777</v>
      </c>
      <c r="G394" s="2790"/>
      <c r="H394" s="2791" t="s">
        <v>263</v>
      </c>
      <c r="I394" s="2792"/>
      <c r="J394" s="2788"/>
      <c r="K394" s="2788"/>
      <c r="L394" s="2793" t="str">
        <f>IFERROR(INDEX('Lower Cask Movement &amp; Logistics'!$I$13:$O$19,MATCH($J394,'Lower Cask Movement &amp; Logistics'!$H$13:$H$19,0),MATCH($K394,'Lower Cask Movement &amp; Logistics'!$H$13:$H$19,0)),"N/A")</f>
        <v>N/A</v>
      </c>
      <c r="M394" s="2933" t="str">
        <f>IFERROR(VLOOKUP($I394,'Lower Cask Movement &amp; Logistics'!$H$4:$I$8,2,FALSE),"N/A")</f>
        <v>N/A</v>
      </c>
      <c r="N394" s="2794" t="str">
        <f t="shared" si="29"/>
        <v>N/A</v>
      </c>
      <c r="O394" s="2795"/>
      <c r="P394" s="2796" t="str">
        <f>IF($D394="Logistics",VLOOKUP($O394,'Lower Cask Movement &amp; Logistics'!$C$4:$D$54,2,FALSE),"N/A")</f>
        <v>N/A</v>
      </c>
      <c r="R394" s="2765"/>
      <c r="S394" s="2765"/>
    </row>
    <row r="395" spans="1:19" s="2764" customFormat="1" ht="26.25" customHeight="1" outlineLevel="1" x14ac:dyDescent="0.4">
      <c r="A395" s="2951"/>
      <c r="B395" s="3864"/>
      <c r="C395" s="2797" t="s">
        <v>1732</v>
      </c>
      <c r="D395" s="2798" t="s">
        <v>778</v>
      </c>
      <c r="E395" s="2799">
        <f t="shared" si="28"/>
        <v>0.23148148148148148</v>
      </c>
      <c r="F395" s="2799">
        <f>IF($D395="Trigger",VLOOKUP($C395,'Lower Cask Weld Failures'!$D$511:$G$558,4,FALSE),E395+F394)</f>
        <v>29.407415600938258</v>
      </c>
      <c r="G395" s="2800"/>
      <c r="H395" s="2801" t="s">
        <v>263</v>
      </c>
      <c r="I395" s="2802" t="s">
        <v>1536</v>
      </c>
      <c r="J395" s="2798" t="s">
        <v>1203</v>
      </c>
      <c r="K395" s="2798" t="s">
        <v>914</v>
      </c>
      <c r="L395" s="2803">
        <f>IFERROR(INDEX('Lower Cask Movement &amp; Logistics'!$I$13:$O$19,MATCH($J395,'Lower Cask Movement &amp; Logistics'!$H$13:$H$19,0),MATCH($K395,'Lower Cask Movement &amp; Logistics'!$H$13:$H$19,0)),"N/A")</f>
        <v>50</v>
      </c>
      <c r="M395" s="2804">
        <f>IFERROR(VLOOKUP($I395,'Lower Cask Movement &amp; Logistics'!$H$4:$I$8,2,FALSE),"N/A")</f>
        <v>0.06</v>
      </c>
      <c r="N395" s="2805">
        <f t="shared" si="29"/>
        <v>0.23148148148148148</v>
      </c>
      <c r="O395" s="2806"/>
      <c r="P395" s="2807" t="str">
        <f>IF($D395="Logistics",VLOOKUP($O395,'Lower Cask Movement &amp; Logistics'!$C$4:$D$54,2,FALSE),"N/A")</f>
        <v>N/A</v>
      </c>
      <c r="R395" s="2765"/>
      <c r="S395" s="2765"/>
    </row>
    <row r="396" spans="1:19" s="2764" customFormat="1" ht="15" customHeight="1" outlineLevel="1" x14ac:dyDescent="0.4">
      <c r="A396" s="2951"/>
      <c r="B396" s="3864"/>
      <c r="C396" s="2797" t="s">
        <v>1733</v>
      </c>
      <c r="D396" s="2798" t="s">
        <v>3</v>
      </c>
      <c r="E396" s="2799">
        <f t="shared" si="28"/>
        <v>1.9</v>
      </c>
      <c r="F396" s="2799">
        <f>IF($D396="Trigger",VLOOKUP($C396,'Lower Cask Weld Failures'!$D$511:$G$558,4,FALSE),E396+F395)</f>
        <v>31.307415600938256</v>
      </c>
      <c r="G396" s="2800"/>
      <c r="H396" s="2801" t="s">
        <v>263</v>
      </c>
      <c r="I396" s="2802"/>
      <c r="J396" s="2798"/>
      <c r="K396" s="2798"/>
      <c r="L396" s="2803" t="str">
        <f>IFERROR(INDEX('Lower Cask Movement &amp; Logistics'!$I$13:$O$19,MATCH($J396,'Lower Cask Movement &amp; Logistics'!$H$13:$H$19,0),MATCH($K396,'Lower Cask Movement &amp; Logistics'!$H$13:$H$19,0)),"N/A")</f>
        <v>N/A</v>
      </c>
      <c r="M396" s="2804" t="str">
        <f>IFERROR(VLOOKUP($I396,'Lower Cask Movement &amp; Logistics'!$H$4:$I$8,2,FALSE),"N/A")</f>
        <v>N/A</v>
      </c>
      <c r="N396" s="2805" t="str">
        <f t="shared" si="29"/>
        <v>N/A</v>
      </c>
      <c r="O396" s="2806" t="s">
        <v>1734</v>
      </c>
      <c r="P396" s="2807">
        <f>IF($D396="Logistics",VLOOKUP($O396,'Lower Cask Movement &amp; Logistics'!$C$4:$D$54,2,FALSE),"N/A")</f>
        <v>1.9</v>
      </c>
      <c r="R396" s="2765"/>
      <c r="S396" s="2765"/>
    </row>
    <row r="397" spans="1:19" s="2764" customFormat="1" ht="15" customHeight="1" outlineLevel="1" x14ac:dyDescent="0.4">
      <c r="A397" s="2951"/>
      <c r="B397" s="3864"/>
      <c r="C397" s="2797" t="s">
        <v>1757</v>
      </c>
      <c r="D397" s="2798" t="s">
        <v>3</v>
      </c>
      <c r="E397" s="2799">
        <f t="shared" si="28"/>
        <v>0.88000000000000012</v>
      </c>
      <c r="F397" s="2799">
        <f>IF($D397="Trigger",VLOOKUP($C397,'Lower Cask Weld Failures'!$D$511:$G$558,4,FALSE),E397+F396)</f>
        <v>32.187415600938259</v>
      </c>
      <c r="G397" s="2800"/>
      <c r="H397" s="2801" t="s">
        <v>263</v>
      </c>
      <c r="I397" s="2802"/>
      <c r="J397" s="2798"/>
      <c r="K397" s="2798"/>
      <c r="L397" s="2803" t="str">
        <f>IFERROR(INDEX('Lower Cask Movement &amp; Logistics'!$I$13:$O$19,MATCH($J397,'Lower Cask Movement &amp; Logistics'!$H$13:$H$19,0),MATCH($K397,'Lower Cask Movement &amp; Logistics'!$H$13:$H$19,0)),"N/A")</f>
        <v>N/A</v>
      </c>
      <c r="M397" s="2804" t="str">
        <f>IFERROR(VLOOKUP($I397,'Lower Cask Movement &amp; Logistics'!$H$4:$I$8,2,FALSE),"N/A")</f>
        <v>N/A</v>
      </c>
      <c r="N397" s="2805" t="str">
        <f t="shared" si="29"/>
        <v>N/A</v>
      </c>
      <c r="O397" s="2806" t="s">
        <v>1736</v>
      </c>
      <c r="P397" s="2807">
        <f>IF($D397="Logistics",VLOOKUP($O397,'Lower Cask Movement &amp; Logistics'!$C$4:$D$54,2,FALSE),"N/A")</f>
        <v>0.88000000000000012</v>
      </c>
      <c r="R397" s="2765"/>
      <c r="S397" s="2765"/>
    </row>
    <row r="398" spans="1:19" s="2764" customFormat="1" ht="15" customHeight="1" outlineLevel="1" x14ac:dyDescent="0.4">
      <c r="A398" s="2951"/>
      <c r="B398" s="3864"/>
      <c r="C398" s="2798" t="s">
        <v>1562</v>
      </c>
      <c r="D398" s="2798" t="s">
        <v>3</v>
      </c>
      <c r="E398" s="2799">
        <f t="shared" si="28"/>
        <v>2.3000000000000003</v>
      </c>
      <c r="F398" s="2799">
        <f>IF($D398="Trigger",VLOOKUP($C398,'Lower Cask Weld Failures'!$D$511:$G$558,4,FALSE),E398+F397)</f>
        <v>34.487415600938256</v>
      </c>
      <c r="G398" s="2800"/>
      <c r="H398" s="2801" t="s">
        <v>263</v>
      </c>
      <c r="I398" s="2802"/>
      <c r="J398" s="2798"/>
      <c r="K398" s="2798"/>
      <c r="L398" s="2803" t="str">
        <f>IFERROR(INDEX('Lower Cask Movement &amp; Logistics'!$I$13:$O$19,MATCH($J398,'Lower Cask Movement &amp; Logistics'!$H$13:$H$19,0),MATCH($K398,'Lower Cask Movement &amp; Logistics'!$H$13:$H$19,0)),"N/A")</f>
        <v>N/A</v>
      </c>
      <c r="M398" s="2804" t="str">
        <f>IFERROR(VLOOKUP($I398,'Lower Cask Movement &amp; Logistics'!$H$4:$I$8,2,FALSE),"N/A")</f>
        <v>N/A</v>
      </c>
      <c r="N398" s="2805" t="str">
        <f t="shared" si="29"/>
        <v>N/A</v>
      </c>
      <c r="O398" s="2806" t="s">
        <v>1562</v>
      </c>
      <c r="P398" s="2807">
        <f>IF($D398="Logistics",VLOOKUP($O398,'Lower Cask Movement &amp; Logistics'!$C$4:$D$54,2,FALSE),"N/A")</f>
        <v>2.3000000000000003</v>
      </c>
      <c r="R398" s="2765"/>
      <c r="S398" s="2765"/>
    </row>
    <row r="399" spans="1:19" s="2764" customFormat="1" ht="15" customHeight="1" outlineLevel="1" x14ac:dyDescent="0.4">
      <c r="A399" s="2951"/>
      <c r="B399" s="3864"/>
      <c r="C399" s="2797" t="s">
        <v>1737</v>
      </c>
      <c r="D399" s="2798" t="s">
        <v>778</v>
      </c>
      <c r="E399" s="2799">
        <f t="shared" si="28"/>
        <v>2.7777777777777776E-2</v>
      </c>
      <c r="F399" s="2799">
        <f>IF($D399="Trigger",VLOOKUP($C399,'Lower Cask Weld Failures'!$D$511:$G$558,4,FALSE),E399+F398)</f>
        <v>34.515193378716035</v>
      </c>
      <c r="G399" s="2800"/>
      <c r="H399" s="2801" t="s">
        <v>263</v>
      </c>
      <c r="I399" s="2802" t="s">
        <v>1738</v>
      </c>
      <c r="J399" s="2798" t="s">
        <v>914</v>
      </c>
      <c r="K399" s="2798" t="s">
        <v>799</v>
      </c>
      <c r="L399" s="2803">
        <f>IFERROR(INDEX('Lower Cask Movement &amp; Logistics'!$I$13:$O$19,MATCH($J399,'Lower Cask Movement &amp; Logistics'!$H$13:$H$19,0),MATCH($K399,'Lower Cask Movement &amp; Logistics'!$H$13:$H$19,0)),"N/A")</f>
        <v>20</v>
      </c>
      <c r="M399" s="2804">
        <f>IFERROR(VLOOKUP($I399,'Lower Cask Movement &amp; Logistics'!$H$4:$I$8,2,FALSE),"N/A")</f>
        <v>0.2</v>
      </c>
      <c r="N399" s="2805">
        <f t="shared" si="29"/>
        <v>2.7777777777777776E-2</v>
      </c>
      <c r="O399" s="2806"/>
      <c r="P399" s="2807" t="str">
        <f>IF($D399="Logistics",VLOOKUP($O399,'Lower Cask Movement &amp; Logistics'!$C$4:$D$54,2,FALSE),"N/A")</f>
        <v>N/A</v>
      </c>
      <c r="R399" s="2765"/>
      <c r="S399" s="2765"/>
    </row>
    <row r="400" spans="1:19" s="2764" customFormat="1" ht="15" customHeight="1" outlineLevel="1" x14ac:dyDescent="0.4">
      <c r="A400" s="2951"/>
      <c r="B400" s="3864"/>
      <c r="C400" s="2797" t="s">
        <v>1330</v>
      </c>
      <c r="D400" s="2798" t="s">
        <v>3</v>
      </c>
      <c r="E400" s="2799">
        <f t="shared" si="28"/>
        <v>0.58000000000000007</v>
      </c>
      <c r="F400" s="2799">
        <f>IF($D400="Trigger",VLOOKUP($C400,'Lower Cask Weld Failures'!$D$511:$G$558,4,FALSE),E400+F399)</f>
        <v>35.095193378716033</v>
      </c>
      <c r="G400" s="2800"/>
      <c r="H400" s="2801" t="s">
        <v>263</v>
      </c>
      <c r="I400" s="2802"/>
      <c r="J400" s="2798"/>
      <c r="K400" s="2798"/>
      <c r="L400" s="2803" t="str">
        <f>IFERROR(INDEX('Lower Cask Movement &amp; Logistics'!$I$13:$O$19,MATCH($J400,'Lower Cask Movement &amp; Logistics'!$H$13:$H$19,0),MATCH($K400,'Lower Cask Movement &amp; Logistics'!$H$13:$H$19,0)),"N/A")</f>
        <v>N/A</v>
      </c>
      <c r="M400" s="2804" t="str">
        <f>IFERROR(VLOOKUP($I400,'Lower Cask Movement &amp; Logistics'!$H$4:$I$8,2,FALSE),"N/A")</f>
        <v>N/A</v>
      </c>
      <c r="N400" s="2805" t="str">
        <f t="shared" si="29"/>
        <v>N/A</v>
      </c>
      <c r="O400" s="2806" t="s">
        <v>1539</v>
      </c>
      <c r="P400" s="2807">
        <f>IF($D400="Logistics",VLOOKUP($O400,'Lower Cask Movement &amp; Logistics'!$C$4:$D$54,2,FALSE),"N/A")</f>
        <v>0.58000000000000007</v>
      </c>
      <c r="R400" s="2765"/>
      <c r="S400" s="2765"/>
    </row>
    <row r="401" spans="1:19" s="2764" customFormat="1" ht="15" customHeight="1" outlineLevel="1" x14ac:dyDescent="0.4">
      <c r="A401" s="2951"/>
      <c r="B401" s="3864"/>
      <c r="C401" s="2798" t="s">
        <v>1755</v>
      </c>
      <c r="D401" s="2798" t="s">
        <v>3</v>
      </c>
      <c r="E401" s="2803">
        <f t="shared" si="28"/>
        <v>0.78</v>
      </c>
      <c r="F401" s="2803">
        <f>IF($D401="Trigger",VLOOKUP($C401,'Lower Cask Weld Failures'!$D$511:$G$558,4,FALSE),E401+F400)</f>
        <v>35.875193378716034</v>
      </c>
      <c r="G401" s="2808"/>
      <c r="H401" s="2820" t="s">
        <v>263</v>
      </c>
      <c r="I401" s="2802"/>
      <c r="J401" s="2798"/>
      <c r="K401" s="2798"/>
      <c r="L401" s="2821" t="str">
        <f>IFERROR(INDEX('Lower Cask Movement &amp; Logistics'!$I$13:$O$19,MATCH($J401,'Lower Cask Movement &amp; Logistics'!$H$13:$H$19,0),MATCH($K401,'Lower Cask Movement &amp; Logistics'!$H$13:$H$19,0)),"N/A")</f>
        <v>N/A</v>
      </c>
      <c r="M401" s="2934" t="str">
        <f>IFERROR(VLOOKUP($I401,'Lower Cask Movement &amp; Logistics'!$H$4:$I$8,2,FALSE),"N/A")</f>
        <v>N/A</v>
      </c>
      <c r="N401" s="2799" t="str">
        <f t="shared" si="29"/>
        <v>N/A</v>
      </c>
      <c r="O401" s="2809" t="s">
        <v>1740</v>
      </c>
      <c r="P401" s="2805">
        <f>IF($D401="Logistics",VLOOKUP($O401,'Lower Cask Movement &amp; Logistics'!$C$4:$D$54,2,FALSE),"N/A")</f>
        <v>0.78</v>
      </c>
      <c r="R401" s="2765"/>
      <c r="S401" s="2765"/>
    </row>
    <row r="402" spans="1:19" s="2764" customFormat="1" ht="15" customHeight="1" outlineLevel="1" x14ac:dyDescent="0.4">
      <c r="A402" s="2951"/>
      <c r="B402" s="3864"/>
      <c r="C402" s="2798" t="s">
        <v>1756</v>
      </c>
      <c r="D402" s="2798" t="s">
        <v>778</v>
      </c>
      <c r="E402" s="2803">
        <f t="shared" si="28"/>
        <v>0.69444444444444442</v>
      </c>
      <c r="F402" s="2803">
        <f>IF($D402="Trigger",VLOOKUP($C402,'Lower Cask Weld Failures'!$D$511:$G$558,4,FALSE),E402+F401)</f>
        <v>36.569637823160477</v>
      </c>
      <c r="G402" s="2808"/>
      <c r="H402" s="2820" t="s">
        <v>263</v>
      </c>
      <c r="I402" s="2802" t="s">
        <v>1538</v>
      </c>
      <c r="J402" s="2798" t="s">
        <v>799</v>
      </c>
      <c r="K402" s="2798" t="s">
        <v>1203</v>
      </c>
      <c r="L402" s="2821">
        <f>IFERROR(INDEX('Lower Cask Movement &amp; Logistics'!$I$13:$O$19,MATCH($J402,'Lower Cask Movement &amp; Logistics'!$H$13:$H$19,0),MATCH($K402,'Lower Cask Movement &amp; Logistics'!$H$13:$H$19,0)),"N/A")</f>
        <v>50</v>
      </c>
      <c r="M402" s="2821">
        <f>IFERROR(VLOOKUP($I402,'Lower Cask Movement &amp; Logistics'!$H$4:$I$8,2,FALSE),"N/A")</f>
        <v>0.02</v>
      </c>
      <c r="N402" s="2799">
        <f t="shared" si="29"/>
        <v>0.69444444444444442</v>
      </c>
      <c r="O402" s="2809"/>
      <c r="P402" s="2805" t="str">
        <f>IF($D402="Logistics",VLOOKUP($O402,'Lower Cask Movement &amp; Logistics'!$C$4:$D$54,2,FALSE),"N/A")</f>
        <v>N/A</v>
      </c>
      <c r="R402" s="2765"/>
      <c r="S402" s="2765"/>
    </row>
    <row r="403" spans="1:19" s="2764" customFormat="1" ht="39.75" customHeight="1" outlineLevel="1" thickBot="1" x14ac:dyDescent="0.45">
      <c r="A403" s="2951"/>
      <c r="B403" s="3865"/>
      <c r="C403" s="2810" t="str">
        <f>B394</f>
        <v>failed Divertor Pipework Modules Stored;  Cassette Transport Cask Prepared; Cassette Transport Cask Moved to Lower Port</v>
      </c>
      <c r="D403" s="2810" t="s">
        <v>11</v>
      </c>
      <c r="E403" s="2811">
        <f t="shared" si="28"/>
        <v>0</v>
      </c>
      <c r="F403" s="2811">
        <f>IF($D403="Trigger",VLOOKUP($C403,'Lower Cask Weld Failures'!$D$511:$G$558,4,FALSE),E403+F402)</f>
        <v>36.569637823160477</v>
      </c>
      <c r="G403" s="2812"/>
      <c r="H403" s="2813" t="s">
        <v>263</v>
      </c>
      <c r="I403" s="2814"/>
      <c r="J403" s="2810"/>
      <c r="K403" s="2810"/>
      <c r="L403" s="2815" t="str">
        <f>IFERROR(INDEX('Lower Cask Movement &amp; Logistics'!$I$13:$O$19,MATCH($J403,'Lower Cask Movement &amp; Logistics'!$H$13:$H$19,0),MATCH($K403,'Lower Cask Movement &amp; Logistics'!$H$13:$H$19,0)),"N/A")</f>
        <v>N/A</v>
      </c>
      <c r="M403" s="2815" t="str">
        <f>IFERROR(VLOOKUP($I403,'Lower Cask Movement &amp; Logistics'!$H$4:$I$8,2,FALSE),"N/A")</f>
        <v>N/A</v>
      </c>
      <c r="N403" s="2816" t="str">
        <f t="shared" si="29"/>
        <v>N/A</v>
      </c>
      <c r="O403" s="2817"/>
      <c r="P403" s="2822" t="str">
        <f>IF($D403="Logistics",VLOOKUP($O403,'Lower Cask Movement &amp; Logistics'!$C$4:$D$54,2,FALSE),"N/A")</f>
        <v>N/A</v>
      </c>
      <c r="R403" s="2765"/>
      <c r="S403" s="2765"/>
    </row>
    <row r="404" spans="1:19" s="2764" customFormat="1" ht="15" customHeight="1" outlineLevel="1" x14ac:dyDescent="0.4">
      <c r="A404" s="2951"/>
      <c r="B404" s="3863" t="s">
        <v>1917</v>
      </c>
      <c r="C404" s="2788" t="s">
        <v>1608</v>
      </c>
      <c r="D404" s="2788" t="s">
        <v>907</v>
      </c>
      <c r="E404" s="2789">
        <f t="shared" si="28"/>
        <v>0</v>
      </c>
      <c r="F404" s="2789">
        <f>IF($D404="Trigger",VLOOKUP($C404,'Lower Cask Weld Failures'!$D$511:$G$558,4,FALSE),E404+F403)</f>
        <v>44.195934119456773</v>
      </c>
      <c r="G404" s="2790"/>
      <c r="H404" s="2791" t="s">
        <v>263</v>
      </c>
      <c r="I404" s="2792"/>
      <c r="J404" s="2788"/>
      <c r="K404" s="2788"/>
      <c r="L404" s="2793" t="str">
        <f>IFERROR(INDEX('Lower Cask Movement &amp; Logistics'!$I$13:$O$19,MATCH($J404,'Lower Cask Movement &amp; Logistics'!$H$13:$H$19,0),MATCH($K404,'Lower Cask Movement &amp; Logistics'!$H$13:$H$19,0)),"N/A")</f>
        <v>N/A</v>
      </c>
      <c r="M404" s="2933" t="str">
        <f>IFERROR(VLOOKUP($I404,'Lower Cask Movement &amp; Logistics'!$H$4:$I$8,2,FALSE),"N/A")</f>
        <v>N/A</v>
      </c>
      <c r="N404" s="2794" t="str">
        <f t="shared" si="29"/>
        <v>N/A</v>
      </c>
      <c r="O404" s="2795"/>
      <c r="P404" s="2796" t="str">
        <f>IF($D404="Logistics",VLOOKUP($O404,'Lower Cask Movement &amp; Logistics'!$C$4:$D$54,2,FALSE),"N/A")</f>
        <v>N/A</v>
      </c>
      <c r="R404" s="2765"/>
      <c r="S404" s="2765"/>
    </row>
    <row r="405" spans="1:19" s="2764" customFormat="1" ht="15" customHeight="1" outlineLevel="1" x14ac:dyDescent="0.4">
      <c r="A405" s="2951"/>
      <c r="B405" s="3864"/>
      <c r="C405" s="2797" t="s">
        <v>1732</v>
      </c>
      <c r="D405" s="2798" t="s">
        <v>778</v>
      </c>
      <c r="E405" s="2799">
        <f t="shared" si="28"/>
        <v>0.69444444444444442</v>
      </c>
      <c r="F405" s="2799">
        <f>IF($D405="Trigger",VLOOKUP($C405,'Lower Cask Weld Failures'!$D$511:$G$558,4,FALSE),E405+F404)</f>
        <v>44.890378563901216</v>
      </c>
      <c r="G405" s="2800"/>
      <c r="H405" s="2801" t="s">
        <v>263</v>
      </c>
      <c r="I405" s="2802" t="s">
        <v>1538</v>
      </c>
      <c r="J405" s="2798" t="s">
        <v>1203</v>
      </c>
      <c r="K405" s="2798" t="s">
        <v>914</v>
      </c>
      <c r="L405" s="2803">
        <f>IFERROR(INDEX('Lower Cask Movement &amp; Logistics'!$I$13:$O$19,MATCH($J405,'Lower Cask Movement &amp; Logistics'!$H$13:$H$19,0),MATCH($K405,'Lower Cask Movement &amp; Logistics'!$H$13:$H$19,0)),"N/A")</f>
        <v>50</v>
      </c>
      <c r="M405" s="2804">
        <f>IFERROR(VLOOKUP($I405,'Lower Cask Movement &amp; Logistics'!$H$4:$I$8,2,FALSE),"N/A")</f>
        <v>0.02</v>
      </c>
      <c r="N405" s="2805">
        <f t="shared" si="29"/>
        <v>0.69444444444444442</v>
      </c>
      <c r="O405" s="2806"/>
      <c r="P405" s="2807" t="str">
        <f>IF($D405="Logistics",VLOOKUP($O405,'Lower Cask Movement &amp; Logistics'!$C$4:$D$54,2,FALSE),"N/A")</f>
        <v>N/A</v>
      </c>
      <c r="R405" s="2765"/>
      <c r="S405" s="2765"/>
    </row>
    <row r="406" spans="1:19" s="2764" customFormat="1" ht="15" customHeight="1" outlineLevel="1" x14ac:dyDescent="0.4">
      <c r="A406" s="2951"/>
      <c r="B406" s="3864"/>
      <c r="C406" s="2797" t="s">
        <v>1733</v>
      </c>
      <c r="D406" s="2798" t="s">
        <v>3</v>
      </c>
      <c r="E406" s="2799">
        <f t="shared" si="28"/>
        <v>1.9</v>
      </c>
      <c r="F406" s="2799">
        <f>IF($D406="Trigger",VLOOKUP($C406,'Lower Cask Weld Failures'!$D$511:$G$558,4,FALSE),E406+F405)</f>
        <v>46.790378563901214</v>
      </c>
      <c r="G406" s="2800"/>
      <c r="H406" s="2801" t="s">
        <v>263</v>
      </c>
      <c r="I406" s="2802"/>
      <c r="J406" s="2798"/>
      <c r="K406" s="2798"/>
      <c r="L406" s="2803" t="str">
        <f>IFERROR(INDEX('Lower Cask Movement &amp; Logistics'!$I$13:$O$19,MATCH($J406,'Lower Cask Movement &amp; Logistics'!$H$13:$H$19,0),MATCH($K406,'Lower Cask Movement &amp; Logistics'!$H$13:$H$19,0)),"N/A")</f>
        <v>N/A</v>
      </c>
      <c r="M406" s="2804" t="str">
        <f>IFERROR(VLOOKUP($I406,'Lower Cask Movement &amp; Logistics'!$H$4:$I$8,2,FALSE),"N/A")</f>
        <v>N/A</v>
      </c>
      <c r="N406" s="2805" t="str">
        <f t="shared" si="29"/>
        <v>N/A</v>
      </c>
      <c r="O406" s="2806" t="s">
        <v>1734</v>
      </c>
      <c r="P406" s="2807">
        <f>IF($D406="Logistics",VLOOKUP($O406,'Lower Cask Movement &amp; Logistics'!$C$4:$D$54,2,FALSE),"N/A")</f>
        <v>1.9</v>
      </c>
      <c r="R406" s="2765"/>
      <c r="S406" s="2765"/>
    </row>
    <row r="407" spans="1:19" s="2764" customFormat="1" ht="15" customHeight="1" outlineLevel="1" x14ac:dyDescent="0.4">
      <c r="A407" s="2951"/>
      <c r="B407" s="3864"/>
      <c r="C407" s="2798" t="s">
        <v>1986</v>
      </c>
      <c r="D407" s="2798" t="s">
        <v>3</v>
      </c>
      <c r="E407" s="2799">
        <f t="shared" si="28"/>
        <v>0.88000000000000012</v>
      </c>
      <c r="F407" s="2799">
        <f>IF($D407="Trigger",VLOOKUP($C407,'Lower Cask Weld Failures'!$D$511:$G$558,4,FALSE),E407+F406)</f>
        <v>47.670378563901217</v>
      </c>
      <c r="G407" s="2808"/>
      <c r="H407" s="2801" t="s">
        <v>263</v>
      </c>
      <c r="I407" s="2802"/>
      <c r="J407" s="2798"/>
      <c r="K407" s="2798"/>
      <c r="L407" s="2803" t="str">
        <f>IFERROR(INDEX('Lower Cask Movement &amp; Logistics'!$I$13:$O$19,MATCH($J407,'Lower Cask Movement &amp; Logistics'!$H$13:$H$19,0),MATCH($K407,'Lower Cask Movement &amp; Logistics'!$H$13:$H$19,0)),"N/A")</f>
        <v>N/A</v>
      </c>
      <c r="M407" s="2804" t="str">
        <f>IFERROR(VLOOKUP($I407,'Lower Cask Movement &amp; Logistics'!$H$4:$I$8,2,FALSE),"N/A")</f>
        <v>N/A</v>
      </c>
      <c r="N407" s="2805" t="str">
        <f t="shared" si="29"/>
        <v>N/A</v>
      </c>
      <c r="O407" s="2809" t="s">
        <v>1960</v>
      </c>
      <c r="P407" s="2807">
        <f>IF($D407="Logistics",VLOOKUP($O407,'Lower Cask Movement &amp; Logistics'!$C$4:$D$54,2,FALSE),"N/A")</f>
        <v>0.88000000000000012</v>
      </c>
      <c r="R407" s="2765"/>
      <c r="S407" s="2765"/>
    </row>
    <row r="408" spans="1:19" s="2764" customFormat="1" ht="15" customHeight="1" outlineLevel="1" x14ac:dyDescent="0.4">
      <c r="A408" s="2951"/>
      <c r="B408" s="3864"/>
      <c r="C408" s="2798" t="s">
        <v>1562</v>
      </c>
      <c r="D408" s="2798" t="s">
        <v>3</v>
      </c>
      <c r="E408" s="2799">
        <f t="shared" si="28"/>
        <v>2.3000000000000003</v>
      </c>
      <c r="F408" s="2799">
        <f>IF($D408="Trigger",VLOOKUP($C408,'Lower Cask Weld Failures'!$D$511:$G$558,4,FALSE),E408+F407)</f>
        <v>49.970378563901214</v>
      </c>
      <c r="G408" s="2808"/>
      <c r="H408" s="2801" t="s">
        <v>263</v>
      </c>
      <c r="I408" s="2802"/>
      <c r="J408" s="2798"/>
      <c r="K408" s="2798"/>
      <c r="L408" s="2803" t="str">
        <f>IFERROR(INDEX('Lower Cask Movement &amp; Logistics'!$I$13:$O$19,MATCH($J408,'Lower Cask Movement &amp; Logistics'!$H$13:$H$19,0),MATCH($K408,'Lower Cask Movement &amp; Logistics'!$H$13:$H$19,0)),"N/A")</f>
        <v>N/A</v>
      </c>
      <c r="M408" s="2804" t="str">
        <f>IFERROR(VLOOKUP($I408,'Lower Cask Movement &amp; Logistics'!$H$4:$I$8,2,FALSE),"N/A")</f>
        <v>N/A</v>
      </c>
      <c r="N408" s="2805" t="str">
        <f t="shared" si="29"/>
        <v>N/A</v>
      </c>
      <c r="O408" s="2809" t="s">
        <v>1562</v>
      </c>
      <c r="P408" s="2807">
        <f>IF($D408="Logistics",VLOOKUP($O408,'Lower Cask Movement &amp; Logistics'!$C$4:$D$54,2,FALSE),"N/A")</f>
        <v>2.3000000000000003</v>
      </c>
      <c r="R408" s="2765"/>
      <c r="S408" s="2765"/>
    </row>
    <row r="409" spans="1:19" s="2764" customFormat="1" ht="15" customHeight="1" outlineLevel="1" x14ac:dyDescent="0.4">
      <c r="A409" s="2951"/>
      <c r="B409" s="3864"/>
      <c r="C409" s="2798" t="s">
        <v>1737</v>
      </c>
      <c r="D409" s="2798" t="s">
        <v>778</v>
      </c>
      <c r="E409" s="2799">
        <f t="shared" si="28"/>
        <v>2.7777777777777776E-2</v>
      </c>
      <c r="F409" s="2799">
        <f>IF($D409="Trigger",VLOOKUP($C409,'Lower Cask Weld Failures'!$D$511:$G$558,4,FALSE),E409+F408)</f>
        <v>49.998156341678992</v>
      </c>
      <c r="G409" s="2808"/>
      <c r="H409" s="2801" t="s">
        <v>263</v>
      </c>
      <c r="I409" s="2802" t="s">
        <v>1738</v>
      </c>
      <c r="J409" s="2798" t="s">
        <v>914</v>
      </c>
      <c r="K409" s="2798" t="s">
        <v>799</v>
      </c>
      <c r="L409" s="2803">
        <f>IFERROR(INDEX('Lower Cask Movement &amp; Logistics'!$I$13:$O$19,MATCH($J409,'Lower Cask Movement &amp; Logistics'!$H$13:$H$19,0),MATCH($K409,'Lower Cask Movement &amp; Logistics'!$H$13:$H$19,0)),"N/A")</f>
        <v>20</v>
      </c>
      <c r="M409" s="2804">
        <f>IFERROR(VLOOKUP($I409,'Lower Cask Movement &amp; Logistics'!$H$4:$I$8,2,FALSE),"N/A")</f>
        <v>0.2</v>
      </c>
      <c r="N409" s="2805">
        <f t="shared" si="29"/>
        <v>2.7777777777777776E-2</v>
      </c>
      <c r="O409" s="2809"/>
      <c r="P409" s="2807" t="str">
        <f>IF($D409="Logistics",VLOOKUP($O409,'Lower Cask Movement &amp; Logistics'!$C$4:$D$54,2,FALSE),"N/A")</f>
        <v>N/A</v>
      </c>
      <c r="R409" s="2765"/>
      <c r="S409" s="2765"/>
    </row>
    <row r="410" spans="1:19" s="2764" customFormat="1" ht="15" customHeight="1" outlineLevel="1" x14ac:dyDescent="0.4">
      <c r="A410" s="2952"/>
      <c r="B410" s="3864"/>
      <c r="C410" s="2798" t="s">
        <v>1733</v>
      </c>
      <c r="D410" s="2798" t="s">
        <v>3</v>
      </c>
      <c r="E410" s="2799">
        <f t="shared" si="28"/>
        <v>1.9</v>
      </c>
      <c r="F410" s="2799">
        <f>IF($D410="Trigger",VLOOKUP($C410,'Lower Cask Weld Failures'!$D$511:$G$558,4,FALSE),E410+F409)</f>
        <v>51.898156341678991</v>
      </c>
      <c r="G410" s="2808"/>
      <c r="H410" s="2801" t="s">
        <v>263</v>
      </c>
      <c r="I410" s="2802"/>
      <c r="J410" s="2798"/>
      <c r="K410" s="2798"/>
      <c r="L410" s="2803" t="str">
        <f>IFERROR(INDEX('Lower Cask Movement &amp; Logistics'!$I$13:$O$19,MATCH($J410,'Lower Cask Movement &amp; Logistics'!$H$13:$H$19,0),MATCH($K410,'Lower Cask Movement &amp; Logistics'!$H$13:$H$19,0)),"N/A")</f>
        <v>N/A</v>
      </c>
      <c r="M410" s="2804" t="str">
        <f>IFERROR(VLOOKUP($I410,'Lower Cask Movement &amp; Logistics'!$H$4:$I$8,2,FALSE),"N/A")</f>
        <v>N/A</v>
      </c>
      <c r="N410" s="2805" t="str">
        <f t="shared" si="29"/>
        <v>N/A</v>
      </c>
      <c r="O410" s="2809" t="s">
        <v>1734</v>
      </c>
      <c r="P410" s="2807">
        <f>IF($D410="Logistics",VLOOKUP($O410,'Lower Cask Movement &amp; Logistics'!$C$4:$D$54,2,FALSE),"N/A")</f>
        <v>1.9</v>
      </c>
      <c r="R410" s="2765"/>
      <c r="S410" s="2765"/>
    </row>
    <row r="411" spans="1:19" s="2764" customFormat="1" ht="15" customHeight="1" outlineLevel="1" x14ac:dyDescent="0.4">
      <c r="A411" s="2952"/>
      <c r="B411" s="3864"/>
      <c r="C411" s="2798" t="s">
        <v>1987</v>
      </c>
      <c r="D411" s="2798" t="s">
        <v>3</v>
      </c>
      <c r="E411" s="2799">
        <f t="shared" si="28"/>
        <v>0.88000000000000012</v>
      </c>
      <c r="F411" s="2799">
        <f>IF($D411="Trigger",VLOOKUP($C411,'Lower Cask Weld Failures'!$D$511:$G$558,4,FALSE),E411+F410)</f>
        <v>52.778156341678994</v>
      </c>
      <c r="G411" s="2808"/>
      <c r="H411" s="2801" t="s">
        <v>263</v>
      </c>
      <c r="I411" s="2802"/>
      <c r="J411" s="2798"/>
      <c r="K411" s="2798"/>
      <c r="L411" s="2803" t="str">
        <f>IFERROR(INDEX('Lower Cask Movement &amp; Logistics'!$I$13:$O$19,MATCH($J411,'Lower Cask Movement &amp; Logistics'!$H$13:$H$19,0),MATCH($K411,'Lower Cask Movement &amp; Logistics'!$H$13:$H$19,0)),"N/A")</f>
        <v>N/A</v>
      </c>
      <c r="M411" s="2804" t="str">
        <f>IFERROR(VLOOKUP($I411,'Lower Cask Movement &amp; Logistics'!$H$4:$I$8,2,FALSE),"N/A")</f>
        <v>N/A</v>
      </c>
      <c r="N411" s="2805" t="str">
        <f t="shared" si="29"/>
        <v>N/A</v>
      </c>
      <c r="O411" s="2809" t="s">
        <v>1730</v>
      </c>
      <c r="P411" s="2807">
        <f>IF($D411="Logistics",VLOOKUP($O411,'Lower Cask Movement &amp; Logistics'!$C$4:$D$54,2,FALSE),"N/A")</f>
        <v>0.88000000000000012</v>
      </c>
      <c r="R411" s="2765"/>
      <c r="S411" s="2765"/>
    </row>
    <row r="412" spans="1:19" s="2764" customFormat="1" ht="15" customHeight="1" outlineLevel="1" x14ac:dyDescent="0.4">
      <c r="A412" s="2952"/>
      <c r="B412" s="3864"/>
      <c r="C412" s="2798" t="s">
        <v>1562</v>
      </c>
      <c r="D412" s="2798" t="s">
        <v>3</v>
      </c>
      <c r="E412" s="2799">
        <f t="shared" si="28"/>
        <v>2.3000000000000003</v>
      </c>
      <c r="F412" s="2799">
        <f>IF($D412="Trigger",VLOOKUP($C412,'Lower Cask Weld Failures'!$D$511:$G$558,4,FALSE),E412+F411)</f>
        <v>55.078156341678991</v>
      </c>
      <c r="G412" s="2808"/>
      <c r="H412" s="2801" t="s">
        <v>263</v>
      </c>
      <c r="I412" s="2802"/>
      <c r="J412" s="2798"/>
      <c r="K412" s="2798"/>
      <c r="L412" s="2803" t="str">
        <f>IFERROR(INDEX('Lower Cask Movement &amp; Logistics'!$I$13:$O$19,MATCH($J412,'Lower Cask Movement &amp; Logistics'!$H$13:$H$19,0),MATCH($K412,'Lower Cask Movement &amp; Logistics'!$H$13:$H$19,0)),"N/A")</f>
        <v>N/A</v>
      </c>
      <c r="M412" s="2804" t="str">
        <f>IFERROR(VLOOKUP($I412,'Lower Cask Movement &amp; Logistics'!$H$4:$I$8,2,FALSE),"N/A")</f>
        <v>N/A</v>
      </c>
      <c r="N412" s="2805" t="str">
        <f t="shared" si="29"/>
        <v>N/A</v>
      </c>
      <c r="O412" s="2809" t="s">
        <v>1562</v>
      </c>
      <c r="P412" s="2807">
        <f>IF($D412="Logistics",VLOOKUP($O412,'Lower Cask Movement &amp; Logistics'!$C$4:$D$54,2,FALSE),"N/A")</f>
        <v>2.3000000000000003</v>
      </c>
      <c r="R412" s="2765"/>
      <c r="S412" s="2765"/>
    </row>
    <row r="413" spans="1:19" s="2764" customFormat="1" ht="26.25" customHeight="1" outlineLevel="1" x14ac:dyDescent="0.4">
      <c r="A413" s="2952"/>
      <c r="B413" s="3864"/>
      <c r="C413" s="2798" t="s">
        <v>1756</v>
      </c>
      <c r="D413" s="2798" t="s">
        <v>778</v>
      </c>
      <c r="E413" s="2799">
        <f t="shared" si="28"/>
        <v>0.23148148148148148</v>
      </c>
      <c r="F413" s="2799">
        <f>IF($D413="Trigger",VLOOKUP($C413,'Lower Cask Weld Failures'!$D$511:$G$558,4,FALSE),E413+F412)</f>
        <v>55.309637823160472</v>
      </c>
      <c r="G413" s="2808"/>
      <c r="H413" s="2820" t="s">
        <v>263</v>
      </c>
      <c r="I413" s="2802" t="s">
        <v>1536</v>
      </c>
      <c r="J413" s="2798" t="s">
        <v>799</v>
      </c>
      <c r="K413" s="2798" t="s">
        <v>1203</v>
      </c>
      <c r="L413" s="2803">
        <f>IFERROR(INDEX('Lower Cask Movement &amp; Logistics'!$I$13:$O$19,MATCH($J413,'Lower Cask Movement &amp; Logistics'!$H$13:$H$19,0),MATCH($K413,'Lower Cask Movement &amp; Logistics'!$H$13:$H$19,0)),"N/A")</f>
        <v>50</v>
      </c>
      <c r="M413" s="2804">
        <f>IFERROR(VLOOKUP($I413,'Lower Cask Movement &amp; Logistics'!$H$4:$I$8,2,FALSE),"N/A")</f>
        <v>0.06</v>
      </c>
      <c r="N413" s="2805">
        <f t="shared" si="29"/>
        <v>0.23148148148148148</v>
      </c>
      <c r="O413" s="2809"/>
      <c r="P413" s="2807" t="str">
        <f>IF($D413="Logistics",VLOOKUP($O413,'Lower Cask Movement &amp; Logistics'!$C$4:$D$54,2,FALSE),"N/A")</f>
        <v>N/A</v>
      </c>
      <c r="R413" s="2765"/>
      <c r="S413" s="2765"/>
    </row>
    <row r="414" spans="1:19" s="2764" customFormat="1" ht="27" customHeight="1" outlineLevel="1" thickBot="1" x14ac:dyDescent="0.45">
      <c r="A414" s="2952"/>
      <c r="B414" s="3865"/>
      <c r="C414" s="2810" t="str">
        <f>B404</f>
        <v>Central Cassette Stored; Replacement Cassette collected; Transport Cask Moved to Lower Port</v>
      </c>
      <c r="D414" s="2810" t="s">
        <v>11</v>
      </c>
      <c r="E414" s="2811">
        <f t="shared" si="28"/>
        <v>0</v>
      </c>
      <c r="F414" s="2811">
        <f>IF($D414="Trigger",VLOOKUP($C414,'Lower Cask Weld Failures'!$D$511:$G$558,4,FALSE),E414+F413)</f>
        <v>55.309637823160472</v>
      </c>
      <c r="G414" s="2812"/>
      <c r="H414" s="2813" t="s">
        <v>263</v>
      </c>
      <c r="I414" s="2814"/>
      <c r="J414" s="2810"/>
      <c r="K414" s="2810"/>
      <c r="L414" s="2815" t="str">
        <f>IFERROR(INDEX('Lower Cask Movement &amp; Logistics'!$I$13:$O$19,MATCH($J414,'Lower Cask Movement &amp; Logistics'!$H$13:$H$19,0),MATCH($K414,'Lower Cask Movement &amp; Logistics'!$H$13:$H$19,0)),"N/A")</f>
        <v>N/A</v>
      </c>
      <c r="M414" s="2815" t="str">
        <f>IFERROR(VLOOKUP($I414,'Lower Cask Movement &amp; Logistics'!$H$4:$I$8,2,FALSE),"N/A")</f>
        <v>N/A</v>
      </c>
      <c r="N414" s="2816" t="str">
        <f t="shared" si="29"/>
        <v>N/A</v>
      </c>
      <c r="O414" s="2817"/>
      <c r="P414" s="2822" t="str">
        <f>IF($D414="Logistics",VLOOKUP($O414,'Lower Cask Movement &amp; Logistics'!$C$4:$D$54,2,FALSE),"N/A")</f>
        <v>N/A</v>
      </c>
      <c r="R414" s="2765"/>
      <c r="S414" s="2765"/>
    </row>
    <row r="415" spans="1:19" ht="12.75" customHeight="1" outlineLevel="1" x14ac:dyDescent="0.4">
      <c r="A415" s="2951"/>
      <c r="B415" s="3863" t="s">
        <v>1926</v>
      </c>
      <c r="C415" s="2823" t="s">
        <v>1686</v>
      </c>
      <c r="D415" s="2823" t="s">
        <v>907</v>
      </c>
      <c r="E415" s="2935">
        <f t="shared" si="28"/>
        <v>0</v>
      </c>
      <c r="F415" s="2936">
        <f>IF($D415="Trigger",VLOOKUP($C415,'Lower Cask Weld Failures'!$D$511:$G$558,4,FALSE),E415+F414)</f>
        <v>73.189637823160453</v>
      </c>
      <c r="G415" s="2937"/>
      <c r="H415" s="2938" t="s">
        <v>263</v>
      </c>
      <c r="I415" s="2939"/>
      <c r="J415" s="2939"/>
      <c r="K415" s="2939"/>
      <c r="L415" s="2935" t="str">
        <f>IFERROR(INDEX('Lower Cask Movement &amp; Logistics'!$I$13:$O$19,MATCH($J415,'Lower Cask Movement &amp; Logistics'!$H$13:$H$19,0),MATCH($K415,'Lower Cask Movement &amp; Logistics'!$H$13:$H$19,0)),"N/A")</f>
        <v>N/A</v>
      </c>
      <c r="M415" s="2935" t="str">
        <f>IFERROR(VLOOKUP($I415,'Lower Cask Movement &amp; Logistics'!$H$4:$I$8,2,FALSE),"N/A")</f>
        <v>N/A</v>
      </c>
      <c r="N415" s="2935" t="str">
        <f t="shared" si="29"/>
        <v>N/A</v>
      </c>
      <c r="O415" s="2940"/>
      <c r="P415" s="2936" t="str">
        <f>IF($D415="Logistics",VLOOKUP($O415,'Lower Cask Movement &amp; Logistics'!$C$4:$D$54,2,FALSE),"N/A")</f>
        <v>N/A</v>
      </c>
    </row>
    <row r="416" spans="1:19" ht="25.5" customHeight="1" outlineLevel="1" x14ac:dyDescent="0.4">
      <c r="A416" s="2951"/>
      <c r="B416" s="3864"/>
      <c r="C416" s="2941" t="s">
        <v>1976</v>
      </c>
      <c r="D416" s="2941" t="s">
        <v>778</v>
      </c>
      <c r="E416" s="2826">
        <f t="shared" si="28"/>
        <v>0.23148148148148148</v>
      </c>
      <c r="F416" s="2805">
        <f>IF($D416="Trigger",VLOOKUP($C416,'Lower Cask Weld Failures'!$D$511:$G$558,4,FALSE),E416+F415)</f>
        <v>73.421119304641934</v>
      </c>
      <c r="G416" s="2808"/>
      <c r="H416" s="2820" t="s">
        <v>263</v>
      </c>
      <c r="I416" s="2825" t="s">
        <v>1962</v>
      </c>
      <c r="J416" s="2825" t="s">
        <v>1203</v>
      </c>
      <c r="K416" s="2825" t="s">
        <v>1977</v>
      </c>
      <c r="L416" s="2826">
        <f>IFERROR(INDEX('Lower Cask Movement &amp; Logistics'!$I$13:$O$19,MATCH($J416,'Lower Cask Movement &amp; Logistics'!$H$13:$H$19,0),MATCH($K416,'Lower Cask Movement &amp; Logistics'!$H$13:$H$19,0)),"N/A")</f>
        <v>50</v>
      </c>
      <c r="M416" s="2826">
        <f>IFERROR(VLOOKUP($I416,'Lower Cask Movement &amp; Logistics'!$H$4:$I$8,2,FALSE),"N/A")</f>
        <v>0.06</v>
      </c>
      <c r="N416" s="2826">
        <f t="shared" si="29"/>
        <v>0.23148148148148148</v>
      </c>
      <c r="O416" s="2809"/>
      <c r="P416" s="2805" t="str">
        <f>IF($D416="Logistics",VLOOKUP($O416,'Lower Cask Movement &amp; Logistics'!$C$4:$D$54,2,FALSE),"N/A")</f>
        <v>N/A</v>
      </c>
    </row>
    <row r="417" spans="1:16" ht="12.75" customHeight="1" outlineLevel="1" x14ac:dyDescent="0.4">
      <c r="A417" s="2951"/>
      <c r="B417" s="3864"/>
      <c r="C417" s="2941" t="s">
        <v>1978</v>
      </c>
      <c r="D417" s="2825" t="s">
        <v>3</v>
      </c>
      <c r="E417" s="2826">
        <f t="shared" si="28"/>
        <v>0.58000000000000007</v>
      </c>
      <c r="F417" s="2805">
        <f>IF($D417="Trigger",VLOOKUP($C417,'Lower Cask Weld Failures'!$D$511:$G$558,4,FALSE),E417+F416)</f>
        <v>74.001119304641932</v>
      </c>
      <c r="G417" s="2808"/>
      <c r="H417" s="2820" t="s">
        <v>263</v>
      </c>
      <c r="I417" s="2825"/>
      <c r="J417" s="2825"/>
      <c r="K417" s="2825"/>
      <c r="L417" s="2826" t="str">
        <f>IFERROR(INDEX('Lower Cask Movement &amp; Logistics'!$I$13:$O$19,MATCH($J417,'Lower Cask Movement &amp; Logistics'!$H$13:$H$19,0),MATCH($K417,'Lower Cask Movement &amp; Logistics'!$H$13:$H$19,0)),"N/A")</f>
        <v>N/A</v>
      </c>
      <c r="M417" s="2826" t="str">
        <f>IFERROR(VLOOKUP($I417,'Lower Cask Movement &amp; Logistics'!$H$4:$I$8,2,FALSE),"N/A")</f>
        <v>N/A</v>
      </c>
      <c r="N417" s="2826" t="str">
        <f t="shared" si="29"/>
        <v>N/A</v>
      </c>
      <c r="O417" s="2809" t="s">
        <v>1971</v>
      </c>
      <c r="P417" s="2805">
        <f>IF($D417="Logistics",VLOOKUP($O417,'Lower Cask Movement &amp; Logistics'!$C$4:$D$54,2,FALSE),"N/A")</f>
        <v>0.58000000000000007</v>
      </c>
    </row>
    <row r="418" spans="1:16" ht="12.75" customHeight="1" outlineLevel="1" x14ac:dyDescent="0.4">
      <c r="A418" s="2951"/>
      <c r="B418" s="3864"/>
      <c r="C418" s="2941" t="s">
        <v>1979</v>
      </c>
      <c r="D418" s="2825" t="s">
        <v>778</v>
      </c>
      <c r="E418" s="2826">
        <f t="shared" si="28"/>
        <v>2.7777777777777776E-2</v>
      </c>
      <c r="F418" s="2805">
        <f>IF($D418="Trigger",VLOOKUP($C418,'Lower Cask Weld Failures'!$D$511:$G$558,4,FALSE),E418+F417)</f>
        <v>74.028897082419704</v>
      </c>
      <c r="G418" s="2808"/>
      <c r="H418" s="2820" t="s">
        <v>263</v>
      </c>
      <c r="I418" s="2825" t="s">
        <v>1831</v>
      </c>
      <c r="J418" s="2825" t="s">
        <v>1977</v>
      </c>
      <c r="K418" s="2825" t="s">
        <v>1975</v>
      </c>
      <c r="L418" s="2826">
        <f>IFERROR(INDEX('Lower Cask Movement &amp; Logistics'!$I$13:$O$19,MATCH($J418,'Lower Cask Movement &amp; Logistics'!$H$13:$H$19,0),MATCH($K418,'Lower Cask Movement &amp; Logistics'!$H$13:$H$19,0)),"N/A")</f>
        <v>20</v>
      </c>
      <c r="M418" s="2826">
        <f>IFERROR(VLOOKUP($I418,'Lower Cask Movement &amp; Logistics'!$H$4:$I$8,2,FALSE),"N/A")</f>
        <v>0.2</v>
      </c>
      <c r="N418" s="2826">
        <f t="shared" si="29"/>
        <v>2.7777777777777776E-2</v>
      </c>
      <c r="O418" s="2809"/>
      <c r="P418" s="2805" t="str">
        <f>IF($D418="Logistics",VLOOKUP($O418,'Lower Cask Movement &amp; Logistics'!$C$4:$D$54,2,FALSE),"N/A")</f>
        <v>N/A</v>
      </c>
    </row>
    <row r="419" spans="1:16" ht="12.75" customHeight="1" outlineLevel="1" x14ac:dyDescent="0.4">
      <c r="A419" s="2951"/>
      <c r="B419" s="3864"/>
      <c r="C419" s="2941" t="s">
        <v>1980</v>
      </c>
      <c r="D419" s="2825" t="s">
        <v>3</v>
      </c>
      <c r="E419" s="2826">
        <f t="shared" si="28"/>
        <v>0.78</v>
      </c>
      <c r="F419" s="2805">
        <f>IF($D419="Trigger",VLOOKUP($C419,'Lower Cask Weld Failures'!$D$511:$G$558,4,FALSE),E419+F418)</f>
        <v>74.808897082419705</v>
      </c>
      <c r="G419" s="2808"/>
      <c r="H419" s="2820" t="s">
        <v>263</v>
      </c>
      <c r="I419" s="2825"/>
      <c r="J419" s="2825"/>
      <c r="K419" s="2825"/>
      <c r="L419" s="2826" t="str">
        <f>IFERROR(INDEX('Lower Cask Movement &amp; Logistics'!$I$13:$O$19,MATCH($J419,'Lower Cask Movement &amp; Logistics'!$H$13:$H$19,0),MATCH($K419,'Lower Cask Movement &amp; Logistics'!$H$13:$H$19,0)),"N/A")</f>
        <v>N/A</v>
      </c>
      <c r="M419" s="2826" t="str">
        <f>IFERROR(VLOOKUP($I419,'Lower Cask Movement &amp; Logistics'!$H$4:$I$8,2,FALSE),"N/A")</f>
        <v>N/A</v>
      </c>
      <c r="N419" s="2826" t="str">
        <f t="shared" si="29"/>
        <v>N/A</v>
      </c>
      <c r="O419" s="2809" t="s">
        <v>1973</v>
      </c>
      <c r="P419" s="2805">
        <f>IF($D419="Logistics",VLOOKUP($O419,'Lower Cask Movement &amp; Logistics'!$C$4:$D$54,2,FALSE),"N/A")</f>
        <v>0.78</v>
      </c>
    </row>
    <row r="420" spans="1:16" ht="25.5" customHeight="1" outlineLevel="1" x14ac:dyDescent="0.4">
      <c r="A420" s="2951"/>
      <c r="B420" s="3864"/>
      <c r="C420" s="2941" t="s">
        <v>1981</v>
      </c>
      <c r="D420" s="2825" t="s">
        <v>778</v>
      </c>
      <c r="E420" s="2826">
        <f t="shared" si="28"/>
        <v>9.2592592592592601E-2</v>
      </c>
      <c r="F420" s="2805">
        <f>IF($D420="Trigger",VLOOKUP($C420,'Lower Cask Weld Failures'!$D$511:$G$558,4,FALSE),E420+F419)</f>
        <v>74.9014896750123</v>
      </c>
      <c r="G420" s="2808"/>
      <c r="H420" s="2820" t="s">
        <v>263</v>
      </c>
      <c r="I420" s="2825" t="s">
        <v>1962</v>
      </c>
      <c r="J420" s="2825" t="s">
        <v>1778</v>
      </c>
      <c r="K420" s="2825" t="s">
        <v>1957</v>
      </c>
      <c r="L420" s="2826">
        <f>IFERROR(INDEX('Lower Cask Movement &amp; Logistics'!$I$13:$O$19,MATCH($J420,'Lower Cask Movement &amp; Logistics'!$H$13:$H$19,0),MATCH($K420,'Lower Cask Movement &amp; Logistics'!$H$13:$H$19,0)),"N/A")</f>
        <v>20</v>
      </c>
      <c r="M420" s="2826">
        <f>IFERROR(VLOOKUP($I420,'Lower Cask Movement &amp; Logistics'!$H$4:$I$8,2,FALSE),"N/A")</f>
        <v>0.06</v>
      </c>
      <c r="N420" s="2826">
        <f t="shared" si="29"/>
        <v>9.2592592592592601E-2</v>
      </c>
      <c r="O420" s="2809"/>
      <c r="P420" s="2805" t="str">
        <f>IF($D420="Logistics",VLOOKUP($O420,'Lower Cask Movement &amp; Logistics'!$C$4:$D$54,2,FALSE),"N/A")</f>
        <v>N/A</v>
      </c>
    </row>
    <row r="421" spans="1:16" ht="12.75" customHeight="1" outlineLevel="1" x14ac:dyDescent="0.4">
      <c r="A421" s="2951"/>
      <c r="B421" s="3864"/>
      <c r="C421" s="2941" t="s">
        <v>1958</v>
      </c>
      <c r="D421" s="2825" t="s">
        <v>3</v>
      </c>
      <c r="E421" s="2826">
        <f t="shared" si="28"/>
        <v>1.9</v>
      </c>
      <c r="F421" s="2805">
        <f>IF($D421="Trigger",VLOOKUP($C421,'Lower Cask Weld Failures'!$D$511:$G$558,4,FALSE),E421+F420)</f>
        <v>76.801489675012306</v>
      </c>
      <c r="G421" s="2808"/>
      <c r="H421" s="2820" t="s">
        <v>263</v>
      </c>
      <c r="I421" s="2825"/>
      <c r="J421" s="2825"/>
      <c r="K421" s="2825"/>
      <c r="L421" s="2826" t="str">
        <f>IFERROR(INDEX('Lower Cask Movement &amp; Logistics'!$I$13:$O$19,MATCH($J421,'Lower Cask Movement &amp; Logistics'!$H$13:$H$19,0),MATCH($K421,'Lower Cask Movement &amp; Logistics'!$H$13:$H$19,0)),"N/A")</f>
        <v>N/A</v>
      </c>
      <c r="M421" s="2826" t="str">
        <f>IFERROR(VLOOKUP($I421,'Lower Cask Movement &amp; Logistics'!$H$4:$I$8,2,FALSE),"N/A")</f>
        <v>N/A</v>
      </c>
      <c r="N421" s="2826" t="str">
        <f t="shared" si="29"/>
        <v>N/A</v>
      </c>
      <c r="O421" s="2809" t="s">
        <v>1541</v>
      </c>
      <c r="P421" s="2805">
        <f>IF($D421="Logistics",VLOOKUP($O421,'Lower Cask Movement &amp; Logistics'!$C$4:$D$54,2,FALSE),"N/A")</f>
        <v>1.9</v>
      </c>
    </row>
    <row r="422" spans="1:16" ht="12.75" customHeight="1" outlineLevel="1" x14ac:dyDescent="0.4">
      <c r="A422" s="2951"/>
      <c r="B422" s="3864"/>
      <c r="C422" s="2941" t="s">
        <v>1982</v>
      </c>
      <c r="D422" s="2825" t="s">
        <v>3</v>
      </c>
      <c r="E422" s="2826">
        <f t="shared" si="28"/>
        <v>0.88000000000000012</v>
      </c>
      <c r="F422" s="2805">
        <f>IF($D422="Trigger",VLOOKUP($C422,'Lower Cask Weld Failures'!$D$511:$G$558,4,FALSE),E422+F421)</f>
        <v>77.681489675012301</v>
      </c>
      <c r="G422" s="2808"/>
      <c r="H422" s="2820" t="s">
        <v>263</v>
      </c>
      <c r="I422" s="2825"/>
      <c r="J422" s="2825"/>
      <c r="K422" s="2825"/>
      <c r="L422" s="2826" t="str">
        <f>IFERROR(INDEX('Lower Cask Movement &amp; Logistics'!$I$13:$O$19,MATCH($J422,'Lower Cask Movement &amp; Logistics'!$H$13:$H$19,0),MATCH($K422,'Lower Cask Movement &amp; Logistics'!$H$13:$H$19,0)),"N/A")</f>
        <v>N/A</v>
      </c>
      <c r="M422" s="2826" t="str">
        <f>IFERROR(VLOOKUP($I422,'Lower Cask Movement &amp; Logistics'!$H$4:$I$8,2,FALSE),"N/A")</f>
        <v>N/A</v>
      </c>
      <c r="N422" s="2826" t="str">
        <f t="shared" si="29"/>
        <v>N/A</v>
      </c>
      <c r="O422" s="2809" t="s">
        <v>1730</v>
      </c>
      <c r="P422" s="2805">
        <f>IF($D422="Logistics",VLOOKUP($O422,'Lower Cask Movement &amp; Logistics'!$C$4:$D$54,2,FALSE),"N/A")</f>
        <v>0.88000000000000012</v>
      </c>
    </row>
    <row r="423" spans="1:16" ht="12.75" customHeight="1" outlineLevel="1" x14ac:dyDescent="0.4">
      <c r="A423" s="2951"/>
      <c r="B423" s="3864"/>
      <c r="C423" s="2941" t="s">
        <v>1983</v>
      </c>
      <c r="D423" s="2825" t="s">
        <v>3</v>
      </c>
      <c r="E423" s="2826">
        <f t="shared" si="28"/>
        <v>2.3000000000000003</v>
      </c>
      <c r="F423" s="2805">
        <f>IF($D423="Trigger",VLOOKUP($C423,'Lower Cask Weld Failures'!$D$511:$G$558,4,FALSE),E423+F422)</f>
        <v>79.981489675012298</v>
      </c>
      <c r="G423" s="2808"/>
      <c r="H423" s="2820" t="s">
        <v>263</v>
      </c>
      <c r="I423" s="2825"/>
      <c r="J423" s="2825"/>
      <c r="K423" s="2825"/>
      <c r="L423" s="2826" t="str">
        <f>IFERROR(INDEX('Lower Cask Movement &amp; Logistics'!$I$13:$O$19,MATCH($J423,'Lower Cask Movement &amp; Logistics'!$H$13:$H$19,0),MATCH($K423,'Lower Cask Movement &amp; Logistics'!$H$13:$H$19,0)),"N/A")</f>
        <v>N/A</v>
      </c>
      <c r="M423" s="2826" t="str">
        <f>IFERROR(VLOOKUP($I423,'Lower Cask Movement &amp; Logistics'!$H$4:$I$8,2,FALSE),"N/A")</f>
        <v>N/A</v>
      </c>
      <c r="N423" s="2826" t="str">
        <f t="shared" si="29"/>
        <v>N/A</v>
      </c>
      <c r="O423" s="2809" t="s">
        <v>1562</v>
      </c>
      <c r="P423" s="2805">
        <f>IF($D423="Logistics",VLOOKUP($O423,'Lower Cask Movement &amp; Logistics'!$C$4:$D$54,2,FALSE),"N/A")</f>
        <v>2.3000000000000003</v>
      </c>
    </row>
    <row r="424" spans="1:16" ht="12.75" customHeight="1" outlineLevel="1" x14ac:dyDescent="0.4">
      <c r="A424" s="2951"/>
      <c r="B424" s="3864"/>
      <c r="C424" s="2825" t="s">
        <v>1984</v>
      </c>
      <c r="D424" s="2825" t="s">
        <v>778</v>
      </c>
      <c r="E424" s="2826">
        <f t="shared" si="28"/>
        <v>0.69444444444444442</v>
      </c>
      <c r="F424" s="2805">
        <f>IF($D424="Trigger",VLOOKUP($C424,'Lower Cask Weld Failures'!$D$511:$G$558,4,FALSE),E424+F423)</f>
        <v>80.675934119456741</v>
      </c>
      <c r="G424" s="2808"/>
      <c r="H424" s="2820" t="s">
        <v>263</v>
      </c>
      <c r="I424" s="2825" t="s">
        <v>1789</v>
      </c>
      <c r="J424" s="2825" t="s">
        <v>1957</v>
      </c>
      <c r="K424" s="2825" t="s">
        <v>1203</v>
      </c>
      <c r="L424" s="2826">
        <f>IFERROR(INDEX('Lower Cask Movement &amp; Logistics'!$I$13:$O$19,MATCH($J424,'Lower Cask Movement &amp; Logistics'!$H$13:$H$19,0),MATCH($K424,'Lower Cask Movement &amp; Logistics'!$H$13:$H$19,0)),"N/A")</f>
        <v>50</v>
      </c>
      <c r="M424" s="2826">
        <f>IFERROR(VLOOKUP($I424,'Lower Cask Movement &amp; Logistics'!$H$4:$I$8,2,FALSE),"N/A")</f>
        <v>0.02</v>
      </c>
      <c r="N424" s="2826">
        <f t="shared" si="29"/>
        <v>0.69444444444444442</v>
      </c>
      <c r="O424" s="2809"/>
      <c r="P424" s="2805" t="str">
        <f>IF($D424="Logistics",VLOOKUP($O424,'Lower Cask Movement &amp; Logistics'!$C$4:$D$54,2,FALSE),"N/A")</f>
        <v>N/A</v>
      </c>
    </row>
    <row r="425" spans="1:16" ht="26.25" customHeight="1" outlineLevel="1" thickBot="1" x14ac:dyDescent="0.45">
      <c r="A425" s="2951"/>
      <c r="B425" s="3865"/>
      <c r="C425" s="2827" t="str">
        <f>B415</f>
        <v>Store failed left Divertor; Collect replacement cassette from stores; Move transporter to Lower Port</v>
      </c>
      <c r="D425" s="2827" t="s">
        <v>11</v>
      </c>
      <c r="E425" s="2828">
        <f t="shared" si="28"/>
        <v>0</v>
      </c>
      <c r="F425" s="2822">
        <f>IF($D425="Trigger",VLOOKUP($C425,'Lower Cask Weld Failures'!$D$511:$G$558,4,FALSE),E425+F424)</f>
        <v>80.675934119456741</v>
      </c>
      <c r="G425" s="2812"/>
      <c r="H425" s="2813" t="s">
        <v>263</v>
      </c>
      <c r="I425" s="2827"/>
      <c r="J425" s="2827"/>
      <c r="K425" s="2827"/>
      <c r="L425" s="2828" t="str">
        <f>IFERROR(INDEX('Lower Cask Movement &amp; Logistics'!$I$13:$O$19,MATCH($J425,'Lower Cask Movement &amp; Logistics'!$H$13:$H$19,0),MATCH($K425,'Lower Cask Movement &amp; Logistics'!$H$13:$H$19,0)),"N/A")</f>
        <v>N/A</v>
      </c>
      <c r="M425" s="2828" t="str">
        <f>IFERROR(VLOOKUP($I425,'Lower Cask Movement &amp; Logistics'!$H$4:$I$8,2,FALSE),"N/A")</f>
        <v>N/A</v>
      </c>
      <c r="N425" s="2828" t="str">
        <f t="shared" si="29"/>
        <v>N/A</v>
      </c>
      <c r="O425" s="2817"/>
      <c r="P425" s="2822" t="str">
        <f>IF($D425="Logistics",VLOOKUP($O425,'Lower Cask Movement &amp; Logistics'!$C$4:$D$54,2,FALSE),"N/A")</f>
        <v>N/A</v>
      </c>
    </row>
    <row r="426" spans="1:16" ht="12.75" customHeight="1" outlineLevel="1" x14ac:dyDescent="0.4">
      <c r="A426" s="2951"/>
      <c r="B426" s="3863" t="s">
        <v>1934</v>
      </c>
      <c r="C426" s="2823" t="s">
        <v>1996</v>
      </c>
      <c r="D426" s="2823" t="s">
        <v>907</v>
      </c>
      <c r="E426" s="2935">
        <f t="shared" si="28"/>
        <v>0</v>
      </c>
      <c r="F426" s="2936">
        <f>IF($D426="Trigger",VLOOKUP($C426,'Lower Cask Weld Failures'!$D$582:$G$622,4,FALSE),E426+F425)</f>
        <v>53.336670763432089</v>
      </c>
      <c r="G426" s="2937"/>
      <c r="H426" s="2938" t="s">
        <v>263</v>
      </c>
      <c r="I426" s="2939"/>
      <c r="J426" s="2939"/>
      <c r="K426" s="2939"/>
      <c r="L426" s="2935" t="str">
        <f>IFERROR(INDEX('Lower Cask Movement &amp; Logistics'!$I$13:$O$19,MATCH($J426,'Lower Cask Movement &amp; Logistics'!$H$13:$H$19,0),MATCH($K426,'Lower Cask Movement &amp; Logistics'!$H$13:$H$19,0)),"N/A")</f>
        <v>N/A</v>
      </c>
      <c r="M426" s="2935" t="str">
        <f>IFERROR(VLOOKUP($I426,'Lower Cask Movement &amp; Logistics'!$H$4:$I$8,2,FALSE),"N/A")</f>
        <v>N/A</v>
      </c>
      <c r="N426" s="2935" t="str">
        <f t="shared" si="29"/>
        <v>N/A</v>
      </c>
      <c r="O426" s="2940"/>
      <c r="P426" s="2936" t="str">
        <f>IF($D426="Logistics",VLOOKUP($O426,'Lower Cask Movement &amp; Logistics'!$C$4:$D$54,2,FALSE),"N/A")</f>
        <v>N/A</v>
      </c>
    </row>
    <row r="427" spans="1:16" ht="12.75" customHeight="1" outlineLevel="1" x14ac:dyDescent="0.4">
      <c r="A427" s="2951"/>
      <c r="B427" s="3864"/>
      <c r="C427" s="2941" t="s">
        <v>1979</v>
      </c>
      <c r="D427" s="2825" t="s">
        <v>778</v>
      </c>
      <c r="E427" s="2826">
        <f t="shared" si="28"/>
        <v>2.7777777777777776E-2</v>
      </c>
      <c r="F427" s="2805">
        <f>IF($D427="Trigger",VLOOKUP($C427,'Lower Cask Weld Failures'!$D$582:$G$622,4,FALSE),E427+F426)</f>
        <v>53.364448541209867</v>
      </c>
      <c r="G427" s="2808"/>
      <c r="H427" s="2820" t="s">
        <v>263</v>
      </c>
      <c r="I427" s="2825" t="s">
        <v>1831</v>
      </c>
      <c r="J427" s="2825" t="s">
        <v>1977</v>
      </c>
      <c r="K427" s="2825" t="s">
        <v>1975</v>
      </c>
      <c r="L427" s="2826">
        <f>IFERROR(INDEX('Lower Cask Movement &amp; Logistics'!$I$13:$O$19,MATCH($J427,'Lower Cask Movement &amp; Logistics'!$H$13:$H$19,0),MATCH($K427,'Lower Cask Movement &amp; Logistics'!$H$13:$H$19,0)),"N/A")</f>
        <v>20</v>
      </c>
      <c r="M427" s="2826">
        <f>IFERROR(VLOOKUP($I427,'Lower Cask Movement &amp; Logistics'!$H$4:$I$8,2,FALSE),"N/A")</f>
        <v>0.2</v>
      </c>
      <c r="N427" s="2826">
        <f t="shared" si="29"/>
        <v>2.7777777777777776E-2</v>
      </c>
      <c r="O427" s="2809"/>
      <c r="P427" s="2805" t="str">
        <f>IF($D427="Logistics",VLOOKUP($O427,'Lower Cask Movement &amp; Logistics'!$C$4:$D$54,2,FALSE),"N/A")</f>
        <v>N/A</v>
      </c>
    </row>
    <row r="428" spans="1:16" ht="12.75" customHeight="1" outlineLevel="1" x14ac:dyDescent="0.4">
      <c r="A428" s="2951"/>
      <c r="B428" s="3864"/>
      <c r="C428" s="2941" t="s">
        <v>1980</v>
      </c>
      <c r="D428" s="2825" t="s">
        <v>3</v>
      </c>
      <c r="E428" s="2826">
        <f t="shared" si="28"/>
        <v>0.78</v>
      </c>
      <c r="F428" s="2805">
        <f>IF($D428="Trigger",VLOOKUP($C428,'Lower Cask Weld Failures'!$D$582:$G$622,4,FALSE),E428+F427)</f>
        <v>54.144448541209869</v>
      </c>
      <c r="G428" s="2808"/>
      <c r="H428" s="2820" t="s">
        <v>263</v>
      </c>
      <c r="I428" s="2825"/>
      <c r="J428" s="2825"/>
      <c r="K428" s="2825"/>
      <c r="L428" s="2826" t="str">
        <f>IFERROR(INDEX('Lower Cask Movement &amp; Logistics'!$I$13:$O$19,MATCH($J428,'Lower Cask Movement &amp; Logistics'!$H$13:$H$19,0),MATCH($K428,'Lower Cask Movement &amp; Logistics'!$H$13:$H$19,0)),"N/A")</f>
        <v>N/A</v>
      </c>
      <c r="M428" s="2826" t="str">
        <f>IFERROR(VLOOKUP($I428,'Lower Cask Movement &amp; Logistics'!$H$4:$I$8,2,FALSE),"N/A")</f>
        <v>N/A</v>
      </c>
      <c r="N428" s="2826" t="str">
        <f t="shared" si="29"/>
        <v>N/A</v>
      </c>
      <c r="O428" s="2809" t="s">
        <v>1973</v>
      </c>
      <c r="P428" s="2805">
        <f>IF($D428="Logistics",VLOOKUP($O428,'Lower Cask Movement &amp; Logistics'!$C$4:$D$54,2,FALSE),"N/A")</f>
        <v>0.78</v>
      </c>
    </row>
    <row r="429" spans="1:16" ht="25.5" customHeight="1" outlineLevel="1" x14ac:dyDescent="0.4">
      <c r="A429" s="2951"/>
      <c r="B429" s="3864"/>
      <c r="C429" s="2941" t="s">
        <v>1981</v>
      </c>
      <c r="D429" s="2825" t="s">
        <v>778</v>
      </c>
      <c r="E429" s="2826">
        <f t="shared" si="28"/>
        <v>9.2592592592592601E-2</v>
      </c>
      <c r="F429" s="2805">
        <f>IF($D429="Trigger",VLOOKUP($C429,'Lower Cask Weld Failures'!$D$582:$G$622,4,FALSE),E429+F428)</f>
        <v>54.237041133802464</v>
      </c>
      <c r="G429" s="2808"/>
      <c r="H429" s="2820" t="s">
        <v>263</v>
      </c>
      <c r="I429" s="2825" t="s">
        <v>1962</v>
      </c>
      <c r="J429" s="2825" t="s">
        <v>1778</v>
      </c>
      <c r="K429" s="2825" t="s">
        <v>1957</v>
      </c>
      <c r="L429" s="2826">
        <f>IFERROR(INDEX('Lower Cask Movement &amp; Logistics'!$I$13:$O$19,MATCH($J429,'Lower Cask Movement &amp; Logistics'!$H$13:$H$19,0),MATCH($K429,'Lower Cask Movement &amp; Logistics'!$H$13:$H$19,0)),"N/A")</f>
        <v>20</v>
      </c>
      <c r="M429" s="2826">
        <f>IFERROR(VLOOKUP($I429,'Lower Cask Movement &amp; Logistics'!$H$4:$I$8,2,FALSE),"N/A")</f>
        <v>0.06</v>
      </c>
      <c r="N429" s="2826">
        <f t="shared" si="29"/>
        <v>9.2592592592592601E-2</v>
      </c>
      <c r="O429" s="2809"/>
      <c r="P429" s="2805" t="str">
        <f>IF($D429="Logistics",VLOOKUP($O429,'Lower Cask Movement &amp; Logistics'!$C$4:$D$54,2,FALSE),"N/A")</f>
        <v>N/A</v>
      </c>
    </row>
    <row r="430" spans="1:16" ht="12.75" customHeight="1" outlineLevel="1" x14ac:dyDescent="0.4">
      <c r="A430" s="2951"/>
      <c r="B430" s="3864"/>
      <c r="C430" s="2941" t="s">
        <v>1958</v>
      </c>
      <c r="D430" s="2825" t="s">
        <v>3</v>
      </c>
      <c r="E430" s="2826">
        <f t="shared" si="28"/>
        <v>1.9</v>
      </c>
      <c r="F430" s="2805">
        <f>IF($D430="Trigger",VLOOKUP($C430,'Lower Cask Weld Failures'!$D$582:$G$622,4,FALSE),E430+F429)</f>
        <v>56.137041133802462</v>
      </c>
      <c r="G430" s="2808"/>
      <c r="H430" s="2820" t="s">
        <v>263</v>
      </c>
      <c r="I430" s="2825"/>
      <c r="J430" s="2825"/>
      <c r="K430" s="2825"/>
      <c r="L430" s="2826" t="str">
        <f>IFERROR(INDEX('Lower Cask Movement &amp; Logistics'!$I$13:$O$19,MATCH($J430,'Lower Cask Movement &amp; Logistics'!$H$13:$H$19,0),MATCH($K430,'Lower Cask Movement &amp; Logistics'!$H$13:$H$19,0)),"N/A")</f>
        <v>N/A</v>
      </c>
      <c r="M430" s="2826" t="str">
        <f>IFERROR(VLOOKUP($I430,'Lower Cask Movement &amp; Logistics'!$H$4:$I$8,2,FALSE),"N/A")</f>
        <v>N/A</v>
      </c>
      <c r="N430" s="2826" t="str">
        <f t="shared" si="29"/>
        <v>N/A</v>
      </c>
      <c r="O430" s="2809" t="s">
        <v>1541</v>
      </c>
      <c r="P430" s="2805">
        <f>IF($D430="Logistics",VLOOKUP($O430,'Lower Cask Movement &amp; Logistics'!$C$4:$D$54,2,FALSE),"N/A")</f>
        <v>1.9</v>
      </c>
    </row>
    <row r="431" spans="1:16" ht="12.75" customHeight="1" outlineLevel="1" x14ac:dyDescent="0.4">
      <c r="A431" s="2951"/>
      <c r="B431" s="3864"/>
      <c r="C431" s="2941" t="s">
        <v>1982</v>
      </c>
      <c r="D431" s="2825" t="s">
        <v>3</v>
      </c>
      <c r="E431" s="2826">
        <f t="shared" si="28"/>
        <v>0.88000000000000012</v>
      </c>
      <c r="F431" s="2805">
        <f>IF($D431="Trigger",VLOOKUP($C431,'Lower Cask Weld Failures'!$D$582:$G$622,4,FALSE),E431+F430)</f>
        <v>57.017041133802465</v>
      </c>
      <c r="G431" s="2808"/>
      <c r="H431" s="2820" t="s">
        <v>263</v>
      </c>
      <c r="I431" s="2825"/>
      <c r="J431" s="2825"/>
      <c r="K431" s="2825"/>
      <c r="L431" s="2826" t="str">
        <f>IFERROR(INDEX('Lower Cask Movement &amp; Logistics'!$I$13:$O$19,MATCH($J431,'Lower Cask Movement &amp; Logistics'!$H$13:$H$19,0),MATCH($K431,'Lower Cask Movement &amp; Logistics'!$H$13:$H$19,0)),"N/A")</f>
        <v>N/A</v>
      </c>
      <c r="M431" s="2826" t="str">
        <f>IFERROR(VLOOKUP($I431,'Lower Cask Movement &amp; Logistics'!$H$4:$I$8,2,FALSE),"N/A")</f>
        <v>N/A</v>
      </c>
      <c r="N431" s="2826" t="str">
        <f t="shared" si="29"/>
        <v>N/A</v>
      </c>
      <c r="O431" s="2809" t="s">
        <v>1730</v>
      </c>
      <c r="P431" s="2805">
        <f>IF($D431="Logistics",VLOOKUP($O431,'Lower Cask Movement &amp; Logistics'!$C$4:$D$54,2,FALSE),"N/A")</f>
        <v>0.88000000000000012</v>
      </c>
    </row>
    <row r="432" spans="1:16" ht="12.75" customHeight="1" outlineLevel="1" x14ac:dyDescent="0.4">
      <c r="A432" s="2951"/>
      <c r="B432" s="3864"/>
      <c r="C432" s="2941" t="s">
        <v>1983</v>
      </c>
      <c r="D432" s="2825" t="s">
        <v>3</v>
      </c>
      <c r="E432" s="2826">
        <f t="shared" si="28"/>
        <v>2.3000000000000003</v>
      </c>
      <c r="F432" s="2805">
        <f>IF($D432="Trigger",VLOOKUP($C432,'Lower Cask Weld Failures'!$D$582:$G$622,4,FALSE),E432+F431)</f>
        <v>59.317041133802462</v>
      </c>
      <c r="G432" s="2808"/>
      <c r="H432" s="2820" t="s">
        <v>263</v>
      </c>
      <c r="I432" s="2825"/>
      <c r="J432" s="2825"/>
      <c r="K432" s="2825"/>
      <c r="L432" s="2826" t="str">
        <f>IFERROR(INDEX('Lower Cask Movement &amp; Logistics'!$I$13:$O$19,MATCH($J432,'Lower Cask Movement &amp; Logistics'!$H$13:$H$19,0),MATCH($K432,'Lower Cask Movement &amp; Logistics'!$H$13:$H$19,0)),"N/A")</f>
        <v>N/A</v>
      </c>
      <c r="M432" s="2826" t="str">
        <f>IFERROR(VLOOKUP($I432,'Lower Cask Movement &amp; Logistics'!$H$4:$I$8,2,FALSE),"N/A")</f>
        <v>N/A</v>
      </c>
      <c r="N432" s="2826" t="str">
        <f t="shared" si="29"/>
        <v>N/A</v>
      </c>
      <c r="O432" s="2809" t="s">
        <v>1562</v>
      </c>
      <c r="P432" s="2805">
        <f>IF($D432="Logistics",VLOOKUP($O432,'Lower Cask Movement &amp; Logistics'!$C$4:$D$54,2,FALSE),"N/A")</f>
        <v>2.3000000000000003</v>
      </c>
    </row>
    <row r="433" spans="1:16" ht="12.75" customHeight="1" outlineLevel="1" x14ac:dyDescent="0.4">
      <c r="A433" s="2951"/>
      <c r="B433" s="3864"/>
      <c r="C433" s="2825" t="s">
        <v>1984</v>
      </c>
      <c r="D433" s="2825" t="s">
        <v>778</v>
      </c>
      <c r="E433" s="2826">
        <f t="shared" si="28"/>
        <v>0.69444444444444442</v>
      </c>
      <c r="F433" s="2805">
        <f>IF($D433="Trigger",VLOOKUP($C433,'Lower Cask Weld Failures'!$D$582:$G$622,4,FALSE),E433+F432)</f>
        <v>60.011485578246905</v>
      </c>
      <c r="G433" s="2808"/>
      <c r="H433" s="2820" t="s">
        <v>263</v>
      </c>
      <c r="I433" s="2825" t="s">
        <v>1789</v>
      </c>
      <c r="J433" s="2825" t="s">
        <v>1957</v>
      </c>
      <c r="K433" s="2825" t="s">
        <v>1203</v>
      </c>
      <c r="L433" s="2826">
        <f>IFERROR(INDEX('Lower Cask Movement &amp; Logistics'!$I$13:$O$19,MATCH($J433,'Lower Cask Movement &amp; Logistics'!$H$13:$H$19,0),MATCH($K433,'Lower Cask Movement &amp; Logistics'!$H$13:$H$19,0)),"N/A")</f>
        <v>50</v>
      </c>
      <c r="M433" s="2826">
        <f>IFERROR(VLOOKUP($I433,'Lower Cask Movement &amp; Logistics'!$H$4:$I$8,2,FALSE),"N/A")</f>
        <v>0.02</v>
      </c>
      <c r="N433" s="2826">
        <f t="shared" si="29"/>
        <v>0.69444444444444442</v>
      </c>
      <c r="O433" s="2809"/>
      <c r="P433" s="2805" t="str">
        <f>IF($D433="Logistics",VLOOKUP($O433,'Lower Cask Movement &amp; Logistics'!$C$4:$D$54,2,FALSE),"N/A")</f>
        <v>N/A</v>
      </c>
    </row>
    <row r="434" spans="1:16" ht="26.25" customHeight="1" outlineLevel="1" thickBot="1" x14ac:dyDescent="0.45">
      <c r="A434" s="2951"/>
      <c r="B434" s="3865"/>
      <c r="C434" s="2827" t="str">
        <f>B426</f>
        <v>Collect replacement central cassette from stores; Move transporter to Lower Port</v>
      </c>
      <c r="D434" s="2827" t="s">
        <v>11</v>
      </c>
      <c r="E434" s="2828">
        <f t="shared" si="28"/>
        <v>0</v>
      </c>
      <c r="F434" s="2822">
        <f>IF($D434="Trigger",VLOOKUP($C434,'Lower Cask Weld Failures'!$D$582:$G$622,4,FALSE),E434+F433)</f>
        <v>60.011485578246905</v>
      </c>
      <c r="G434" s="2812"/>
      <c r="H434" s="2813" t="s">
        <v>263</v>
      </c>
      <c r="I434" s="2827"/>
      <c r="J434" s="2827"/>
      <c r="K434" s="2827"/>
      <c r="L434" s="2828" t="str">
        <f>IFERROR(INDEX('Lower Cask Movement &amp; Logistics'!$I$13:$O$19,MATCH($J434,'Lower Cask Movement &amp; Logistics'!$H$13:$H$19,0),MATCH($K434,'Lower Cask Movement &amp; Logistics'!$H$13:$H$19,0)),"N/A")</f>
        <v>N/A</v>
      </c>
      <c r="M434" s="2828" t="str">
        <f>IFERROR(VLOOKUP($I434,'Lower Cask Movement &amp; Logistics'!$H$4:$I$8,2,FALSE),"N/A")</f>
        <v>N/A</v>
      </c>
      <c r="N434" s="2828" t="str">
        <f t="shared" si="29"/>
        <v>N/A</v>
      </c>
      <c r="O434" s="2817"/>
      <c r="P434" s="2822" t="str">
        <f>IF($D434="Logistics",VLOOKUP($O434,'Lower Cask Movement &amp; Logistics'!$C$4:$D$54,2,FALSE),"N/A")</f>
        <v>N/A</v>
      </c>
    </row>
    <row r="435" spans="1:16" ht="12.75" customHeight="1" outlineLevel="1" x14ac:dyDescent="0.4">
      <c r="A435" s="2951"/>
      <c r="B435" s="3872" t="s">
        <v>1927</v>
      </c>
      <c r="C435" s="2823" t="s">
        <v>1688</v>
      </c>
      <c r="D435" s="2823" t="s">
        <v>907</v>
      </c>
      <c r="E435" s="2824">
        <f t="shared" si="28"/>
        <v>0</v>
      </c>
      <c r="F435" s="2796">
        <f>IF($D435="Trigger",VLOOKUP($C435,'Lower Cask Weld Failures'!$D$511:$G$558,4,FALSE),E435+F425)</f>
        <v>86.435934119456732</v>
      </c>
      <c r="G435" s="2790"/>
      <c r="H435" s="2791" t="s">
        <v>263</v>
      </c>
      <c r="I435" s="2823"/>
      <c r="J435" s="2823"/>
      <c r="K435" s="2823"/>
      <c r="L435" s="2824" t="str">
        <f>IFERROR(INDEX('Lower Cask Movement &amp; Logistics'!$I$13:$O$19,MATCH($J435,'Lower Cask Movement &amp; Logistics'!$H$13:$H$19,0),MATCH($K435,'Lower Cask Movement &amp; Logistics'!$H$13:$H$19,0)),"N/A")</f>
        <v>N/A</v>
      </c>
      <c r="M435" s="2824" t="str">
        <f>IFERROR(VLOOKUP($I435,'Lower Cask Movement &amp; Logistics'!$H$4:$I$8,2,FALSE),"N/A")</f>
        <v>N/A</v>
      </c>
      <c r="N435" s="2824" t="str">
        <f t="shared" si="29"/>
        <v>N/A</v>
      </c>
      <c r="O435" s="2795"/>
      <c r="P435" s="2796" t="str">
        <f>IF($D435="Logistics",VLOOKUP($O435,'Lower Cask Movement &amp; Logistics'!$C$4:$D$54,2,FALSE),"N/A")</f>
        <v>N/A</v>
      </c>
    </row>
    <row r="436" spans="1:16" ht="12.75" customHeight="1" outlineLevel="1" x14ac:dyDescent="0.4">
      <c r="A436" s="2951"/>
      <c r="B436" s="3873"/>
      <c r="C436" s="2825" t="s">
        <v>1956</v>
      </c>
      <c r="D436" s="2825" t="s">
        <v>778</v>
      </c>
      <c r="E436" s="2826">
        <f t="shared" si="28"/>
        <v>0.69444444444444442</v>
      </c>
      <c r="F436" s="2805">
        <f>IF($D436="Trigger",VLOOKUP($C436,'Lower Cask Weld Failures'!$D$511:$G$558,4,FALSE),E436+F435)</f>
        <v>87.130378563901175</v>
      </c>
      <c r="G436" s="2808"/>
      <c r="H436" s="2820" t="s">
        <v>263</v>
      </c>
      <c r="I436" s="2825" t="s">
        <v>1789</v>
      </c>
      <c r="J436" s="2825" t="s">
        <v>1203</v>
      </c>
      <c r="K436" s="2825" t="s">
        <v>1957</v>
      </c>
      <c r="L436" s="2826">
        <f>IFERROR(INDEX('Lower Cask Movement &amp; Logistics'!$I$13:$O$19,MATCH($J436,'Lower Cask Movement &amp; Logistics'!$H$13:$H$19,0),MATCH($K436,'Lower Cask Movement &amp; Logistics'!$H$13:$H$19,0)),"N/A")</f>
        <v>50</v>
      </c>
      <c r="M436" s="2826">
        <f>IFERROR(VLOOKUP($I436,'Lower Cask Movement &amp; Logistics'!$H$4:$I$8,2,FALSE),"N/A")</f>
        <v>0.02</v>
      </c>
      <c r="N436" s="2826">
        <f t="shared" si="29"/>
        <v>0.69444444444444442</v>
      </c>
      <c r="O436" s="2809"/>
      <c r="P436" s="2805" t="str">
        <f>IF($D436="Logistics",VLOOKUP($O436,'Lower Cask Movement &amp; Logistics'!$C$4:$D$54,2,FALSE),"N/A")</f>
        <v>N/A</v>
      </c>
    </row>
    <row r="437" spans="1:16" ht="12.75" customHeight="1" outlineLevel="1" x14ac:dyDescent="0.4">
      <c r="A437" s="2951"/>
      <c r="B437" s="3873"/>
      <c r="C437" s="2825" t="s">
        <v>1958</v>
      </c>
      <c r="D437" s="2825" t="s">
        <v>3</v>
      </c>
      <c r="E437" s="2826">
        <f t="shared" si="28"/>
        <v>1.9</v>
      </c>
      <c r="F437" s="2805">
        <f>IF($D437="Trigger",VLOOKUP($C437,'Lower Cask Weld Failures'!$D$511:$G$558,4,FALSE),E437+F436)</f>
        <v>89.030378563901181</v>
      </c>
      <c r="G437" s="2808"/>
      <c r="H437" s="2820" t="s">
        <v>263</v>
      </c>
      <c r="I437" s="2825"/>
      <c r="J437" s="2825"/>
      <c r="K437" s="2825"/>
      <c r="L437" s="2826" t="str">
        <f>IFERROR(INDEX('Lower Cask Movement &amp; Logistics'!$I$13:$O$19,MATCH($J437,'Lower Cask Movement &amp; Logistics'!$H$13:$H$19,0),MATCH($K437,'Lower Cask Movement &amp; Logistics'!$H$13:$H$19,0)),"N/A")</f>
        <v>N/A</v>
      </c>
      <c r="M437" s="2826" t="str">
        <f>IFERROR(VLOOKUP($I437,'Lower Cask Movement &amp; Logistics'!$H$4:$I$8,2,FALSE),"N/A")</f>
        <v>N/A</v>
      </c>
      <c r="N437" s="2826" t="str">
        <f t="shared" si="29"/>
        <v>N/A</v>
      </c>
      <c r="O437" s="2809" t="s">
        <v>1541</v>
      </c>
      <c r="P437" s="2805">
        <f>IF($D437="Logistics",VLOOKUP($O437,'Lower Cask Movement &amp; Logistics'!$C$4:$D$54,2,FALSE),"N/A")</f>
        <v>1.9</v>
      </c>
    </row>
    <row r="438" spans="1:16" ht="12.75" customHeight="1" outlineLevel="1" x14ac:dyDescent="0.4">
      <c r="A438" s="2951"/>
      <c r="B438" s="3873"/>
      <c r="C438" s="2825" t="s">
        <v>1988</v>
      </c>
      <c r="D438" s="2825" t="s">
        <v>3</v>
      </c>
      <c r="E438" s="2826">
        <f t="shared" si="28"/>
        <v>0.88000000000000012</v>
      </c>
      <c r="F438" s="2805">
        <f>IF($D438="Trigger",VLOOKUP($C438,'Lower Cask Weld Failures'!$D$511:$G$558,4,FALSE),E438+F437)</f>
        <v>89.910378563901176</v>
      </c>
      <c r="G438" s="2808"/>
      <c r="H438" s="2820" t="s">
        <v>263</v>
      </c>
      <c r="I438" s="2825"/>
      <c r="J438" s="2825"/>
      <c r="K438" s="2825"/>
      <c r="L438" s="2826" t="str">
        <f>IFERROR(INDEX('Lower Cask Movement &amp; Logistics'!$I$13:$O$19,MATCH($J438,'Lower Cask Movement &amp; Logistics'!$H$13:$H$19,0),MATCH($K438,'Lower Cask Movement &amp; Logistics'!$H$13:$H$19,0)),"N/A")</f>
        <v>N/A</v>
      </c>
      <c r="M438" s="2826" t="str">
        <f>IFERROR(VLOOKUP($I438,'Lower Cask Movement &amp; Logistics'!$H$4:$I$8,2,FALSE),"N/A")</f>
        <v>N/A</v>
      </c>
      <c r="N438" s="2826" t="str">
        <f t="shared" si="29"/>
        <v>N/A</v>
      </c>
      <c r="O438" s="2809" t="s">
        <v>1960</v>
      </c>
      <c r="P438" s="2805">
        <f>IF($D438="Logistics",VLOOKUP($O438,'Lower Cask Movement &amp; Logistics'!$C$4:$D$54,2,FALSE),"N/A")</f>
        <v>0.88000000000000012</v>
      </c>
    </row>
    <row r="439" spans="1:16" ht="12.75" customHeight="1" outlineLevel="1" x14ac:dyDescent="0.4">
      <c r="A439" s="2951"/>
      <c r="B439" s="3873"/>
      <c r="C439" s="2825" t="s">
        <v>1562</v>
      </c>
      <c r="D439" s="2825" t="s">
        <v>3</v>
      </c>
      <c r="E439" s="2826">
        <f t="shared" si="28"/>
        <v>2.3000000000000003</v>
      </c>
      <c r="F439" s="2805">
        <f>IF($D439="Trigger",VLOOKUP($C439,'Lower Cask Weld Failures'!$D$511:$G$558,4,FALSE),E439+F438)</f>
        <v>92.210378563901173</v>
      </c>
      <c r="G439" s="2808"/>
      <c r="H439" s="2820" t="s">
        <v>263</v>
      </c>
      <c r="I439" s="2825"/>
      <c r="J439" s="2825"/>
      <c r="K439" s="2825"/>
      <c r="L439" s="2826" t="str">
        <f>IFERROR(INDEX('Lower Cask Movement &amp; Logistics'!$I$13:$O$19,MATCH($J439,'Lower Cask Movement &amp; Logistics'!$H$13:$H$19,0),MATCH($K439,'Lower Cask Movement &amp; Logistics'!$H$13:$H$19,0)),"N/A")</f>
        <v>N/A</v>
      </c>
      <c r="M439" s="2826" t="str">
        <f>IFERROR(VLOOKUP($I439,'Lower Cask Movement &amp; Logistics'!$H$4:$I$8,2,FALSE),"N/A")</f>
        <v>N/A</v>
      </c>
      <c r="N439" s="2826" t="str">
        <f t="shared" si="29"/>
        <v>N/A</v>
      </c>
      <c r="O439" s="2809" t="s">
        <v>1562</v>
      </c>
      <c r="P439" s="2805">
        <f>IF($D439="Logistics",VLOOKUP($O439,'Lower Cask Movement &amp; Logistics'!$C$4:$D$54,2,FALSE),"N/A")</f>
        <v>2.3000000000000003</v>
      </c>
    </row>
    <row r="440" spans="1:16" ht="25.5" customHeight="1" outlineLevel="1" x14ac:dyDescent="0.4">
      <c r="A440" s="2951"/>
      <c r="B440" s="3873"/>
      <c r="C440" s="2825" t="s">
        <v>1989</v>
      </c>
      <c r="D440" s="2825" t="s">
        <v>778</v>
      </c>
      <c r="E440" s="2826">
        <f t="shared" si="28"/>
        <v>4.6296296296296301E-2</v>
      </c>
      <c r="F440" s="2805">
        <f>IF($D440="Trigger",VLOOKUP($C440,'Lower Cask Weld Failures'!$D$511:$G$558,4,FALSE),E440+F439)</f>
        <v>92.256674860197464</v>
      </c>
      <c r="G440" s="2808"/>
      <c r="H440" s="2820" t="s">
        <v>263</v>
      </c>
      <c r="I440" s="2825" t="s">
        <v>1990</v>
      </c>
      <c r="J440" s="2825" t="s">
        <v>1957</v>
      </c>
      <c r="K440" s="2825" t="s">
        <v>1991</v>
      </c>
      <c r="L440" s="2826">
        <f>IFERROR(INDEX('Lower Cask Movement &amp; Logistics'!$I$13:$O$19,MATCH($J440,'Lower Cask Movement &amp; Logistics'!$H$13:$H$19,0),MATCH($K440,'Lower Cask Movement &amp; Logistics'!$H$13:$H$19,0)),"N/A")</f>
        <v>10</v>
      </c>
      <c r="M440" s="2826">
        <f>IFERROR(VLOOKUP($I440,'Lower Cask Movement &amp; Logistics'!$H$4:$I$8,2,FALSE),"N/A")</f>
        <v>0.06</v>
      </c>
      <c r="N440" s="2826">
        <f t="shared" si="29"/>
        <v>4.6296296296296301E-2</v>
      </c>
      <c r="O440" s="2809"/>
      <c r="P440" s="2805" t="str">
        <f>IF($D440="Logistics",VLOOKUP($O440,'Lower Cask Movement &amp; Logistics'!$C$4:$D$54,2,FALSE),"N/A")</f>
        <v>N/A</v>
      </c>
    </row>
    <row r="441" spans="1:16" ht="12.75" customHeight="1" outlineLevel="1" x14ac:dyDescent="0.4">
      <c r="A441" s="2951"/>
      <c r="B441" s="3873"/>
      <c r="C441" s="2825" t="s">
        <v>1992</v>
      </c>
      <c r="D441" s="2825" t="s">
        <v>3</v>
      </c>
      <c r="E441" s="2826">
        <f t="shared" si="28"/>
        <v>0.58000000000000007</v>
      </c>
      <c r="F441" s="2805">
        <f>IF($D441="Trigger",VLOOKUP($C441,'Lower Cask Weld Failures'!$D$511:$G$558,4,FALSE),E441+F440)</f>
        <v>92.836674860197462</v>
      </c>
      <c r="G441" s="2808"/>
      <c r="H441" s="2820" t="s">
        <v>263</v>
      </c>
      <c r="I441" s="2825"/>
      <c r="J441" s="2825"/>
      <c r="K441" s="2825"/>
      <c r="L441" s="2826" t="str">
        <f>IFERROR(INDEX('Lower Cask Movement &amp; Logistics'!$I$13:$O$19,MATCH($J441,'Lower Cask Movement &amp; Logistics'!$H$13:$H$19,0),MATCH($K441,'Lower Cask Movement &amp; Logistics'!$H$13:$H$19,0)),"N/A")</f>
        <v>N/A</v>
      </c>
      <c r="M441" s="2826" t="str">
        <f>IFERROR(VLOOKUP($I441,'Lower Cask Movement &amp; Logistics'!$H$4:$I$8,2,FALSE),"N/A")</f>
        <v>N/A</v>
      </c>
      <c r="N441" s="2826" t="str">
        <f t="shared" si="29"/>
        <v>N/A</v>
      </c>
      <c r="O441" s="2809" t="s">
        <v>1971</v>
      </c>
      <c r="P441" s="2805">
        <f>IF($D441="Logistics",VLOOKUP($O441,'Lower Cask Movement &amp; Logistics'!$C$4:$D$54,2,FALSE),"N/A")</f>
        <v>0.58000000000000007</v>
      </c>
    </row>
    <row r="442" spans="1:16" ht="12.75" customHeight="1" outlineLevel="1" x14ac:dyDescent="0.4">
      <c r="A442" s="2951"/>
      <c r="B442" s="3873"/>
      <c r="C442" s="2825" t="s">
        <v>1980</v>
      </c>
      <c r="D442" s="2825" t="s">
        <v>3</v>
      </c>
      <c r="E442" s="2826">
        <f t="shared" si="28"/>
        <v>0.78</v>
      </c>
      <c r="F442" s="2805">
        <f>IF($D442="Trigger",VLOOKUP($C442,'Lower Cask Weld Failures'!$D$511:$G$558,4,FALSE),E442+F441)</f>
        <v>93.616674860197463</v>
      </c>
      <c r="G442" s="2808"/>
      <c r="H442" s="2820" t="s">
        <v>263</v>
      </c>
      <c r="I442" s="2825"/>
      <c r="J442" s="2825"/>
      <c r="K442" s="2825"/>
      <c r="L442" s="2826" t="str">
        <f>IFERROR(INDEX('Lower Cask Movement &amp; Logistics'!$I$13:$O$19,MATCH($J442,'Lower Cask Movement &amp; Logistics'!$H$13:$H$19,0),MATCH($K442,'Lower Cask Movement &amp; Logistics'!$H$13:$H$19,0)),"N/A")</f>
        <v>N/A</v>
      </c>
      <c r="M442" s="2826" t="str">
        <f>IFERROR(VLOOKUP($I442,'Lower Cask Movement &amp; Logistics'!$H$4:$I$8,2,FALSE),"N/A")</f>
        <v>N/A</v>
      </c>
      <c r="N442" s="2826" t="str">
        <f t="shared" si="29"/>
        <v>N/A</v>
      </c>
      <c r="O442" s="2809" t="s">
        <v>1973</v>
      </c>
      <c r="P442" s="2805">
        <f>IF($D442="Logistics",VLOOKUP($O442,'Lower Cask Movement &amp; Logistics'!$C$4:$D$54,2,FALSE),"N/A")</f>
        <v>0.78</v>
      </c>
    </row>
    <row r="443" spans="1:16" ht="12.75" customHeight="1" outlineLevel="1" x14ac:dyDescent="0.4">
      <c r="A443" s="2951"/>
      <c r="B443" s="3873"/>
      <c r="C443" s="2825" t="s">
        <v>1958</v>
      </c>
      <c r="D443" s="2825" t="s">
        <v>3</v>
      </c>
      <c r="E443" s="2826">
        <f t="shared" si="28"/>
        <v>1.9</v>
      </c>
      <c r="F443" s="2805">
        <f>IF($D443="Trigger",VLOOKUP($C443,'Lower Cask Weld Failures'!$D$511:$G$558,4,FALSE),E443+F442)</f>
        <v>95.516674860197469</v>
      </c>
      <c r="G443" s="2808"/>
      <c r="H443" s="2820" t="s">
        <v>263</v>
      </c>
      <c r="I443" s="2825"/>
      <c r="J443" s="2825"/>
      <c r="K443" s="2825"/>
      <c r="L443" s="2826" t="str">
        <f>IFERROR(INDEX('Lower Cask Movement &amp; Logistics'!$I$13:$O$19,MATCH($J443,'Lower Cask Movement &amp; Logistics'!$H$13:$H$19,0),MATCH($K443,'Lower Cask Movement &amp; Logistics'!$H$13:$H$19,0)),"N/A")</f>
        <v>N/A</v>
      </c>
      <c r="M443" s="2826" t="str">
        <f>IFERROR(VLOOKUP($I443,'Lower Cask Movement &amp; Logistics'!$H$4:$I$8,2,FALSE),"N/A")</f>
        <v>N/A</v>
      </c>
      <c r="N443" s="2826" t="str">
        <f t="shared" si="29"/>
        <v>N/A</v>
      </c>
      <c r="O443" s="2809" t="s">
        <v>1541</v>
      </c>
      <c r="P443" s="2805">
        <f>IF($D443="Logistics",VLOOKUP($O443,'Lower Cask Movement &amp; Logistics'!$C$4:$D$54,2,FALSE),"N/A")</f>
        <v>1.9</v>
      </c>
    </row>
    <row r="444" spans="1:16" ht="12.75" customHeight="1" outlineLevel="1" x14ac:dyDescent="0.4">
      <c r="A444" s="2951"/>
      <c r="B444" s="3873"/>
      <c r="C444" s="2825" t="s">
        <v>1993</v>
      </c>
      <c r="D444" s="2825" t="s">
        <v>3</v>
      </c>
      <c r="E444" s="2826">
        <f t="shared" si="28"/>
        <v>0.88000000000000012</v>
      </c>
      <c r="F444" s="2805">
        <f>IF($D444="Trigger",VLOOKUP($C444,'Lower Cask Weld Failures'!$D$511:$G$558,4,FALSE),E444+F443)</f>
        <v>96.396674860197464</v>
      </c>
      <c r="G444" s="2808"/>
      <c r="H444" s="2820" t="s">
        <v>263</v>
      </c>
      <c r="I444" s="2825"/>
      <c r="J444" s="2825"/>
      <c r="K444" s="2825"/>
      <c r="L444" s="2826" t="str">
        <f>IFERROR(INDEX('Lower Cask Movement &amp; Logistics'!$I$13:$O$19,MATCH($J444,'Lower Cask Movement &amp; Logistics'!$H$13:$H$19,0),MATCH($K444,'Lower Cask Movement &amp; Logistics'!$H$13:$H$19,0)),"N/A")</f>
        <v>N/A</v>
      </c>
      <c r="M444" s="2826" t="str">
        <f>IFERROR(VLOOKUP($I444,'Lower Cask Movement &amp; Logistics'!$H$4:$I$8,2,FALSE),"N/A")</f>
        <v>N/A</v>
      </c>
      <c r="N444" s="2826" t="str">
        <f t="shared" si="29"/>
        <v>N/A</v>
      </c>
      <c r="O444" s="2809" t="s">
        <v>1730</v>
      </c>
      <c r="P444" s="2805">
        <f>IF($D444="Logistics",VLOOKUP($O444,'Lower Cask Movement &amp; Logistics'!$C$4:$D$54,2,FALSE),"N/A")</f>
        <v>0.88000000000000012</v>
      </c>
    </row>
    <row r="445" spans="1:16" ht="12.75" customHeight="1" outlineLevel="1" x14ac:dyDescent="0.4">
      <c r="A445" s="2951"/>
      <c r="B445" s="3873"/>
      <c r="C445" s="2901" t="s">
        <v>1562</v>
      </c>
      <c r="D445" s="2825" t="s">
        <v>3</v>
      </c>
      <c r="E445" s="2826">
        <f t="shared" si="28"/>
        <v>2.3000000000000003</v>
      </c>
      <c r="F445" s="2805">
        <f>IF($D445="Trigger",VLOOKUP($C445,'Lower Cask Weld Failures'!$D$511:$G$558,4,FALSE),E445+F444)</f>
        <v>98.696674860197461</v>
      </c>
      <c r="G445" s="2808"/>
      <c r="H445" s="2820" t="s">
        <v>263</v>
      </c>
      <c r="I445" s="2825"/>
      <c r="J445" s="2825"/>
      <c r="K445" s="2825"/>
      <c r="L445" s="2826" t="str">
        <f>IFERROR(INDEX('Lower Cask Movement &amp; Logistics'!$I$13:$O$19,MATCH($J445,'Lower Cask Movement &amp; Logistics'!$H$13:$H$19,0),MATCH($K445,'Lower Cask Movement &amp; Logistics'!$H$13:$H$19,0)),"N/A")</f>
        <v>N/A</v>
      </c>
      <c r="M445" s="2826" t="str">
        <f>IFERROR(VLOOKUP($I445,'Lower Cask Movement &amp; Logistics'!$H$4:$I$8,2,FALSE),"N/A")</f>
        <v>N/A</v>
      </c>
      <c r="N445" s="2826" t="str">
        <f t="shared" si="29"/>
        <v>N/A</v>
      </c>
      <c r="O445" s="2809" t="s">
        <v>1562</v>
      </c>
      <c r="P445" s="2805">
        <f>IF($D445="Logistics",VLOOKUP($O445,'Lower Cask Movement &amp; Logistics'!$C$4:$D$54,2,FALSE),"N/A")</f>
        <v>2.3000000000000003</v>
      </c>
    </row>
    <row r="446" spans="1:16" ht="12.75" customHeight="1" outlineLevel="1" x14ac:dyDescent="0.4">
      <c r="A446" s="2951"/>
      <c r="B446" s="3873"/>
      <c r="C446" s="2901" t="s">
        <v>1964</v>
      </c>
      <c r="D446" s="2901" t="s">
        <v>778</v>
      </c>
      <c r="E446" s="2826">
        <f t="shared" si="28"/>
        <v>0.69444444444444442</v>
      </c>
      <c r="F446" s="2805">
        <f>IF($D446="Trigger",VLOOKUP($C446,'Lower Cask Weld Failures'!$D$511:$G$558,4,FALSE),E446+F445)</f>
        <v>99.391119304641904</v>
      </c>
      <c r="G446" s="2808"/>
      <c r="H446" s="2820" t="s">
        <v>263</v>
      </c>
      <c r="I446" s="2825" t="s">
        <v>1789</v>
      </c>
      <c r="J446" s="2825" t="s">
        <v>1965</v>
      </c>
      <c r="K446" s="2825" t="s">
        <v>1966</v>
      </c>
      <c r="L446" s="2826">
        <f>IFERROR(INDEX('Lower Cask Movement &amp; Logistics'!$I$13:$O$19,MATCH($J446,'Lower Cask Movement &amp; Logistics'!$H$13:$H$19,0),MATCH($K446,'Lower Cask Movement &amp; Logistics'!$H$13:$H$19,0)),"N/A")</f>
        <v>50</v>
      </c>
      <c r="M446" s="2826">
        <f>IFERROR(VLOOKUP($I446,'Lower Cask Movement &amp; Logistics'!$H$4:$I$8,2,FALSE),"N/A")</f>
        <v>0.02</v>
      </c>
      <c r="N446" s="2826">
        <f t="shared" si="29"/>
        <v>0.69444444444444442</v>
      </c>
      <c r="O446" s="2809"/>
      <c r="P446" s="2805" t="str">
        <f>IF($D446="Logistics",VLOOKUP($O446,'Lower Cask Movement &amp; Logistics'!$C$4:$D$54,2,FALSE),"N/A")</f>
        <v>N/A</v>
      </c>
    </row>
    <row r="447" spans="1:16" ht="39" customHeight="1" outlineLevel="1" thickBot="1" x14ac:dyDescent="0.45">
      <c r="A447" s="2951"/>
      <c r="B447" s="3874"/>
      <c r="C447" s="2827" t="str">
        <f>B435</f>
        <v>Divertor cassette transport stored; Replacement pipe modules collected; replacement pipework transported to the lower port</v>
      </c>
      <c r="D447" s="2827" t="s">
        <v>11</v>
      </c>
      <c r="E447" s="2828">
        <f t="shared" si="28"/>
        <v>0</v>
      </c>
      <c r="F447" s="2822">
        <f>IF($D447="Trigger",VLOOKUP($C447,'Lower Cask Weld Failures'!$D$511:$G$558,4,FALSE),E447+F446)</f>
        <v>99.391119304641904</v>
      </c>
      <c r="G447" s="2812"/>
      <c r="H447" s="2813" t="s">
        <v>263</v>
      </c>
      <c r="I447" s="2827"/>
      <c r="J447" s="2827"/>
      <c r="K447" s="2827"/>
      <c r="L447" s="2828" t="str">
        <f>IFERROR(INDEX('Lower Cask Movement &amp; Logistics'!$I$13:$O$19,MATCH($J447,'Lower Cask Movement &amp; Logistics'!$H$13:$H$19,0),MATCH($K447,'Lower Cask Movement &amp; Logistics'!$H$13:$H$19,0)),"N/A")</f>
        <v>N/A</v>
      </c>
      <c r="M447" s="2828" t="str">
        <f>IFERROR(VLOOKUP($I447,'Lower Cask Movement &amp; Logistics'!$H$4:$I$8,2,FALSE),"N/A")</f>
        <v>N/A</v>
      </c>
      <c r="N447" s="2828" t="str">
        <f t="shared" si="29"/>
        <v>N/A</v>
      </c>
      <c r="O447" s="2817"/>
      <c r="P447" s="2822" t="str">
        <f>IF($D447="Logistics",VLOOKUP($O447,'Lower Cask Movement &amp; Logistics'!$C$4:$D$54,2,FALSE),"N/A")</f>
        <v>N/A</v>
      </c>
    </row>
    <row r="448" spans="1:16" ht="13.3" thickBot="1" x14ac:dyDescent="0.45">
      <c r="A448" s="2953"/>
      <c r="B448" s="2954"/>
      <c r="C448" s="2955"/>
      <c r="D448" s="2955"/>
      <c r="E448" s="2955"/>
      <c r="F448" s="2955"/>
      <c r="G448" s="2955"/>
      <c r="H448" s="2956"/>
      <c r="I448" s="2955"/>
      <c r="J448" s="2955"/>
      <c r="K448" s="2955"/>
      <c r="L448" s="2957"/>
      <c r="M448" s="2957"/>
      <c r="N448" s="2957"/>
      <c r="O448" s="2955"/>
      <c r="P448" s="2958"/>
    </row>
    <row r="449" spans="1:19" ht="13.3" thickBot="1" x14ac:dyDescent="0.45">
      <c r="A449" s="2959"/>
      <c r="B449" s="2960" t="s">
        <v>1994</v>
      </c>
      <c r="C449" s="2960"/>
      <c r="D449" s="2960"/>
      <c r="E449" s="2960"/>
      <c r="F449" s="2960"/>
      <c r="G449" s="2960"/>
      <c r="H449" s="2960"/>
      <c r="I449" s="2960"/>
      <c r="J449" s="2960"/>
      <c r="K449" s="2960"/>
      <c r="L449" s="2960"/>
      <c r="M449" s="2960"/>
      <c r="N449" s="2960"/>
      <c r="O449" s="2960"/>
      <c r="P449" s="2961"/>
    </row>
    <row r="450" spans="1:19" ht="25.5" customHeight="1" outlineLevel="1" x14ac:dyDescent="0.4">
      <c r="A450" s="2962"/>
      <c r="B450" s="3863" t="s">
        <v>1910</v>
      </c>
      <c r="C450" s="2823" t="s">
        <v>1930</v>
      </c>
      <c r="D450" s="2823" t="s">
        <v>907</v>
      </c>
      <c r="E450" s="2824">
        <f>MAX($P450,$N450,$H450)</f>
        <v>0</v>
      </c>
      <c r="F450" s="2796">
        <f>IF($D450="Trigger",VLOOKUP($C450,'Lower Cask Weld Failures'!$D$582:$G$622,4,FALSE),E450+F449)</f>
        <v>0</v>
      </c>
      <c r="G450" s="2790"/>
      <c r="H450" s="2791" t="s">
        <v>263</v>
      </c>
      <c r="I450" s="2823"/>
      <c r="J450" s="2823"/>
      <c r="K450" s="2823"/>
      <c r="L450" s="2824" t="str">
        <f>IFERROR(INDEX('Lower Cask Movement &amp; Logistics'!$I$13:$O$19,MATCH($J450,'Lower Cask Movement &amp; Logistics'!$H$13:$H$19,0),MATCH($K450,'Lower Cask Movement &amp; Logistics'!$H$13:$H$19,0)),"N/A")</f>
        <v>N/A</v>
      </c>
      <c r="M450" s="2824" t="str">
        <f>IFERROR(VLOOKUP($I450,'Lower Cask Movement &amp; Logistics'!$H$4:$I$8,2,FALSE),"N/A")</f>
        <v>N/A</v>
      </c>
      <c r="N450" s="2824" t="str">
        <f>IF(D450="Movement",IFERROR((L450/M450)/(60*60),"Error"),"N/A")</f>
        <v>N/A</v>
      </c>
      <c r="O450" s="2795"/>
      <c r="P450" s="2796" t="str">
        <f>IF($D450="Logistics",VLOOKUP($O450,'Lower Cask Movement &amp; Logistics'!$C$4:$D$54,2,FALSE),"N/A")</f>
        <v>N/A</v>
      </c>
    </row>
    <row r="451" spans="1:19" ht="12.75" customHeight="1" outlineLevel="1" x14ac:dyDescent="0.4">
      <c r="A451" s="2962"/>
      <c r="B451" s="3864"/>
      <c r="C451" s="2825" t="s">
        <v>1956</v>
      </c>
      <c r="D451" s="2825" t="s">
        <v>778</v>
      </c>
      <c r="E451" s="2826">
        <f t="shared" ref="E451:E523" si="30">MAX($P451,$N451,$H451)</f>
        <v>0.69444444444444442</v>
      </c>
      <c r="F451" s="2805">
        <f>IF($D451="Trigger",VLOOKUP($C451,'Lower Cask Weld Failures'!$D$582:$G$622,4,FALSE),E451+F450)</f>
        <v>0.69444444444444442</v>
      </c>
      <c r="G451" s="2808"/>
      <c r="H451" s="2820" t="s">
        <v>263</v>
      </c>
      <c r="I451" s="2825" t="s">
        <v>1789</v>
      </c>
      <c r="J451" s="2825" t="s">
        <v>1203</v>
      </c>
      <c r="K451" s="2825" t="s">
        <v>1957</v>
      </c>
      <c r="L451" s="2826">
        <f>IFERROR(INDEX('Lower Cask Movement &amp; Logistics'!$I$13:$O$19,MATCH($J451,'Lower Cask Movement &amp; Logistics'!$H$13:$H$19,0),MATCH($K451,'Lower Cask Movement &amp; Logistics'!$H$13:$H$19,0)),"N/A")</f>
        <v>50</v>
      </c>
      <c r="M451" s="2826">
        <f>IFERROR(VLOOKUP($I451,'Lower Cask Movement &amp; Logistics'!$H$4:$I$8,2,FALSE),"N/A")</f>
        <v>0.02</v>
      </c>
      <c r="N451" s="2826">
        <f t="shared" ref="N451:N523" si="31">IF(D451="Movement",IFERROR((L451/M451)/(60*60),"Error"),"N/A")</f>
        <v>0.69444444444444442</v>
      </c>
      <c r="O451" s="2809"/>
      <c r="P451" s="2805" t="str">
        <f>IF($D451="Logistics",VLOOKUP($O451,'Lower Cask Movement &amp; Logistics'!$C$4:$D$54,2,FALSE),"N/A")</f>
        <v>N/A</v>
      </c>
    </row>
    <row r="452" spans="1:19" ht="12.75" customHeight="1" outlineLevel="1" x14ac:dyDescent="0.4">
      <c r="A452" s="2962"/>
      <c r="B452" s="3864"/>
      <c r="C452" s="2825" t="s">
        <v>1958</v>
      </c>
      <c r="D452" s="2825" t="s">
        <v>3</v>
      </c>
      <c r="E452" s="2826">
        <f t="shared" si="30"/>
        <v>1.9</v>
      </c>
      <c r="F452" s="2805">
        <f>IF($D452="Trigger",VLOOKUP($C452,'Lower Cask Weld Failures'!$D$582:$G$622,4,FALSE),E452+F451)</f>
        <v>2.5944444444444441</v>
      </c>
      <c r="G452" s="2808"/>
      <c r="H452" s="2820" t="s">
        <v>263</v>
      </c>
      <c r="I452" s="2825"/>
      <c r="J452" s="2825"/>
      <c r="K452" s="2825"/>
      <c r="L452" s="2826" t="str">
        <f>IFERROR(INDEX('Lower Cask Movement &amp; Logistics'!$I$13:$O$19,MATCH($J452,'Lower Cask Movement &amp; Logistics'!$H$13:$H$19,0),MATCH($K452,'Lower Cask Movement &amp; Logistics'!$H$13:$H$19,0)),"N/A")</f>
        <v>N/A</v>
      </c>
      <c r="M452" s="2826" t="str">
        <f>IFERROR(VLOOKUP($I452,'Lower Cask Movement &amp; Logistics'!$H$4:$I$8,2,FALSE),"N/A")</f>
        <v>N/A</v>
      </c>
      <c r="N452" s="2826" t="str">
        <f t="shared" si="31"/>
        <v>N/A</v>
      </c>
      <c r="O452" s="2809" t="s">
        <v>1541</v>
      </c>
      <c r="P452" s="2805">
        <f>IF($D452="Logistics",VLOOKUP($O452,'Lower Cask Movement &amp; Logistics'!$C$4:$D$54,2,FALSE),"N/A")</f>
        <v>1.9</v>
      </c>
    </row>
    <row r="453" spans="1:19" ht="12.75" customHeight="1" outlineLevel="1" x14ac:dyDescent="0.4">
      <c r="A453" s="2962"/>
      <c r="B453" s="3864"/>
      <c r="C453" s="2825" t="s">
        <v>1959</v>
      </c>
      <c r="D453" s="2825" t="s">
        <v>3</v>
      </c>
      <c r="E453" s="2826">
        <f t="shared" si="30"/>
        <v>0.88000000000000012</v>
      </c>
      <c r="F453" s="2805">
        <f>IF($D453="Trigger",VLOOKUP($C453,'Lower Cask Weld Failures'!$D$582:$G$622,4,FALSE),E453+F452)</f>
        <v>3.474444444444444</v>
      </c>
      <c r="G453" s="2808"/>
      <c r="H453" s="2820" t="s">
        <v>263</v>
      </c>
      <c r="I453" s="2825"/>
      <c r="J453" s="2825"/>
      <c r="K453" s="2825"/>
      <c r="L453" s="2826" t="str">
        <f>IFERROR(INDEX('Lower Cask Movement &amp; Logistics'!$I$13:$O$19,MATCH($J453,'Lower Cask Movement &amp; Logistics'!$H$13:$H$19,0),MATCH($K453,'Lower Cask Movement &amp; Logistics'!$H$13:$H$19,0)),"N/A")</f>
        <v>N/A</v>
      </c>
      <c r="M453" s="2826" t="str">
        <f>IFERROR(VLOOKUP($I453,'Lower Cask Movement &amp; Logistics'!$H$4:$I$8,2,FALSE),"N/A")</f>
        <v>N/A</v>
      </c>
      <c r="N453" s="2826" t="str">
        <f t="shared" si="31"/>
        <v>N/A</v>
      </c>
      <c r="O453" s="2809" t="s">
        <v>1960</v>
      </c>
      <c r="P453" s="2805">
        <f>IF($D453="Logistics",VLOOKUP($O453,'Lower Cask Movement &amp; Logistics'!$C$4:$D$54,2,FALSE),"N/A")</f>
        <v>0.88000000000000012</v>
      </c>
    </row>
    <row r="454" spans="1:19" ht="12.75" customHeight="1" outlineLevel="1" x14ac:dyDescent="0.4">
      <c r="A454" s="2962"/>
      <c r="B454" s="3864"/>
      <c r="C454" s="2825" t="s">
        <v>1562</v>
      </c>
      <c r="D454" s="2825" t="s">
        <v>3</v>
      </c>
      <c r="E454" s="2826">
        <f t="shared" si="30"/>
        <v>2.3000000000000003</v>
      </c>
      <c r="F454" s="2805">
        <f>IF($D454="Trigger",VLOOKUP($C454,'Lower Cask Weld Failures'!$D$582:$G$622,4,FALSE),E454+F453)</f>
        <v>5.7744444444444447</v>
      </c>
      <c r="G454" s="2808"/>
      <c r="H454" s="2820" t="s">
        <v>263</v>
      </c>
      <c r="I454" s="2825"/>
      <c r="J454" s="2825"/>
      <c r="K454" s="2825"/>
      <c r="L454" s="2826" t="str">
        <f>IFERROR(INDEX('Lower Cask Movement &amp; Logistics'!$I$13:$O$19,MATCH($J454,'Lower Cask Movement &amp; Logistics'!$H$13:$H$19,0),MATCH($K454,'Lower Cask Movement &amp; Logistics'!$H$13:$H$19,0)),"N/A")</f>
        <v>N/A</v>
      </c>
      <c r="M454" s="2826" t="str">
        <f>IFERROR(VLOOKUP($I454,'Lower Cask Movement &amp; Logistics'!$H$4:$I$8,2,FALSE),"N/A")</f>
        <v>N/A</v>
      </c>
      <c r="N454" s="2826" t="str">
        <f t="shared" si="31"/>
        <v>N/A</v>
      </c>
      <c r="O454" s="2809" t="s">
        <v>1562</v>
      </c>
      <c r="P454" s="2805">
        <f>IF($D454="Logistics",VLOOKUP($O454,'Lower Cask Movement &amp; Logistics'!$C$4:$D$54,2,FALSE),"N/A")</f>
        <v>2.3000000000000003</v>
      </c>
    </row>
    <row r="455" spans="1:19" ht="12.75" customHeight="1" outlineLevel="1" x14ac:dyDescent="0.4">
      <c r="A455" s="2962"/>
      <c r="B455" s="3864"/>
      <c r="C455" s="2901" t="s">
        <v>1970</v>
      </c>
      <c r="D455" s="2825" t="s">
        <v>3</v>
      </c>
      <c r="E455" s="2826">
        <f t="shared" si="30"/>
        <v>0.58000000000000007</v>
      </c>
      <c r="F455" s="2805">
        <f>IF($D455="Trigger",VLOOKUP($C455,'Lower Cask Weld Failures'!$D$582:$G$622,4,FALSE),E455+F454)</f>
        <v>6.3544444444444448</v>
      </c>
      <c r="G455" s="2808"/>
      <c r="H455" s="2820" t="s">
        <v>263</v>
      </c>
      <c r="I455" s="2825"/>
      <c r="J455" s="2825"/>
      <c r="K455" s="2825"/>
      <c r="L455" s="2826" t="str">
        <f>IFERROR(INDEX('Lower Cask Movement &amp; Logistics'!$I$13:$O$19,MATCH($J455,'Lower Cask Movement &amp; Logistics'!$H$13:$H$19,0),MATCH($K455,'Lower Cask Movement &amp; Logistics'!$H$13:$H$19,0)),"N/A")</f>
        <v>N/A</v>
      </c>
      <c r="M455" s="2826" t="str">
        <f>IFERROR(VLOOKUP($I455,'Lower Cask Movement &amp; Logistics'!$H$4:$I$8,2,FALSE),"N/A")</f>
        <v>N/A</v>
      </c>
      <c r="N455" s="2826" t="str">
        <f t="shared" si="31"/>
        <v>N/A</v>
      </c>
      <c r="O455" s="2809" t="s">
        <v>1971</v>
      </c>
      <c r="P455" s="2805">
        <f>IF($D455="Logistics",VLOOKUP($O455,'Lower Cask Movement &amp; Logistics'!$C$4:$D$54,2,FALSE),"N/A")</f>
        <v>0.58000000000000007</v>
      </c>
    </row>
    <row r="456" spans="1:19" ht="12.75" customHeight="1" outlineLevel="1" x14ac:dyDescent="0.4">
      <c r="A456" s="2962"/>
      <c r="B456" s="3864"/>
      <c r="C456" s="2901" t="s">
        <v>1972</v>
      </c>
      <c r="D456" s="2825" t="s">
        <v>3</v>
      </c>
      <c r="E456" s="2826">
        <f t="shared" si="30"/>
        <v>0.78</v>
      </c>
      <c r="F456" s="2805">
        <f>IF($D456="Trigger",VLOOKUP($C456,'Lower Cask Weld Failures'!$D$582:$G$622,4,FALSE),E456+F455)</f>
        <v>7.134444444444445</v>
      </c>
      <c r="G456" s="2808"/>
      <c r="H456" s="2820" t="s">
        <v>263</v>
      </c>
      <c r="I456" s="2825"/>
      <c r="J456" s="2825"/>
      <c r="K456" s="2825"/>
      <c r="L456" s="2826" t="str">
        <f>IFERROR(INDEX('Lower Cask Movement &amp; Logistics'!$I$13:$O$19,MATCH($J456,'Lower Cask Movement &amp; Logistics'!$H$13:$H$19,0),MATCH($K456,'Lower Cask Movement &amp; Logistics'!$H$13:$H$19,0)),"N/A")</f>
        <v>N/A</v>
      </c>
      <c r="M456" s="2826" t="str">
        <f>IFERROR(VLOOKUP($I456,'Lower Cask Movement &amp; Logistics'!$H$4:$I$8,2,FALSE),"N/A")</f>
        <v>N/A</v>
      </c>
      <c r="N456" s="2826" t="str">
        <f t="shared" si="31"/>
        <v>N/A</v>
      </c>
      <c r="O456" s="2809" t="s">
        <v>1973</v>
      </c>
      <c r="P456" s="2805">
        <f>IF($D456="Logistics",VLOOKUP($O456,'Lower Cask Movement &amp; Logistics'!$C$4:$D$54,2,FALSE),"N/A")</f>
        <v>0.78</v>
      </c>
    </row>
    <row r="457" spans="1:19" ht="25.5" customHeight="1" outlineLevel="1" x14ac:dyDescent="0.4">
      <c r="A457" s="2962"/>
      <c r="B457" s="3864"/>
      <c r="C457" s="2901" t="s">
        <v>1974</v>
      </c>
      <c r="D457" s="2825" t="s">
        <v>778</v>
      </c>
      <c r="E457" s="2826">
        <f t="shared" si="30"/>
        <v>0.23148148148148148</v>
      </c>
      <c r="F457" s="2805">
        <f>IF($D457="Trigger",VLOOKUP($C457,'Lower Cask Weld Failures'!$D$582:$G$622,4,FALSE),E457+F456)</f>
        <v>7.3659259259259269</v>
      </c>
      <c r="G457" s="2808"/>
      <c r="H457" s="2820" t="s">
        <v>263</v>
      </c>
      <c r="I457" s="2825" t="s">
        <v>1962</v>
      </c>
      <c r="J457" s="2825" t="s">
        <v>1975</v>
      </c>
      <c r="K457" s="2825" t="s">
        <v>1203</v>
      </c>
      <c r="L457" s="2826">
        <f>IFERROR(INDEX('Lower Cask Movement &amp; Logistics'!$I$13:$O$19,MATCH($J457,'Lower Cask Movement &amp; Logistics'!$H$13:$H$19,0),MATCH($K457,'Lower Cask Movement &amp; Logistics'!$H$13:$H$19,0)),"N/A")</f>
        <v>50</v>
      </c>
      <c r="M457" s="2826">
        <f>IFERROR(VLOOKUP($I457,'Lower Cask Movement &amp; Logistics'!$H$4:$I$8,2,FALSE),"N/A")</f>
        <v>0.06</v>
      </c>
      <c r="N457" s="2826">
        <f t="shared" si="31"/>
        <v>0.23148148148148148</v>
      </c>
      <c r="O457" s="2809"/>
      <c r="P457" s="2805" t="str">
        <f>IF($D457="Logistics",VLOOKUP($O457,'Lower Cask Movement &amp; Logistics'!$C$4:$D$54,2,FALSE),"N/A")</f>
        <v>N/A</v>
      </c>
    </row>
    <row r="458" spans="1:19" ht="26.25" customHeight="1" outlineLevel="1" thickBot="1" x14ac:dyDescent="0.45">
      <c r="A458" s="2962"/>
      <c r="B458" s="3865"/>
      <c r="C458" s="2827" t="str">
        <f>B450</f>
        <v>Current payload stored; Divertor transport cask collected; cask moved to Lower Port</v>
      </c>
      <c r="D458" s="2827" t="s">
        <v>11</v>
      </c>
      <c r="E458" s="2828">
        <f t="shared" si="30"/>
        <v>0</v>
      </c>
      <c r="F458" s="2822">
        <f>IF($D458="Trigger",VLOOKUP($C458,'Lower Cask Weld Failures'!$D$582:$G$622,4,FALSE),E458+F457)</f>
        <v>7.3659259259259269</v>
      </c>
      <c r="G458" s="2812"/>
      <c r="H458" s="2813" t="s">
        <v>263</v>
      </c>
      <c r="I458" s="2827"/>
      <c r="J458" s="2827"/>
      <c r="K458" s="2827"/>
      <c r="L458" s="2828" t="str">
        <f>IFERROR(INDEX('Lower Cask Movement &amp; Logistics'!$I$13:$O$19,MATCH($J458,'Lower Cask Movement &amp; Logistics'!$H$13:$H$19,0),MATCH($K458,'Lower Cask Movement &amp; Logistics'!$H$13:$H$19,0)),"N/A")</f>
        <v>N/A</v>
      </c>
      <c r="M458" s="2828" t="str">
        <f>IFERROR(VLOOKUP($I458,'Lower Cask Movement &amp; Logistics'!$H$4:$I$8,2,FALSE),"N/A")</f>
        <v>N/A</v>
      </c>
      <c r="N458" s="2828" t="str">
        <f t="shared" si="31"/>
        <v>N/A</v>
      </c>
      <c r="O458" s="2817"/>
      <c r="P458" s="2822" t="str">
        <f>IF($D458="Logistics",VLOOKUP($O458,'Lower Cask Movement &amp; Logistics'!$C$4:$D$54,2,FALSE),"N/A")</f>
        <v>N/A</v>
      </c>
    </row>
    <row r="459" spans="1:19" s="2764" customFormat="1" ht="15" customHeight="1" outlineLevel="1" x14ac:dyDescent="0.4">
      <c r="A459" s="2962"/>
      <c r="B459" s="3863" t="s">
        <v>1932</v>
      </c>
      <c r="C459" s="2788" t="s">
        <v>1931</v>
      </c>
      <c r="D459" s="2788" t="s">
        <v>907</v>
      </c>
      <c r="E459" s="2789">
        <f t="shared" si="30"/>
        <v>0</v>
      </c>
      <c r="F459" s="2789">
        <f>IF($D459="Trigger",VLOOKUP($C459,'Lower Cask Weld Failures'!$D$582:$G$622,4,FALSE),E459+F458)</f>
        <v>15.28296705972839</v>
      </c>
      <c r="G459" s="2790"/>
      <c r="H459" s="2791" t="s">
        <v>263</v>
      </c>
      <c r="I459" s="2792"/>
      <c r="J459" s="2788"/>
      <c r="K459" s="2788"/>
      <c r="L459" s="2793" t="str">
        <f>IFERROR(INDEX('Lower Cask Movement &amp; Logistics'!$I$13:$O$19,MATCH($J459,'Lower Cask Movement &amp; Logistics'!$H$13:$H$19,0),MATCH($K459,'Lower Cask Movement &amp; Logistics'!$H$13:$H$19,0)),"N/A")</f>
        <v>N/A</v>
      </c>
      <c r="M459" s="2933" t="str">
        <f>IFERROR(VLOOKUP($I459,'Lower Cask Movement &amp; Logistics'!$H$4:$I$8,2,FALSE),"N/A")</f>
        <v>N/A</v>
      </c>
      <c r="N459" s="2794" t="str">
        <f t="shared" si="31"/>
        <v>N/A</v>
      </c>
      <c r="O459" s="2795"/>
      <c r="P459" s="2796" t="str">
        <f>IF($D459="Logistics",VLOOKUP($O459,'Lower Cask Movement &amp; Logistics'!$C$4:$D$54,2,FALSE),"N/A")</f>
        <v>N/A</v>
      </c>
      <c r="R459" s="2765"/>
      <c r="S459" s="2765"/>
    </row>
    <row r="460" spans="1:19" s="2764" customFormat="1" ht="26.25" customHeight="1" outlineLevel="1" x14ac:dyDescent="0.4">
      <c r="A460" s="2962"/>
      <c r="B460" s="3864"/>
      <c r="C460" s="2797" t="s">
        <v>1732</v>
      </c>
      <c r="D460" s="2798" t="s">
        <v>778</v>
      </c>
      <c r="E460" s="2799">
        <f t="shared" si="30"/>
        <v>0.23148148148148148</v>
      </c>
      <c r="F460" s="2799">
        <f>IF($D460="Trigger",VLOOKUP($C460,'Lower Cask Weld Failures'!$D$582:$G$622,4,FALSE),E460+F459)</f>
        <v>15.514448541209871</v>
      </c>
      <c r="G460" s="2800"/>
      <c r="H460" s="2801" t="s">
        <v>263</v>
      </c>
      <c r="I460" s="2802" t="s">
        <v>1536</v>
      </c>
      <c r="J460" s="2798" t="s">
        <v>1203</v>
      </c>
      <c r="K460" s="2798" t="s">
        <v>914</v>
      </c>
      <c r="L460" s="2803">
        <f>IFERROR(INDEX('Lower Cask Movement &amp; Logistics'!$I$13:$O$19,MATCH($J460,'Lower Cask Movement &amp; Logistics'!$H$13:$H$19,0),MATCH($K460,'Lower Cask Movement &amp; Logistics'!$H$13:$H$19,0)),"N/A")</f>
        <v>50</v>
      </c>
      <c r="M460" s="2804">
        <f>IFERROR(VLOOKUP($I460,'Lower Cask Movement &amp; Logistics'!$H$4:$I$8,2,FALSE),"N/A")</f>
        <v>0.06</v>
      </c>
      <c r="N460" s="2805">
        <f t="shared" si="31"/>
        <v>0.23148148148148148</v>
      </c>
      <c r="O460" s="2806"/>
      <c r="P460" s="2807" t="str">
        <f>IF($D460="Logistics",VLOOKUP($O460,'Lower Cask Movement &amp; Logistics'!$C$4:$D$54,2,FALSE),"N/A")</f>
        <v>N/A</v>
      </c>
      <c r="R460" s="2765"/>
      <c r="S460" s="2765"/>
    </row>
    <row r="461" spans="1:19" s="2764" customFormat="1" ht="15" customHeight="1" outlineLevel="1" x14ac:dyDescent="0.4">
      <c r="A461" s="2962"/>
      <c r="B461" s="3864"/>
      <c r="C461" s="2797" t="s">
        <v>1733</v>
      </c>
      <c r="D461" s="2798" t="s">
        <v>3</v>
      </c>
      <c r="E461" s="2799">
        <f t="shared" si="30"/>
        <v>1.9</v>
      </c>
      <c r="F461" s="2799">
        <f>IF($D461="Trigger",VLOOKUP($C461,'Lower Cask Weld Failures'!$D$582:$G$622,4,FALSE),E461+F460)</f>
        <v>17.414448541209872</v>
      </c>
      <c r="G461" s="2800"/>
      <c r="H461" s="2801" t="s">
        <v>263</v>
      </c>
      <c r="I461" s="2802"/>
      <c r="J461" s="2798"/>
      <c r="K461" s="2798"/>
      <c r="L461" s="2803" t="str">
        <f>IFERROR(INDEX('Lower Cask Movement &amp; Logistics'!$I$13:$O$19,MATCH($J461,'Lower Cask Movement &amp; Logistics'!$H$13:$H$19,0),MATCH($K461,'Lower Cask Movement &amp; Logistics'!$H$13:$H$19,0)),"N/A")</f>
        <v>N/A</v>
      </c>
      <c r="M461" s="2804" t="str">
        <f>IFERROR(VLOOKUP($I461,'Lower Cask Movement &amp; Logistics'!$H$4:$I$8,2,FALSE),"N/A")</f>
        <v>N/A</v>
      </c>
      <c r="N461" s="2805" t="str">
        <f t="shared" si="31"/>
        <v>N/A</v>
      </c>
      <c r="O461" s="2806" t="s">
        <v>1734</v>
      </c>
      <c r="P461" s="2807">
        <f>IF($D461="Logistics",VLOOKUP($O461,'Lower Cask Movement &amp; Logistics'!$C$4:$D$54,2,FALSE),"N/A")</f>
        <v>1.9</v>
      </c>
      <c r="R461" s="2765"/>
      <c r="S461" s="2765"/>
    </row>
    <row r="462" spans="1:19" s="2764" customFormat="1" ht="15" customHeight="1" outlineLevel="1" x14ac:dyDescent="0.4">
      <c r="A462" s="2962"/>
      <c r="B462" s="3864"/>
      <c r="C462" s="2797" t="s">
        <v>1757</v>
      </c>
      <c r="D462" s="2798" t="s">
        <v>3</v>
      </c>
      <c r="E462" s="2799">
        <f t="shared" si="30"/>
        <v>0.88000000000000012</v>
      </c>
      <c r="F462" s="2799">
        <f>IF($D462="Trigger",VLOOKUP($C462,'Lower Cask Weld Failures'!$D$582:$G$622,4,FALSE),E462+F461)</f>
        <v>18.294448541209871</v>
      </c>
      <c r="G462" s="2800"/>
      <c r="H462" s="2801" t="s">
        <v>263</v>
      </c>
      <c r="I462" s="2802"/>
      <c r="J462" s="2798"/>
      <c r="K462" s="2798"/>
      <c r="L462" s="2803" t="str">
        <f>IFERROR(INDEX('Lower Cask Movement &amp; Logistics'!$I$13:$O$19,MATCH($J462,'Lower Cask Movement &amp; Logistics'!$H$13:$H$19,0),MATCH($K462,'Lower Cask Movement &amp; Logistics'!$H$13:$H$19,0)),"N/A")</f>
        <v>N/A</v>
      </c>
      <c r="M462" s="2804" t="str">
        <f>IFERROR(VLOOKUP($I462,'Lower Cask Movement &amp; Logistics'!$H$4:$I$8,2,FALSE),"N/A")</f>
        <v>N/A</v>
      </c>
      <c r="N462" s="2805" t="str">
        <f t="shared" si="31"/>
        <v>N/A</v>
      </c>
      <c r="O462" s="2806" t="s">
        <v>1736</v>
      </c>
      <c r="P462" s="2807">
        <f>IF($D462="Logistics",VLOOKUP($O462,'Lower Cask Movement &amp; Logistics'!$C$4:$D$54,2,FALSE),"N/A")</f>
        <v>0.88000000000000012</v>
      </c>
      <c r="R462" s="2765"/>
      <c r="S462" s="2765"/>
    </row>
    <row r="463" spans="1:19" s="2764" customFormat="1" ht="15" customHeight="1" outlineLevel="1" x14ac:dyDescent="0.4">
      <c r="A463" s="2962"/>
      <c r="B463" s="3864"/>
      <c r="C463" s="2798" t="s">
        <v>1562</v>
      </c>
      <c r="D463" s="2798" t="s">
        <v>3</v>
      </c>
      <c r="E463" s="2799">
        <f t="shared" si="30"/>
        <v>2.3000000000000003</v>
      </c>
      <c r="F463" s="2799">
        <f>IF($D463="Trigger",VLOOKUP($C463,'Lower Cask Weld Failures'!$D$582:$G$622,4,FALSE),E463+F462)</f>
        <v>20.594448541209871</v>
      </c>
      <c r="G463" s="2800"/>
      <c r="H463" s="2801" t="s">
        <v>263</v>
      </c>
      <c r="I463" s="2802"/>
      <c r="J463" s="2798"/>
      <c r="K463" s="2798"/>
      <c r="L463" s="2803" t="str">
        <f>IFERROR(INDEX('Lower Cask Movement &amp; Logistics'!$I$13:$O$19,MATCH($J463,'Lower Cask Movement &amp; Logistics'!$H$13:$H$19,0),MATCH($K463,'Lower Cask Movement &amp; Logistics'!$H$13:$H$19,0)),"N/A")</f>
        <v>N/A</v>
      </c>
      <c r="M463" s="2804" t="str">
        <f>IFERROR(VLOOKUP($I463,'Lower Cask Movement &amp; Logistics'!$H$4:$I$8,2,FALSE),"N/A")</f>
        <v>N/A</v>
      </c>
      <c r="N463" s="2805" t="str">
        <f t="shared" si="31"/>
        <v>N/A</v>
      </c>
      <c r="O463" s="2806" t="s">
        <v>1562</v>
      </c>
      <c r="P463" s="2807">
        <f>IF($D463="Logistics",VLOOKUP($O463,'Lower Cask Movement &amp; Logistics'!$C$4:$D$54,2,FALSE),"N/A")</f>
        <v>2.3000000000000003</v>
      </c>
      <c r="R463" s="2765"/>
      <c r="S463" s="2765"/>
    </row>
    <row r="464" spans="1:19" s="2764" customFormat="1" ht="15" customHeight="1" outlineLevel="1" x14ac:dyDescent="0.4">
      <c r="A464" s="2962"/>
      <c r="B464" s="3864"/>
      <c r="C464" s="2797" t="s">
        <v>1737</v>
      </c>
      <c r="D464" s="2798" t="s">
        <v>778</v>
      </c>
      <c r="E464" s="2799">
        <f t="shared" si="30"/>
        <v>2.7777777777777776E-2</v>
      </c>
      <c r="F464" s="2799">
        <f>IF($D464="Trigger",VLOOKUP($C464,'Lower Cask Weld Failures'!$D$582:$G$622,4,FALSE),E464+F463)</f>
        <v>20.62222631898765</v>
      </c>
      <c r="G464" s="2800"/>
      <c r="H464" s="2801" t="s">
        <v>263</v>
      </c>
      <c r="I464" s="2802" t="s">
        <v>1738</v>
      </c>
      <c r="J464" s="2798" t="s">
        <v>914</v>
      </c>
      <c r="K464" s="2798" t="s">
        <v>799</v>
      </c>
      <c r="L464" s="2803">
        <f>IFERROR(INDEX('Lower Cask Movement &amp; Logistics'!$I$13:$O$19,MATCH($J464,'Lower Cask Movement &amp; Logistics'!$H$13:$H$19,0),MATCH($K464,'Lower Cask Movement &amp; Logistics'!$H$13:$H$19,0)),"N/A")</f>
        <v>20</v>
      </c>
      <c r="M464" s="2804">
        <f>IFERROR(VLOOKUP($I464,'Lower Cask Movement &amp; Logistics'!$H$4:$I$8,2,FALSE),"N/A")</f>
        <v>0.2</v>
      </c>
      <c r="N464" s="2805">
        <f t="shared" si="31"/>
        <v>2.7777777777777776E-2</v>
      </c>
      <c r="O464" s="2806"/>
      <c r="P464" s="2807" t="str">
        <f>IF($D464="Logistics",VLOOKUP($O464,'Lower Cask Movement &amp; Logistics'!$C$4:$D$54,2,FALSE),"N/A")</f>
        <v>N/A</v>
      </c>
      <c r="R464" s="2765"/>
      <c r="S464" s="2765"/>
    </row>
    <row r="465" spans="1:19" s="2764" customFormat="1" ht="15" customHeight="1" outlineLevel="1" x14ac:dyDescent="0.4">
      <c r="A465" s="2962"/>
      <c r="B465" s="3864"/>
      <c r="C465" s="2797" t="s">
        <v>1330</v>
      </c>
      <c r="D465" s="2798" t="s">
        <v>3</v>
      </c>
      <c r="E465" s="2799">
        <f t="shared" si="30"/>
        <v>0.58000000000000007</v>
      </c>
      <c r="F465" s="2799">
        <f>IF($D465="Trigger",VLOOKUP($C465,'Lower Cask Weld Failures'!$D$582:$G$622,4,FALSE),E465+F464)</f>
        <v>21.202226318987648</v>
      </c>
      <c r="G465" s="2800"/>
      <c r="H465" s="2801" t="s">
        <v>263</v>
      </c>
      <c r="I465" s="2802"/>
      <c r="J465" s="2798"/>
      <c r="K465" s="2798"/>
      <c r="L465" s="2803" t="str">
        <f>IFERROR(INDEX('Lower Cask Movement &amp; Logistics'!$I$13:$O$19,MATCH($J465,'Lower Cask Movement &amp; Logistics'!$H$13:$H$19,0),MATCH($K465,'Lower Cask Movement &amp; Logistics'!$H$13:$H$19,0)),"N/A")</f>
        <v>N/A</v>
      </c>
      <c r="M465" s="2804" t="str">
        <f>IFERROR(VLOOKUP($I465,'Lower Cask Movement &amp; Logistics'!$H$4:$I$8,2,FALSE),"N/A")</f>
        <v>N/A</v>
      </c>
      <c r="N465" s="2805" t="str">
        <f t="shared" si="31"/>
        <v>N/A</v>
      </c>
      <c r="O465" s="2806" t="s">
        <v>1539</v>
      </c>
      <c r="P465" s="2807">
        <f>IF($D465="Logistics",VLOOKUP($O465,'Lower Cask Movement &amp; Logistics'!$C$4:$D$54,2,FALSE),"N/A")</f>
        <v>0.58000000000000007</v>
      </c>
      <c r="R465" s="2765"/>
      <c r="S465" s="2765"/>
    </row>
    <row r="466" spans="1:19" s="2764" customFormat="1" ht="15" customHeight="1" outlineLevel="1" x14ac:dyDescent="0.4">
      <c r="A466" s="2962"/>
      <c r="B466" s="3864"/>
      <c r="C466" s="2798" t="s">
        <v>1755</v>
      </c>
      <c r="D466" s="2798" t="s">
        <v>3</v>
      </c>
      <c r="E466" s="2803">
        <f t="shared" si="30"/>
        <v>0.78</v>
      </c>
      <c r="F466" s="2803">
        <f>IF($D466="Trigger",VLOOKUP($C466,'Lower Cask Weld Failures'!$D$582:$G$622,4,FALSE),E466+F465)</f>
        <v>21.982226318987649</v>
      </c>
      <c r="G466" s="2808"/>
      <c r="H466" s="2820" t="s">
        <v>263</v>
      </c>
      <c r="I466" s="2802"/>
      <c r="J466" s="2798"/>
      <c r="K466" s="2798"/>
      <c r="L466" s="2821" t="str">
        <f>IFERROR(INDEX('Lower Cask Movement &amp; Logistics'!$I$13:$O$19,MATCH($J466,'Lower Cask Movement &amp; Logistics'!$H$13:$H$19,0),MATCH($K466,'Lower Cask Movement &amp; Logistics'!$H$13:$H$19,0)),"N/A")</f>
        <v>N/A</v>
      </c>
      <c r="M466" s="2934" t="str">
        <f>IFERROR(VLOOKUP($I466,'Lower Cask Movement &amp; Logistics'!$H$4:$I$8,2,FALSE),"N/A")</f>
        <v>N/A</v>
      </c>
      <c r="N466" s="2799" t="str">
        <f t="shared" si="31"/>
        <v>N/A</v>
      </c>
      <c r="O466" s="2809" t="s">
        <v>1740</v>
      </c>
      <c r="P466" s="2805">
        <f>IF($D466="Logistics",VLOOKUP($O466,'Lower Cask Movement &amp; Logistics'!$C$4:$D$54,2,FALSE),"N/A")</f>
        <v>0.78</v>
      </c>
      <c r="R466" s="2765"/>
      <c r="S466" s="2765"/>
    </row>
    <row r="467" spans="1:19" s="2764" customFormat="1" ht="15" customHeight="1" outlineLevel="1" x14ac:dyDescent="0.4">
      <c r="A467" s="2962"/>
      <c r="B467" s="3864"/>
      <c r="C467" s="2798" t="s">
        <v>1756</v>
      </c>
      <c r="D467" s="2798" t="s">
        <v>778</v>
      </c>
      <c r="E467" s="2803">
        <f t="shared" si="30"/>
        <v>0.69444444444444442</v>
      </c>
      <c r="F467" s="2803">
        <f>IF($D467="Trigger",VLOOKUP($C467,'Lower Cask Weld Failures'!$D$582:$G$622,4,FALSE),E467+F466)</f>
        <v>22.676670763432092</v>
      </c>
      <c r="G467" s="2808"/>
      <c r="H467" s="2820" t="s">
        <v>263</v>
      </c>
      <c r="I467" s="2802" t="s">
        <v>1538</v>
      </c>
      <c r="J467" s="2798" t="s">
        <v>799</v>
      </c>
      <c r="K467" s="2798" t="s">
        <v>1203</v>
      </c>
      <c r="L467" s="2821">
        <f>IFERROR(INDEX('Lower Cask Movement &amp; Logistics'!$I$13:$O$19,MATCH($J467,'Lower Cask Movement &amp; Logistics'!$H$13:$H$19,0),MATCH($K467,'Lower Cask Movement &amp; Logistics'!$H$13:$H$19,0)),"N/A")</f>
        <v>50</v>
      </c>
      <c r="M467" s="2821">
        <f>IFERROR(VLOOKUP($I467,'Lower Cask Movement &amp; Logistics'!$H$4:$I$8,2,FALSE),"N/A")</f>
        <v>0.02</v>
      </c>
      <c r="N467" s="2799">
        <f t="shared" si="31"/>
        <v>0.69444444444444442</v>
      </c>
      <c r="O467" s="2809"/>
      <c r="P467" s="2805" t="str">
        <f>IF($D467="Logistics",VLOOKUP($O467,'Lower Cask Movement &amp; Logistics'!$C$4:$D$54,2,FALSE),"N/A")</f>
        <v>N/A</v>
      </c>
      <c r="R467" s="2765"/>
      <c r="S467" s="2765"/>
    </row>
    <row r="468" spans="1:19" s="2764" customFormat="1" ht="39.75" customHeight="1" outlineLevel="1" thickBot="1" x14ac:dyDescent="0.45">
      <c r="A468" s="2962"/>
      <c r="B468" s="3865"/>
      <c r="C468" s="2810" t="str">
        <f>B459</f>
        <v>failed Divertor Pipework Modules Stored;  Cassette Transport Cask Prepared; Cassette Transport Cask Moved to Lower Port</v>
      </c>
      <c r="D468" s="2810" t="s">
        <v>11</v>
      </c>
      <c r="E468" s="2811">
        <f t="shared" si="30"/>
        <v>0</v>
      </c>
      <c r="F468" s="2811">
        <f>IF($D468="Trigger",VLOOKUP($C468,'Lower Cask Weld Failures'!$D$582:$G$622,4,FALSE),E468+F467)</f>
        <v>22.676670763432092</v>
      </c>
      <c r="G468" s="2812"/>
      <c r="H468" s="2813" t="s">
        <v>263</v>
      </c>
      <c r="I468" s="2814"/>
      <c r="J468" s="2810"/>
      <c r="K468" s="2810"/>
      <c r="L468" s="2815" t="str">
        <f>IFERROR(INDEX('Lower Cask Movement &amp; Logistics'!$I$13:$O$19,MATCH($J468,'Lower Cask Movement &amp; Logistics'!$H$13:$H$19,0),MATCH($K468,'Lower Cask Movement &amp; Logistics'!$H$13:$H$19,0)),"N/A")</f>
        <v>N/A</v>
      </c>
      <c r="M468" s="2815" t="str">
        <f>IFERROR(VLOOKUP($I468,'Lower Cask Movement &amp; Logistics'!$H$4:$I$8,2,FALSE),"N/A")</f>
        <v>N/A</v>
      </c>
      <c r="N468" s="2816" t="str">
        <f t="shared" si="31"/>
        <v>N/A</v>
      </c>
      <c r="O468" s="2817"/>
      <c r="P468" s="2822" t="str">
        <f>IF($D468="Logistics",VLOOKUP($O468,'Lower Cask Movement &amp; Logistics'!$C$4:$D$54,2,FALSE),"N/A")</f>
        <v>N/A</v>
      </c>
      <c r="R468" s="2765"/>
      <c r="S468" s="2765"/>
    </row>
    <row r="469" spans="1:19" s="2764" customFormat="1" ht="15" customHeight="1" outlineLevel="1" collapsed="1" x14ac:dyDescent="0.4">
      <c r="A469" s="2962"/>
      <c r="B469" s="3863" t="s">
        <v>1614</v>
      </c>
      <c r="C469" s="2788" t="s">
        <v>1608</v>
      </c>
      <c r="D469" s="2788" t="s">
        <v>907</v>
      </c>
      <c r="E469" s="2789">
        <f>MAX($P469,$N469,$H469)</f>
        <v>0</v>
      </c>
      <c r="F469" s="2789">
        <f>IF($D469="Trigger",VLOOKUP($C469,'Lower Cask Weld Failures'!$D$582:$G$622,4,FALSE),E469+F468)</f>
        <v>30.302967059728385</v>
      </c>
      <c r="G469" s="2790"/>
      <c r="H469" s="2791" t="s">
        <v>263</v>
      </c>
      <c r="I469" s="2792"/>
      <c r="J469" s="2788"/>
      <c r="K469" s="2788"/>
      <c r="L469" s="2793" t="str">
        <f>IFERROR(INDEX('Lower Cask Movement &amp; Logistics'!$I$13:$O$19,MATCH($J469,'Lower Cask Movement &amp; Logistics'!$H$13:$H$19,0),MATCH($K469,'Lower Cask Movement &amp; Logistics'!$H$13:$H$19,0)),"N/A")</f>
        <v>N/A</v>
      </c>
      <c r="M469" s="2933" t="str">
        <f>IFERROR(VLOOKUP($I469,'Lower Cask Movement &amp; Logistics'!$H$4:$I$8,2,FALSE),"N/A")</f>
        <v>N/A</v>
      </c>
      <c r="N469" s="2794" t="str">
        <f t="shared" si="31"/>
        <v>N/A</v>
      </c>
      <c r="O469" s="2795"/>
      <c r="P469" s="2796" t="str">
        <f>IF($D469="Logistics",VLOOKUP($O469,'Lower Cask Movement &amp; Logistics'!$C$4:$D$54,2,FALSE),"N/A")</f>
        <v>N/A</v>
      </c>
      <c r="R469" s="2765"/>
      <c r="S469" s="2765"/>
    </row>
    <row r="470" spans="1:19" s="2764" customFormat="1" ht="15" customHeight="1" outlineLevel="1" x14ac:dyDescent="0.4">
      <c r="A470" s="2962"/>
      <c r="B470" s="3864"/>
      <c r="C470" s="2797" t="s">
        <v>1732</v>
      </c>
      <c r="D470" s="2798" t="s">
        <v>778</v>
      </c>
      <c r="E470" s="2799">
        <f>MAX($P470,$N470,$H470)</f>
        <v>0.69444444444444442</v>
      </c>
      <c r="F470" s="2799">
        <f>IF($D470="Trigger",VLOOKUP($C470,'Lower Cask Weld Failures'!$D$582:$G$622,4,FALSE),E470+F469)</f>
        <v>30.997411504172828</v>
      </c>
      <c r="G470" s="2800"/>
      <c r="H470" s="2801" t="s">
        <v>263</v>
      </c>
      <c r="I470" s="2802" t="s">
        <v>1538</v>
      </c>
      <c r="J470" s="2798" t="s">
        <v>1203</v>
      </c>
      <c r="K470" s="2798" t="s">
        <v>914</v>
      </c>
      <c r="L470" s="2803">
        <f>IFERROR(INDEX('Lower Cask Movement &amp; Logistics'!$I$13:$O$19,MATCH($J470,'Lower Cask Movement &amp; Logistics'!$H$13:$H$19,0),MATCH($K470,'Lower Cask Movement &amp; Logistics'!$H$13:$H$19,0)),"N/A")</f>
        <v>50</v>
      </c>
      <c r="M470" s="2804">
        <f>IFERROR(VLOOKUP($I470,'Lower Cask Movement &amp; Logistics'!$H$4:$I$8,2,FALSE),"N/A")</f>
        <v>0.02</v>
      </c>
      <c r="N470" s="2805">
        <f t="shared" si="31"/>
        <v>0.69444444444444442</v>
      </c>
      <c r="O470" s="2806"/>
      <c r="P470" s="2807" t="str">
        <f>IF($D470="Logistics",VLOOKUP($O470,'Lower Cask Movement &amp; Logistics'!$C$4:$D$54,2,FALSE),"N/A")</f>
        <v>N/A</v>
      </c>
      <c r="R470" s="2765"/>
      <c r="S470" s="2765"/>
    </row>
    <row r="471" spans="1:19" s="2764" customFormat="1" ht="15" customHeight="1" outlineLevel="1" x14ac:dyDescent="0.4">
      <c r="A471" s="2962"/>
      <c r="B471" s="3864"/>
      <c r="C471" s="2797" t="s">
        <v>1733</v>
      </c>
      <c r="D471" s="2798" t="s">
        <v>3</v>
      </c>
      <c r="E471" s="2799">
        <f t="shared" ref="E471:E479" si="32">MAX($P471,$N471,$H471)</f>
        <v>1.9</v>
      </c>
      <c r="F471" s="2799">
        <f>IF($D471="Trigger",VLOOKUP($C471,'Lower Cask Weld Failures'!$D$582:$G$622,4,FALSE),E471+F470)</f>
        <v>32.89741150417283</v>
      </c>
      <c r="G471" s="2800"/>
      <c r="H471" s="2801" t="s">
        <v>263</v>
      </c>
      <c r="I471" s="2802"/>
      <c r="J471" s="2798"/>
      <c r="K471" s="2798"/>
      <c r="L471" s="2803" t="str">
        <f>IFERROR(INDEX('Lower Cask Movement &amp; Logistics'!$I$13:$O$19,MATCH($J471,'Lower Cask Movement &amp; Logistics'!$H$13:$H$19,0),MATCH($K471,'Lower Cask Movement &amp; Logistics'!$H$13:$H$19,0)),"N/A")</f>
        <v>N/A</v>
      </c>
      <c r="M471" s="2804" t="str">
        <f>IFERROR(VLOOKUP($I471,'Lower Cask Movement &amp; Logistics'!$H$4:$I$8,2,FALSE),"N/A")</f>
        <v>N/A</v>
      </c>
      <c r="N471" s="2805" t="str">
        <f t="shared" si="31"/>
        <v>N/A</v>
      </c>
      <c r="O471" s="2806" t="s">
        <v>1734</v>
      </c>
      <c r="P471" s="2807">
        <f>IF($D471="Logistics",VLOOKUP($O471,'Lower Cask Movement &amp; Logistics'!$C$4:$D$54,2,FALSE),"N/A")</f>
        <v>1.9</v>
      </c>
      <c r="R471" s="2765"/>
      <c r="S471" s="2765"/>
    </row>
    <row r="472" spans="1:19" s="2764" customFormat="1" ht="15" customHeight="1" outlineLevel="1" x14ac:dyDescent="0.4">
      <c r="A472" s="2962"/>
      <c r="B472" s="3864"/>
      <c r="C472" s="2798" t="s">
        <v>1758</v>
      </c>
      <c r="D472" s="2798" t="s">
        <v>3</v>
      </c>
      <c r="E472" s="2799">
        <f t="shared" si="32"/>
        <v>0.58000000000000007</v>
      </c>
      <c r="F472" s="2799">
        <f>IF($D472="Trigger",VLOOKUP($C472,'Lower Cask Weld Failures'!$D$582:$G$622,4,FALSE),E472+F471)</f>
        <v>33.477411504172828</v>
      </c>
      <c r="G472" s="2808"/>
      <c r="H472" s="2801" t="s">
        <v>263</v>
      </c>
      <c r="I472" s="2802"/>
      <c r="J472" s="2798"/>
      <c r="K472" s="2798"/>
      <c r="L472" s="2803" t="str">
        <f>IFERROR(INDEX('Lower Cask Movement &amp; Logistics'!$I$13:$O$19,MATCH($J472,'Lower Cask Movement &amp; Logistics'!$H$13:$H$19,0),MATCH($K472,'Lower Cask Movement &amp; Logistics'!$H$13:$H$19,0)),"N/A")</f>
        <v>N/A</v>
      </c>
      <c r="M472" s="2804" t="str">
        <f>IFERROR(VLOOKUP($I472,'Lower Cask Movement &amp; Logistics'!$H$4:$I$8,2,FALSE),"N/A")</f>
        <v>N/A</v>
      </c>
      <c r="N472" s="2805" t="str">
        <f t="shared" si="31"/>
        <v>N/A</v>
      </c>
      <c r="O472" s="2809" t="s">
        <v>1539</v>
      </c>
      <c r="P472" s="2807">
        <f>IF($D472="Logistics",VLOOKUP($O472,'Lower Cask Movement &amp; Logistics'!$C$4:$D$54,2,FALSE),"N/A")</f>
        <v>0.58000000000000007</v>
      </c>
      <c r="R472" s="2765"/>
      <c r="S472" s="2765"/>
    </row>
    <row r="473" spans="1:19" s="2764" customFormat="1" ht="15" customHeight="1" outlineLevel="1" x14ac:dyDescent="0.4">
      <c r="A473" s="2962"/>
      <c r="B473" s="3864"/>
      <c r="C473" s="2798" t="s">
        <v>1562</v>
      </c>
      <c r="D473" s="2798" t="s">
        <v>3</v>
      </c>
      <c r="E473" s="2799">
        <f t="shared" si="32"/>
        <v>2.3000000000000003</v>
      </c>
      <c r="F473" s="2799">
        <f>IF($D473="Trigger",VLOOKUP($C473,'Lower Cask Weld Failures'!$D$582:$G$622,4,FALSE),E473+F472)</f>
        <v>35.777411504172825</v>
      </c>
      <c r="G473" s="2808"/>
      <c r="H473" s="2801" t="s">
        <v>263</v>
      </c>
      <c r="I473" s="2802"/>
      <c r="J473" s="2798"/>
      <c r="K473" s="2798"/>
      <c r="L473" s="2803" t="str">
        <f>IFERROR(INDEX('Lower Cask Movement &amp; Logistics'!$I$13:$O$19,MATCH($J473,'Lower Cask Movement &amp; Logistics'!$H$13:$H$19,0),MATCH($K473,'Lower Cask Movement &amp; Logistics'!$H$13:$H$19,0)),"N/A")</f>
        <v>N/A</v>
      </c>
      <c r="M473" s="2804" t="str">
        <f>IFERROR(VLOOKUP($I473,'Lower Cask Movement &amp; Logistics'!$H$4:$I$8,2,FALSE),"N/A")</f>
        <v>N/A</v>
      </c>
      <c r="N473" s="2805" t="str">
        <f t="shared" si="31"/>
        <v>N/A</v>
      </c>
      <c r="O473" s="2809" t="s">
        <v>1562</v>
      </c>
      <c r="P473" s="2807">
        <f>IF($D473="Logistics",VLOOKUP($O473,'Lower Cask Movement &amp; Logistics'!$C$4:$D$54,2,FALSE),"N/A")</f>
        <v>2.3000000000000003</v>
      </c>
      <c r="R473" s="2765"/>
      <c r="S473" s="2765"/>
    </row>
    <row r="474" spans="1:19" s="2764" customFormat="1" ht="15" customHeight="1" outlineLevel="1" x14ac:dyDescent="0.4">
      <c r="A474" s="2962"/>
      <c r="B474" s="3864"/>
      <c r="C474" s="2798" t="s">
        <v>1737</v>
      </c>
      <c r="D474" s="2798" t="s">
        <v>778</v>
      </c>
      <c r="E474" s="2799">
        <f t="shared" si="32"/>
        <v>2.7777777777777776E-2</v>
      </c>
      <c r="F474" s="2799">
        <f>IF($D474="Trigger",VLOOKUP($C474,'Lower Cask Weld Failures'!$D$582:$G$622,4,FALSE),E474+F473)</f>
        <v>35.805189281950604</v>
      </c>
      <c r="G474" s="2808"/>
      <c r="H474" s="2801" t="s">
        <v>263</v>
      </c>
      <c r="I474" s="2802" t="s">
        <v>1738</v>
      </c>
      <c r="J474" s="2798" t="s">
        <v>914</v>
      </c>
      <c r="K474" s="2798" t="s">
        <v>799</v>
      </c>
      <c r="L474" s="2803">
        <f>IFERROR(INDEX('Lower Cask Movement &amp; Logistics'!$I$13:$O$19,MATCH($J474,'Lower Cask Movement &amp; Logistics'!$H$13:$H$19,0),MATCH($K474,'Lower Cask Movement &amp; Logistics'!$H$13:$H$19,0)),"N/A")</f>
        <v>20</v>
      </c>
      <c r="M474" s="2804">
        <f>IFERROR(VLOOKUP($I474,'Lower Cask Movement &amp; Logistics'!$H$4:$I$8,2,FALSE),"N/A")</f>
        <v>0.2</v>
      </c>
      <c r="N474" s="2805">
        <f t="shared" si="31"/>
        <v>2.7777777777777776E-2</v>
      </c>
      <c r="O474" s="2809"/>
      <c r="P474" s="2807" t="str">
        <f>IF($D474="Logistics",VLOOKUP($O474,'Lower Cask Movement &amp; Logistics'!$C$4:$D$54,2,FALSE),"N/A")</f>
        <v>N/A</v>
      </c>
      <c r="R474" s="2765"/>
      <c r="S474" s="2765"/>
    </row>
    <row r="475" spans="1:19" s="2764" customFormat="1" ht="15" customHeight="1" outlineLevel="1" x14ac:dyDescent="0.4">
      <c r="A475" s="2962"/>
      <c r="B475" s="3864"/>
      <c r="C475" s="2798" t="s">
        <v>1733</v>
      </c>
      <c r="D475" s="2798" t="s">
        <v>3</v>
      </c>
      <c r="E475" s="2799">
        <f t="shared" si="32"/>
        <v>1.9</v>
      </c>
      <c r="F475" s="2799">
        <f>IF($D475="Trigger",VLOOKUP($C475,'Lower Cask Weld Failures'!$D$582:$G$622,4,FALSE),E475+F474)</f>
        <v>37.705189281950602</v>
      </c>
      <c r="G475" s="2808"/>
      <c r="H475" s="2801" t="s">
        <v>263</v>
      </c>
      <c r="I475" s="2802"/>
      <c r="J475" s="2798"/>
      <c r="K475" s="2798"/>
      <c r="L475" s="2803" t="str">
        <f>IFERROR(INDEX('Lower Cask Movement &amp; Logistics'!$I$13:$O$19,MATCH($J475,'Lower Cask Movement &amp; Logistics'!$H$13:$H$19,0),MATCH($K475,'Lower Cask Movement &amp; Logistics'!$H$13:$H$19,0)),"N/A")</f>
        <v>N/A</v>
      </c>
      <c r="M475" s="2804" t="str">
        <f>IFERROR(VLOOKUP($I475,'Lower Cask Movement &amp; Logistics'!$H$4:$I$8,2,FALSE),"N/A")</f>
        <v>N/A</v>
      </c>
      <c r="N475" s="2805" t="str">
        <f t="shared" si="31"/>
        <v>N/A</v>
      </c>
      <c r="O475" s="2809" t="s">
        <v>1734</v>
      </c>
      <c r="P475" s="2807">
        <f>IF($D475="Logistics",VLOOKUP($O475,'Lower Cask Movement &amp; Logistics'!$C$4:$D$54,2,FALSE),"N/A")</f>
        <v>1.9</v>
      </c>
      <c r="R475" s="2765"/>
      <c r="S475" s="2765"/>
    </row>
    <row r="476" spans="1:19" s="2764" customFormat="1" ht="15" customHeight="1" outlineLevel="1" x14ac:dyDescent="0.4">
      <c r="A476" s="2962"/>
      <c r="B476" s="3864"/>
      <c r="C476" s="2798" t="s">
        <v>1755</v>
      </c>
      <c r="D476" s="2798" t="s">
        <v>3</v>
      </c>
      <c r="E476" s="2799">
        <f t="shared" si="32"/>
        <v>0.78</v>
      </c>
      <c r="F476" s="2799">
        <f>IF($D476="Trigger",VLOOKUP($C476,'Lower Cask Weld Failures'!$D$582:$G$622,4,FALSE),E476+F475)</f>
        <v>38.485189281950603</v>
      </c>
      <c r="G476" s="2808"/>
      <c r="H476" s="2801" t="s">
        <v>263</v>
      </c>
      <c r="I476" s="2802"/>
      <c r="J476" s="2798"/>
      <c r="K476" s="2798"/>
      <c r="L476" s="2803" t="str">
        <f>IFERROR(INDEX('Lower Cask Movement &amp; Logistics'!$I$13:$O$19,MATCH($J476,'Lower Cask Movement &amp; Logistics'!$H$13:$H$19,0),MATCH($K476,'Lower Cask Movement &amp; Logistics'!$H$13:$H$19,0)),"N/A")</f>
        <v>N/A</v>
      </c>
      <c r="M476" s="2804" t="str">
        <f>IFERROR(VLOOKUP($I476,'Lower Cask Movement &amp; Logistics'!$H$4:$I$8,2,FALSE),"N/A")</f>
        <v>N/A</v>
      </c>
      <c r="N476" s="2805" t="str">
        <f t="shared" si="31"/>
        <v>N/A</v>
      </c>
      <c r="O476" s="2809" t="s">
        <v>1740</v>
      </c>
      <c r="P476" s="2807">
        <f>IF($D476="Logistics",VLOOKUP($O476,'Lower Cask Movement &amp; Logistics'!$C$4:$D$54,2,FALSE),"N/A")</f>
        <v>0.78</v>
      </c>
      <c r="R476" s="2765"/>
      <c r="S476" s="2765"/>
    </row>
    <row r="477" spans="1:19" s="2764" customFormat="1" ht="15" customHeight="1" outlineLevel="1" x14ac:dyDescent="0.4">
      <c r="A477" s="2962"/>
      <c r="B477" s="3864"/>
      <c r="C477" s="2798" t="s">
        <v>1562</v>
      </c>
      <c r="D477" s="2798" t="s">
        <v>3</v>
      </c>
      <c r="E477" s="2799">
        <f t="shared" si="32"/>
        <v>2.3000000000000003</v>
      </c>
      <c r="F477" s="2799">
        <f>IF($D477="Trigger",VLOOKUP($C477,'Lower Cask Weld Failures'!$D$582:$G$622,4,FALSE),E477+F476)</f>
        <v>40.785189281950601</v>
      </c>
      <c r="G477" s="2808"/>
      <c r="H477" s="2801" t="s">
        <v>263</v>
      </c>
      <c r="I477" s="2802"/>
      <c r="J477" s="2798"/>
      <c r="K477" s="2798"/>
      <c r="L477" s="2803" t="str">
        <f>IFERROR(INDEX('Lower Cask Movement &amp; Logistics'!$I$13:$O$19,MATCH($J477,'Lower Cask Movement &amp; Logistics'!$H$13:$H$19,0),MATCH($K477,'Lower Cask Movement &amp; Logistics'!$H$13:$H$19,0)),"N/A")</f>
        <v>N/A</v>
      </c>
      <c r="M477" s="2804" t="str">
        <f>IFERROR(VLOOKUP($I477,'Lower Cask Movement &amp; Logistics'!$H$4:$I$8,2,FALSE),"N/A")</f>
        <v>N/A</v>
      </c>
      <c r="N477" s="2805" t="str">
        <f t="shared" si="31"/>
        <v>N/A</v>
      </c>
      <c r="O477" s="2809" t="s">
        <v>1562</v>
      </c>
      <c r="P477" s="2807">
        <f>IF($D477="Logistics",VLOOKUP($O477,'Lower Cask Movement &amp; Logistics'!$C$4:$D$54,2,FALSE),"N/A")</f>
        <v>2.3000000000000003</v>
      </c>
      <c r="R477" s="2765"/>
      <c r="S477" s="2765"/>
    </row>
    <row r="478" spans="1:19" s="2764" customFormat="1" ht="26.25" customHeight="1" outlineLevel="1" x14ac:dyDescent="0.4">
      <c r="A478" s="2962"/>
      <c r="B478" s="3864"/>
      <c r="C478" s="2798" t="s">
        <v>1756</v>
      </c>
      <c r="D478" s="2798" t="s">
        <v>778</v>
      </c>
      <c r="E478" s="2799">
        <f t="shared" si="32"/>
        <v>0.23148148148148148</v>
      </c>
      <c r="F478" s="2799">
        <f>IF($D478="Trigger",VLOOKUP($C478,'Lower Cask Weld Failures'!$D$582:$G$622,4,FALSE),E478+F477)</f>
        <v>41.016670763432082</v>
      </c>
      <c r="G478" s="2808"/>
      <c r="H478" s="2820" t="s">
        <v>263</v>
      </c>
      <c r="I478" s="2802" t="s">
        <v>1536</v>
      </c>
      <c r="J478" s="2798" t="s">
        <v>799</v>
      </c>
      <c r="K478" s="2798" t="s">
        <v>1203</v>
      </c>
      <c r="L478" s="2803">
        <f>IFERROR(INDEX('Lower Cask Movement &amp; Logistics'!$I$13:$O$19,MATCH($J478,'Lower Cask Movement &amp; Logistics'!$H$13:$H$19,0),MATCH($K478,'Lower Cask Movement &amp; Logistics'!$H$13:$H$19,0)),"N/A")</f>
        <v>50</v>
      </c>
      <c r="M478" s="2804">
        <f>IFERROR(VLOOKUP($I478,'Lower Cask Movement &amp; Logistics'!$H$4:$I$8,2,FALSE),"N/A")</f>
        <v>0.06</v>
      </c>
      <c r="N478" s="2805">
        <f t="shared" si="31"/>
        <v>0.23148148148148148</v>
      </c>
      <c r="O478" s="2809"/>
      <c r="P478" s="2807" t="str">
        <f>IF($D478="Logistics",VLOOKUP($O478,'Lower Cask Movement &amp; Logistics'!$C$4:$D$54,2,FALSE),"N/A")</f>
        <v>N/A</v>
      </c>
      <c r="R478" s="2765"/>
      <c r="S478" s="2765"/>
    </row>
    <row r="479" spans="1:19" s="2764" customFormat="1" ht="27" customHeight="1" outlineLevel="1" thickBot="1" x14ac:dyDescent="0.45">
      <c r="A479" s="2962"/>
      <c r="B479" s="3865"/>
      <c r="C479" s="2810" t="str">
        <f>B469</f>
        <v>Central Cassette Stored; Cassette Transport Cask Moved to Lower Port</v>
      </c>
      <c r="D479" s="2810" t="s">
        <v>11</v>
      </c>
      <c r="E479" s="2811">
        <f t="shared" si="32"/>
        <v>0</v>
      </c>
      <c r="F479" s="2811">
        <f>IF($D479="Trigger",VLOOKUP($C479,'Lower Cask Weld Failures'!$D$582:$G$622,4,FALSE),E479+F478)</f>
        <v>41.016670763432082</v>
      </c>
      <c r="G479" s="2812"/>
      <c r="H479" s="2813" t="s">
        <v>263</v>
      </c>
      <c r="I479" s="2814"/>
      <c r="J479" s="2810"/>
      <c r="K479" s="2810"/>
      <c r="L479" s="2815" t="str">
        <f>IFERROR(INDEX('Lower Cask Movement &amp; Logistics'!$I$13:$O$19,MATCH($J479,'Lower Cask Movement &amp; Logistics'!$H$13:$H$19,0),MATCH($K479,'Lower Cask Movement &amp; Logistics'!$H$13:$H$19,0)),"N/A")</f>
        <v>N/A</v>
      </c>
      <c r="M479" s="2815" t="str">
        <f>IFERROR(VLOOKUP($I479,'Lower Cask Movement &amp; Logistics'!$H$4:$I$8,2,FALSE),"N/A")</f>
        <v>N/A</v>
      </c>
      <c r="N479" s="2816" t="str">
        <f>IF(D479="Movement",IFERROR((L479/M479)/(60*60),"Error"),"N/A")</f>
        <v>N/A</v>
      </c>
      <c r="O479" s="2817"/>
      <c r="P479" s="2822" t="str">
        <f>IF($D479="Logistics",VLOOKUP($O479,'Lower Cask Movement &amp; Logistics'!$C$4:$D$54,2,FALSE),"N/A")</f>
        <v>N/A</v>
      </c>
      <c r="R479" s="2765"/>
      <c r="S479" s="2765"/>
    </row>
    <row r="480" spans="1:19" s="2764" customFormat="1" ht="15" customHeight="1" outlineLevel="1" x14ac:dyDescent="0.4">
      <c r="A480" s="2962"/>
      <c r="B480" s="3863" t="s">
        <v>1916</v>
      </c>
      <c r="C480" s="2788" t="s">
        <v>1995</v>
      </c>
      <c r="D480" s="2788" t="s">
        <v>907</v>
      </c>
      <c r="E480" s="2789">
        <f t="shared" si="30"/>
        <v>0</v>
      </c>
      <c r="F480" s="2789">
        <f>IF($D480="Trigger",VLOOKUP($C480,'Lower Cask Weld Failures'!$D$582:$G$622,4,FALSE),E480+F479)</f>
        <v>36.262967059728389</v>
      </c>
      <c r="G480" s="2790"/>
      <c r="H480" s="2791" t="s">
        <v>263</v>
      </c>
      <c r="I480" s="2792"/>
      <c r="J480" s="2788"/>
      <c r="K480" s="2788"/>
      <c r="L480" s="2793" t="str">
        <f>IFERROR(INDEX('Lower Cask Movement &amp; Logistics'!$I$13:$O$19,MATCH($J480,'Lower Cask Movement &amp; Logistics'!$H$13:$H$19,0),MATCH($K480,'Lower Cask Movement &amp; Logistics'!$H$13:$H$19,0)),"N/A")</f>
        <v>N/A</v>
      </c>
      <c r="M480" s="2933" t="str">
        <f>IFERROR(VLOOKUP($I480,'Lower Cask Movement &amp; Logistics'!$H$4:$I$8,2,FALSE),"N/A")</f>
        <v>N/A</v>
      </c>
      <c r="N480" s="2794" t="str">
        <f t="shared" si="31"/>
        <v>N/A</v>
      </c>
      <c r="O480" s="2795"/>
      <c r="P480" s="2796" t="str">
        <f>IF($D480="Logistics",VLOOKUP($O480,'Lower Cask Movement &amp; Logistics'!$C$4:$D$54,2,FALSE),"N/A")</f>
        <v>N/A</v>
      </c>
      <c r="R480" s="2765"/>
      <c r="S480" s="2765"/>
    </row>
    <row r="481" spans="1:19" s="2764" customFormat="1" ht="15" customHeight="1" outlineLevel="1" x14ac:dyDescent="0.4">
      <c r="A481" s="2962"/>
      <c r="B481" s="3864"/>
      <c r="C481" s="2797" t="s">
        <v>1732</v>
      </c>
      <c r="D481" s="2798" t="s">
        <v>778</v>
      </c>
      <c r="E481" s="2799">
        <f t="shared" si="30"/>
        <v>0.69444444444444442</v>
      </c>
      <c r="F481" s="2799">
        <f>IF($D481="Trigger",VLOOKUP($C481,'Lower Cask Weld Failures'!$D$582:$G$622,4,FALSE),E481+F480)</f>
        <v>36.957411504172832</v>
      </c>
      <c r="G481" s="2800"/>
      <c r="H481" s="2801" t="s">
        <v>263</v>
      </c>
      <c r="I481" s="2802" t="s">
        <v>1538</v>
      </c>
      <c r="J481" s="2798" t="s">
        <v>1203</v>
      </c>
      <c r="K481" s="2798" t="s">
        <v>914</v>
      </c>
      <c r="L481" s="2803">
        <f>IFERROR(INDEX('Lower Cask Movement &amp; Logistics'!$I$13:$O$19,MATCH($J481,'Lower Cask Movement &amp; Logistics'!$H$13:$H$19,0),MATCH($K481,'Lower Cask Movement &amp; Logistics'!$H$13:$H$19,0)),"N/A")</f>
        <v>50</v>
      </c>
      <c r="M481" s="2804">
        <f>IFERROR(VLOOKUP($I481,'Lower Cask Movement &amp; Logistics'!$H$4:$I$8,2,FALSE),"N/A")</f>
        <v>0.02</v>
      </c>
      <c r="N481" s="2805">
        <f t="shared" si="31"/>
        <v>0.69444444444444442</v>
      </c>
      <c r="O481" s="2806"/>
      <c r="P481" s="2807" t="str">
        <f>IF($D481="Logistics",VLOOKUP($O481,'Lower Cask Movement &amp; Logistics'!$C$4:$D$54,2,FALSE),"N/A")</f>
        <v>N/A</v>
      </c>
      <c r="R481" s="2765"/>
      <c r="S481" s="2765"/>
    </row>
    <row r="482" spans="1:19" s="2764" customFormat="1" ht="15" customHeight="1" outlineLevel="1" x14ac:dyDescent="0.4">
      <c r="A482" s="2962"/>
      <c r="B482" s="3864"/>
      <c r="C482" s="2797" t="s">
        <v>1733</v>
      </c>
      <c r="D482" s="2798" t="s">
        <v>3</v>
      </c>
      <c r="E482" s="2799">
        <f t="shared" si="30"/>
        <v>1.9</v>
      </c>
      <c r="F482" s="2799">
        <f>IF($D482="Trigger",VLOOKUP($C482,'Lower Cask Weld Failures'!$D$582:$G$622,4,FALSE),E482+F481)</f>
        <v>38.857411504172831</v>
      </c>
      <c r="G482" s="2800"/>
      <c r="H482" s="2801" t="s">
        <v>263</v>
      </c>
      <c r="I482" s="2802"/>
      <c r="J482" s="2798"/>
      <c r="K482" s="2798"/>
      <c r="L482" s="2803" t="str">
        <f>IFERROR(INDEX('Lower Cask Movement &amp; Logistics'!$I$13:$O$19,MATCH($J482,'Lower Cask Movement &amp; Logistics'!$H$13:$H$19,0),MATCH($K482,'Lower Cask Movement &amp; Logistics'!$H$13:$H$19,0)),"N/A")</f>
        <v>N/A</v>
      </c>
      <c r="M482" s="2804" t="str">
        <f>IFERROR(VLOOKUP($I482,'Lower Cask Movement &amp; Logistics'!$H$4:$I$8,2,FALSE),"N/A")</f>
        <v>N/A</v>
      </c>
      <c r="N482" s="2805" t="str">
        <f t="shared" si="31"/>
        <v>N/A</v>
      </c>
      <c r="O482" s="2806" t="s">
        <v>1734</v>
      </c>
      <c r="P482" s="2807">
        <f>IF($D482="Logistics",VLOOKUP($O482,'Lower Cask Movement &amp; Logistics'!$C$4:$D$54,2,FALSE),"N/A")</f>
        <v>1.9</v>
      </c>
      <c r="R482" s="2765"/>
      <c r="S482" s="2765"/>
    </row>
    <row r="483" spans="1:19" s="2764" customFormat="1" ht="15" customHeight="1" outlineLevel="1" x14ac:dyDescent="0.4">
      <c r="A483" s="2962"/>
      <c r="B483" s="3864"/>
      <c r="C483" s="2798" t="s">
        <v>1986</v>
      </c>
      <c r="D483" s="2798" t="s">
        <v>3</v>
      </c>
      <c r="E483" s="2799">
        <f t="shared" si="30"/>
        <v>0.88000000000000012</v>
      </c>
      <c r="F483" s="2799">
        <f>IF($D483="Trigger",VLOOKUP($C483,'Lower Cask Weld Failures'!$D$582:$G$622,4,FALSE),E483+F482)</f>
        <v>39.737411504172833</v>
      </c>
      <c r="G483" s="2808"/>
      <c r="H483" s="2801" t="s">
        <v>263</v>
      </c>
      <c r="I483" s="2802"/>
      <c r="J483" s="2798"/>
      <c r="K483" s="2798"/>
      <c r="L483" s="2803" t="str">
        <f>IFERROR(INDEX('Lower Cask Movement &amp; Logistics'!$I$13:$O$19,MATCH($J483,'Lower Cask Movement &amp; Logistics'!$H$13:$H$19,0),MATCH($K483,'Lower Cask Movement &amp; Logistics'!$H$13:$H$19,0)),"N/A")</f>
        <v>N/A</v>
      </c>
      <c r="M483" s="2804" t="str">
        <f>IFERROR(VLOOKUP($I483,'Lower Cask Movement &amp; Logistics'!$H$4:$I$8,2,FALSE),"N/A")</f>
        <v>N/A</v>
      </c>
      <c r="N483" s="2805" t="str">
        <f t="shared" si="31"/>
        <v>N/A</v>
      </c>
      <c r="O483" s="2809" t="s">
        <v>1960</v>
      </c>
      <c r="P483" s="2807">
        <f>IF($D483="Logistics",VLOOKUP($O483,'Lower Cask Movement &amp; Logistics'!$C$4:$D$54,2,FALSE),"N/A")</f>
        <v>0.88000000000000012</v>
      </c>
      <c r="R483" s="2765"/>
      <c r="S483" s="2765"/>
    </row>
    <row r="484" spans="1:19" s="2764" customFormat="1" ht="15" customHeight="1" outlineLevel="1" x14ac:dyDescent="0.4">
      <c r="A484" s="2962"/>
      <c r="B484" s="3864"/>
      <c r="C484" s="2798" t="s">
        <v>1562</v>
      </c>
      <c r="D484" s="2798" t="s">
        <v>3</v>
      </c>
      <c r="E484" s="2799">
        <f t="shared" si="30"/>
        <v>2.3000000000000003</v>
      </c>
      <c r="F484" s="2799">
        <f>IF($D484="Trigger",VLOOKUP($C484,'Lower Cask Weld Failures'!$D$582:$G$622,4,FALSE),E484+F483)</f>
        <v>42.03741150417283</v>
      </c>
      <c r="G484" s="2808"/>
      <c r="H484" s="2801" t="s">
        <v>263</v>
      </c>
      <c r="I484" s="2802"/>
      <c r="J484" s="2798"/>
      <c r="K484" s="2798"/>
      <c r="L484" s="2803" t="str">
        <f>IFERROR(INDEX('Lower Cask Movement &amp; Logistics'!$I$13:$O$19,MATCH($J484,'Lower Cask Movement &amp; Logistics'!$H$13:$H$19,0),MATCH($K484,'Lower Cask Movement &amp; Logistics'!$H$13:$H$19,0)),"N/A")</f>
        <v>N/A</v>
      </c>
      <c r="M484" s="2804" t="str">
        <f>IFERROR(VLOOKUP($I484,'Lower Cask Movement &amp; Logistics'!$H$4:$I$8,2,FALSE),"N/A")</f>
        <v>N/A</v>
      </c>
      <c r="N484" s="2805" t="str">
        <f t="shared" si="31"/>
        <v>N/A</v>
      </c>
      <c r="O484" s="2809" t="s">
        <v>1562</v>
      </c>
      <c r="P484" s="2807">
        <f>IF($D484="Logistics",VLOOKUP($O484,'Lower Cask Movement &amp; Logistics'!$C$4:$D$54,2,FALSE),"N/A")</f>
        <v>2.3000000000000003</v>
      </c>
      <c r="R484" s="2765"/>
      <c r="S484" s="2765"/>
    </row>
    <row r="485" spans="1:19" s="2764" customFormat="1" ht="15" customHeight="1" outlineLevel="1" x14ac:dyDescent="0.4">
      <c r="A485" s="2962"/>
      <c r="B485" s="3864"/>
      <c r="C485" s="2798" t="s">
        <v>1737</v>
      </c>
      <c r="D485" s="2798" t="s">
        <v>778</v>
      </c>
      <c r="E485" s="2799">
        <f t="shared" si="30"/>
        <v>2.7777777777777776E-2</v>
      </c>
      <c r="F485" s="2799">
        <f>IF($D485="Trigger",VLOOKUP($C485,'Lower Cask Weld Failures'!$D$582:$G$622,4,FALSE),E485+F484)</f>
        <v>42.065189281950609</v>
      </c>
      <c r="G485" s="2808"/>
      <c r="H485" s="2801" t="s">
        <v>263</v>
      </c>
      <c r="I485" s="2802" t="s">
        <v>1738</v>
      </c>
      <c r="J485" s="2798" t="s">
        <v>914</v>
      </c>
      <c r="K485" s="2798" t="s">
        <v>799</v>
      </c>
      <c r="L485" s="2803">
        <f>IFERROR(INDEX('Lower Cask Movement &amp; Logistics'!$I$13:$O$19,MATCH($J485,'Lower Cask Movement &amp; Logistics'!$H$13:$H$19,0),MATCH($K485,'Lower Cask Movement &amp; Logistics'!$H$13:$H$19,0)),"N/A")</f>
        <v>20</v>
      </c>
      <c r="M485" s="2804">
        <f>IFERROR(VLOOKUP($I485,'Lower Cask Movement &amp; Logistics'!$H$4:$I$8,2,FALSE),"N/A")</f>
        <v>0.2</v>
      </c>
      <c r="N485" s="2805">
        <f t="shared" si="31"/>
        <v>2.7777777777777776E-2</v>
      </c>
      <c r="O485" s="2809"/>
      <c r="P485" s="2807" t="str">
        <f>IF($D485="Logistics",VLOOKUP($O485,'Lower Cask Movement &amp; Logistics'!$C$4:$D$54,2,FALSE),"N/A")</f>
        <v>N/A</v>
      </c>
      <c r="R485" s="2765"/>
      <c r="S485" s="2765"/>
    </row>
    <row r="486" spans="1:19" s="2764" customFormat="1" ht="15" customHeight="1" outlineLevel="1" x14ac:dyDescent="0.4">
      <c r="A486" s="2963"/>
      <c r="B486" s="3864"/>
      <c r="C486" s="2798" t="s">
        <v>1733</v>
      </c>
      <c r="D486" s="2798" t="s">
        <v>3</v>
      </c>
      <c r="E486" s="2799">
        <f t="shared" si="30"/>
        <v>1.9</v>
      </c>
      <c r="F486" s="2799">
        <f>IF($D486="Trigger",VLOOKUP($C486,'Lower Cask Weld Failures'!$D$582:$G$622,4,FALSE),E486+F485)</f>
        <v>43.965189281950607</v>
      </c>
      <c r="G486" s="2808"/>
      <c r="H486" s="2801" t="s">
        <v>263</v>
      </c>
      <c r="I486" s="2802"/>
      <c r="J486" s="2798"/>
      <c r="K486" s="2798"/>
      <c r="L486" s="2803" t="str">
        <f>IFERROR(INDEX('Lower Cask Movement &amp; Logistics'!$I$13:$O$19,MATCH($J486,'Lower Cask Movement &amp; Logistics'!$H$13:$H$19,0),MATCH($K486,'Lower Cask Movement &amp; Logistics'!$H$13:$H$19,0)),"N/A")</f>
        <v>N/A</v>
      </c>
      <c r="M486" s="2804" t="str">
        <f>IFERROR(VLOOKUP($I486,'Lower Cask Movement &amp; Logistics'!$H$4:$I$8,2,FALSE),"N/A")</f>
        <v>N/A</v>
      </c>
      <c r="N486" s="2805" t="str">
        <f t="shared" si="31"/>
        <v>N/A</v>
      </c>
      <c r="O486" s="2809" t="s">
        <v>1734</v>
      </c>
      <c r="P486" s="2807">
        <f>IF($D486="Logistics",VLOOKUP($O486,'Lower Cask Movement &amp; Logistics'!$C$4:$D$54,2,FALSE),"N/A")</f>
        <v>1.9</v>
      </c>
      <c r="R486" s="2765"/>
      <c r="S486" s="2765"/>
    </row>
    <row r="487" spans="1:19" s="2764" customFormat="1" ht="15" customHeight="1" outlineLevel="1" x14ac:dyDescent="0.4">
      <c r="A487" s="2963"/>
      <c r="B487" s="3864"/>
      <c r="C487" s="2798" t="s">
        <v>1987</v>
      </c>
      <c r="D487" s="2798" t="s">
        <v>3</v>
      </c>
      <c r="E487" s="2799">
        <f t="shared" si="30"/>
        <v>0.88000000000000012</v>
      </c>
      <c r="F487" s="2799">
        <f>IF($D487="Trigger",VLOOKUP($C487,'Lower Cask Weld Failures'!$D$582:$G$622,4,FALSE),E487+F486)</f>
        <v>44.84518928195061</v>
      </c>
      <c r="G487" s="2808"/>
      <c r="H487" s="2801" t="s">
        <v>263</v>
      </c>
      <c r="I487" s="2802"/>
      <c r="J487" s="2798"/>
      <c r="K487" s="2798"/>
      <c r="L487" s="2803" t="str">
        <f>IFERROR(INDEX('Lower Cask Movement &amp; Logistics'!$I$13:$O$19,MATCH($J487,'Lower Cask Movement &amp; Logistics'!$H$13:$H$19,0),MATCH($K487,'Lower Cask Movement &amp; Logistics'!$H$13:$H$19,0)),"N/A")</f>
        <v>N/A</v>
      </c>
      <c r="M487" s="2804" t="str">
        <f>IFERROR(VLOOKUP($I487,'Lower Cask Movement &amp; Logistics'!$H$4:$I$8,2,FALSE),"N/A")</f>
        <v>N/A</v>
      </c>
      <c r="N487" s="2805" t="str">
        <f t="shared" si="31"/>
        <v>N/A</v>
      </c>
      <c r="O487" s="2809" t="s">
        <v>1730</v>
      </c>
      <c r="P487" s="2807">
        <f>IF($D487="Logistics",VLOOKUP($O487,'Lower Cask Movement &amp; Logistics'!$C$4:$D$54,2,FALSE),"N/A")</f>
        <v>0.88000000000000012</v>
      </c>
      <c r="R487" s="2765"/>
      <c r="S487" s="2765"/>
    </row>
    <row r="488" spans="1:19" s="2764" customFormat="1" ht="15" customHeight="1" outlineLevel="1" x14ac:dyDescent="0.4">
      <c r="A488" s="2963"/>
      <c r="B488" s="3864"/>
      <c r="C488" s="2798" t="s">
        <v>1562</v>
      </c>
      <c r="D488" s="2798" t="s">
        <v>3</v>
      </c>
      <c r="E488" s="2799">
        <f t="shared" si="30"/>
        <v>2.3000000000000003</v>
      </c>
      <c r="F488" s="2799">
        <f>IF($D488="Trigger",VLOOKUP($C488,'Lower Cask Weld Failures'!$D$582:$G$622,4,FALSE),E488+F487)</f>
        <v>47.145189281950607</v>
      </c>
      <c r="G488" s="2808"/>
      <c r="H488" s="2801" t="s">
        <v>263</v>
      </c>
      <c r="I488" s="2802"/>
      <c r="J488" s="2798"/>
      <c r="K488" s="2798"/>
      <c r="L488" s="2803" t="str">
        <f>IFERROR(INDEX('Lower Cask Movement &amp; Logistics'!$I$13:$O$19,MATCH($J488,'Lower Cask Movement &amp; Logistics'!$H$13:$H$19,0),MATCH($K488,'Lower Cask Movement &amp; Logistics'!$H$13:$H$19,0)),"N/A")</f>
        <v>N/A</v>
      </c>
      <c r="M488" s="2804" t="str">
        <f>IFERROR(VLOOKUP($I488,'Lower Cask Movement &amp; Logistics'!$H$4:$I$8,2,FALSE),"N/A")</f>
        <v>N/A</v>
      </c>
      <c r="N488" s="2805" t="str">
        <f t="shared" si="31"/>
        <v>N/A</v>
      </c>
      <c r="O488" s="2809" t="s">
        <v>1562</v>
      </c>
      <c r="P488" s="2807">
        <f>IF($D488="Logistics",VLOOKUP($O488,'Lower Cask Movement &amp; Logistics'!$C$4:$D$54,2,FALSE),"N/A")</f>
        <v>2.3000000000000003</v>
      </c>
      <c r="R488" s="2765"/>
      <c r="S488" s="2765"/>
    </row>
    <row r="489" spans="1:19" s="2764" customFormat="1" ht="26.25" customHeight="1" outlineLevel="1" x14ac:dyDescent="0.4">
      <c r="A489" s="2963"/>
      <c r="B489" s="3864"/>
      <c r="C489" s="2798" t="s">
        <v>1756</v>
      </c>
      <c r="D489" s="2798" t="s">
        <v>778</v>
      </c>
      <c r="E489" s="2799">
        <f t="shared" si="30"/>
        <v>0.23148148148148148</v>
      </c>
      <c r="F489" s="2799">
        <f>IF($D489="Trigger",VLOOKUP($C489,'Lower Cask Weld Failures'!$D$582:$G$622,4,FALSE),E489+F488)</f>
        <v>47.376670763432088</v>
      </c>
      <c r="G489" s="2808"/>
      <c r="H489" s="2820" t="s">
        <v>263</v>
      </c>
      <c r="I489" s="2802" t="s">
        <v>1536</v>
      </c>
      <c r="J489" s="2798" t="s">
        <v>799</v>
      </c>
      <c r="K489" s="2798" t="s">
        <v>1203</v>
      </c>
      <c r="L489" s="2803">
        <f>IFERROR(INDEX('Lower Cask Movement &amp; Logistics'!$I$13:$O$19,MATCH($J489,'Lower Cask Movement &amp; Logistics'!$H$13:$H$19,0),MATCH($K489,'Lower Cask Movement &amp; Logistics'!$H$13:$H$19,0)),"N/A")</f>
        <v>50</v>
      </c>
      <c r="M489" s="2804">
        <f>IFERROR(VLOOKUP($I489,'Lower Cask Movement &amp; Logistics'!$H$4:$I$8,2,FALSE),"N/A")</f>
        <v>0.06</v>
      </c>
      <c r="N489" s="2805">
        <f t="shared" si="31"/>
        <v>0.23148148148148148</v>
      </c>
      <c r="O489" s="2809"/>
      <c r="P489" s="2807" t="str">
        <f>IF($D489="Logistics",VLOOKUP($O489,'Lower Cask Movement &amp; Logistics'!$C$4:$D$54,2,FALSE),"N/A")</f>
        <v>N/A</v>
      </c>
      <c r="R489" s="2765"/>
      <c r="S489" s="2765"/>
    </row>
    <row r="490" spans="1:19" s="2764" customFormat="1" ht="27" customHeight="1" outlineLevel="1" thickBot="1" x14ac:dyDescent="0.45">
      <c r="A490" s="2963"/>
      <c r="B490" s="3865"/>
      <c r="C490" s="2810" t="str">
        <f>B480</f>
        <v>Left Cassette Stored; Replacement Right Cassette collected; Transport Cask Moved to Lower Port</v>
      </c>
      <c r="D490" s="2810" t="s">
        <v>11</v>
      </c>
      <c r="E490" s="2811">
        <f t="shared" si="30"/>
        <v>0</v>
      </c>
      <c r="F490" s="2811">
        <f>IF($D490="Trigger",VLOOKUP($C490,'Lower Cask Weld Failures'!$D$582:$G$622,4,FALSE),E490+F489)</f>
        <v>47.376670763432088</v>
      </c>
      <c r="G490" s="2812"/>
      <c r="H490" s="2813" t="s">
        <v>263</v>
      </c>
      <c r="I490" s="2814"/>
      <c r="J490" s="2810"/>
      <c r="K490" s="2810"/>
      <c r="L490" s="2815" t="str">
        <f>IFERROR(INDEX('Lower Cask Movement &amp; Logistics'!$I$13:$O$19,MATCH($J490,'Lower Cask Movement &amp; Logistics'!$H$13:$H$19,0),MATCH($K490,'Lower Cask Movement &amp; Logistics'!$H$13:$H$19,0)),"N/A")</f>
        <v>N/A</v>
      </c>
      <c r="M490" s="2815" t="str">
        <f>IFERROR(VLOOKUP($I490,'Lower Cask Movement &amp; Logistics'!$H$4:$I$8,2,FALSE),"N/A")</f>
        <v>N/A</v>
      </c>
      <c r="N490" s="2816" t="str">
        <f t="shared" si="31"/>
        <v>N/A</v>
      </c>
      <c r="O490" s="2817"/>
      <c r="P490" s="2822" t="str">
        <f>IF($D490="Logistics",VLOOKUP($O490,'Lower Cask Movement &amp; Logistics'!$C$4:$D$54,2,FALSE),"N/A")</f>
        <v>N/A</v>
      </c>
      <c r="R490" s="2765"/>
      <c r="S490" s="2765"/>
    </row>
    <row r="491" spans="1:19" ht="12.75" customHeight="1" outlineLevel="1" x14ac:dyDescent="0.4">
      <c r="A491" s="2962"/>
      <c r="B491" s="3863" t="s">
        <v>1933</v>
      </c>
      <c r="C491" s="2823" t="s">
        <v>1996</v>
      </c>
      <c r="D491" s="2823" t="s">
        <v>907</v>
      </c>
      <c r="E491" s="2935">
        <f t="shared" si="30"/>
        <v>0</v>
      </c>
      <c r="F491" s="2936">
        <f>IF($D491="Trigger",VLOOKUP($C491,'Lower Cask Weld Failures'!$D$582:$G$622,4,FALSE),E491+F490)</f>
        <v>53.336670763432089</v>
      </c>
      <c r="G491" s="2937"/>
      <c r="H491" s="2938" t="s">
        <v>263</v>
      </c>
      <c r="I491" s="2939"/>
      <c r="J491" s="2939"/>
      <c r="K491" s="2939"/>
      <c r="L491" s="2935" t="str">
        <f>IFERROR(INDEX('Lower Cask Movement &amp; Logistics'!$I$13:$O$19,MATCH($J491,'Lower Cask Movement &amp; Logistics'!$H$13:$H$19,0),MATCH($K491,'Lower Cask Movement &amp; Logistics'!$H$13:$H$19,0)),"N/A")</f>
        <v>N/A</v>
      </c>
      <c r="M491" s="2935" t="str">
        <f>IFERROR(VLOOKUP($I491,'Lower Cask Movement &amp; Logistics'!$H$4:$I$8,2,FALSE),"N/A")</f>
        <v>N/A</v>
      </c>
      <c r="N491" s="2935" t="str">
        <f t="shared" si="31"/>
        <v>N/A</v>
      </c>
      <c r="O491" s="2940"/>
      <c r="P491" s="2936" t="str">
        <f>IF($D491="Logistics",VLOOKUP($O491,'Lower Cask Movement &amp; Logistics'!$C$4:$D$54,2,FALSE),"N/A")</f>
        <v>N/A</v>
      </c>
    </row>
    <row r="492" spans="1:19" ht="25.5" customHeight="1" outlineLevel="1" x14ac:dyDescent="0.4">
      <c r="A492" s="2962"/>
      <c r="B492" s="3864"/>
      <c r="C492" s="2941" t="s">
        <v>1976</v>
      </c>
      <c r="D492" s="2941" t="s">
        <v>778</v>
      </c>
      <c r="E492" s="2826">
        <f t="shared" si="30"/>
        <v>0.23148148148148148</v>
      </c>
      <c r="F492" s="2805">
        <f>IF($D492="Trigger",VLOOKUP($C492,'Lower Cask Weld Failures'!$D$582:$G$622,4,FALSE),E492+F491)</f>
        <v>53.56815224491357</v>
      </c>
      <c r="G492" s="2808"/>
      <c r="H492" s="2820" t="s">
        <v>263</v>
      </c>
      <c r="I492" s="2825" t="s">
        <v>1962</v>
      </c>
      <c r="J492" s="2825" t="s">
        <v>1203</v>
      </c>
      <c r="K492" s="2825" t="s">
        <v>1977</v>
      </c>
      <c r="L492" s="2826">
        <f>IFERROR(INDEX('Lower Cask Movement &amp; Logistics'!$I$13:$O$19,MATCH($J492,'Lower Cask Movement &amp; Logistics'!$H$13:$H$19,0),MATCH($K492,'Lower Cask Movement &amp; Logistics'!$H$13:$H$19,0)),"N/A")</f>
        <v>50</v>
      </c>
      <c r="M492" s="2826">
        <f>IFERROR(VLOOKUP($I492,'Lower Cask Movement &amp; Logistics'!$H$4:$I$8,2,FALSE),"N/A")</f>
        <v>0.06</v>
      </c>
      <c r="N492" s="2826">
        <f t="shared" si="31"/>
        <v>0.23148148148148148</v>
      </c>
      <c r="O492" s="2809"/>
      <c r="P492" s="2805" t="str">
        <f>IF($D492="Logistics",VLOOKUP($O492,'Lower Cask Movement &amp; Logistics'!$C$4:$D$54,2,FALSE),"N/A")</f>
        <v>N/A</v>
      </c>
    </row>
    <row r="493" spans="1:19" ht="12.75" customHeight="1" outlineLevel="1" x14ac:dyDescent="0.4">
      <c r="A493" s="2962"/>
      <c r="B493" s="3864"/>
      <c r="C493" s="2941" t="s">
        <v>1978</v>
      </c>
      <c r="D493" s="2825" t="s">
        <v>3</v>
      </c>
      <c r="E493" s="2826">
        <f t="shared" si="30"/>
        <v>0.58000000000000007</v>
      </c>
      <c r="F493" s="2805">
        <f>IF($D493="Trigger",VLOOKUP($C493,'Lower Cask Weld Failures'!$D$582:$G$622,4,FALSE),E493+F492)</f>
        <v>54.148152244913568</v>
      </c>
      <c r="G493" s="2808"/>
      <c r="H493" s="2820" t="s">
        <v>263</v>
      </c>
      <c r="I493" s="2825"/>
      <c r="J493" s="2825"/>
      <c r="K493" s="2825"/>
      <c r="L493" s="2826" t="str">
        <f>IFERROR(INDEX('Lower Cask Movement &amp; Logistics'!$I$13:$O$19,MATCH($J493,'Lower Cask Movement &amp; Logistics'!$H$13:$H$19,0),MATCH($K493,'Lower Cask Movement &amp; Logistics'!$H$13:$H$19,0)),"N/A")</f>
        <v>N/A</v>
      </c>
      <c r="M493" s="2826" t="str">
        <f>IFERROR(VLOOKUP($I493,'Lower Cask Movement &amp; Logistics'!$H$4:$I$8,2,FALSE),"N/A")</f>
        <v>N/A</v>
      </c>
      <c r="N493" s="2826" t="str">
        <f t="shared" si="31"/>
        <v>N/A</v>
      </c>
      <c r="O493" s="2809" t="s">
        <v>1971</v>
      </c>
      <c r="P493" s="2805">
        <f>IF($D493="Logistics",VLOOKUP($O493,'Lower Cask Movement &amp; Logistics'!$C$4:$D$54,2,FALSE),"N/A")</f>
        <v>0.58000000000000007</v>
      </c>
    </row>
    <row r="494" spans="1:19" ht="12.75" customHeight="1" outlineLevel="1" x14ac:dyDescent="0.4">
      <c r="A494" s="2962"/>
      <c r="B494" s="3864"/>
      <c r="C494" s="2941" t="s">
        <v>1979</v>
      </c>
      <c r="D494" s="2825" t="s">
        <v>778</v>
      </c>
      <c r="E494" s="2826">
        <f t="shared" si="30"/>
        <v>2.7777777777777776E-2</v>
      </c>
      <c r="F494" s="2805">
        <f>IF($D494="Trigger",VLOOKUP($C494,'Lower Cask Weld Failures'!$D$582:$G$622,4,FALSE),E494+F493)</f>
        <v>54.175930022691347</v>
      </c>
      <c r="G494" s="2808"/>
      <c r="H494" s="2820" t="s">
        <v>263</v>
      </c>
      <c r="I494" s="2825" t="s">
        <v>1831</v>
      </c>
      <c r="J494" s="2825" t="s">
        <v>1977</v>
      </c>
      <c r="K494" s="2825" t="s">
        <v>1975</v>
      </c>
      <c r="L494" s="2826">
        <f>IFERROR(INDEX('Lower Cask Movement &amp; Logistics'!$I$13:$O$19,MATCH($J494,'Lower Cask Movement &amp; Logistics'!$H$13:$H$19,0),MATCH($K494,'Lower Cask Movement &amp; Logistics'!$H$13:$H$19,0)),"N/A")</f>
        <v>20</v>
      </c>
      <c r="M494" s="2826">
        <f>IFERROR(VLOOKUP($I494,'Lower Cask Movement &amp; Logistics'!$H$4:$I$8,2,FALSE),"N/A")</f>
        <v>0.2</v>
      </c>
      <c r="N494" s="2826">
        <f t="shared" si="31"/>
        <v>2.7777777777777776E-2</v>
      </c>
      <c r="O494" s="2809"/>
      <c r="P494" s="2805" t="str">
        <f>IF($D494="Logistics",VLOOKUP($O494,'Lower Cask Movement &amp; Logistics'!$C$4:$D$54,2,FALSE),"N/A")</f>
        <v>N/A</v>
      </c>
    </row>
    <row r="495" spans="1:19" ht="12.75" customHeight="1" outlineLevel="1" x14ac:dyDescent="0.4">
      <c r="A495" s="2962"/>
      <c r="B495" s="3864"/>
      <c r="C495" s="2941" t="s">
        <v>1980</v>
      </c>
      <c r="D495" s="2825" t="s">
        <v>3</v>
      </c>
      <c r="E495" s="2826">
        <f t="shared" si="30"/>
        <v>0.78</v>
      </c>
      <c r="F495" s="2805">
        <f>IF($D495="Trigger",VLOOKUP($C495,'Lower Cask Weld Failures'!$D$582:$G$622,4,FALSE),E495+F494)</f>
        <v>54.955930022691348</v>
      </c>
      <c r="G495" s="2808"/>
      <c r="H495" s="2820" t="s">
        <v>263</v>
      </c>
      <c r="I495" s="2825"/>
      <c r="J495" s="2825"/>
      <c r="K495" s="2825"/>
      <c r="L495" s="2826" t="str">
        <f>IFERROR(INDEX('Lower Cask Movement &amp; Logistics'!$I$13:$O$19,MATCH($J495,'Lower Cask Movement &amp; Logistics'!$H$13:$H$19,0),MATCH($K495,'Lower Cask Movement &amp; Logistics'!$H$13:$H$19,0)),"N/A")</f>
        <v>N/A</v>
      </c>
      <c r="M495" s="2826" t="str">
        <f>IFERROR(VLOOKUP($I495,'Lower Cask Movement &amp; Logistics'!$H$4:$I$8,2,FALSE),"N/A")</f>
        <v>N/A</v>
      </c>
      <c r="N495" s="2826" t="str">
        <f t="shared" si="31"/>
        <v>N/A</v>
      </c>
      <c r="O495" s="2809" t="s">
        <v>1973</v>
      </c>
      <c r="P495" s="2805">
        <f>IF($D495="Logistics",VLOOKUP($O495,'Lower Cask Movement &amp; Logistics'!$C$4:$D$54,2,FALSE),"N/A")</f>
        <v>0.78</v>
      </c>
    </row>
    <row r="496" spans="1:19" ht="25.5" customHeight="1" outlineLevel="1" x14ac:dyDescent="0.4">
      <c r="A496" s="2962"/>
      <c r="B496" s="3864"/>
      <c r="C496" s="2941" t="s">
        <v>1981</v>
      </c>
      <c r="D496" s="2825" t="s">
        <v>778</v>
      </c>
      <c r="E496" s="2826">
        <f t="shared" si="30"/>
        <v>9.2592592592592601E-2</v>
      </c>
      <c r="F496" s="2805">
        <f>IF($D496="Trigger",VLOOKUP($C496,'Lower Cask Weld Failures'!$D$582:$G$622,4,FALSE),E496+F495)</f>
        <v>55.048522615283943</v>
      </c>
      <c r="G496" s="2808"/>
      <c r="H496" s="2820" t="s">
        <v>263</v>
      </c>
      <c r="I496" s="2825" t="s">
        <v>1962</v>
      </c>
      <c r="J496" s="2825" t="s">
        <v>1778</v>
      </c>
      <c r="K496" s="2825" t="s">
        <v>1957</v>
      </c>
      <c r="L496" s="2826">
        <f>IFERROR(INDEX('Lower Cask Movement &amp; Logistics'!$I$13:$O$19,MATCH($J496,'Lower Cask Movement &amp; Logistics'!$H$13:$H$19,0),MATCH($K496,'Lower Cask Movement &amp; Logistics'!$H$13:$H$19,0)),"N/A")</f>
        <v>20</v>
      </c>
      <c r="M496" s="2826">
        <f>IFERROR(VLOOKUP($I496,'Lower Cask Movement &amp; Logistics'!$H$4:$I$8,2,FALSE),"N/A")</f>
        <v>0.06</v>
      </c>
      <c r="N496" s="2826">
        <f t="shared" si="31"/>
        <v>9.2592592592592601E-2</v>
      </c>
      <c r="O496" s="2809"/>
      <c r="P496" s="2805" t="str">
        <f>IF($D496="Logistics",VLOOKUP($O496,'Lower Cask Movement &amp; Logistics'!$C$4:$D$54,2,FALSE),"N/A")</f>
        <v>N/A</v>
      </c>
    </row>
    <row r="497" spans="1:16" ht="12.75" customHeight="1" outlineLevel="1" x14ac:dyDescent="0.4">
      <c r="A497" s="2962"/>
      <c r="B497" s="3864"/>
      <c r="C497" s="2941" t="s">
        <v>1958</v>
      </c>
      <c r="D497" s="2825" t="s">
        <v>3</v>
      </c>
      <c r="E497" s="2826">
        <f t="shared" si="30"/>
        <v>1.9</v>
      </c>
      <c r="F497" s="2805">
        <f>IF($D497="Trigger",VLOOKUP($C497,'Lower Cask Weld Failures'!$D$582:$G$622,4,FALSE),E497+F496)</f>
        <v>56.948522615283942</v>
      </c>
      <c r="G497" s="2808"/>
      <c r="H497" s="2820" t="s">
        <v>263</v>
      </c>
      <c r="I497" s="2825"/>
      <c r="J497" s="2825"/>
      <c r="K497" s="2825"/>
      <c r="L497" s="2826" t="str">
        <f>IFERROR(INDEX('Lower Cask Movement &amp; Logistics'!$I$13:$O$19,MATCH($J497,'Lower Cask Movement &amp; Logistics'!$H$13:$H$19,0),MATCH($K497,'Lower Cask Movement &amp; Logistics'!$H$13:$H$19,0)),"N/A")</f>
        <v>N/A</v>
      </c>
      <c r="M497" s="2826" t="str">
        <f>IFERROR(VLOOKUP($I497,'Lower Cask Movement &amp; Logistics'!$H$4:$I$8,2,FALSE),"N/A")</f>
        <v>N/A</v>
      </c>
      <c r="N497" s="2826" t="str">
        <f t="shared" si="31"/>
        <v>N/A</v>
      </c>
      <c r="O497" s="2809" t="s">
        <v>1541</v>
      </c>
      <c r="P497" s="2805">
        <f>IF($D497="Logistics",VLOOKUP($O497,'Lower Cask Movement &amp; Logistics'!$C$4:$D$54,2,FALSE),"N/A")</f>
        <v>1.9</v>
      </c>
    </row>
    <row r="498" spans="1:16" ht="12.75" customHeight="1" outlineLevel="1" x14ac:dyDescent="0.4">
      <c r="A498" s="2962"/>
      <c r="B498" s="3864"/>
      <c r="C498" s="2941" t="s">
        <v>1982</v>
      </c>
      <c r="D498" s="2825" t="s">
        <v>3</v>
      </c>
      <c r="E498" s="2826">
        <f t="shared" si="30"/>
        <v>0.88000000000000012</v>
      </c>
      <c r="F498" s="2805">
        <f>IF($D498="Trigger",VLOOKUP($C498,'Lower Cask Weld Failures'!$D$582:$G$622,4,FALSE),E498+F497)</f>
        <v>57.828522615283944</v>
      </c>
      <c r="G498" s="2808"/>
      <c r="H498" s="2820" t="s">
        <v>263</v>
      </c>
      <c r="I498" s="2825"/>
      <c r="J498" s="2825"/>
      <c r="K498" s="2825"/>
      <c r="L498" s="2826" t="str">
        <f>IFERROR(INDEX('Lower Cask Movement &amp; Logistics'!$I$13:$O$19,MATCH($J498,'Lower Cask Movement &amp; Logistics'!$H$13:$H$19,0),MATCH($K498,'Lower Cask Movement &amp; Logistics'!$H$13:$H$19,0)),"N/A")</f>
        <v>N/A</v>
      </c>
      <c r="M498" s="2826" t="str">
        <f>IFERROR(VLOOKUP($I498,'Lower Cask Movement &amp; Logistics'!$H$4:$I$8,2,FALSE),"N/A")</f>
        <v>N/A</v>
      </c>
      <c r="N498" s="2826" t="str">
        <f t="shared" si="31"/>
        <v>N/A</v>
      </c>
      <c r="O498" s="2809" t="s">
        <v>1730</v>
      </c>
      <c r="P498" s="2805">
        <f>IF($D498="Logistics",VLOOKUP($O498,'Lower Cask Movement &amp; Logistics'!$C$4:$D$54,2,FALSE),"N/A")</f>
        <v>0.88000000000000012</v>
      </c>
    </row>
    <row r="499" spans="1:16" ht="12.75" customHeight="1" outlineLevel="1" x14ac:dyDescent="0.4">
      <c r="A499" s="2962"/>
      <c r="B499" s="3864"/>
      <c r="C499" s="2941" t="s">
        <v>1983</v>
      </c>
      <c r="D499" s="2825" t="s">
        <v>3</v>
      </c>
      <c r="E499" s="2826">
        <f t="shared" si="30"/>
        <v>2.3000000000000003</v>
      </c>
      <c r="F499" s="2805">
        <f>IF($D499="Trigger",VLOOKUP($C499,'Lower Cask Weld Failures'!$D$582:$G$622,4,FALSE),E499+F498)</f>
        <v>60.128522615283941</v>
      </c>
      <c r="G499" s="2808"/>
      <c r="H499" s="2820" t="s">
        <v>263</v>
      </c>
      <c r="I499" s="2825"/>
      <c r="J499" s="2825"/>
      <c r="K499" s="2825"/>
      <c r="L499" s="2826" t="str">
        <f>IFERROR(INDEX('Lower Cask Movement &amp; Logistics'!$I$13:$O$19,MATCH($J499,'Lower Cask Movement &amp; Logistics'!$H$13:$H$19,0),MATCH($K499,'Lower Cask Movement &amp; Logistics'!$H$13:$H$19,0)),"N/A")</f>
        <v>N/A</v>
      </c>
      <c r="M499" s="2826" t="str">
        <f>IFERROR(VLOOKUP($I499,'Lower Cask Movement &amp; Logistics'!$H$4:$I$8,2,FALSE),"N/A")</f>
        <v>N/A</v>
      </c>
      <c r="N499" s="2826" t="str">
        <f t="shared" si="31"/>
        <v>N/A</v>
      </c>
      <c r="O499" s="2809" t="s">
        <v>1562</v>
      </c>
      <c r="P499" s="2805">
        <f>IF($D499="Logistics",VLOOKUP($O499,'Lower Cask Movement &amp; Logistics'!$C$4:$D$54,2,FALSE),"N/A")</f>
        <v>2.3000000000000003</v>
      </c>
    </row>
    <row r="500" spans="1:16" ht="12.75" customHeight="1" outlineLevel="1" x14ac:dyDescent="0.4">
      <c r="A500" s="2962"/>
      <c r="B500" s="3864"/>
      <c r="C500" s="2825" t="s">
        <v>1984</v>
      </c>
      <c r="D500" s="2825" t="s">
        <v>778</v>
      </c>
      <c r="E500" s="2826">
        <f t="shared" si="30"/>
        <v>0.69444444444444442</v>
      </c>
      <c r="F500" s="2805">
        <f>IF($D500="Trigger",VLOOKUP($C500,'Lower Cask Weld Failures'!$D$582:$G$622,4,FALSE),E500+F499)</f>
        <v>60.822967059728384</v>
      </c>
      <c r="G500" s="2808"/>
      <c r="H500" s="2820" t="s">
        <v>263</v>
      </c>
      <c r="I500" s="2825" t="s">
        <v>1789</v>
      </c>
      <c r="J500" s="2825" t="s">
        <v>1957</v>
      </c>
      <c r="K500" s="2825" t="s">
        <v>1203</v>
      </c>
      <c r="L500" s="2826">
        <f>IFERROR(INDEX('Lower Cask Movement &amp; Logistics'!$I$13:$O$19,MATCH($J500,'Lower Cask Movement &amp; Logistics'!$H$13:$H$19,0),MATCH($K500,'Lower Cask Movement &amp; Logistics'!$H$13:$H$19,0)),"N/A")</f>
        <v>50</v>
      </c>
      <c r="M500" s="2826">
        <f>IFERROR(VLOOKUP($I500,'Lower Cask Movement &amp; Logistics'!$H$4:$I$8,2,FALSE),"N/A")</f>
        <v>0.02</v>
      </c>
      <c r="N500" s="2826">
        <f t="shared" si="31"/>
        <v>0.69444444444444442</v>
      </c>
      <c r="O500" s="2809"/>
      <c r="P500" s="2805" t="str">
        <f>IF($D500="Logistics",VLOOKUP($O500,'Lower Cask Movement &amp; Logistics'!$C$4:$D$54,2,FALSE),"N/A")</f>
        <v>N/A</v>
      </c>
    </row>
    <row r="501" spans="1:16" ht="26.25" customHeight="1" outlineLevel="1" thickBot="1" x14ac:dyDescent="0.45">
      <c r="A501" s="2962"/>
      <c r="B501" s="3865"/>
      <c r="C501" s="2827" t="str">
        <f>B491</f>
        <v>Store failed right Divertor; Collect replacement left cassette from stores; Move transporter to Lower Port</v>
      </c>
      <c r="D501" s="2827" t="s">
        <v>11</v>
      </c>
      <c r="E501" s="2828">
        <f t="shared" si="30"/>
        <v>0</v>
      </c>
      <c r="F501" s="2822">
        <f>IF($D501="Trigger",VLOOKUP($C501,'Lower Cask Weld Failures'!$D$582:$G$622,4,FALSE),E501+F500)</f>
        <v>60.822967059728384</v>
      </c>
      <c r="G501" s="2812"/>
      <c r="H501" s="2813" t="s">
        <v>263</v>
      </c>
      <c r="I501" s="2827"/>
      <c r="J501" s="2827"/>
      <c r="K501" s="2827"/>
      <c r="L501" s="2828" t="str">
        <f>IFERROR(INDEX('Lower Cask Movement &amp; Logistics'!$I$13:$O$19,MATCH($J501,'Lower Cask Movement &amp; Logistics'!$H$13:$H$19,0),MATCH($K501,'Lower Cask Movement &amp; Logistics'!$H$13:$H$19,0)),"N/A")</f>
        <v>N/A</v>
      </c>
      <c r="M501" s="2828" t="str">
        <f>IFERROR(VLOOKUP($I501,'Lower Cask Movement &amp; Logistics'!$H$4:$I$8,2,FALSE),"N/A")</f>
        <v>N/A</v>
      </c>
      <c r="N501" s="2828" t="str">
        <f t="shared" si="31"/>
        <v>N/A</v>
      </c>
      <c r="O501" s="2817"/>
      <c r="P501" s="2822" t="str">
        <f>IF($D501="Logistics",VLOOKUP($O501,'Lower Cask Movement &amp; Logistics'!$C$4:$D$54,2,FALSE),"N/A")</f>
        <v>N/A</v>
      </c>
    </row>
    <row r="502" spans="1:16" ht="12.75" customHeight="1" outlineLevel="1" x14ac:dyDescent="0.4">
      <c r="A502" s="2962"/>
      <c r="B502" s="3863" t="s">
        <v>1934</v>
      </c>
      <c r="C502" s="2823" t="s">
        <v>1996</v>
      </c>
      <c r="D502" s="2823" t="s">
        <v>907</v>
      </c>
      <c r="E502" s="2935">
        <f t="shared" si="30"/>
        <v>0</v>
      </c>
      <c r="F502" s="2936">
        <f>IF($D502="Trigger",VLOOKUP($C502,'Lower Cask Weld Failures'!$D$582:$G$622,4,FALSE),E502+F501)</f>
        <v>53.336670763432089</v>
      </c>
      <c r="G502" s="2937"/>
      <c r="H502" s="2938" t="s">
        <v>263</v>
      </c>
      <c r="I502" s="2939"/>
      <c r="J502" s="2939"/>
      <c r="K502" s="2939"/>
      <c r="L502" s="2935" t="str">
        <f>IFERROR(INDEX('Lower Cask Movement &amp; Logistics'!$I$13:$O$19,MATCH($J502,'Lower Cask Movement &amp; Logistics'!$H$13:$H$19,0),MATCH($K502,'Lower Cask Movement &amp; Logistics'!$H$13:$H$19,0)),"N/A")</f>
        <v>N/A</v>
      </c>
      <c r="M502" s="2935" t="str">
        <f>IFERROR(VLOOKUP($I502,'Lower Cask Movement &amp; Logistics'!$H$4:$I$8,2,FALSE),"N/A")</f>
        <v>N/A</v>
      </c>
      <c r="N502" s="2935" t="str">
        <f t="shared" si="31"/>
        <v>N/A</v>
      </c>
      <c r="O502" s="2940"/>
      <c r="P502" s="2936" t="str">
        <f>IF($D502="Logistics",VLOOKUP($O502,'Lower Cask Movement &amp; Logistics'!$C$4:$D$54,2,FALSE),"N/A")</f>
        <v>N/A</v>
      </c>
    </row>
    <row r="503" spans="1:16" ht="12.75" customHeight="1" outlineLevel="1" x14ac:dyDescent="0.4">
      <c r="A503" s="2962"/>
      <c r="B503" s="3864"/>
      <c r="C503" s="2941" t="s">
        <v>1979</v>
      </c>
      <c r="D503" s="2825" t="s">
        <v>778</v>
      </c>
      <c r="E503" s="2826">
        <f t="shared" si="30"/>
        <v>2.7777777777777776E-2</v>
      </c>
      <c r="F503" s="2805">
        <f>IF($D503="Trigger",VLOOKUP($C503,'Lower Cask Weld Failures'!$D$582:$G$622,4,FALSE),E503+F502)</f>
        <v>53.364448541209867</v>
      </c>
      <c r="G503" s="2808"/>
      <c r="H503" s="2820" t="s">
        <v>263</v>
      </c>
      <c r="I503" s="2825" t="s">
        <v>1831</v>
      </c>
      <c r="J503" s="2825" t="s">
        <v>1977</v>
      </c>
      <c r="K503" s="2825" t="s">
        <v>1975</v>
      </c>
      <c r="L503" s="2826">
        <f>IFERROR(INDEX('Lower Cask Movement &amp; Logistics'!$I$13:$O$19,MATCH($J503,'Lower Cask Movement &amp; Logistics'!$H$13:$H$19,0),MATCH($K503,'Lower Cask Movement &amp; Logistics'!$H$13:$H$19,0)),"N/A")</f>
        <v>20</v>
      </c>
      <c r="M503" s="2826">
        <f>IFERROR(VLOOKUP($I503,'Lower Cask Movement &amp; Logistics'!$H$4:$I$8,2,FALSE),"N/A")</f>
        <v>0.2</v>
      </c>
      <c r="N503" s="2826">
        <f t="shared" si="31"/>
        <v>2.7777777777777776E-2</v>
      </c>
      <c r="O503" s="2809"/>
      <c r="P503" s="2805" t="str">
        <f>IF($D503="Logistics",VLOOKUP($O503,'Lower Cask Movement &amp; Logistics'!$C$4:$D$54,2,FALSE),"N/A")</f>
        <v>N/A</v>
      </c>
    </row>
    <row r="504" spans="1:16" ht="12.75" customHeight="1" outlineLevel="1" x14ac:dyDescent="0.4">
      <c r="A504" s="2962"/>
      <c r="B504" s="3864"/>
      <c r="C504" s="2941" t="s">
        <v>1980</v>
      </c>
      <c r="D504" s="2825" t="s">
        <v>3</v>
      </c>
      <c r="E504" s="2826">
        <f t="shared" si="30"/>
        <v>0.78</v>
      </c>
      <c r="F504" s="2805">
        <f>IF($D504="Trigger",VLOOKUP($C504,'Lower Cask Weld Failures'!$D$582:$G$622,4,FALSE),E504+F503)</f>
        <v>54.144448541209869</v>
      </c>
      <c r="G504" s="2808"/>
      <c r="H504" s="2820" t="s">
        <v>263</v>
      </c>
      <c r="I504" s="2825"/>
      <c r="J504" s="2825"/>
      <c r="K504" s="2825"/>
      <c r="L504" s="2826" t="str">
        <f>IFERROR(INDEX('Lower Cask Movement &amp; Logistics'!$I$13:$O$19,MATCH($J504,'Lower Cask Movement &amp; Logistics'!$H$13:$H$19,0),MATCH($K504,'Lower Cask Movement &amp; Logistics'!$H$13:$H$19,0)),"N/A")</f>
        <v>N/A</v>
      </c>
      <c r="M504" s="2826" t="str">
        <f>IFERROR(VLOOKUP($I504,'Lower Cask Movement &amp; Logistics'!$H$4:$I$8,2,FALSE),"N/A")</f>
        <v>N/A</v>
      </c>
      <c r="N504" s="2826" t="str">
        <f t="shared" si="31"/>
        <v>N/A</v>
      </c>
      <c r="O504" s="2809" t="s">
        <v>1973</v>
      </c>
      <c r="P504" s="2805">
        <f>IF($D504="Logistics",VLOOKUP($O504,'Lower Cask Movement &amp; Logistics'!$C$4:$D$54,2,FALSE),"N/A")</f>
        <v>0.78</v>
      </c>
    </row>
    <row r="505" spans="1:16" ht="25.5" customHeight="1" outlineLevel="1" x14ac:dyDescent="0.4">
      <c r="A505" s="2962"/>
      <c r="B505" s="3864"/>
      <c r="C505" s="2941" t="s">
        <v>1981</v>
      </c>
      <c r="D505" s="2825" t="s">
        <v>778</v>
      </c>
      <c r="E505" s="2826">
        <f t="shared" si="30"/>
        <v>9.2592592592592601E-2</v>
      </c>
      <c r="F505" s="2805">
        <f>IF($D505="Trigger",VLOOKUP($C505,'Lower Cask Weld Failures'!$D$582:$G$622,4,FALSE),E505+F504)</f>
        <v>54.237041133802464</v>
      </c>
      <c r="G505" s="2808"/>
      <c r="H505" s="2820" t="s">
        <v>263</v>
      </c>
      <c r="I505" s="2825" t="s">
        <v>1962</v>
      </c>
      <c r="J505" s="2825" t="s">
        <v>1778</v>
      </c>
      <c r="K505" s="2825" t="s">
        <v>1957</v>
      </c>
      <c r="L505" s="2826">
        <f>IFERROR(INDEX('Lower Cask Movement &amp; Logistics'!$I$13:$O$19,MATCH($J505,'Lower Cask Movement &amp; Logistics'!$H$13:$H$19,0),MATCH($K505,'Lower Cask Movement &amp; Logistics'!$H$13:$H$19,0)),"N/A")</f>
        <v>20</v>
      </c>
      <c r="M505" s="2826">
        <f>IFERROR(VLOOKUP($I505,'Lower Cask Movement &amp; Logistics'!$H$4:$I$8,2,FALSE),"N/A")</f>
        <v>0.06</v>
      </c>
      <c r="N505" s="2826">
        <f t="shared" si="31"/>
        <v>9.2592592592592601E-2</v>
      </c>
      <c r="O505" s="2809"/>
      <c r="P505" s="2805" t="str">
        <f>IF($D505="Logistics",VLOOKUP($O505,'Lower Cask Movement &amp; Logistics'!$C$4:$D$54,2,FALSE),"N/A")</f>
        <v>N/A</v>
      </c>
    </row>
    <row r="506" spans="1:16" ht="12.75" customHeight="1" outlineLevel="1" x14ac:dyDescent="0.4">
      <c r="A506" s="2962"/>
      <c r="B506" s="3864"/>
      <c r="C506" s="2941" t="s">
        <v>1958</v>
      </c>
      <c r="D506" s="2825" t="s">
        <v>3</v>
      </c>
      <c r="E506" s="2826">
        <f t="shared" si="30"/>
        <v>1.9</v>
      </c>
      <c r="F506" s="2805">
        <f>IF($D506="Trigger",VLOOKUP($C506,'Lower Cask Weld Failures'!$D$582:$G$622,4,FALSE),E506+F505)</f>
        <v>56.137041133802462</v>
      </c>
      <c r="G506" s="2808"/>
      <c r="H506" s="2820" t="s">
        <v>263</v>
      </c>
      <c r="I506" s="2825"/>
      <c r="J506" s="2825"/>
      <c r="K506" s="2825"/>
      <c r="L506" s="2826" t="str">
        <f>IFERROR(INDEX('Lower Cask Movement &amp; Logistics'!$I$13:$O$19,MATCH($J506,'Lower Cask Movement &amp; Logistics'!$H$13:$H$19,0),MATCH($K506,'Lower Cask Movement &amp; Logistics'!$H$13:$H$19,0)),"N/A")</f>
        <v>N/A</v>
      </c>
      <c r="M506" s="2826" t="str">
        <f>IFERROR(VLOOKUP($I506,'Lower Cask Movement &amp; Logistics'!$H$4:$I$8,2,FALSE),"N/A")</f>
        <v>N/A</v>
      </c>
      <c r="N506" s="2826" t="str">
        <f t="shared" si="31"/>
        <v>N/A</v>
      </c>
      <c r="O506" s="2809" t="s">
        <v>1541</v>
      </c>
      <c r="P506" s="2805">
        <f>IF($D506="Logistics",VLOOKUP($O506,'Lower Cask Movement &amp; Logistics'!$C$4:$D$54,2,FALSE),"N/A")</f>
        <v>1.9</v>
      </c>
    </row>
    <row r="507" spans="1:16" ht="12.75" customHeight="1" outlineLevel="1" x14ac:dyDescent="0.4">
      <c r="A507" s="2962"/>
      <c r="B507" s="3864"/>
      <c r="C507" s="2941" t="s">
        <v>1982</v>
      </c>
      <c r="D507" s="2825" t="s">
        <v>3</v>
      </c>
      <c r="E507" s="2826">
        <f t="shared" si="30"/>
        <v>0.88000000000000012</v>
      </c>
      <c r="F507" s="2805">
        <f>IF($D507="Trigger",VLOOKUP($C507,'Lower Cask Weld Failures'!$D$582:$G$622,4,FALSE),E507+F506)</f>
        <v>57.017041133802465</v>
      </c>
      <c r="G507" s="2808"/>
      <c r="H507" s="2820" t="s">
        <v>263</v>
      </c>
      <c r="I507" s="2825"/>
      <c r="J507" s="2825"/>
      <c r="K507" s="2825"/>
      <c r="L507" s="2826" t="str">
        <f>IFERROR(INDEX('Lower Cask Movement &amp; Logistics'!$I$13:$O$19,MATCH($J507,'Lower Cask Movement &amp; Logistics'!$H$13:$H$19,0),MATCH($K507,'Lower Cask Movement &amp; Logistics'!$H$13:$H$19,0)),"N/A")</f>
        <v>N/A</v>
      </c>
      <c r="M507" s="2826" t="str">
        <f>IFERROR(VLOOKUP($I507,'Lower Cask Movement &amp; Logistics'!$H$4:$I$8,2,FALSE),"N/A")</f>
        <v>N/A</v>
      </c>
      <c r="N507" s="2826" t="str">
        <f t="shared" si="31"/>
        <v>N/A</v>
      </c>
      <c r="O507" s="2809" t="s">
        <v>1730</v>
      </c>
      <c r="P507" s="2805">
        <f>IF($D507="Logistics",VLOOKUP($O507,'Lower Cask Movement &amp; Logistics'!$C$4:$D$54,2,FALSE),"N/A")</f>
        <v>0.88000000000000012</v>
      </c>
    </row>
    <row r="508" spans="1:16" ht="12.75" customHeight="1" outlineLevel="1" x14ac:dyDescent="0.4">
      <c r="A508" s="2962"/>
      <c r="B508" s="3864"/>
      <c r="C508" s="2941" t="s">
        <v>1983</v>
      </c>
      <c r="D508" s="2825" t="s">
        <v>3</v>
      </c>
      <c r="E508" s="2826">
        <f t="shared" si="30"/>
        <v>2.3000000000000003</v>
      </c>
      <c r="F508" s="2805">
        <f>IF($D508="Trigger",VLOOKUP($C508,'Lower Cask Weld Failures'!$D$582:$G$622,4,FALSE),E508+F507)</f>
        <v>59.317041133802462</v>
      </c>
      <c r="G508" s="2808"/>
      <c r="H508" s="2820" t="s">
        <v>263</v>
      </c>
      <c r="I508" s="2825"/>
      <c r="J508" s="2825"/>
      <c r="K508" s="2825"/>
      <c r="L508" s="2826" t="str">
        <f>IFERROR(INDEX('Lower Cask Movement &amp; Logistics'!$I$13:$O$19,MATCH($J508,'Lower Cask Movement &amp; Logistics'!$H$13:$H$19,0),MATCH($K508,'Lower Cask Movement &amp; Logistics'!$H$13:$H$19,0)),"N/A")</f>
        <v>N/A</v>
      </c>
      <c r="M508" s="2826" t="str">
        <f>IFERROR(VLOOKUP($I508,'Lower Cask Movement &amp; Logistics'!$H$4:$I$8,2,FALSE),"N/A")</f>
        <v>N/A</v>
      </c>
      <c r="N508" s="2826" t="str">
        <f t="shared" si="31"/>
        <v>N/A</v>
      </c>
      <c r="O508" s="2809" t="s">
        <v>1562</v>
      </c>
      <c r="P508" s="2805">
        <f>IF($D508="Logistics",VLOOKUP($O508,'Lower Cask Movement &amp; Logistics'!$C$4:$D$54,2,FALSE),"N/A")</f>
        <v>2.3000000000000003</v>
      </c>
    </row>
    <row r="509" spans="1:16" ht="12.75" customHeight="1" outlineLevel="1" x14ac:dyDescent="0.4">
      <c r="A509" s="2962"/>
      <c r="B509" s="3864"/>
      <c r="C509" s="2825" t="s">
        <v>1984</v>
      </c>
      <c r="D509" s="2825" t="s">
        <v>778</v>
      </c>
      <c r="E509" s="2826">
        <f t="shared" si="30"/>
        <v>0.69444444444444442</v>
      </c>
      <c r="F509" s="2805">
        <f>IF($D509="Trigger",VLOOKUP($C509,'Lower Cask Weld Failures'!$D$582:$G$622,4,FALSE),E509+F508)</f>
        <v>60.011485578246905</v>
      </c>
      <c r="G509" s="2808"/>
      <c r="H509" s="2820" t="s">
        <v>263</v>
      </c>
      <c r="I509" s="2825" t="s">
        <v>1789</v>
      </c>
      <c r="J509" s="2825" t="s">
        <v>1957</v>
      </c>
      <c r="K509" s="2825" t="s">
        <v>1203</v>
      </c>
      <c r="L509" s="2826">
        <f>IFERROR(INDEX('Lower Cask Movement &amp; Logistics'!$I$13:$O$19,MATCH($J509,'Lower Cask Movement &amp; Logistics'!$H$13:$H$19,0),MATCH($K509,'Lower Cask Movement &amp; Logistics'!$H$13:$H$19,0)),"N/A")</f>
        <v>50</v>
      </c>
      <c r="M509" s="2826">
        <f>IFERROR(VLOOKUP($I509,'Lower Cask Movement &amp; Logistics'!$H$4:$I$8,2,FALSE),"N/A")</f>
        <v>0.02</v>
      </c>
      <c r="N509" s="2826">
        <f t="shared" si="31"/>
        <v>0.69444444444444442</v>
      </c>
      <c r="O509" s="2809"/>
      <c r="P509" s="2805" t="str">
        <f>IF($D509="Logistics",VLOOKUP($O509,'Lower Cask Movement &amp; Logistics'!$C$4:$D$54,2,FALSE),"N/A")</f>
        <v>N/A</v>
      </c>
    </row>
    <row r="510" spans="1:16" ht="26.25" customHeight="1" outlineLevel="1" thickBot="1" x14ac:dyDescent="0.45">
      <c r="A510" s="2962"/>
      <c r="B510" s="3865"/>
      <c r="C510" s="2827" t="str">
        <f>B502</f>
        <v>Collect replacement central cassette from stores; Move transporter to Lower Port</v>
      </c>
      <c r="D510" s="2827" t="s">
        <v>11</v>
      </c>
      <c r="E510" s="2828">
        <f t="shared" si="30"/>
        <v>0</v>
      </c>
      <c r="F510" s="2822">
        <f>IF($D510="Trigger",VLOOKUP($C510,'Lower Cask Weld Failures'!$D$582:$G$622,4,FALSE),E510+F509)</f>
        <v>60.011485578246905</v>
      </c>
      <c r="G510" s="2812"/>
      <c r="H510" s="2813" t="s">
        <v>263</v>
      </c>
      <c r="I510" s="2827"/>
      <c r="J510" s="2827"/>
      <c r="K510" s="2827"/>
      <c r="L510" s="2828" t="str">
        <f>IFERROR(INDEX('Lower Cask Movement &amp; Logistics'!$I$13:$O$19,MATCH($J510,'Lower Cask Movement &amp; Logistics'!$H$13:$H$19,0),MATCH($K510,'Lower Cask Movement &amp; Logistics'!$H$13:$H$19,0)),"N/A")</f>
        <v>N/A</v>
      </c>
      <c r="M510" s="2828" t="str">
        <f>IFERROR(VLOOKUP($I510,'Lower Cask Movement &amp; Logistics'!$H$4:$I$8,2,FALSE),"N/A")</f>
        <v>N/A</v>
      </c>
      <c r="N510" s="2828" t="str">
        <f t="shared" si="31"/>
        <v>N/A</v>
      </c>
      <c r="O510" s="2817"/>
      <c r="P510" s="2822" t="str">
        <f>IF($D510="Logistics",VLOOKUP($O510,'Lower Cask Movement &amp; Logistics'!$C$4:$D$54,2,FALSE),"N/A")</f>
        <v>N/A</v>
      </c>
    </row>
    <row r="511" spans="1:16" ht="12.75" customHeight="1" outlineLevel="1" x14ac:dyDescent="0.4">
      <c r="A511" s="2962"/>
      <c r="B511" s="3872" t="s">
        <v>1927</v>
      </c>
      <c r="C511" s="2823" t="s">
        <v>1997</v>
      </c>
      <c r="D511" s="2823" t="s">
        <v>907</v>
      </c>
      <c r="E511" s="2824">
        <f t="shared" si="30"/>
        <v>0</v>
      </c>
      <c r="F511" s="2796">
        <f>IF($D511="Trigger",VLOOKUP($C511,'Lower Cask Weld Failures'!$D$582:$G$622,4,FALSE),E511+F510)</f>
        <v>66.782967059728378</v>
      </c>
      <c r="G511" s="2790"/>
      <c r="H511" s="2791" t="s">
        <v>263</v>
      </c>
      <c r="I511" s="2823"/>
      <c r="J511" s="2823"/>
      <c r="K511" s="2823"/>
      <c r="L511" s="2824" t="str">
        <f>IFERROR(INDEX('Lower Cask Movement &amp; Logistics'!$I$13:$O$19,MATCH($J511,'Lower Cask Movement &amp; Logistics'!$H$13:$H$19,0),MATCH($K511,'Lower Cask Movement &amp; Logistics'!$H$13:$H$19,0)),"N/A")</f>
        <v>N/A</v>
      </c>
      <c r="M511" s="2824" t="str">
        <f>IFERROR(VLOOKUP($I511,'Lower Cask Movement &amp; Logistics'!$H$4:$I$8,2,FALSE),"N/A")</f>
        <v>N/A</v>
      </c>
      <c r="N511" s="2824" t="str">
        <f t="shared" si="31"/>
        <v>N/A</v>
      </c>
      <c r="O511" s="2795"/>
      <c r="P511" s="2796" t="str">
        <f>IF($D511="Logistics",VLOOKUP($O511,'Lower Cask Movement &amp; Logistics'!$C$4:$D$54,2,FALSE),"N/A")</f>
        <v>N/A</v>
      </c>
    </row>
    <row r="512" spans="1:16" ht="12.75" customHeight="1" outlineLevel="1" x14ac:dyDescent="0.4">
      <c r="A512" s="2962"/>
      <c r="B512" s="3873"/>
      <c r="C512" s="2825" t="s">
        <v>1956</v>
      </c>
      <c r="D512" s="2825" t="s">
        <v>778</v>
      </c>
      <c r="E512" s="2826">
        <f t="shared" si="30"/>
        <v>0.69444444444444442</v>
      </c>
      <c r="F512" s="2805">
        <f>IF($D512="Trigger",VLOOKUP($C512,'Lower Cask Weld Failures'!$D$582:$G$622,4,FALSE),E512+F511)</f>
        <v>67.477411504172821</v>
      </c>
      <c r="G512" s="2808"/>
      <c r="H512" s="2820" t="s">
        <v>263</v>
      </c>
      <c r="I512" s="2825" t="s">
        <v>1789</v>
      </c>
      <c r="J512" s="2825" t="s">
        <v>1203</v>
      </c>
      <c r="K512" s="2825" t="s">
        <v>1957</v>
      </c>
      <c r="L512" s="2826">
        <f>IFERROR(INDEX('Lower Cask Movement &amp; Logistics'!$I$13:$O$19,MATCH($J512,'Lower Cask Movement &amp; Logistics'!$H$13:$H$19,0),MATCH($K512,'Lower Cask Movement &amp; Logistics'!$H$13:$H$19,0)),"N/A")</f>
        <v>50</v>
      </c>
      <c r="M512" s="2826">
        <f>IFERROR(VLOOKUP($I512,'Lower Cask Movement &amp; Logistics'!$H$4:$I$8,2,FALSE),"N/A")</f>
        <v>0.02</v>
      </c>
      <c r="N512" s="2826">
        <f t="shared" si="31"/>
        <v>0.69444444444444442</v>
      </c>
      <c r="O512" s="2809"/>
      <c r="P512" s="2805" t="str">
        <f>IF($D512="Logistics",VLOOKUP($O512,'Lower Cask Movement &amp; Logistics'!$C$4:$D$54,2,FALSE),"N/A")</f>
        <v>N/A</v>
      </c>
    </row>
    <row r="513" spans="1:16" ht="12.75" customHeight="1" outlineLevel="1" x14ac:dyDescent="0.4">
      <c r="A513" s="2962"/>
      <c r="B513" s="3873"/>
      <c r="C513" s="2825" t="s">
        <v>1958</v>
      </c>
      <c r="D513" s="2825" t="s">
        <v>3</v>
      </c>
      <c r="E513" s="2826">
        <f t="shared" si="30"/>
        <v>1.9</v>
      </c>
      <c r="F513" s="2805">
        <f>IF($D513="Trigger",VLOOKUP($C513,'Lower Cask Weld Failures'!$D$582:$G$622,4,FALSE),E513+F512)</f>
        <v>69.377411504172827</v>
      </c>
      <c r="G513" s="2808"/>
      <c r="H513" s="2820" t="s">
        <v>263</v>
      </c>
      <c r="I513" s="2825"/>
      <c r="J513" s="2825"/>
      <c r="K513" s="2825"/>
      <c r="L513" s="2826" t="str">
        <f>IFERROR(INDEX('Lower Cask Movement &amp; Logistics'!$I$13:$O$19,MATCH($J513,'Lower Cask Movement &amp; Logistics'!$H$13:$H$19,0),MATCH($K513,'Lower Cask Movement &amp; Logistics'!$H$13:$H$19,0)),"N/A")</f>
        <v>N/A</v>
      </c>
      <c r="M513" s="2826" t="str">
        <f>IFERROR(VLOOKUP($I513,'Lower Cask Movement &amp; Logistics'!$H$4:$I$8,2,FALSE),"N/A")</f>
        <v>N/A</v>
      </c>
      <c r="N513" s="2826" t="str">
        <f t="shared" si="31"/>
        <v>N/A</v>
      </c>
      <c r="O513" s="2809" t="s">
        <v>1541</v>
      </c>
      <c r="P513" s="2805">
        <f>IF($D513="Logistics",VLOOKUP($O513,'Lower Cask Movement &amp; Logistics'!$C$4:$D$54,2,FALSE),"N/A")</f>
        <v>1.9</v>
      </c>
    </row>
    <row r="514" spans="1:16" ht="12.75" customHeight="1" outlineLevel="1" x14ac:dyDescent="0.4">
      <c r="A514" s="2962"/>
      <c r="B514" s="3873"/>
      <c r="C514" s="2825" t="s">
        <v>1988</v>
      </c>
      <c r="D514" s="2825" t="s">
        <v>3</v>
      </c>
      <c r="E514" s="2826">
        <f t="shared" si="30"/>
        <v>0.88000000000000012</v>
      </c>
      <c r="F514" s="2805">
        <f>IF($D514="Trigger",VLOOKUP($C514,'Lower Cask Weld Failures'!$D$582:$G$622,4,FALSE),E514+F513)</f>
        <v>70.257411504172822</v>
      </c>
      <c r="G514" s="2808"/>
      <c r="H514" s="2820" t="s">
        <v>263</v>
      </c>
      <c r="I514" s="2825"/>
      <c r="J514" s="2825"/>
      <c r="K514" s="2825"/>
      <c r="L514" s="2826" t="str">
        <f>IFERROR(INDEX('Lower Cask Movement &amp; Logistics'!$I$13:$O$19,MATCH($J514,'Lower Cask Movement &amp; Logistics'!$H$13:$H$19,0),MATCH($K514,'Lower Cask Movement &amp; Logistics'!$H$13:$H$19,0)),"N/A")</f>
        <v>N/A</v>
      </c>
      <c r="M514" s="2826" t="str">
        <f>IFERROR(VLOOKUP($I514,'Lower Cask Movement &amp; Logistics'!$H$4:$I$8,2,FALSE),"N/A")</f>
        <v>N/A</v>
      </c>
      <c r="N514" s="2826" t="str">
        <f t="shared" si="31"/>
        <v>N/A</v>
      </c>
      <c r="O514" s="2809" t="s">
        <v>1960</v>
      </c>
      <c r="P514" s="2805">
        <f>IF($D514="Logistics",VLOOKUP($O514,'Lower Cask Movement &amp; Logistics'!$C$4:$D$54,2,FALSE),"N/A")</f>
        <v>0.88000000000000012</v>
      </c>
    </row>
    <row r="515" spans="1:16" ht="12.75" customHeight="1" outlineLevel="1" x14ac:dyDescent="0.4">
      <c r="A515" s="2962"/>
      <c r="B515" s="3873"/>
      <c r="C515" s="2825" t="s">
        <v>1562</v>
      </c>
      <c r="D515" s="2825" t="s">
        <v>3</v>
      </c>
      <c r="E515" s="2826">
        <f t="shared" si="30"/>
        <v>2.3000000000000003</v>
      </c>
      <c r="F515" s="2805">
        <f>IF($D515="Trigger",VLOOKUP($C515,'Lower Cask Weld Failures'!$D$582:$G$622,4,FALSE),E515+F514)</f>
        <v>72.557411504172819</v>
      </c>
      <c r="G515" s="2808"/>
      <c r="H515" s="2820" t="s">
        <v>263</v>
      </c>
      <c r="I515" s="2825"/>
      <c r="J515" s="2825"/>
      <c r="K515" s="2825"/>
      <c r="L515" s="2826" t="str">
        <f>IFERROR(INDEX('Lower Cask Movement &amp; Logistics'!$I$13:$O$19,MATCH($J515,'Lower Cask Movement &amp; Logistics'!$H$13:$H$19,0),MATCH($K515,'Lower Cask Movement &amp; Logistics'!$H$13:$H$19,0)),"N/A")</f>
        <v>N/A</v>
      </c>
      <c r="M515" s="2826" t="str">
        <f>IFERROR(VLOOKUP($I515,'Lower Cask Movement &amp; Logistics'!$H$4:$I$8,2,FALSE),"N/A")</f>
        <v>N/A</v>
      </c>
      <c r="N515" s="2826" t="str">
        <f t="shared" si="31"/>
        <v>N/A</v>
      </c>
      <c r="O515" s="2809" t="s">
        <v>1562</v>
      </c>
      <c r="P515" s="2805">
        <f>IF($D515="Logistics",VLOOKUP($O515,'Lower Cask Movement &amp; Logistics'!$C$4:$D$54,2,FALSE),"N/A")</f>
        <v>2.3000000000000003</v>
      </c>
    </row>
    <row r="516" spans="1:16" ht="25.5" customHeight="1" outlineLevel="1" x14ac:dyDescent="0.4">
      <c r="A516" s="2962"/>
      <c r="B516" s="3873"/>
      <c r="C516" s="2825" t="s">
        <v>1989</v>
      </c>
      <c r="D516" s="2825" t="s">
        <v>778</v>
      </c>
      <c r="E516" s="2826">
        <f t="shared" si="30"/>
        <v>4.6296296296296301E-2</v>
      </c>
      <c r="F516" s="2805">
        <f>IF($D516="Trigger",VLOOKUP($C516,'Lower Cask Weld Failures'!$D$582:$G$622,4,FALSE),E516+F515)</f>
        <v>72.60370780046911</v>
      </c>
      <c r="G516" s="2808"/>
      <c r="H516" s="2820" t="s">
        <v>263</v>
      </c>
      <c r="I516" s="2825" t="s">
        <v>1990</v>
      </c>
      <c r="J516" s="2825" t="s">
        <v>1957</v>
      </c>
      <c r="K516" s="2825" t="s">
        <v>1991</v>
      </c>
      <c r="L516" s="2826">
        <f>IFERROR(INDEX('Lower Cask Movement &amp; Logistics'!$I$13:$O$19,MATCH($J516,'Lower Cask Movement &amp; Logistics'!$H$13:$H$19,0),MATCH($K516,'Lower Cask Movement &amp; Logistics'!$H$13:$H$19,0)),"N/A")</f>
        <v>10</v>
      </c>
      <c r="M516" s="2826">
        <f>IFERROR(VLOOKUP($I516,'Lower Cask Movement &amp; Logistics'!$H$4:$I$8,2,FALSE),"N/A")</f>
        <v>0.06</v>
      </c>
      <c r="N516" s="2826">
        <f t="shared" si="31"/>
        <v>4.6296296296296301E-2</v>
      </c>
      <c r="O516" s="2809"/>
      <c r="P516" s="2805" t="str">
        <f>IF($D516="Logistics",VLOOKUP($O516,'Lower Cask Movement &amp; Logistics'!$C$4:$D$54,2,FALSE),"N/A")</f>
        <v>N/A</v>
      </c>
    </row>
    <row r="517" spans="1:16" ht="12.75" customHeight="1" outlineLevel="1" x14ac:dyDescent="0.4">
      <c r="A517" s="2962"/>
      <c r="B517" s="3873"/>
      <c r="C517" s="2825" t="s">
        <v>1992</v>
      </c>
      <c r="D517" s="2825" t="s">
        <v>3</v>
      </c>
      <c r="E517" s="2826">
        <f t="shared" si="30"/>
        <v>0.58000000000000007</v>
      </c>
      <c r="F517" s="2805">
        <f>IF($D517="Trigger",VLOOKUP($C517,'Lower Cask Weld Failures'!$D$582:$G$622,4,FALSE),E517+F516)</f>
        <v>73.183707800469108</v>
      </c>
      <c r="G517" s="2808"/>
      <c r="H517" s="2820" t="s">
        <v>263</v>
      </c>
      <c r="I517" s="2825"/>
      <c r="J517" s="2825"/>
      <c r="K517" s="2825"/>
      <c r="L517" s="2826" t="str">
        <f>IFERROR(INDEX('Lower Cask Movement &amp; Logistics'!$I$13:$O$19,MATCH($J517,'Lower Cask Movement &amp; Logistics'!$H$13:$H$19,0),MATCH($K517,'Lower Cask Movement &amp; Logistics'!$H$13:$H$19,0)),"N/A")</f>
        <v>N/A</v>
      </c>
      <c r="M517" s="2826" t="str">
        <f>IFERROR(VLOOKUP($I517,'Lower Cask Movement &amp; Logistics'!$H$4:$I$8,2,FALSE),"N/A")</f>
        <v>N/A</v>
      </c>
      <c r="N517" s="2826" t="str">
        <f t="shared" si="31"/>
        <v>N/A</v>
      </c>
      <c r="O517" s="2809" t="s">
        <v>1971</v>
      </c>
      <c r="P517" s="2805">
        <f>IF($D517="Logistics",VLOOKUP($O517,'Lower Cask Movement &amp; Logistics'!$C$4:$D$54,2,FALSE),"N/A")</f>
        <v>0.58000000000000007</v>
      </c>
    </row>
    <row r="518" spans="1:16" ht="12.75" customHeight="1" outlineLevel="1" x14ac:dyDescent="0.4">
      <c r="A518" s="2962"/>
      <c r="B518" s="3873"/>
      <c r="C518" s="2825" t="s">
        <v>1980</v>
      </c>
      <c r="D518" s="2825" t="s">
        <v>3</v>
      </c>
      <c r="E518" s="2826">
        <f t="shared" si="30"/>
        <v>0.78</v>
      </c>
      <c r="F518" s="2805">
        <f>IF($D518="Trigger",VLOOKUP($C518,'Lower Cask Weld Failures'!$D$582:$G$622,4,FALSE),E518+F517)</f>
        <v>73.963707800469109</v>
      </c>
      <c r="G518" s="2808"/>
      <c r="H518" s="2820" t="s">
        <v>263</v>
      </c>
      <c r="I518" s="2825"/>
      <c r="J518" s="2825"/>
      <c r="K518" s="2825"/>
      <c r="L518" s="2826" t="str">
        <f>IFERROR(INDEX('Lower Cask Movement &amp; Logistics'!$I$13:$O$19,MATCH($J518,'Lower Cask Movement &amp; Logistics'!$H$13:$H$19,0),MATCH($K518,'Lower Cask Movement &amp; Logistics'!$H$13:$H$19,0)),"N/A")</f>
        <v>N/A</v>
      </c>
      <c r="M518" s="2826" t="str">
        <f>IFERROR(VLOOKUP($I518,'Lower Cask Movement &amp; Logistics'!$H$4:$I$8,2,FALSE),"N/A")</f>
        <v>N/A</v>
      </c>
      <c r="N518" s="2826" t="str">
        <f t="shared" si="31"/>
        <v>N/A</v>
      </c>
      <c r="O518" s="2809" t="s">
        <v>1973</v>
      </c>
      <c r="P518" s="2805">
        <f>IF($D518="Logistics",VLOOKUP($O518,'Lower Cask Movement &amp; Logistics'!$C$4:$D$54,2,FALSE),"N/A")</f>
        <v>0.78</v>
      </c>
    </row>
    <row r="519" spans="1:16" ht="12.75" customHeight="1" outlineLevel="1" x14ac:dyDescent="0.4">
      <c r="A519" s="2962"/>
      <c r="B519" s="3873"/>
      <c r="C519" s="2825" t="s">
        <v>1958</v>
      </c>
      <c r="D519" s="2825" t="s">
        <v>3</v>
      </c>
      <c r="E519" s="2826">
        <f t="shared" si="30"/>
        <v>1.9</v>
      </c>
      <c r="F519" s="2805">
        <f>IF($D519="Trigger",VLOOKUP($C519,'Lower Cask Weld Failures'!$D$582:$G$622,4,FALSE),E519+F518)</f>
        <v>75.863707800469115</v>
      </c>
      <c r="G519" s="2808"/>
      <c r="H519" s="2820" t="s">
        <v>263</v>
      </c>
      <c r="I519" s="2825"/>
      <c r="J519" s="2825"/>
      <c r="K519" s="2825"/>
      <c r="L519" s="2826" t="str">
        <f>IFERROR(INDEX('Lower Cask Movement &amp; Logistics'!$I$13:$O$19,MATCH($J519,'Lower Cask Movement &amp; Logistics'!$H$13:$H$19,0),MATCH($K519,'Lower Cask Movement &amp; Logistics'!$H$13:$H$19,0)),"N/A")</f>
        <v>N/A</v>
      </c>
      <c r="M519" s="2826" t="str">
        <f>IFERROR(VLOOKUP($I519,'Lower Cask Movement &amp; Logistics'!$H$4:$I$8,2,FALSE),"N/A")</f>
        <v>N/A</v>
      </c>
      <c r="N519" s="2826" t="str">
        <f t="shared" si="31"/>
        <v>N/A</v>
      </c>
      <c r="O519" s="2809" t="s">
        <v>1541</v>
      </c>
      <c r="P519" s="2805">
        <f>IF($D519="Logistics",VLOOKUP($O519,'Lower Cask Movement &amp; Logistics'!$C$4:$D$54,2,FALSE),"N/A")</f>
        <v>1.9</v>
      </c>
    </row>
    <row r="520" spans="1:16" ht="12.75" customHeight="1" outlineLevel="1" x14ac:dyDescent="0.4">
      <c r="A520" s="2962"/>
      <c r="B520" s="3873"/>
      <c r="C520" s="2825" t="s">
        <v>1993</v>
      </c>
      <c r="D520" s="2825" t="s">
        <v>3</v>
      </c>
      <c r="E520" s="2826">
        <f t="shared" si="30"/>
        <v>0.88000000000000012</v>
      </c>
      <c r="F520" s="2805">
        <f>IF($D520="Trigger",VLOOKUP($C520,'Lower Cask Weld Failures'!$D$582:$G$622,4,FALSE),E520+F519)</f>
        <v>76.74370780046911</v>
      </c>
      <c r="G520" s="2808"/>
      <c r="H520" s="2820" t="s">
        <v>263</v>
      </c>
      <c r="I520" s="2825"/>
      <c r="J520" s="2825"/>
      <c r="K520" s="2825"/>
      <c r="L520" s="2826" t="str">
        <f>IFERROR(INDEX('Lower Cask Movement &amp; Logistics'!$I$13:$O$19,MATCH($J520,'Lower Cask Movement &amp; Logistics'!$H$13:$H$19,0),MATCH($K520,'Lower Cask Movement &amp; Logistics'!$H$13:$H$19,0)),"N/A")</f>
        <v>N/A</v>
      </c>
      <c r="M520" s="2826" t="str">
        <f>IFERROR(VLOOKUP($I520,'Lower Cask Movement &amp; Logistics'!$H$4:$I$8,2,FALSE),"N/A")</f>
        <v>N/A</v>
      </c>
      <c r="N520" s="2826" t="str">
        <f t="shared" si="31"/>
        <v>N/A</v>
      </c>
      <c r="O520" s="2809" t="s">
        <v>1730</v>
      </c>
      <c r="P520" s="2805">
        <f>IF($D520="Logistics",VLOOKUP($O520,'Lower Cask Movement &amp; Logistics'!$C$4:$D$54,2,FALSE),"N/A")</f>
        <v>0.88000000000000012</v>
      </c>
    </row>
    <row r="521" spans="1:16" ht="12.75" customHeight="1" outlineLevel="1" x14ac:dyDescent="0.4">
      <c r="A521" s="2962"/>
      <c r="B521" s="3873"/>
      <c r="C521" s="2901" t="s">
        <v>1562</v>
      </c>
      <c r="D521" s="2825" t="s">
        <v>3</v>
      </c>
      <c r="E521" s="2826">
        <f t="shared" si="30"/>
        <v>2.3000000000000003</v>
      </c>
      <c r="F521" s="2805">
        <f>IF($D521="Trigger",VLOOKUP($C521,'Lower Cask Weld Failures'!$D$582:$G$622,4,FALSE),E521+F520)</f>
        <v>79.043707800469107</v>
      </c>
      <c r="G521" s="2808"/>
      <c r="H521" s="2820" t="s">
        <v>263</v>
      </c>
      <c r="I521" s="2825"/>
      <c r="J521" s="2825"/>
      <c r="K521" s="2825"/>
      <c r="L521" s="2826" t="str">
        <f>IFERROR(INDEX('Lower Cask Movement &amp; Logistics'!$I$13:$O$19,MATCH($J521,'Lower Cask Movement &amp; Logistics'!$H$13:$H$19,0),MATCH($K521,'Lower Cask Movement &amp; Logistics'!$H$13:$H$19,0)),"N/A")</f>
        <v>N/A</v>
      </c>
      <c r="M521" s="2826" t="str">
        <f>IFERROR(VLOOKUP($I521,'Lower Cask Movement &amp; Logistics'!$H$4:$I$8,2,FALSE),"N/A")</f>
        <v>N/A</v>
      </c>
      <c r="N521" s="2826" t="str">
        <f t="shared" si="31"/>
        <v>N/A</v>
      </c>
      <c r="O521" s="2809" t="s">
        <v>1562</v>
      </c>
      <c r="P521" s="2805">
        <f>IF($D521="Logistics",VLOOKUP($O521,'Lower Cask Movement &amp; Logistics'!$C$4:$D$54,2,FALSE),"N/A")</f>
        <v>2.3000000000000003</v>
      </c>
    </row>
    <row r="522" spans="1:16" ht="12.75" customHeight="1" outlineLevel="1" x14ac:dyDescent="0.4">
      <c r="A522" s="2962"/>
      <c r="B522" s="3873"/>
      <c r="C522" s="2901" t="s">
        <v>1964</v>
      </c>
      <c r="D522" s="2901" t="s">
        <v>778</v>
      </c>
      <c r="E522" s="2826">
        <f t="shared" si="30"/>
        <v>0.69444444444444442</v>
      </c>
      <c r="F522" s="2805">
        <f>IF($D522="Trigger",VLOOKUP($C522,'Lower Cask Weld Failures'!$D$582:$G$622,4,FALSE),E522+F521)</f>
        <v>79.73815224491355</v>
      </c>
      <c r="G522" s="2808"/>
      <c r="H522" s="2820" t="s">
        <v>263</v>
      </c>
      <c r="I522" s="2825" t="s">
        <v>1789</v>
      </c>
      <c r="J522" s="2825" t="s">
        <v>1965</v>
      </c>
      <c r="K522" s="2825" t="s">
        <v>1966</v>
      </c>
      <c r="L522" s="2826">
        <f>IFERROR(INDEX('Lower Cask Movement &amp; Logistics'!$I$13:$O$19,MATCH($J522,'Lower Cask Movement &amp; Logistics'!$H$13:$H$19,0),MATCH($K522,'Lower Cask Movement &amp; Logistics'!$H$13:$H$19,0)),"N/A")</f>
        <v>50</v>
      </c>
      <c r="M522" s="2826">
        <f>IFERROR(VLOOKUP($I522,'Lower Cask Movement &amp; Logistics'!$H$4:$I$8,2,FALSE),"N/A")</f>
        <v>0.02</v>
      </c>
      <c r="N522" s="2826">
        <f t="shared" si="31"/>
        <v>0.69444444444444442</v>
      </c>
      <c r="O522" s="2809"/>
      <c r="P522" s="2805" t="str">
        <f>IF($D522="Logistics",VLOOKUP($O522,'Lower Cask Movement &amp; Logistics'!$C$4:$D$54,2,FALSE),"N/A")</f>
        <v>N/A</v>
      </c>
    </row>
    <row r="523" spans="1:16" ht="39" customHeight="1" outlineLevel="1" thickBot="1" x14ac:dyDescent="0.45">
      <c r="A523" s="2962"/>
      <c r="B523" s="3874"/>
      <c r="C523" s="2827" t="str">
        <f>B511</f>
        <v>Divertor cassette transport stored; Replacement pipe modules collected; replacement pipework transported to the lower port</v>
      </c>
      <c r="D523" s="2827" t="s">
        <v>11</v>
      </c>
      <c r="E523" s="2828">
        <f t="shared" si="30"/>
        <v>0</v>
      </c>
      <c r="F523" s="2822">
        <f>IF($D523="Trigger",VLOOKUP($C523,'Lower Cask Weld Failures'!$D$582:$G$622,4,FALSE),E523+F522)</f>
        <v>79.73815224491355</v>
      </c>
      <c r="G523" s="2812"/>
      <c r="H523" s="2813" t="s">
        <v>263</v>
      </c>
      <c r="I523" s="2827"/>
      <c r="J523" s="2827"/>
      <c r="K523" s="2827"/>
      <c r="L523" s="2828" t="str">
        <f>IFERROR(INDEX('Lower Cask Movement &amp; Logistics'!$I$13:$O$19,MATCH($J523,'Lower Cask Movement &amp; Logistics'!$H$13:$H$19,0),MATCH($K523,'Lower Cask Movement &amp; Logistics'!$H$13:$H$19,0)),"N/A")</f>
        <v>N/A</v>
      </c>
      <c r="M523" s="2828" t="str">
        <f>IFERROR(VLOOKUP($I523,'Lower Cask Movement &amp; Logistics'!$H$4:$I$8,2,FALSE),"N/A")</f>
        <v>N/A</v>
      </c>
      <c r="N523" s="2828" t="str">
        <f t="shared" si="31"/>
        <v>N/A</v>
      </c>
      <c r="O523" s="2817"/>
      <c r="P523" s="2822" t="str">
        <f>IF($D523="Logistics",VLOOKUP($O523,'Lower Cask Movement &amp; Logistics'!$C$4:$D$54,2,FALSE),"N/A")</f>
        <v>N/A</v>
      </c>
    </row>
    <row r="524" spans="1:16" ht="13.3" thickBot="1" x14ac:dyDescent="0.45">
      <c r="A524" s="2964"/>
      <c r="B524" s="2965"/>
      <c r="C524" s="2966"/>
      <c r="D524" s="2966"/>
      <c r="E524" s="2966"/>
      <c r="F524" s="2966"/>
      <c r="G524" s="2966"/>
      <c r="H524" s="2967"/>
      <c r="I524" s="2966"/>
      <c r="J524" s="2966"/>
      <c r="K524" s="2966"/>
      <c r="L524" s="2968"/>
      <c r="M524" s="2968"/>
      <c r="N524" s="2968"/>
      <c r="O524" s="2966"/>
      <c r="P524" s="2969"/>
    </row>
  </sheetData>
  <autoFilter ref="B3:P4"/>
  <customSheetViews>
    <customSheetView guid="{9C0AA20B-B2A2-4A2C-B279-4A5988F4E71A}" showAutoFilter="1" hiddenColumns="1" state="hidden">
      <selection activeCell="K2" sqref="K2:M4"/>
      <pageMargins left="0.7" right="0.7" top="0.75" bottom="0.75" header="0.3" footer="0.3"/>
      <pageSetup paperSize="9" orientation="portrait" verticalDpi="0" r:id="rId1"/>
      <autoFilter ref="B3:P3"/>
    </customSheetView>
  </customSheetViews>
  <mergeCells count="82">
    <mergeCell ref="B491:B501"/>
    <mergeCell ref="B502:B510"/>
    <mergeCell ref="B511:B523"/>
    <mergeCell ref="B415:B425"/>
    <mergeCell ref="B435:B447"/>
    <mergeCell ref="B450:B458"/>
    <mergeCell ref="B459:B468"/>
    <mergeCell ref="B469:B479"/>
    <mergeCell ref="B480:B490"/>
    <mergeCell ref="B404:B414"/>
    <mergeCell ref="B261:B263"/>
    <mergeCell ref="B264:B266"/>
    <mergeCell ref="B267:B269"/>
    <mergeCell ref="B273:B279"/>
    <mergeCell ref="B280:B282"/>
    <mergeCell ref="B283:B285"/>
    <mergeCell ref="B289:B297"/>
    <mergeCell ref="B372:B382"/>
    <mergeCell ref="B385:B393"/>
    <mergeCell ref="B394:B403"/>
    <mergeCell ref="B298:B306"/>
    <mergeCell ref="B307:B316"/>
    <mergeCell ref="B317:B327"/>
    <mergeCell ref="B328:B338"/>
    <mergeCell ref="B359:B371"/>
    <mergeCell ref="B258:B260"/>
    <mergeCell ref="B195:B201"/>
    <mergeCell ref="B202:B208"/>
    <mergeCell ref="B209:B215"/>
    <mergeCell ref="B216:B218"/>
    <mergeCell ref="B219:B221"/>
    <mergeCell ref="B222:B224"/>
    <mergeCell ref="B225:B227"/>
    <mergeCell ref="B231:B241"/>
    <mergeCell ref="B242:B244"/>
    <mergeCell ref="B245:B247"/>
    <mergeCell ref="B251:B257"/>
    <mergeCell ref="B189:B191"/>
    <mergeCell ref="B132:B134"/>
    <mergeCell ref="B138:B145"/>
    <mergeCell ref="B146:B152"/>
    <mergeCell ref="B153:B159"/>
    <mergeCell ref="B160:B166"/>
    <mergeCell ref="B167:B173"/>
    <mergeCell ref="B174:B176"/>
    <mergeCell ref="B177:B179"/>
    <mergeCell ref="B180:B182"/>
    <mergeCell ref="B183:B185"/>
    <mergeCell ref="B186:B188"/>
    <mergeCell ref="B129:B131"/>
    <mergeCell ref="B75:B82"/>
    <mergeCell ref="B83:B89"/>
    <mergeCell ref="B90:B96"/>
    <mergeCell ref="B97:B103"/>
    <mergeCell ref="B104:B110"/>
    <mergeCell ref="B111:B113"/>
    <mergeCell ref="B114:B116"/>
    <mergeCell ref="B117:B119"/>
    <mergeCell ref="B120:B122"/>
    <mergeCell ref="B123:B125"/>
    <mergeCell ref="B126:B128"/>
    <mergeCell ref="G2:H2"/>
    <mergeCell ref="I2:N2"/>
    <mergeCell ref="O2:P2"/>
    <mergeCell ref="B6:B13"/>
    <mergeCell ref="B14:B20"/>
    <mergeCell ref="B339:B349"/>
    <mergeCell ref="B426:B434"/>
    <mergeCell ref="B350:B358"/>
    <mergeCell ref="B21:B27"/>
    <mergeCell ref="B69:B71"/>
    <mergeCell ref="B28:B34"/>
    <mergeCell ref="B35:B41"/>
    <mergeCell ref="B42:B44"/>
    <mergeCell ref="B45:B47"/>
    <mergeCell ref="B48:B50"/>
    <mergeCell ref="B51:B53"/>
    <mergeCell ref="B54:B56"/>
    <mergeCell ref="B57:B59"/>
    <mergeCell ref="B60:B62"/>
    <mergeCell ref="B63:B65"/>
    <mergeCell ref="B66:B68"/>
  </mergeCells>
  <conditionalFormatting sqref="D1:D27 D174:D194 D216:D248 D42:D89 D111:D137 D280:D297 D372:D425 D435:D1048576">
    <cfRule type="cellIs" dxfId="3928" priority="81" operator="equal">
      <formula>"Total"</formula>
    </cfRule>
    <cfRule type="cellIs" dxfId="3927" priority="84" stopIfTrue="1" operator="equal">
      <formula>"Operation"</formula>
    </cfRule>
  </conditionalFormatting>
  <conditionalFormatting sqref="B1:P27 B174:P194 B216:P248 B111:P137 B280:P297 B42:P89 B372:P425 B435:P1048576">
    <cfRule type="cellIs" dxfId="3926" priority="83" stopIfTrue="1" operator="equal">
      <formula>"N/A"</formula>
    </cfRule>
  </conditionalFormatting>
  <conditionalFormatting sqref="C1:D27 C174:D194 C216:D248 C42:D89 C111:D137 C280:D297 C372:D425 C435:D1048576">
    <cfRule type="cellIs" dxfId="3925" priority="82" stopIfTrue="1" operator="equal">
      <formula>"Trigger"</formula>
    </cfRule>
  </conditionalFormatting>
  <conditionalFormatting sqref="D138:D152">
    <cfRule type="cellIs" dxfId="3924" priority="77" operator="equal">
      <formula>"Total"</formula>
    </cfRule>
    <cfRule type="cellIs" dxfId="3923" priority="80" stopIfTrue="1" operator="equal">
      <formula>"Operation"</formula>
    </cfRule>
  </conditionalFormatting>
  <conditionalFormatting sqref="B138:P152">
    <cfRule type="cellIs" dxfId="3922" priority="79" stopIfTrue="1" operator="equal">
      <formula>"N/A"</formula>
    </cfRule>
  </conditionalFormatting>
  <conditionalFormatting sqref="C138:D152">
    <cfRule type="cellIs" dxfId="3921" priority="78" stopIfTrue="1" operator="equal">
      <formula>"Trigger"</formula>
    </cfRule>
  </conditionalFormatting>
  <conditionalFormatting sqref="D195:D201">
    <cfRule type="cellIs" dxfId="3920" priority="73" operator="equal">
      <formula>"Total"</formula>
    </cfRule>
    <cfRule type="cellIs" dxfId="3919" priority="76" stopIfTrue="1" operator="equal">
      <formula>"Operation"</formula>
    </cfRule>
  </conditionalFormatting>
  <conditionalFormatting sqref="B195:P201">
    <cfRule type="cellIs" dxfId="3918" priority="75" stopIfTrue="1" operator="equal">
      <formula>"N/A"</formula>
    </cfRule>
  </conditionalFormatting>
  <conditionalFormatting sqref="C195:D201">
    <cfRule type="cellIs" dxfId="3917" priority="74" stopIfTrue="1" operator="equal">
      <formula>"Trigger"</formula>
    </cfRule>
  </conditionalFormatting>
  <conditionalFormatting sqref="D28:D34">
    <cfRule type="cellIs" dxfId="3916" priority="69" operator="equal">
      <formula>"Total"</formula>
    </cfRule>
    <cfRule type="cellIs" dxfId="3915" priority="72" stopIfTrue="1" operator="equal">
      <formula>"Operation"</formula>
    </cfRule>
  </conditionalFormatting>
  <conditionalFormatting sqref="B28:P34">
    <cfRule type="cellIs" dxfId="3914" priority="71" stopIfTrue="1" operator="equal">
      <formula>"N/A"</formula>
    </cfRule>
  </conditionalFormatting>
  <conditionalFormatting sqref="C28:D34">
    <cfRule type="cellIs" dxfId="3913" priority="70" stopIfTrue="1" operator="equal">
      <formula>"Trigger"</formula>
    </cfRule>
  </conditionalFormatting>
  <conditionalFormatting sqref="D35:D41">
    <cfRule type="cellIs" dxfId="3912" priority="65" operator="equal">
      <formula>"Total"</formula>
    </cfRule>
    <cfRule type="cellIs" dxfId="3911" priority="68" stopIfTrue="1" operator="equal">
      <formula>"Operation"</formula>
    </cfRule>
  </conditionalFormatting>
  <conditionalFormatting sqref="B35:P41">
    <cfRule type="cellIs" dxfId="3910" priority="67" stopIfTrue="1" operator="equal">
      <formula>"N/A"</formula>
    </cfRule>
  </conditionalFormatting>
  <conditionalFormatting sqref="C35:D41">
    <cfRule type="cellIs" dxfId="3909" priority="66" stopIfTrue="1" operator="equal">
      <formula>"Trigger"</formula>
    </cfRule>
  </conditionalFormatting>
  <conditionalFormatting sqref="D90:D96">
    <cfRule type="cellIs" dxfId="3908" priority="61" operator="equal">
      <formula>"Total"</formula>
    </cfRule>
    <cfRule type="cellIs" dxfId="3907" priority="64" stopIfTrue="1" operator="equal">
      <formula>"Operation"</formula>
    </cfRule>
  </conditionalFormatting>
  <conditionalFormatting sqref="B90:P96">
    <cfRule type="cellIs" dxfId="3906" priority="63" stopIfTrue="1" operator="equal">
      <formula>"N/A"</formula>
    </cfRule>
  </conditionalFormatting>
  <conditionalFormatting sqref="C90:D96">
    <cfRule type="cellIs" dxfId="3905" priority="62" stopIfTrue="1" operator="equal">
      <formula>"Trigger"</formula>
    </cfRule>
  </conditionalFormatting>
  <conditionalFormatting sqref="D97:D103">
    <cfRule type="cellIs" dxfId="3904" priority="57" operator="equal">
      <formula>"Total"</formula>
    </cfRule>
    <cfRule type="cellIs" dxfId="3903" priority="60" stopIfTrue="1" operator="equal">
      <formula>"Operation"</formula>
    </cfRule>
  </conditionalFormatting>
  <conditionalFormatting sqref="B97:P103">
    <cfRule type="cellIs" dxfId="3902" priority="59" stopIfTrue="1" operator="equal">
      <formula>"N/A"</formula>
    </cfRule>
  </conditionalFormatting>
  <conditionalFormatting sqref="C97:D103">
    <cfRule type="cellIs" dxfId="3901" priority="58" stopIfTrue="1" operator="equal">
      <formula>"Trigger"</formula>
    </cfRule>
  </conditionalFormatting>
  <conditionalFormatting sqref="D104:D110">
    <cfRule type="cellIs" dxfId="3900" priority="53" operator="equal">
      <formula>"Total"</formula>
    </cfRule>
    <cfRule type="cellIs" dxfId="3899" priority="56" stopIfTrue="1" operator="equal">
      <formula>"Operation"</formula>
    </cfRule>
  </conditionalFormatting>
  <conditionalFormatting sqref="B104:P110">
    <cfRule type="cellIs" dxfId="3898" priority="55" stopIfTrue="1" operator="equal">
      <formula>"N/A"</formula>
    </cfRule>
  </conditionalFormatting>
  <conditionalFormatting sqref="C104:D110">
    <cfRule type="cellIs" dxfId="3897" priority="54" stopIfTrue="1" operator="equal">
      <formula>"Trigger"</formula>
    </cfRule>
  </conditionalFormatting>
  <conditionalFormatting sqref="D153:D159">
    <cfRule type="cellIs" dxfId="3896" priority="49" operator="equal">
      <formula>"Total"</formula>
    </cfRule>
    <cfRule type="cellIs" dxfId="3895" priority="52" stopIfTrue="1" operator="equal">
      <formula>"Operation"</formula>
    </cfRule>
  </conditionalFormatting>
  <conditionalFormatting sqref="B153:P159">
    <cfRule type="cellIs" dxfId="3894" priority="51" stopIfTrue="1" operator="equal">
      <formula>"N/A"</formula>
    </cfRule>
  </conditionalFormatting>
  <conditionalFormatting sqref="C153:D159">
    <cfRule type="cellIs" dxfId="3893" priority="50" stopIfTrue="1" operator="equal">
      <formula>"Trigger"</formula>
    </cfRule>
  </conditionalFormatting>
  <conditionalFormatting sqref="D160:D166">
    <cfRule type="cellIs" dxfId="3892" priority="45" operator="equal">
      <formula>"Total"</formula>
    </cfRule>
    <cfRule type="cellIs" dxfId="3891" priority="48" stopIfTrue="1" operator="equal">
      <formula>"Operation"</formula>
    </cfRule>
  </conditionalFormatting>
  <conditionalFormatting sqref="B160:P166">
    <cfRule type="cellIs" dxfId="3890" priority="47" stopIfTrue="1" operator="equal">
      <formula>"N/A"</formula>
    </cfRule>
  </conditionalFormatting>
  <conditionalFormatting sqref="C160:D166">
    <cfRule type="cellIs" dxfId="3889" priority="46" stopIfTrue="1" operator="equal">
      <formula>"Trigger"</formula>
    </cfRule>
  </conditionalFormatting>
  <conditionalFormatting sqref="D167:D173">
    <cfRule type="cellIs" dxfId="3888" priority="41" operator="equal">
      <formula>"Total"</formula>
    </cfRule>
    <cfRule type="cellIs" dxfId="3887" priority="44" stopIfTrue="1" operator="equal">
      <formula>"Operation"</formula>
    </cfRule>
  </conditionalFormatting>
  <conditionalFormatting sqref="B167:P173">
    <cfRule type="cellIs" dxfId="3886" priority="43" stopIfTrue="1" operator="equal">
      <formula>"N/A"</formula>
    </cfRule>
  </conditionalFormatting>
  <conditionalFormatting sqref="C167:D173">
    <cfRule type="cellIs" dxfId="3885" priority="42" stopIfTrue="1" operator="equal">
      <formula>"Trigger"</formula>
    </cfRule>
  </conditionalFormatting>
  <conditionalFormatting sqref="D202:D208">
    <cfRule type="cellIs" dxfId="3884" priority="37" operator="equal">
      <formula>"Total"</formula>
    </cfRule>
    <cfRule type="cellIs" dxfId="3883" priority="40" stopIfTrue="1" operator="equal">
      <formula>"Operation"</formula>
    </cfRule>
  </conditionalFormatting>
  <conditionalFormatting sqref="B202:P208">
    <cfRule type="cellIs" dxfId="3882" priority="39" stopIfTrue="1" operator="equal">
      <formula>"N/A"</formula>
    </cfRule>
  </conditionalFormatting>
  <conditionalFormatting sqref="C202:D208">
    <cfRule type="cellIs" dxfId="3881" priority="38" stopIfTrue="1" operator="equal">
      <formula>"Trigger"</formula>
    </cfRule>
  </conditionalFormatting>
  <conditionalFormatting sqref="D209:D215">
    <cfRule type="cellIs" dxfId="3880" priority="33" operator="equal">
      <formula>"Total"</formula>
    </cfRule>
    <cfRule type="cellIs" dxfId="3879" priority="36" stopIfTrue="1" operator="equal">
      <formula>"Operation"</formula>
    </cfRule>
  </conditionalFormatting>
  <conditionalFormatting sqref="B209:P215">
    <cfRule type="cellIs" dxfId="3878" priority="35" stopIfTrue="1" operator="equal">
      <formula>"N/A"</formula>
    </cfRule>
  </conditionalFormatting>
  <conditionalFormatting sqref="C209:D215">
    <cfRule type="cellIs" dxfId="3877" priority="34" stopIfTrue="1" operator="equal">
      <formula>"Trigger"</formula>
    </cfRule>
  </conditionalFormatting>
  <conditionalFormatting sqref="D249:D250 D258:D270">
    <cfRule type="cellIs" dxfId="3876" priority="29" operator="equal">
      <formula>"Total"</formula>
    </cfRule>
    <cfRule type="cellIs" dxfId="3875" priority="32" stopIfTrue="1" operator="equal">
      <formula>"Operation"</formula>
    </cfRule>
  </conditionalFormatting>
  <conditionalFormatting sqref="B249:P250 B258:P270">
    <cfRule type="cellIs" dxfId="3874" priority="31" stopIfTrue="1" operator="equal">
      <formula>"N/A"</formula>
    </cfRule>
  </conditionalFormatting>
  <conditionalFormatting sqref="C249:D250 C258:D270">
    <cfRule type="cellIs" dxfId="3873" priority="30" stopIfTrue="1" operator="equal">
      <formula>"Trigger"</formula>
    </cfRule>
  </conditionalFormatting>
  <conditionalFormatting sqref="D251:D257">
    <cfRule type="cellIs" dxfId="3872" priority="25" operator="equal">
      <formula>"Total"</formula>
    </cfRule>
    <cfRule type="cellIs" dxfId="3871" priority="28" stopIfTrue="1" operator="equal">
      <formula>"Operation"</formula>
    </cfRule>
  </conditionalFormatting>
  <conditionalFormatting sqref="B251:P257">
    <cfRule type="cellIs" dxfId="3870" priority="27" stopIfTrue="1" operator="equal">
      <formula>"N/A"</formula>
    </cfRule>
  </conditionalFormatting>
  <conditionalFormatting sqref="C251:D257">
    <cfRule type="cellIs" dxfId="3869" priority="26" stopIfTrue="1" operator="equal">
      <formula>"Trigger"</formula>
    </cfRule>
  </conditionalFormatting>
  <conditionalFormatting sqref="D271:D272">
    <cfRule type="cellIs" dxfId="3868" priority="21" operator="equal">
      <formula>"Total"</formula>
    </cfRule>
    <cfRule type="cellIs" dxfId="3867" priority="24" stopIfTrue="1" operator="equal">
      <formula>"Operation"</formula>
    </cfRule>
  </conditionalFormatting>
  <conditionalFormatting sqref="B271:P272">
    <cfRule type="cellIs" dxfId="3866" priority="23" stopIfTrue="1" operator="equal">
      <formula>"N/A"</formula>
    </cfRule>
  </conditionalFormatting>
  <conditionalFormatting sqref="C271:D272">
    <cfRule type="cellIs" dxfId="3865" priority="22" stopIfTrue="1" operator="equal">
      <formula>"Trigger"</formula>
    </cfRule>
  </conditionalFormatting>
  <conditionalFormatting sqref="D273:D279">
    <cfRule type="cellIs" dxfId="3864" priority="17" operator="equal">
      <formula>"Total"</formula>
    </cfRule>
    <cfRule type="cellIs" dxfId="3863" priority="20" stopIfTrue="1" operator="equal">
      <formula>"Operation"</formula>
    </cfRule>
  </conditionalFormatting>
  <conditionalFormatting sqref="B273:P279">
    <cfRule type="cellIs" dxfId="3862" priority="19" stopIfTrue="1" operator="equal">
      <formula>"N/A"</formula>
    </cfRule>
  </conditionalFormatting>
  <conditionalFormatting sqref="C273:D279">
    <cfRule type="cellIs" dxfId="3861" priority="18" stopIfTrue="1" operator="equal">
      <formula>"Trigger"</formula>
    </cfRule>
  </conditionalFormatting>
  <conditionalFormatting sqref="D298:D338 D359:D371">
    <cfRule type="cellIs" dxfId="3860" priority="13" operator="equal">
      <formula>"Total"</formula>
    </cfRule>
    <cfRule type="cellIs" dxfId="3859" priority="16" stopIfTrue="1" operator="equal">
      <formula>"Operation"</formula>
    </cfRule>
  </conditionalFormatting>
  <conditionalFormatting sqref="B298:P338 B359:P371">
    <cfRule type="cellIs" dxfId="3858" priority="15" stopIfTrue="1" operator="equal">
      <formula>"N/A"</formula>
    </cfRule>
  </conditionalFormatting>
  <conditionalFormatting sqref="C298:D338 C359:D371">
    <cfRule type="cellIs" dxfId="3857" priority="14" stopIfTrue="1" operator="equal">
      <formula>"Trigger"</formula>
    </cfRule>
  </conditionalFormatting>
  <conditionalFormatting sqref="D339:D349">
    <cfRule type="cellIs" dxfId="3856" priority="9" operator="equal">
      <formula>"Total"</formula>
    </cfRule>
    <cfRule type="cellIs" dxfId="3855" priority="12" stopIfTrue="1" operator="equal">
      <formula>"Operation"</formula>
    </cfRule>
  </conditionalFormatting>
  <conditionalFormatting sqref="B339:P349">
    <cfRule type="cellIs" dxfId="3854" priority="11" stopIfTrue="1" operator="equal">
      <formula>"N/A"</formula>
    </cfRule>
  </conditionalFormatting>
  <conditionalFormatting sqref="C339:D349">
    <cfRule type="cellIs" dxfId="3853" priority="10" stopIfTrue="1" operator="equal">
      <formula>"Trigger"</formula>
    </cfRule>
  </conditionalFormatting>
  <conditionalFormatting sqref="D426:D434">
    <cfRule type="cellIs" dxfId="3852" priority="5" operator="equal">
      <formula>"Total"</formula>
    </cfRule>
    <cfRule type="cellIs" dxfId="3851" priority="8" stopIfTrue="1" operator="equal">
      <formula>"Operation"</formula>
    </cfRule>
  </conditionalFormatting>
  <conditionalFormatting sqref="B426:P434">
    <cfRule type="cellIs" dxfId="3850" priority="7" stopIfTrue="1" operator="equal">
      <formula>"N/A"</formula>
    </cfRule>
  </conditionalFormatting>
  <conditionalFormatting sqref="C426:D434">
    <cfRule type="cellIs" dxfId="3849" priority="6" stopIfTrue="1" operator="equal">
      <formula>"Trigger"</formula>
    </cfRule>
  </conditionalFormatting>
  <conditionalFormatting sqref="D350:D358">
    <cfRule type="cellIs" dxfId="3848" priority="1" operator="equal">
      <formula>"Total"</formula>
    </cfRule>
    <cfRule type="cellIs" dxfId="3847" priority="4" stopIfTrue="1" operator="equal">
      <formula>"Operation"</formula>
    </cfRule>
  </conditionalFormatting>
  <conditionalFormatting sqref="B350:P358">
    <cfRule type="cellIs" dxfId="3846" priority="3" stopIfTrue="1" operator="equal">
      <formula>"N/A"</formula>
    </cfRule>
  </conditionalFormatting>
  <conditionalFormatting sqref="C350:D358">
    <cfRule type="cellIs" dxfId="3845" priority="2" stopIfTrue="1" operator="equal">
      <formula>"Trigger"</formula>
    </cfRule>
  </conditionalFormatting>
  <pageMargins left="0.7" right="0.7" top="0.75" bottom="0.75" header="0.3" footer="0.3"/>
  <pageSetup paperSize="9" orientation="portrait" verticalDpi="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B1:T91"/>
  <sheetViews>
    <sheetView workbookViewId="0">
      <selection activeCell="M73" sqref="M73"/>
    </sheetView>
  </sheetViews>
  <sheetFormatPr defaultRowHeight="14.6" x14ac:dyDescent="0.4"/>
  <cols>
    <col min="2" max="2" width="14" customWidth="1"/>
    <col min="3" max="3" width="12.3828125" style="168" customWidth="1"/>
    <col min="4" max="4" width="9.53515625" customWidth="1"/>
    <col min="5" max="8" width="13.3046875" customWidth="1"/>
    <col min="9" max="9" width="15" customWidth="1"/>
    <col min="10" max="10" width="5.69140625" style="3256" customWidth="1"/>
    <col min="11" max="11" width="14.15234375" style="3256" customWidth="1"/>
    <col min="12" max="12" width="5.69140625" style="3256" customWidth="1"/>
    <col min="13" max="13" width="14.15234375" style="3256" customWidth="1"/>
    <col min="14" max="14" width="3.3046875" style="5" customWidth="1"/>
    <col min="15" max="18" width="13.3046875" customWidth="1"/>
    <col min="19" max="19" width="13.84375" customWidth="1"/>
    <col min="20" max="20" width="8.84375" customWidth="1"/>
  </cols>
  <sheetData>
    <row r="1" spans="2:20" ht="15" thickBot="1" x14ac:dyDescent="0.45"/>
    <row r="2" spans="2:20" ht="16.5" customHeight="1" thickBot="1" x14ac:dyDescent="0.5">
      <c r="E2" s="3744" t="s">
        <v>2529</v>
      </c>
      <c r="F2" s="3745"/>
      <c r="G2" s="3745"/>
      <c r="H2" s="3745"/>
      <c r="I2" s="3746"/>
      <c r="J2" s="3617"/>
      <c r="K2" s="3756" t="s">
        <v>2692</v>
      </c>
      <c r="L2" s="3617"/>
      <c r="M2" s="3756" t="s">
        <v>2697</v>
      </c>
      <c r="N2" s="201"/>
      <c r="O2" s="3747" t="s">
        <v>2534</v>
      </c>
      <c r="P2" s="3748"/>
      <c r="Q2" s="3748"/>
      <c r="R2" s="3748"/>
      <c r="S2" s="3749"/>
      <c r="T2" s="202"/>
    </row>
    <row r="3" spans="2:20" ht="18.45" x14ac:dyDescent="0.5">
      <c r="E3" s="3750" t="s">
        <v>718</v>
      </c>
      <c r="F3" s="3751"/>
      <c r="G3" s="3750" t="s">
        <v>719</v>
      </c>
      <c r="H3" s="3751"/>
      <c r="I3" s="203" t="s">
        <v>11</v>
      </c>
      <c r="J3" s="3610"/>
      <c r="K3" s="3757"/>
      <c r="L3" s="3610"/>
      <c r="M3" s="3757"/>
      <c r="N3" s="204"/>
      <c r="O3" s="3752" t="s">
        <v>718</v>
      </c>
      <c r="P3" s="3753"/>
      <c r="Q3" s="3754" t="s">
        <v>719</v>
      </c>
      <c r="R3" s="3755"/>
      <c r="S3" s="205" t="s">
        <v>11</v>
      </c>
      <c r="T3" s="206"/>
    </row>
    <row r="4" spans="2:20" ht="32.15" customHeight="1" thickBot="1" x14ac:dyDescent="0.45">
      <c r="E4" s="207" t="s">
        <v>147</v>
      </c>
      <c r="F4" s="208" t="s">
        <v>148</v>
      </c>
      <c r="G4" s="209" t="s">
        <v>720</v>
      </c>
      <c r="H4" s="210" t="s">
        <v>721</v>
      </c>
      <c r="I4" s="211" t="s">
        <v>146</v>
      </c>
      <c r="J4" s="3330"/>
      <c r="K4" s="3332" t="str">
        <f>'Plant Availibility Calculator'!$P$18 &amp; " Ops"</f>
        <v>Upper Port Hot Cell Ops</v>
      </c>
      <c r="L4" s="3330"/>
      <c r="M4" s="3332" t="s">
        <v>2696</v>
      </c>
      <c r="N4" s="212"/>
      <c r="O4" s="213" t="s">
        <v>114</v>
      </c>
      <c r="P4" s="214" t="s">
        <v>115</v>
      </c>
      <c r="Q4" s="213" t="s">
        <v>720</v>
      </c>
      <c r="R4" s="214" t="s">
        <v>721</v>
      </c>
      <c r="S4" s="215" t="s">
        <v>146</v>
      </c>
      <c r="T4" s="5"/>
    </row>
    <row r="5" spans="2:20" x14ac:dyDescent="0.4">
      <c r="B5" s="3758" t="s">
        <v>23</v>
      </c>
      <c r="C5" s="3761" t="s">
        <v>18</v>
      </c>
      <c r="D5" s="216" t="s">
        <v>26</v>
      </c>
      <c r="E5" s="217">
        <f>'Lower Hot Cell Critical Path'!$F$107</f>
        <v>120.3542439121217</v>
      </c>
      <c r="F5" s="218">
        <f>'Lower Hot Cell Critical Path'!$F$213</f>
        <v>497.94834911088753</v>
      </c>
      <c r="G5" s="217">
        <f>'Lower Hot Cell Hardware Failure'!$D$10</f>
        <v>5.5942093606903986</v>
      </c>
      <c r="H5" s="219">
        <f>'Lower Hot Cell Weld Failure'!$D$23</f>
        <v>282.91268696018028</v>
      </c>
      <c r="I5" s="220">
        <f>SUM(E5:H5)</f>
        <v>906.80948934387982</v>
      </c>
      <c r="J5" s="3611"/>
      <c r="K5" s="3265">
        <f>IF('Plant Availibility Calculator'!$P$18="Upper Port Cask System",'Upper Cask Summary'!$I5,IF('Plant Availibility Calculator'!$P$18="Upper Port Hot Cell",'Upper Hot Cell Summary'!$I5,"ERROR"))</f>
        <v>725.821522951676</v>
      </c>
      <c r="L5" s="3611"/>
      <c r="M5" s="3265"/>
      <c r="N5" s="221"/>
      <c r="O5" s="217">
        <f>'Lower Hot Cell Critical Path'!$F$75</f>
        <v>101.52006574890245</v>
      </c>
      <c r="P5" s="218">
        <f>'Lower Hot Cell Critical Path'!$F$210</f>
        <v>142.90850526076758</v>
      </c>
      <c r="Q5" s="217">
        <f>'Lower Hot Cell Hardware Failure'!$D$14</f>
        <v>2.8745763000000002</v>
      </c>
      <c r="R5" s="219">
        <f>'Lower Hot Cell Weld Failure'!$D$28</f>
        <v>30.808503762444825</v>
      </c>
      <c r="S5" s="220">
        <f>SUM(O5:R5)</f>
        <v>278.11165107211485</v>
      </c>
      <c r="T5" s="273"/>
    </row>
    <row r="6" spans="2:20" x14ac:dyDescent="0.4">
      <c r="B6" s="3759"/>
      <c r="C6" s="3762"/>
      <c r="D6" s="24" t="s">
        <v>27</v>
      </c>
      <c r="E6" s="222">
        <f>E5/$E11</f>
        <v>0.73255104961134088</v>
      </c>
      <c r="F6" s="223">
        <f>F5/F11</f>
        <v>0.91611368563703865</v>
      </c>
      <c r="G6" s="222">
        <f>G5/G11</f>
        <v>0.2848717452045475</v>
      </c>
      <c r="H6" s="224">
        <f>H5/H11</f>
        <v>0.64951438689763008</v>
      </c>
      <c r="I6" s="225">
        <f>I5/I11</f>
        <v>0.77968074512209151</v>
      </c>
      <c r="J6" s="3612"/>
      <c r="K6" s="3271">
        <f>IF('Plant Availibility Calculator'!$P$18="Upper Port Cask System",'Upper Cask Summary'!$I6,IF('Plant Availibility Calculator'!$P$18="Upper Port Hot Cell",'Upper Hot Cell Summary'!$I6,"ERROR"))</f>
        <v>0.8184701737402712</v>
      </c>
      <c r="L6" s="3612"/>
      <c r="M6" s="3271"/>
      <c r="N6" s="226"/>
      <c r="O6" s="222">
        <f>O5/O$11</f>
        <v>0.7612030701357414</v>
      </c>
      <c r="P6" s="223">
        <f>P5/P$11</f>
        <v>0.82266340386643888</v>
      </c>
      <c r="Q6" s="222">
        <f>Q5/Q$11</f>
        <v>0.20621148258294236</v>
      </c>
      <c r="R6" s="224">
        <f>R5/R11</f>
        <v>0.78338307930584294</v>
      </c>
      <c r="S6" s="225">
        <f>S5/S$11</f>
        <v>0.77178245819899671</v>
      </c>
      <c r="T6" s="273"/>
    </row>
    <row r="7" spans="2:20" x14ac:dyDescent="0.4">
      <c r="B7" s="3759"/>
      <c r="C7" s="3763" t="s">
        <v>3</v>
      </c>
      <c r="D7" s="21" t="s">
        <v>26</v>
      </c>
      <c r="E7" s="228">
        <f>'Lower Hot Cell Critical Path'!$F$108+'Lower Hot Cell Critical Path'!$F$109</f>
        <v>41.638148148148176</v>
      </c>
      <c r="F7" s="229">
        <f>'Lower Hot Cell Critical Path'!$F$215+'Lower Hot Cell Critical Path'!$F$216</f>
        <v>44.055925925925926</v>
      </c>
      <c r="G7" s="228">
        <f>'Lower Hot Cell Hardware Failure'!$D$11</f>
        <v>14.043432683007437</v>
      </c>
      <c r="H7" s="28">
        <f>'Lower Hot Cell Weld Failure'!$D$24</f>
        <v>34.672083379666823</v>
      </c>
      <c r="I7" s="27">
        <f>SUM(E7:H7)</f>
        <v>134.40959013674836</v>
      </c>
      <c r="J7" s="3611"/>
      <c r="K7" s="3276">
        <f>IF('Plant Availibility Calculator'!$P$18="Upper Port Cask System",'Upper Cask Summary'!$I7,IF('Plant Availibility Calculator'!$P$18="Upper Port Hot Cell",'Upper Hot Cell Summary'!$I7,"ERROR"))</f>
        <v>74.130749550803642</v>
      </c>
      <c r="L7" s="3611"/>
      <c r="M7" s="3276"/>
      <c r="N7" s="221"/>
      <c r="O7" s="228">
        <f>'Lower Hot Cell Critical Path'!$F$76+'Lower Hot Cell Critical Path'!$F$77</f>
        <v>30.318148148148165</v>
      </c>
      <c r="P7" s="229">
        <f>'Lower Hot Cell Critical Path'!$F$211+'Lower Hot Cell Critical Path'!$F$212</f>
        <v>29.265925925925945</v>
      </c>
      <c r="Q7" s="228">
        <f>'Lower Hot Cell Hardware Failure'!$D$15</f>
        <v>11.065366636222228</v>
      </c>
      <c r="R7" s="28">
        <f>'Lower Hot Cell Weld Failure'!$D$29</f>
        <v>7.7034932229364479</v>
      </c>
      <c r="S7" s="27">
        <f>SUM(O7:R7)</f>
        <v>78.352933933232777</v>
      </c>
      <c r="T7" s="273"/>
    </row>
    <row r="8" spans="2:20" x14ac:dyDescent="0.4">
      <c r="B8" s="3759"/>
      <c r="C8" s="3764"/>
      <c r="D8" s="21" t="s">
        <v>27</v>
      </c>
      <c r="E8" s="230">
        <f>E7/E$11</f>
        <v>0.25343575879276808</v>
      </c>
      <c r="F8" s="231">
        <f>F7/F$11</f>
        <v>8.1053058507408751E-2</v>
      </c>
      <c r="G8" s="230">
        <f>G7/G11</f>
        <v>0.71512825479545261</v>
      </c>
      <c r="H8" s="232">
        <f>H7/H11</f>
        <v>7.9600590630202028E-2</v>
      </c>
      <c r="I8" s="233">
        <f>I7/I11</f>
        <v>0.11556624695800244</v>
      </c>
      <c r="J8" s="3612"/>
      <c r="K8" s="3280">
        <f>IF('Plant Availibility Calculator'!$P$18="Upper Port Cask System",'Upper Cask Summary'!$I8,IF('Plant Availibility Calculator'!$P$18="Upper Port Hot Cell",'Upper Hot Cell Summary'!$I8,"ERROR"))</f>
        <v>8.3593287806625644E-2</v>
      </c>
      <c r="L8" s="3612"/>
      <c r="M8" s="3280"/>
      <c r="N8" s="226"/>
      <c r="O8" s="230">
        <f>O7/O$11</f>
        <v>0.22732715233146042</v>
      </c>
      <c r="P8" s="231">
        <f>P7/P$11</f>
        <v>0.16847147197847603</v>
      </c>
      <c r="Q8" s="230">
        <f>Q7/Q11</f>
        <v>0.79378851741705769</v>
      </c>
      <c r="R8" s="232">
        <f>R7/R11</f>
        <v>0.19588053639112377</v>
      </c>
      <c r="S8" s="233">
        <f>S7/S11</f>
        <v>0.21743576626501571</v>
      </c>
      <c r="T8" s="273"/>
    </row>
    <row r="9" spans="2:20" x14ac:dyDescent="0.4">
      <c r="B9" s="3759"/>
      <c r="C9" s="3764"/>
      <c r="D9" s="21" t="s">
        <v>2699</v>
      </c>
      <c r="E9" s="234">
        <f>-SUMIF('Lower Hot Cell Critical Path'!$S$7:$S$122, "&lt;0")</f>
        <v>2.302292898513997</v>
      </c>
      <c r="F9" s="235">
        <f>-SUMIF('Lower Hot Cell Critical Path'!$S$110:$S$208, "&lt;0")</f>
        <v>1.5400000000000205</v>
      </c>
      <c r="G9" s="234">
        <f>'Lower Hot Cell Hardware Failure'!$D$12</f>
        <v>0</v>
      </c>
      <c r="H9" s="236">
        <f>'Lower Hot Cell Weld Failure'!$D$25</f>
        <v>117.99093462874835</v>
      </c>
      <c r="I9" s="237">
        <f>SUM(E9:H9)</f>
        <v>121.83322752726237</v>
      </c>
      <c r="J9" s="3613"/>
      <c r="K9" s="3284">
        <f>IF('Plant Availibility Calculator'!$P$18="Upper Port Cask System",'Upper Cask Summary'!$I9,IF('Plant Availibility Calculator'!$P$18="Upper Port Hot Cell",'Upper Hot Cell Summary'!$I9,"ERROR"))</f>
        <v>86.850382302635069</v>
      </c>
      <c r="L9" s="3613"/>
      <c r="M9" s="3284"/>
      <c r="N9" s="221"/>
      <c r="O9" s="234">
        <f>-SUMIF('Lower Hot Cell Critical Path'!$S$7:$S$73, "&lt;0")</f>
        <v>1.5297003059214092</v>
      </c>
      <c r="P9" s="235">
        <f>(-SUMIF('Lower Hot Cell Critical Path'!$S$110:$S$118, "&lt;0"))+(-SUMIF('Lower Hot Cell Critical Path'!$S$150:$S$208, "&lt;0"))</f>
        <v>1.5400000000000205</v>
      </c>
      <c r="Q9" s="234">
        <f>'Lower Hot Cell Hardware Failure'!$D$16</f>
        <v>0</v>
      </c>
      <c r="R9" s="236">
        <f>'Lower Hot Cell Weld Failure'!$D$30</f>
        <v>0.81551030485059339</v>
      </c>
      <c r="S9" s="237">
        <f>SUM(O9:R9)</f>
        <v>3.885210610772023</v>
      </c>
      <c r="T9" s="273"/>
    </row>
    <row r="10" spans="2:20" x14ac:dyDescent="0.4">
      <c r="B10" s="3759"/>
      <c r="C10" s="3764"/>
      <c r="D10" s="238" t="s">
        <v>27</v>
      </c>
      <c r="E10" s="239">
        <f>E9/E11</f>
        <v>1.4013191595891044E-2</v>
      </c>
      <c r="F10" s="240">
        <f>F9/F11</f>
        <v>2.8332558555523709E-3</v>
      </c>
      <c r="G10" s="239">
        <f>G9/G11</f>
        <v>0</v>
      </c>
      <c r="H10" s="241">
        <f>H9/H11</f>
        <v>0.27088502247216789</v>
      </c>
      <c r="I10" s="242">
        <f>I9/I11</f>
        <v>0.10475300791990587</v>
      </c>
      <c r="J10" s="3614"/>
      <c r="K10" s="3289">
        <f>IF('Plant Availibility Calculator'!$P$18="Upper Port Cask System",'Upper Cask Summary'!$I10,IF('Plant Availibility Calculator'!$P$18="Upper Port Hot Cell",'Upper Hot Cell Summary'!$I10,"ERROR"))</f>
        <v>9.7936538453103142E-2</v>
      </c>
      <c r="L10" s="3614"/>
      <c r="M10" s="3289"/>
      <c r="N10" s="243"/>
      <c r="O10" s="239">
        <f>O9/O11</f>
        <v>1.1469777532798219E-2</v>
      </c>
      <c r="P10" s="240">
        <f>P9/P11</f>
        <v>8.8651241550850718E-3</v>
      </c>
      <c r="Q10" s="239">
        <f>Q9/Q11</f>
        <v>0</v>
      </c>
      <c r="R10" s="241">
        <f>R9/R11</f>
        <v>2.0736384303033342E-2</v>
      </c>
      <c r="S10" s="242">
        <f>S9/S11</f>
        <v>1.0781775535987635E-2</v>
      </c>
      <c r="T10" s="273"/>
    </row>
    <row r="11" spans="2:20" s="251" customFormat="1" x14ac:dyDescent="0.4">
      <c r="B11" s="3759"/>
      <c r="C11" s="3765" t="s">
        <v>25</v>
      </c>
      <c r="D11" s="244" t="s">
        <v>26</v>
      </c>
      <c r="E11" s="245">
        <f>E5+E7+E9</f>
        <v>164.29468495878388</v>
      </c>
      <c r="F11" s="246">
        <f>F5+F7+F9</f>
        <v>543.54427503681359</v>
      </c>
      <c r="G11" s="245">
        <f>G5+G7+G9</f>
        <v>19.637642043697834</v>
      </c>
      <c r="H11" s="247">
        <f>H5+H7+H9</f>
        <v>435.57570496859546</v>
      </c>
      <c r="I11" s="248">
        <f>SUM(E11:H11)</f>
        <v>1163.0523070078907</v>
      </c>
      <c r="J11" s="3615"/>
      <c r="K11" s="3294">
        <f>IF('Plant Availibility Calculator'!$P$18="Upper Port Cask System",'Upper Cask Summary'!$I11,IF('Plant Availibility Calculator'!$P$18="Upper Port Hot Cell",'Upper Hot Cell Summary'!$I11,"ERROR"))</f>
        <v>886.80265480511468</v>
      </c>
      <c r="L11" s="3615"/>
      <c r="M11" s="3294">
        <f t="shared" ref="M11:M64" si="0">MAX(I11,J11)</f>
        <v>1163.0523070078907</v>
      </c>
      <c r="N11" s="249"/>
      <c r="O11" s="245">
        <f>O5+O7+O9</f>
        <v>133.36791420297203</v>
      </c>
      <c r="P11" s="246">
        <f>P5+P7+P9</f>
        <v>173.71443118669356</v>
      </c>
      <c r="Q11" s="245">
        <f>Q5+Q7+Q9</f>
        <v>13.939942936222227</v>
      </c>
      <c r="R11" s="247">
        <f>R5+R7+R9</f>
        <v>39.327507290231864</v>
      </c>
      <c r="S11" s="248">
        <f t="shared" ref="S11:S16" si="1">SUM(O11:R11)</f>
        <v>360.34979561611965</v>
      </c>
      <c r="T11" s="273"/>
    </row>
    <row r="12" spans="2:20" ht="15" customHeight="1" thickBot="1" x14ac:dyDescent="0.45">
      <c r="B12" s="3759"/>
      <c r="C12" s="3766"/>
      <c r="D12" s="252" t="s">
        <v>28</v>
      </c>
      <c r="E12" s="253">
        <f>E11/24</f>
        <v>6.8456118732826612</v>
      </c>
      <c r="F12" s="254">
        <f>F11/24</f>
        <v>22.647678126533901</v>
      </c>
      <c r="G12" s="255">
        <f>G11/24</f>
        <v>0.81823508515407639</v>
      </c>
      <c r="H12" s="256">
        <f>H11/24</f>
        <v>18.148987707024812</v>
      </c>
      <c r="I12" s="254">
        <f>SUM(E12:H12)</f>
        <v>48.460512791995448</v>
      </c>
      <c r="J12" s="3616"/>
      <c r="K12" s="3626">
        <f>IF('Plant Availibility Calculator'!$P$18="Upper Port Cask System",'Upper Cask Summary'!$I12,IF('Plant Availibility Calculator'!$P$18="Upper Port Hot Cell",'Upper Hot Cell Summary'!$I12,"ERROR"))</f>
        <v>36.950110616879776</v>
      </c>
      <c r="L12" s="3616"/>
      <c r="M12" s="3626">
        <f>MAX(I12,K12)</f>
        <v>48.460512791995448</v>
      </c>
      <c r="N12" s="221"/>
      <c r="O12" s="253">
        <f>O11/24</f>
        <v>5.5569964251238346</v>
      </c>
      <c r="P12" s="254">
        <f>P11/24</f>
        <v>7.2381012994455647</v>
      </c>
      <c r="Q12" s="255">
        <f>Q11/24</f>
        <v>0.58083095567592613</v>
      </c>
      <c r="R12" s="256">
        <f>R11/24</f>
        <v>1.6386461370929943</v>
      </c>
      <c r="S12" s="254">
        <f t="shared" si="1"/>
        <v>15.014574817338319</v>
      </c>
      <c r="T12" s="273"/>
    </row>
    <row r="13" spans="2:20" ht="15" customHeight="1" x14ac:dyDescent="0.4">
      <c r="B13" s="3759"/>
      <c r="C13" s="3767" t="s">
        <v>111</v>
      </c>
      <c r="D13" s="257" t="s">
        <v>26</v>
      </c>
      <c r="E13" s="258">
        <f>(E11/two_shift_productivity_ratio)*1.1</f>
        <v>271.08623018199341</v>
      </c>
      <c r="F13" s="259">
        <f>(F11/two_shift_productivity_ratio)*1.1</f>
        <v>896.8480538107425</v>
      </c>
      <c r="G13" s="258">
        <f>(G11/two_shift_productivity_ratio)*1.1</f>
        <v>32.402109372101428</v>
      </c>
      <c r="H13" s="259">
        <f>(H11/two_shift_productivity_ratio)*1.1</f>
        <v>718.69991319818268</v>
      </c>
      <c r="I13" s="260">
        <f>SUM(E13:H13)</f>
        <v>1919.0363065630199</v>
      </c>
      <c r="J13" s="3611"/>
      <c r="K13" s="3304">
        <f>IF('Plant Availibility Calculator'!$P$18="Upper Port Cask System",'Upper Cask Summary'!$I13,IF('Plant Availibility Calculator'!$P$18="Upper Port Hot Cell",'Upper Hot Cell Summary'!$I13,"ERROR"))</f>
        <v>1463.2243804284394</v>
      </c>
      <c r="L13" s="3611"/>
      <c r="M13" s="3304">
        <f t="shared" si="0"/>
        <v>1919.0363065630199</v>
      </c>
      <c r="N13" s="221"/>
      <c r="O13" s="258">
        <f>(O11/two_shift_productivity_ratio)*1.1</f>
        <v>220.05705843490387</v>
      </c>
      <c r="P13" s="259">
        <f>(P11/two_shift_productivity_ratio)*1.1</f>
        <v>286.62881145804442</v>
      </c>
      <c r="Q13" s="258">
        <f>(Q11/two_shift_productivity_ratio)*1.1</f>
        <v>23.000905844766677</v>
      </c>
      <c r="R13" s="259">
        <f>(R11/two_shift_productivity_ratio)*1.1</f>
        <v>64.890387028882586</v>
      </c>
      <c r="S13" s="260">
        <f t="shared" si="1"/>
        <v>594.57716276659755</v>
      </c>
      <c r="T13" s="273"/>
    </row>
    <row r="14" spans="2:20" x14ac:dyDescent="0.4">
      <c r="B14" s="3759"/>
      <c r="C14" s="3768"/>
      <c r="D14" s="22" t="s">
        <v>112</v>
      </c>
      <c r="E14" s="262">
        <f>E13/24</f>
        <v>11.295259590916393</v>
      </c>
      <c r="F14" s="263">
        <f>F13/24</f>
        <v>37.36866890878094</v>
      </c>
      <c r="G14" s="262">
        <f>G13/24</f>
        <v>1.3500878905042262</v>
      </c>
      <c r="H14" s="264">
        <f>H13/24</f>
        <v>29.945829716590946</v>
      </c>
      <c r="I14" s="265">
        <f>SUM(E14:H14)</f>
        <v>79.959846106792511</v>
      </c>
      <c r="J14" s="3611"/>
      <c r="K14" s="3309">
        <f>IF('Plant Availibility Calculator'!$P$18="Upper Port Cask System",'Upper Cask Summary'!$I14,IF('Plant Availibility Calculator'!$P$18="Upper Port Hot Cell",'Upper Hot Cell Summary'!$I14,"ERROR"))</f>
        <v>60.967682517851642</v>
      </c>
      <c r="L14" s="3611"/>
      <c r="M14" s="3309">
        <f t="shared" si="0"/>
        <v>79.959846106792511</v>
      </c>
      <c r="N14" s="221"/>
      <c r="O14" s="262">
        <f>O13/24</f>
        <v>9.1690441014543271</v>
      </c>
      <c r="P14" s="263">
        <f>P13/24</f>
        <v>11.942867144085184</v>
      </c>
      <c r="Q14" s="262">
        <f>Q13/24</f>
        <v>0.95837107686527823</v>
      </c>
      <c r="R14" s="264">
        <f>R13/24</f>
        <v>2.7037661262034409</v>
      </c>
      <c r="S14" s="265">
        <f t="shared" si="1"/>
        <v>24.774048448608227</v>
      </c>
      <c r="T14" s="273"/>
    </row>
    <row r="15" spans="2:20" x14ac:dyDescent="0.4">
      <c r="B15" s="3759"/>
      <c r="C15" s="3768"/>
      <c r="D15" s="22" t="s">
        <v>113</v>
      </c>
      <c r="E15" s="262">
        <f>E14/30</f>
        <v>0.37650865303054643</v>
      </c>
      <c r="F15" s="263">
        <f>F14/30</f>
        <v>1.2456222969593647</v>
      </c>
      <c r="G15" s="262">
        <f>G14/30</f>
        <v>4.5002929683474205E-2</v>
      </c>
      <c r="H15" s="264">
        <f>H14/30</f>
        <v>0.99819432388636486</v>
      </c>
      <c r="I15" s="265">
        <f>SUM(E15:H15)</f>
        <v>2.6653282035597501</v>
      </c>
      <c r="J15" s="3611"/>
      <c r="K15" s="3309">
        <f>IF('Plant Availibility Calculator'!$P$18="Upper Port Cask System",'Upper Cask Summary'!$I15,IF('Plant Availibility Calculator'!$P$18="Upper Port Hot Cell",'Upper Hot Cell Summary'!$I15,"ERROR"))</f>
        <v>2.0322560839283881</v>
      </c>
      <c r="L15" s="3611"/>
      <c r="M15" s="3309">
        <f t="shared" si="0"/>
        <v>2.6653282035597501</v>
      </c>
      <c r="N15" s="221"/>
      <c r="O15" s="262">
        <f>O14/30</f>
        <v>0.30563480338181093</v>
      </c>
      <c r="P15" s="263">
        <f>P14/30</f>
        <v>0.39809557146950614</v>
      </c>
      <c r="Q15" s="262">
        <f>Q14/30</f>
        <v>3.1945702562175944E-2</v>
      </c>
      <c r="R15" s="264">
        <f>R14/30</f>
        <v>9.0125537540114695E-2</v>
      </c>
      <c r="S15" s="265">
        <f t="shared" si="1"/>
        <v>0.82580161495360771</v>
      </c>
      <c r="T15" s="273"/>
    </row>
    <row r="16" spans="2:20" s="7" customFormat="1" ht="15" thickBot="1" x14ac:dyDescent="0.45">
      <c r="B16" s="3760"/>
      <c r="C16" s="3769"/>
      <c r="D16" s="23" t="s">
        <v>513</v>
      </c>
      <c r="E16" s="266">
        <f>E13/$I$13</f>
        <v>0.14126164745028033</v>
      </c>
      <c r="F16" s="267">
        <f>F13/$I$13</f>
        <v>0.46734293183696501</v>
      </c>
      <c r="G16" s="266">
        <f>G13/$I$13</f>
        <v>1.688457339826643E-2</v>
      </c>
      <c r="H16" s="268">
        <f>H13/$I$13</f>
        <v>0.3745108473144883</v>
      </c>
      <c r="I16" s="269">
        <f>I13/$I$13</f>
        <v>1</v>
      </c>
      <c r="J16" s="3612"/>
      <c r="K16" s="3314">
        <f>IF('Plant Availibility Calculator'!$P$18="Upper Port Cask System",'Upper Cask Summary'!$I16,IF('Plant Availibility Calculator'!$P$18="Upper Port Hot Cell",'Upper Hot Cell Summary'!$I16,"ERROR"))</f>
        <v>1</v>
      </c>
      <c r="L16" s="3612"/>
      <c r="M16" s="3314">
        <f t="shared" si="0"/>
        <v>1</v>
      </c>
      <c r="N16" s="226"/>
      <c r="O16" s="266">
        <f>O13/$S$13</f>
        <v>0.37010681239583315</v>
      </c>
      <c r="P16" s="267">
        <f>P13/$S$13</f>
        <v>0.48207167951817403</v>
      </c>
      <c r="Q16" s="266">
        <f>Q13/$S$13</f>
        <v>3.8684475767186047E-2</v>
      </c>
      <c r="R16" s="268">
        <f>R13/$I$13</f>
        <v>3.3814048648772466E-2</v>
      </c>
      <c r="S16" s="269">
        <f t="shared" si="1"/>
        <v>0.92467701632996568</v>
      </c>
      <c r="T16" s="273"/>
    </row>
    <row r="17" spans="2:20" s="7" customFormat="1" ht="15" thickBot="1" x14ac:dyDescent="0.45">
      <c r="C17" s="270"/>
      <c r="D17" s="6"/>
      <c r="E17" s="177"/>
      <c r="F17" s="177"/>
      <c r="G17" s="177"/>
      <c r="H17" s="177"/>
      <c r="I17" s="177"/>
      <c r="J17" s="3266"/>
      <c r="K17" s="3266"/>
      <c r="L17" s="3266"/>
      <c r="M17" s="3266"/>
      <c r="N17" s="272"/>
      <c r="O17" s="177"/>
      <c r="P17" s="177"/>
      <c r="Q17" s="177"/>
      <c r="R17" s="177"/>
      <c r="S17" s="177"/>
      <c r="T17" s="273"/>
    </row>
    <row r="18" spans="2:20" ht="15" customHeight="1" x14ac:dyDescent="0.4">
      <c r="B18" s="3758" t="str">
        <f>"All "&amp;Tokamak_Segmts&amp;" Ports in series"</f>
        <v>All 16 Ports in series</v>
      </c>
      <c r="C18" s="3761" t="s">
        <v>18</v>
      </c>
      <c r="D18" s="216" t="s">
        <v>26</v>
      </c>
      <c r="E18" s="217">
        <f>E$5*(Tokamak_Segmts)</f>
        <v>1925.6679025939472</v>
      </c>
      <c r="F18" s="218">
        <f>F$5*Tokamak_Segmts</f>
        <v>7967.1735857742005</v>
      </c>
      <c r="G18" s="217">
        <f>'Lower Hot Cell Hardware Failure'!$E$10</f>
        <v>89.507349771046378</v>
      </c>
      <c r="H18" s="219">
        <f>'Lower Hot Cell Weld Failure'!$D$23</f>
        <v>282.91268696018028</v>
      </c>
      <c r="I18" s="220">
        <f t="shared" ref="I18:I27" si="2">SUM(E18:H18)</f>
        <v>10265.261525099373</v>
      </c>
      <c r="J18" s="3611"/>
      <c r="K18" s="3265">
        <f>IF('Plant Availibility Calculator'!$P$18="Upper Port Cask System",'Upper Cask Summary'!$I18,IF('Plant Availibility Calculator'!$P$18="Upper Port Hot Cell",'Upper Hot Cell Summary'!$I18,"ERROR"))</f>
        <v>11613.144367226816</v>
      </c>
      <c r="L18" s="3611"/>
      <c r="M18" s="3265"/>
      <c r="N18" s="221"/>
      <c r="O18" s="217">
        <f>O$5*(Tokamak_Segmts)</f>
        <v>1624.3210519824393</v>
      </c>
      <c r="P18" s="218">
        <f>O$5*(Tokamak_Segmts)</f>
        <v>1624.3210519824393</v>
      </c>
      <c r="Q18" s="217">
        <f ca="1">'Lower Hot Cell Hardware Failure'!$E$14</f>
        <v>46.017638826666669</v>
      </c>
      <c r="R18" s="219">
        <f>'Lower Hot Cell Weld Failure'!$E$28</f>
        <v>492.93606019911721</v>
      </c>
      <c r="S18" s="220">
        <f t="shared" ref="S18:S28" ca="1" si="3">SUM(O18:R18)</f>
        <v>3787.5958029906624</v>
      </c>
      <c r="T18" s="273"/>
    </row>
    <row r="19" spans="2:20" s="177" customFormat="1" x14ac:dyDescent="0.4">
      <c r="B19" s="3759"/>
      <c r="C19" s="3762"/>
      <c r="D19" s="274" t="s">
        <v>28</v>
      </c>
      <c r="E19" s="275">
        <f>E18/24</f>
        <v>80.236162608081131</v>
      </c>
      <c r="F19" s="276">
        <f>F18/24</f>
        <v>331.965566073925</v>
      </c>
      <c r="G19" s="275">
        <f>G18/24</f>
        <v>3.7294729071269326</v>
      </c>
      <c r="H19" s="26">
        <f>H18/24</f>
        <v>11.788028623340844</v>
      </c>
      <c r="I19" s="25">
        <f t="shared" si="2"/>
        <v>427.71923021247392</v>
      </c>
      <c r="J19" s="3611"/>
      <c r="K19" s="3321">
        <f>IF('Plant Availibility Calculator'!$P$18="Upper Port Cask System",'Upper Cask Summary'!$I19,IF('Plant Availibility Calculator'!$P$18="Upper Port Hot Cell",'Upper Hot Cell Summary'!$I19,"ERROR"))</f>
        <v>483.88101530111732</v>
      </c>
      <c r="L19" s="3611"/>
      <c r="M19" s="3321"/>
      <c r="N19" s="221"/>
      <c r="O19" s="275">
        <f>O18/24</f>
        <v>67.68004383260164</v>
      </c>
      <c r="P19" s="276">
        <f>P18/24</f>
        <v>67.68004383260164</v>
      </c>
      <c r="Q19" s="275">
        <f ca="1">Q18/24</f>
        <v>1.917401617777778</v>
      </c>
      <c r="R19" s="26">
        <f>R18/24</f>
        <v>20.539002508296551</v>
      </c>
      <c r="S19" s="25">
        <f t="shared" ca="1" si="3"/>
        <v>157.81649179127763</v>
      </c>
      <c r="T19" s="273"/>
    </row>
    <row r="20" spans="2:20" x14ac:dyDescent="0.4">
      <c r="B20" s="3759"/>
      <c r="C20" s="3763" t="s">
        <v>3</v>
      </c>
      <c r="D20" s="21" t="s">
        <v>26</v>
      </c>
      <c r="E20" s="228">
        <f>E$7*Tokamak_Segmts</f>
        <v>666.21037037037081</v>
      </c>
      <c r="F20" s="229">
        <f>F$7*Tokamak_Segmts</f>
        <v>704.89481481481482</v>
      </c>
      <c r="G20" s="228">
        <f>'Lower Hot Cell Hardware Failure'!$E$11</f>
        <v>224.69492292811898</v>
      </c>
      <c r="H20" s="28">
        <f>'Lower Hot Cell Weld Failure'!$D$24</f>
        <v>34.672083379666823</v>
      </c>
      <c r="I20" s="27">
        <f t="shared" si="2"/>
        <v>1630.4721914929717</v>
      </c>
      <c r="J20" s="3611"/>
      <c r="K20" s="3276">
        <f>IF('Plant Availibility Calculator'!$P$18="Upper Port Cask System",'Upper Cask Summary'!$I20,IF('Plant Availibility Calculator'!$P$18="Upper Port Hot Cell",'Upper Hot Cell Summary'!$I20,"ERROR"))</f>
        <v>1186.0919928128583</v>
      </c>
      <c r="L20" s="3611"/>
      <c r="M20" s="3276"/>
      <c r="N20" s="221"/>
      <c r="O20" s="228">
        <f>O$7*Tokamak_Segmts</f>
        <v>485.09037037037064</v>
      </c>
      <c r="P20" s="229">
        <f>O$7*Tokamak_Segmts</f>
        <v>485.09037037037064</v>
      </c>
      <c r="Q20" s="228">
        <f ca="1">'Lower Hot Cell Hardware Failure'!$E$15</f>
        <v>177.05955610098772</v>
      </c>
      <c r="R20" s="28">
        <f>'Lower Hot Cell Weld Failure'!$E$29</f>
        <v>123.25589156698317</v>
      </c>
      <c r="S20" s="27">
        <f t="shared" ca="1" si="3"/>
        <v>1270.4961884087122</v>
      </c>
      <c r="T20" s="273"/>
    </row>
    <row r="21" spans="2:20" s="177" customFormat="1" x14ac:dyDescent="0.4">
      <c r="B21" s="3759"/>
      <c r="C21" s="3764"/>
      <c r="D21" s="277" t="s">
        <v>28</v>
      </c>
      <c r="E21" s="228">
        <f>E20/24</f>
        <v>27.758765432098784</v>
      </c>
      <c r="F21" s="229">
        <f>F20/24</f>
        <v>29.370617283950619</v>
      </c>
      <c r="G21" s="228">
        <f>G20/24</f>
        <v>9.362288455338291</v>
      </c>
      <c r="H21" s="28">
        <f>H20/24</f>
        <v>1.4446701408194509</v>
      </c>
      <c r="I21" s="27">
        <f t="shared" si="2"/>
        <v>67.936341312207148</v>
      </c>
      <c r="J21" s="3611"/>
      <c r="K21" s="3276">
        <f>IF('Plant Availibility Calculator'!$P$18="Upper Port Cask System",'Upper Cask Summary'!$I21,IF('Plant Availibility Calculator'!$P$18="Upper Port Hot Cell",'Upper Hot Cell Summary'!$I21,"ERROR"))</f>
        <v>49.420499700535764</v>
      </c>
      <c r="L21" s="3611"/>
      <c r="M21" s="3276"/>
      <c r="N21" s="221"/>
      <c r="O21" s="228">
        <f>O20/24</f>
        <v>20.21209876543211</v>
      </c>
      <c r="P21" s="229">
        <f>P20/24</f>
        <v>20.21209876543211</v>
      </c>
      <c r="Q21" s="228">
        <f ca="1">Q20/24</f>
        <v>7.3774815042078217</v>
      </c>
      <c r="R21" s="28">
        <f>R20/24</f>
        <v>5.1356621486242986</v>
      </c>
      <c r="S21" s="27">
        <f t="shared" ca="1" si="3"/>
        <v>52.93734118369634</v>
      </c>
      <c r="T21" s="273"/>
    </row>
    <row r="22" spans="2:20" x14ac:dyDescent="0.4">
      <c r="B22" s="3759"/>
      <c r="C22" s="3764"/>
      <c r="D22" s="238" t="s">
        <v>2699</v>
      </c>
      <c r="E22" s="278">
        <f>E$9*Tokamak_Segmts</f>
        <v>36.836686376223952</v>
      </c>
      <c r="F22" s="279">
        <f>E$9*Tokamak_Segmts</f>
        <v>36.836686376223952</v>
      </c>
      <c r="G22" s="278">
        <f>'Lower Hot Cell Hardware Failure'!$E$12</f>
        <v>0</v>
      </c>
      <c r="H22" s="280">
        <f>'Lower Hot Cell Weld Failure'!$D$25</f>
        <v>117.99093462874835</v>
      </c>
      <c r="I22" s="281">
        <f t="shared" si="2"/>
        <v>191.66430738119624</v>
      </c>
      <c r="J22" s="3613"/>
      <c r="K22" s="3325">
        <f>IF('Plant Availibility Calculator'!$P$18="Upper Port Cask System",'Upper Cask Summary'!$I22,IF('Plant Availibility Calculator'!$P$18="Upper Port Hot Cell",'Upper Hot Cell Summary'!$I22,"ERROR"))</f>
        <v>1389.6061168421611</v>
      </c>
      <c r="L22" s="3613"/>
      <c r="M22" s="3325"/>
      <c r="N22" s="221"/>
      <c r="O22" s="278">
        <f>O$9*Tokamak_Segmts</f>
        <v>24.475204894742546</v>
      </c>
      <c r="P22" s="279">
        <f>O$9*Tokamak_Segmts</f>
        <v>24.475204894742546</v>
      </c>
      <c r="Q22" s="278">
        <f ca="1">'Lower Hot Cell Hardware Failure'!$E$16</f>
        <v>0</v>
      </c>
      <c r="R22" s="280">
        <f>'Lower Hot Cell Weld Failure'!$E$30</f>
        <v>13.048164877609494</v>
      </c>
      <c r="S22" s="281">
        <f t="shared" ca="1" si="3"/>
        <v>61.998574667094587</v>
      </c>
      <c r="T22" s="273"/>
    </row>
    <row r="23" spans="2:20" ht="15" customHeight="1" x14ac:dyDescent="0.4">
      <c r="B23" s="3759"/>
      <c r="C23" s="3765" t="s">
        <v>25</v>
      </c>
      <c r="D23" s="244" t="s">
        <v>26</v>
      </c>
      <c r="E23" s="245">
        <f>E18+E20+E22</f>
        <v>2628.714959340542</v>
      </c>
      <c r="F23" s="246">
        <f>F18+F20+F22</f>
        <v>8708.9050869652401</v>
      </c>
      <c r="G23" s="245">
        <f>G18+G20+G22</f>
        <v>314.20227269916535</v>
      </c>
      <c r="H23" s="247">
        <f>H18+H20+H22</f>
        <v>435.57570496859546</v>
      </c>
      <c r="I23" s="248">
        <f t="shared" si="2"/>
        <v>12087.398023973545</v>
      </c>
      <c r="J23" s="3615"/>
      <c r="K23" s="3294">
        <f>IF('Plant Availibility Calculator'!$P$18="Upper Port Cask System",'Upper Cask Summary'!$I23,IF('Plant Availibility Calculator'!$P$18="Upper Port Hot Cell",'Upper Hot Cell Summary'!$I23,"ERROR"))</f>
        <v>14188.842476881835</v>
      </c>
      <c r="L23" s="3615"/>
      <c r="M23" s="3294">
        <f t="shared" si="0"/>
        <v>12087.398023973545</v>
      </c>
      <c r="N23" s="249"/>
      <c r="O23" s="245">
        <f>O18+O20+O22</f>
        <v>2133.8866272475525</v>
      </c>
      <c r="P23" s="246">
        <f>P18+P20+P22</f>
        <v>2133.8866272475525</v>
      </c>
      <c r="Q23" s="245">
        <f ca="1">Q18+Q20+Q22</f>
        <v>223.07719492765438</v>
      </c>
      <c r="R23" s="247">
        <f>R18+R20+R22</f>
        <v>629.24011664370983</v>
      </c>
      <c r="S23" s="248">
        <f t="shared" ca="1" si="3"/>
        <v>5120.0905660664685</v>
      </c>
      <c r="T23" s="273"/>
    </row>
    <row r="24" spans="2:20" ht="15" customHeight="1" thickBot="1" x14ac:dyDescent="0.45">
      <c r="B24" s="3759"/>
      <c r="C24" s="3766"/>
      <c r="D24" s="252" t="s">
        <v>28</v>
      </c>
      <c r="E24" s="253">
        <f>E23/24</f>
        <v>109.52978997252258</v>
      </c>
      <c r="F24" s="254">
        <f>F23/24</f>
        <v>362.87104529021832</v>
      </c>
      <c r="G24" s="255">
        <f>G23/24</f>
        <v>13.091761362465222</v>
      </c>
      <c r="H24" s="256">
        <f>H23/24</f>
        <v>18.148987707024812</v>
      </c>
      <c r="I24" s="254">
        <f t="shared" si="2"/>
        <v>503.64158433223088</v>
      </c>
      <c r="J24" s="3616"/>
      <c r="K24" s="3626">
        <f>IF('Plant Availibility Calculator'!$P$18="Upper Port Cask System",'Upper Cask Summary'!$I24,IF('Plant Availibility Calculator'!$P$18="Upper Port Hot Cell",'Upper Hot Cell Summary'!$I24,"ERROR"))</f>
        <v>591.20176987007642</v>
      </c>
      <c r="L24" s="3616"/>
      <c r="M24" s="3626">
        <f>MAX(I24,K24)</f>
        <v>591.20176987007642</v>
      </c>
      <c r="N24" s="221"/>
      <c r="O24" s="253">
        <f>O23/24</f>
        <v>88.911942801981354</v>
      </c>
      <c r="P24" s="254">
        <f>P23/24</f>
        <v>88.911942801981354</v>
      </c>
      <c r="Q24" s="255">
        <f ca="1">Q23/24</f>
        <v>9.294883121985599</v>
      </c>
      <c r="R24" s="256">
        <f>R23/24</f>
        <v>26.218338193487909</v>
      </c>
      <c r="S24" s="254">
        <f t="shared" ca="1" si="3"/>
        <v>213.33710691943622</v>
      </c>
      <c r="T24" s="273"/>
    </row>
    <row r="25" spans="2:20" s="177" customFormat="1" ht="15" customHeight="1" x14ac:dyDescent="0.4">
      <c r="B25" s="3759"/>
      <c r="C25" s="3767" t="s">
        <v>111</v>
      </c>
      <c r="D25" s="257" t="s">
        <v>26</v>
      </c>
      <c r="E25" s="258">
        <f>(E23/two_shift_productivity_ratio)*1.1</f>
        <v>4337.3796829118946</v>
      </c>
      <c r="F25" s="259">
        <f>(F23/two_shift_productivity_ratio)*1.1</f>
        <v>14369.693393492649</v>
      </c>
      <c r="G25" s="258">
        <f>(G23/two_shift_productivity_ratio)*1.1</f>
        <v>518.43374995362285</v>
      </c>
      <c r="H25" s="259">
        <f>(H23/two_shift_productivity_ratio)*1.1</f>
        <v>718.69991319818268</v>
      </c>
      <c r="I25" s="260">
        <f t="shared" si="2"/>
        <v>19944.20673955635</v>
      </c>
      <c r="J25" s="3611"/>
      <c r="K25" s="3304">
        <f>IF('Plant Availibility Calculator'!$P$18="Upper Port Cask System",'Upper Cask Summary'!$I25,IF('Plant Availibility Calculator'!$P$18="Upper Port Hot Cell",'Upper Hot Cell Summary'!$I25,"ERROR"))</f>
        <v>23411.590086855031</v>
      </c>
      <c r="L25" s="3611"/>
      <c r="M25" s="3304">
        <f t="shared" si="0"/>
        <v>19944.20673955635</v>
      </c>
      <c r="N25" s="221"/>
      <c r="O25" s="258">
        <f>(O23/two_shift_productivity_ratio)*1.1</f>
        <v>3520.9129349584618</v>
      </c>
      <c r="P25" s="259">
        <f>(P23/two_shift_productivity_ratio)*1.1</f>
        <v>3520.9129349584618</v>
      </c>
      <c r="Q25" s="258">
        <f ca="1">(Q23/two_shift_productivity_ratio)*1.1</f>
        <v>368.07737163062978</v>
      </c>
      <c r="R25" s="259">
        <f>(R23/two_shift_productivity_ratio)*1.1</f>
        <v>1038.2461924621214</v>
      </c>
      <c r="S25" s="260">
        <f t="shared" ca="1" si="3"/>
        <v>8448.1494340096742</v>
      </c>
      <c r="T25" s="273"/>
    </row>
    <row r="26" spans="2:20" ht="15" customHeight="1" x14ac:dyDescent="0.4">
      <c r="B26" s="3759"/>
      <c r="C26" s="3768"/>
      <c r="D26" s="22" t="s">
        <v>112</v>
      </c>
      <c r="E26" s="262">
        <f>E25/24</f>
        <v>180.72415345466229</v>
      </c>
      <c r="F26" s="263">
        <f>F25/24</f>
        <v>598.73722472886038</v>
      </c>
      <c r="G26" s="262">
        <f>G25/24</f>
        <v>21.601406248067619</v>
      </c>
      <c r="H26" s="263">
        <f>H25/24</f>
        <v>29.945829716590946</v>
      </c>
      <c r="I26" s="265">
        <f t="shared" si="2"/>
        <v>831.00861414818132</v>
      </c>
      <c r="J26" s="3611"/>
      <c r="K26" s="3309">
        <f>IF('Plant Availibility Calculator'!$P$18="Upper Port Cask System",'Upper Cask Summary'!$I26,IF('Plant Availibility Calculator'!$P$18="Upper Port Hot Cell",'Upper Hot Cell Summary'!$I26,"ERROR"))</f>
        <v>975.48292028562628</v>
      </c>
      <c r="L26" s="3611"/>
      <c r="M26" s="3309">
        <f t="shared" si="0"/>
        <v>831.00861414818132</v>
      </c>
      <c r="N26" s="221"/>
      <c r="O26" s="262">
        <f>O25/24</f>
        <v>146.70470562326923</v>
      </c>
      <c r="P26" s="263">
        <f>P25/24</f>
        <v>146.70470562326923</v>
      </c>
      <c r="Q26" s="262">
        <f ca="1">Q25/24</f>
        <v>15.33655715127624</v>
      </c>
      <c r="R26" s="263">
        <f>R25/24</f>
        <v>43.260258019255055</v>
      </c>
      <c r="S26" s="265">
        <f t="shared" ca="1" si="3"/>
        <v>352.00622641706974</v>
      </c>
      <c r="T26" s="273"/>
    </row>
    <row r="27" spans="2:20" x14ac:dyDescent="0.4">
      <c r="B27" s="3759"/>
      <c r="C27" s="3768"/>
      <c r="D27" s="22" t="s">
        <v>113</v>
      </c>
      <c r="E27" s="262">
        <f>E26/30</f>
        <v>6.0241384484887428</v>
      </c>
      <c r="F27" s="263">
        <f>F26/30</f>
        <v>19.957907490962011</v>
      </c>
      <c r="G27" s="262">
        <f>G26/30</f>
        <v>0.72004687493558728</v>
      </c>
      <c r="H27" s="263">
        <f>H26/30</f>
        <v>0.99819432388636486</v>
      </c>
      <c r="I27" s="265">
        <f t="shared" si="2"/>
        <v>27.700287138272706</v>
      </c>
      <c r="J27" s="3611"/>
      <c r="K27" s="3309">
        <f>IF('Plant Availibility Calculator'!$P$18="Upper Port Cask System",'Upper Cask Summary'!$I27,IF('Plant Availibility Calculator'!$P$18="Upper Port Hot Cell",'Upper Hot Cell Summary'!$I27,"ERROR"))</f>
        <v>32.516097342854209</v>
      </c>
      <c r="L27" s="3611"/>
      <c r="M27" s="3309">
        <f t="shared" si="0"/>
        <v>27.700287138272706</v>
      </c>
      <c r="N27" s="221"/>
      <c r="O27" s="262">
        <f>O26/30</f>
        <v>4.8901568541089748</v>
      </c>
      <c r="P27" s="263">
        <f>P26/30</f>
        <v>4.8901568541089748</v>
      </c>
      <c r="Q27" s="262">
        <f ca="1">Q26/30</f>
        <v>0.51121857170920804</v>
      </c>
      <c r="R27" s="263">
        <f>R26/30</f>
        <v>1.4420086006418351</v>
      </c>
      <c r="S27" s="265">
        <f t="shared" ca="1" si="3"/>
        <v>11.733540880568992</v>
      </c>
      <c r="T27" s="273"/>
    </row>
    <row r="28" spans="2:20" s="283" customFormat="1" ht="15" thickBot="1" x14ac:dyDescent="0.45">
      <c r="B28" s="3760"/>
      <c r="C28" s="3769"/>
      <c r="D28" s="282" t="s">
        <v>513</v>
      </c>
      <c r="E28" s="266">
        <f>E25/$I$25</f>
        <v>0.21747566797476839</v>
      </c>
      <c r="F28" s="267">
        <f>F25/$I$25</f>
        <v>0.72049460683700761</v>
      </c>
      <c r="G28" s="266">
        <f>G25/$I$25</f>
        <v>2.5994202563363277E-2</v>
      </c>
      <c r="H28" s="267">
        <f>H25/$I$25</f>
        <v>3.6035522624860726E-2</v>
      </c>
      <c r="I28" s="269">
        <f>I25/$I$25</f>
        <v>1</v>
      </c>
      <c r="J28" s="3612"/>
      <c r="K28" s="3314">
        <f>IF('Plant Availibility Calculator'!$P$18="Upper Port Cask System",'Upper Cask Summary'!$I28,IF('Plant Availibility Calculator'!$P$18="Upper Port Hot Cell",'Upper Hot Cell Summary'!$I28,"ERROR"))</f>
        <v>1</v>
      </c>
      <c r="L28" s="3612"/>
      <c r="M28" s="3314">
        <f t="shared" si="0"/>
        <v>1</v>
      </c>
      <c r="N28" s="226"/>
      <c r="O28" s="266">
        <f ca="1">O25/$S$25</f>
        <v>0.416767359817801</v>
      </c>
      <c r="P28" s="267">
        <f ca="1">P25/$S$25</f>
        <v>0.416767359817801</v>
      </c>
      <c r="Q28" s="266">
        <f ca="1">Q25/$S$25</f>
        <v>4.3568993956103863E-2</v>
      </c>
      <c r="R28" s="267">
        <f>R25/$I$25</f>
        <v>5.2057532596817474E-2</v>
      </c>
      <c r="S28" s="269">
        <f t="shared" ca="1" si="3"/>
        <v>0.92916124618852336</v>
      </c>
      <c r="T28" s="273"/>
    </row>
    <row r="29" spans="2:20" s="7" customFormat="1" ht="15" thickBot="1" x14ac:dyDescent="0.45">
      <c r="C29" s="270"/>
      <c r="D29" s="6"/>
      <c r="E29" s="177"/>
      <c r="F29" s="177"/>
      <c r="G29" s="177"/>
      <c r="H29" s="177"/>
      <c r="I29" s="177"/>
      <c r="J29" s="3266"/>
      <c r="K29" s="3266"/>
      <c r="L29" s="3266"/>
      <c r="M29" s="3266"/>
      <c r="N29" s="177"/>
      <c r="O29" s="177"/>
      <c r="P29" s="177"/>
      <c r="Q29" s="177"/>
      <c r="R29" s="177"/>
      <c r="S29" s="177"/>
      <c r="T29" s="273"/>
    </row>
    <row r="30" spans="2:20" ht="15" customHeight="1" x14ac:dyDescent="0.4">
      <c r="B30" s="3758" t="str">
        <f>"All "&amp;Tokamak_Segmts&amp;" Ports with 2 RM Systems"</f>
        <v>All 16 Ports with 2 RM Systems</v>
      </c>
      <c r="C30" s="3761" t="s">
        <v>18</v>
      </c>
      <c r="D30" s="216" t="s">
        <v>26</v>
      </c>
      <c r="E30" s="217">
        <f>E$5*(ROUNDUP((Tokamak_Segmts/2),0))</f>
        <v>962.83395129697362</v>
      </c>
      <c r="F30" s="217">
        <f>F$5*(ROUNDUP((Tokamak_Segmts/2),0))</f>
        <v>3983.5867928871003</v>
      </c>
      <c r="G30" s="217">
        <f>'Lower Hot Cell Hardware Failure'!$F$10</f>
        <v>44.753674885523189</v>
      </c>
      <c r="H30" s="219">
        <f>'Lower Hot Cell Weld Failure'!$F$23</f>
        <v>2263.3014956814422</v>
      </c>
      <c r="I30" s="220">
        <f>SUM(E30:H30)</f>
        <v>7254.4759147510385</v>
      </c>
      <c r="J30" s="3611"/>
      <c r="K30" s="3265">
        <f>IF('Plant Availibility Calculator'!$P$18="Upper Port Cask System",'Upper Cask Summary'!$I30,IF('Plant Availibility Calculator'!$P$18="Upper Port Hot Cell",'Upper Hot Cell Summary'!$I30,"ERROR"))</f>
        <v>5806.572183613408</v>
      </c>
      <c r="L30" s="3611"/>
      <c r="M30" s="3265"/>
      <c r="N30" s="221"/>
      <c r="O30" s="217">
        <f>O$5*(ROUNDUP((Tokamak_Segmts/2),0))</f>
        <v>812.16052599121963</v>
      </c>
      <c r="P30" s="218">
        <f>P$5*(ROUNDUP((Tokamak_Segmts/2),0))</f>
        <v>1143.2680420861407</v>
      </c>
      <c r="Q30" s="217">
        <f ca="1">'Lower Hot Cell Hardware Failure'!$F$14</f>
        <v>22.993157066666669</v>
      </c>
      <c r="R30" s="219">
        <f>'Lower Hot Cell Weld Failure'!$F$28</f>
        <v>246.4680300995586</v>
      </c>
      <c r="S30" s="220">
        <f ca="1">SUM(O30:R30)</f>
        <v>2224.8897552435856</v>
      </c>
      <c r="T30" s="273"/>
    </row>
    <row r="31" spans="2:20" s="177" customFormat="1" x14ac:dyDescent="0.4">
      <c r="B31" s="3759"/>
      <c r="C31" s="3762"/>
      <c r="D31" s="274" t="s">
        <v>28</v>
      </c>
      <c r="E31" s="275">
        <f>E30/24</f>
        <v>40.118081304040565</v>
      </c>
      <c r="F31" s="276">
        <f>F30/24</f>
        <v>165.9827830369625</v>
      </c>
      <c r="G31" s="275">
        <f>G30/24</f>
        <v>1.8647364535634663</v>
      </c>
      <c r="H31" s="26">
        <f>H30/24</f>
        <v>94.304228986726756</v>
      </c>
      <c r="I31" s="25">
        <f t="shared" ref="I31:I36" si="4">SUM(E31:H31)</f>
        <v>302.26982978129331</v>
      </c>
      <c r="J31" s="3611"/>
      <c r="K31" s="3321">
        <f>IF('Plant Availibility Calculator'!$P$18="Upper Port Cask System",'Upper Cask Summary'!$I31,IF('Plant Availibility Calculator'!$P$18="Upper Port Hot Cell",'Upper Hot Cell Summary'!$I31,"ERROR"))</f>
        <v>241.94050765055866</v>
      </c>
      <c r="L31" s="3611"/>
      <c r="M31" s="3321"/>
      <c r="N31" s="221"/>
      <c r="O31" s="275">
        <f>O30/24</f>
        <v>33.84002191630082</v>
      </c>
      <c r="P31" s="276">
        <f>P30/24</f>
        <v>47.636168420255864</v>
      </c>
      <c r="Q31" s="275">
        <f ca="1">Q30/24</f>
        <v>0.95804821111111116</v>
      </c>
      <c r="R31" s="26">
        <f>R30/24</f>
        <v>10.269501254148276</v>
      </c>
      <c r="S31" s="25">
        <f ca="1">S30/24</f>
        <v>92.70373980181607</v>
      </c>
      <c r="T31" s="273"/>
    </row>
    <row r="32" spans="2:20" s="177" customFormat="1" x14ac:dyDescent="0.4">
      <c r="B32" s="3759"/>
      <c r="C32" s="3763" t="s">
        <v>3</v>
      </c>
      <c r="D32" s="21" t="s">
        <v>26</v>
      </c>
      <c r="E32" s="228">
        <f>E$7*(ROUNDUP((Tokamak_Segmts/2),0))</f>
        <v>333.10518518518541</v>
      </c>
      <c r="F32" s="229">
        <f>F$7*(ROUNDUP((Tokamak_Segmts/2),0))</f>
        <v>352.44740740740741</v>
      </c>
      <c r="G32" s="228">
        <f>'Lower Hot Cell Hardware Failure'!$F$11</f>
        <v>112.34746146405949</v>
      </c>
      <c r="H32" s="28">
        <f>'Lower Hot Cell Weld Failure'!$F$24</f>
        <v>277.37666703733458</v>
      </c>
      <c r="I32" s="27">
        <f t="shared" si="4"/>
        <v>1075.2767210939869</v>
      </c>
      <c r="J32" s="3611"/>
      <c r="K32" s="3276">
        <f>IF('Plant Availibility Calculator'!$P$18="Upper Port Cask System",'Upper Cask Summary'!$I32,IF('Plant Availibility Calculator'!$P$18="Upper Port Hot Cell",'Upper Hot Cell Summary'!$I32,"ERROR"))</f>
        <v>593.04599640642914</v>
      </c>
      <c r="L32" s="3611"/>
      <c r="M32" s="3276"/>
      <c r="N32" s="221"/>
      <c r="O32" s="228">
        <f>O$7*(ROUNDUP((Tokamak_Segmts/2),0))</f>
        <v>242.54518518518532</v>
      </c>
      <c r="P32" s="229">
        <f>P$7*(ROUNDUP((Tokamak_Segmts/2),0))</f>
        <v>234.12740740740756</v>
      </c>
      <c r="Q32" s="228">
        <f ca="1">'Lower Hot Cell Hardware Failure'!$F$15</f>
        <v>88.520996984839542</v>
      </c>
      <c r="R32" s="28">
        <f>'Lower Hot Cell Weld Failure'!$F$29</f>
        <v>61.627945783491583</v>
      </c>
      <c r="S32" s="27">
        <f ca="1">SUM(O32:R32)</f>
        <v>626.82153536092403</v>
      </c>
      <c r="T32" s="273"/>
    </row>
    <row r="33" spans="2:20" s="177" customFormat="1" x14ac:dyDescent="0.4">
      <c r="B33" s="3759"/>
      <c r="C33" s="3764"/>
      <c r="D33" s="277" t="s">
        <v>28</v>
      </c>
      <c r="E33" s="228">
        <f>E32/24</f>
        <v>13.879382716049392</v>
      </c>
      <c r="F33" s="229">
        <f>F32/24</f>
        <v>14.685308641975309</v>
      </c>
      <c r="G33" s="228">
        <f>G32/24</f>
        <v>4.6811442276691455</v>
      </c>
      <c r="H33" s="28">
        <f>H32/24</f>
        <v>11.557361126555607</v>
      </c>
      <c r="I33" s="27">
        <f t="shared" si="4"/>
        <v>44.803196712249452</v>
      </c>
      <c r="J33" s="3611"/>
      <c r="K33" s="3276">
        <f>IF('Plant Availibility Calculator'!$P$18="Upper Port Cask System",'Upper Cask Summary'!$I33,IF('Plant Availibility Calculator'!$P$18="Upper Port Hot Cell",'Upper Hot Cell Summary'!$I33,"ERROR"))</f>
        <v>24.710249850267882</v>
      </c>
      <c r="L33" s="3611"/>
      <c r="M33" s="3276"/>
      <c r="N33" s="221"/>
      <c r="O33" s="228">
        <f>O32/24</f>
        <v>10.106049382716055</v>
      </c>
      <c r="P33" s="229">
        <f>P32/24</f>
        <v>9.755308641975315</v>
      </c>
      <c r="Q33" s="228">
        <f ca="1">Q32/24</f>
        <v>3.6883748743683142</v>
      </c>
      <c r="R33" s="28">
        <f>R32/24</f>
        <v>2.5678310743121493</v>
      </c>
      <c r="S33" s="27">
        <f ca="1">S32/24</f>
        <v>26.117563973371833</v>
      </c>
      <c r="T33" s="273"/>
    </row>
    <row r="34" spans="2:20" x14ac:dyDescent="0.4">
      <c r="B34" s="3759"/>
      <c r="C34" s="3764"/>
      <c r="D34" s="238" t="s">
        <v>2699</v>
      </c>
      <c r="E34" s="278">
        <f>E$9*(ROUNDUP((Tokamak_Segmts/2),0))</f>
        <v>18.418343188111976</v>
      </c>
      <c r="F34" s="279">
        <f>F$9*(ROUNDUP((Tokamak_Segmts/2),0))</f>
        <v>12.320000000000164</v>
      </c>
      <c r="G34" s="278">
        <f>'Lower Hot Cell Hardware Failure'!$F$12</f>
        <v>0</v>
      </c>
      <c r="H34" s="280">
        <f>'Lower Hot Cell Weld Failure'!$F$25</f>
        <v>943.92747702998679</v>
      </c>
      <c r="I34" s="281">
        <f t="shared" si="4"/>
        <v>974.66582021809893</v>
      </c>
      <c r="J34" s="3613"/>
      <c r="K34" s="3325">
        <f>IF('Plant Availibility Calculator'!$P$18="Upper Port Cask System",'Upper Cask Summary'!$I34,IF('Plant Availibility Calculator'!$P$18="Upper Port Hot Cell",'Upper Hot Cell Summary'!$I34,"ERROR"))</f>
        <v>694.80305842108055</v>
      </c>
      <c r="L34" s="3613"/>
      <c r="M34" s="3325"/>
      <c r="N34" s="221"/>
      <c r="O34" s="278">
        <f>O$9*(ROUNDUP((Tokamak_Segmts/2),0))</f>
        <v>12.237602447371273</v>
      </c>
      <c r="P34" s="279">
        <f>P$9*(ROUNDUP((Tokamak_Segmts/2),0))</f>
        <v>12.320000000000164</v>
      </c>
      <c r="Q34" s="278">
        <f ca="1">'Lower Hot Cell Hardware Failure'!$F$16</f>
        <v>0</v>
      </c>
      <c r="R34" s="280">
        <f>'Lower Hot Cell Weld Failure'!$F$30</f>
        <v>6.5240824388047471</v>
      </c>
      <c r="S34" s="281">
        <f ca="1">SUM(O34:R34)</f>
        <v>31.081684886176184</v>
      </c>
      <c r="T34" s="273"/>
    </row>
    <row r="35" spans="2:20" ht="15" customHeight="1" x14ac:dyDescent="0.4">
      <c r="B35" s="3759"/>
      <c r="C35" s="3765" t="s">
        <v>25</v>
      </c>
      <c r="D35" s="244" t="s">
        <v>26</v>
      </c>
      <c r="E35" s="245">
        <f>E30+E32+E34</f>
        <v>1314.357479670271</v>
      </c>
      <c r="F35" s="246">
        <f>F30+F32+F34</f>
        <v>4348.3542002945087</v>
      </c>
      <c r="G35" s="245">
        <f>G30+G32+G34</f>
        <v>157.10113634958267</v>
      </c>
      <c r="H35" s="247">
        <f>H30+H32+H34</f>
        <v>3484.6056397487637</v>
      </c>
      <c r="I35" s="248">
        <f>SUM(E35:H35)</f>
        <v>9304.4184560631256</v>
      </c>
      <c r="J35" s="3615"/>
      <c r="K35" s="3294">
        <f>IF('Plant Availibility Calculator'!$P$18="Upper Port Cask System",'Upper Cask Summary'!$I35,IF('Plant Availibility Calculator'!$P$18="Upper Port Hot Cell",'Upper Hot Cell Summary'!$I35,"ERROR"))</f>
        <v>7094.4212384409175</v>
      </c>
      <c r="L35" s="3615"/>
      <c r="M35" s="3294">
        <f t="shared" si="0"/>
        <v>9304.4184560631256</v>
      </c>
      <c r="N35" s="249"/>
      <c r="O35" s="245">
        <f>O30+O32+O34</f>
        <v>1066.9433136237762</v>
      </c>
      <c r="P35" s="246">
        <f>P30+P32+P34</f>
        <v>1389.7154494935485</v>
      </c>
      <c r="Q35" s="245">
        <f ca="1">Q30+Q32+Q34</f>
        <v>111.51415405150621</v>
      </c>
      <c r="R35" s="247">
        <f>R30+R32+R34</f>
        <v>314.62005832185491</v>
      </c>
      <c r="S35" s="248">
        <f ca="1">SUM(O35:R35)</f>
        <v>2882.7929754906854</v>
      </c>
      <c r="T35" s="273"/>
    </row>
    <row r="36" spans="2:20" ht="15" customHeight="1" thickBot="1" x14ac:dyDescent="0.45">
      <c r="B36" s="3759"/>
      <c r="C36" s="3766"/>
      <c r="D36" s="252" t="s">
        <v>28</v>
      </c>
      <c r="E36" s="253">
        <f>E35/24</f>
        <v>54.764894986261289</v>
      </c>
      <c r="F36" s="254">
        <f>F35/24</f>
        <v>181.18142501227121</v>
      </c>
      <c r="G36" s="255">
        <f>G35/24</f>
        <v>6.5458806812326111</v>
      </c>
      <c r="H36" s="256">
        <f>H35/24</f>
        <v>145.1919016561985</v>
      </c>
      <c r="I36" s="254">
        <f t="shared" si="4"/>
        <v>387.68410233596359</v>
      </c>
      <c r="J36" s="3616"/>
      <c r="K36" s="3626">
        <f>IF('Plant Availibility Calculator'!$P$18="Upper Port Cask System",'Upper Cask Summary'!$I36,IF('Plant Availibility Calculator'!$P$18="Upper Port Hot Cell",'Upper Hot Cell Summary'!$I36,"ERROR"))</f>
        <v>295.60088493503821</v>
      </c>
      <c r="L36" s="3616"/>
      <c r="M36" s="3626">
        <f>MAX(I36,K36)</f>
        <v>387.68410233596359</v>
      </c>
      <c r="N36" s="221"/>
      <c r="O36" s="253">
        <f>O35/24</f>
        <v>44.455971400990677</v>
      </c>
      <c r="P36" s="254">
        <f>P35/24</f>
        <v>57.904810395564517</v>
      </c>
      <c r="Q36" s="255">
        <f ca="1">Q35/24</f>
        <v>4.6464230854794257</v>
      </c>
      <c r="R36" s="256">
        <f>R35/24</f>
        <v>13.109169096743955</v>
      </c>
      <c r="S36" s="254">
        <f ca="1">S35/24</f>
        <v>120.11637397877855</v>
      </c>
      <c r="T36" s="273"/>
    </row>
    <row r="37" spans="2:20" s="177" customFormat="1" ht="15" customHeight="1" x14ac:dyDescent="0.4">
      <c r="B37" s="3759"/>
      <c r="C37" s="3767" t="s">
        <v>111</v>
      </c>
      <c r="D37" s="257" t="s">
        <v>26</v>
      </c>
      <c r="E37" s="258">
        <f>(E35/two_shift_productivity_ratio)*1.1</f>
        <v>2168.6898414559473</v>
      </c>
      <c r="F37" s="259">
        <f>(F35/two_shift_productivity_ratio)*1.1</f>
        <v>7174.78443048594</v>
      </c>
      <c r="G37" s="258">
        <f>(G35/two_shift_productivity_ratio)*1.1</f>
        <v>259.21687497681143</v>
      </c>
      <c r="H37" s="259">
        <f>(H35/two_shift_productivity_ratio)*1.1</f>
        <v>5749.5993055854615</v>
      </c>
      <c r="I37" s="260">
        <f>SUM(E37:H37)</f>
        <v>15352.290452504159</v>
      </c>
      <c r="J37" s="3611"/>
      <c r="K37" s="3304">
        <f>IF('Plant Availibility Calculator'!$P$18="Upper Port Cask System",'Upper Cask Summary'!$I37,IF('Plant Availibility Calculator'!$P$18="Upper Port Hot Cell",'Upper Hot Cell Summary'!$I37,"ERROR"))</f>
        <v>11705.795043427515</v>
      </c>
      <c r="L37" s="3611"/>
      <c r="M37" s="3304">
        <f t="shared" si="0"/>
        <v>15352.290452504159</v>
      </c>
      <c r="N37" s="221"/>
      <c r="O37" s="258">
        <f>(O35/two_shift_productivity_ratio)*1.1</f>
        <v>1760.4564674792309</v>
      </c>
      <c r="P37" s="259">
        <f>(P35/two_shift_productivity_ratio)*1.1</f>
        <v>2293.0304916643554</v>
      </c>
      <c r="Q37" s="258">
        <f ca="1">(Q35/two_shift_productivity_ratio)*1.1</f>
        <v>183.99835418498529</v>
      </c>
      <c r="R37" s="259">
        <f>(R35/two_shift_productivity_ratio)*1.1</f>
        <v>519.12309623106069</v>
      </c>
      <c r="S37" s="260">
        <f ca="1">SUM(O37:R37)</f>
        <v>4756.6084095596325</v>
      </c>
      <c r="T37" s="273"/>
    </row>
    <row r="38" spans="2:20" ht="15" customHeight="1" x14ac:dyDescent="0.4">
      <c r="B38" s="3759"/>
      <c r="C38" s="3768"/>
      <c r="D38" s="22" t="s">
        <v>112</v>
      </c>
      <c r="E38" s="262">
        <f>E37/24</f>
        <v>90.362076727331143</v>
      </c>
      <c r="F38" s="263">
        <f>F37/24</f>
        <v>298.94935127024752</v>
      </c>
      <c r="G38" s="262">
        <f>G37/24</f>
        <v>10.800703124033809</v>
      </c>
      <c r="H38" s="263">
        <f>H37/24</f>
        <v>239.56663773272757</v>
      </c>
      <c r="I38" s="265">
        <f>I37/24</f>
        <v>639.67876885433998</v>
      </c>
      <c r="J38" s="3611"/>
      <c r="K38" s="3309">
        <f>IF('Plant Availibility Calculator'!$P$18="Upper Port Cask System",'Upper Cask Summary'!$I38,IF('Plant Availibility Calculator'!$P$18="Upper Port Hot Cell",'Upper Hot Cell Summary'!$I38,"ERROR"))</f>
        <v>487.74146014281314</v>
      </c>
      <c r="L38" s="3611"/>
      <c r="M38" s="3309">
        <f t="shared" si="0"/>
        <v>639.67876885433998</v>
      </c>
      <c r="N38" s="221"/>
      <c r="O38" s="262">
        <f>O37/24</f>
        <v>73.352352811634617</v>
      </c>
      <c r="P38" s="263">
        <f>P37/24</f>
        <v>95.542937152681475</v>
      </c>
      <c r="Q38" s="262">
        <f ca="1">Q37/24</f>
        <v>7.6665980910410534</v>
      </c>
      <c r="R38" s="263">
        <f>R37/24</f>
        <v>21.630129009627527</v>
      </c>
      <c r="S38" s="265">
        <f ca="1">SUM(O38:R38)</f>
        <v>198.19201706498467</v>
      </c>
      <c r="T38" s="273"/>
    </row>
    <row r="39" spans="2:20" x14ac:dyDescent="0.4">
      <c r="B39" s="3759"/>
      <c r="C39" s="3768"/>
      <c r="D39" s="22" t="s">
        <v>113</v>
      </c>
      <c r="E39" s="262">
        <f>E38/30</f>
        <v>3.0120692242443714</v>
      </c>
      <c r="F39" s="263">
        <f>F38/30</f>
        <v>9.9649783756749173</v>
      </c>
      <c r="G39" s="262">
        <f>G38/30</f>
        <v>0.36002343746779364</v>
      </c>
      <c r="H39" s="263">
        <f>H38/30</f>
        <v>7.9855545910909189</v>
      </c>
      <c r="I39" s="265">
        <f>I38/30</f>
        <v>21.322625628478001</v>
      </c>
      <c r="J39" s="3611"/>
      <c r="K39" s="3309">
        <f>IF('Plant Availibility Calculator'!$P$18="Upper Port Cask System",'Upper Cask Summary'!$I39,IF('Plant Availibility Calculator'!$P$18="Upper Port Hot Cell",'Upper Hot Cell Summary'!$I39,"ERROR"))</f>
        <v>16.258048671427105</v>
      </c>
      <c r="L39" s="3611"/>
      <c r="M39" s="3309">
        <f t="shared" si="0"/>
        <v>21.322625628478001</v>
      </c>
      <c r="N39" s="221"/>
      <c r="O39" s="262">
        <f>O38/30</f>
        <v>2.4450784270544874</v>
      </c>
      <c r="P39" s="263">
        <f>P38/30</f>
        <v>3.1847645717560491</v>
      </c>
      <c r="Q39" s="262">
        <f ca="1">Q38/30</f>
        <v>0.25555326970136844</v>
      </c>
      <c r="R39" s="263">
        <f>R38/30</f>
        <v>0.72100430032091756</v>
      </c>
      <c r="S39" s="265">
        <f ca="1">SUM(O39:R39)</f>
        <v>6.6064005688328225</v>
      </c>
      <c r="T39" s="273"/>
    </row>
    <row r="40" spans="2:20" s="271" customFormat="1" ht="15" thickBot="1" x14ac:dyDescent="0.45">
      <c r="B40" s="3760"/>
      <c r="C40" s="3769"/>
      <c r="D40" s="282" t="s">
        <v>513</v>
      </c>
      <c r="E40" s="266">
        <f>E37/$I$37</f>
        <v>0.14126164745028033</v>
      </c>
      <c r="F40" s="267">
        <f>F37/$I$37</f>
        <v>0.46734293183696501</v>
      </c>
      <c r="G40" s="266">
        <f>G37/$I$37</f>
        <v>1.688457339826643E-2</v>
      </c>
      <c r="H40" s="267">
        <f>H37/$I$37</f>
        <v>0.3745108473144883</v>
      </c>
      <c r="I40" s="269">
        <f>I37/$I$37</f>
        <v>1</v>
      </c>
      <c r="J40" s="3612"/>
      <c r="K40" s="3314">
        <f>IF('Plant Availibility Calculator'!$P$18="Upper Port Cask System",'Upper Cask Summary'!$I40,IF('Plant Availibility Calculator'!$P$18="Upper Port Hot Cell",'Upper Hot Cell Summary'!$I40,"ERROR"))</f>
        <v>1.3333832168279387</v>
      </c>
      <c r="L40" s="3612"/>
      <c r="M40" s="3314">
        <f t="shared" si="0"/>
        <v>1</v>
      </c>
      <c r="N40" s="226"/>
      <c r="O40" s="266">
        <f ca="1">O37/$S$37</f>
        <v>0.37010750431781164</v>
      </c>
      <c r="P40" s="267">
        <f ca="1">P37/$S$37</f>
        <v>0.48207258076067788</v>
      </c>
      <c r="Q40" s="266">
        <f ca="1">Q37/$S$37</f>
        <v>3.8682678568871275E-2</v>
      </c>
      <c r="R40" s="267">
        <f>R37/$I$37</f>
        <v>3.3814048648772466E-2</v>
      </c>
      <c r="S40" s="269">
        <f ca="1">SUM(O40:R40)</f>
        <v>0.9246768122961333</v>
      </c>
      <c r="T40" s="273"/>
    </row>
    <row r="41" spans="2:20" s="7" customFormat="1" ht="15" thickBot="1" x14ac:dyDescent="0.45">
      <c r="C41" s="270"/>
      <c r="D41" s="6"/>
      <c r="E41" s="177"/>
      <c r="F41" s="177"/>
      <c r="G41" s="177"/>
      <c r="H41" s="177"/>
      <c r="I41" s="177"/>
      <c r="J41" s="3266"/>
      <c r="K41" s="3266"/>
      <c r="L41" s="3266"/>
      <c r="M41" s="3266"/>
      <c r="N41" s="177"/>
      <c r="O41" s="177"/>
      <c r="P41" s="177"/>
      <c r="Q41" s="177"/>
      <c r="R41" s="177"/>
      <c r="S41" s="177"/>
      <c r="T41" s="273"/>
    </row>
    <row r="42" spans="2:20" ht="15" customHeight="1" x14ac:dyDescent="0.4">
      <c r="B42" s="3758" t="str">
        <f>"All "&amp;Tokamak_Segmts&amp;" Ports with 3 RM Systems"</f>
        <v>All 16 Ports with 3 RM Systems</v>
      </c>
      <c r="C42" s="3761" t="s">
        <v>18</v>
      </c>
      <c r="D42" s="216" t="s">
        <v>26</v>
      </c>
      <c r="E42" s="217">
        <f>E$5*(ROUNDUP((Tokamak_Segmts/3),0))</f>
        <v>722.12546347273019</v>
      </c>
      <c r="F42" s="218">
        <f>F$5*(ROUNDUP((Tokamak_Segmts/3),0))</f>
        <v>2987.690094665325</v>
      </c>
      <c r="G42" s="217">
        <f>'Lower Hot Cell Hardware Failure'!$G$10</f>
        <v>33.56525616414239</v>
      </c>
      <c r="H42" s="219">
        <f>'Lower Hot Cell Weld Failure'!$G$23</f>
        <v>1697.4761217610821</v>
      </c>
      <c r="I42" s="220">
        <f>SUM(E42:H42)</f>
        <v>5440.8569360632791</v>
      </c>
      <c r="J42" s="3611"/>
      <c r="K42" s="3265">
        <f>IF('Plant Availibility Calculator'!$P$18="Upper Port Cask System",'Upper Cask Summary'!$I42,IF('Plant Availibility Calculator'!$P$18="Upper Port Hot Cell",'Upper Hot Cell Summary'!$I42,"ERROR"))</f>
        <v>4354.8146877100562</v>
      </c>
      <c r="L42" s="3611"/>
      <c r="M42" s="3265"/>
      <c r="N42" s="221"/>
      <c r="O42" s="217">
        <f>O$5*(ROUNDUP((Tokamak_Segmts/3),0))</f>
        <v>609.12039449341478</v>
      </c>
      <c r="P42" s="218">
        <f>P$5*(ROUNDUP((Tokamak_Segmts/3),0))</f>
        <v>857.4510315646055</v>
      </c>
      <c r="Q42" s="217">
        <f ca="1">'Lower Hot Cell Hardware Failure'!$G$14</f>
        <v>17.244867800000005</v>
      </c>
      <c r="R42" s="219">
        <f>'Lower Hot Cell Weld Failure'!$G$28</f>
        <v>184.851022574669</v>
      </c>
      <c r="S42" s="220">
        <f ca="1">SUM(O42:R42)</f>
        <v>1668.6673164326894</v>
      </c>
      <c r="T42" s="273"/>
    </row>
    <row r="43" spans="2:20" s="177" customFormat="1" x14ac:dyDescent="0.4">
      <c r="B43" s="3759"/>
      <c r="C43" s="3762"/>
      <c r="D43" s="274" t="s">
        <v>28</v>
      </c>
      <c r="E43" s="275">
        <f>E42/34</f>
        <v>21.238984219786182</v>
      </c>
      <c r="F43" s="276">
        <f>F42/34</f>
        <v>87.873238078391907</v>
      </c>
      <c r="G43" s="275">
        <f>G42/24</f>
        <v>1.3985523401725997</v>
      </c>
      <c r="H43" s="26">
        <f>H42/24</f>
        <v>70.728171740045084</v>
      </c>
      <c r="I43" s="25">
        <f t="shared" ref="I43:I48" si="5">SUM(E43:H43)</f>
        <v>181.23894637839578</v>
      </c>
      <c r="J43" s="3611"/>
      <c r="K43" s="3321">
        <f>IF('Plant Availibility Calculator'!$P$18="Upper Port Cask System",'Upper Cask Summary'!$I43,IF('Plant Availibility Calculator'!$P$18="Upper Port Hot Cell",'Upper Hot Cell Summary'!$I43,"ERROR"))</f>
        <v>181.45061198791902</v>
      </c>
      <c r="L43" s="3611"/>
      <c r="M43" s="3321"/>
      <c r="N43" s="221"/>
      <c r="O43" s="275">
        <f>O42/34</f>
        <v>17.915305720394553</v>
      </c>
      <c r="P43" s="276">
        <f>P42/34</f>
        <v>25.21914798719428</v>
      </c>
      <c r="Q43" s="275">
        <f ca="1">Q42/24</f>
        <v>0.71853615833333351</v>
      </c>
      <c r="R43" s="26">
        <f>R42/24</f>
        <v>7.7021259406112081</v>
      </c>
      <c r="S43" s="25">
        <f ca="1">S42/24</f>
        <v>69.527804851362063</v>
      </c>
      <c r="T43" s="273"/>
    </row>
    <row r="44" spans="2:20" s="177" customFormat="1" x14ac:dyDescent="0.4">
      <c r="B44" s="3759"/>
      <c r="C44" s="3763" t="s">
        <v>3</v>
      </c>
      <c r="D44" s="21" t="s">
        <v>26</v>
      </c>
      <c r="E44" s="228">
        <f>E$7*(ROUNDUP((Tokamak_Segmts/3),0))</f>
        <v>249.82888888888905</v>
      </c>
      <c r="F44" s="229">
        <f>F$7*(ROUNDUP((Tokamak_Segmts/3),0))</f>
        <v>264.33555555555557</v>
      </c>
      <c r="G44" s="228">
        <f>'Lower Hot Cell Hardware Failure'!$G$11</f>
        <v>84.260596098044616</v>
      </c>
      <c r="H44" s="28">
        <f>'Lower Hot Cell Weld Failure'!$G$24</f>
        <v>208.03250027800095</v>
      </c>
      <c r="I44" s="27">
        <f t="shared" si="5"/>
        <v>806.45754082049018</v>
      </c>
      <c r="J44" s="3611"/>
      <c r="K44" s="3276">
        <f>IF('Plant Availibility Calculator'!$P$18="Upper Port Cask System",'Upper Cask Summary'!$I44,IF('Plant Availibility Calculator'!$P$18="Upper Port Hot Cell",'Upper Hot Cell Summary'!$I44,"ERROR"))</f>
        <v>444.69988908259967</v>
      </c>
      <c r="L44" s="3611"/>
      <c r="M44" s="3276"/>
      <c r="N44" s="221"/>
      <c r="O44" s="228">
        <f>O$7*(ROUNDUP((Tokamak_Segmts/3),0))</f>
        <v>181.90888888888898</v>
      </c>
      <c r="P44" s="229">
        <f>P$7*(ROUNDUP((Tokamak_Segmts/3),0))</f>
        <v>175.59555555555568</v>
      </c>
      <c r="Q44" s="228">
        <f ca="1">'Lower Hot Cell Hardware Failure'!$G$15</f>
        <v>66.39074773862967</v>
      </c>
      <c r="R44" s="28">
        <f>'Lower Hot Cell Weld Failure'!$G$29</f>
        <v>46.220959337618694</v>
      </c>
      <c r="S44" s="27">
        <f ca="1">SUM(O44:R44)</f>
        <v>470.11615152069299</v>
      </c>
      <c r="T44" s="273"/>
    </row>
    <row r="45" spans="2:20" s="177" customFormat="1" x14ac:dyDescent="0.4">
      <c r="B45" s="3759"/>
      <c r="C45" s="3764"/>
      <c r="D45" s="277" t="s">
        <v>28</v>
      </c>
      <c r="E45" s="228">
        <f>E44/34</f>
        <v>7.3479084967320309</v>
      </c>
      <c r="F45" s="229">
        <f>F44/34</f>
        <v>7.7745751633986933</v>
      </c>
      <c r="G45" s="228">
        <f>G44/24</f>
        <v>3.5108581707518591</v>
      </c>
      <c r="H45" s="28">
        <f>H44/24</f>
        <v>8.6680208449167058</v>
      </c>
      <c r="I45" s="27">
        <f t="shared" si="5"/>
        <v>27.30136267579929</v>
      </c>
      <c r="J45" s="3611"/>
      <c r="K45" s="3276">
        <f>IF('Plant Availibility Calculator'!$P$18="Upper Port Cask System",'Upper Cask Summary'!$I45,IF('Plant Availibility Calculator'!$P$18="Upper Port Hot Cell",'Upper Hot Cell Summary'!$I45,"ERROR"))</f>
        <v>18.529162045108318</v>
      </c>
      <c r="L45" s="3611"/>
      <c r="M45" s="3276"/>
      <c r="N45" s="221"/>
      <c r="O45" s="228">
        <f>O44/34</f>
        <v>5.3502614379084994</v>
      </c>
      <c r="P45" s="229">
        <f>P44/34</f>
        <v>5.1645751633986965</v>
      </c>
      <c r="Q45" s="228">
        <f ca="1">Q44/24</f>
        <v>2.7662811557762361</v>
      </c>
      <c r="R45" s="28">
        <f>R44/24</f>
        <v>1.9258733057341122</v>
      </c>
      <c r="S45" s="27">
        <f ca="1">S44/24</f>
        <v>19.588172980028876</v>
      </c>
      <c r="T45" s="273"/>
    </row>
    <row r="46" spans="2:20" x14ac:dyDescent="0.4">
      <c r="B46" s="3759"/>
      <c r="C46" s="3764"/>
      <c r="D46" s="238" t="s">
        <v>2699</v>
      </c>
      <c r="E46" s="278">
        <f>E$9*(ROUNDUP((Tokamak_Segmts/3),0))</f>
        <v>13.813757391083982</v>
      </c>
      <c r="F46" s="279">
        <f>F$9*(ROUNDUP((Tokamak_Segmts/3),0))</f>
        <v>9.2400000000001228</v>
      </c>
      <c r="G46" s="278">
        <f>'Lower Hot Cell Hardware Failure'!$G$12</f>
        <v>0</v>
      </c>
      <c r="H46" s="280">
        <f>'Lower Hot Cell Weld Failure'!$G$25</f>
        <v>707.94560777249001</v>
      </c>
      <c r="I46" s="281">
        <f t="shared" si="5"/>
        <v>730.99936516357411</v>
      </c>
      <c r="J46" s="3613"/>
      <c r="K46" s="3325">
        <f>IF('Plant Availibility Calculator'!$P$18="Upper Port Cask System",'Upper Cask Summary'!$I46,IF('Plant Availibility Calculator'!$P$18="Upper Port Hot Cell",'Upper Hot Cell Summary'!$I46,"ERROR"))</f>
        <v>521.1022938158103</v>
      </c>
      <c r="L46" s="3613"/>
      <c r="M46" s="3325"/>
      <c r="N46" s="221"/>
      <c r="O46" s="278">
        <f>O$9*(ROUNDUP((Tokamak_Segmts/3),0))</f>
        <v>9.1782018355284549</v>
      </c>
      <c r="P46" s="279">
        <f>P$9*(ROUNDUP((Tokamak_Segmts/3),0))</f>
        <v>9.2400000000001228</v>
      </c>
      <c r="Q46" s="278">
        <f ca="1">'Lower Hot Cell Hardware Failure'!$G$16</f>
        <v>0</v>
      </c>
      <c r="R46" s="280">
        <f>'Lower Hot Cell Weld Failure'!$G$30</f>
        <v>4.8930618291035612</v>
      </c>
      <c r="S46" s="281">
        <f ca="1">SUM(O46:R46)</f>
        <v>23.31126366463214</v>
      </c>
      <c r="T46" s="273"/>
    </row>
    <row r="47" spans="2:20" ht="15" customHeight="1" x14ac:dyDescent="0.4">
      <c r="B47" s="3759"/>
      <c r="C47" s="3765" t="s">
        <v>25</v>
      </c>
      <c r="D47" s="244" t="s">
        <v>26</v>
      </c>
      <c r="E47" s="245">
        <f>E42+E44+E46</f>
        <v>985.76810975270325</v>
      </c>
      <c r="F47" s="246">
        <f>F42+F44+F46</f>
        <v>3261.2656502208806</v>
      </c>
      <c r="G47" s="245">
        <f>G42+G44+G46</f>
        <v>117.825852262187</v>
      </c>
      <c r="H47" s="247">
        <f>H42+H44+H46</f>
        <v>2613.454229811573</v>
      </c>
      <c r="I47" s="248">
        <f>SUM(E47:H47)</f>
        <v>6978.3138420473442</v>
      </c>
      <c r="J47" s="3615"/>
      <c r="K47" s="3294">
        <f>IF('Plant Availibility Calculator'!$P$18="Upper Port Cask System",'Upper Cask Summary'!$I47,IF('Plant Availibility Calculator'!$P$18="Upper Port Hot Cell",'Upper Hot Cell Summary'!$I47,"ERROR"))</f>
        <v>5320.6168706084663</v>
      </c>
      <c r="L47" s="3615"/>
      <c r="M47" s="3294">
        <f t="shared" si="0"/>
        <v>6978.3138420473442</v>
      </c>
      <c r="N47" s="249"/>
      <c r="O47" s="245">
        <f>O42+O44+O46</f>
        <v>800.2074852178323</v>
      </c>
      <c r="P47" s="246">
        <f>P42+P44+P46</f>
        <v>1042.2865871201611</v>
      </c>
      <c r="Q47" s="245">
        <f ca="1">Q42+Q44+Q46</f>
        <v>83.635615538629679</v>
      </c>
      <c r="R47" s="247">
        <f>R42+R44+R46</f>
        <v>235.96504374139127</v>
      </c>
      <c r="S47" s="248">
        <f ca="1">SUM(O47:R47)</f>
        <v>2162.0947316180145</v>
      </c>
      <c r="T47" s="273"/>
    </row>
    <row r="48" spans="2:20" ht="15" customHeight="1" thickBot="1" x14ac:dyDescent="0.45">
      <c r="B48" s="3759"/>
      <c r="C48" s="3766"/>
      <c r="D48" s="252" t="s">
        <v>28</v>
      </c>
      <c r="E48" s="253">
        <f>E47/34</f>
        <v>28.99317969860892</v>
      </c>
      <c r="F48" s="254">
        <f>F47/34</f>
        <v>95.919577947672963</v>
      </c>
      <c r="G48" s="255">
        <f>G47/24</f>
        <v>4.9094105109244586</v>
      </c>
      <c r="H48" s="256">
        <f>H47/24</f>
        <v>108.89392624214888</v>
      </c>
      <c r="I48" s="254">
        <f t="shared" si="5"/>
        <v>238.7160943993552</v>
      </c>
      <c r="J48" s="3616"/>
      <c r="K48" s="3626">
        <f>IF('Plant Availibility Calculator'!$P$18="Upper Port Cask System",'Upper Cask Summary'!$I48,IF('Plant Availibility Calculator'!$P$18="Upper Port Hot Cell",'Upper Hot Cell Summary'!$I48,"ERROR"))</f>
        <v>221.69236960868611</v>
      </c>
      <c r="L48" s="3616"/>
      <c r="M48" s="3626">
        <f>MAX(I48,K48)</f>
        <v>238.7160943993552</v>
      </c>
      <c r="N48" s="221"/>
      <c r="O48" s="253">
        <f>O47/34</f>
        <v>23.535514271112714</v>
      </c>
      <c r="P48" s="254">
        <f>P47/34</f>
        <v>30.655487856475329</v>
      </c>
      <c r="Q48" s="255">
        <f ca="1">Q47/24</f>
        <v>3.48481731410957</v>
      </c>
      <c r="R48" s="256">
        <f>R47/24</f>
        <v>9.8318768225579696</v>
      </c>
      <c r="S48" s="254">
        <f ca="1">S47/24</f>
        <v>90.087280484083934</v>
      </c>
      <c r="T48" s="273"/>
    </row>
    <row r="49" spans="2:20" s="177" customFormat="1" ht="15" customHeight="1" x14ac:dyDescent="0.4">
      <c r="B49" s="3759"/>
      <c r="C49" s="3767" t="s">
        <v>111</v>
      </c>
      <c r="D49" s="257" t="s">
        <v>26</v>
      </c>
      <c r="E49" s="258">
        <f>(E47/two_shift_productivity_ratio)*1.1</f>
        <v>1626.5173810919607</v>
      </c>
      <c r="F49" s="259">
        <f>(F47/two_shift_productivity_ratio)*1.1</f>
        <v>5381.0883228644543</v>
      </c>
      <c r="G49" s="258">
        <f>(G47/two_shift_productivity_ratio)*1.1</f>
        <v>194.41265623260858</v>
      </c>
      <c r="H49" s="259">
        <f>(H47/two_shift_productivity_ratio)*1.1</f>
        <v>4312.1994791890957</v>
      </c>
      <c r="I49" s="260">
        <f>SUM(E49:H49)</f>
        <v>11514.217839378118</v>
      </c>
      <c r="J49" s="3611"/>
      <c r="K49" s="3304">
        <f>IF('Plant Availibility Calculator'!$P$18="Upper Port Cask System",'Upper Cask Summary'!$I49,IF('Plant Availibility Calculator'!$P$18="Upper Port Hot Cell",'Upper Hot Cell Summary'!$I49,"ERROR"))</f>
        <v>8779.0178365039701</v>
      </c>
      <c r="L49" s="3611"/>
      <c r="M49" s="3304">
        <f t="shared" si="0"/>
        <v>11514.217839378118</v>
      </c>
      <c r="N49" s="221"/>
      <c r="O49" s="258">
        <f>(O47/two_shift_productivity_ratio)*1.1</f>
        <v>1320.3423506094234</v>
      </c>
      <c r="P49" s="259">
        <f>(P47/two_shift_productivity_ratio)*1.1</f>
        <v>1719.7728687482661</v>
      </c>
      <c r="Q49" s="258">
        <f ca="1">(Q47/two_shift_productivity_ratio)*1.1</f>
        <v>137.99876563873897</v>
      </c>
      <c r="R49" s="259">
        <f>(R47/two_shift_productivity_ratio)*1.1</f>
        <v>389.34232217329566</v>
      </c>
      <c r="S49" s="260">
        <f ca="1">SUM(O49:R49)</f>
        <v>3567.4563071697239</v>
      </c>
      <c r="T49" s="273"/>
    </row>
    <row r="50" spans="2:20" ht="15" customHeight="1" x14ac:dyDescent="0.4">
      <c r="B50" s="3759"/>
      <c r="C50" s="3768"/>
      <c r="D50" s="22" t="s">
        <v>112</v>
      </c>
      <c r="E50" s="262">
        <f>E49/24</f>
        <v>67.771557545498368</v>
      </c>
      <c r="F50" s="263">
        <f>F49/24</f>
        <v>224.2120134526856</v>
      </c>
      <c r="G50" s="262">
        <f>G49/24</f>
        <v>8.100527343025357</v>
      </c>
      <c r="H50" s="263">
        <f>H49/24</f>
        <v>179.67497829954564</v>
      </c>
      <c r="I50" s="265">
        <f>I49/24</f>
        <v>479.75907664075493</v>
      </c>
      <c r="J50" s="3611"/>
      <c r="K50" s="3309">
        <f>IF('Plant Availibility Calculator'!$P$18="Upper Port Cask System",'Upper Cask Summary'!$I50,IF('Plant Availibility Calculator'!$P$18="Upper Port Hot Cell",'Upper Hot Cell Summary'!$I50,"ERROR"))</f>
        <v>365.79240985433211</v>
      </c>
      <c r="L50" s="3611"/>
      <c r="M50" s="3309">
        <f t="shared" si="0"/>
        <v>479.75907664075493</v>
      </c>
      <c r="N50" s="221"/>
      <c r="O50" s="262">
        <f>O49/24</f>
        <v>55.014264608725973</v>
      </c>
      <c r="P50" s="263">
        <f>P49/24</f>
        <v>71.657202864511092</v>
      </c>
      <c r="Q50" s="262">
        <f ca="1">Q49/24</f>
        <v>5.7499485682807903</v>
      </c>
      <c r="R50" s="263">
        <f>R49/24</f>
        <v>16.222596757220654</v>
      </c>
      <c r="S50" s="265">
        <f ca="1">SUM(O50:R50)</f>
        <v>148.64401279873852</v>
      </c>
      <c r="T50" s="273"/>
    </row>
    <row r="51" spans="2:20" x14ac:dyDescent="0.4">
      <c r="B51" s="3759"/>
      <c r="C51" s="3768"/>
      <c r="D51" s="22" t="s">
        <v>113</v>
      </c>
      <c r="E51" s="262">
        <f>E50/30</f>
        <v>2.2590519181832791</v>
      </c>
      <c r="F51" s="263">
        <f>F50/30</f>
        <v>7.4737337817561862</v>
      </c>
      <c r="G51" s="262">
        <f>G50/30</f>
        <v>0.27001757810084526</v>
      </c>
      <c r="H51" s="263">
        <f>H50/30</f>
        <v>5.9891659433181879</v>
      </c>
      <c r="I51" s="265">
        <f>I50/30</f>
        <v>15.991969221358497</v>
      </c>
      <c r="J51" s="3611"/>
      <c r="K51" s="3309">
        <f>IF('Plant Availibility Calculator'!$P$18="Upper Port Cask System",'Upper Cask Summary'!$I51,IF('Plant Availibility Calculator'!$P$18="Upper Port Hot Cell",'Upper Hot Cell Summary'!$I51,"ERROR"))</f>
        <v>12.193080328477738</v>
      </c>
      <c r="L51" s="3611"/>
      <c r="M51" s="3309">
        <f t="shared" si="0"/>
        <v>15.991969221358497</v>
      </c>
      <c r="N51" s="221"/>
      <c r="O51" s="262">
        <f>O50/30</f>
        <v>1.8338088202908658</v>
      </c>
      <c r="P51" s="263">
        <f>P50/30</f>
        <v>2.3885734288170366</v>
      </c>
      <c r="Q51" s="262">
        <f ca="1">Q50/30</f>
        <v>0.19166495227602634</v>
      </c>
      <c r="R51" s="263">
        <f>R50/30</f>
        <v>0.54075322524068847</v>
      </c>
      <c r="S51" s="265">
        <f ca="1">SUM(O51:R51)</f>
        <v>4.9548004266246171</v>
      </c>
      <c r="T51" s="273"/>
    </row>
    <row r="52" spans="2:20" s="271" customFormat="1" ht="15" thickBot="1" x14ac:dyDescent="0.45">
      <c r="B52" s="3760"/>
      <c r="C52" s="3769"/>
      <c r="D52" s="282" t="s">
        <v>513</v>
      </c>
      <c r="E52" s="266">
        <f>E49/$I$49</f>
        <v>0.14126164745028039</v>
      </c>
      <c r="F52" s="267">
        <f>F49/$I$49</f>
        <v>0.46734293183696501</v>
      </c>
      <c r="G52" s="266">
        <f>G49/$I$49</f>
        <v>1.6884573398266434E-2</v>
      </c>
      <c r="H52" s="267">
        <f>H49/$I$49</f>
        <v>0.3745108473144883</v>
      </c>
      <c r="I52" s="269">
        <f>I49/$I$49</f>
        <v>1</v>
      </c>
      <c r="J52" s="3612"/>
      <c r="K52" s="3314">
        <f>IF('Plant Availibility Calculator'!$P$18="Upper Port Cask System",'Upper Cask Summary'!$I52,IF('Plant Availibility Calculator'!$P$18="Upper Port Hot Cell",'Upper Hot Cell Summary'!$I52,"ERROR"))</f>
        <v>1</v>
      </c>
      <c r="L52" s="3612"/>
      <c r="M52" s="3314">
        <f t="shared" si="0"/>
        <v>1</v>
      </c>
      <c r="N52" s="226"/>
      <c r="O52" s="266">
        <f ca="1">O49/$S$49</f>
        <v>0.37010750431781175</v>
      </c>
      <c r="P52" s="267">
        <f ca="1">P49/$S$49</f>
        <v>0.48207258076067777</v>
      </c>
      <c r="Q52" s="266">
        <f ca="1">Q49/$S$49</f>
        <v>3.8682678568871282E-2</v>
      </c>
      <c r="R52" s="267">
        <f>R49/$I$49</f>
        <v>3.381404864877248E-2</v>
      </c>
      <c r="S52" s="269">
        <f ca="1">SUM(O52:R52)</f>
        <v>0.9246768122961333</v>
      </c>
      <c r="T52" s="273"/>
    </row>
    <row r="53" spans="2:20" s="7" customFormat="1" ht="15" thickBot="1" x14ac:dyDescent="0.45">
      <c r="C53" s="270"/>
      <c r="D53" s="6"/>
      <c r="E53" s="177"/>
      <c r="F53" s="177"/>
      <c r="G53" s="177"/>
      <c r="H53" s="177"/>
      <c r="I53" s="177"/>
      <c r="J53" s="3266"/>
      <c r="K53" s="3266"/>
      <c r="L53" s="3266"/>
      <c r="M53" s="3266"/>
      <c r="N53" s="177"/>
      <c r="O53" s="177"/>
      <c r="P53" s="177"/>
      <c r="Q53" s="177"/>
      <c r="R53" s="177"/>
      <c r="S53" s="177"/>
      <c r="T53" s="273"/>
    </row>
    <row r="54" spans="2:20" ht="15" customHeight="1" x14ac:dyDescent="0.4">
      <c r="B54" s="3758" t="str">
        <f>"All "&amp;Tokamak_Segmts&amp;" Ports with 4 RM Systems"</f>
        <v>All 16 Ports with 4 RM Systems</v>
      </c>
      <c r="C54" s="3770" t="s">
        <v>18</v>
      </c>
      <c r="D54" s="216" t="s">
        <v>26</v>
      </c>
      <c r="E54" s="217">
        <f>E$5*(ROUNDUP((Tokamak_Segmts/4),0))</f>
        <v>481.41697564848681</v>
      </c>
      <c r="F54" s="218">
        <f>F$5*(ROUNDUP((Tokamak_Segmts/4),0))</f>
        <v>1991.7933964435501</v>
      </c>
      <c r="G54" s="217">
        <f>'Lower Hot Cell Hardware Failure'!$H$10</f>
        <v>22.376837442761595</v>
      </c>
      <c r="H54" s="219">
        <f>'Lower Hot Cell Weld Failure'!$H$23</f>
        <v>1131.6507478407211</v>
      </c>
      <c r="I54" s="220">
        <f>SUM(E54:H54)</f>
        <v>3627.2379573755193</v>
      </c>
      <c r="J54" s="3611"/>
      <c r="K54" s="3265">
        <f>IF('Plant Availibility Calculator'!$P$18="Upper Port Cask System",'Upper Cask Summary'!$I54,IF('Plant Availibility Calculator'!$P$18="Upper Port Hot Cell",'Upper Hot Cell Summary'!$I54,"ERROR"))</f>
        <v>2903.286091806704</v>
      </c>
      <c r="L54" s="3611"/>
      <c r="M54" s="3265"/>
      <c r="N54" s="221"/>
      <c r="O54" s="217">
        <f>O$5*(ROUNDUP((Tokamak_Segmts/4),0))</f>
        <v>406.08026299560981</v>
      </c>
      <c r="P54" s="218">
        <f>P$5*(ROUNDUP((Tokamak_Segmts/4),0))</f>
        <v>571.63402104307033</v>
      </c>
      <c r="Q54" s="217">
        <f ca="1">'Lower Hot Cell Hardware Failure'!$H$14</f>
        <v>11.496578533333334</v>
      </c>
      <c r="R54" s="219">
        <f>'Lower Hot Cell Weld Failure'!$H$28</f>
        <v>123.2340150497793</v>
      </c>
      <c r="S54" s="220">
        <f ca="1">SUM(O54:R54)</f>
        <v>1112.4448776217928</v>
      </c>
      <c r="T54" s="273"/>
    </row>
    <row r="55" spans="2:20" s="177" customFormat="1" x14ac:dyDescent="0.4">
      <c r="B55" s="3759"/>
      <c r="C55" s="3771"/>
      <c r="D55" s="274" t="s">
        <v>28</v>
      </c>
      <c r="E55" s="275">
        <f>E54/44</f>
        <v>10.941294901101973</v>
      </c>
      <c r="F55" s="276">
        <f>F54/44</f>
        <v>45.268031737353411</v>
      </c>
      <c r="G55" s="275">
        <f>G54/24</f>
        <v>0.93236822678173314</v>
      </c>
      <c r="H55" s="26">
        <f>H54/24</f>
        <v>47.152114493363378</v>
      </c>
      <c r="I55" s="25">
        <f t="shared" ref="I55:I60" si="6">SUM(E55:H55)</f>
        <v>104.2938093586005</v>
      </c>
      <c r="J55" s="3611"/>
      <c r="K55" s="3321">
        <f>IF('Plant Availibility Calculator'!$P$18="Upper Port Cask System",'Upper Cask Summary'!$I55,IF('Plant Availibility Calculator'!$P$18="Upper Port Hot Cell",'Upper Hot Cell Summary'!$I55,"ERROR"))</f>
        <v>120.97025382527933</v>
      </c>
      <c r="L55" s="3611"/>
      <c r="M55" s="3321"/>
      <c r="N55" s="221"/>
      <c r="O55" s="275">
        <f>O54/44</f>
        <v>9.2290968862638589</v>
      </c>
      <c r="P55" s="276">
        <f>P54/44</f>
        <v>12.991682296433417</v>
      </c>
      <c r="Q55" s="275">
        <f ca="1">Q54/24</f>
        <v>0.47902410555555558</v>
      </c>
      <c r="R55" s="26">
        <f>R54/24</f>
        <v>5.1347506270741379</v>
      </c>
      <c r="S55" s="25">
        <f ca="1">S54/24</f>
        <v>46.351869900908035</v>
      </c>
      <c r="T55" s="273"/>
    </row>
    <row r="56" spans="2:20" s="177" customFormat="1" x14ac:dyDescent="0.4">
      <c r="B56" s="3759"/>
      <c r="C56" s="3772" t="s">
        <v>3</v>
      </c>
      <c r="D56" s="21" t="s">
        <v>26</v>
      </c>
      <c r="E56" s="228">
        <f>E$7*(ROUNDUP((Tokamak_Segmts/4),0))</f>
        <v>166.5525925925927</v>
      </c>
      <c r="F56" s="229">
        <f>F$7*(ROUNDUP((Tokamak_Segmts/4),0))</f>
        <v>176.22370370370371</v>
      </c>
      <c r="G56" s="228">
        <f>'Lower Hot Cell Hardware Failure'!$H$11</f>
        <v>56.173730732029746</v>
      </c>
      <c r="H56" s="28">
        <f>'Lower Hot Cell Weld Failure'!$H$24</f>
        <v>138.68833351866729</v>
      </c>
      <c r="I56" s="27">
        <f t="shared" si="6"/>
        <v>537.63836054699345</v>
      </c>
      <c r="J56" s="3611"/>
      <c r="K56" s="3276">
        <f>IF('Plant Availibility Calculator'!$P$18="Upper Port Cask System",'Upper Cask Summary'!$I56,IF('Plant Availibility Calculator'!$P$18="Upper Port Hot Cell",'Upper Hot Cell Summary'!$I56,"ERROR"))</f>
        <v>296.52299820321457</v>
      </c>
      <c r="L56" s="3611"/>
      <c r="M56" s="3276"/>
      <c r="N56" s="221"/>
      <c r="O56" s="228">
        <f>O$7*(ROUNDUP((Tokamak_Segmts/4),0))</f>
        <v>121.27259259259266</v>
      </c>
      <c r="P56" s="229">
        <f>P$7*(ROUNDUP((Tokamak_Segmts/4),0))</f>
        <v>117.06370370370378</v>
      </c>
      <c r="Q56" s="228">
        <f ca="1">'Lower Hot Cell Hardware Failure'!$H$15</f>
        <v>44.260498492419771</v>
      </c>
      <c r="R56" s="28">
        <f>'Lower Hot Cell Weld Failure'!$H$29</f>
        <v>30.813972891745792</v>
      </c>
      <c r="S56" s="27">
        <f ca="1">SUM(O56:R56)</f>
        <v>313.41076768046202</v>
      </c>
      <c r="T56" s="273"/>
    </row>
    <row r="57" spans="2:20" s="177" customFormat="1" x14ac:dyDescent="0.4">
      <c r="B57" s="3759"/>
      <c r="C57" s="3773"/>
      <c r="D57" s="277" t="s">
        <v>28</v>
      </c>
      <c r="E57" s="228">
        <f>E56/44</f>
        <v>3.7852861952861976</v>
      </c>
      <c r="F57" s="229">
        <f>F56/44</f>
        <v>4.0050841750841748</v>
      </c>
      <c r="G57" s="228">
        <f>G56/24</f>
        <v>2.3405721138345728</v>
      </c>
      <c r="H57" s="28">
        <f>H56/24</f>
        <v>5.7786805632778036</v>
      </c>
      <c r="I57" s="27">
        <f t="shared" si="6"/>
        <v>15.909623047482746</v>
      </c>
      <c r="J57" s="3611"/>
      <c r="K57" s="3276">
        <f>IF('Plant Availibility Calculator'!$P$18="Upper Port Cask System",'Upper Cask Summary'!$I57,IF('Plant Availibility Calculator'!$P$18="Upper Port Hot Cell",'Upper Hot Cell Summary'!$I57,"ERROR"))</f>
        <v>12.355124925133941</v>
      </c>
      <c r="L57" s="3611"/>
      <c r="M57" s="3276"/>
      <c r="N57" s="221"/>
      <c r="O57" s="228">
        <f>O56/44</f>
        <v>2.7561952861952879</v>
      </c>
      <c r="P57" s="229">
        <f>P56/44</f>
        <v>2.6605387205387223</v>
      </c>
      <c r="Q57" s="228">
        <f ca="1">Q56/24</f>
        <v>1.8441874371841571</v>
      </c>
      <c r="R57" s="28">
        <f>R56/24</f>
        <v>1.2839155371560746</v>
      </c>
      <c r="S57" s="27">
        <f ca="1">S56/24</f>
        <v>13.058781986685917</v>
      </c>
      <c r="T57" s="273"/>
    </row>
    <row r="58" spans="2:20" x14ac:dyDescent="0.4">
      <c r="B58" s="3759"/>
      <c r="C58" s="3774"/>
      <c r="D58" s="238" t="s">
        <v>2699</v>
      </c>
      <c r="E58" s="278">
        <f>E$9*(ROUNDUP((Tokamak_Segmts/4),0))</f>
        <v>9.209171594055988</v>
      </c>
      <c r="F58" s="279">
        <f>F$9*(ROUNDUP((Tokamak_Segmts/4),0))</f>
        <v>6.1600000000000819</v>
      </c>
      <c r="G58" s="278">
        <f>'Lower Hot Cell Hardware Failure'!$H$12</f>
        <v>0</v>
      </c>
      <c r="H58" s="280">
        <f>'Lower Hot Cell Weld Failure'!$H$25</f>
        <v>471.96373851499339</v>
      </c>
      <c r="I58" s="281">
        <f t="shared" si="6"/>
        <v>487.33291010904946</v>
      </c>
      <c r="J58" s="3613"/>
      <c r="K58" s="3325">
        <f>IF('Plant Availibility Calculator'!$P$18="Upper Port Cask System",'Upper Cask Summary'!$I58,IF('Plant Availibility Calculator'!$P$18="Upper Port Hot Cell",'Upper Hot Cell Summary'!$I58,"ERROR"))</f>
        <v>347.40152921054028</v>
      </c>
      <c r="L58" s="3613"/>
      <c r="M58" s="3325"/>
      <c r="N58" s="221"/>
      <c r="O58" s="278">
        <f>O$9*(ROUNDUP((Tokamak_Segmts/4),0))</f>
        <v>6.1188012236856366</v>
      </c>
      <c r="P58" s="279">
        <f>P$9*(ROUNDUP((Tokamak_Segmts/4),0))</f>
        <v>6.1600000000000819</v>
      </c>
      <c r="Q58" s="278">
        <f ca="1">'Lower Hot Cell Hardware Failure'!$H$16</f>
        <v>0</v>
      </c>
      <c r="R58" s="280">
        <f>'Lower Hot Cell Weld Failure'!$H$30</f>
        <v>3.2620412194023736</v>
      </c>
      <c r="S58" s="281">
        <f ca="1">SUM(O58:R58)</f>
        <v>15.540842443088092</v>
      </c>
      <c r="T58" s="273"/>
    </row>
    <row r="59" spans="2:20" ht="15" customHeight="1" x14ac:dyDescent="0.4">
      <c r="B59" s="3759"/>
      <c r="C59" s="3775" t="s">
        <v>25</v>
      </c>
      <c r="D59" s="244" t="s">
        <v>26</v>
      </c>
      <c r="E59" s="245">
        <f>E54+E56+E58</f>
        <v>657.1787398351355</v>
      </c>
      <c r="F59" s="246">
        <f>F54+F56+F58</f>
        <v>2174.1771001472544</v>
      </c>
      <c r="G59" s="245">
        <f>G54+G56+G58</f>
        <v>78.550568174791337</v>
      </c>
      <c r="H59" s="247">
        <f>H54+H56+H58</f>
        <v>1742.3028198743818</v>
      </c>
      <c r="I59" s="248">
        <f>SUM(E59:H59)</f>
        <v>4652.2092280315628</v>
      </c>
      <c r="J59" s="3615"/>
      <c r="K59" s="3294">
        <f>IF('Plant Availibility Calculator'!$P$18="Upper Port Cask System",'Upper Cask Summary'!$I59,IF('Plant Availibility Calculator'!$P$18="Upper Port Hot Cell",'Upper Hot Cell Summary'!$I59,"ERROR"))</f>
        <v>3547.2106192204587</v>
      </c>
      <c r="L59" s="3615"/>
      <c r="M59" s="3294">
        <f t="shared" si="0"/>
        <v>4652.2092280315628</v>
      </c>
      <c r="N59" s="249"/>
      <c r="O59" s="245">
        <f>O54+O56+O58</f>
        <v>533.47165681188812</v>
      </c>
      <c r="P59" s="246">
        <f>P54+P56+P58</f>
        <v>694.85772474677424</v>
      </c>
      <c r="Q59" s="245">
        <f ca="1">Q54+Q56+Q58</f>
        <v>55.757077025753105</v>
      </c>
      <c r="R59" s="247">
        <f>R54+R56+R58</f>
        <v>157.31002916092746</v>
      </c>
      <c r="S59" s="248">
        <f ca="1">SUM(O59:R59)</f>
        <v>1441.3964877453427</v>
      </c>
      <c r="T59" s="273"/>
    </row>
    <row r="60" spans="2:20" ht="15" customHeight="1" thickBot="1" x14ac:dyDescent="0.45">
      <c r="B60" s="3759"/>
      <c r="C60" s="3776"/>
      <c r="D60" s="252" t="s">
        <v>28</v>
      </c>
      <c r="E60" s="253">
        <f>E59/44</f>
        <v>14.935880450798534</v>
      </c>
      <c r="F60" s="254">
        <f>F59/44</f>
        <v>49.413115912437597</v>
      </c>
      <c r="G60" s="255">
        <f>G59/24</f>
        <v>3.2729403406163056</v>
      </c>
      <c r="H60" s="256">
        <f>H59/24</f>
        <v>72.595950828099248</v>
      </c>
      <c r="I60" s="254">
        <f t="shared" si="6"/>
        <v>140.21788753195167</v>
      </c>
      <c r="J60" s="3616"/>
      <c r="K60" s="3626">
        <f>IF('Plant Availibility Calculator'!$P$18="Upper Port Cask System",'Upper Cask Summary'!$I60,IF('Plant Availibility Calculator'!$P$18="Upper Port Hot Cell",'Upper Hot Cell Summary'!$I60,"ERROR"))</f>
        <v>147.8004424675191</v>
      </c>
      <c r="L60" s="3616"/>
      <c r="M60" s="3626">
        <f>MAX(I60,K60)</f>
        <v>147.8004424675191</v>
      </c>
      <c r="N60" s="221"/>
      <c r="O60" s="253">
        <f>O59/44</f>
        <v>12.124355836633821</v>
      </c>
      <c r="P60" s="254">
        <f>P59/44</f>
        <v>15.792221016972142</v>
      </c>
      <c r="Q60" s="255">
        <f ca="1">Q59/24</f>
        <v>2.3232115427397129</v>
      </c>
      <c r="R60" s="256">
        <f>R59/24</f>
        <v>6.5545845483719773</v>
      </c>
      <c r="S60" s="254">
        <f ca="1">S59/24</f>
        <v>60.058186989389277</v>
      </c>
      <c r="T60" s="273"/>
    </row>
    <row r="61" spans="2:20" s="177" customFormat="1" ht="15" customHeight="1" x14ac:dyDescent="0.4">
      <c r="B61" s="3759"/>
      <c r="C61" s="3777" t="s">
        <v>111</v>
      </c>
      <c r="D61" s="257" t="s">
        <v>26</v>
      </c>
      <c r="E61" s="258">
        <f>(E59/two_shift_productivity_ratio)*1.1</f>
        <v>1084.3449207279737</v>
      </c>
      <c r="F61" s="259">
        <f>(F59/two_shift_productivity_ratio)*1.1</f>
        <v>3587.39221524297</v>
      </c>
      <c r="G61" s="258">
        <f>(G59/two_shift_productivity_ratio)*1.1</f>
        <v>129.60843748840571</v>
      </c>
      <c r="H61" s="259">
        <f>(H59/two_shift_productivity_ratio)*1.1</f>
        <v>2874.7996527927307</v>
      </c>
      <c r="I61" s="260">
        <f>SUM(E61:H61)</f>
        <v>7676.1452262520797</v>
      </c>
      <c r="J61" s="3611"/>
      <c r="K61" s="3304">
        <f>IF('Plant Availibility Calculator'!$P$18="Upper Port Cask System",'Upper Cask Summary'!$I61,IF('Plant Availibility Calculator'!$P$18="Upper Port Hot Cell",'Upper Hot Cell Summary'!$I61,"ERROR"))</f>
        <v>5852.8975217137577</v>
      </c>
      <c r="L61" s="3611"/>
      <c r="M61" s="3304">
        <f t="shared" si="0"/>
        <v>7676.1452262520797</v>
      </c>
      <c r="N61" s="221"/>
      <c r="O61" s="258">
        <f>(O59/two_shift_productivity_ratio)*1.1</f>
        <v>880.22823373961546</v>
      </c>
      <c r="P61" s="259">
        <f>(P59/two_shift_productivity_ratio)*1.1</f>
        <v>1146.5152458321777</v>
      </c>
      <c r="Q61" s="258">
        <f ca="1">(Q59/two_shift_productivity_ratio)*1.1</f>
        <v>91.999177092492644</v>
      </c>
      <c r="R61" s="259">
        <f>(R59/two_shift_productivity_ratio)*1.1</f>
        <v>259.56154811553034</v>
      </c>
      <c r="S61" s="260">
        <f ca="1">SUM(O61:R61)</f>
        <v>2378.3042047798162</v>
      </c>
      <c r="T61" s="273"/>
    </row>
    <row r="62" spans="2:20" ht="15" customHeight="1" x14ac:dyDescent="0.4">
      <c r="B62" s="3759"/>
      <c r="C62" s="3778"/>
      <c r="D62" s="22" t="s">
        <v>112</v>
      </c>
      <c r="E62" s="262">
        <f>E61/24</f>
        <v>45.181038363665571</v>
      </c>
      <c r="F62" s="263">
        <f>F61/24</f>
        <v>149.47467563512376</v>
      </c>
      <c r="G62" s="262">
        <f>G61/24</f>
        <v>5.4003515620169047</v>
      </c>
      <c r="H62" s="263">
        <f>H61/24</f>
        <v>119.78331886636379</v>
      </c>
      <c r="I62" s="265">
        <f>I61/24</f>
        <v>319.83938442716999</v>
      </c>
      <c r="J62" s="3611"/>
      <c r="K62" s="3309">
        <f>IF('Plant Availibility Calculator'!$P$18="Upper Port Cask System",'Upper Cask Summary'!$I62,IF('Plant Availibility Calculator'!$P$18="Upper Port Hot Cell",'Upper Hot Cell Summary'!$I62,"ERROR"))</f>
        <v>243.87073007140657</v>
      </c>
      <c r="L62" s="3611"/>
      <c r="M62" s="3309">
        <f t="shared" si="0"/>
        <v>319.83938442716999</v>
      </c>
      <c r="N62" s="221"/>
      <c r="O62" s="262">
        <f>O61/24</f>
        <v>36.676176405817309</v>
      </c>
      <c r="P62" s="263">
        <f>P61/24</f>
        <v>47.771468576340737</v>
      </c>
      <c r="Q62" s="262">
        <f ca="1">Q61/24</f>
        <v>3.8332990455205267</v>
      </c>
      <c r="R62" s="263">
        <f>R61/24</f>
        <v>10.815064504813764</v>
      </c>
      <c r="S62" s="265">
        <f ca="1">SUM(O62:R62)</f>
        <v>99.096008532492334</v>
      </c>
      <c r="T62" s="273"/>
    </row>
    <row r="63" spans="2:20" x14ac:dyDescent="0.4">
      <c r="B63" s="3759"/>
      <c r="C63" s="3778"/>
      <c r="D63" s="22" t="s">
        <v>113</v>
      </c>
      <c r="E63" s="262">
        <f>E62/30</f>
        <v>1.5060346121221857</v>
      </c>
      <c r="F63" s="263">
        <f>F62/30</f>
        <v>4.9824891878374586</v>
      </c>
      <c r="G63" s="262">
        <f>G62/30</f>
        <v>0.18001171873389682</v>
      </c>
      <c r="H63" s="263">
        <f>H62/30</f>
        <v>3.9927772955454595</v>
      </c>
      <c r="I63" s="265">
        <f>I62/30</f>
        <v>10.661312814239</v>
      </c>
      <c r="J63" s="3611"/>
      <c r="K63" s="3309">
        <f>IF('Plant Availibility Calculator'!$P$18="Upper Port Cask System",'Upper Cask Summary'!$I63,IF('Plant Availibility Calculator'!$P$18="Upper Port Hot Cell",'Upper Hot Cell Summary'!$I63,"ERROR"))</f>
        <v>8.1290243357135523</v>
      </c>
      <c r="L63" s="3611"/>
      <c r="M63" s="3309">
        <f t="shared" si="0"/>
        <v>10.661312814239</v>
      </c>
      <c r="N63" s="221"/>
      <c r="O63" s="262">
        <f>O62/30</f>
        <v>1.2225392135272437</v>
      </c>
      <c r="P63" s="263">
        <f>P62/30</f>
        <v>1.5923822858780246</v>
      </c>
      <c r="Q63" s="262">
        <f ca="1">Q62/30</f>
        <v>0.12777663485068422</v>
      </c>
      <c r="R63" s="263">
        <f>R62/30</f>
        <v>0.36050215016045878</v>
      </c>
      <c r="S63" s="265">
        <f ca="1">SUM(O63:R63)</f>
        <v>3.3032002844164112</v>
      </c>
      <c r="T63" s="273"/>
    </row>
    <row r="64" spans="2:20" s="271" customFormat="1" ht="15" thickBot="1" x14ac:dyDescent="0.45">
      <c r="B64" s="3760"/>
      <c r="C64" s="3779"/>
      <c r="D64" s="282" t="s">
        <v>513</v>
      </c>
      <c r="E64" s="266">
        <f>E61/$I$61</f>
        <v>0.14126164745028033</v>
      </c>
      <c r="F64" s="267">
        <f>F61/$I$61</f>
        <v>0.46734293183696501</v>
      </c>
      <c r="G64" s="266">
        <f>G61/$I$61</f>
        <v>1.688457339826643E-2</v>
      </c>
      <c r="H64" s="267">
        <f>H61/$I$61</f>
        <v>0.3745108473144883</v>
      </c>
      <c r="I64" s="269">
        <f>I61/$I$61</f>
        <v>1</v>
      </c>
      <c r="J64" s="3612"/>
      <c r="K64" s="3314">
        <f>IF('Plant Availibility Calculator'!$P$18="Upper Port Cask System",'Upper Cask Summary'!$I64,IF('Plant Availibility Calculator'!$P$18="Upper Port Hot Cell",'Upper Hot Cell Summary'!$I64,"ERROR"))</f>
        <v>0.66669160841396935</v>
      </c>
      <c r="L64" s="3612"/>
      <c r="M64" s="3314">
        <f t="shared" si="0"/>
        <v>1</v>
      </c>
      <c r="N64" s="226"/>
      <c r="O64" s="266">
        <f ca="1">O61/$S$61</f>
        <v>0.37010750431781164</v>
      </c>
      <c r="P64" s="267">
        <f ca="1">P61/$S$61</f>
        <v>0.48207258076067788</v>
      </c>
      <c r="Q64" s="266">
        <f ca="1">Q61/$S$61</f>
        <v>3.8682678568871275E-2</v>
      </c>
      <c r="R64" s="267">
        <f>R61/$I$61</f>
        <v>3.3814048648772466E-2</v>
      </c>
      <c r="S64" s="269">
        <f ca="1">SUM(O64:R64)</f>
        <v>0.9246768122961333</v>
      </c>
      <c r="T64" s="273"/>
    </row>
    <row r="65" spans="2:20" ht="15" thickBot="1" x14ac:dyDescent="0.45">
      <c r="E65" s="177"/>
      <c r="F65" s="177"/>
      <c r="G65" s="177"/>
      <c r="H65" s="177"/>
      <c r="I65" s="177"/>
      <c r="J65" s="3266"/>
      <c r="K65" s="3266"/>
      <c r="L65" s="3266"/>
      <c r="M65" s="3266"/>
      <c r="N65" s="177"/>
      <c r="O65" s="177"/>
      <c r="P65" s="177"/>
      <c r="Q65" s="177"/>
      <c r="R65" s="177"/>
      <c r="S65" s="177"/>
      <c r="T65" s="273"/>
    </row>
    <row r="66" spans="2:20" ht="15" customHeight="1" x14ac:dyDescent="0.4">
      <c r="B66" s="3758" t="str">
        <f>"All "&amp;Tokamak_Segmts&amp;" Ports with 6 RM Systems"</f>
        <v>All 16 Ports with 6 RM Systems</v>
      </c>
      <c r="C66" s="3761" t="s">
        <v>18</v>
      </c>
      <c r="D66" s="216" t="s">
        <v>26</v>
      </c>
      <c r="E66" s="217">
        <f>E$5*(ROUNDUP((Tokamak_Segmts/6),0))</f>
        <v>361.06273173636509</v>
      </c>
      <c r="F66" s="218">
        <f>F$5*(ROUNDUP((Tokamak_Segmts/6),0))</f>
        <v>1493.8450473326625</v>
      </c>
      <c r="G66" s="217">
        <f>'Lower Hot Cell Hardware Failure'!$I$10</f>
        <v>16.782628082071195</v>
      </c>
      <c r="H66" s="219">
        <f>'Lower Hot Cell Weld Failure'!$I$23</f>
        <v>848.73806088054107</v>
      </c>
      <c r="I66" s="220">
        <f>SUM(E66:H66)</f>
        <v>2720.4284680316396</v>
      </c>
      <c r="J66" s="3611"/>
      <c r="K66" s="3265">
        <f>IF('Plant Availibility Calculator'!$P$18="Upper Port Cask System",'Upper Cask Summary'!$I66,IF('Plant Availibility Calculator'!$P$18="Upper Port Hot Cell",'Upper Hot Cell Summary'!$I66,"ERROR"))</f>
        <v>2177.4073438550281</v>
      </c>
      <c r="L66" s="3611"/>
      <c r="M66" s="3265"/>
      <c r="N66" s="221"/>
      <c r="O66" s="217">
        <f>O$5*(ROUNDUP((Tokamak_Segmts/6),0))</f>
        <v>304.56019724670739</v>
      </c>
      <c r="P66" s="218">
        <f>P$5*(ROUNDUP((Tokamak_Segmts/6),0))</f>
        <v>428.72551578230275</v>
      </c>
      <c r="Q66" s="217">
        <f ca="1">'Lower Hot Cell Hardware Failure'!$I$14</f>
        <v>8.6224339000000025</v>
      </c>
      <c r="R66" s="219">
        <f>'Lower Hot Cell Weld Failure'!$I$28</f>
        <v>92.425511287334501</v>
      </c>
      <c r="S66" s="220">
        <f ca="1">SUM(O66:R66)</f>
        <v>834.3336582163447</v>
      </c>
      <c r="T66" s="273"/>
    </row>
    <row r="67" spans="2:20" s="177" customFormat="1" x14ac:dyDescent="0.4">
      <c r="B67" s="3759"/>
      <c r="C67" s="3762"/>
      <c r="D67" s="274" t="s">
        <v>28</v>
      </c>
      <c r="E67" s="275">
        <f>E66/64</f>
        <v>5.6416051833807046</v>
      </c>
      <c r="F67" s="276">
        <f>F66/64</f>
        <v>23.341328864572851</v>
      </c>
      <c r="G67" s="275">
        <f>G66/24</f>
        <v>0.69927617008629983</v>
      </c>
      <c r="H67" s="26">
        <f>H66/24</f>
        <v>35.364085870022542</v>
      </c>
      <c r="I67" s="25">
        <f t="shared" ref="I67:I72" si="7">SUM(E67:H67)</f>
        <v>65.046296088062405</v>
      </c>
      <c r="J67" s="3611"/>
      <c r="K67" s="3321">
        <f>IF('Plant Availibility Calculator'!$P$18="Upper Port Cask System",'Upper Cask Summary'!$I67,IF('Plant Availibility Calculator'!$P$18="Upper Port Hot Cell",'Upper Hot Cell Summary'!$I67,"ERROR"))</f>
        <v>90.725305993959509</v>
      </c>
      <c r="L67" s="3611"/>
      <c r="M67" s="3321"/>
      <c r="N67" s="221"/>
      <c r="O67" s="275">
        <f>O66/64</f>
        <v>4.758753081979803</v>
      </c>
      <c r="P67" s="276">
        <f>P66/64</f>
        <v>6.6988361840984805</v>
      </c>
      <c r="Q67" s="275">
        <f ca="1">Q66/24</f>
        <v>0.35926807916666675</v>
      </c>
      <c r="R67" s="26">
        <f>R66/24</f>
        <v>3.8510629703056041</v>
      </c>
      <c r="S67" s="25">
        <f ca="1">S66/24</f>
        <v>34.763902425681032</v>
      </c>
      <c r="T67" s="273"/>
    </row>
    <row r="68" spans="2:20" x14ac:dyDescent="0.4">
      <c r="B68" s="3759"/>
      <c r="C68" s="3763" t="s">
        <v>3</v>
      </c>
      <c r="D68" s="21" t="s">
        <v>26</v>
      </c>
      <c r="E68" s="228">
        <f>E$7*(ROUNDUP((Tokamak_Segmts/6),0))</f>
        <v>124.91444444444453</v>
      </c>
      <c r="F68" s="229">
        <f>F$7*(ROUNDUP((Tokamak_Segmts/6),0))</f>
        <v>132.16777777777779</v>
      </c>
      <c r="G68" s="228">
        <f>'Lower Hot Cell Hardware Failure'!$I$11</f>
        <v>42.130298049022308</v>
      </c>
      <c r="H68" s="28">
        <f>'Lower Hot Cell Weld Failure'!$I$24</f>
        <v>104.01625013900048</v>
      </c>
      <c r="I68" s="27">
        <f t="shared" si="7"/>
        <v>403.22877041024509</v>
      </c>
      <c r="J68" s="3611"/>
      <c r="K68" s="3276">
        <f>IF('Plant Availibility Calculator'!$P$18="Upper Port Cask System",'Upper Cask Summary'!$I68,IF('Plant Availibility Calculator'!$P$18="Upper Port Hot Cell",'Upper Hot Cell Summary'!$I68,"ERROR"))</f>
        <v>222.34994454129983</v>
      </c>
      <c r="L68" s="3611"/>
      <c r="M68" s="3276"/>
      <c r="N68" s="221"/>
      <c r="O68" s="228">
        <f>O$7*(ROUNDUP((Tokamak_Segmts/6),0))</f>
        <v>90.954444444444491</v>
      </c>
      <c r="P68" s="229">
        <f>P$7*(ROUNDUP((Tokamak_Segmts/6),0))</f>
        <v>87.797777777777839</v>
      </c>
      <c r="Q68" s="228">
        <f ca="1">'Lower Hot Cell Hardware Failure'!$I$15</f>
        <v>33.195373869314835</v>
      </c>
      <c r="R68" s="28">
        <f>'Lower Hot Cell Weld Failure'!$I$29</f>
        <v>23.110479668809347</v>
      </c>
      <c r="S68" s="27">
        <f ca="1">SUM(O68:R68)</f>
        <v>235.0580757603465</v>
      </c>
      <c r="T68" s="273"/>
    </row>
    <row r="69" spans="2:20" s="177" customFormat="1" x14ac:dyDescent="0.4">
      <c r="B69" s="3759"/>
      <c r="C69" s="3764"/>
      <c r="D69" s="277" t="s">
        <v>28</v>
      </c>
      <c r="E69" s="228">
        <f>E68/64</f>
        <v>1.9517881944444457</v>
      </c>
      <c r="F69" s="229">
        <f>F68/64</f>
        <v>2.0651215277777779</v>
      </c>
      <c r="G69" s="228">
        <f>G68/24</f>
        <v>1.7554290853759296</v>
      </c>
      <c r="H69" s="28">
        <f>H68/24</f>
        <v>4.3340104224583529</v>
      </c>
      <c r="I69" s="27">
        <f t="shared" si="7"/>
        <v>10.106349230056505</v>
      </c>
      <c r="J69" s="3611"/>
      <c r="K69" s="3276">
        <f>IF('Plant Availibility Calculator'!$P$18="Upper Port Cask System",'Upper Cask Summary'!$I69,IF('Plant Availibility Calculator'!$P$18="Upper Port Hot Cell",'Upper Hot Cell Summary'!$I69,"ERROR"))</f>
        <v>9.2645810225541592</v>
      </c>
      <c r="L69" s="3611"/>
      <c r="M69" s="3276"/>
      <c r="N69" s="221"/>
      <c r="O69" s="228">
        <f>O68/64</f>
        <v>1.4211631944444452</v>
      </c>
      <c r="P69" s="229">
        <f>P68/64</f>
        <v>1.3718402777777787</v>
      </c>
      <c r="Q69" s="228">
        <f ca="1">Q68/24</f>
        <v>1.3831405778881181</v>
      </c>
      <c r="R69" s="28">
        <f>R68/24</f>
        <v>0.9629366528670561</v>
      </c>
      <c r="S69" s="27">
        <f ca="1">S68/24</f>
        <v>9.794086490014438</v>
      </c>
      <c r="T69" s="273"/>
    </row>
    <row r="70" spans="2:20" x14ac:dyDescent="0.4">
      <c r="B70" s="3759"/>
      <c r="C70" s="3764"/>
      <c r="D70" s="238" t="s">
        <v>2699</v>
      </c>
      <c r="E70" s="278">
        <f>E$9*(ROUNDUP((Tokamak_Segmts/6),0))</f>
        <v>6.906878695541991</v>
      </c>
      <c r="F70" s="279">
        <f>F$9*(ROUNDUP((Tokamak_Segmts/6),0))</f>
        <v>4.6200000000000614</v>
      </c>
      <c r="G70" s="278">
        <f>'Lower Hot Cell Hardware Failure'!$I$12</f>
        <v>0</v>
      </c>
      <c r="H70" s="280">
        <f>'Lower Hot Cell Weld Failure'!$I$25</f>
        <v>353.972803886245</v>
      </c>
      <c r="I70" s="281">
        <f t="shared" si="7"/>
        <v>365.49968258178706</v>
      </c>
      <c r="J70" s="3613"/>
      <c r="K70" s="3325">
        <f>IF('Plant Availibility Calculator'!$P$18="Upper Port Cask System",'Upper Cask Summary'!$I70,IF('Plant Availibility Calculator'!$P$18="Upper Port Hot Cell",'Upper Hot Cell Summary'!$I70,"ERROR"))</f>
        <v>260.55114690790515</v>
      </c>
      <c r="L70" s="3613"/>
      <c r="M70" s="3325"/>
      <c r="N70" s="221"/>
      <c r="O70" s="278">
        <f>O$9*(ROUNDUP((Tokamak_Segmts/6),0))</f>
        <v>4.5891009177642275</v>
      </c>
      <c r="P70" s="279">
        <f>P$9*(ROUNDUP((Tokamak_Segmts/6),0))</f>
        <v>4.6200000000000614</v>
      </c>
      <c r="Q70" s="278">
        <f ca="1">'Lower Hot Cell Hardware Failure'!$I$16</f>
        <v>0</v>
      </c>
      <c r="R70" s="280">
        <f>'Lower Hot Cell Weld Failure'!$I$30</f>
        <v>2.4465309145517806</v>
      </c>
      <c r="S70" s="281">
        <f ca="1">SUM(O70:R70)</f>
        <v>11.65563183231607</v>
      </c>
      <c r="T70" s="273"/>
    </row>
    <row r="71" spans="2:20" ht="15" customHeight="1" x14ac:dyDescent="0.4">
      <c r="B71" s="3759"/>
      <c r="C71" s="3765" t="s">
        <v>25</v>
      </c>
      <c r="D71" s="244" t="s">
        <v>26</v>
      </c>
      <c r="E71" s="245">
        <f>E66+E68+E70</f>
        <v>492.88405487635163</v>
      </c>
      <c r="F71" s="246">
        <f>F66+F68+F70</f>
        <v>1630.6328251104403</v>
      </c>
      <c r="G71" s="245">
        <f>G66+G68+G70</f>
        <v>58.912926131093499</v>
      </c>
      <c r="H71" s="247">
        <f>H66+H68+H70</f>
        <v>1306.7271149057865</v>
      </c>
      <c r="I71" s="248">
        <f>SUM(E71:H71)</f>
        <v>3489.1569210236721</v>
      </c>
      <c r="J71" s="3615"/>
      <c r="K71" s="3294">
        <f>IF('Plant Availibility Calculator'!$P$18="Upper Port Cask System",'Upper Cask Summary'!$I71,IF('Plant Availibility Calculator'!$P$18="Upper Port Hot Cell",'Upper Hot Cell Summary'!$I71,"ERROR"))</f>
        <v>2660.3084353042332</v>
      </c>
      <c r="L71" s="3615"/>
      <c r="M71" s="3294">
        <f t="shared" ref="M71:M76" si="8">MAX(I71,J71)</f>
        <v>3489.1569210236721</v>
      </c>
      <c r="N71" s="249"/>
      <c r="O71" s="245">
        <f>O66+O68+O70</f>
        <v>400.10374260891615</v>
      </c>
      <c r="P71" s="246">
        <f>P66+P68+P70</f>
        <v>521.14329356008056</v>
      </c>
      <c r="Q71" s="245">
        <f ca="1">Q66+Q68+Q70</f>
        <v>41.81780776931484</v>
      </c>
      <c r="R71" s="247">
        <f>R66+R68+R70</f>
        <v>117.98252187069563</v>
      </c>
      <c r="S71" s="248">
        <f ca="1">SUM(O71:R71)</f>
        <v>1081.0473658090073</v>
      </c>
      <c r="T71" s="273"/>
    </row>
    <row r="72" spans="2:20" ht="15" thickBot="1" x14ac:dyDescent="0.45">
      <c r="B72" s="3759"/>
      <c r="C72" s="3766"/>
      <c r="D72" s="252" t="s">
        <v>28</v>
      </c>
      <c r="E72" s="253">
        <f>E71/64</f>
        <v>7.7013133574429942</v>
      </c>
      <c r="F72" s="254">
        <f>F71/64</f>
        <v>25.47863789235063</v>
      </c>
      <c r="G72" s="255">
        <f>G71/24</f>
        <v>2.4547052554622293</v>
      </c>
      <c r="H72" s="256">
        <f>H71/24</f>
        <v>54.44696312107444</v>
      </c>
      <c r="I72" s="254">
        <f t="shared" si="7"/>
        <v>90.081619626330294</v>
      </c>
      <c r="J72" s="3616"/>
      <c r="K72" s="3626">
        <f>IF('Plant Availibility Calculator'!$P$18="Upper Port Cask System",'Upper Cask Summary'!$I72,IF('Plant Availibility Calculator'!$P$18="Upper Port Hot Cell",'Upper Hot Cell Summary'!$I72,"ERROR"))</f>
        <v>110.84618480434305</v>
      </c>
      <c r="L72" s="3616"/>
      <c r="M72" s="3626">
        <f>MAX(I72,K72)</f>
        <v>110.84618480434305</v>
      </c>
      <c r="N72" s="221"/>
      <c r="O72" s="253">
        <f>O71/64</f>
        <v>6.2516209782643148</v>
      </c>
      <c r="P72" s="254">
        <f>P71/64</f>
        <v>8.1428639618762588</v>
      </c>
      <c r="Q72" s="255">
        <f ca="1">Q71/24</f>
        <v>1.742408657054785</v>
      </c>
      <c r="R72" s="256">
        <f>R71/24</f>
        <v>4.9159384112789848</v>
      </c>
      <c r="S72" s="254">
        <f ca="1">S71/24</f>
        <v>45.043640242041967</v>
      </c>
      <c r="T72" s="273"/>
    </row>
    <row r="73" spans="2:20" s="177" customFormat="1" ht="15" customHeight="1" x14ac:dyDescent="0.4">
      <c r="B73" s="3759"/>
      <c r="C73" s="3767" t="s">
        <v>111</v>
      </c>
      <c r="D73" s="257" t="s">
        <v>26</v>
      </c>
      <c r="E73" s="258">
        <f>(E71/two_shift_productivity_ratio)*1.1</f>
        <v>813.25869054598036</v>
      </c>
      <c r="F73" s="259">
        <f>(F71/two_shift_productivity_ratio)*1.1</f>
        <v>2690.5441614322272</v>
      </c>
      <c r="G73" s="258">
        <f>(G71/two_shift_productivity_ratio)*1.1</f>
        <v>97.206328116304292</v>
      </c>
      <c r="H73" s="259">
        <f>(H71/two_shift_productivity_ratio)*1.1</f>
        <v>2156.0997395945478</v>
      </c>
      <c r="I73" s="260">
        <f>SUM(E73:H73)</f>
        <v>5757.1089196890589</v>
      </c>
      <c r="J73" s="3611"/>
      <c r="K73" s="3304">
        <f>IF('Plant Availibility Calculator'!$P$18="Upper Port Cask System",'Upper Cask Summary'!$I73,IF('Plant Availibility Calculator'!$P$18="Upper Port Hot Cell",'Upper Hot Cell Summary'!$I73,"ERROR"))</f>
        <v>4389.5089182519851</v>
      </c>
      <c r="L73" s="3611"/>
      <c r="M73" s="3304">
        <f t="shared" si="8"/>
        <v>5757.1089196890589</v>
      </c>
      <c r="N73" s="221"/>
      <c r="O73" s="258">
        <f>(O71/two_shift_productivity_ratio)*1.1</f>
        <v>660.17117530471171</v>
      </c>
      <c r="P73" s="259">
        <f>(P71/two_shift_productivity_ratio)*1.1</f>
        <v>859.88643437413305</v>
      </c>
      <c r="Q73" s="258">
        <f ca="1">(Q71/two_shift_productivity_ratio)*1.1</f>
        <v>68.999382819369487</v>
      </c>
      <c r="R73" s="259">
        <f>(R71/two_shift_productivity_ratio)*1.1</f>
        <v>194.67116108664783</v>
      </c>
      <c r="S73" s="260">
        <f ca="1">SUM(O73:R73)</f>
        <v>1783.728153584862</v>
      </c>
      <c r="T73" s="273"/>
    </row>
    <row r="74" spans="2:20" ht="15" customHeight="1" x14ac:dyDescent="0.4">
      <c r="B74" s="3759"/>
      <c r="C74" s="3768"/>
      <c r="D74" s="22" t="s">
        <v>112</v>
      </c>
      <c r="E74" s="262">
        <f>E73/24</f>
        <v>33.885778772749184</v>
      </c>
      <c r="F74" s="263">
        <f>F73/24</f>
        <v>112.1060067263428</v>
      </c>
      <c r="G74" s="262">
        <f>G73/24</f>
        <v>4.0502636715126785</v>
      </c>
      <c r="H74" s="263">
        <f>H73/24</f>
        <v>89.837489149772821</v>
      </c>
      <c r="I74" s="265">
        <f>I73/24</f>
        <v>239.87953832037746</v>
      </c>
      <c r="J74" s="3611"/>
      <c r="K74" s="3309">
        <f>IF('Plant Availibility Calculator'!$P$18="Upper Port Cask System",'Upper Cask Summary'!$I74,IF('Plant Availibility Calculator'!$P$18="Upper Port Hot Cell",'Upper Hot Cell Summary'!$I74,"ERROR"))</f>
        <v>182.89620492716605</v>
      </c>
      <c r="L74" s="3611"/>
      <c r="M74" s="3309">
        <f t="shared" si="8"/>
        <v>239.87953832037746</v>
      </c>
      <c r="N74" s="221"/>
      <c r="O74" s="262">
        <f>O73/24</f>
        <v>27.507132304362987</v>
      </c>
      <c r="P74" s="263">
        <f>P73/24</f>
        <v>35.828601432255546</v>
      </c>
      <c r="Q74" s="262">
        <f ca="1">Q73/24</f>
        <v>2.8749742841403951</v>
      </c>
      <c r="R74" s="263">
        <f>R73/24</f>
        <v>8.1112983786103268</v>
      </c>
      <c r="S74" s="265">
        <f ca="1">SUM(O74:R74)</f>
        <v>74.322006399369258</v>
      </c>
      <c r="T74" s="273"/>
    </row>
    <row r="75" spans="2:20" x14ac:dyDescent="0.4">
      <c r="B75" s="3759"/>
      <c r="C75" s="3768"/>
      <c r="D75" s="22" t="s">
        <v>113</v>
      </c>
      <c r="E75" s="262">
        <f>E74/30</f>
        <v>1.1295259590916396</v>
      </c>
      <c r="F75" s="263">
        <f>F74/30</f>
        <v>3.7368668908780931</v>
      </c>
      <c r="G75" s="262">
        <f>G74/30</f>
        <v>0.13500878905042263</v>
      </c>
      <c r="H75" s="263">
        <f>H74/30</f>
        <v>2.9945829716590939</v>
      </c>
      <c r="I75" s="265">
        <f>I74/30</f>
        <v>7.9959846106792485</v>
      </c>
      <c r="J75" s="3611"/>
      <c r="K75" s="3309">
        <f>IF('Plant Availibility Calculator'!$P$18="Upper Port Cask System",'Upper Cask Summary'!$I75,IF('Plant Availibility Calculator'!$P$18="Upper Port Hot Cell",'Upper Hot Cell Summary'!$I75,"ERROR"))</f>
        <v>6.0965401642388688</v>
      </c>
      <c r="L75" s="3611"/>
      <c r="M75" s="3309">
        <f t="shared" si="8"/>
        <v>7.9959846106792485</v>
      </c>
      <c r="N75" s="221"/>
      <c r="O75" s="262">
        <f>O74/30</f>
        <v>0.91690441014543289</v>
      </c>
      <c r="P75" s="263">
        <f>P74/30</f>
        <v>1.1942867144085183</v>
      </c>
      <c r="Q75" s="262">
        <f ca="1">Q74/30</f>
        <v>9.583247613801317E-2</v>
      </c>
      <c r="R75" s="263">
        <f>R74/30</f>
        <v>0.27037661262034424</v>
      </c>
      <c r="S75" s="265">
        <f ca="1">SUM(O75:R75)</f>
        <v>2.4774002133123085</v>
      </c>
      <c r="T75" s="273"/>
    </row>
    <row r="76" spans="2:20" s="271" customFormat="1" ht="15" thickBot="1" x14ac:dyDescent="0.45">
      <c r="B76" s="3760"/>
      <c r="C76" s="3769"/>
      <c r="D76" s="282" t="s">
        <v>513</v>
      </c>
      <c r="E76" s="266">
        <f>E73/$I$73</f>
        <v>0.14126164745028039</v>
      </c>
      <c r="F76" s="267">
        <f>F73/$I$73</f>
        <v>0.46734293183696501</v>
      </c>
      <c r="G76" s="266">
        <f>G73/$I$73</f>
        <v>1.6884573398266434E-2</v>
      </c>
      <c r="H76" s="267">
        <f>H73/$I$73</f>
        <v>0.3745108473144883</v>
      </c>
      <c r="I76" s="269">
        <f>I73/$I$73</f>
        <v>1</v>
      </c>
      <c r="J76" s="3612"/>
      <c r="K76" s="3314">
        <f>IF('Plant Availibility Calculator'!$P$18="Upper Port Cask System",'Upper Cask Summary'!$I76,IF('Plant Availibility Calculator'!$P$18="Upper Port Hot Cell",'Upper Hot Cell Summary'!$I76,"ERROR"))</f>
        <v>1</v>
      </c>
      <c r="L76" s="3612"/>
      <c r="M76" s="3314">
        <f t="shared" si="8"/>
        <v>1</v>
      </c>
      <c r="N76" s="226"/>
      <c r="O76" s="266">
        <f ca="1">O73/$S$73</f>
        <v>0.37010750431781175</v>
      </c>
      <c r="P76" s="267">
        <f ca="1">P73/$S$73</f>
        <v>0.48207258076067777</v>
      </c>
      <c r="Q76" s="266">
        <f ca="1">Q73/$S$73</f>
        <v>3.8682678568871282E-2</v>
      </c>
      <c r="R76" s="267">
        <f>R73/$I$73</f>
        <v>3.381404864877248E-2</v>
      </c>
      <c r="S76" s="269">
        <f ca="1">SUM(O76:R76)</f>
        <v>0.9246768122961333</v>
      </c>
      <c r="T76" s="273"/>
    </row>
    <row r="77" spans="2:20" x14ac:dyDescent="0.4">
      <c r="E77" s="177"/>
      <c r="F77" s="177"/>
      <c r="G77" s="177"/>
      <c r="H77" s="177"/>
      <c r="I77" s="177"/>
      <c r="J77" s="3266"/>
      <c r="K77" s="3266"/>
      <c r="L77" s="3266"/>
      <c r="M77" s="3266"/>
      <c r="N77" s="177"/>
      <c r="O77" s="177"/>
      <c r="P77" s="177"/>
      <c r="Q77" s="177"/>
      <c r="R77" s="177"/>
      <c r="S77" s="177"/>
    </row>
    <row r="82" spans="10:13" x14ac:dyDescent="0.4">
      <c r="J82" s="3266"/>
      <c r="K82" s="3266"/>
      <c r="L82" s="3266"/>
      <c r="M82" s="3266"/>
    </row>
    <row r="83" spans="10:13" x14ac:dyDescent="0.4">
      <c r="J83" s="3266"/>
      <c r="K83" s="3266"/>
      <c r="L83" s="3266"/>
      <c r="M83" s="3266"/>
    </row>
    <row r="84" spans="10:13" x14ac:dyDescent="0.4">
      <c r="J84" s="3266"/>
      <c r="K84" s="3266"/>
      <c r="L84" s="3266"/>
      <c r="M84" s="3266"/>
    </row>
    <row r="85" spans="10:13" x14ac:dyDescent="0.4">
      <c r="J85" s="3266"/>
      <c r="K85" s="3266"/>
      <c r="L85" s="3266"/>
      <c r="M85" s="3266"/>
    </row>
    <row r="88" spans="10:13" x14ac:dyDescent="0.4">
      <c r="J88" s="3266"/>
      <c r="K88" s="3266"/>
      <c r="L88" s="3266"/>
      <c r="M88" s="3266"/>
    </row>
    <row r="89" spans="10:13" x14ac:dyDescent="0.4">
      <c r="J89" s="3266"/>
      <c r="K89" s="3266"/>
      <c r="L89" s="3266"/>
      <c r="M89" s="3266"/>
    </row>
    <row r="90" spans="10:13" x14ac:dyDescent="0.4">
      <c r="J90" s="3266"/>
      <c r="K90" s="3266"/>
      <c r="L90" s="3266"/>
      <c r="M90" s="3266"/>
    </row>
    <row r="91" spans="10:13" x14ac:dyDescent="0.4">
      <c r="J91" s="3266"/>
      <c r="K91" s="3266"/>
      <c r="L91" s="3266"/>
      <c r="M91" s="3266"/>
    </row>
  </sheetData>
  <customSheetViews>
    <customSheetView guid="{9C0AA20B-B2A2-4A2C-B279-4A5988F4E71A}">
      <selection activeCell="K7" sqref="K7"/>
      <pageMargins left="0.7" right="0.7" top="0.75" bottom="0.75" header="0.3" footer="0.3"/>
      <pageSetup paperSize="9" orientation="portrait" verticalDpi="0" r:id="rId1"/>
    </customSheetView>
  </customSheetViews>
  <mergeCells count="38">
    <mergeCell ref="B54:B64"/>
    <mergeCell ref="C54:C55"/>
    <mergeCell ref="C56:C58"/>
    <mergeCell ref="C59:C60"/>
    <mergeCell ref="C61:C64"/>
    <mergeCell ref="B66:B76"/>
    <mergeCell ref="C66:C67"/>
    <mergeCell ref="C68:C70"/>
    <mergeCell ref="C71:C72"/>
    <mergeCell ref="C73:C76"/>
    <mergeCell ref="B30:B40"/>
    <mergeCell ref="C30:C31"/>
    <mergeCell ref="C32:C34"/>
    <mergeCell ref="C35:C36"/>
    <mergeCell ref="C37:C40"/>
    <mergeCell ref="B42:B52"/>
    <mergeCell ref="C42:C43"/>
    <mergeCell ref="C44:C46"/>
    <mergeCell ref="C47:C48"/>
    <mergeCell ref="C49:C52"/>
    <mergeCell ref="B5:B16"/>
    <mergeCell ref="C5:C6"/>
    <mergeCell ref="C7:C10"/>
    <mergeCell ref="C11:C12"/>
    <mergeCell ref="C13:C16"/>
    <mergeCell ref="B18:B28"/>
    <mergeCell ref="C18:C19"/>
    <mergeCell ref="C20:C22"/>
    <mergeCell ref="C23:C24"/>
    <mergeCell ref="C25:C28"/>
    <mergeCell ref="E2:I2"/>
    <mergeCell ref="O2:S2"/>
    <mergeCell ref="E3:F3"/>
    <mergeCell ref="G3:H3"/>
    <mergeCell ref="O3:P3"/>
    <mergeCell ref="Q3:R3"/>
    <mergeCell ref="K2:K3"/>
    <mergeCell ref="M2:M3"/>
  </mergeCells>
  <pageMargins left="0.7" right="0.7" top="0.75" bottom="0.75" header="0.3" footer="0.3"/>
  <pageSetup paperSize="9" orientation="portrait"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249977111117893"/>
  </sheetPr>
  <dimension ref="B4:Y230"/>
  <sheetViews>
    <sheetView zoomScale="70" zoomScaleNormal="70" workbookViewId="0">
      <selection activeCell="Q20" sqref="Q20"/>
    </sheetView>
  </sheetViews>
  <sheetFormatPr defaultColWidth="9.15234375" defaultRowHeight="12.9" outlineLevelCol="1" x14ac:dyDescent="0.35"/>
  <cols>
    <col min="1" max="1" width="1.53515625" style="88" customWidth="1"/>
    <col min="2" max="2" width="17.84375" style="1233" customWidth="1"/>
    <col min="3" max="3" width="69.15234375" style="88" bestFit="1" customWidth="1"/>
    <col min="4" max="4" width="18.53515625" style="88" bestFit="1" customWidth="1"/>
    <col min="5" max="5" width="9.69140625" style="88" bestFit="1" customWidth="1"/>
    <col min="6" max="6" width="12.15234375" style="88" bestFit="1" customWidth="1"/>
    <col min="7" max="7" width="42.3828125" style="88" customWidth="1" outlineLevel="1"/>
    <col min="8" max="8" width="16.3046875" style="88" bestFit="1" customWidth="1"/>
    <col min="9" max="9" width="25.3046875" style="88" hidden="1" customWidth="1" outlineLevel="1"/>
    <col min="10" max="10" width="18" style="88" hidden="1" customWidth="1" outlineLevel="1"/>
    <col min="11" max="11" width="15.15234375" style="88" hidden="1" customWidth="1" outlineLevel="1"/>
    <col min="12" max="12" width="13" style="88" hidden="1" customWidth="1" outlineLevel="1"/>
    <col min="13" max="13" width="12.84375" style="88" hidden="1" customWidth="1" outlineLevel="1"/>
    <col min="14" max="14" width="9.69140625" style="88" bestFit="1" customWidth="1" collapsed="1"/>
    <col min="15" max="15" width="43" style="88" hidden="1" customWidth="1" outlineLevel="1"/>
    <col min="16" max="16" width="12" style="1569" customWidth="1" collapsed="1"/>
    <col min="17" max="17" width="85.84375" style="88" customWidth="1" outlineLevel="1"/>
    <col min="18" max="18" width="12" style="88" customWidth="1" outlineLevel="1"/>
    <col min="19" max="19" width="16.3828125" style="88" customWidth="1"/>
    <col min="20" max="24" width="9.15234375" style="88" customWidth="1"/>
    <col min="25" max="16384" width="9.15234375" style="88"/>
  </cols>
  <sheetData>
    <row r="4" spans="2:25" ht="13.3" thickBot="1" x14ac:dyDescent="0.4"/>
    <row r="5" spans="2:25" ht="13.3" thickBot="1" x14ac:dyDescent="0.4">
      <c r="E5" s="1570"/>
      <c r="F5" s="1571"/>
      <c r="G5" s="3791" t="s">
        <v>18</v>
      </c>
      <c r="H5" s="3792"/>
      <c r="I5" s="3793" t="s">
        <v>778</v>
      </c>
      <c r="J5" s="3794"/>
      <c r="K5" s="3794"/>
      <c r="L5" s="3794"/>
      <c r="M5" s="3794"/>
      <c r="N5" s="3795"/>
      <c r="O5" s="3793" t="s">
        <v>3</v>
      </c>
      <c r="P5" s="3795"/>
      <c r="Q5" s="3780" t="s">
        <v>779</v>
      </c>
      <c r="R5" s="3781"/>
      <c r="S5" s="3782"/>
    </row>
    <row r="6" spans="2:25" s="1161" customFormat="1" ht="26.15" thickBot="1" x14ac:dyDescent="0.45">
      <c r="B6" s="562" t="s">
        <v>780</v>
      </c>
      <c r="C6" s="562" t="s">
        <v>781</v>
      </c>
      <c r="D6" s="564" t="s">
        <v>782</v>
      </c>
      <c r="E6" s="945" t="s">
        <v>783</v>
      </c>
      <c r="F6" s="1446" t="s">
        <v>784</v>
      </c>
      <c r="G6" s="562" t="s">
        <v>785</v>
      </c>
      <c r="H6" s="945" t="s">
        <v>783</v>
      </c>
      <c r="I6" s="562" t="s">
        <v>786</v>
      </c>
      <c r="J6" s="563" t="s">
        <v>787</v>
      </c>
      <c r="K6" s="563" t="s">
        <v>788</v>
      </c>
      <c r="L6" s="563" t="s">
        <v>789</v>
      </c>
      <c r="M6" s="563" t="s">
        <v>790</v>
      </c>
      <c r="N6" s="945" t="s">
        <v>783</v>
      </c>
      <c r="O6" s="562" t="s">
        <v>785</v>
      </c>
      <c r="P6" s="1573" t="s">
        <v>783</v>
      </c>
      <c r="Q6" s="2286" t="s">
        <v>781</v>
      </c>
      <c r="R6" s="2287" t="s">
        <v>791</v>
      </c>
      <c r="S6" s="2288" t="s">
        <v>792</v>
      </c>
    </row>
    <row r="7" spans="2:25" x14ac:dyDescent="0.35">
      <c r="B7" s="3814" t="s">
        <v>1533</v>
      </c>
      <c r="C7" s="829" t="s">
        <v>267</v>
      </c>
      <c r="D7" s="2190" t="s">
        <v>251</v>
      </c>
      <c r="E7" s="1291">
        <f t="shared" ref="E7:E73" si="0">MAX($P7,$N7,$H7)</f>
        <v>0</v>
      </c>
      <c r="F7" s="1291">
        <f>E7</f>
        <v>0</v>
      </c>
      <c r="G7" s="829" t="s">
        <v>1998</v>
      </c>
      <c r="H7" s="1917">
        <f>IF(D7="operation",VLOOKUP(G7,'Generic Divertor Port Tasks'!C$4:D$223,2,FALSE),"N/A")</f>
        <v>0</v>
      </c>
      <c r="I7" s="829"/>
      <c r="J7" s="823"/>
      <c r="K7" s="2191"/>
      <c r="L7" s="827" t="str">
        <f>IFERROR(INDEX('Lower Hot Cell Logistics'!$I$13:$O$19,MATCH($J7,'Lower Hot Cell Logistics'!$H$13:$H$19,0),MATCH($K7,'Lower Hot Cell Logistics'!$H$13:$H$19,0)),"N/A")</f>
        <v>N/A</v>
      </c>
      <c r="M7" s="828" t="str">
        <f>IFERROR(VLOOKUP($I7,'Lower Hot Cell Logistics'!$H$4:$I$9,2,FALSE),"N/A")</f>
        <v>N/A</v>
      </c>
      <c r="N7" s="1917" t="str">
        <f t="shared" ref="N7:N73" si="1">IF(D7="Movement",IFERROR((L7/M7)/(60*60),"Error"),"N/A")</f>
        <v>N/A</v>
      </c>
      <c r="O7" s="1916"/>
      <c r="P7" s="1917" t="str">
        <f>IF($D7="Logistics",VLOOKUP($O7,'Lower Hot Cell Logistics'!$C$4:$D$69,2,FALSE),"N/A")</f>
        <v>N/A</v>
      </c>
      <c r="Q7" s="1916"/>
      <c r="R7" s="1917" t="str">
        <f>IFERROR(VLOOKUP($Q7,'Lower Hot Cell Dependencies'!$C$5:$F$367,4,FALSE),"N/A")</f>
        <v>N/A</v>
      </c>
      <c r="S7" s="1917" t="str">
        <f>IFERROR(F7-E7-R7,"N/A")</f>
        <v>N/A</v>
      </c>
    </row>
    <row r="8" spans="2:25" x14ac:dyDescent="0.35">
      <c r="B8" s="3815"/>
      <c r="C8" s="2041" t="s">
        <v>1534</v>
      </c>
      <c r="D8" s="2099" t="s">
        <v>3</v>
      </c>
      <c r="E8" s="1292">
        <f t="shared" si="0"/>
        <v>0.58000000000000007</v>
      </c>
      <c r="F8" s="1292">
        <f t="shared" ref="F8:F73" si="2">IF(S8&lt;0,E8+F7+(-S8),E8+F7)</f>
        <v>0.58000000000000007</v>
      </c>
      <c r="G8" s="2041"/>
      <c r="H8" s="1903" t="str">
        <f>IF(D8="operation",VLOOKUP(G8,'Generic Divertor Port Tasks'!C$4:D$223,2,FALSE),"N/A")</f>
        <v>N/A</v>
      </c>
      <c r="I8" s="2041"/>
      <c r="J8" s="860"/>
      <c r="K8" s="2192"/>
      <c r="L8" s="864" t="str">
        <f>IFERROR(INDEX('Lower Hot Cell Logistics'!$I$13:$O$19,MATCH($J8,'Lower Hot Cell Logistics'!$H$13:$H$19,0),MATCH($K8,'Lower Hot Cell Logistics'!$H$13:$H$19,0)),"N/A")</f>
        <v>N/A</v>
      </c>
      <c r="M8" s="865" t="str">
        <f>IFERROR(VLOOKUP($I8,'Lower Hot Cell Logistics'!$H$4:$I$9,2,FALSE),"N/A")</f>
        <v>N/A</v>
      </c>
      <c r="N8" s="1903" t="str">
        <f t="shared" si="1"/>
        <v>N/A</v>
      </c>
      <c r="O8" s="1902" t="s">
        <v>796</v>
      </c>
      <c r="P8" s="1903">
        <f>IF($D8="Logistics",VLOOKUP($O8,'Lower Hot Cell Logistics'!$C$4:$D$69,2,FALSE),"N/A")</f>
        <v>0.58000000000000007</v>
      </c>
      <c r="Q8" s="1902"/>
      <c r="R8" s="1903" t="str">
        <f>IFERROR(VLOOKUP($Q8,'Lower Hot Cell Dependencies'!$C$5:$F$367,4,FALSE),"N/A")</f>
        <v>N/A</v>
      </c>
      <c r="S8" s="1903" t="str">
        <f t="shared" ref="S8:S73" si="3">IFERROR(F7-R8,"N/A")</f>
        <v>N/A</v>
      </c>
    </row>
    <row r="9" spans="2:25" ht="25.75" x14ac:dyDescent="0.35">
      <c r="B9" s="3815"/>
      <c r="C9" s="2041" t="s">
        <v>1999</v>
      </c>
      <c r="D9" s="2099" t="s">
        <v>778</v>
      </c>
      <c r="E9" s="1347">
        <f t="shared" si="0"/>
        <v>0.23148148148148148</v>
      </c>
      <c r="F9" s="1292">
        <f t="shared" si="2"/>
        <v>0.81148148148148158</v>
      </c>
      <c r="G9" s="1895"/>
      <c r="H9" s="1903" t="str">
        <f>IF(D9="operation",VLOOKUP(G9,'Generic Divertor Port Tasks'!C$4:D$223,2,FALSE),"N/A")</f>
        <v>N/A</v>
      </c>
      <c r="I9" s="1895" t="s">
        <v>2000</v>
      </c>
      <c r="J9" s="1897" t="s">
        <v>799</v>
      </c>
      <c r="K9" s="2193" t="s">
        <v>451</v>
      </c>
      <c r="L9" s="2008">
        <f>IFERROR(INDEX('Lower Hot Cell Logistics'!$I$13:$O$19,MATCH($J9,'Lower Hot Cell Logistics'!$H$13:$H$19,0),MATCH($K9,'Lower Hot Cell Logistics'!$H$13:$H$19,0)),"N/A")</f>
        <v>50</v>
      </c>
      <c r="M9" s="1898">
        <f>IFERROR(VLOOKUP($I9,'Lower Hot Cell Logistics'!$H$4:$I$9,2,FALSE),"N/A")</f>
        <v>0.06</v>
      </c>
      <c r="N9" s="1903">
        <f t="shared" si="1"/>
        <v>0.23148148148148148</v>
      </c>
      <c r="O9" s="1902"/>
      <c r="P9" s="1903" t="str">
        <f>IF($D9="Logistics",VLOOKUP($O9,'Lower Hot Cell Logistics'!$C$4:$D$69,2,FALSE),"N/A")</f>
        <v>N/A</v>
      </c>
      <c r="Q9" s="1902"/>
      <c r="R9" s="1903" t="str">
        <f>IFERROR(VLOOKUP($Q9,'Lower Hot Cell Dependencies'!$C$5:$F$367,4,FALSE),"N/A")</f>
        <v>N/A</v>
      </c>
      <c r="S9" s="1903" t="str">
        <f t="shared" si="3"/>
        <v>N/A</v>
      </c>
    </row>
    <row r="10" spans="2:25" x14ac:dyDescent="0.35">
      <c r="B10" s="3815"/>
      <c r="C10" s="2041" t="s">
        <v>2001</v>
      </c>
      <c r="D10" s="2099" t="s">
        <v>251</v>
      </c>
      <c r="E10" s="1292">
        <f t="shared" si="0"/>
        <v>0.89999999999999991</v>
      </c>
      <c r="F10" s="1292">
        <f t="shared" si="2"/>
        <v>1.7114814814814814</v>
      </c>
      <c r="G10" s="2041" t="s">
        <v>268</v>
      </c>
      <c r="H10" s="2042">
        <f>IF(D10="operation",VLOOKUP(G10,'Generic Divertor Port Tasks'!C$4:D$223,2,FALSE),"N/A")</f>
        <v>0.89999999999999991</v>
      </c>
      <c r="I10" s="2041"/>
      <c r="J10" s="860"/>
      <c r="K10" s="2192"/>
      <c r="L10" s="864" t="str">
        <f>IFERROR(INDEX('Lower Hot Cell Logistics'!$I$13:$O$19,MATCH($J10,'Lower Hot Cell Logistics'!$H$13:$H$19,0),MATCH($K10,'Lower Hot Cell Logistics'!$H$13:$H$19,0)),"N/A")</f>
        <v>N/A</v>
      </c>
      <c r="M10" s="865" t="str">
        <f>IFERROR(VLOOKUP($I10,'Lower Hot Cell Logistics'!$H$4:$I$9,2,FALSE),"N/A")</f>
        <v>N/A</v>
      </c>
      <c r="N10" s="2042" t="str">
        <f t="shared" si="1"/>
        <v>N/A</v>
      </c>
      <c r="O10" s="1725"/>
      <c r="P10" s="2042" t="str">
        <f>IF($D10="Logistics",VLOOKUP($O10,'Lower Hot Cell Logistics'!$C$4:$D$69,2,FALSE),"N/A")</f>
        <v>N/A</v>
      </c>
      <c r="Q10" s="1725"/>
      <c r="R10" s="2042" t="str">
        <f>IFERROR(VLOOKUP($Q10,'Lower Hot Cell Dependencies'!$C$5:$F$367,4,FALSE),"N/A")</f>
        <v>N/A</v>
      </c>
      <c r="S10" s="2042" t="str">
        <f t="shared" si="3"/>
        <v>N/A</v>
      </c>
    </row>
    <row r="11" spans="2:25" x14ac:dyDescent="0.35">
      <c r="B11" s="3815"/>
      <c r="C11" s="2041" t="s">
        <v>1537</v>
      </c>
      <c r="D11" s="2099" t="s">
        <v>778</v>
      </c>
      <c r="E11" s="1347">
        <f t="shared" si="0"/>
        <v>0.41666666666666669</v>
      </c>
      <c r="F11" s="1292">
        <f t="shared" si="2"/>
        <v>2.1281481481481479</v>
      </c>
      <c r="G11" s="1895"/>
      <c r="H11" s="1903" t="str">
        <f>IF(D11="operation",VLOOKUP(G11,'Generic Divertor Port Tasks'!C$4:D$223,2,FALSE),"N/A")</f>
        <v>N/A</v>
      </c>
      <c r="I11" s="1895" t="s">
        <v>2002</v>
      </c>
      <c r="J11" s="1897" t="s">
        <v>451</v>
      </c>
      <c r="K11" s="2193" t="s">
        <v>901</v>
      </c>
      <c r="L11" s="2008">
        <f>IFERROR(INDEX('Lower Hot Cell Logistics'!$I$13:$O$19,MATCH($J11,'Lower Hot Cell Logistics'!$H$13:$H$19,0),MATCH($K11,'Lower Hot Cell Logistics'!$H$13:$H$19,0)),"N/A")</f>
        <v>30</v>
      </c>
      <c r="M11" s="1898">
        <f>IFERROR(VLOOKUP($I11,'Lower Hot Cell Logistics'!$H$4:$I$9,2,FALSE),"N/A")</f>
        <v>0.02</v>
      </c>
      <c r="N11" s="1903">
        <f t="shared" si="1"/>
        <v>0.41666666666666669</v>
      </c>
      <c r="O11" s="1902"/>
      <c r="P11" s="1903" t="str">
        <f>IF($D11="Logistics",VLOOKUP($O11,'Lower Hot Cell Logistics'!$C$4:$D$69,2,FALSE),"N/A")</f>
        <v>N/A</v>
      </c>
      <c r="Q11" s="1902"/>
      <c r="R11" s="1903" t="str">
        <f>IFERROR(VLOOKUP($Q11,'Lower Hot Cell Dependencies'!$C$5:$F$367,4,FALSE),"N/A")</f>
        <v>N/A</v>
      </c>
      <c r="S11" s="1903" t="str">
        <f t="shared" si="3"/>
        <v>N/A</v>
      </c>
    </row>
    <row r="12" spans="2:25" ht="13.3" thickBot="1" x14ac:dyDescent="0.4">
      <c r="B12" s="3815"/>
      <c r="C12" s="1895" t="s">
        <v>912</v>
      </c>
      <c r="D12" s="1896" t="s">
        <v>3</v>
      </c>
      <c r="E12" s="1347">
        <f t="shared" si="0"/>
        <v>0.58000000000000007</v>
      </c>
      <c r="F12" s="1347">
        <f t="shared" si="2"/>
        <v>2.708148148148148</v>
      </c>
      <c r="G12" s="1895"/>
      <c r="H12" s="1903" t="str">
        <f>IF(D12="operation",VLOOKUP(G12,'Generic Divertor Port Tasks'!C$4:D$223,2,FALSE),"N/A")</f>
        <v>N/A</v>
      </c>
      <c r="I12" s="1895"/>
      <c r="J12" s="1897"/>
      <c r="K12" s="2193"/>
      <c r="L12" s="2008" t="str">
        <f>IFERROR(INDEX('Lower Hot Cell Logistics'!$I$13:$O$19,MATCH($J12,'Lower Hot Cell Logistics'!$H$13:$H$19,0),MATCH($K12,'Lower Hot Cell Logistics'!$H$13:$H$19,0)),"N/A")</f>
        <v>N/A</v>
      </c>
      <c r="M12" s="1898" t="str">
        <f>IFERROR(VLOOKUP($I12,'Lower Hot Cell Logistics'!$H$4:$I$9,2,FALSE),"N/A")</f>
        <v>N/A</v>
      </c>
      <c r="N12" s="1903" t="str">
        <f t="shared" si="1"/>
        <v>N/A</v>
      </c>
      <c r="O12" s="1902" t="s">
        <v>2003</v>
      </c>
      <c r="P12" s="1903">
        <f>IF($D12="Logistics",VLOOKUP($O12,'Lower Hot Cell Logistics'!$C$4:$D$69,2,FALSE),"N/A")</f>
        <v>0.58000000000000007</v>
      </c>
      <c r="Q12" s="1902"/>
      <c r="R12" s="1903" t="str">
        <f>IFERROR(VLOOKUP($Q12,'Lower Hot Cell Dependencies'!$C$5:$F$367,4,FALSE),"N/A")</f>
        <v>N/A</v>
      </c>
      <c r="S12" s="1903" t="str">
        <f t="shared" si="3"/>
        <v>N/A</v>
      </c>
      <c r="T12" s="1853"/>
    </row>
    <row r="13" spans="2:25" x14ac:dyDescent="0.35">
      <c r="B13" s="3787" t="s">
        <v>603</v>
      </c>
      <c r="C13" s="566" t="s">
        <v>2004</v>
      </c>
      <c r="D13" s="1620" t="s">
        <v>3</v>
      </c>
      <c r="E13" s="1621">
        <f t="shared" si="0"/>
        <v>0.8</v>
      </c>
      <c r="F13" s="1621">
        <f t="shared" si="2"/>
        <v>3.5081481481481482</v>
      </c>
      <c r="G13" s="566"/>
      <c r="H13" s="1575" t="str">
        <f>IF(D13="operation",VLOOKUP(G13,'Generic Divertor Port Tasks'!C$4:D$223,2,FALSE),"N/A")</f>
        <v>N/A</v>
      </c>
      <c r="I13" s="1129"/>
      <c r="J13" s="1619"/>
      <c r="K13" s="1630"/>
      <c r="L13" s="1622" t="str">
        <f>IFERROR(INDEX('Lower Hot Cell Logistics'!$I$13:$O$19,MATCH($J13,'Lower Hot Cell Logistics'!$H$13:$H$19,0),MATCH($K13,'Lower Hot Cell Logistics'!$H$13:$H$19,0)),"N/A")</f>
        <v>N/A</v>
      </c>
      <c r="M13" s="1623" t="str">
        <f>IFERROR(VLOOKUP($I13,'Lower Hot Cell Logistics'!$H$4:$I$9,2,FALSE),"N/A")</f>
        <v>N/A</v>
      </c>
      <c r="N13" s="1575" t="str">
        <f t="shared" si="1"/>
        <v>N/A</v>
      </c>
      <c r="O13" s="1576" t="s">
        <v>1828</v>
      </c>
      <c r="P13" s="1575">
        <f>IF($D13="Logistics",VLOOKUP($O13,'Lower Hot Cell Logistics'!$C$4:$D$69,2,FALSE),"N/A")</f>
        <v>0.8</v>
      </c>
      <c r="Q13" s="1576" t="s">
        <v>2005</v>
      </c>
      <c r="R13" s="1575">
        <f>IFERROR(VLOOKUP($Q13,'Lower Hot Cell Dependencies'!$C$5:$F$367,4,FALSE),"N/A")</f>
        <v>1.3744444444444444</v>
      </c>
      <c r="S13" s="1575">
        <f t="shared" si="3"/>
        <v>1.3337037037037036</v>
      </c>
      <c r="T13" s="1853"/>
    </row>
    <row r="14" spans="2:25" x14ac:dyDescent="0.35">
      <c r="B14" s="3786"/>
      <c r="C14" s="573" t="s">
        <v>2006</v>
      </c>
      <c r="D14" s="573" t="s">
        <v>251</v>
      </c>
      <c r="E14" s="574">
        <f t="shared" si="0"/>
        <v>0.5</v>
      </c>
      <c r="F14" s="574">
        <f t="shared" si="2"/>
        <v>4.0081481481481482</v>
      </c>
      <c r="G14" s="573" t="s">
        <v>603</v>
      </c>
      <c r="H14" s="1183">
        <f>IF(D14="operation",VLOOKUP(G14,'Generic Divertor Port Tasks'!C$4:D$223,2,FALSE),"N/A")</f>
        <v>0.5</v>
      </c>
      <c r="I14" s="1579"/>
      <c r="J14" s="582"/>
      <c r="K14" s="2194"/>
      <c r="L14" s="1479" t="str">
        <f>IFERROR(INDEX('Lower Hot Cell Logistics'!$I$13:$O$19,MATCH($J14,'Lower Hot Cell Logistics'!$H$13:$H$19,0),MATCH($K14,'Lower Hot Cell Logistics'!$H$13:$H$19,0)),"N/A")</f>
        <v>N/A</v>
      </c>
      <c r="M14" s="1478" t="str">
        <f>IFERROR(VLOOKUP($I14,'Lower Hot Cell Logistics'!$H$4:$I$9,2,FALSE),"N/A")</f>
        <v>N/A</v>
      </c>
      <c r="N14" s="1183" t="str">
        <f t="shared" si="1"/>
        <v>N/A</v>
      </c>
      <c r="O14" s="1578"/>
      <c r="P14" s="1183" t="str">
        <f>IF($D14="Logistics",VLOOKUP($O14,'Lower Hot Cell Logistics'!$C$4:$D$69,2,FALSE),"N/A")</f>
        <v>N/A</v>
      </c>
      <c r="Q14" s="1578"/>
      <c r="R14" s="1183" t="str">
        <f>IFERROR(VLOOKUP($Q14,'Lower Hot Cell Dependencies'!$C$5:$F$367,4,FALSE),"N/A")</f>
        <v>N/A</v>
      </c>
      <c r="S14" s="1183" t="str">
        <f t="shared" si="3"/>
        <v>N/A</v>
      </c>
      <c r="T14" s="1853"/>
    </row>
    <row r="15" spans="2:25" x14ac:dyDescent="0.35">
      <c r="B15" s="3786"/>
      <c r="C15" s="573" t="s">
        <v>2007</v>
      </c>
      <c r="D15" s="573" t="s">
        <v>3</v>
      </c>
      <c r="E15" s="574">
        <f t="shared" si="0"/>
        <v>0.6</v>
      </c>
      <c r="F15" s="574">
        <f t="shared" si="2"/>
        <v>4.6081481481481479</v>
      </c>
      <c r="G15" s="582"/>
      <c r="H15" s="1183" t="str">
        <f>IF(D15="operation",VLOOKUP(G15,'Generic Divertor Port Tasks'!C$4:D$223,2,FALSE),"N/A")</f>
        <v>N/A</v>
      </c>
      <c r="I15" s="1579"/>
      <c r="J15" s="582"/>
      <c r="K15" s="2194"/>
      <c r="L15" s="1479" t="str">
        <f>IFERROR(INDEX('Lower Hot Cell Logistics'!$I$13:$O$19,MATCH($J15,'Lower Hot Cell Logistics'!$H$13:$H$19,0),MATCH($K15,'Lower Hot Cell Logistics'!$H$13:$H$19,0)),"N/A")</f>
        <v>N/A</v>
      </c>
      <c r="M15" s="1478" t="str">
        <f>IFERROR(VLOOKUP($I15,'Lower Hot Cell Logistics'!$H$4:$I$9,2,FALSE),"N/A")</f>
        <v>N/A</v>
      </c>
      <c r="N15" s="1183" t="str">
        <f t="shared" si="1"/>
        <v>N/A</v>
      </c>
      <c r="O15" s="1578" t="s">
        <v>2008</v>
      </c>
      <c r="P15" s="1183">
        <f>IF($D15="Logistics",VLOOKUP($O15,'Lower Hot Cell Logistics'!$C$4:$D$69,2,FALSE),"N/A")</f>
        <v>0.6</v>
      </c>
      <c r="Q15" s="1578"/>
      <c r="R15" s="1183" t="str">
        <f>IFERROR(VLOOKUP($Q15,'Lower Hot Cell Dependencies'!$C$5:$F$367,4,FALSE),"N/A")</f>
        <v>N/A</v>
      </c>
      <c r="S15" s="1183" t="str">
        <f t="shared" si="3"/>
        <v>N/A</v>
      </c>
      <c r="T15" s="1853"/>
    </row>
    <row r="16" spans="2:25" x14ac:dyDescent="0.35">
      <c r="B16" s="3786"/>
      <c r="C16" s="573" t="s">
        <v>1559</v>
      </c>
      <c r="D16" s="573" t="s">
        <v>3</v>
      </c>
      <c r="E16" s="574">
        <f t="shared" si="0"/>
        <v>0.8</v>
      </c>
      <c r="F16" s="574">
        <f t="shared" si="2"/>
        <v>5.4081481481481477</v>
      </c>
      <c r="G16" s="573"/>
      <c r="H16" s="1183" t="str">
        <f>IF(D16="operation",VLOOKUP(G16,'Generic Divertor Port Tasks'!C$4:D$223,2,FALSE),"N/A")</f>
        <v>N/A</v>
      </c>
      <c r="I16" s="1579"/>
      <c r="J16" s="582"/>
      <c r="K16" s="2194"/>
      <c r="L16" s="1479" t="str">
        <f>IFERROR(INDEX('Lower Hot Cell Logistics'!$I$13:$O$19,MATCH($J16,'Lower Hot Cell Logistics'!$H$13:$H$19,0),MATCH($K16,'Lower Hot Cell Logistics'!$H$13:$H$19,0)),"N/A")</f>
        <v>N/A</v>
      </c>
      <c r="M16" s="1478" t="str">
        <f>IFERROR(VLOOKUP($I16,'Lower Hot Cell Logistics'!$H$4:$I$9,2,FALSE),"N/A")</f>
        <v>N/A</v>
      </c>
      <c r="N16" s="1183" t="str">
        <f t="shared" si="1"/>
        <v>N/A</v>
      </c>
      <c r="O16" s="2195" t="s">
        <v>1828</v>
      </c>
      <c r="P16" s="1176">
        <f>IF($D16="Logistics",VLOOKUP($O16,'Lower Hot Cell Logistics'!$C$4:$D$69,2,FALSE),"N/A")</f>
        <v>0.8</v>
      </c>
      <c r="Q16" s="1578"/>
      <c r="R16" s="1183" t="str">
        <f>IFERROR(VLOOKUP($Q16,'Lower Hot Cell Dependencies'!$C$5:$F$367,4,FALSE),"N/A")</f>
        <v>N/A</v>
      </c>
      <c r="S16" s="1183" t="str">
        <f t="shared" si="3"/>
        <v>N/A</v>
      </c>
      <c r="T16" s="134"/>
      <c r="U16" s="134"/>
      <c r="V16" s="134"/>
      <c r="W16" s="134"/>
      <c r="X16" s="134"/>
      <c r="Y16" s="134"/>
    </row>
    <row r="17" spans="2:25" x14ac:dyDescent="0.35">
      <c r="B17" s="3786"/>
      <c r="C17" s="573" t="s">
        <v>2009</v>
      </c>
      <c r="D17" s="573" t="s">
        <v>251</v>
      </c>
      <c r="E17" s="574">
        <f t="shared" si="0"/>
        <v>2.2000000000000002</v>
      </c>
      <c r="F17" s="574">
        <f t="shared" si="2"/>
        <v>7.6081481481481479</v>
      </c>
      <c r="G17" s="573" t="s">
        <v>600</v>
      </c>
      <c r="H17" s="1183">
        <f>IF(D17="operation",VLOOKUP(G17,'Generic Divertor Port Tasks'!C$4:D$223,2,FALSE),"N/A")</f>
        <v>2.2000000000000002</v>
      </c>
      <c r="I17" s="1579"/>
      <c r="J17" s="582"/>
      <c r="K17" s="2194"/>
      <c r="L17" s="1479" t="str">
        <f>IFERROR(INDEX('Lower Hot Cell Logistics'!$I$13:$O$19,MATCH($J17,'Lower Hot Cell Logistics'!$H$13:$H$19,0),MATCH($K17,'Lower Hot Cell Logistics'!$H$13:$H$19,0)),"N/A")</f>
        <v>N/A</v>
      </c>
      <c r="M17" s="1478" t="str">
        <f>IFERROR(VLOOKUP($I17,'Lower Hot Cell Logistics'!$H$4:$I$9,2,FALSE),"N/A")</f>
        <v>N/A</v>
      </c>
      <c r="N17" s="1183" t="str">
        <f t="shared" si="1"/>
        <v>N/A</v>
      </c>
      <c r="O17" s="1578"/>
      <c r="P17" s="1183" t="str">
        <f>IF($D17="Logistics",VLOOKUP($O17,'Lower Hot Cell Logistics'!$C$4:$D$69,2,FALSE),"N/A")</f>
        <v>N/A</v>
      </c>
      <c r="Q17" s="1578"/>
      <c r="R17" s="1183" t="str">
        <f>IFERROR(VLOOKUP($Q17,'Lower Hot Cell Dependencies'!$C$5:$F$367,4,FALSE),"N/A")</f>
        <v>N/A</v>
      </c>
      <c r="S17" s="1183" t="str">
        <f t="shared" si="3"/>
        <v>N/A</v>
      </c>
      <c r="T17" s="134"/>
      <c r="U17" s="134"/>
      <c r="V17" s="134"/>
      <c r="W17" s="134"/>
      <c r="X17" s="134"/>
      <c r="Y17" s="134"/>
    </row>
    <row r="18" spans="2:25" ht="13.3" thickBot="1" x14ac:dyDescent="0.4">
      <c r="B18" s="3788"/>
      <c r="C18" s="1136" t="s">
        <v>2010</v>
      </c>
      <c r="D18" s="1581" t="s">
        <v>3</v>
      </c>
      <c r="E18" s="585">
        <f t="shared" si="0"/>
        <v>0.6</v>
      </c>
      <c r="F18" s="585">
        <f t="shared" si="2"/>
        <v>8.2081481481481475</v>
      </c>
      <c r="G18" s="584"/>
      <c r="H18" s="1179" t="str">
        <f>IF(D18="operation",VLOOKUP(G18,'Generic Divertor Port Tasks'!C$4:D$223,2,FALSE),"N/A")</f>
        <v>N/A</v>
      </c>
      <c r="I18" s="1136"/>
      <c r="J18" s="584"/>
      <c r="K18" s="1633"/>
      <c r="L18" s="813" t="str">
        <f>IFERROR(INDEX('Lower Hot Cell Logistics'!$I$13:$O$19,MATCH($J18,'Lower Hot Cell Logistics'!$H$13:$H$19,0),MATCH($K18,'Lower Hot Cell Logistics'!$H$13:$H$19,0)),"N/A")</f>
        <v>N/A</v>
      </c>
      <c r="M18" s="814" t="str">
        <f>IFERROR(VLOOKUP($I18,'Lower Hot Cell Logistics'!$H$4:$I$9,2,FALSE),"N/A")</f>
        <v>N/A</v>
      </c>
      <c r="N18" s="1179" t="str">
        <f t="shared" si="1"/>
        <v>N/A</v>
      </c>
      <c r="O18" s="1582" t="s">
        <v>2008</v>
      </c>
      <c r="P18" s="1179">
        <f>IF($D18="Logistics",VLOOKUP($O18,'Lower Hot Cell Logistics'!$C$4:$D$69,2,FALSE),"N/A")</f>
        <v>0.6</v>
      </c>
      <c r="Q18" s="1582"/>
      <c r="R18" s="1179" t="str">
        <f>IFERROR(VLOOKUP($Q18,'Lower Hot Cell Dependencies'!$C$5:$F$367,4,FALSE),"N/A")</f>
        <v>N/A</v>
      </c>
      <c r="S18" s="1179" t="str">
        <f t="shared" si="3"/>
        <v>N/A</v>
      </c>
      <c r="T18" s="134"/>
      <c r="U18" s="134"/>
      <c r="V18" s="134"/>
      <c r="W18" s="134"/>
      <c r="X18" s="134"/>
      <c r="Y18" s="134"/>
    </row>
    <row r="19" spans="2:25" ht="15" customHeight="1" x14ac:dyDescent="0.35">
      <c r="B19" s="3814" t="s">
        <v>2397</v>
      </c>
      <c r="C19" s="860" t="s">
        <v>1543</v>
      </c>
      <c r="D19" s="2099" t="s">
        <v>3</v>
      </c>
      <c r="E19" s="1292">
        <f t="shared" si="0"/>
        <v>0.8</v>
      </c>
      <c r="F19" s="1292">
        <f t="shared" si="2"/>
        <v>9.0081481481481482</v>
      </c>
      <c r="G19" s="2041"/>
      <c r="H19" s="2042" t="str">
        <f>IF(D19="operation",VLOOKUP(G19,'Generic Divertor Port Tasks'!C$4:D$223,2,FALSE),"N/A")</f>
        <v>N/A</v>
      </c>
      <c r="I19" s="2041"/>
      <c r="J19" s="860"/>
      <c r="K19" s="860"/>
      <c r="L19" s="865" t="str">
        <f>IFERROR(INDEX('Lower Hot Cell Logistics'!$I$13:$O$19,MATCH($J19,'Lower Hot Cell Logistics'!$H$13:$H$19,0),MATCH($K19,'Lower Hot Cell Logistics'!$H$13:$H$19,0)),"N/A")</f>
        <v>N/A</v>
      </c>
      <c r="M19" s="865" t="str">
        <f>IFERROR(VLOOKUP($I19,'Lower Hot Cell Logistics'!$H$4:$I$9,2,FALSE),"N/A")</f>
        <v>N/A</v>
      </c>
      <c r="N19" s="2042" t="str">
        <f t="shared" si="1"/>
        <v>N/A</v>
      </c>
      <c r="O19" s="1916" t="s">
        <v>1828</v>
      </c>
      <c r="P19" s="2042">
        <f>IF($D19="Logistics",VLOOKUP($O19,'Lower Hot Cell Logistics'!$C$4:$D$69,2,FALSE),"N/A")</f>
        <v>0.8</v>
      </c>
      <c r="Q19" s="1725" t="s">
        <v>2011</v>
      </c>
      <c r="R19" s="2042">
        <f>IFERROR(VLOOKUP($Q19,'Lower Hot Cell Dependencies'!$C$5:$F$367,4,FALSE),"N/A")</f>
        <v>5.1292592592592587</v>
      </c>
      <c r="S19" s="2042">
        <f t="shared" si="3"/>
        <v>3.0788888888888888</v>
      </c>
      <c r="T19" s="2032"/>
      <c r="U19" s="134"/>
      <c r="V19" s="134"/>
      <c r="W19" s="134"/>
      <c r="X19" s="134"/>
      <c r="Y19" s="134"/>
    </row>
    <row r="20" spans="2:25" ht="14.6" x14ac:dyDescent="0.35">
      <c r="B20" s="3815"/>
      <c r="C20" s="1895" t="s">
        <v>2412</v>
      </c>
      <c r="D20" s="1896" t="s">
        <v>251</v>
      </c>
      <c r="E20" s="1347">
        <f t="shared" si="0"/>
        <v>6.7722222222222221</v>
      </c>
      <c r="F20" s="1292">
        <f t="shared" si="2"/>
        <v>15.78037037037037</v>
      </c>
      <c r="G20" s="1895" t="s">
        <v>596</v>
      </c>
      <c r="H20" s="1903">
        <f>IF(D20="operation",VLOOKUP(G20,'Generic Divertor Port Tasks'!C$4:D$223,2,FALSE),"N/A")</f>
        <v>6.7722222222222221</v>
      </c>
      <c r="I20" s="1895"/>
      <c r="J20" s="1897"/>
      <c r="K20" s="1897"/>
      <c r="L20" s="1898" t="str">
        <f>IFERROR(INDEX('Lower Hot Cell Logistics'!$I$13:$O$19,MATCH($J20,'Lower Hot Cell Logistics'!$H$13:$H$19,0),MATCH($K20,'Lower Hot Cell Logistics'!$H$13:$H$19,0)),"N/A")</f>
        <v>N/A</v>
      </c>
      <c r="M20" s="1898" t="str">
        <f>IFERROR(VLOOKUP($I20,'Lower Hot Cell Logistics'!$H$4:$I$9,2,FALSE),"N/A")</f>
        <v>N/A</v>
      </c>
      <c r="N20" s="1903" t="str">
        <f t="shared" si="1"/>
        <v>N/A</v>
      </c>
      <c r="O20" s="1902"/>
      <c r="P20" s="1903" t="str">
        <f>IF($D20="Logistics",VLOOKUP($O20,'Lower Hot Cell Logistics'!$C$4:$D$69,2,FALSE),"N/A")</f>
        <v>N/A</v>
      </c>
      <c r="Q20" s="1902"/>
      <c r="R20" s="1903" t="str">
        <f>IFERROR(VLOOKUP($Q20,'Lower Hot Cell Dependencies'!$C$5:$F$367,4,FALSE),"N/A")</f>
        <v>N/A</v>
      </c>
      <c r="S20" s="1903" t="str">
        <f t="shared" si="3"/>
        <v>N/A</v>
      </c>
      <c r="T20" s="2032"/>
      <c r="U20" s="134"/>
      <c r="V20" s="134"/>
      <c r="W20" s="134"/>
      <c r="X20" s="134"/>
      <c r="Y20" s="134"/>
    </row>
    <row r="21" spans="2:25" ht="14.6" x14ac:dyDescent="0.35">
      <c r="B21" s="3815"/>
      <c r="C21" s="1895" t="s">
        <v>1545</v>
      </c>
      <c r="D21" s="1896" t="s">
        <v>3</v>
      </c>
      <c r="E21" s="1347">
        <f t="shared" si="0"/>
        <v>0.6</v>
      </c>
      <c r="F21" s="1292">
        <f t="shared" si="2"/>
        <v>16.380370370370372</v>
      </c>
      <c r="G21" s="1895"/>
      <c r="H21" s="1903" t="str">
        <f>IF(D21="operation",VLOOKUP(G21,'Generic Divertor Port Tasks'!C$4:D$223,2,FALSE),"N/A")</f>
        <v>N/A</v>
      </c>
      <c r="I21" s="1895"/>
      <c r="J21" s="1897"/>
      <c r="K21" s="1897"/>
      <c r="L21" s="1898" t="str">
        <f>IFERROR(INDEX('Lower Hot Cell Logistics'!$I$13:$O$19,MATCH($J21,'Lower Hot Cell Logistics'!$H$13:$H$19,0),MATCH($K21,'Lower Hot Cell Logistics'!$H$13:$H$19,0)),"N/A")</f>
        <v>N/A</v>
      </c>
      <c r="M21" s="1898" t="str">
        <f>IFERROR(VLOOKUP($I21,'Lower Hot Cell Logistics'!$H$4:$I$9,2,FALSE),"N/A")</f>
        <v>N/A</v>
      </c>
      <c r="N21" s="1903" t="str">
        <f t="shared" si="1"/>
        <v>N/A</v>
      </c>
      <c r="O21" s="1902" t="s">
        <v>2008</v>
      </c>
      <c r="P21" s="1903">
        <f>IF($D21="Logistics",VLOOKUP($O21,'Lower Hot Cell Logistics'!$C$4:$D$69,2,FALSE),"N/A")</f>
        <v>0.6</v>
      </c>
      <c r="Q21" s="1902"/>
      <c r="R21" s="1903" t="str">
        <f>IFERROR(VLOOKUP($Q21,'Lower Hot Cell Dependencies'!$C$5:$F$367,4,FALSE),"N/A")</f>
        <v>N/A</v>
      </c>
      <c r="S21" s="1903" t="str">
        <f t="shared" si="3"/>
        <v>N/A</v>
      </c>
      <c r="T21" s="2032"/>
      <c r="U21" s="134"/>
      <c r="V21" s="134"/>
      <c r="W21" s="134"/>
      <c r="X21" s="134"/>
      <c r="Y21" s="134"/>
    </row>
    <row r="22" spans="2:25" s="82" customFormat="1" ht="14.6" x14ac:dyDescent="0.4">
      <c r="B22" s="3815"/>
      <c r="C22" s="1895" t="s">
        <v>2384</v>
      </c>
      <c r="D22" s="1896" t="s">
        <v>3</v>
      </c>
      <c r="E22" s="1347">
        <f t="shared" si="0"/>
        <v>1.28</v>
      </c>
      <c r="F22" s="1292">
        <f t="shared" si="2"/>
        <v>17.660370370370373</v>
      </c>
      <c r="G22" s="1895"/>
      <c r="H22" s="1903" t="str">
        <f>IF(D22="operation",VLOOKUP(G22,'Generic Vertical Port Tasks'!C$4:D$197,2,FALSE),"N/A")</f>
        <v>N/A</v>
      </c>
      <c r="I22" s="1895"/>
      <c r="J22" s="1897"/>
      <c r="K22" s="1897"/>
      <c r="L22" s="1898"/>
      <c r="M22" s="1898"/>
      <c r="N22" s="1903" t="str">
        <f t="shared" si="1"/>
        <v>N/A</v>
      </c>
      <c r="O22" s="1902" t="s">
        <v>802</v>
      </c>
      <c r="P22" s="1903">
        <f>IF($D22="Logistics",VLOOKUP($O22,'Upper Hot Cell Logistics'!$C$4:$D$51,2,FALSE),"N/A")</f>
        <v>1.28</v>
      </c>
      <c r="Q22" s="1902"/>
      <c r="R22" s="1903" t="str">
        <f>IFERROR(VLOOKUP($Q22,'Upper Hot Cell Dependencies'!$C$5:$F$229,4,FALSE),"N/A")</f>
        <v>N/A</v>
      </c>
      <c r="S22" s="1903" t="str">
        <f t="shared" si="3"/>
        <v>N/A</v>
      </c>
      <c r="T22" s="2032"/>
      <c r="U22" s="2032"/>
      <c r="V22" s="767"/>
      <c r="W22" s="767"/>
      <c r="X22" s="767"/>
      <c r="Y22" s="767"/>
    </row>
    <row r="23" spans="2:25" s="82" customFormat="1" ht="14.6" x14ac:dyDescent="0.4">
      <c r="B23" s="3815"/>
      <c r="C23" s="1895" t="s">
        <v>2385</v>
      </c>
      <c r="D23" s="1896" t="s">
        <v>251</v>
      </c>
      <c r="E23" s="1347">
        <f t="shared" si="0"/>
        <v>5.7722222222222221</v>
      </c>
      <c r="F23" s="1292">
        <f t="shared" si="2"/>
        <v>23.432592592592595</v>
      </c>
      <c r="G23" s="1895" t="s">
        <v>2385</v>
      </c>
      <c r="H23" s="1903">
        <f>IF(D23="operation",VLOOKUP(G23,'Generic Vertical Port Tasks'!C$4:D$197,2,FALSE),"N/A")</f>
        <v>5.7722222222222221</v>
      </c>
      <c r="I23" s="1895"/>
      <c r="J23" s="1897"/>
      <c r="K23" s="1897"/>
      <c r="L23" s="1898" t="str">
        <f>IFERROR(INDEX('Upper Hot Cell Logistics'!$I$35:$O$41,MATCH($J23,'Upper Hot Cell Logistics'!$H$35:$H$41,0),MATCH($K23,'Upper Hot Cell Logistics'!$H$35:$H$41,0)),"N/A")</f>
        <v>N/A</v>
      </c>
      <c r="M23" s="1898" t="str">
        <f>IFERROR(VLOOKUP($I23,'Upper Hot Cell Logistics'!$H$4:$I$10,2,FALSE),"N/A")</f>
        <v>N/A</v>
      </c>
      <c r="N23" s="1903" t="str">
        <f t="shared" si="1"/>
        <v>N/A</v>
      </c>
      <c r="O23" s="1902"/>
      <c r="P23" s="1903" t="str">
        <f>IF($D23="Logistics",VLOOKUP($O23,'Upper Hot Cell Logistics'!$C$4:$D$51,2,FALSE),"N/A")</f>
        <v>N/A</v>
      </c>
      <c r="Q23" s="1902"/>
      <c r="R23" s="1903" t="str">
        <f>IFERROR(VLOOKUP($Q23,'Upper Hot Cell Dependencies'!$C$5:$F$229,4,FALSE),"N/A")</f>
        <v>N/A</v>
      </c>
      <c r="S23" s="1903" t="str">
        <f t="shared" si="3"/>
        <v>N/A</v>
      </c>
      <c r="T23" s="2032"/>
      <c r="U23" s="2032"/>
      <c r="V23" s="767"/>
      <c r="W23" s="767"/>
      <c r="X23" s="767"/>
      <c r="Y23" s="767"/>
    </row>
    <row r="24" spans="2:25" s="82" customFormat="1" ht="15" thickBot="1" x14ac:dyDescent="0.45">
      <c r="B24" s="3816"/>
      <c r="C24" s="1895" t="s">
        <v>804</v>
      </c>
      <c r="D24" s="1896" t="s">
        <v>3</v>
      </c>
      <c r="E24" s="1347">
        <f t="shared" si="0"/>
        <v>1.1000000000000001</v>
      </c>
      <c r="F24" s="1292">
        <f t="shared" si="2"/>
        <v>24.532592592592597</v>
      </c>
      <c r="G24" s="1895"/>
      <c r="H24" s="1903" t="str">
        <f>IF(D24="operation",VLOOKUP(G24,'Generic Vertical Port Tasks'!C$4:D$197,2,FALSE),"N/A")</f>
        <v>N/A</v>
      </c>
      <c r="I24" s="1895"/>
      <c r="J24" s="1897"/>
      <c r="K24" s="1897"/>
      <c r="L24" s="1898" t="str">
        <f>IFERROR(INDEX('Upper Hot Cell Logistics'!$I$35:$O$41,MATCH($J24,'Upper Hot Cell Logistics'!$H$35:$H$41,0),MATCH($K24,'Upper Hot Cell Logistics'!$H$35:$H$41,0)),"N/A")</f>
        <v>N/A</v>
      </c>
      <c r="M24" s="1898" t="str">
        <f>IFERROR(VLOOKUP($I24,'Upper Hot Cell Logistics'!$H$4:$I$10,2,FALSE),"N/A")</f>
        <v>N/A</v>
      </c>
      <c r="N24" s="1903" t="str">
        <f t="shared" si="1"/>
        <v>N/A</v>
      </c>
      <c r="O24" s="1902" t="s">
        <v>805</v>
      </c>
      <c r="P24" s="1903">
        <f>IF($D24="Logistics",VLOOKUP($O24,'Upper Hot Cell Logistics'!$C$4:$D$51,2,FALSE),"N/A")</f>
        <v>1.1000000000000001</v>
      </c>
      <c r="Q24" s="1902"/>
      <c r="R24" s="1903" t="str">
        <f>IFERROR(VLOOKUP($Q24,'Upper Hot Cell Dependencies'!$C$5:$F$229,4,FALSE),"N/A")</f>
        <v>N/A</v>
      </c>
      <c r="S24" s="1903" t="str">
        <f t="shared" si="3"/>
        <v>N/A</v>
      </c>
      <c r="T24" s="2032"/>
      <c r="U24" s="2032"/>
      <c r="V24" s="767"/>
      <c r="W24" s="767"/>
      <c r="X24" s="767"/>
      <c r="Y24" s="767"/>
    </row>
    <row r="25" spans="2:25" ht="25.75" x14ac:dyDescent="0.35">
      <c r="B25" s="3787" t="s">
        <v>2012</v>
      </c>
      <c r="C25" s="1129" t="s">
        <v>2013</v>
      </c>
      <c r="D25" s="1620" t="s">
        <v>3</v>
      </c>
      <c r="E25" s="1621">
        <f t="shared" si="0"/>
        <v>0.8</v>
      </c>
      <c r="F25" s="567">
        <f t="shared" si="2"/>
        <v>25.332592592592597</v>
      </c>
      <c r="G25" s="1129"/>
      <c r="H25" s="1575" t="str">
        <f>IF(D25="operation",VLOOKUP(G25,'Generic Divertor Port Tasks'!C$4:D$223,2,FALSE),"N/A")</f>
        <v>N/A</v>
      </c>
      <c r="I25" s="1129"/>
      <c r="J25" s="1619"/>
      <c r="K25" s="1630"/>
      <c r="L25" s="1622" t="str">
        <f>IFERROR(INDEX('Lower Hot Cell Logistics'!$I$13:$O$19,MATCH($J25,'Lower Hot Cell Logistics'!$H$13:$H$19,0),MATCH($K25,'Lower Hot Cell Logistics'!$H$13:$H$19,0)),"N/A")</f>
        <v>N/A</v>
      </c>
      <c r="M25" s="1623" t="str">
        <f>IFERROR(VLOOKUP($I25,'Lower Hot Cell Logistics'!$H$4:$I$9,2,FALSE),"N/A")</f>
        <v>N/A</v>
      </c>
      <c r="N25" s="1575" t="str">
        <f t="shared" si="1"/>
        <v>N/A</v>
      </c>
      <c r="O25" s="1576" t="s">
        <v>1828</v>
      </c>
      <c r="P25" s="1575">
        <f>IF($D25="Logistics",VLOOKUP($O25,'Lower Hot Cell Logistics'!$C$4:$D$69,2,FALSE),"N/A")</f>
        <v>0.8</v>
      </c>
      <c r="Q25" s="1576" t="s">
        <v>2014</v>
      </c>
      <c r="R25" s="1575">
        <f>IFERROR(VLOOKUP($Q25,'Lower Hot Cell Dependencies'!$C$5:$F$367,4,FALSE),"N/A")</f>
        <v>7.0292592592592591</v>
      </c>
      <c r="S25" s="1575">
        <f t="shared" si="3"/>
        <v>17.503333333333337</v>
      </c>
      <c r="T25" s="134"/>
      <c r="U25" s="134"/>
      <c r="V25" s="134"/>
      <c r="W25" s="134"/>
      <c r="X25" s="134"/>
      <c r="Y25" s="134"/>
    </row>
    <row r="26" spans="2:25" x14ac:dyDescent="0.35">
      <c r="B26" s="3786"/>
      <c r="C26" s="1579" t="s">
        <v>700</v>
      </c>
      <c r="D26" s="1611" t="s">
        <v>251</v>
      </c>
      <c r="E26" s="626">
        <f t="shared" si="0"/>
        <v>21.5</v>
      </c>
      <c r="F26" s="574">
        <f t="shared" si="2"/>
        <v>46.832592592592597</v>
      </c>
      <c r="G26" s="1579" t="s">
        <v>700</v>
      </c>
      <c r="H26" s="1183">
        <f>IF(D26="operation",VLOOKUP(G26,'Generic Divertor Port Tasks'!C$4:D$223,2,FALSE),"N/A")</f>
        <v>21.5</v>
      </c>
      <c r="I26" s="1579"/>
      <c r="J26" s="582"/>
      <c r="K26" s="2194"/>
      <c r="L26" s="1479" t="str">
        <f>IFERROR(INDEX('Lower Hot Cell Logistics'!$I$13:$O$19,MATCH($J26,'Lower Hot Cell Logistics'!$H$13:$H$19,0),MATCH($K26,'Lower Hot Cell Logistics'!$H$13:$H$19,0)),"N/A")</f>
        <v>N/A</v>
      </c>
      <c r="M26" s="1478" t="str">
        <f>IFERROR(VLOOKUP($I26,'Lower Hot Cell Logistics'!$H$4:$I$9,2,FALSE),"N/A")</f>
        <v>N/A</v>
      </c>
      <c r="N26" s="1183" t="str">
        <f t="shared" si="1"/>
        <v>N/A</v>
      </c>
      <c r="O26" s="1578"/>
      <c r="P26" s="1183" t="str">
        <f>IF($D26="Logistics",VLOOKUP($O26,'Lower Hot Cell Logistics'!$C$4:$D$69,2,FALSE),"N/A")</f>
        <v>N/A</v>
      </c>
      <c r="Q26" s="1578"/>
      <c r="R26" s="1183" t="str">
        <f>IFERROR(VLOOKUP($Q26,'Lower Hot Cell Dependencies'!$C$5:$F$367,4,FALSE),"N/A")</f>
        <v>N/A</v>
      </c>
      <c r="S26" s="1183" t="str">
        <f t="shared" si="3"/>
        <v>N/A</v>
      </c>
      <c r="T26" s="134"/>
      <c r="U26" s="134"/>
      <c r="V26" s="134"/>
      <c r="W26" s="134"/>
      <c r="X26" s="134"/>
      <c r="Y26" s="134"/>
    </row>
    <row r="27" spans="2:25" ht="13.3" thickBot="1" x14ac:dyDescent="0.4">
      <c r="B27" s="3788"/>
      <c r="C27" s="1136" t="s">
        <v>2015</v>
      </c>
      <c r="D27" s="1581" t="s">
        <v>3</v>
      </c>
      <c r="E27" s="585">
        <f t="shared" si="0"/>
        <v>0.6</v>
      </c>
      <c r="F27" s="585">
        <f t="shared" si="2"/>
        <v>47.432592592592599</v>
      </c>
      <c r="G27" s="1136"/>
      <c r="H27" s="1179" t="str">
        <f>IF(D27="operation",VLOOKUP(G27,'Generic Divertor Port Tasks'!C$4:D$223,2,FALSE),"N/A")</f>
        <v>N/A</v>
      </c>
      <c r="I27" s="1136"/>
      <c r="J27" s="584"/>
      <c r="K27" s="1633"/>
      <c r="L27" s="813" t="str">
        <f>IFERROR(INDEX('Lower Hot Cell Logistics'!$I$13:$O$19,MATCH($J27,'Lower Hot Cell Logistics'!$H$13:$H$19,0),MATCH($K27,'Lower Hot Cell Logistics'!$H$13:$H$19,0)),"N/A")</f>
        <v>N/A</v>
      </c>
      <c r="M27" s="814" t="str">
        <f>IFERROR(VLOOKUP($I27,'Lower Hot Cell Logistics'!$H$4:$I$9,2,FALSE),"N/A")</f>
        <v>N/A</v>
      </c>
      <c r="N27" s="1179" t="str">
        <f t="shared" si="1"/>
        <v>N/A</v>
      </c>
      <c r="O27" s="1578" t="s">
        <v>2008</v>
      </c>
      <c r="P27" s="1179">
        <f>IF($D27="Logistics",VLOOKUP($O27,'Lower Hot Cell Logistics'!$C$4:$D$69,2,FALSE),"N/A")</f>
        <v>0.6</v>
      </c>
      <c r="Q27" s="1582"/>
      <c r="R27" s="1179" t="str">
        <f>IFERROR(VLOOKUP($Q27,'Lower Hot Cell Dependencies'!$C$5:$F$367,4,FALSE),"N/A")</f>
        <v>N/A</v>
      </c>
      <c r="S27" s="1179" t="str">
        <f t="shared" si="3"/>
        <v>N/A</v>
      </c>
      <c r="T27" s="134"/>
      <c r="U27" s="134"/>
      <c r="V27" s="134"/>
      <c r="W27" s="134"/>
      <c r="X27" s="134"/>
      <c r="Y27" s="134"/>
    </row>
    <row r="28" spans="2:25" ht="15" customHeight="1" x14ac:dyDescent="0.35">
      <c r="B28" s="3814" t="s">
        <v>2397</v>
      </c>
      <c r="C28" s="860" t="s">
        <v>1543</v>
      </c>
      <c r="D28" s="2099" t="s">
        <v>3</v>
      </c>
      <c r="E28" s="1292">
        <f t="shared" si="0"/>
        <v>0.8</v>
      </c>
      <c r="F28" s="1292">
        <f t="shared" ref="F28:F34" si="4">IF(S28&lt;0,E28+F27+(-S28),E28+F27)</f>
        <v>48.232592592592596</v>
      </c>
      <c r="G28" s="2041"/>
      <c r="H28" s="2042" t="str">
        <f>IF(D28="operation",VLOOKUP(G28,'Generic Divertor Port Tasks'!C$4:D$223,2,FALSE),"N/A")</f>
        <v>N/A</v>
      </c>
      <c r="I28" s="2041"/>
      <c r="J28" s="860"/>
      <c r="K28" s="860"/>
      <c r="L28" s="865" t="str">
        <f>IFERROR(INDEX('Lower Hot Cell Logistics'!$I$13:$O$19,MATCH($J28,'Lower Hot Cell Logistics'!$H$13:$H$19,0),MATCH($K28,'Lower Hot Cell Logistics'!$H$13:$H$19,0)),"N/A")</f>
        <v>N/A</v>
      </c>
      <c r="M28" s="865" t="str">
        <f>IFERROR(VLOOKUP($I28,'Lower Hot Cell Logistics'!$H$4:$I$9,2,FALSE),"N/A")</f>
        <v>N/A</v>
      </c>
      <c r="N28" s="2042" t="str">
        <f t="shared" ref="N28:N33" si="5">IF(D28="Movement",IFERROR((L28/M28)/(60*60),"Error"),"N/A")</f>
        <v>N/A</v>
      </c>
      <c r="O28" s="1916" t="s">
        <v>1828</v>
      </c>
      <c r="P28" s="2042">
        <f>IF($D28="Logistics",VLOOKUP($O28,'Lower Hot Cell Logistics'!$C$4:$D$69,2,FALSE),"N/A")</f>
        <v>0.8</v>
      </c>
      <c r="Q28" s="1725"/>
      <c r="R28" s="2042" t="str">
        <f>IFERROR(VLOOKUP($Q28,'Lower Hot Cell Dependencies'!$C$5:$F$367,4,FALSE),"N/A")</f>
        <v>N/A</v>
      </c>
      <c r="S28" s="2042" t="str">
        <f t="shared" si="3"/>
        <v>N/A</v>
      </c>
      <c r="T28" s="2032"/>
      <c r="U28" s="134"/>
      <c r="V28" s="134"/>
      <c r="W28" s="134"/>
      <c r="X28" s="134"/>
      <c r="Y28" s="134"/>
    </row>
    <row r="29" spans="2:25" ht="14.6" x14ac:dyDescent="0.35">
      <c r="B29" s="3815"/>
      <c r="C29" s="1895" t="s">
        <v>2412</v>
      </c>
      <c r="D29" s="1896" t="s">
        <v>251</v>
      </c>
      <c r="E29" s="1347">
        <f t="shared" si="0"/>
        <v>6.7722222222222221</v>
      </c>
      <c r="F29" s="1292">
        <f t="shared" si="4"/>
        <v>55.004814814814821</v>
      </c>
      <c r="G29" s="1895" t="s">
        <v>596</v>
      </c>
      <c r="H29" s="1903">
        <f>IF(D29="operation",VLOOKUP(G29,'Generic Divertor Port Tasks'!C$4:D$223,2,FALSE),"N/A")</f>
        <v>6.7722222222222221</v>
      </c>
      <c r="I29" s="1895"/>
      <c r="J29" s="1897"/>
      <c r="K29" s="1897"/>
      <c r="L29" s="1898" t="str">
        <f>IFERROR(INDEX('Lower Hot Cell Logistics'!$I$13:$O$19,MATCH($J29,'Lower Hot Cell Logistics'!$H$13:$H$19,0),MATCH($K29,'Lower Hot Cell Logistics'!$H$13:$H$19,0)),"N/A")</f>
        <v>N/A</v>
      </c>
      <c r="M29" s="1898" t="str">
        <f>IFERROR(VLOOKUP($I29,'Lower Hot Cell Logistics'!$H$4:$I$9,2,FALSE),"N/A")</f>
        <v>N/A</v>
      </c>
      <c r="N29" s="1903" t="str">
        <f t="shared" si="5"/>
        <v>N/A</v>
      </c>
      <c r="O29" s="1902"/>
      <c r="P29" s="1903" t="str">
        <f>IF($D29="Logistics",VLOOKUP($O29,'Lower Hot Cell Logistics'!$C$4:$D$69,2,FALSE),"N/A")</f>
        <v>N/A</v>
      </c>
      <c r="Q29" s="1902"/>
      <c r="R29" s="1903" t="str">
        <f>IFERROR(VLOOKUP($Q29,'Lower Hot Cell Dependencies'!$C$5:$F$367,4,FALSE),"N/A")</f>
        <v>N/A</v>
      </c>
      <c r="S29" s="1903" t="str">
        <f t="shared" si="3"/>
        <v>N/A</v>
      </c>
      <c r="T29" s="2032"/>
      <c r="U29" s="134"/>
      <c r="V29" s="134"/>
      <c r="W29" s="134"/>
      <c r="X29" s="134"/>
      <c r="Y29" s="134"/>
    </row>
    <row r="30" spans="2:25" ht="14.6" x14ac:dyDescent="0.35">
      <c r="B30" s="3815"/>
      <c r="C30" s="1895" t="s">
        <v>1545</v>
      </c>
      <c r="D30" s="1896" t="s">
        <v>3</v>
      </c>
      <c r="E30" s="1347">
        <f t="shared" si="0"/>
        <v>0.6</v>
      </c>
      <c r="F30" s="1292">
        <f t="shared" si="4"/>
        <v>55.604814814814823</v>
      </c>
      <c r="G30" s="1895"/>
      <c r="H30" s="1903" t="str">
        <f>IF(D30="operation",VLOOKUP(G30,'Generic Divertor Port Tasks'!C$4:D$223,2,FALSE),"N/A")</f>
        <v>N/A</v>
      </c>
      <c r="I30" s="1895"/>
      <c r="J30" s="1897"/>
      <c r="K30" s="1897"/>
      <c r="L30" s="1898" t="str">
        <f>IFERROR(INDEX('Lower Hot Cell Logistics'!$I$13:$O$19,MATCH($J30,'Lower Hot Cell Logistics'!$H$13:$H$19,0),MATCH($K30,'Lower Hot Cell Logistics'!$H$13:$H$19,0)),"N/A")</f>
        <v>N/A</v>
      </c>
      <c r="M30" s="1898" t="str">
        <f>IFERROR(VLOOKUP($I30,'Lower Hot Cell Logistics'!$H$4:$I$9,2,FALSE),"N/A")</f>
        <v>N/A</v>
      </c>
      <c r="N30" s="1903" t="str">
        <f t="shared" si="5"/>
        <v>N/A</v>
      </c>
      <c r="O30" s="1902" t="s">
        <v>2008</v>
      </c>
      <c r="P30" s="1903">
        <f>IF($D30="Logistics",VLOOKUP($O30,'Lower Hot Cell Logistics'!$C$4:$D$69,2,FALSE),"N/A")</f>
        <v>0.6</v>
      </c>
      <c r="Q30" s="1902"/>
      <c r="R30" s="1903" t="str">
        <f>IFERROR(VLOOKUP($Q30,'Lower Hot Cell Dependencies'!$C$5:$F$367,4,FALSE),"N/A")</f>
        <v>N/A</v>
      </c>
      <c r="S30" s="1903" t="str">
        <f t="shared" si="3"/>
        <v>N/A</v>
      </c>
      <c r="T30" s="2032"/>
      <c r="U30" s="134"/>
      <c r="V30" s="134"/>
      <c r="W30" s="134"/>
      <c r="X30" s="134"/>
      <c r="Y30" s="134"/>
    </row>
    <row r="31" spans="2:25" s="82" customFormat="1" ht="14.6" x14ac:dyDescent="0.4">
      <c r="B31" s="3815"/>
      <c r="C31" s="1895" t="s">
        <v>2384</v>
      </c>
      <c r="D31" s="1896" t="s">
        <v>3</v>
      </c>
      <c r="E31" s="1347">
        <f t="shared" si="0"/>
        <v>1.28</v>
      </c>
      <c r="F31" s="1292">
        <f t="shared" si="4"/>
        <v>56.884814814814824</v>
      </c>
      <c r="G31" s="1895"/>
      <c r="H31" s="1903" t="str">
        <f>IF(D31="operation",VLOOKUP(G31,'Generic Vertical Port Tasks'!C$4:D$197,2,FALSE),"N/A")</f>
        <v>N/A</v>
      </c>
      <c r="I31" s="1895"/>
      <c r="J31" s="1897"/>
      <c r="K31" s="1897"/>
      <c r="L31" s="1898"/>
      <c r="M31" s="1898"/>
      <c r="N31" s="1903" t="str">
        <f t="shared" si="5"/>
        <v>N/A</v>
      </c>
      <c r="O31" s="1902" t="s">
        <v>802</v>
      </c>
      <c r="P31" s="1903">
        <f>IF($D31="Logistics",VLOOKUP($O31,'Upper Hot Cell Logistics'!$C$4:$D$51,2,FALSE),"N/A")</f>
        <v>1.28</v>
      </c>
      <c r="Q31" s="1902"/>
      <c r="R31" s="1903" t="str">
        <f>IFERROR(VLOOKUP($Q31,'Upper Hot Cell Dependencies'!$C$5:$F$229,4,FALSE),"N/A")</f>
        <v>N/A</v>
      </c>
      <c r="S31" s="1903" t="str">
        <f t="shared" si="3"/>
        <v>N/A</v>
      </c>
      <c r="T31" s="2032"/>
      <c r="U31" s="2032"/>
      <c r="V31" s="767"/>
      <c r="W31" s="767"/>
      <c r="X31" s="767"/>
      <c r="Y31" s="767"/>
    </row>
    <row r="32" spans="2:25" s="82" customFormat="1" ht="14.6" x14ac:dyDescent="0.4">
      <c r="B32" s="3815"/>
      <c r="C32" s="1895" t="s">
        <v>2385</v>
      </c>
      <c r="D32" s="1896" t="s">
        <v>251</v>
      </c>
      <c r="E32" s="1347">
        <f t="shared" si="0"/>
        <v>5.7722222222222221</v>
      </c>
      <c r="F32" s="1292">
        <f t="shared" si="4"/>
        <v>62.657037037037043</v>
      </c>
      <c r="G32" s="1895" t="s">
        <v>2385</v>
      </c>
      <c r="H32" s="1903">
        <f>IF(D32="operation",VLOOKUP(G32,'Generic Vertical Port Tasks'!C$4:D$197,2,FALSE),"N/A")</f>
        <v>5.7722222222222221</v>
      </c>
      <c r="I32" s="1895"/>
      <c r="J32" s="1897"/>
      <c r="K32" s="1897"/>
      <c r="L32" s="1898" t="str">
        <f>IFERROR(INDEX('Upper Hot Cell Logistics'!$I$35:$O$41,MATCH($J32,'Upper Hot Cell Logistics'!$H$35:$H$41,0),MATCH($K32,'Upper Hot Cell Logistics'!$H$35:$H$41,0)),"N/A")</f>
        <v>N/A</v>
      </c>
      <c r="M32" s="1898" t="str">
        <f>IFERROR(VLOOKUP($I32,'Upper Hot Cell Logistics'!$H$4:$I$10,2,FALSE),"N/A")</f>
        <v>N/A</v>
      </c>
      <c r="N32" s="1903" t="str">
        <f t="shared" si="5"/>
        <v>N/A</v>
      </c>
      <c r="O32" s="1902"/>
      <c r="P32" s="1903" t="str">
        <f>IF($D32="Logistics",VLOOKUP($O32,'Upper Hot Cell Logistics'!$C$4:$D$51,2,FALSE),"N/A")</f>
        <v>N/A</v>
      </c>
      <c r="Q32" s="1902"/>
      <c r="R32" s="1903" t="str">
        <f>IFERROR(VLOOKUP($Q32,'Upper Hot Cell Dependencies'!$C$5:$F$229,4,FALSE),"N/A")</f>
        <v>N/A</v>
      </c>
      <c r="S32" s="1903" t="str">
        <f t="shared" si="3"/>
        <v>N/A</v>
      </c>
      <c r="T32" s="2032"/>
      <c r="U32" s="2032"/>
      <c r="V32" s="767"/>
      <c r="W32" s="767"/>
      <c r="X32" s="767"/>
      <c r="Y32" s="767"/>
    </row>
    <row r="33" spans="2:25" s="82" customFormat="1" ht="15" thickBot="1" x14ac:dyDescent="0.45">
      <c r="B33" s="3815"/>
      <c r="C33" s="1895" t="s">
        <v>804</v>
      </c>
      <c r="D33" s="1896" t="s">
        <v>3</v>
      </c>
      <c r="E33" s="1347">
        <f t="shared" si="0"/>
        <v>1.1000000000000001</v>
      </c>
      <c r="F33" s="1347">
        <f t="shared" si="4"/>
        <v>63.757037037037044</v>
      </c>
      <c r="G33" s="1895"/>
      <c r="H33" s="1903" t="str">
        <f>IF(D33="operation",VLOOKUP(G33,'Generic Vertical Port Tasks'!C$4:D$197,2,FALSE),"N/A")</f>
        <v>N/A</v>
      </c>
      <c r="I33" s="1895"/>
      <c r="J33" s="1897"/>
      <c r="K33" s="1897"/>
      <c r="L33" s="1898" t="str">
        <f>IFERROR(INDEX('Upper Hot Cell Logistics'!$I$35:$O$41,MATCH($J33,'Upper Hot Cell Logistics'!$H$35:$H$41,0),MATCH($K33,'Upper Hot Cell Logistics'!$H$35:$H$41,0)),"N/A")</f>
        <v>N/A</v>
      </c>
      <c r="M33" s="1898" t="str">
        <f>IFERROR(VLOOKUP($I33,'Upper Hot Cell Logistics'!$H$4:$I$10,2,FALSE),"N/A")</f>
        <v>N/A</v>
      </c>
      <c r="N33" s="1903" t="str">
        <f t="shared" si="5"/>
        <v>N/A</v>
      </c>
      <c r="O33" s="1902" t="s">
        <v>805</v>
      </c>
      <c r="P33" s="1903">
        <f>IF($D33="Logistics",VLOOKUP($O33,'Upper Hot Cell Logistics'!$C$4:$D$51,2,FALSE),"N/A")</f>
        <v>1.1000000000000001</v>
      </c>
      <c r="Q33" s="1902"/>
      <c r="R33" s="1903" t="str">
        <f>IFERROR(VLOOKUP($Q33,'Upper Hot Cell Dependencies'!$C$5:$F$229,4,FALSE),"N/A")</f>
        <v>N/A</v>
      </c>
      <c r="S33" s="1903" t="str">
        <f t="shared" si="3"/>
        <v>N/A</v>
      </c>
      <c r="T33" s="2032"/>
      <c r="U33" s="2032"/>
      <c r="V33" s="767"/>
      <c r="W33" s="767"/>
      <c r="X33" s="767"/>
      <c r="Y33" s="767"/>
    </row>
    <row r="34" spans="2:25" x14ac:dyDescent="0.35">
      <c r="B34" s="3787" t="s">
        <v>2016</v>
      </c>
      <c r="C34" s="1619" t="s">
        <v>2017</v>
      </c>
      <c r="D34" s="1620" t="s">
        <v>3</v>
      </c>
      <c r="E34" s="1621">
        <f t="shared" si="0"/>
        <v>0.8</v>
      </c>
      <c r="F34" s="1621">
        <f t="shared" si="4"/>
        <v>64.557037037037048</v>
      </c>
      <c r="G34" s="1129"/>
      <c r="H34" s="1575" t="str">
        <f>IF(D34="operation",VLOOKUP(G34,'Generic Divertor Port Tasks'!C$4:D$223,2,FALSE),"N/A")</f>
        <v>N/A</v>
      </c>
      <c r="I34" s="1129"/>
      <c r="J34" s="1619"/>
      <c r="K34" s="1620"/>
      <c r="L34" s="1622" t="str">
        <f>IFERROR(INDEX('Lower Cask Movement &amp; Logistics'!$I$13:$O$19,MATCH($J34,'Lower Cask Movement &amp; Logistics'!$H$13:$H$19,0),MATCH($K34,'Lower Cask Movement &amp; Logistics'!$H$13:$H$19,0)),"N/A")</f>
        <v>N/A</v>
      </c>
      <c r="M34" s="1623" t="str">
        <f>IFERROR(VLOOKUP($I34,'Lower Cask Movement &amp; Logistics'!$H$4:$I$9,2,FALSE),"N/A")</f>
        <v>N/A</v>
      </c>
      <c r="N34" s="1575" t="str">
        <f t="shared" si="1"/>
        <v>N/A</v>
      </c>
      <c r="O34" s="1576" t="s">
        <v>1828</v>
      </c>
      <c r="P34" s="1575">
        <f>IF($D34="Logistics",VLOOKUP($O34,'Lower Hot Cell Logistics'!$C$4:$D$69,2,FALSE),"N/A")</f>
        <v>0.8</v>
      </c>
      <c r="Q34" s="1576" t="s">
        <v>2018</v>
      </c>
      <c r="R34" s="1575">
        <f>IFERROR(VLOOKUP($Q34,'Lower Hot Cell Dependencies'!$C$5:$F$367,4,FALSE),"N/A")</f>
        <v>49.946296296296303</v>
      </c>
      <c r="S34" s="1575">
        <f t="shared" si="3"/>
        <v>13.810740740740741</v>
      </c>
      <c r="T34" s="134"/>
      <c r="U34" s="134"/>
      <c r="V34" s="134"/>
      <c r="W34" s="134"/>
      <c r="X34" s="134"/>
      <c r="Y34" s="134"/>
    </row>
    <row r="35" spans="2:25" x14ac:dyDescent="0.35">
      <c r="B35" s="3786"/>
      <c r="C35" s="582" t="s">
        <v>1557</v>
      </c>
      <c r="D35" s="1611" t="s">
        <v>3</v>
      </c>
      <c r="E35" s="626">
        <f t="shared" si="0"/>
        <v>0.53</v>
      </c>
      <c r="F35" s="626">
        <f t="shared" si="2"/>
        <v>65.087037037037049</v>
      </c>
      <c r="G35" s="1579"/>
      <c r="H35" s="1183" t="str">
        <f>IF(D35="operation",VLOOKUP(G35,'Generic Divertor Port Tasks'!C$4:D$223,2,FALSE),"N/A")</f>
        <v>N/A</v>
      </c>
      <c r="I35" s="1579"/>
      <c r="J35" s="582"/>
      <c r="K35" s="1611"/>
      <c r="L35" s="1479" t="str">
        <f>IFERROR(INDEX('Lower Cask Movement &amp; Logistics'!$I$13:$O$19,MATCH($J35,'Lower Cask Movement &amp; Logistics'!$H$13:$H$19,0),MATCH($K35,'Lower Cask Movement &amp; Logistics'!$H$13:$H$19,0)),"N/A")</f>
        <v>N/A</v>
      </c>
      <c r="M35" s="1478" t="str">
        <f>IFERROR(VLOOKUP($I35,'Lower Cask Movement &amp; Logistics'!$H$4:$I$9,2,FALSE),"N/A")</f>
        <v>N/A</v>
      </c>
      <c r="N35" s="1183" t="str">
        <f t="shared" si="1"/>
        <v>N/A</v>
      </c>
      <c r="O35" s="1578" t="s">
        <v>1558</v>
      </c>
      <c r="P35" s="1183">
        <f>IF($D35="Logistics",VLOOKUP($O35,'Lower Hot Cell Logistics'!$C$4:$D$69,2,FALSE),"N/A")</f>
        <v>0.53</v>
      </c>
      <c r="Q35" s="1578"/>
      <c r="R35" s="1183" t="str">
        <f>IFERROR(VLOOKUP($Q35,'Lower Hot Cell Dependencies'!$C$5:$F$367,4,FALSE),"N/A")</f>
        <v>N/A</v>
      </c>
      <c r="S35" s="1183" t="str">
        <f t="shared" si="3"/>
        <v>N/A</v>
      </c>
      <c r="T35" s="134"/>
      <c r="U35" s="134"/>
      <c r="V35" s="134"/>
      <c r="W35" s="134"/>
      <c r="X35" s="134"/>
      <c r="Y35" s="134"/>
    </row>
    <row r="36" spans="2:25" x14ac:dyDescent="0.35">
      <c r="B36" s="3786"/>
      <c r="C36" s="582" t="s">
        <v>1559</v>
      </c>
      <c r="D36" s="1611" t="s">
        <v>3</v>
      </c>
      <c r="E36" s="626">
        <f t="shared" si="0"/>
        <v>0.8</v>
      </c>
      <c r="F36" s="626">
        <f t="shared" si="2"/>
        <v>65.887037037037047</v>
      </c>
      <c r="G36" s="1579"/>
      <c r="H36" s="1183" t="str">
        <f>IF(D36="operation",VLOOKUP(G36,'Generic Divertor Port Tasks'!C$4:D$223,2,FALSE),"N/A")</f>
        <v>N/A</v>
      </c>
      <c r="I36" s="1579"/>
      <c r="J36" s="582"/>
      <c r="K36" s="1611"/>
      <c r="L36" s="1479" t="str">
        <f>IFERROR(INDEX('Lower Cask Movement &amp; Logistics'!$I$13:$O$19,MATCH($J36,'Lower Cask Movement &amp; Logistics'!$H$13:$H$19,0),MATCH($K36,'Lower Cask Movement &amp; Logistics'!$H$13:$H$19,0)),"N/A")</f>
        <v>N/A</v>
      </c>
      <c r="M36" s="1478" t="str">
        <f>IFERROR(VLOOKUP($I36,'Lower Cask Movement &amp; Logistics'!$H$4:$I$9,2,FALSE),"N/A")</f>
        <v>N/A</v>
      </c>
      <c r="N36" s="1183" t="str">
        <f t="shared" si="1"/>
        <v>N/A</v>
      </c>
      <c r="O36" s="1578" t="s">
        <v>1828</v>
      </c>
      <c r="P36" s="1183">
        <f>IF($D36="Logistics",VLOOKUP($O36,'Lower Hot Cell Logistics'!$C$4:$D$69,2,FALSE),"N/A")</f>
        <v>0.8</v>
      </c>
      <c r="Q36" s="1578"/>
      <c r="R36" s="1183" t="str">
        <f>IFERROR(VLOOKUP($Q36,'Lower Hot Cell Dependencies'!$C$5:$F$367,4,FALSE),"N/A")</f>
        <v>N/A</v>
      </c>
      <c r="S36" s="1183" t="str">
        <f t="shared" si="3"/>
        <v>N/A</v>
      </c>
      <c r="T36" s="134"/>
      <c r="U36" s="134"/>
      <c r="V36" s="134"/>
      <c r="W36" s="134"/>
      <c r="X36" s="134"/>
      <c r="Y36" s="134"/>
    </row>
    <row r="37" spans="2:25" ht="14.25" customHeight="1" x14ac:dyDescent="0.35">
      <c r="B37" s="3786"/>
      <c r="C37" s="573" t="s">
        <v>1560</v>
      </c>
      <c r="D37" s="1577" t="s">
        <v>251</v>
      </c>
      <c r="E37" s="574">
        <f t="shared" si="0"/>
        <v>10.894444444444444</v>
      </c>
      <c r="F37" s="574">
        <f t="shared" si="2"/>
        <v>76.781481481481492</v>
      </c>
      <c r="G37" s="1131" t="s">
        <v>684</v>
      </c>
      <c r="H37" s="1176">
        <f>IF(D37="operation",VLOOKUP(G37,'Generic Divertor Port Tasks'!C$4:D$223,2,FALSE),"N/A")</f>
        <v>10.894444444444444</v>
      </c>
      <c r="I37" s="1131"/>
      <c r="J37" s="573"/>
      <c r="K37" s="1577"/>
      <c r="L37" s="852" t="str">
        <f>IFERROR(INDEX('Lower Cask Movement &amp; Logistics'!$I$13:$O$19,MATCH($J37,'Lower Cask Movement &amp; Logistics'!$H$13:$H$19,0),MATCH($K37,'Lower Cask Movement &amp; Logistics'!$H$13:$H$19,0)),"N/A")</f>
        <v>N/A</v>
      </c>
      <c r="M37" s="853" t="str">
        <f>IFERROR(VLOOKUP($I37,'Lower Cask Movement &amp; Logistics'!$H$4:$I$9,2,FALSE),"N/A")</f>
        <v>N/A</v>
      </c>
      <c r="N37" s="1176" t="str">
        <f t="shared" si="1"/>
        <v>N/A</v>
      </c>
      <c r="O37" s="1580"/>
      <c r="P37" s="1176" t="str">
        <f>IF($D37="Logistics",VLOOKUP($O37,'Lower Hot Cell Logistics'!$C$4:$D$69,2,FALSE),"N/A")</f>
        <v>N/A</v>
      </c>
      <c r="Q37" s="1580"/>
      <c r="R37" s="1176" t="str">
        <f>IFERROR(VLOOKUP($Q37,'Lower Hot Cell Dependencies'!$C$5:$F$367,4,FALSE),"N/A")</f>
        <v>N/A</v>
      </c>
      <c r="S37" s="1176" t="str">
        <f t="shared" si="3"/>
        <v>N/A</v>
      </c>
      <c r="T37" s="134"/>
      <c r="U37" s="134"/>
      <c r="V37" s="134"/>
      <c r="W37" s="134"/>
      <c r="X37" s="134"/>
      <c r="Y37" s="134"/>
    </row>
    <row r="38" spans="2:25" ht="13.3" thickBot="1" x14ac:dyDescent="0.4">
      <c r="B38" s="3788"/>
      <c r="C38" s="584" t="s">
        <v>1561</v>
      </c>
      <c r="D38" s="1581" t="s">
        <v>3</v>
      </c>
      <c r="E38" s="585">
        <f t="shared" si="0"/>
        <v>0.6</v>
      </c>
      <c r="F38" s="585">
        <f t="shared" si="2"/>
        <v>77.381481481481487</v>
      </c>
      <c r="G38" s="1136"/>
      <c r="H38" s="1179" t="str">
        <f>IF(D38="operation",VLOOKUP(G38,'Generic Divertor Port Tasks'!C$4:D$223,2,FALSE),"N/A")</f>
        <v>N/A</v>
      </c>
      <c r="I38" s="1136"/>
      <c r="J38" s="584"/>
      <c r="K38" s="1581"/>
      <c r="L38" s="813" t="str">
        <f>IFERROR(INDEX('Lower Cask Movement &amp; Logistics'!$I$13:$O$19,MATCH($J38,'Lower Cask Movement &amp; Logistics'!$H$13:$H$19,0),MATCH($K38,'Lower Cask Movement &amp; Logistics'!$H$13:$H$19,0)),"N/A")</f>
        <v>N/A</v>
      </c>
      <c r="M38" s="814" t="str">
        <f>IFERROR(VLOOKUP($I38,'Lower Cask Movement &amp; Logistics'!$H$4:$I$9,2,FALSE),"N/A")</f>
        <v>N/A</v>
      </c>
      <c r="N38" s="1179" t="str">
        <f t="shared" si="1"/>
        <v>N/A</v>
      </c>
      <c r="O38" s="1582" t="s">
        <v>2008</v>
      </c>
      <c r="P38" s="1179">
        <f>IF($D38="Logistics",VLOOKUP($O38,'Lower Hot Cell Logistics'!$C$4:$D$69,2,FALSE),"N/A")</f>
        <v>0.6</v>
      </c>
      <c r="Q38" s="1582"/>
      <c r="R38" s="1179" t="str">
        <f>IFERROR(VLOOKUP($Q38,'Lower Hot Cell Dependencies'!$C$5:$F$367,4,FALSE),"N/A")</f>
        <v>N/A</v>
      </c>
      <c r="S38" s="1179" t="str">
        <f t="shared" si="3"/>
        <v>N/A</v>
      </c>
      <c r="T38" s="134"/>
      <c r="U38" s="134"/>
      <c r="V38" s="134"/>
      <c r="W38" s="134"/>
      <c r="X38" s="134"/>
      <c r="Y38" s="134"/>
    </row>
    <row r="39" spans="2:25" x14ac:dyDescent="0.35">
      <c r="B39" s="3814" t="s">
        <v>2019</v>
      </c>
      <c r="C39" s="823" t="s">
        <v>1566</v>
      </c>
      <c r="D39" s="823" t="s">
        <v>3</v>
      </c>
      <c r="E39" s="1291">
        <f t="shared" si="0"/>
        <v>0.8</v>
      </c>
      <c r="F39" s="1739">
        <f t="shared" si="2"/>
        <v>78.181481481481484</v>
      </c>
      <c r="G39" s="829"/>
      <c r="H39" s="2040" t="str">
        <f>IF(D39="operation",VLOOKUP(G39,'Generic Divertor Port Tasks'!C$4:D$223,2,FALSE),"N/A")</f>
        <v>N/A</v>
      </c>
      <c r="I39" s="829"/>
      <c r="J39" s="823"/>
      <c r="K39" s="823"/>
      <c r="L39" s="828" t="str">
        <f>IFERROR(INDEX('Lower Cask Movement &amp; Logistics'!$I$13:$O$19,MATCH($J39,'Lower Cask Movement &amp; Logistics'!$H$13:$H$19,0),MATCH($K39,'Lower Cask Movement &amp; Logistics'!$H$13:$H$19,0)),"N/A")</f>
        <v>N/A</v>
      </c>
      <c r="M39" s="828" t="str">
        <f>IFERROR(VLOOKUP($I39,'Lower Cask Movement &amp; Logistics'!$H$4:$I$9,2,FALSE),"N/A")</f>
        <v>N/A</v>
      </c>
      <c r="N39" s="2040" t="str">
        <f t="shared" si="1"/>
        <v>N/A</v>
      </c>
      <c r="O39" s="2039" t="s">
        <v>1828</v>
      </c>
      <c r="P39" s="2040">
        <f>IF($D39="Logistics",VLOOKUP($O39,'Lower Hot Cell Logistics'!$C$4:$D$69,2,FALSE),"N/A")</f>
        <v>0.8</v>
      </c>
      <c r="Q39" s="2039" t="s">
        <v>2020</v>
      </c>
      <c r="R39" s="2040">
        <f>IFERROR(VLOOKUP($Q39,'Lower Hot Cell Dependencies'!$C$5:$F$367,4,FALSE),"N/A")</f>
        <v>49.946296296296303</v>
      </c>
      <c r="S39" s="2040">
        <f t="shared" si="3"/>
        <v>27.435185185185183</v>
      </c>
      <c r="T39" s="134"/>
      <c r="U39" s="134"/>
      <c r="V39" s="134"/>
      <c r="W39" s="134"/>
      <c r="X39" s="134"/>
      <c r="Y39" s="134"/>
    </row>
    <row r="40" spans="2:25" x14ac:dyDescent="0.35">
      <c r="B40" s="3815"/>
      <c r="C40" s="860" t="s">
        <v>1567</v>
      </c>
      <c r="D40" s="860" t="s">
        <v>251</v>
      </c>
      <c r="E40" s="1363">
        <f t="shared" si="0"/>
        <v>0.45916666666666661</v>
      </c>
      <c r="F40" s="1347">
        <f t="shared" si="2"/>
        <v>78.640648148148145</v>
      </c>
      <c r="G40" s="2041" t="s">
        <v>687</v>
      </c>
      <c r="H40" s="2042">
        <f>IF(D40="operation",VLOOKUP(G40,'Generic Divertor Port Tasks'!C$4:D$223,2,FALSE),"N/A")</f>
        <v>0.45916666666666661</v>
      </c>
      <c r="I40" s="2041"/>
      <c r="J40" s="860"/>
      <c r="K40" s="860"/>
      <c r="L40" s="865" t="str">
        <f>IFERROR(INDEX('Lower Cask Movement &amp; Logistics'!$I$13:$O$19,MATCH($J40,'Lower Cask Movement &amp; Logistics'!$H$13:$H$19,0),MATCH($K40,'Lower Cask Movement &amp; Logistics'!$H$13:$H$19,0)),"N/A")</f>
        <v>N/A</v>
      </c>
      <c r="M40" s="865" t="str">
        <f>IFERROR(VLOOKUP($I40,'Lower Cask Movement &amp; Logistics'!$H$4:$I$9,2,FALSE),"N/A")</f>
        <v>N/A</v>
      </c>
      <c r="N40" s="2042" t="str">
        <f t="shared" si="1"/>
        <v>N/A</v>
      </c>
      <c r="O40" s="1725"/>
      <c r="P40" s="2042" t="str">
        <f>IF($D40="Logistics",VLOOKUP($O40,'Lower Hot Cell Logistics'!$C$4:$D$69,2,FALSE),"N/A")</f>
        <v>N/A</v>
      </c>
      <c r="Q40" s="1725"/>
      <c r="R40" s="2042" t="str">
        <f>IFERROR(VLOOKUP($Q40,'Lower Hot Cell Dependencies'!$C$5:$F$367,4,FALSE),"N/A")</f>
        <v>N/A</v>
      </c>
      <c r="S40" s="2042" t="str">
        <f t="shared" si="3"/>
        <v>N/A</v>
      </c>
      <c r="T40" s="134"/>
      <c r="U40" s="134"/>
      <c r="V40" s="134"/>
      <c r="W40" s="134"/>
      <c r="X40" s="134"/>
      <c r="Y40" s="134"/>
    </row>
    <row r="41" spans="2:25" ht="13.3" thickBot="1" x14ac:dyDescent="0.4">
      <c r="B41" s="3816"/>
      <c r="C41" s="837" t="s">
        <v>2021</v>
      </c>
      <c r="D41" s="837" t="s">
        <v>3</v>
      </c>
      <c r="E41" s="2043">
        <v>0.38</v>
      </c>
      <c r="F41" s="1295">
        <f t="shared" si="2"/>
        <v>79.02064814814814</v>
      </c>
      <c r="G41" s="1869"/>
      <c r="H41" s="1922" t="str">
        <f>IF(D41="operation",VLOOKUP(G41,'Generic Divertor Port Tasks'!C$4:D$223,2,FALSE),"N/A")</f>
        <v>N/A</v>
      </c>
      <c r="I41" s="1869"/>
      <c r="J41" s="837"/>
      <c r="K41" s="837"/>
      <c r="L41" s="842" t="s">
        <v>263</v>
      </c>
      <c r="M41" s="842" t="s">
        <v>263</v>
      </c>
      <c r="N41" s="1922" t="s">
        <v>263</v>
      </c>
      <c r="O41" s="1921" t="s">
        <v>2008</v>
      </c>
      <c r="P41" s="1922">
        <f>IF($D41="Logistics",VLOOKUP($O41,'Lower Hot Cell Logistics'!$C$4:$D$69,2,FALSE),"N/A")</f>
        <v>0.6</v>
      </c>
      <c r="Q41" s="1921"/>
      <c r="R41" s="1922" t="str">
        <f>IFERROR(VLOOKUP($Q41,'Lower Hot Cell Dependencies'!$C$5:$F$367,4,FALSE),"N/A")</f>
        <v>N/A</v>
      </c>
      <c r="S41" s="1922" t="str">
        <f t="shared" si="3"/>
        <v>N/A</v>
      </c>
      <c r="T41" s="134"/>
      <c r="U41" s="134"/>
      <c r="V41" s="134"/>
      <c r="W41" s="134"/>
      <c r="X41" s="134"/>
      <c r="Y41" s="134"/>
    </row>
    <row r="42" spans="2:25" ht="25.75" x14ac:dyDescent="0.35">
      <c r="B42" s="3786" t="s">
        <v>1570</v>
      </c>
      <c r="C42" s="880" t="s">
        <v>1559</v>
      </c>
      <c r="D42" s="880" t="s">
        <v>3</v>
      </c>
      <c r="E42" s="1276">
        <f t="shared" si="0"/>
        <v>0.8</v>
      </c>
      <c r="F42" s="1640">
        <f t="shared" si="2"/>
        <v>79.820648148148138</v>
      </c>
      <c r="G42" s="854"/>
      <c r="H42" s="1645" t="str">
        <f>IF(D42="operation",VLOOKUP(G42,'Generic Divertor Port Tasks'!C$4:D$223,2,FALSE),"N/A")</f>
        <v>N/A</v>
      </c>
      <c r="I42" s="854"/>
      <c r="J42" s="880"/>
      <c r="K42" s="2201"/>
      <c r="L42" s="1460" t="str">
        <f>IFERROR(INDEX('Lower Hot Cell Logistics'!$I$13:$O$19,MATCH($J42,'Lower Hot Cell Logistics'!$H$13:$H$19,0),MATCH($K42,'Lower Hot Cell Logistics'!$H$13:$H$19,0)),"N/A")</f>
        <v>N/A</v>
      </c>
      <c r="M42" s="1459" t="str">
        <f>IFERROR(VLOOKUP($I42,'Lower Hot Cell Logistics'!$H$4:$I$9,2,FALSE),"N/A")</f>
        <v>N/A</v>
      </c>
      <c r="N42" s="1645" t="str">
        <f t="shared" si="1"/>
        <v>N/A</v>
      </c>
      <c r="O42" s="1646" t="s">
        <v>1828</v>
      </c>
      <c r="P42" s="1645">
        <f>IF($D42="Logistics",VLOOKUP($O42,'Lower Hot Cell Logistics'!$C$4:$D$69,2,FALSE),"N/A")</f>
        <v>0.8</v>
      </c>
      <c r="Q42" s="1646" t="s">
        <v>2022</v>
      </c>
      <c r="R42" s="1645">
        <f>IFERROR(VLOOKUP($Q42,'Lower Hot Cell Dependencies'!$C$5:$F$367,4,FALSE),"N/A")</f>
        <v>49.946296296296303</v>
      </c>
      <c r="S42" s="1645">
        <f t="shared" si="3"/>
        <v>29.074351851851837</v>
      </c>
      <c r="T42" s="134"/>
      <c r="U42" s="134"/>
      <c r="V42" s="134"/>
      <c r="W42" s="134"/>
      <c r="X42" s="134"/>
      <c r="Y42" s="134"/>
    </row>
    <row r="43" spans="2:25" x14ac:dyDescent="0.35">
      <c r="B43" s="3786"/>
      <c r="C43" s="573" t="s">
        <v>1572</v>
      </c>
      <c r="D43" s="573" t="s">
        <v>251</v>
      </c>
      <c r="E43" s="1276">
        <f t="shared" si="0"/>
        <v>8.1444444444444439</v>
      </c>
      <c r="F43" s="626">
        <f t="shared" si="2"/>
        <v>87.965092592592583</v>
      </c>
      <c r="G43" s="1131" t="s">
        <v>433</v>
      </c>
      <c r="H43" s="1176">
        <f>IF(D43="operation",VLOOKUP(G43,'Generic Divertor Port Tasks'!C$4:D$223,2,FALSE),"N/A")</f>
        <v>8.1444444444444439</v>
      </c>
      <c r="I43" s="1131"/>
      <c r="J43" s="573"/>
      <c r="K43" s="1631"/>
      <c r="L43" s="852" t="str">
        <f>IFERROR(INDEX('Lower Hot Cell Logistics'!$I$13:$O$19,MATCH($J43,'Lower Hot Cell Logistics'!$H$13:$H$19,0),MATCH($K43,'Lower Hot Cell Logistics'!$H$13:$H$19,0)),"N/A")</f>
        <v>N/A</v>
      </c>
      <c r="M43" s="853" t="str">
        <f>IFERROR(VLOOKUP($I43,'Lower Hot Cell Logistics'!$H$4:$I$9,2,FALSE),"N/A")</f>
        <v>N/A</v>
      </c>
      <c r="N43" s="1176" t="str">
        <f t="shared" si="1"/>
        <v>N/A</v>
      </c>
      <c r="O43" s="1580"/>
      <c r="P43" s="1176" t="str">
        <f>IF($D43="Logistics",VLOOKUP($O43,'Lower Hot Cell Logistics'!$C$4:$D$69,2,FALSE),"N/A")</f>
        <v>N/A</v>
      </c>
      <c r="Q43" s="1580"/>
      <c r="R43" s="1176" t="str">
        <f>IFERROR(VLOOKUP($Q43,'Lower Hot Cell Dependencies'!$C$5:$F$367,4,FALSE),"N/A")</f>
        <v>N/A</v>
      </c>
      <c r="S43" s="1176" t="str">
        <f t="shared" si="3"/>
        <v>N/A</v>
      </c>
      <c r="T43" s="134"/>
      <c r="U43" s="134"/>
      <c r="V43" s="134"/>
      <c r="W43" s="134"/>
      <c r="X43" s="134"/>
      <c r="Y43" s="134"/>
    </row>
    <row r="44" spans="2:25" x14ac:dyDescent="0.35">
      <c r="B44" s="3786"/>
      <c r="C44" s="573" t="s">
        <v>1573</v>
      </c>
      <c r="D44" s="573" t="s">
        <v>3</v>
      </c>
      <c r="E44" s="1276">
        <f t="shared" si="0"/>
        <v>0.6</v>
      </c>
      <c r="F44" s="626">
        <f t="shared" si="2"/>
        <v>88.565092592592578</v>
      </c>
      <c r="G44" s="1131"/>
      <c r="H44" s="1176" t="str">
        <f>IF(D44="operation",VLOOKUP(G44,'Generic Divertor Port Tasks'!C$4:D$223,2,FALSE),"N/A")</f>
        <v>N/A</v>
      </c>
      <c r="I44" s="1131"/>
      <c r="J44" s="573"/>
      <c r="K44" s="1631"/>
      <c r="L44" s="852" t="str">
        <f>IFERROR(INDEX('Lower Hot Cell Logistics'!$I$13:$O$19,MATCH($J44,'Lower Hot Cell Logistics'!$H$13:$H$19,0),MATCH($K44,'Lower Hot Cell Logistics'!$H$13:$H$19,0)),"N/A")</f>
        <v>N/A</v>
      </c>
      <c r="M44" s="853" t="str">
        <f>IFERROR(VLOOKUP($I44,'Lower Hot Cell Logistics'!$H$4:$I$9,2,FALSE),"N/A")</f>
        <v>N/A</v>
      </c>
      <c r="N44" s="1176" t="str">
        <f t="shared" si="1"/>
        <v>N/A</v>
      </c>
      <c r="O44" s="1580" t="s">
        <v>2008</v>
      </c>
      <c r="P44" s="1176">
        <f>IF($D44="Logistics",VLOOKUP($O44,'Lower Hot Cell Logistics'!$C$4:$D$69,2,FALSE),"N/A")</f>
        <v>0.6</v>
      </c>
      <c r="Q44" s="1580"/>
      <c r="R44" s="1176" t="str">
        <f>IFERROR(VLOOKUP($Q44,'Lower Hot Cell Dependencies'!$C$5:$F$367,4,FALSE),"N/A")</f>
        <v>N/A</v>
      </c>
      <c r="S44" s="1176" t="str">
        <f t="shared" si="3"/>
        <v>N/A</v>
      </c>
      <c r="T44" s="134"/>
      <c r="U44" s="134"/>
      <c r="V44" s="134"/>
      <c r="W44" s="134"/>
      <c r="X44" s="134"/>
      <c r="Y44" s="134"/>
    </row>
    <row r="45" spans="2:25" x14ac:dyDescent="0.35">
      <c r="B45" s="3786"/>
      <c r="C45" s="573" t="s">
        <v>1574</v>
      </c>
      <c r="D45" s="573" t="s">
        <v>3</v>
      </c>
      <c r="E45" s="1276">
        <f t="shared" si="0"/>
        <v>0.8</v>
      </c>
      <c r="F45" s="626">
        <f t="shared" si="2"/>
        <v>89.365092592592575</v>
      </c>
      <c r="G45" s="1131"/>
      <c r="H45" s="1176" t="str">
        <f>IF(D45="operation",VLOOKUP(G45,'Generic Divertor Port Tasks'!C$4:D$223,2,FALSE),"N/A")</f>
        <v>N/A</v>
      </c>
      <c r="I45" s="1131"/>
      <c r="J45" s="573"/>
      <c r="K45" s="1631"/>
      <c r="L45" s="852" t="str">
        <f>IFERROR(INDEX('Lower Hot Cell Logistics'!$I$13:$O$19,MATCH($J45,'Lower Hot Cell Logistics'!$H$13:$H$19,0),MATCH($K45,'Lower Hot Cell Logistics'!$H$13:$H$19,0)),"N/A")</f>
        <v>N/A</v>
      </c>
      <c r="M45" s="853" t="str">
        <f>IFERROR(VLOOKUP($I45,'Lower Hot Cell Logistics'!$H$4:$I$9,2,FALSE),"N/A")</f>
        <v>N/A</v>
      </c>
      <c r="N45" s="1176" t="str">
        <f t="shared" si="1"/>
        <v>N/A</v>
      </c>
      <c r="O45" s="1580" t="s">
        <v>1828</v>
      </c>
      <c r="P45" s="1176">
        <f>IF($D45="Logistics",VLOOKUP($O45,'Lower Hot Cell Logistics'!$C$4:$D$69,2,FALSE),"N/A")</f>
        <v>0.8</v>
      </c>
      <c r="Q45" s="1580"/>
      <c r="R45" s="1176" t="str">
        <f>IFERROR(VLOOKUP($Q45,'Lower Hot Cell Dependencies'!$C$5:$F$367,4,FALSE),"N/A")</f>
        <v>N/A</v>
      </c>
      <c r="S45" s="1176" t="str">
        <f t="shared" si="3"/>
        <v>N/A</v>
      </c>
      <c r="T45" s="134"/>
      <c r="U45" s="134"/>
      <c r="V45" s="134"/>
      <c r="W45" s="134"/>
      <c r="X45" s="134"/>
      <c r="Y45" s="134"/>
    </row>
    <row r="46" spans="2:25" ht="13.3" thickBot="1" x14ac:dyDescent="0.4">
      <c r="B46" s="3786"/>
      <c r="C46" s="582" t="s">
        <v>2023</v>
      </c>
      <c r="D46" s="582" t="s">
        <v>251</v>
      </c>
      <c r="E46" s="1640">
        <f t="shared" si="0"/>
        <v>3.7</v>
      </c>
      <c r="F46" s="626">
        <f t="shared" si="2"/>
        <v>93.065092592592578</v>
      </c>
      <c r="G46" s="1579" t="s">
        <v>436</v>
      </c>
      <c r="H46" s="1183">
        <f>IF(D46="operation",VLOOKUP(G46,'Generic Divertor Port Tasks'!C$4:D$223,2,FALSE),"N/A")</f>
        <v>3.7</v>
      </c>
      <c r="I46" s="1579"/>
      <c r="J46" s="582"/>
      <c r="K46" s="2194"/>
      <c r="L46" s="1479" t="str">
        <f>IFERROR(INDEX('Lower Hot Cell Logistics'!$I$13:$O$19,MATCH($J46,'Lower Hot Cell Logistics'!$H$13:$H$19,0),MATCH($K46,'Lower Hot Cell Logistics'!$H$13:$H$19,0)),"N/A")</f>
        <v>N/A</v>
      </c>
      <c r="M46" s="1478" t="str">
        <f>IFERROR(VLOOKUP($I46,'Lower Hot Cell Logistics'!$H$4:$I$9,2,FALSE),"N/A")</f>
        <v>N/A</v>
      </c>
      <c r="N46" s="1183" t="str">
        <f t="shared" si="1"/>
        <v>N/A</v>
      </c>
      <c r="O46" s="1578"/>
      <c r="P46" s="1183" t="str">
        <f>IF($D46="Logistics",VLOOKUP($O46,'Lower Hot Cell Logistics'!$C$4:$D$69,2,FALSE),"N/A")</f>
        <v>N/A</v>
      </c>
      <c r="Q46" s="1578"/>
      <c r="R46" s="1183" t="str">
        <f>IFERROR(VLOOKUP($Q46,'Lower Hot Cell Dependencies'!$C$5:$F$367,4,FALSE),"N/A")</f>
        <v>N/A</v>
      </c>
      <c r="S46" s="1183" t="str">
        <f t="shared" si="3"/>
        <v>N/A</v>
      </c>
      <c r="T46" s="134"/>
      <c r="U46" s="134"/>
      <c r="V46" s="134"/>
      <c r="W46" s="134"/>
      <c r="X46" s="134"/>
      <c r="Y46" s="134"/>
    </row>
    <row r="47" spans="2:25" x14ac:dyDescent="0.35">
      <c r="B47" s="3814" t="s">
        <v>2024</v>
      </c>
      <c r="C47" s="823" t="s">
        <v>1581</v>
      </c>
      <c r="D47" s="823" t="s">
        <v>3</v>
      </c>
      <c r="E47" s="1291">
        <f t="shared" si="0"/>
        <v>0.8</v>
      </c>
      <c r="F47" s="1739">
        <f t="shared" si="2"/>
        <v>93.865092592592575</v>
      </c>
      <c r="G47" s="829"/>
      <c r="H47" s="2040" t="str">
        <f>IF(D47="operation",VLOOKUP(G47,'Generic Divertor Port Tasks'!C$4:D$223,2,FALSE),"N/A")</f>
        <v>N/A</v>
      </c>
      <c r="I47" s="829"/>
      <c r="J47" s="823"/>
      <c r="K47" s="823"/>
      <c r="L47" s="828" t="str">
        <f>IFERROR(INDEX('Lower Cask Movement &amp; Logistics'!$I$13:$O$19,MATCH($J47,'Lower Cask Movement &amp; Logistics'!$H$13:$H$19,0),MATCH($K47,'Lower Cask Movement &amp; Logistics'!$H$13:$H$19,0)),"N/A")</f>
        <v>N/A</v>
      </c>
      <c r="M47" s="828" t="str">
        <f>IFERROR(VLOOKUP($I47,'Lower Cask Movement &amp; Logistics'!$H$4:$I$9,2,FALSE),"N/A")</f>
        <v>N/A</v>
      </c>
      <c r="N47" s="2040" t="str">
        <f t="shared" si="1"/>
        <v>N/A</v>
      </c>
      <c r="O47" s="2039" t="s">
        <v>1828</v>
      </c>
      <c r="P47" s="2040">
        <f>IF($D47="Logistics",VLOOKUP($O47,'Lower Hot Cell Logistics'!$C$4:$D$69,2,FALSE),"N/A")</f>
        <v>0.8</v>
      </c>
      <c r="Q47" s="2039" t="s">
        <v>2025</v>
      </c>
      <c r="R47" s="2040">
        <f>IFERROR(VLOOKUP($Q47,'Lower Hot Cell Dependencies'!$C$5:$F$367,4,FALSE),"N/A")</f>
        <v>81.534351851851838</v>
      </c>
      <c r="S47" s="2040">
        <f t="shared" si="3"/>
        <v>11.53074074074074</v>
      </c>
    </row>
    <row r="48" spans="2:25" x14ac:dyDescent="0.35">
      <c r="B48" s="3815"/>
      <c r="C48" s="860" t="s">
        <v>688</v>
      </c>
      <c r="D48" s="860" t="s">
        <v>251</v>
      </c>
      <c r="E48" s="1363">
        <f t="shared" si="0"/>
        <v>3.35</v>
      </c>
      <c r="F48" s="1347">
        <f t="shared" si="2"/>
        <v>97.215092592592569</v>
      </c>
      <c r="G48" s="2041" t="s">
        <v>688</v>
      </c>
      <c r="H48" s="2042">
        <f>IF(D48="operation",VLOOKUP(G48,'Generic Divertor Port Tasks'!C$4:D$223,2,FALSE),"N/A")</f>
        <v>3.35</v>
      </c>
      <c r="I48" s="2041"/>
      <c r="J48" s="860"/>
      <c r="K48" s="860"/>
      <c r="L48" s="865" t="str">
        <f>IFERROR(INDEX('Lower Cask Movement &amp; Logistics'!$I$13:$O$19,MATCH($J48,'Lower Cask Movement &amp; Logistics'!$H$13:$H$19,0),MATCH($K48,'Lower Cask Movement &amp; Logistics'!$H$13:$H$19,0)),"N/A")</f>
        <v>N/A</v>
      </c>
      <c r="M48" s="865" t="str">
        <f>IFERROR(VLOOKUP($I48,'Lower Cask Movement &amp; Logistics'!$H$4:$I$9,2,FALSE),"N/A")</f>
        <v>N/A</v>
      </c>
      <c r="N48" s="2042" t="str">
        <f t="shared" si="1"/>
        <v>N/A</v>
      </c>
      <c r="O48" s="1725"/>
      <c r="P48" s="2042" t="str">
        <f>IF($D48="Logistics",VLOOKUP($O48,'Lower Hot Cell Logistics'!$C$4:$D$69,2,FALSE),"N/A")</f>
        <v>N/A</v>
      </c>
      <c r="Q48" s="1725"/>
      <c r="R48" s="2042" t="str">
        <f>IFERROR(VLOOKUP($Q48,'Lower Hot Cell Dependencies'!$C$5:$F$367,4,FALSE),"N/A")</f>
        <v>N/A</v>
      </c>
      <c r="S48" s="2042" t="str">
        <f t="shared" si="3"/>
        <v>N/A</v>
      </c>
    </row>
    <row r="49" spans="2:20" ht="13.3" thickBot="1" x14ac:dyDescent="0.4">
      <c r="B49" s="3816"/>
      <c r="C49" s="837" t="s">
        <v>1582</v>
      </c>
      <c r="D49" s="837" t="s">
        <v>3</v>
      </c>
      <c r="E49" s="2043">
        <v>0.38</v>
      </c>
      <c r="F49" s="1295">
        <f t="shared" si="2"/>
        <v>97.595092592592565</v>
      </c>
      <c r="G49" s="1869"/>
      <c r="H49" s="1922" t="str">
        <f>IF(D49="operation",VLOOKUP(G49,'Generic Divertor Port Tasks'!C$4:D$223,2,FALSE),"N/A")</f>
        <v>N/A</v>
      </c>
      <c r="I49" s="1869"/>
      <c r="J49" s="837"/>
      <c r="K49" s="837"/>
      <c r="L49" s="842" t="s">
        <v>263</v>
      </c>
      <c r="M49" s="842" t="s">
        <v>263</v>
      </c>
      <c r="N49" s="1922" t="s">
        <v>263</v>
      </c>
      <c r="O49" s="1921" t="s">
        <v>2008</v>
      </c>
      <c r="P49" s="1922">
        <f>IF($D49="Logistics",VLOOKUP($O49,'Lower Hot Cell Logistics'!$C$4:$D$69,2,FALSE),"N/A")</f>
        <v>0.6</v>
      </c>
      <c r="Q49" s="1921"/>
      <c r="R49" s="1922" t="str">
        <f>IFERROR(VLOOKUP($Q49,'Lower Hot Cell Dependencies'!$C$5:$F$367,4,FALSE),"N/A")</f>
        <v>N/A</v>
      </c>
      <c r="S49" s="1922" t="str">
        <f t="shared" si="3"/>
        <v>N/A</v>
      </c>
    </row>
    <row r="50" spans="2:20" ht="25.75" x14ac:dyDescent="0.35">
      <c r="B50" s="3786" t="s">
        <v>2026</v>
      </c>
      <c r="C50" s="1638" t="s">
        <v>1252</v>
      </c>
      <c r="D50" s="1639" t="s">
        <v>3</v>
      </c>
      <c r="E50" s="1640">
        <f t="shared" si="0"/>
        <v>0.8</v>
      </c>
      <c r="F50" s="1640">
        <f t="shared" si="2"/>
        <v>98.395092592592562</v>
      </c>
      <c r="G50" s="1638"/>
      <c r="H50" s="1641" t="str">
        <f>IF(D50="operation",VLOOKUP(G50,'Generic Divertor Port Tasks'!C$4:D$223,2,FALSE),"N/A")</f>
        <v>N/A</v>
      </c>
      <c r="I50" s="1638"/>
      <c r="J50" s="1642"/>
      <c r="K50" s="2202"/>
      <c r="L50" s="2203" t="str">
        <f>IFERROR(INDEX('Lower Hot Cell Logistics'!$I$13:$O$19,MATCH($J50,'Lower Hot Cell Logistics'!$H$13:$H$19,0),MATCH($K50,'Lower Hot Cell Logistics'!$H$13:$H$19,0)),"N/A")</f>
        <v>N/A</v>
      </c>
      <c r="M50" s="1643" t="str">
        <f>IFERROR(VLOOKUP($I50,'Lower Hot Cell Logistics'!$H$4:$I$9,2,FALSE),"N/A")</f>
        <v>N/A</v>
      </c>
      <c r="N50" s="1641" t="str">
        <f t="shared" si="1"/>
        <v>N/A</v>
      </c>
      <c r="O50" s="1646" t="s">
        <v>1828</v>
      </c>
      <c r="P50" s="1641">
        <f>IF($D50="Logistics",VLOOKUP($O50,'Lower Hot Cell Logistics'!$C$4:$D$69,2,FALSE),"N/A")</f>
        <v>0.8</v>
      </c>
      <c r="Q50" s="1644" t="s">
        <v>2027</v>
      </c>
      <c r="R50" s="1641">
        <f>IFERROR(VLOOKUP($Q50,'Lower Hot Cell Dependencies'!$C$5:$F$367,4,FALSE),"N/A")</f>
        <v>95.578796296296275</v>
      </c>
      <c r="S50" s="1641">
        <f t="shared" si="3"/>
        <v>2.0162962962962894</v>
      </c>
      <c r="T50" s="1853"/>
    </row>
    <row r="51" spans="2:20" x14ac:dyDescent="0.35">
      <c r="B51" s="3786"/>
      <c r="C51" s="1579" t="s">
        <v>1587</v>
      </c>
      <c r="D51" s="1611" t="s">
        <v>251</v>
      </c>
      <c r="E51" s="626">
        <f t="shared" si="0"/>
        <v>3.83</v>
      </c>
      <c r="F51" s="626">
        <f t="shared" si="2"/>
        <v>102.22509259259256</v>
      </c>
      <c r="G51" s="1579" t="s">
        <v>269</v>
      </c>
      <c r="H51" s="1183">
        <f>IF(D51="operation",VLOOKUP(G51,'Generic Divertor Port Tasks'!C$4:D$223,2,FALSE),"N/A")</f>
        <v>3.83</v>
      </c>
      <c r="I51" s="1579"/>
      <c r="J51" s="582"/>
      <c r="K51" s="2194"/>
      <c r="L51" s="1479" t="str">
        <f>IFERROR(INDEX('Lower Hot Cell Logistics'!$I$13:$O$19,MATCH($J51,'Lower Hot Cell Logistics'!$H$13:$H$19,0),MATCH($K51,'Lower Hot Cell Logistics'!$H$13:$H$19,0)),"N/A")</f>
        <v>N/A</v>
      </c>
      <c r="M51" s="1478" t="str">
        <f>IFERROR(VLOOKUP($I51,'Lower Hot Cell Logistics'!$H$4:$I$9,2,FALSE),"N/A")</f>
        <v>N/A</v>
      </c>
      <c r="N51" s="1183" t="str">
        <f t="shared" si="1"/>
        <v>N/A</v>
      </c>
      <c r="O51" s="1578"/>
      <c r="P51" s="1183" t="str">
        <f>IF($D51="Logistics",VLOOKUP($O51,'Lower Hot Cell Logistics'!$C$4:$D$69,2,FALSE),"N/A")</f>
        <v>N/A</v>
      </c>
      <c r="Q51" s="1578"/>
      <c r="R51" s="1183" t="str">
        <f>IFERROR(VLOOKUP($Q51,'Lower Hot Cell Dependencies'!$C$5:$F$367,4,FALSE),"N/A")</f>
        <v>N/A</v>
      </c>
      <c r="S51" s="1183" t="str">
        <f t="shared" si="3"/>
        <v>N/A</v>
      </c>
      <c r="T51" s="1853"/>
    </row>
    <row r="52" spans="2:20" x14ac:dyDescent="0.35">
      <c r="B52" s="3786"/>
      <c r="C52" s="1579" t="s">
        <v>1588</v>
      </c>
      <c r="D52" s="1611" t="s">
        <v>251</v>
      </c>
      <c r="E52" s="626">
        <f t="shared" si="0"/>
        <v>3.83</v>
      </c>
      <c r="F52" s="626">
        <f t="shared" si="2"/>
        <v>106.05509259259256</v>
      </c>
      <c r="G52" s="1579" t="s">
        <v>269</v>
      </c>
      <c r="H52" s="1183">
        <f>IF(D52="operation",VLOOKUP(G52,'Generic Divertor Port Tasks'!C$4:D$223,2,FALSE),"N/A")</f>
        <v>3.83</v>
      </c>
      <c r="I52" s="1579"/>
      <c r="J52" s="582"/>
      <c r="K52" s="2194"/>
      <c r="L52" s="1479" t="str">
        <f>IFERROR(INDEX('Lower Hot Cell Logistics'!$I$13:$O$19,MATCH($J52,'Lower Hot Cell Logistics'!$H$13:$H$19,0),MATCH($K52,'Lower Hot Cell Logistics'!$H$13:$H$19,0)),"N/A")</f>
        <v>N/A</v>
      </c>
      <c r="M52" s="1478" t="str">
        <f>IFERROR(VLOOKUP($I52,'Lower Hot Cell Logistics'!$H$4:$I$9,2,FALSE),"N/A")</f>
        <v>N/A</v>
      </c>
      <c r="N52" s="1183" t="str">
        <f t="shared" si="1"/>
        <v>N/A</v>
      </c>
      <c r="O52" s="1578"/>
      <c r="P52" s="1183" t="str">
        <f>IF($D52="Logistics",VLOOKUP($O52,'Lower Hot Cell Logistics'!$C$4:$D$69,2,FALSE),"N/A")</f>
        <v>N/A</v>
      </c>
      <c r="Q52" s="1578"/>
      <c r="R52" s="1183" t="str">
        <f>IFERROR(VLOOKUP($Q52,'Lower Hot Cell Dependencies'!$C$5:$F$367,4,FALSE),"N/A")</f>
        <v>N/A</v>
      </c>
      <c r="S52" s="1183" t="str">
        <f t="shared" si="3"/>
        <v>N/A</v>
      </c>
      <c r="T52" s="1853"/>
    </row>
    <row r="53" spans="2:20" x14ac:dyDescent="0.35">
      <c r="B53" s="3786"/>
      <c r="C53" s="1579" t="s">
        <v>1589</v>
      </c>
      <c r="D53" s="1611" t="s">
        <v>251</v>
      </c>
      <c r="E53" s="626">
        <f t="shared" si="0"/>
        <v>3.83</v>
      </c>
      <c r="F53" s="626">
        <f t="shared" si="2"/>
        <v>109.88509259259256</v>
      </c>
      <c r="G53" s="1579" t="s">
        <v>269</v>
      </c>
      <c r="H53" s="1183">
        <f>IF(D53="operation",VLOOKUP(G53,'Generic Divertor Port Tasks'!C$4:D$223,2,FALSE),"N/A")</f>
        <v>3.83</v>
      </c>
      <c r="I53" s="1579"/>
      <c r="J53" s="582"/>
      <c r="K53" s="2194"/>
      <c r="L53" s="1479" t="str">
        <f>IFERROR(INDEX('Lower Hot Cell Logistics'!$I$13:$O$19,MATCH($J53,'Lower Hot Cell Logistics'!$H$13:$H$19,0),MATCH($K53,'Lower Hot Cell Logistics'!$H$13:$H$19,0)),"N/A")</f>
        <v>N/A</v>
      </c>
      <c r="M53" s="1478" t="str">
        <f>IFERROR(VLOOKUP($I53,'Lower Hot Cell Logistics'!$H$4:$I$9,2,FALSE),"N/A")</f>
        <v>N/A</v>
      </c>
      <c r="N53" s="1183" t="str">
        <f t="shared" si="1"/>
        <v>N/A</v>
      </c>
      <c r="O53" s="1578"/>
      <c r="P53" s="1183" t="str">
        <f>IF($D53="Logistics",VLOOKUP($O53,'Lower Hot Cell Logistics'!$C$4:$D$69,2,FALSE),"N/A")</f>
        <v>N/A</v>
      </c>
      <c r="Q53" s="1578"/>
      <c r="R53" s="1183" t="str">
        <f>IFERROR(VLOOKUP($Q53,'Lower Hot Cell Dependencies'!$C$5:$F$367,4,FALSE),"N/A")</f>
        <v>N/A</v>
      </c>
      <c r="S53" s="1183" t="str">
        <f t="shared" si="3"/>
        <v>N/A</v>
      </c>
      <c r="T53" s="1853"/>
    </row>
    <row r="54" spans="2:20" x14ac:dyDescent="0.35">
      <c r="B54" s="3786"/>
      <c r="C54" s="1579" t="s">
        <v>1590</v>
      </c>
      <c r="D54" s="1611" t="s">
        <v>3</v>
      </c>
      <c r="E54" s="626">
        <f t="shared" si="0"/>
        <v>0.6</v>
      </c>
      <c r="F54" s="626">
        <f t="shared" si="2"/>
        <v>110.48509259259255</v>
      </c>
      <c r="G54" s="1579"/>
      <c r="H54" s="1183" t="str">
        <f>IF(D54="operation",VLOOKUP(G54,'Generic Divertor Port Tasks'!C$4:D$223,2,FALSE),"N/A")</f>
        <v>N/A</v>
      </c>
      <c r="I54" s="1579"/>
      <c r="J54" s="582"/>
      <c r="K54" s="2194"/>
      <c r="L54" s="1479" t="str">
        <f>IFERROR(INDEX('Lower Hot Cell Logistics'!$I$13:$O$19,MATCH($J54,'Lower Hot Cell Logistics'!$H$13:$H$19,0),MATCH($K54,'Lower Hot Cell Logistics'!$H$13:$H$19,0)),"N/A")</f>
        <v>N/A</v>
      </c>
      <c r="M54" s="1478" t="str">
        <f>IFERROR(VLOOKUP($I54,'Lower Hot Cell Logistics'!$H$4:$I$9,2,FALSE),"N/A")</f>
        <v>N/A</v>
      </c>
      <c r="N54" s="1183" t="str">
        <f t="shared" si="1"/>
        <v>N/A</v>
      </c>
      <c r="O54" s="1578" t="s">
        <v>2008</v>
      </c>
      <c r="P54" s="1183">
        <f>IF($D54="Logistics",VLOOKUP($O54,'Lower Hot Cell Logistics'!$C$4:$D$69,2,FALSE),"N/A")</f>
        <v>0.6</v>
      </c>
      <c r="Q54" s="1578"/>
      <c r="R54" s="1183" t="str">
        <f>IFERROR(VLOOKUP($Q54,'Lower Hot Cell Dependencies'!$C$5:$F$367,4,FALSE),"N/A")</f>
        <v>N/A</v>
      </c>
      <c r="S54" s="1183" t="str">
        <f t="shared" si="3"/>
        <v>N/A</v>
      </c>
    </row>
    <row r="55" spans="2:20" x14ac:dyDescent="0.35">
      <c r="B55" s="3786"/>
      <c r="C55" s="1579" t="s">
        <v>1247</v>
      </c>
      <c r="D55" s="1611" t="s">
        <v>3</v>
      </c>
      <c r="E55" s="626">
        <f t="shared" si="0"/>
        <v>0.8</v>
      </c>
      <c r="F55" s="626">
        <f t="shared" si="2"/>
        <v>111.28509259259255</v>
      </c>
      <c r="G55" s="1579"/>
      <c r="H55" s="1183" t="str">
        <f>IF(D55="operation",VLOOKUP(G55,'Generic Divertor Port Tasks'!C$4:D$223,2,FALSE),"N/A")</f>
        <v>N/A</v>
      </c>
      <c r="I55" s="1579"/>
      <c r="J55" s="582"/>
      <c r="K55" s="2194"/>
      <c r="L55" s="1479" t="str">
        <f>IFERROR(INDEX('Lower Hot Cell Logistics'!$I$13:$O$19,MATCH($J55,'Lower Hot Cell Logistics'!$H$13:$H$19,0),MATCH($K55,'Lower Hot Cell Logistics'!$H$13:$H$19,0)),"N/A")</f>
        <v>N/A</v>
      </c>
      <c r="M55" s="1478" t="str">
        <f>IFERROR(VLOOKUP($I55,'Lower Hot Cell Logistics'!$H$4:$I$9,2,FALSE),"N/A")</f>
        <v>N/A</v>
      </c>
      <c r="N55" s="1183" t="str">
        <f t="shared" si="1"/>
        <v>N/A</v>
      </c>
      <c r="O55" s="1578" t="s">
        <v>1828</v>
      </c>
      <c r="P55" s="1183">
        <f>IF($D55="Logistics",VLOOKUP($O55,'Lower Hot Cell Logistics'!$C$4:$D$69,2,FALSE),"N/A")</f>
        <v>0.8</v>
      </c>
      <c r="Q55" s="1578"/>
      <c r="R55" s="1183" t="str">
        <f>IFERROR(VLOOKUP($Q55,'Lower Hot Cell Dependencies'!$C$5:$F$367,4,FALSE),"N/A")</f>
        <v>N/A</v>
      </c>
      <c r="S55" s="1183" t="str">
        <f t="shared" si="3"/>
        <v>N/A</v>
      </c>
    </row>
    <row r="56" spans="2:20" x14ac:dyDescent="0.35">
      <c r="B56" s="3786"/>
      <c r="C56" s="1579" t="s">
        <v>1591</v>
      </c>
      <c r="D56" s="1611" t="s">
        <v>251</v>
      </c>
      <c r="E56" s="626">
        <f t="shared" si="0"/>
        <v>1.0254848792637863</v>
      </c>
      <c r="F56" s="626">
        <f t="shared" si="2"/>
        <v>112.31057747185633</v>
      </c>
      <c r="G56" s="1579" t="s">
        <v>440</v>
      </c>
      <c r="H56" s="1183">
        <f>IF(D56="operation",VLOOKUP(G56,'Generic Divertor Port Tasks'!C$4:D$223,2,FALSE),"N/A")</f>
        <v>1.0254848792637863</v>
      </c>
      <c r="I56" s="1579"/>
      <c r="J56" s="582"/>
      <c r="K56" s="2194"/>
      <c r="L56" s="1479" t="str">
        <f>IFERROR(INDEX('Lower Hot Cell Logistics'!$I$13:$O$19,MATCH($J56,'Lower Hot Cell Logistics'!$H$13:$H$19,0),MATCH($K56,'Lower Hot Cell Logistics'!$H$13:$H$19,0)),"N/A")</f>
        <v>N/A</v>
      </c>
      <c r="M56" s="1478" t="str">
        <f>IFERROR(VLOOKUP($I56,'Lower Hot Cell Logistics'!$H$4:$I$9,2,FALSE),"N/A")</f>
        <v>N/A</v>
      </c>
      <c r="N56" s="1183" t="str">
        <f t="shared" si="1"/>
        <v>N/A</v>
      </c>
      <c r="O56" s="1578"/>
      <c r="P56" s="1183" t="str">
        <f>IF($D56="Logistics",VLOOKUP($O56,'Lower Hot Cell Logistics'!$C$4:$D$69,2,FALSE),"N/A")</f>
        <v>N/A</v>
      </c>
      <c r="Q56" s="1578"/>
      <c r="R56" s="1183" t="str">
        <f>IFERROR(VLOOKUP($Q56,'Lower Hot Cell Dependencies'!$C$5:$F$367,4,FALSE),"N/A")</f>
        <v>N/A</v>
      </c>
      <c r="S56" s="1183" t="str">
        <f t="shared" si="3"/>
        <v>N/A</v>
      </c>
    </row>
    <row r="57" spans="2:20" x14ac:dyDescent="0.35">
      <c r="B57" s="3786"/>
      <c r="C57" s="1579" t="s">
        <v>1593</v>
      </c>
      <c r="D57" s="1611" t="s">
        <v>3</v>
      </c>
      <c r="E57" s="626">
        <f t="shared" si="0"/>
        <v>0.53</v>
      </c>
      <c r="F57" s="626">
        <f t="shared" si="2"/>
        <v>112.84057747185634</v>
      </c>
      <c r="G57" s="1579"/>
      <c r="H57" s="1183" t="str">
        <f>IF(D57="operation",VLOOKUP(G57,'Generic Divertor Port Tasks'!C$4:D$223,2,FALSE),"N/A")</f>
        <v>N/A</v>
      </c>
      <c r="I57" s="1579"/>
      <c r="J57" s="582"/>
      <c r="K57" s="2194"/>
      <c r="L57" s="1479" t="str">
        <f>IFERROR(INDEX('Lower Hot Cell Logistics'!$I$13:$O$19,MATCH($J57,'Lower Hot Cell Logistics'!$H$13:$H$19,0),MATCH($K57,'Lower Hot Cell Logistics'!$H$13:$H$19,0)),"N/A")</f>
        <v>N/A</v>
      </c>
      <c r="M57" s="1478" t="str">
        <f>IFERROR(VLOOKUP($I57,'Lower Hot Cell Logistics'!$H$4:$I$9,2,FALSE),"N/A")</f>
        <v>N/A</v>
      </c>
      <c r="N57" s="1183" t="str">
        <f t="shared" si="1"/>
        <v>N/A</v>
      </c>
      <c r="O57" s="1578" t="s">
        <v>1558</v>
      </c>
      <c r="P57" s="1183">
        <f>IF($D57="Logistics",VLOOKUP($O57,'Lower Hot Cell Logistics'!$C$4:$D$69,2,FALSE),"N/A")</f>
        <v>0.53</v>
      </c>
      <c r="Q57" s="1578"/>
      <c r="R57" s="1183" t="str">
        <f>IFERROR(VLOOKUP($Q57,'Lower Hot Cell Dependencies'!$C$5:$F$367,4,FALSE),"N/A")</f>
        <v>N/A</v>
      </c>
      <c r="S57" s="1183" t="str">
        <f t="shared" si="3"/>
        <v>N/A</v>
      </c>
    </row>
    <row r="58" spans="2:20" x14ac:dyDescent="0.35">
      <c r="B58" s="3786"/>
      <c r="C58" s="1579" t="s">
        <v>1594</v>
      </c>
      <c r="D58" s="1611" t="s">
        <v>251</v>
      </c>
      <c r="E58" s="626">
        <f t="shared" si="0"/>
        <v>1.0254848792637863</v>
      </c>
      <c r="F58" s="626">
        <f t="shared" si="2"/>
        <v>113.86606235112012</v>
      </c>
      <c r="G58" s="1579" t="s">
        <v>440</v>
      </c>
      <c r="H58" s="1183">
        <f>IF(D58="operation",VLOOKUP(G58,'Generic Divertor Port Tasks'!C$4:D$223,2,FALSE),"N/A")</f>
        <v>1.0254848792637863</v>
      </c>
      <c r="I58" s="1579"/>
      <c r="J58" s="582"/>
      <c r="K58" s="2194"/>
      <c r="L58" s="1479" t="str">
        <f>IFERROR(INDEX('Lower Hot Cell Logistics'!$I$13:$O$19,MATCH($J58,'Lower Hot Cell Logistics'!$H$13:$H$19,0),MATCH($K58,'Lower Hot Cell Logistics'!$H$13:$H$19,0)),"N/A")</f>
        <v>N/A</v>
      </c>
      <c r="M58" s="1478" t="str">
        <f>IFERROR(VLOOKUP($I58,'Lower Hot Cell Logistics'!$H$4:$I$9,2,FALSE),"N/A")</f>
        <v>N/A</v>
      </c>
      <c r="N58" s="1183" t="str">
        <f t="shared" si="1"/>
        <v>N/A</v>
      </c>
      <c r="O58" s="1578"/>
      <c r="P58" s="1183" t="str">
        <f>IF($D58="Logistics",VLOOKUP($O58,'Lower Hot Cell Logistics'!$C$4:$D$69,2,FALSE),"N/A")</f>
        <v>N/A</v>
      </c>
      <c r="Q58" s="1578" t="s">
        <v>2028</v>
      </c>
      <c r="R58" s="1183">
        <f>IFERROR(VLOOKUP($Q58,'Lower Hot Cell Dependencies'!$C$5:$F$367,4,FALSE),"N/A")</f>
        <v>100.10879629629626</v>
      </c>
      <c r="S58" s="1183">
        <f t="shared" si="3"/>
        <v>12.731781175560073</v>
      </c>
    </row>
    <row r="59" spans="2:20" x14ac:dyDescent="0.35">
      <c r="B59" s="3786"/>
      <c r="C59" s="1579" t="s">
        <v>1596</v>
      </c>
      <c r="D59" s="1611" t="s">
        <v>3</v>
      </c>
      <c r="E59" s="626">
        <f t="shared" si="0"/>
        <v>0.53</v>
      </c>
      <c r="F59" s="626">
        <f t="shared" si="2"/>
        <v>114.39606235112012</v>
      </c>
      <c r="G59" s="1579"/>
      <c r="H59" s="1183" t="str">
        <f>IF(D59="operation",VLOOKUP(G59,'Generic Divertor Port Tasks'!C$4:D$223,2,FALSE),"N/A")</f>
        <v>N/A</v>
      </c>
      <c r="I59" s="1579"/>
      <c r="J59" s="582"/>
      <c r="K59" s="2194"/>
      <c r="L59" s="1479" t="str">
        <f>IFERROR(INDEX('Lower Hot Cell Logistics'!$I$13:$O$19,MATCH($J59,'Lower Hot Cell Logistics'!$H$13:$H$19,0),MATCH($K59,'Lower Hot Cell Logistics'!$H$13:$H$19,0)),"N/A")</f>
        <v>N/A</v>
      </c>
      <c r="M59" s="1478" t="str">
        <f>IFERROR(VLOOKUP($I59,'Lower Hot Cell Logistics'!$H$4:$I$9,2,FALSE),"N/A")</f>
        <v>N/A</v>
      </c>
      <c r="N59" s="1183" t="str">
        <f t="shared" si="1"/>
        <v>N/A</v>
      </c>
      <c r="O59" s="1578" t="s">
        <v>1558</v>
      </c>
      <c r="P59" s="1183">
        <f>IF($D59="Logistics",VLOOKUP($O59,'Lower Hot Cell Logistics'!$C$4:$D$69,2,FALSE),"N/A")</f>
        <v>0.53</v>
      </c>
      <c r="Q59" s="1578"/>
      <c r="R59" s="1183" t="str">
        <f>IFERROR(VLOOKUP($Q59,'Lower Hot Cell Dependencies'!$C$5:$F$367,4,FALSE),"N/A")</f>
        <v>N/A</v>
      </c>
      <c r="S59" s="1183" t="str">
        <f t="shared" si="3"/>
        <v>N/A</v>
      </c>
    </row>
    <row r="60" spans="2:20" x14ac:dyDescent="0.35">
      <c r="B60" s="3786"/>
      <c r="C60" s="1579" t="s">
        <v>1597</v>
      </c>
      <c r="D60" s="1611" t="s">
        <v>251</v>
      </c>
      <c r="E60" s="626">
        <f t="shared" si="0"/>
        <v>1.0254848792637863</v>
      </c>
      <c r="F60" s="626">
        <f t="shared" si="2"/>
        <v>115.42154723038391</v>
      </c>
      <c r="G60" s="1579" t="s">
        <v>440</v>
      </c>
      <c r="H60" s="1183">
        <f>IF(D60="operation",VLOOKUP(G60,'Generic Divertor Port Tasks'!C$4:D$223,2,FALSE),"N/A")</f>
        <v>1.0254848792637863</v>
      </c>
      <c r="I60" s="1579"/>
      <c r="J60" s="582"/>
      <c r="K60" s="2194"/>
      <c r="L60" s="1479" t="str">
        <f>IFERROR(INDEX('Lower Hot Cell Logistics'!$I$13:$O$19,MATCH($J60,'Lower Hot Cell Logistics'!$H$13:$H$19,0),MATCH($K60,'Lower Hot Cell Logistics'!$H$13:$H$19,0)),"N/A")</f>
        <v>N/A</v>
      </c>
      <c r="M60" s="1478" t="str">
        <f>IFERROR(VLOOKUP($I60,'Lower Hot Cell Logistics'!$H$4:$I$9,2,FALSE),"N/A")</f>
        <v>N/A</v>
      </c>
      <c r="N60" s="1183" t="str">
        <f t="shared" si="1"/>
        <v>N/A</v>
      </c>
      <c r="O60" s="1578"/>
      <c r="P60" s="1183" t="str">
        <f>IF($D60="Logistics",VLOOKUP($O60,'Lower Hot Cell Logistics'!$C$4:$D$69,2,FALSE),"N/A")</f>
        <v>N/A</v>
      </c>
      <c r="Q60" s="1578" t="s">
        <v>2029</v>
      </c>
      <c r="R60" s="1183">
        <f>IFERROR(VLOOKUP($Q60,'Lower Hot Cell Dependencies'!$C$5:$F$367,4,FALSE),"N/A")</f>
        <v>114.11650339778225</v>
      </c>
      <c r="S60" s="1183">
        <f t="shared" si="3"/>
        <v>0.27955895333786884</v>
      </c>
    </row>
    <row r="61" spans="2:20" ht="13.3" thickBot="1" x14ac:dyDescent="0.4">
      <c r="B61" s="3788"/>
      <c r="C61" s="1136" t="s">
        <v>2030</v>
      </c>
      <c r="D61" s="1581" t="s">
        <v>3</v>
      </c>
      <c r="E61" s="585">
        <f t="shared" si="0"/>
        <v>0.6</v>
      </c>
      <c r="F61" s="585">
        <f t="shared" si="2"/>
        <v>116.0215472303839</v>
      </c>
      <c r="G61" s="1136"/>
      <c r="H61" s="1179" t="str">
        <f>IF(D61="operation",VLOOKUP(G61,'Generic Divertor Port Tasks'!C$4:D$223,2,FALSE),"N/A")</f>
        <v>N/A</v>
      </c>
      <c r="I61" s="1136"/>
      <c r="J61" s="584"/>
      <c r="K61" s="1633"/>
      <c r="L61" s="813" t="str">
        <f>IFERROR(INDEX('Lower Hot Cell Logistics'!$I$13:$O$19,MATCH($J61,'Lower Hot Cell Logistics'!$H$13:$H$19,0),MATCH($K61,'Lower Hot Cell Logistics'!$H$13:$H$19,0)),"N/A")</f>
        <v>N/A</v>
      </c>
      <c r="M61" s="814" t="str">
        <f>IFERROR(VLOOKUP($I61,'Lower Hot Cell Logistics'!$H$4:$I$9,2,FALSE),"N/A")</f>
        <v>N/A</v>
      </c>
      <c r="N61" s="1179" t="str">
        <f t="shared" si="1"/>
        <v>N/A</v>
      </c>
      <c r="O61" s="1582" t="s">
        <v>2008</v>
      </c>
      <c r="P61" s="1179">
        <f>IF($D61="Logistics",VLOOKUP($O61,'Lower Hot Cell Logistics'!$C$4:$D$69,2,FALSE),"N/A")</f>
        <v>0.6</v>
      </c>
      <c r="Q61" s="1582"/>
      <c r="R61" s="1179" t="str">
        <f>IFERROR(VLOOKUP($Q61,'Lower Hot Cell Dependencies'!$C$5:$F$367,4,FALSE),"N/A")</f>
        <v>N/A</v>
      </c>
      <c r="S61" s="1179" t="str">
        <f t="shared" si="3"/>
        <v>N/A</v>
      </c>
    </row>
    <row r="62" spans="2:20" ht="25.75" x14ac:dyDescent="0.35">
      <c r="B62" s="3814" t="s">
        <v>2031</v>
      </c>
      <c r="C62" s="823" t="s">
        <v>1603</v>
      </c>
      <c r="D62" s="823" t="s">
        <v>3</v>
      </c>
      <c r="E62" s="1291">
        <f t="shared" si="0"/>
        <v>0.8</v>
      </c>
      <c r="F62" s="1739">
        <f t="shared" si="2"/>
        <v>118.08754383260158</v>
      </c>
      <c r="G62" s="829"/>
      <c r="H62" s="2040" t="str">
        <f>IF(D62="operation",VLOOKUP(G62,'Generic Divertor Port Tasks'!C$4:D$223,2,FALSE),"N/A")</f>
        <v>N/A</v>
      </c>
      <c r="I62" s="829"/>
      <c r="J62" s="823"/>
      <c r="K62" s="2191"/>
      <c r="L62" s="827" t="str">
        <f>IFERROR(INDEX('Lower Hot Cell Logistics'!$I$13:$O$19,MATCH($J62,'Lower Hot Cell Logistics'!$H$13:$H$19,0),MATCH($K62,'Lower Hot Cell Logistics'!$H$13:$H$19,0)),"N/A")</f>
        <v>N/A</v>
      </c>
      <c r="M62" s="828" t="str">
        <f>IFERROR(VLOOKUP($I62,'Lower Hot Cell Logistics'!$H$4:$I$9,2,FALSE),"N/A")</f>
        <v>N/A</v>
      </c>
      <c r="N62" s="2040" t="str">
        <f t="shared" si="1"/>
        <v>N/A</v>
      </c>
      <c r="O62" s="2039" t="s">
        <v>1828</v>
      </c>
      <c r="P62" s="2040">
        <f>IF($D62="Logistics",VLOOKUP($O62,'Lower Hot Cell Logistics'!$C$4:$D$69,2,FALSE),"N/A")</f>
        <v>0.8</v>
      </c>
      <c r="Q62" s="2039" t="s">
        <v>2032</v>
      </c>
      <c r="R62" s="2040">
        <f>IFERROR(VLOOKUP($Q62,'Lower Hot Cell Dependencies'!$C$5:$F$367,4,FALSE),"N/A")</f>
        <v>117.28754383260159</v>
      </c>
      <c r="S62" s="2040">
        <f t="shared" si="3"/>
        <v>-1.2659966022176832</v>
      </c>
    </row>
    <row r="63" spans="2:20" x14ac:dyDescent="0.35">
      <c r="B63" s="3815"/>
      <c r="C63" s="860" t="s">
        <v>1604</v>
      </c>
      <c r="D63" s="860" t="s">
        <v>251</v>
      </c>
      <c r="E63" s="1363">
        <f t="shared" si="0"/>
        <v>7.6666666666666661</v>
      </c>
      <c r="F63" s="1347">
        <f t="shared" si="2"/>
        <v>125.75421049926825</v>
      </c>
      <c r="G63" s="2041" t="s">
        <v>255</v>
      </c>
      <c r="H63" s="2042">
        <f>IF(D63="operation",VLOOKUP(G63,'Generic Divertor Port Tasks'!C$4:D$223,2,FALSE),"N/A")</f>
        <v>7.6666666666666661</v>
      </c>
      <c r="I63" s="2041"/>
      <c r="J63" s="860"/>
      <c r="K63" s="2192"/>
      <c r="L63" s="864" t="str">
        <f>IFERROR(INDEX('Lower Hot Cell Logistics'!$I$13:$O$19,MATCH($J63,'Lower Hot Cell Logistics'!$H$13:$H$19,0),MATCH($K63,'Lower Hot Cell Logistics'!$H$13:$H$19,0)),"N/A")</f>
        <v>N/A</v>
      </c>
      <c r="M63" s="865" t="str">
        <f>IFERROR(VLOOKUP($I63,'Lower Hot Cell Logistics'!$H$4:$I$9,2,FALSE),"N/A")</f>
        <v>N/A</v>
      </c>
      <c r="N63" s="2042" t="str">
        <f t="shared" si="1"/>
        <v>N/A</v>
      </c>
      <c r="O63" s="1725"/>
      <c r="P63" s="2042" t="str">
        <f>IF($D63="Logistics",VLOOKUP($O63,'Lower Hot Cell Logistics'!$C$4:$D$69,2,FALSE),"N/A")</f>
        <v>N/A</v>
      </c>
      <c r="Q63" s="1725"/>
      <c r="R63" s="2042" t="str">
        <f>IFERROR(VLOOKUP($Q63,'Lower Hot Cell Dependencies'!$C$5:$F$367,4,FALSE),"N/A")</f>
        <v>N/A</v>
      </c>
      <c r="S63" s="2042" t="str">
        <f t="shared" si="3"/>
        <v>N/A</v>
      </c>
    </row>
    <row r="64" spans="2:20" x14ac:dyDescent="0.35">
      <c r="B64" s="3815"/>
      <c r="C64" s="860" t="s">
        <v>1605</v>
      </c>
      <c r="D64" s="860" t="s">
        <v>3</v>
      </c>
      <c r="E64" s="1363">
        <f t="shared" si="0"/>
        <v>0.6</v>
      </c>
      <c r="F64" s="1347">
        <f t="shared" si="2"/>
        <v>126.35421049926825</v>
      </c>
      <c r="G64" s="2041"/>
      <c r="H64" s="2042" t="str">
        <f>IF(D64="operation",VLOOKUP(G64,'Generic Divertor Port Tasks'!C$4:D$223,2,FALSE),"N/A")</f>
        <v>N/A</v>
      </c>
      <c r="I64" s="2041"/>
      <c r="J64" s="860"/>
      <c r="K64" s="2192"/>
      <c r="L64" s="864" t="str">
        <f>IFERROR(INDEX('Lower Hot Cell Logistics'!$I$13:$O$19,MATCH($J64,'Lower Hot Cell Logistics'!$H$13:$H$19,0),MATCH($K64,'Lower Hot Cell Logistics'!$H$13:$H$19,0)),"N/A")</f>
        <v>N/A</v>
      </c>
      <c r="M64" s="865" t="str">
        <f>IFERROR(VLOOKUP($I64,'Lower Hot Cell Logistics'!$H$4:$I$9,2,FALSE),"N/A")</f>
        <v>N/A</v>
      </c>
      <c r="N64" s="2042" t="str">
        <f t="shared" si="1"/>
        <v>N/A</v>
      </c>
      <c r="O64" s="1725" t="s">
        <v>2008</v>
      </c>
      <c r="P64" s="2042">
        <f>IF($D64="Logistics",VLOOKUP($O64,'Lower Hot Cell Logistics'!$C$4:$D$69,2,FALSE),"N/A")</f>
        <v>0.6</v>
      </c>
      <c r="Q64" s="1725"/>
      <c r="R64" s="2042" t="str">
        <f>IFERROR(VLOOKUP($Q64,'Lower Hot Cell Dependencies'!$C$5:$F$367,4,FALSE),"N/A")</f>
        <v>N/A</v>
      </c>
      <c r="S64" s="2042" t="str">
        <f t="shared" si="3"/>
        <v>N/A</v>
      </c>
    </row>
    <row r="65" spans="2:19" x14ac:dyDescent="0.35">
      <c r="B65" s="3815"/>
      <c r="C65" s="860" t="s">
        <v>1606</v>
      </c>
      <c r="D65" s="860" t="s">
        <v>3</v>
      </c>
      <c r="E65" s="1363">
        <f t="shared" si="0"/>
        <v>0.8</v>
      </c>
      <c r="F65" s="1347">
        <f t="shared" si="2"/>
        <v>127.15421049926825</v>
      </c>
      <c r="G65" s="2041"/>
      <c r="H65" s="2042" t="str">
        <f>IF(D65="operation",VLOOKUP(G65,'Generic Divertor Port Tasks'!C$4:D$223,2,FALSE),"N/A")</f>
        <v>N/A</v>
      </c>
      <c r="I65" s="2041"/>
      <c r="J65" s="860"/>
      <c r="K65" s="2192"/>
      <c r="L65" s="864" t="str">
        <f>IFERROR(INDEX('Lower Hot Cell Logistics'!$I$13:$O$19,MATCH($J65,'Lower Hot Cell Logistics'!$H$13:$H$19,0),MATCH($K65,'Lower Hot Cell Logistics'!$H$13:$H$19,0)),"N/A")</f>
        <v>N/A</v>
      </c>
      <c r="M65" s="865" t="str">
        <f>IFERROR(VLOOKUP($I65,'Lower Hot Cell Logistics'!$H$4:$I$9,2,FALSE),"N/A")</f>
        <v>N/A</v>
      </c>
      <c r="N65" s="2042" t="str">
        <f t="shared" si="1"/>
        <v>N/A</v>
      </c>
      <c r="O65" s="1725" t="s">
        <v>1828</v>
      </c>
      <c r="P65" s="2042">
        <f>IF($D65="Logistics",VLOOKUP($O65,'Lower Hot Cell Logistics'!$C$4:$D$69,2,FALSE),"N/A")</f>
        <v>0.8</v>
      </c>
      <c r="Q65" s="1725"/>
      <c r="R65" s="2042" t="str">
        <f>IFERROR(VLOOKUP($Q65,'Lower Hot Cell Dependencies'!$C$5:$F$367,4,FALSE),"N/A")</f>
        <v>N/A</v>
      </c>
      <c r="S65" s="2042" t="str">
        <f t="shared" si="3"/>
        <v>N/A</v>
      </c>
    </row>
    <row r="66" spans="2:19" x14ac:dyDescent="0.35">
      <c r="B66" s="3815"/>
      <c r="C66" s="860" t="s">
        <v>1607</v>
      </c>
      <c r="D66" s="860" t="s">
        <v>251</v>
      </c>
      <c r="E66" s="1363">
        <f t="shared" si="0"/>
        <v>0.84999999999999987</v>
      </c>
      <c r="F66" s="1347">
        <f t="shared" si="2"/>
        <v>128.00421049926825</v>
      </c>
      <c r="G66" s="2041" t="s">
        <v>270</v>
      </c>
      <c r="H66" s="2042">
        <f>IF(D66="operation",VLOOKUP(G66,'Generic Divertor Port Tasks'!C$4:D$223,2,FALSE),"N/A")</f>
        <v>0.84999999999999987</v>
      </c>
      <c r="I66" s="2041"/>
      <c r="J66" s="860"/>
      <c r="K66" s="2192"/>
      <c r="L66" s="864" t="str">
        <f>IFERROR(INDEX('Lower Hot Cell Logistics'!$I$13:$O$19,MATCH($J66,'Lower Hot Cell Logistics'!$H$13:$H$19,0),MATCH($K66,'Lower Hot Cell Logistics'!$H$13:$H$19,0)),"N/A")</f>
        <v>N/A</v>
      </c>
      <c r="M66" s="865" t="str">
        <f>IFERROR(VLOOKUP($I66,'Lower Hot Cell Logistics'!$H$4:$I$9,2,FALSE),"N/A")</f>
        <v>N/A</v>
      </c>
      <c r="N66" s="2042" t="str">
        <f t="shared" si="1"/>
        <v>N/A</v>
      </c>
      <c r="O66" s="1725"/>
      <c r="P66" s="2042" t="str">
        <f>IF($D66="Logistics",VLOOKUP($O66,'Lower Hot Cell Logistics'!$C$4:$D$69,2,FALSE),"N/A")</f>
        <v>N/A</v>
      </c>
      <c r="Q66" s="1725"/>
      <c r="R66" s="2042" t="str">
        <f>IFERROR(VLOOKUP($Q66,'Lower Hot Cell Dependencies'!$C$5:$F$367,4,FALSE),"N/A")</f>
        <v>N/A</v>
      </c>
      <c r="S66" s="2042" t="str">
        <f t="shared" si="3"/>
        <v>N/A</v>
      </c>
    </row>
    <row r="67" spans="2:19" ht="13.3" thickBot="1" x14ac:dyDescent="0.4">
      <c r="B67" s="3816"/>
      <c r="C67" s="837" t="s">
        <v>2033</v>
      </c>
      <c r="D67" s="837" t="s">
        <v>3</v>
      </c>
      <c r="E67" s="2043">
        <f t="shared" si="0"/>
        <v>0.6</v>
      </c>
      <c r="F67" s="1295">
        <f t="shared" si="2"/>
        <v>128.60421049926825</v>
      </c>
      <c r="G67" s="1869"/>
      <c r="H67" s="1922" t="str">
        <f>IF(D67="operation",VLOOKUP(G67,'Generic Divertor Port Tasks'!C$4:D$223,2,FALSE),"N/A")</f>
        <v>N/A</v>
      </c>
      <c r="I67" s="1869"/>
      <c r="J67" s="837"/>
      <c r="K67" s="2204"/>
      <c r="L67" s="841" t="str">
        <f>IFERROR(INDEX('Lower Hot Cell Logistics'!$I$13:$O$19,MATCH($J67,'Lower Hot Cell Logistics'!$H$13:$H$19,0),MATCH($K67,'Lower Hot Cell Logistics'!$H$13:$H$19,0)),"N/A")</f>
        <v>N/A</v>
      </c>
      <c r="M67" s="842" t="str">
        <f>IFERROR(VLOOKUP($I67,'Lower Hot Cell Logistics'!$H$4:$I$9,2,FALSE),"N/A")</f>
        <v>N/A</v>
      </c>
      <c r="N67" s="1922" t="str">
        <f t="shared" si="1"/>
        <v>N/A</v>
      </c>
      <c r="O67" s="1921" t="s">
        <v>2008</v>
      </c>
      <c r="P67" s="1922">
        <f>IF($D67="Logistics",VLOOKUP($O67,'Lower Hot Cell Logistics'!$C$4:$D$69,2,FALSE),"N/A")</f>
        <v>0.6</v>
      </c>
      <c r="Q67" s="1921"/>
      <c r="R67" s="1922" t="str">
        <f>IFERROR(VLOOKUP($Q67,'Lower Hot Cell Dependencies'!$C$5:$F$367,4,FALSE),"N/A")</f>
        <v>N/A</v>
      </c>
      <c r="S67" s="1922" t="str">
        <f t="shared" si="3"/>
        <v>N/A</v>
      </c>
    </row>
    <row r="68" spans="2:19" ht="25.75" x14ac:dyDescent="0.35">
      <c r="B68" s="3787" t="s">
        <v>1609</v>
      </c>
      <c r="C68" s="566" t="s">
        <v>1606</v>
      </c>
      <c r="D68" s="566" t="s">
        <v>3</v>
      </c>
      <c r="E68" s="567">
        <f t="shared" si="0"/>
        <v>0.8</v>
      </c>
      <c r="F68" s="1621">
        <f t="shared" si="2"/>
        <v>129.40421049926826</v>
      </c>
      <c r="G68" s="803"/>
      <c r="H68" s="1175" t="str">
        <f>IF(D68="operation",VLOOKUP(G68,'Generic Divertor Port Tasks'!C$4:D$223,2,FALSE),"N/A")</f>
        <v>N/A</v>
      </c>
      <c r="I68" s="803"/>
      <c r="J68" s="566"/>
      <c r="K68" s="2205"/>
      <c r="L68" s="802" t="str">
        <f>IFERROR(INDEX('Lower Hot Cell Logistics'!$I$13:$O$19,MATCH($J68,'Lower Hot Cell Logistics'!$H$13:$H$19,0),MATCH($K68,'Lower Hot Cell Logistics'!$H$13:$H$19,0)),"N/A")</f>
        <v>N/A</v>
      </c>
      <c r="M68" s="570" t="str">
        <f>IFERROR(VLOOKUP($I68,'Lower Hot Cell Logistics'!$H$4:$I$9,2,FALSE),"N/A")</f>
        <v>N/A</v>
      </c>
      <c r="N68" s="1175" t="str">
        <f t="shared" si="1"/>
        <v>N/A</v>
      </c>
      <c r="O68" s="1664" t="s">
        <v>1828</v>
      </c>
      <c r="P68" s="1175">
        <f>IF($D68="Logistics",VLOOKUP($O68,'Lower Hot Cell Logistics'!$C$4:$D$69,2,FALSE),"N/A")</f>
        <v>0.8</v>
      </c>
      <c r="Q68" s="1664" t="s">
        <v>2034</v>
      </c>
      <c r="R68" s="1175">
        <f>IFERROR(VLOOKUP($Q68,'Lower Hot Cell Dependencies'!$C$5:$F$367,4,FALSE),"N/A")</f>
        <v>119.37080648964316</v>
      </c>
      <c r="S68" s="1175">
        <f t="shared" si="3"/>
        <v>9.2334040096250902</v>
      </c>
    </row>
    <row r="69" spans="2:19" x14ac:dyDescent="0.35">
      <c r="B69" s="3786"/>
      <c r="C69" s="573" t="s">
        <v>1611</v>
      </c>
      <c r="D69" s="573" t="s">
        <v>251</v>
      </c>
      <c r="E69" s="1276">
        <f t="shared" si="0"/>
        <v>0.84999999999999987</v>
      </c>
      <c r="F69" s="626">
        <f t="shared" si="2"/>
        <v>130.25421049926825</v>
      </c>
      <c r="G69" s="1131" t="s">
        <v>271</v>
      </c>
      <c r="H69" s="1176">
        <f>IF(D69="operation",VLOOKUP(G69,'Generic Divertor Port Tasks'!C$4:D$223,2,FALSE),"N/A")</f>
        <v>0.84999999999999987</v>
      </c>
      <c r="I69" s="1131"/>
      <c r="J69" s="573"/>
      <c r="K69" s="1631"/>
      <c r="L69" s="852" t="str">
        <f>IFERROR(INDEX('Lower Hot Cell Logistics'!$I$13:$O$19,MATCH($J69,'Lower Hot Cell Logistics'!$H$13:$H$19,0),MATCH($K69,'Lower Hot Cell Logistics'!$H$13:$H$19,0)),"N/A")</f>
        <v>N/A</v>
      </c>
      <c r="M69" s="853" t="str">
        <f>IFERROR(VLOOKUP($I69,'Lower Hot Cell Logistics'!$H$4:$I$9,2,FALSE),"N/A")</f>
        <v>N/A</v>
      </c>
      <c r="N69" s="1176" t="str">
        <f t="shared" si="1"/>
        <v>N/A</v>
      </c>
      <c r="O69" s="1580"/>
      <c r="P69" s="1176" t="str">
        <f>IF($D69="Logistics",VLOOKUP($O69,'Lower Hot Cell Logistics'!$C$4:$D$69,2,FALSE),"N/A")</f>
        <v>N/A</v>
      </c>
      <c r="Q69" s="1580"/>
      <c r="R69" s="1176" t="str">
        <f>IFERROR(VLOOKUP($Q69,'Lower Hot Cell Dependencies'!$C$5:$F$367,4,FALSE),"N/A")</f>
        <v>N/A</v>
      </c>
      <c r="S69" s="1176" t="str">
        <f t="shared" si="3"/>
        <v>N/A</v>
      </c>
    </row>
    <row r="70" spans="2:19" ht="13.3" thickBot="1" x14ac:dyDescent="0.4">
      <c r="B70" s="3788"/>
      <c r="C70" s="584" t="s">
        <v>2035</v>
      </c>
      <c r="D70" s="584" t="s">
        <v>3</v>
      </c>
      <c r="E70" s="1632">
        <f t="shared" si="0"/>
        <v>0.6</v>
      </c>
      <c r="F70" s="585">
        <f t="shared" si="2"/>
        <v>130.85421049926825</v>
      </c>
      <c r="G70" s="1136"/>
      <c r="H70" s="1179" t="str">
        <f>IF(D70="operation",VLOOKUP(G70,'Generic Divertor Port Tasks'!C$4:D$223,2,FALSE),"N/A")</f>
        <v>N/A</v>
      </c>
      <c r="I70" s="1136"/>
      <c r="J70" s="584"/>
      <c r="K70" s="1633"/>
      <c r="L70" s="813" t="str">
        <f>IFERROR(INDEX('Lower Hot Cell Logistics'!$I$13:$O$19,MATCH($J70,'Lower Hot Cell Logistics'!$H$13:$H$19,0),MATCH($K70,'Lower Hot Cell Logistics'!$H$13:$H$19,0)),"N/A")</f>
        <v>N/A</v>
      </c>
      <c r="M70" s="814" t="str">
        <f>IFERROR(VLOOKUP($I70,'Lower Hot Cell Logistics'!$H$4:$I$9,2,FALSE),"N/A")</f>
        <v>N/A</v>
      </c>
      <c r="N70" s="1179" t="str">
        <f t="shared" si="1"/>
        <v>N/A</v>
      </c>
      <c r="O70" s="1582" t="s">
        <v>2008</v>
      </c>
      <c r="P70" s="1179">
        <f>IF($D70="Logistics",VLOOKUP($O70,'Lower Hot Cell Logistics'!$C$4:$D$69,2,FALSE),"N/A")</f>
        <v>0.6</v>
      </c>
      <c r="Q70" s="1582"/>
      <c r="R70" s="1179" t="str">
        <f>IFERROR(VLOOKUP($Q70,'Lower Hot Cell Dependencies'!$C$5:$F$367,4,FALSE),"N/A")</f>
        <v>N/A</v>
      </c>
      <c r="S70" s="1179" t="str">
        <f t="shared" si="3"/>
        <v>N/A</v>
      </c>
    </row>
    <row r="71" spans="2:19" ht="15" customHeight="1" x14ac:dyDescent="0.35">
      <c r="B71" s="3814" t="s">
        <v>1613</v>
      </c>
      <c r="C71" s="823" t="s">
        <v>1606</v>
      </c>
      <c r="D71" s="823" t="s">
        <v>3</v>
      </c>
      <c r="E71" s="1291">
        <f t="shared" si="0"/>
        <v>0.8</v>
      </c>
      <c r="F71" s="1739">
        <f t="shared" si="2"/>
        <v>131.91791420297199</v>
      </c>
      <c r="G71" s="829"/>
      <c r="H71" s="2040" t="str">
        <f>IF(D71="operation",VLOOKUP(G71,'Generic Divertor Port Tasks'!C$4:D$223,2,FALSE),"N/A")</f>
        <v>N/A</v>
      </c>
      <c r="I71" s="829"/>
      <c r="J71" s="823"/>
      <c r="K71" s="2191"/>
      <c r="L71" s="827" t="str">
        <f>IFERROR(INDEX('Lower Hot Cell Logistics'!$I$13:$O$19,MATCH($J71,'Lower Hot Cell Logistics'!$H$13:$H$19,0),MATCH($K71,'Lower Hot Cell Logistics'!$H$13:$H$19,0)),"N/A")</f>
        <v>N/A</v>
      </c>
      <c r="M71" s="828" t="str">
        <f>IFERROR(VLOOKUP($I71,'Lower Hot Cell Logistics'!$H$4:$I$9,2,FALSE),"N/A")</f>
        <v>N/A</v>
      </c>
      <c r="N71" s="2040" t="str">
        <f t="shared" si="1"/>
        <v>N/A</v>
      </c>
      <c r="O71" s="2039" t="s">
        <v>1828</v>
      </c>
      <c r="P71" s="2040">
        <f>IF($D71="Logistics",VLOOKUP($O71,'Lower Hot Cell Logistics'!$C$4:$D$69,2,FALSE),"N/A")</f>
        <v>0.8</v>
      </c>
      <c r="Q71" s="2039" t="s">
        <v>1614</v>
      </c>
      <c r="R71" s="2040">
        <f>IFERROR(VLOOKUP($Q71,'Lower Hot Cell Dependencies'!$C$5:$F$367,4,FALSE),"N/A")</f>
        <v>131.11791420297197</v>
      </c>
      <c r="S71" s="2040">
        <f t="shared" si="3"/>
        <v>-0.26370370370372598</v>
      </c>
    </row>
    <row r="72" spans="2:19" x14ac:dyDescent="0.35">
      <c r="B72" s="3815"/>
      <c r="C72" s="860" t="s">
        <v>1615</v>
      </c>
      <c r="D72" s="860" t="s">
        <v>251</v>
      </c>
      <c r="E72" s="1363">
        <f t="shared" si="0"/>
        <v>0.84999999999999987</v>
      </c>
      <c r="F72" s="1347">
        <f t="shared" si="2"/>
        <v>132.76791420297198</v>
      </c>
      <c r="G72" s="2041" t="s">
        <v>271</v>
      </c>
      <c r="H72" s="2042">
        <f>IF(D72="operation",VLOOKUP(G72,'Generic Divertor Port Tasks'!C$4:D$223,2,FALSE),"N/A")</f>
        <v>0.84999999999999987</v>
      </c>
      <c r="I72" s="2041"/>
      <c r="J72" s="860"/>
      <c r="K72" s="2192"/>
      <c r="L72" s="864" t="str">
        <f>IFERROR(INDEX('Lower Hot Cell Logistics'!$I$13:$O$19,MATCH($J72,'Lower Hot Cell Logistics'!$H$13:$H$19,0),MATCH($K72,'Lower Hot Cell Logistics'!$H$13:$H$19,0)),"N/A")</f>
        <v>N/A</v>
      </c>
      <c r="M72" s="865" t="str">
        <f>IFERROR(VLOOKUP($I72,'Lower Hot Cell Logistics'!$H$4:$I$9,2,FALSE),"N/A")</f>
        <v>N/A</v>
      </c>
      <c r="N72" s="2042" t="str">
        <f t="shared" si="1"/>
        <v>N/A</v>
      </c>
      <c r="O72" s="1725"/>
      <c r="P72" s="2042" t="str">
        <f>IF($D72="Logistics",VLOOKUP($O72,'Lower Hot Cell Logistics'!$C$4:$D$69,2,FALSE),"N/A")</f>
        <v>N/A</v>
      </c>
      <c r="Q72" s="1725"/>
      <c r="R72" s="2042" t="str">
        <f>IFERROR(VLOOKUP($Q72,'Lower Hot Cell Dependencies'!$C$5:$F$367,4,FALSE),"N/A")</f>
        <v>N/A</v>
      </c>
      <c r="S72" s="2042" t="str">
        <f t="shared" si="3"/>
        <v>N/A</v>
      </c>
    </row>
    <row r="73" spans="2:19" ht="13.3" thickBot="1" x14ac:dyDescent="0.4">
      <c r="B73" s="3816"/>
      <c r="C73" s="837" t="s">
        <v>2036</v>
      </c>
      <c r="D73" s="837" t="s">
        <v>3</v>
      </c>
      <c r="E73" s="2043">
        <f t="shared" si="0"/>
        <v>0.6</v>
      </c>
      <c r="F73" s="1295">
        <f t="shared" si="2"/>
        <v>133.36791420297197</v>
      </c>
      <c r="G73" s="1869"/>
      <c r="H73" s="1922" t="str">
        <f>IF(D73="operation",VLOOKUP(G73,'Generic Divertor Port Tasks'!C$4:D$223,2,FALSE),"N/A")</f>
        <v>N/A</v>
      </c>
      <c r="I73" s="1869"/>
      <c r="J73" s="837"/>
      <c r="K73" s="2204"/>
      <c r="L73" s="841" t="str">
        <f>IFERROR(INDEX('Lower Hot Cell Logistics'!$I$13:$O$19,MATCH($J73,'Lower Hot Cell Logistics'!$H$13:$H$19,0),MATCH($K73,'Lower Hot Cell Logistics'!$H$13:$H$19,0)),"N/A")</f>
        <v>N/A</v>
      </c>
      <c r="M73" s="842" t="str">
        <f>IFERROR(VLOOKUP($I73,'Lower Hot Cell Logistics'!$H$4:$I$9,2,FALSE),"N/A")</f>
        <v>N/A</v>
      </c>
      <c r="N73" s="1922" t="str">
        <f t="shared" si="1"/>
        <v>N/A</v>
      </c>
      <c r="O73" s="1921" t="s">
        <v>2008</v>
      </c>
      <c r="P73" s="1922">
        <f>IF($D73="Logistics",VLOOKUP($O73,'Lower Hot Cell Logistics'!$C$4:$D$69,2,FALSE),"N/A")</f>
        <v>0.6</v>
      </c>
      <c r="Q73" s="1921"/>
      <c r="R73" s="1922" t="str">
        <f>IFERROR(VLOOKUP($Q73,'Lower Hot Cell Dependencies'!$C$5:$F$367,4,FALSE),"N/A")</f>
        <v>N/A</v>
      </c>
      <c r="S73" s="1922" t="str">
        <f t="shared" si="3"/>
        <v>N/A</v>
      </c>
    </row>
    <row r="74" spans="2:19" x14ac:dyDescent="0.35">
      <c r="B74" s="3800" t="s">
        <v>1617</v>
      </c>
      <c r="C74" s="1647" t="s">
        <v>850</v>
      </c>
      <c r="D74" s="1647"/>
      <c r="E74" s="1647"/>
      <c r="F74" s="1648">
        <f>F73</f>
        <v>133.36791420297197</v>
      </c>
      <c r="G74" s="1649"/>
      <c r="H74" s="1649"/>
      <c r="I74" s="1649"/>
      <c r="J74" s="1649"/>
      <c r="K74" s="1649"/>
      <c r="L74" s="2206"/>
      <c r="M74" s="2206"/>
      <c r="N74" s="2206"/>
      <c r="O74" s="2206"/>
      <c r="P74" s="2207"/>
      <c r="Q74" s="2207"/>
      <c r="R74" s="2207"/>
      <c r="S74" s="2207"/>
    </row>
    <row r="75" spans="2:19" x14ac:dyDescent="0.35">
      <c r="B75" s="3800"/>
      <c r="C75" s="1649" t="s">
        <v>851</v>
      </c>
      <c r="D75" s="1649"/>
      <c r="E75" s="1649"/>
      <c r="F75" s="1652">
        <f>SUMIF($D$7:$D$73,"Operation",$E$7:$E$73)</f>
        <v>101.52006574890245</v>
      </c>
      <c r="G75" s="1653">
        <f>F75/$F$106</f>
        <v>0.6179144856351898</v>
      </c>
      <c r="H75" s="1653">
        <f>F75/$F$74</f>
        <v>0.76120307013574162</v>
      </c>
      <c r="I75" s="1647"/>
      <c r="J75" s="1647"/>
      <c r="K75" s="1647"/>
      <c r="L75" s="1647"/>
      <c r="M75" s="1647"/>
      <c r="N75" s="1647"/>
      <c r="O75" s="1647"/>
      <c r="P75" s="1654"/>
      <c r="Q75" s="1654"/>
      <c r="R75" s="1654"/>
      <c r="S75" s="1654"/>
    </row>
    <row r="76" spans="2:19" x14ac:dyDescent="0.35">
      <c r="B76" s="3800"/>
      <c r="C76" s="1649" t="s">
        <v>852</v>
      </c>
      <c r="D76" s="1649"/>
      <c r="E76" s="1649"/>
      <c r="F76" s="1652">
        <f>SUMIF($D$7:$D$73,"Logistics",$E$7:$E$73)</f>
        <v>29.670000000000016</v>
      </c>
      <c r="G76" s="1653">
        <f>F76/$F$106</f>
        <v>0.18059013903854074</v>
      </c>
      <c r="H76" s="1653">
        <f>F76/$F$74</f>
        <v>0.22246730165431985</v>
      </c>
      <c r="I76" s="1649"/>
      <c r="J76" s="1649"/>
      <c r="K76" s="1649"/>
      <c r="L76" s="1649"/>
      <c r="M76" s="1649"/>
      <c r="N76" s="1649"/>
      <c r="O76" s="1649"/>
      <c r="P76" s="1650"/>
      <c r="Q76" s="1650"/>
      <c r="R76" s="1650"/>
      <c r="S76" s="1650"/>
    </row>
    <row r="77" spans="2:19" ht="13.3" thickBot="1" x14ac:dyDescent="0.4">
      <c r="B77" s="3800"/>
      <c r="C77" s="1649" t="s">
        <v>853</v>
      </c>
      <c r="D77" s="1649"/>
      <c r="E77" s="1649"/>
      <c r="F77" s="1652">
        <f>SUMIF($D$7:$D$73,"Movement",$E$7:$E$73)</f>
        <v>0.64814814814814814</v>
      </c>
      <c r="G77" s="1653">
        <f>F77/F74</f>
        <v>4.8598506771406402E-3</v>
      </c>
      <c r="H77" s="1653">
        <f>F77/$F$74</f>
        <v>4.8598506771406402E-3</v>
      </c>
      <c r="I77" s="1649"/>
      <c r="J77" s="1649"/>
      <c r="K77" s="1649"/>
      <c r="L77" s="1649"/>
      <c r="M77" s="1649"/>
      <c r="N77" s="1649"/>
      <c r="O77" s="1649"/>
      <c r="P77" s="1650"/>
      <c r="Q77" s="1650"/>
      <c r="R77" s="1650"/>
      <c r="S77" s="1650"/>
    </row>
    <row r="78" spans="2:19" ht="25.75" x14ac:dyDescent="0.35">
      <c r="B78" s="3787" t="s">
        <v>2037</v>
      </c>
      <c r="C78" s="1129" t="s">
        <v>1252</v>
      </c>
      <c r="D78" s="1620" t="s">
        <v>3</v>
      </c>
      <c r="E78" s="1621">
        <f t="shared" ref="E78:E105" si="6">MAX($P78,$N78,$H78)</f>
        <v>0.8</v>
      </c>
      <c r="F78" s="1621">
        <f>IF(S78&lt;0,E78+F73+(-S78),E78+F72)</f>
        <v>134.94050679556457</v>
      </c>
      <c r="G78" s="1129"/>
      <c r="H78" s="1575" t="str">
        <f>IF(D78="operation",VLOOKUP(G78,'Generic Divertor Port Tasks'!C$4:D$223,2,FALSE),"N/A")</f>
        <v>N/A</v>
      </c>
      <c r="I78" s="1129"/>
      <c r="J78" s="1619"/>
      <c r="K78" s="1619"/>
      <c r="L78" s="1623" t="str">
        <f>IFERROR(INDEX('Lower Hot Cell Logistics'!$I$13:$O$19,MATCH($J78,'Lower Hot Cell Logistics'!$H$13:$H$19,0),MATCH($K78,'Lower Hot Cell Logistics'!$H$13:$H$19,0)),"N/A")</f>
        <v>N/A</v>
      </c>
      <c r="M78" s="1623" t="str">
        <f>IFERROR(VLOOKUP($I78,'Lower Hot Cell Logistics'!$H$4:$I$9,2,FALSE),"N/A")</f>
        <v>N/A</v>
      </c>
      <c r="N78" s="1575" t="str">
        <f t="shared" ref="N78:N105" si="7">IF(D78="Movement",IFERROR((L78/M78)/(60*60),"Error"),"N/A")</f>
        <v>N/A</v>
      </c>
      <c r="O78" s="1576" t="s">
        <v>1828</v>
      </c>
      <c r="P78" s="1575">
        <f>IF($D78="Logistics",VLOOKUP($O78,'Lower Hot Cell Logistics'!$C$4:$D$69,2,FALSE),"N/A")</f>
        <v>0.8</v>
      </c>
      <c r="Q78" s="1576" t="s">
        <v>2038</v>
      </c>
      <c r="R78" s="1575">
        <f>IFERROR(VLOOKUP($Q78,'Lower Hot Cell Dependencies'!$C$5:$F$367,4,FALSE),"N/A")</f>
        <v>134.14050679556456</v>
      </c>
      <c r="S78" s="1575">
        <f>IFERROR(F73-R78,"N/A")</f>
        <v>-0.77259259259258783</v>
      </c>
    </row>
    <row r="79" spans="2:19" x14ac:dyDescent="0.35">
      <c r="B79" s="3786"/>
      <c r="C79" s="1579" t="s">
        <v>1621</v>
      </c>
      <c r="D79" s="1611" t="s">
        <v>251</v>
      </c>
      <c r="E79" s="626">
        <f>MAX($P79,$N79,$H79)</f>
        <v>3.83</v>
      </c>
      <c r="F79" s="626">
        <f>IF(S79&lt;0,E79+F78+(-S79),E79+F78)</f>
        <v>138.77050679556459</v>
      </c>
      <c r="G79" s="1579" t="s">
        <v>269</v>
      </c>
      <c r="H79" s="1183">
        <f>IF(D79="operation",VLOOKUP(G79,'Generic Divertor Port Tasks'!C$4:D$223,2,FALSE),"N/A")</f>
        <v>3.83</v>
      </c>
      <c r="I79" s="1579"/>
      <c r="J79" s="582"/>
      <c r="K79" s="582"/>
      <c r="L79" s="1478" t="str">
        <f>IFERROR(INDEX('Lower Hot Cell Logistics'!$I$13:$O$19,MATCH($J79,'Lower Hot Cell Logistics'!$H$13:$H$19,0),MATCH($K79,'Lower Hot Cell Logistics'!$H$13:$H$19,0)),"N/A")</f>
        <v>N/A</v>
      </c>
      <c r="M79" s="1478" t="str">
        <f>IFERROR(VLOOKUP($I79,'Lower Hot Cell Logistics'!$H$4:$I$9,2,FALSE),"N/A")</f>
        <v>N/A</v>
      </c>
      <c r="N79" s="1183" t="str">
        <f t="shared" si="7"/>
        <v>N/A</v>
      </c>
      <c r="O79" s="1578"/>
      <c r="P79" s="1183" t="str">
        <f>IF($D79="Logistics",VLOOKUP($O79,'Lower Hot Cell Logistics'!$C$4:$D$69,2,FALSE),"N/A")</f>
        <v>N/A</v>
      </c>
      <c r="Q79" s="1578"/>
      <c r="R79" s="1183" t="str">
        <f>IFERROR(VLOOKUP($Q79,'Lower Hot Cell Dependencies'!$C$5:$F$367,4,FALSE),"N/A")</f>
        <v>N/A</v>
      </c>
      <c r="S79" s="1183" t="str">
        <f t="shared" ref="S79:S105" si="8">IFERROR(F78-R79,"N/A")</f>
        <v>N/A</v>
      </c>
    </row>
    <row r="80" spans="2:19" x14ac:dyDescent="0.35">
      <c r="B80" s="3786"/>
      <c r="C80" s="1579" t="s">
        <v>2039</v>
      </c>
      <c r="D80" s="1611" t="s">
        <v>3</v>
      </c>
      <c r="E80" s="626">
        <f t="shared" si="6"/>
        <v>0.8</v>
      </c>
      <c r="F80" s="626">
        <f t="shared" ref="F80:F105" si="9">IF(S80&lt;0,E80+F79+(-S80),E80+F79)</f>
        <v>139.5705067955646</v>
      </c>
      <c r="G80" s="1579"/>
      <c r="H80" s="1183" t="str">
        <f>IF(D80="operation",VLOOKUP(G80,'Generic Divertor Port Tasks'!C$4:D$223,2,FALSE),"N/A")</f>
        <v>N/A</v>
      </c>
      <c r="I80" s="1579"/>
      <c r="J80" s="582"/>
      <c r="K80" s="582"/>
      <c r="L80" s="1478" t="str">
        <f>IFERROR(INDEX('Lower Hot Cell Logistics'!$I$13:$O$19,MATCH($J80,'Lower Hot Cell Logistics'!$H$13:$H$19,0),MATCH($K80,'Lower Hot Cell Logistics'!$H$13:$H$19,0)),"N/A")</f>
        <v>N/A</v>
      </c>
      <c r="M80" s="1478" t="str">
        <f>IFERROR(VLOOKUP($I80,'Lower Hot Cell Logistics'!$H$4:$I$9,2,FALSE),"N/A")</f>
        <v>N/A</v>
      </c>
      <c r="N80" s="1183" t="str">
        <f t="shared" si="7"/>
        <v>N/A</v>
      </c>
      <c r="O80" s="1578" t="s">
        <v>1828</v>
      </c>
      <c r="P80" s="1183">
        <f>IF($D80="Logistics",VLOOKUP($O80,'Lower Hot Cell Logistics'!$C$4:$D$69,2,FALSE),"N/A")</f>
        <v>0.8</v>
      </c>
      <c r="Q80" s="1578"/>
      <c r="R80" s="1183" t="str">
        <f>IFERROR(VLOOKUP($Q80,'Lower Hot Cell Dependencies'!$C$5:$F$367,4,FALSE),"N/A")</f>
        <v>N/A</v>
      </c>
      <c r="S80" s="1183" t="str">
        <f t="shared" si="8"/>
        <v>N/A</v>
      </c>
    </row>
    <row r="81" spans="2:19" x14ac:dyDescent="0.35">
      <c r="B81" s="3786"/>
      <c r="C81" s="1579" t="s">
        <v>2040</v>
      </c>
      <c r="D81" s="1611" t="s">
        <v>251</v>
      </c>
      <c r="E81" s="626">
        <f t="shared" si="6"/>
        <v>0.76001979591324842</v>
      </c>
      <c r="F81" s="626">
        <f t="shared" si="9"/>
        <v>140.33052659147785</v>
      </c>
      <c r="G81" s="1579" t="s">
        <v>441</v>
      </c>
      <c r="H81" s="1183">
        <f>IF(D81="operation",VLOOKUP(G81,'Generic Divertor Port Tasks'!C$4:D$223,2,FALSE),"N/A")</f>
        <v>0.76001979591324842</v>
      </c>
      <c r="I81" s="1579"/>
      <c r="J81" s="582"/>
      <c r="K81" s="582"/>
      <c r="L81" s="1478" t="str">
        <f>IFERROR(INDEX('Lower Hot Cell Logistics'!$I$13:$O$19,MATCH($J81,'Lower Hot Cell Logistics'!$H$13:$H$19,0),MATCH($K81,'Lower Hot Cell Logistics'!$H$13:$H$19,0)),"N/A")</f>
        <v>N/A</v>
      </c>
      <c r="M81" s="1478" t="str">
        <f>IFERROR(VLOOKUP($I81,'Lower Hot Cell Logistics'!$H$4:$I$9,2,FALSE),"N/A")</f>
        <v>N/A</v>
      </c>
      <c r="N81" s="1183" t="str">
        <f t="shared" si="7"/>
        <v>N/A</v>
      </c>
      <c r="O81" s="1578"/>
      <c r="P81" s="1183" t="str">
        <f>IF($D81="Logistics",VLOOKUP($O81,'Lower Hot Cell Logistics'!$C$4:$D$69,2,FALSE),"N/A")</f>
        <v>N/A</v>
      </c>
      <c r="Q81" s="1578"/>
      <c r="R81" s="1183" t="str">
        <f>IFERROR(VLOOKUP($Q81,'Lower Hot Cell Dependencies'!$C$5:$F$367,4,FALSE),"N/A")</f>
        <v>N/A</v>
      </c>
      <c r="S81" s="1183" t="str">
        <f t="shared" si="8"/>
        <v>N/A</v>
      </c>
    </row>
    <row r="82" spans="2:19" x14ac:dyDescent="0.35">
      <c r="B82" s="3786"/>
      <c r="C82" s="1579" t="s">
        <v>2041</v>
      </c>
      <c r="D82" s="1611" t="s">
        <v>3</v>
      </c>
      <c r="E82" s="626">
        <f t="shared" si="6"/>
        <v>0.6</v>
      </c>
      <c r="F82" s="626">
        <f t="shared" si="9"/>
        <v>140.93052659147784</v>
      </c>
      <c r="G82" s="1579"/>
      <c r="H82" s="1183" t="str">
        <f>IF(D82="operation",VLOOKUP(G82,'Generic Divertor Port Tasks'!C$4:D$223,2,FALSE),"N/A")</f>
        <v>N/A</v>
      </c>
      <c r="I82" s="1579"/>
      <c r="J82" s="582"/>
      <c r="K82" s="582"/>
      <c r="L82" s="1478" t="str">
        <f>IFERROR(INDEX('Lower Hot Cell Logistics'!$I$13:$O$19,MATCH($J82,'Lower Hot Cell Logistics'!$H$13:$H$19,0),MATCH($K82,'Lower Hot Cell Logistics'!$H$13:$H$19,0)),"N/A")</f>
        <v>N/A</v>
      </c>
      <c r="M82" s="1478" t="str">
        <f>IFERROR(VLOOKUP($I82,'Lower Hot Cell Logistics'!$H$4:$I$9,2,FALSE),"N/A")</f>
        <v>N/A</v>
      </c>
      <c r="N82" s="1183" t="str">
        <f t="shared" si="7"/>
        <v>N/A</v>
      </c>
      <c r="O82" s="1578" t="s">
        <v>2008</v>
      </c>
      <c r="P82" s="1183">
        <f>IF($D82="Logistics",VLOOKUP($O82,'Lower Hot Cell Logistics'!$C$4:$D$69,2,FALSE),"N/A")</f>
        <v>0.6</v>
      </c>
      <c r="Q82" s="1578"/>
      <c r="R82" s="1183" t="str">
        <f>IFERROR(VLOOKUP($Q82,'Lower Hot Cell Dependencies'!$C$5:$F$367,4,FALSE),"N/A")</f>
        <v>N/A</v>
      </c>
      <c r="S82" s="1183" t="str">
        <f t="shared" si="8"/>
        <v>N/A</v>
      </c>
    </row>
    <row r="83" spans="2:19" x14ac:dyDescent="0.35">
      <c r="B83" s="3786"/>
      <c r="C83" s="1579" t="s">
        <v>2042</v>
      </c>
      <c r="D83" s="1611" t="s">
        <v>3</v>
      </c>
      <c r="E83" s="626">
        <f t="shared" si="6"/>
        <v>0.6</v>
      </c>
      <c r="F83" s="626">
        <f t="shared" si="9"/>
        <v>141.53052659147784</v>
      </c>
      <c r="G83" s="1579"/>
      <c r="H83" s="1183" t="str">
        <f>IF(D83="operation",VLOOKUP(G83,'Generic Divertor Port Tasks'!C$4:D$223,2,FALSE),"N/A")</f>
        <v>N/A</v>
      </c>
      <c r="I83" s="1579"/>
      <c r="J83" s="582"/>
      <c r="K83" s="582"/>
      <c r="L83" s="1478" t="str">
        <f>IFERROR(INDEX('Lower Hot Cell Logistics'!$I$13:$O$19,MATCH($J83,'Lower Hot Cell Logistics'!$H$13:$H$19,0),MATCH($K83,'Lower Hot Cell Logistics'!$H$13:$H$19,0)),"N/A")</f>
        <v>N/A</v>
      </c>
      <c r="M83" s="1478" t="str">
        <f>IFERROR(VLOOKUP($I83,'Lower Hot Cell Logistics'!$H$4:$I$9,2,FALSE),"N/A")</f>
        <v>N/A</v>
      </c>
      <c r="N83" s="1183" t="str">
        <f t="shared" si="7"/>
        <v>N/A</v>
      </c>
      <c r="O83" s="1578" t="s">
        <v>2008</v>
      </c>
      <c r="P83" s="1183">
        <f>IF($D83="Logistics",VLOOKUP($O83,'Lower Hot Cell Logistics'!$C$4:$D$69,2,FALSE),"N/A")</f>
        <v>0.6</v>
      </c>
      <c r="Q83" s="1578"/>
      <c r="R83" s="1183" t="str">
        <f>IFERROR(VLOOKUP($Q83,'Lower Hot Cell Dependencies'!$C$5:$F$367,4,FALSE),"N/A")</f>
        <v>N/A</v>
      </c>
      <c r="S83" s="1183" t="str">
        <f t="shared" si="8"/>
        <v>N/A</v>
      </c>
    </row>
    <row r="84" spans="2:19" x14ac:dyDescent="0.35">
      <c r="B84" s="3786"/>
      <c r="C84" s="1579" t="s">
        <v>1252</v>
      </c>
      <c r="D84" s="1611" t="s">
        <v>3</v>
      </c>
      <c r="E84" s="626">
        <f t="shared" si="6"/>
        <v>0.8</v>
      </c>
      <c r="F84" s="626">
        <f t="shared" si="9"/>
        <v>142.33052659147785</v>
      </c>
      <c r="G84" s="1579"/>
      <c r="H84" s="1183" t="str">
        <f>IF(D84="operation",VLOOKUP(G84,'Generic Divertor Port Tasks'!C$4:D$223,2,FALSE),"N/A")</f>
        <v>N/A</v>
      </c>
      <c r="I84" s="1579"/>
      <c r="J84" s="582"/>
      <c r="K84" s="582"/>
      <c r="L84" s="1478" t="str">
        <f>IFERROR(INDEX('Lower Hot Cell Logistics'!$I$13:$O$19,MATCH($J84,'Lower Hot Cell Logistics'!$H$13:$H$19,0),MATCH($K84,'Lower Hot Cell Logistics'!$H$13:$H$19,0)),"N/A")</f>
        <v>N/A</v>
      </c>
      <c r="M84" s="1478" t="str">
        <f>IFERROR(VLOOKUP($I84,'Lower Hot Cell Logistics'!$H$4:$I$9,2,FALSE),"N/A")</f>
        <v>N/A</v>
      </c>
      <c r="N84" s="1183" t="str">
        <f t="shared" si="7"/>
        <v>N/A</v>
      </c>
      <c r="O84" s="1578" t="s">
        <v>1828</v>
      </c>
      <c r="P84" s="1183">
        <f>IF($D84="Logistics",VLOOKUP($O84,'Lower Hot Cell Logistics'!$C$4:$D$69,2,FALSE),"N/A")</f>
        <v>0.8</v>
      </c>
      <c r="Q84" s="1578"/>
      <c r="R84" s="1183" t="str">
        <f>IFERROR(VLOOKUP($Q84,'Lower Hot Cell Dependencies'!$C$5:$F$367,4,FALSE),"N/A")</f>
        <v>N/A</v>
      </c>
      <c r="S84" s="1183" t="str">
        <f t="shared" si="8"/>
        <v>N/A</v>
      </c>
    </row>
    <row r="85" spans="2:19" x14ac:dyDescent="0.35">
      <c r="B85" s="3786"/>
      <c r="C85" s="1579" t="s">
        <v>1624</v>
      </c>
      <c r="D85" s="1611" t="s">
        <v>251</v>
      </c>
      <c r="E85" s="626">
        <f t="shared" si="6"/>
        <v>3.83</v>
      </c>
      <c r="F85" s="626">
        <f t="shared" si="9"/>
        <v>146.16052659147786</v>
      </c>
      <c r="G85" s="1579" t="s">
        <v>269</v>
      </c>
      <c r="H85" s="1183">
        <f>IF(D85="operation",VLOOKUP(G85,'Generic Divertor Port Tasks'!C$4:D$223,2,FALSE),"N/A")</f>
        <v>3.83</v>
      </c>
      <c r="I85" s="1579"/>
      <c r="J85" s="582"/>
      <c r="K85" s="582"/>
      <c r="L85" s="1478" t="str">
        <f>IFERROR(INDEX('Lower Hot Cell Logistics'!$I$13:$O$19,MATCH($J85,'Lower Hot Cell Logistics'!$H$13:$H$19,0),MATCH($K85,'Lower Hot Cell Logistics'!$H$13:$H$19,0)),"N/A")</f>
        <v>N/A</v>
      </c>
      <c r="M85" s="1478" t="str">
        <f>IFERROR(VLOOKUP($I85,'Lower Hot Cell Logistics'!$H$4:$I$9,2,FALSE),"N/A")</f>
        <v>N/A</v>
      </c>
      <c r="N85" s="1183" t="str">
        <f t="shared" si="7"/>
        <v>N/A</v>
      </c>
      <c r="O85" s="1578"/>
      <c r="P85" s="1183" t="str">
        <f>IF($D85="Logistics",VLOOKUP($O85,'Lower Hot Cell Logistics'!$C$4:$D$69,2,FALSE),"N/A")</f>
        <v>N/A</v>
      </c>
      <c r="Q85" s="1578"/>
      <c r="R85" s="1183" t="str">
        <f>IFERROR(VLOOKUP($Q85,'Lower Hot Cell Dependencies'!$C$5:$F$367,4,FALSE),"N/A")</f>
        <v>N/A</v>
      </c>
      <c r="S85" s="1183" t="str">
        <f t="shared" si="8"/>
        <v>N/A</v>
      </c>
    </row>
    <row r="86" spans="2:19" x14ac:dyDescent="0.35">
      <c r="B86" s="3786"/>
      <c r="C86" s="1579" t="s">
        <v>1625</v>
      </c>
      <c r="D86" s="1611" t="s">
        <v>251</v>
      </c>
      <c r="E86" s="626">
        <f t="shared" si="6"/>
        <v>3.83</v>
      </c>
      <c r="F86" s="626">
        <f t="shared" si="9"/>
        <v>149.99052659147787</v>
      </c>
      <c r="G86" s="1579" t="s">
        <v>269</v>
      </c>
      <c r="H86" s="1183">
        <f>IF(D86="operation",VLOOKUP(G86,'Generic Divertor Port Tasks'!C$4:D$223,2,FALSE),"N/A")</f>
        <v>3.83</v>
      </c>
      <c r="I86" s="1579"/>
      <c r="J86" s="582"/>
      <c r="K86" s="582"/>
      <c r="L86" s="1478" t="str">
        <f>IFERROR(INDEX('Lower Hot Cell Logistics'!$I$13:$O$19,MATCH($J86,'Lower Hot Cell Logistics'!$H$13:$H$19,0),MATCH($K86,'Lower Hot Cell Logistics'!$H$13:$H$19,0)),"N/A")</f>
        <v>N/A</v>
      </c>
      <c r="M86" s="1478" t="str">
        <f>IFERROR(VLOOKUP($I86,'Lower Hot Cell Logistics'!$H$4:$I$9,2,FALSE),"N/A")</f>
        <v>N/A</v>
      </c>
      <c r="N86" s="1183" t="str">
        <f t="shared" si="7"/>
        <v>N/A</v>
      </c>
      <c r="O86" s="1578" t="s">
        <v>2008</v>
      </c>
      <c r="P86" s="1183" t="str">
        <f>IF($D86="Logistics",VLOOKUP($O86,'Lower Hot Cell Logistics'!$C$4:$D$69,2,FALSE),"N/A")</f>
        <v>N/A</v>
      </c>
      <c r="Q86" s="1578"/>
      <c r="R86" s="1183" t="str">
        <f>IFERROR(VLOOKUP($Q86,'Lower Hot Cell Dependencies'!$C$5:$F$367,4,FALSE),"N/A")</f>
        <v>N/A</v>
      </c>
      <c r="S86" s="1183" t="str">
        <f t="shared" si="8"/>
        <v>N/A</v>
      </c>
    </row>
    <row r="87" spans="2:19" x14ac:dyDescent="0.35">
      <c r="B87" s="3786"/>
      <c r="C87" s="1579" t="s">
        <v>1593</v>
      </c>
      <c r="D87" s="1611" t="s">
        <v>3</v>
      </c>
      <c r="E87" s="626">
        <f t="shared" si="6"/>
        <v>0.53</v>
      </c>
      <c r="F87" s="626">
        <f t="shared" si="9"/>
        <v>150.52052659147787</v>
      </c>
      <c r="G87" s="1579"/>
      <c r="H87" s="1183" t="str">
        <f>IF(D87="operation",VLOOKUP(G87,'Generic Divertor Port Tasks'!C$4:D$223,2,FALSE),"N/A")</f>
        <v>N/A</v>
      </c>
      <c r="I87" s="1579"/>
      <c r="J87" s="582"/>
      <c r="K87" s="582"/>
      <c r="L87" s="1478" t="str">
        <f>IFERROR(INDEX('Lower Hot Cell Logistics'!$I$13:$O$19,MATCH($J87,'Lower Hot Cell Logistics'!$H$13:$H$19,0),MATCH($K87,'Lower Hot Cell Logistics'!$H$13:$H$19,0)),"N/A")</f>
        <v>N/A</v>
      </c>
      <c r="M87" s="1478" t="str">
        <f>IFERROR(VLOOKUP($I87,'Lower Hot Cell Logistics'!$H$4:$I$9,2,FALSE),"N/A")</f>
        <v>N/A</v>
      </c>
      <c r="N87" s="1183" t="str">
        <f t="shared" si="7"/>
        <v>N/A</v>
      </c>
      <c r="O87" s="1578" t="s">
        <v>1558</v>
      </c>
      <c r="P87" s="1183">
        <f>IF($D87="Logistics",VLOOKUP($O87,'Lower Hot Cell Logistics'!$C$4:$D$69,2,FALSE),"N/A")</f>
        <v>0.53</v>
      </c>
      <c r="Q87" s="1578"/>
      <c r="R87" s="1183" t="str">
        <f>IFERROR(VLOOKUP($Q87,'Lower Hot Cell Dependencies'!$C$5:$F$367,4,FALSE),"N/A")</f>
        <v>N/A</v>
      </c>
      <c r="S87" s="1183" t="str">
        <f t="shared" si="8"/>
        <v>N/A</v>
      </c>
    </row>
    <row r="88" spans="2:19" x14ac:dyDescent="0.35">
      <c r="B88" s="3786"/>
      <c r="C88" s="1579" t="s">
        <v>2043</v>
      </c>
      <c r="D88" s="1611" t="s">
        <v>251</v>
      </c>
      <c r="E88" s="626">
        <f t="shared" si="6"/>
        <v>0.76001979591324842</v>
      </c>
      <c r="F88" s="626">
        <f t="shared" si="9"/>
        <v>151.28054638739113</v>
      </c>
      <c r="G88" s="1579" t="s">
        <v>441</v>
      </c>
      <c r="H88" s="1183">
        <f>IF(D88="operation",VLOOKUP(G88,'Generic Divertor Port Tasks'!C$4:D$223,2,FALSE),"N/A")</f>
        <v>0.76001979591324842</v>
      </c>
      <c r="I88" s="1579"/>
      <c r="J88" s="582"/>
      <c r="K88" s="582"/>
      <c r="L88" s="1478" t="str">
        <f>IFERROR(INDEX('Lower Hot Cell Logistics'!$I$13:$O$19,MATCH($J88,'Lower Hot Cell Logistics'!$H$13:$H$19,0),MATCH($K88,'Lower Hot Cell Logistics'!$H$13:$H$19,0)),"N/A")</f>
        <v>N/A</v>
      </c>
      <c r="M88" s="1478" t="str">
        <f>IFERROR(VLOOKUP($I88,'Lower Hot Cell Logistics'!$H$4:$I$9,2,FALSE),"N/A")</f>
        <v>N/A</v>
      </c>
      <c r="N88" s="1183" t="str">
        <f t="shared" si="7"/>
        <v>N/A</v>
      </c>
      <c r="O88" s="1578"/>
      <c r="P88" s="1183" t="str">
        <f>IF($D88="Logistics",VLOOKUP($O88,'Lower Hot Cell Logistics'!$C$4:$D$69,2,FALSE),"N/A")</f>
        <v>N/A</v>
      </c>
      <c r="Q88" s="1578"/>
      <c r="R88" s="1183" t="str">
        <f>IFERROR(VLOOKUP($Q88,'Lower Hot Cell Dependencies'!$C$5:$F$367,4,FALSE),"N/A")</f>
        <v>N/A</v>
      </c>
      <c r="S88" s="1183" t="str">
        <f t="shared" si="8"/>
        <v>N/A</v>
      </c>
    </row>
    <row r="89" spans="2:19" ht="25.75" x14ac:dyDescent="0.35">
      <c r="B89" s="3786"/>
      <c r="C89" s="1579" t="s">
        <v>2044</v>
      </c>
      <c r="D89" s="1611" t="s">
        <v>3</v>
      </c>
      <c r="E89" s="626">
        <f t="shared" si="6"/>
        <v>0.6</v>
      </c>
      <c r="F89" s="626">
        <f t="shared" si="9"/>
        <v>151.88054638739112</v>
      </c>
      <c r="G89" s="1579"/>
      <c r="H89" s="1183" t="str">
        <f>IF(D89="operation",VLOOKUP(G89,'Generic Divertor Port Tasks'!C$4:D$223,2,FALSE),"N/A")</f>
        <v>N/A</v>
      </c>
      <c r="I89" s="1579"/>
      <c r="J89" s="582"/>
      <c r="K89" s="582"/>
      <c r="L89" s="1478" t="str">
        <f>IFERROR(INDEX('Lower Hot Cell Logistics'!$I$13:$O$19,MATCH($J89,'Lower Hot Cell Logistics'!$H$13:$H$19,0),MATCH($K89,'Lower Hot Cell Logistics'!$H$13:$H$19,0)),"N/A")</f>
        <v>N/A</v>
      </c>
      <c r="M89" s="1478" t="str">
        <f>IFERROR(VLOOKUP($I89,'Lower Hot Cell Logistics'!$H$4:$I$9,2,FALSE),"N/A")</f>
        <v>N/A</v>
      </c>
      <c r="N89" s="1183" t="str">
        <f t="shared" si="7"/>
        <v>N/A</v>
      </c>
      <c r="O89" s="1578" t="s">
        <v>2008</v>
      </c>
      <c r="P89" s="1183">
        <f>IF($D89="Logistics",VLOOKUP($O89,'Lower Hot Cell Logistics'!$C$4:$D$69,2,FALSE),"N/A")</f>
        <v>0.6</v>
      </c>
      <c r="Q89" s="1578" t="s">
        <v>2045</v>
      </c>
      <c r="R89" s="1183">
        <f>IFERROR(VLOOKUP($Q89,'Lower Hot Cell Dependencies'!$C$5:$F$367,4,FALSE),"N/A")</f>
        <v>135.8816179066757</v>
      </c>
      <c r="S89" s="1183">
        <f t="shared" si="8"/>
        <v>15.398928480715426</v>
      </c>
    </row>
    <row r="90" spans="2:19" x14ac:dyDescent="0.35">
      <c r="B90" s="3786"/>
      <c r="C90" s="1579" t="s">
        <v>1596</v>
      </c>
      <c r="D90" s="1611" t="s">
        <v>3</v>
      </c>
      <c r="E90" s="626">
        <f t="shared" si="6"/>
        <v>0.53</v>
      </c>
      <c r="F90" s="626">
        <f t="shared" si="9"/>
        <v>152.41054638739112</v>
      </c>
      <c r="G90" s="1579"/>
      <c r="H90" s="1183" t="str">
        <f>IF(D90="operation",VLOOKUP(G90,'Generic Divertor Port Tasks'!C$4:D$223,2,FALSE),"N/A")</f>
        <v>N/A</v>
      </c>
      <c r="I90" s="1579"/>
      <c r="J90" s="582"/>
      <c r="K90" s="582"/>
      <c r="L90" s="1478" t="str">
        <f>IFERROR(INDEX('Lower Hot Cell Logistics'!$I$13:$O$19,MATCH($J90,'Lower Hot Cell Logistics'!$H$13:$H$19,0),MATCH($K90,'Lower Hot Cell Logistics'!$H$13:$H$19,0)),"N/A")</f>
        <v>N/A</v>
      </c>
      <c r="M90" s="1478" t="str">
        <f>IFERROR(VLOOKUP($I90,'Lower Hot Cell Logistics'!$H$4:$I$9,2,FALSE),"N/A")</f>
        <v>N/A</v>
      </c>
      <c r="N90" s="1183" t="str">
        <f t="shared" si="7"/>
        <v>N/A</v>
      </c>
      <c r="O90" s="1578" t="s">
        <v>1558</v>
      </c>
      <c r="P90" s="1183">
        <f>IF($D90="Logistics",VLOOKUP($O90,'Lower Hot Cell Logistics'!$C$4:$D$69,2,FALSE),"N/A")</f>
        <v>0.53</v>
      </c>
      <c r="Q90" s="1578"/>
      <c r="R90" s="1183" t="str">
        <f>IFERROR(VLOOKUP($Q90,'Lower Hot Cell Dependencies'!$C$5:$F$367,4,FALSE),"N/A")</f>
        <v>N/A</v>
      </c>
      <c r="S90" s="1183" t="str">
        <f t="shared" si="8"/>
        <v>N/A</v>
      </c>
    </row>
    <row r="91" spans="2:19" x14ac:dyDescent="0.35">
      <c r="B91" s="3786"/>
      <c r="C91" s="1579" t="s">
        <v>2046</v>
      </c>
      <c r="D91" s="1611" t="s">
        <v>251</v>
      </c>
      <c r="E91" s="626">
        <f t="shared" si="6"/>
        <v>0.76001979591324842</v>
      </c>
      <c r="F91" s="626">
        <f t="shared" si="9"/>
        <v>153.17056618330437</v>
      </c>
      <c r="G91" s="1579" t="s">
        <v>441</v>
      </c>
      <c r="H91" s="1183">
        <f>IF(D91="operation",VLOOKUP(G91,'Generic Divertor Port Tasks'!C$4:D$223,2,FALSE),"N/A")</f>
        <v>0.76001979591324842</v>
      </c>
      <c r="I91" s="1579"/>
      <c r="J91" s="582"/>
      <c r="K91" s="582"/>
      <c r="L91" s="1478" t="str">
        <f>IFERROR(INDEX('Lower Hot Cell Logistics'!$I$13:$O$19,MATCH($J91,'Lower Hot Cell Logistics'!$H$13:$H$19,0),MATCH($K91,'Lower Hot Cell Logistics'!$H$13:$H$19,0)),"N/A")</f>
        <v>N/A</v>
      </c>
      <c r="M91" s="1478" t="str">
        <f>IFERROR(VLOOKUP($I91,'Lower Hot Cell Logistics'!$H$4:$I$9,2,FALSE),"N/A")</f>
        <v>N/A</v>
      </c>
      <c r="N91" s="1183" t="str">
        <f t="shared" si="7"/>
        <v>N/A</v>
      </c>
      <c r="O91" s="1578"/>
      <c r="P91" s="1183" t="str">
        <f>IF($D91="Logistics",VLOOKUP($O91,'Lower Hot Cell Logistics'!$C$4:$D$69,2,FALSE),"N/A")</f>
        <v>N/A</v>
      </c>
      <c r="Q91" s="1578"/>
      <c r="R91" s="1183" t="str">
        <f>IFERROR(VLOOKUP($Q91,'Lower Hot Cell Dependencies'!$C$5:$F$367,4,FALSE),"N/A")</f>
        <v>N/A</v>
      </c>
      <c r="S91" s="1183" t="str">
        <f t="shared" si="8"/>
        <v>N/A</v>
      </c>
    </row>
    <row r="92" spans="2:19" ht="13.3" thickBot="1" x14ac:dyDescent="0.4">
      <c r="B92" s="3788"/>
      <c r="C92" s="2208" t="s">
        <v>2047</v>
      </c>
      <c r="D92" s="1581" t="s">
        <v>3</v>
      </c>
      <c r="E92" s="585">
        <f t="shared" si="6"/>
        <v>0.6</v>
      </c>
      <c r="F92" s="626">
        <f t="shared" si="9"/>
        <v>153.77056618330437</v>
      </c>
      <c r="G92" s="1136"/>
      <c r="H92" s="1179" t="str">
        <f>IF(D92="operation",VLOOKUP(G92,'Generic Divertor Port Tasks'!C$4:D$223,2,FALSE),"N/A")</f>
        <v>N/A</v>
      </c>
      <c r="I92" s="1136"/>
      <c r="J92" s="584"/>
      <c r="K92" s="584"/>
      <c r="L92" s="814" t="str">
        <f>IFERROR(INDEX('Lower Hot Cell Logistics'!$I$13:$O$19,MATCH($J92,'Lower Hot Cell Logistics'!$H$13:$H$19,0),MATCH($K92,'Lower Hot Cell Logistics'!$H$13:$H$19,0)),"N/A")</f>
        <v>N/A</v>
      </c>
      <c r="M92" s="814" t="str">
        <f>IFERROR(VLOOKUP($I92,'Lower Hot Cell Logistics'!$H$4:$I$9,2,FALSE),"N/A")</f>
        <v>N/A</v>
      </c>
      <c r="N92" s="1179" t="str">
        <f t="shared" si="7"/>
        <v>N/A</v>
      </c>
      <c r="O92" s="1582" t="s">
        <v>2008</v>
      </c>
      <c r="P92" s="1179">
        <f>IF($D92="Logistics",VLOOKUP($O92,'Lower Hot Cell Logistics'!$C$4:$D$69,2,FALSE),"N/A")</f>
        <v>0.6</v>
      </c>
      <c r="Q92" s="1582" t="s">
        <v>2048</v>
      </c>
      <c r="R92" s="1179">
        <f>IFERROR(VLOOKUP($Q92,'Lower Hot Cell Dependencies'!$C$5:$F$367,4,FALSE),"N/A")</f>
        <v>142.73645251740379</v>
      </c>
      <c r="S92" s="1183">
        <f t="shared" si="8"/>
        <v>10.434113665900583</v>
      </c>
    </row>
    <row r="93" spans="2:19" x14ac:dyDescent="0.35">
      <c r="B93" s="3814" t="s">
        <v>2049</v>
      </c>
      <c r="C93" s="1906" t="s">
        <v>1247</v>
      </c>
      <c r="D93" s="1907" t="s">
        <v>3</v>
      </c>
      <c r="E93" s="1739">
        <f t="shared" si="6"/>
        <v>0.8</v>
      </c>
      <c r="F93" s="1739">
        <f t="shared" si="9"/>
        <v>154.57056618330438</v>
      </c>
      <c r="G93" s="1906"/>
      <c r="H93" s="1917" t="str">
        <f>IF(D93="operation",VLOOKUP(G93,'Generic Divertor Port Tasks'!C$4:D$223,2,FALSE),"N/A")</f>
        <v>N/A</v>
      </c>
      <c r="I93" s="1906"/>
      <c r="J93" s="1911"/>
      <c r="K93" s="1911"/>
      <c r="L93" s="1912" t="str">
        <f>IFERROR(INDEX('Lower Hot Cell Logistics'!$I$13:$O$19,MATCH($J93,'Lower Hot Cell Logistics'!$H$13:$H$19,0),MATCH($K93,'Lower Hot Cell Logistics'!$H$13:$H$19,0)),"N/A")</f>
        <v>N/A</v>
      </c>
      <c r="M93" s="1912" t="str">
        <f>IFERROR(VLOOKUP($I93,'Lower Hot Cell Logistics'!$H$4:$I$9,2,FALSE),"N/A")</f>
        <v>N/A</v>
      </c>
      <c r="N93" s="1917" t="str">
        <f t="shared" si="7"/>
        <v>N/A</v>
      </c>
      <c r="O93" s="1916" t="s">
        <v>1828</v>
      </c>
      <c r="P93" s="1917">
        <f>IF($D93="Logistics",VLOOKUP($O93,'Lower Hot Cell Logistics'!$C$4:$D$69,2,FALSE),"N/A")</f>
        <v>0.8</v>
      </c>
      <c r="Q93" s="1916"/>
      <c r="R93" s="1917" t="str">
        <f>IFERROR(VLOOKUP($Q93,'Lower Hot Cell Dependencies'!$C$5:$F$367,4,FALSE),"N/A")</f>
        <v>N/A</v>
      </c>
      <c r="S93" s="1917" t="str">
        <f t="shared" si="8"/>
        <v>N/A</v>
      </c>
    </row>
    <row r="94" spans="2:19" x14ac:dyDescent="0.35">
      <c r="B94" s="3815"/>
      <c r="C94" s="1895" t="s">
        <v>2050</v>
      </c>
      <c r="D94" s="1896" t="s">
        <v>251</v>
      </c>
      <c r="E94" s="1347">
        <f t="shared" si="6"/>
        <v>0.76001979591324842</v>
      </c>
      <c r="F94" s="1347">
        <f t="shared" si="9"/>
        <v>155.33058597921763</v>
      </c>
      <c r="G94" s="1895" t="s">
        <v>441</v>
      </c>
      <c r="H94" s="1903">
        <f>IF(D94="operation",VLOOKUP(G94,'Generic Divertor Port Tasks'!C$4:D$223,2,FALSE),"N/A")</f>
        <v>0.76001979591324842</v>
      </c>
      <c r="I94" s="1895"/>
      <c r="J94" s="1897"/>
      <c r="K94" s="1897"/>
      <c r="L94" s="1898" t="str">
        <f>IFERROR(INDEX('Lower Hot Cell Logistics'!$I$13:$O$19,MATCH($J94,'Lower Hot Cell Logistics'!$H$13:$H$19,0),MATCH($K94,'Lower Hot Cell Logistics'!$H$13:$H$19,0)),"N/A")</f>
        <v>N/A</v>
      </c>
      <c r="M94" s="1898" t="str">
        <f>IFERROR(VLOOKUP($I94,'Lower Hot Cell Logistics'!$H$4:$I$9,2,FALSE),"N/A")</f>
        <v>N/A</v>
      </c>
      <c r="N94" s="1903" t="str">
        <f t="shared" si="7"/>
        <v>N/A</v>
      </c>
      <c r="O94" s="1902"/>
      <c r="P94" s="1903" t="str">
        <f>IF($D94="Logistics",VLOOKUP($O94,'Lower Hot Cell Logistics'!$C$4:$D$69,2,FALSE),"N/A")</f>
        <v>N/A</v>
      </c>
      <c r="Q94" s="1902"/>
      <c r="R94" s="1903" t="str">
        <f>IFERROR(VLOOKUP($Q94,'Lower Hot Cell Dependencies'!$C$5:$F$367,4,FALSE),"N/A")</f>
        <v>N/A</v>
      </c>
      <c r="S94" s="1903" t="str">
        <f t="shared" si="8"/>
        <v>N/A</v>
      </c>
    </row>
    <row r="95" spans="2:19" x14ac:dyDescent="0.35">
      <c r="B95" s="3815"/>
      <c r="C95" s="1895" t="s">
        <v>2051</v>
      </c>
      <c r="D95" s="1896" t="s">
        <v>3</v>
      </c>
      <c r="E95" s="1347">
        <f t="shared" si="6"/>
        <v>0.6</v>
      </c>
      <c r="F95" s="1347">
        <f t="shared" si="9"/>
        <v>155.93058597921762</v>
      </c>
      <c r="G95" s="1895"/>
      <c r="H95" s="1903" t="str">
        <f>IF(D95="operation",VLOOKUP(G95,'Generic Divertor Port Tasks'!C$4:D$223,2,FALSE),"N/A")</f>
        <v>N/A</v>
      </c>
      <c r="I95" s="1895"/>
      <c r="J95" s="1897"/>
      <c r="K95" s="1897"/>
      <c r="L95" s="1898" t="str">
        <f>IFERROR(INDEX('Lower Hot Cell Logistics'!$I$13:$O$19,MATCH($J95,'Lower Hot Cell Logistics'!$H$13:$H$19,0),MATCH($K95,'Lower Hot Cell Logistics'!$H$13:$H$19,0)),"N/A")</f>
        <v>N/A</v>
      </c>
      <c r="M95" s="1898" t="str">
        <f>IFERROR(VLOOKUP($I95,'Lower Hot Cell Logistics'!$H$4:$I$9,2,FALSE),"N/A")</f>
        <v>N/A</v>
      </c>
      <c r="N95" s="1903" t="str">
        <f t="shared" si="7"/>
        <v>N/A</v>
      </c>
      <c r="O95" s="1902" t="s">
        <v>2008</v>
      </c>
      <c r="P95" s="1903">
        <f>IF($D95="Logistics",VLOOKUP($O95,'Lower Hot Cell Logistics'!$C$4:$D$69,2,FALSE),"N/A")</f>
        <v>0.6</v>
      </c>
      <c r="Q95" s="1902" t="s">
        <v>2052</v>
      </c>
      <c r="R95" s="1903">
        <f>IFERROR(VLOOKUP($Q95,'Lower Hot Cell Dependencies'!$C$5:$F$367,4,FALSE),"N/A")</f>
        <v>153.68647231331707</v>
      </c>
      <c r="S95" s="1903">
        <f t="shared" si="8"/>
        <v>1.6441136659005622</v>
      </c>
    </row>
    <row r="96" spans="2:19" x14ac:dyDescent="0.35">
      <c r="B96" s="3815"/>
      <c r="C96" s="1895" t="s">
        <v>1593</v>
      </c>
      <c r="D96" s="1896" t="s">
        <v>3</v>
      </c>
      <c r="E96" s="1347">
        <f t="shared" si="6"/>
        <v>0.53</v>
      </c>
      <c r="F96" s="1347">
        <f t="shared" si="9"/>
        <v>156.46058597921763</v>
      </c>
      <c r="G96" s="1895"/>
      <c r="H96" s="1903" t="str">
        <f>IF(D96="operation",VLOOKUP(G96,'Generic Divertor Port Tasks'!C$4:D$223,2,FALSE),"N/A")</f>
        <v>N/A</v>
      </c>
      <c r="I96" s="1895"/>
      <c r="J96" s="1897"/>
      <c r="K96" s="1897"/>
      <c r="L96" s="1898" t="str">
        <f>IFERROR(INDEX('Lower Hot Cell Logistics'!$I$13:$O$19,MATCH($J96,'Lower Hot Cell Logistics'!$H$13:$H$19,0),MATCH($K96,'Lower Hot Cell Logistics'!$H$13:$H$19,0)),"N/A")</f>
        <v>N/A</v>
      </c>
      <c r="M96" s="1898" t="str">
        <f>IFERROR(VLOOKUP($I96,'Lower Hot Cell Logistics'!$H$4:$I$9,2,FALSE),"N/A")</f>
        <v>N/A</v>
      </c>
      <c r="N96" s="1903" t="str">
        <f t="shared" si="7"/>
        <v>N/A</v>
      </c>
      <c r="O96" s="1902" t="s">
        <v>1558</v>
      </c>
      <c r="P96" s="1903">
        <f>IF($D96="Logistics",VLOOKUP($O96,'Lower Hot Cell Logistics'!$C$4:$D$69,2,FALSE),"N/A")</f>
        <v>0.53</v>
      </c>
      <c r="Q96" s="1902"/>
      <c r="R96" s="1903" t="str">
        <f>IFERROR(VLOOKUP($Q96,'Lower Hot Cell Dependencies'!$C$5:$F$367,4,FALSE),"N/A")</f>
        <v>N/A</v>
      </c>
      <c r="S96" s="1903" t="str">
        <f t="shared" si="8"/>
        <v>N/A</v>
      </c>
    </row>
    <row r="97" spans="2:19" x14ac:dyDescent="0.35">
      <c r="B97" s="3815"/>
      <c r="C97" s="1895" t="s">
        <v>2053</v>
      </c>
      <c r="D97" s="1896" t="s">
        <v>251</v>
      </c>
      <c r="E97" s="1347">
        <f t="shared" si="6"/>
        <v>0.76001979591324842</v>
      </c>
      <c r="F97" s="1347">
        <f t="shared" si="9"/>
        <v>157.22060577513088</v>
      </c>
      <c r="G97" s="1895" t="s">
        <v>441</v>
      </c>
      <c r="H97" s="1903">
        <f>IF(D97="operation",VLOOKUP(G97,'Generic Divertor Port Tasks'!C$4:D$223,2,FALSE),"N/A")</f>
        <v>0.76001979591324842</v>
      </c>
      <c r="I97" s="1895"/>
      <c r="J97" s="1897"/>
      <c r="K97" s="1897"/>
      <c r="L97" s="1898" t="str">
        <f>IFERROR(INDEX('Lower Hot Cell Logistics'!$I$13:$O$19,MATCH($J97,'Lower Hot Cell Logistics'!$H$13:$H$19,0),MATCH($K97,'Lower Hot Cell Logistics'!$H$13:$H$19,0)),"N/A")</f>
        <v>N/A</v>
      </c>
      <c r="M97" s="1898" t="str">
        <f>IFERROR(VLOOKUP($I97,'Lower Hot Cell Logistics'!$H$4:$I$9,2,FALSE),"N/A")</f>
        <v>N/A</v>
      </c>
      <c r="N97" s="1903" t="str">
        <f t="shared" si="7"/>
        <v>N/A</v>
      </c>
      <c r="O97" s="1902"/>
      <c r="P97" s="1903" t="str">
        <f>IF($D97="Logistics",VLOOKUP($O97,'Lower Hot Cell Logistics'!$C$4:$D$69,2,FALSE),"N/A")</f>
        <v>N/A</v>
      </c>
      <c r="Q97" s="1902"/>
      <c r="R97" s="1903" t="str">
        <f>IFERROR(VLOOKUP($Q97,'Lower Hot Cell Dependencies'!$C$5:$F$367,4,FALSE),"N/A")</f>
        <v>N/A</v>
      </c>
      <c r="S97" s="1903" t="str">
        <f t="shared" si="8"/>
        <v>N/A</v>
      </c>
    </row>
    <row r="98" spans="2:19" x14ac:dyDescent="0.35">
      <c r="B98" s="3815"/>
      <c r="C98" s="1895" t="s">
        <v>2054</v>
      </c>
      <c r="D98" s="1896" t="s">
        <v>3</v>
      </c>
      <c r="E98" s="1347">
        <f t="shared" si="6"/>
        <v>0.6</v>
      </c>
      <c r="F98" s="1347">
        <f t="shared" si="9"/>
        <v>157.82060577513087</v>
      </c>
      <c r="G98" s="1895"/>
      <c r="H98" s="1903" t="str">
        <f>IF(D98="operation",VLOOKUP(G98,'Generic Divertor Port Tasks'!C$4:D$223,2,FALSE),"N/A")</f>
        <v>N/A</v>
      </c>
      <c r="I98" s="1895"/>
      <c r="J98" s="1897"/>
      <c r="K98" s="1897"/>
      <c r="L98" s="1898" t="str">
        <f>IFERROR(INDEX('Lower Hot Cell Logistics'!$I$13:$O$19,MATCH($J98,'Lower Hot Cell Logistics'!$H$13:$H$19,0),MATCH($K98,'Lower Hot Cell Logistics'!$H$13:$H$19,0)),"N/A")</f>
        <v>N/A</v>
      </c>
      <c r="M98" s="1898" t="str">
        <f>IFERROR(VLOOKUP($I98,'Lower Hot Cell Logistics'!$H$4:$I$9,2,FALSE),"N/A")</f>
        <v>N/A</v>
      </c>
      <c r="N98" s="1903" t="str">
        <f t="shared" si="7"/>
        <v>N/A</v>
      </c>
      <c r="O98" s="1902" t="s">
        <v>2008</v>
      </c>
      <c r="P98" s="1903">
        <f>IF($D98="Logistics",VLOOKUP($O98,'Lower Hot Cell Logistics'!$C$4:$D$69,2,FALSE),"N/A")</f>
        <v>0.6</v>
      </c>
      <c r="Q98" s="1902" t="s">
        <v>2055</v>
      </c>
      <c r="R98" s="1903">
        <f>IFERROR(VLOOKUP($Q98,'Lower Hot Cell Dependencies'!$C$5:$F$367,4,FALSE),"N/A")</f>
        <v>142.73645251740379</v>
      </c>
      <c r="S98" s="1903">
        <f t="shared" si="8"/>
        <v>14.484153257727087</v>
      </c>
    </row>
    <row r="99" spans="2:19" ht="13.3" thickBot="1" x14ac:dyDescent="0.4">
      <c r="B99" s="3816"/>
      <c r="C99" s="1869" t="s">
        <v>2042</v>
      </c>
      <c r="D99" s="1918" t="s">
        <v>3</v>
      </c>
      <c r="E99" s="1295">
        <f t="shared" si="6"/>
        <v>0.6</v>
      </c>
      <c r="F99" s="1295">
        <f t="shared" si="9"/>
        <v>158.42060577513087</v>
      </c>
      <c r="G99" s="1869"/>
      <c r="H99" s="1922" t="str">
        <f>IF(D99="operation",VLOOKUP(G99,'Generic Divertor Port Tasks'!C$4:D$223,2,FALSE),"N/A")</f>
        <v>N/A</v>
      </c>
      <c r="I99" s="1869"/>
      <c r="J99" s="837"/>
      <c r="K99" s="837"/>
      <c r="L99" s="842" t="str">
        <f>IFERROR(INDEX('Lower Hot Cell Logistics'!$I$13:$O$19,MATCH($J99,'Lower Hot Cell Logistics'!$H$13:$H$19,0),MATCH($K99,'Lower Hot Cell Logistics'!$H$13:$H$19,0)),"N/A")</f>
        <v>N/A</v>
      </c>
      <c r="M99" s="842" t="str">
        <f>IFERROR(VLOOKUP($I99,'Lower Hot Cell Logistics'!$H$4:$I$9,2,FALSE),"N/A")</f>
        <v>N/A</v>
      </c>
      <c r="N99" s="1922" t="str">
        <f t="shared" si="7"/>
        <v>N/A</v>
      </c>
      <c r="O99" s="1921" t="s">
        <v>2008</v>
      </c>
      <c r="P99" s="1922">
        <f>IF($D99="Logistics",VLOOKUP($O99,'Lower Hot Cell Logistics'!$C$4:$D$69,2,FALSE),"N/A")</f>
        <v>0.6</v>
      </c>
      <c r="Q99" s="1921"/>
      <c r="R99" s="1922" t="str">
        <f>IFERROR(VLOOKUP($Q99,'Lower Hot Cell Dependencies'!$C$5:$F$367,4,FALSE),"N/A")</f>
        <v>N/A</v>
      </c>
      <c r="S99" s="1922" t="str">
        <f t="shared" si="8"/>
        <v>N/A</v>
      </c>
    </row>
    <row r="100" spans="2:19" x14ac:dyDescent="0.35">
      <c r="B100" s="3786" t="s">
        <v>2056</v>
      </c>
      <c r="C100" s="1579" t="s">
        <v>2057</v>
      </c>
      <c r="D100" s="1611" t="s">
        <v>251</v>
      </c>
      <c r="E100" s="626">
        <f t="shared" si="6"/>
        <v>1.7720395918264968</v>
      </c>
      <c r="F100" s="626">
        <f t="shared" si="9"/>
        <v>160.19264536695735</v>
      </c>
      <c r="G100" s="1579" t="s">
        <v>442</v>
      </c>
      <c r="H100" s="1183">
        <f>IF(D100="operation",VLOOKUP(G100,'Generic Divertor Port Tasks'!C$4:D$223,2,FALSE),"N/A")</f>
        <v>1.7720395918264968</v>
      </c>
      <c r="I100" s="1579"/>
      <c r="J100" s="582"/>
      <c r="K100" s="582"/>
      <c r="L100" s="1478" t="str">
        <f>IFERROR(INDEX('Lower Hot Cell Logistics'!$I$13:$O$19,MATCH($J100,'Lower Hot Cell Logistics'!$H$13:$H$19,0),MATCH($K100,'Lower Hot Cell Logistics'!$H$13:$H$19,0)),"N/A")</f>
        <v>N/A</v>
      </c>
      <c r="M100" s="1478" t="str">
        <f>IFERROR(VLOOKUP($I100,'Lower Hot Cell Logistics'!$H$4:$I$9,2,FALSE),"N/A")</f>
        <v>N/A</v>
      </c>
      <c r="N100" s="1183" t="str">
        <f t="shared" si="7"/>
        <v>N/A</v>
      </c>
      <c r="O100" s="1578"/>
      <c r="P100" s="1183" t="str">
        <f>IF($D100="Logistics",VLOOKUP($O100,'Lower Hot Cell Logistics'!$C$4:$D$69,2,FALSE),"N/A")</f>
        <v>N/A</v>
      </c>
      <c r="Q100" s="1578"/>
      <c r="R100" s="1183" t="str">
        <f>IFERROR(VLOOKUP($Q100,'Lower Hot Cell Dependencies'!$C$5:$F$367,4,FALSE),"N/A")</f>
        <v>N/A</v>
      </c>
      <c r="S100" s="1183" t="str">
        <f t="shared" si="8"/>
        <v>N/A</v>
      </c>
    </row>
    <row r="101" spans="2:19" x14ac:dyDescent="0.35">
      <c r="B101" s="3786"/>
      <c r="C101" s="1579" t="s">
        <v>2058</v>
      </c>
      <c r="D101" s="1611" t="s">
        <v>3</v>
      </c>
      <c r="E101" s="626">
        <f t="shared" si="6"/>
        <v>0.6</v>
      </c>
      <c r="F101" s="626">
        <f t="shared" si="9"/>
        <v>160.79264536695734</v>
      </c>
      <c r="G101" s="1579"/>
      <c r="H101" s="1183" t="str">
        <f>IF(D101="operation",VLOOKUP(G101,'Generic Divertor Port Tasks'!C$4:D$223,2,FALSE),"N/A")</f>
        <v>N/A</v>
      </c>
      <c r="I101" s="1579"/>
      <c r="J101" s="582"/>
      <c r="K101" s="582"/>
      <c r="L101" s="1478" t="str">
        <f>IFERROR(INDEX('Lower Hot Cell Logistics'!$I$13:$O$19,MATCH($J101,'Lower Hot Cell Logistics'!$H$13:$H$19,0),MATCH($K101,'Lower Hot Cell Logistics'!$H$13:$H$19,0)),"N/A")</f>
        <v>N/A</v>
      </c>
      <c r="M101" s="1478" t="str">
        <f>IFERROR(VLOOKUP($I101,'Lower Hot Cell Logistics'!$H$4:$I$9,2,FALSE),"N/A")</f>
        <v>N/A</v>
      </c>
      <c r="N101" s="1183" t="str">
        <f t="shared" si="7"/>
        <v>N/A</v>
      </c>
      <c r="O101" s="1578" t="s">
        <v>2008</v>
      </c>
      <c r="P101" s="1183">
        <f>IF($D101="Logistics",VLOOKUP($O101,'Lower Hot Cell Logistics'!$C$4:$D$69,2,FALSE),"N/A")</f>
        <v>0.6</v>
      </c>
      <c r="Q101" s="1578" t="s">
        <v>2059</v>
      </c>
      <c r="R101" s="1183">
        <f>IFERROR(VLOOKUP($Q101,'Lower Hot Cell Dependencies'!$C$5:$F$367,4,FALSE),"N/A")</f>
        <v>157.73651190514357</v>
      </c>
      <c r="S101" s="1183">
        <f t="shared" si="8"/>
        <v>2.4561334618137778</v>
      </c>
    </row>
    <row r="102" spans="2:19" x14ac:dyDescent="0.35">
      <c r="B102" s="3786"/>
      <c r="C102" s="1579" t="s">
        <v>1639</v>
      </c>
      <c r="D102" s="1611" t="s">
        <v>3</v>
      </c>
      <c r="E102" s="626">
        <f t="shared" si="6"/>
        <v>0.53</v>
      </c>
      <c r="F102" s="626">
        <f t="shared" si="9"/>
        <v>161.32264536695735</v>
      </c>
      <c r="G102" s="1579"/>
      <c r="H102" s="1183" t="str">
        <f>IF(D102="operation",VLOOKUP(G102,'Generic Divertor Port Tasks'!C$4:D$223,2,FALSE),"N/A")</f>
        <v>N/A</v>
      </c>
      <c r="I102" s="1579"/>
      <c r="J102" s="582"/>
      <c r="K102" s="582"/>
      <c r="L102" s="1478" t="str">
        <f>IFERROR(INDEX('Lower Hot Cell Logistics'!$I$13:$O$19,MATCH($J102,'Lower Hot Cell Logistics'!$H$13:$H$19,0),MATCH($K102,'Lower Hot Cell Logistics'!$H$13:$H$19,0)),"N/A")</f>
        <v>N/A</v>
      </c>
      <c r="M102" s="1478" t="str">
        <f>IFERROR(VLOOKUP($I102,'Lower Hot Cell Logistics'!$H$4:$I$9,2,FALSE),"N/A")</f>
        <v>N/A</v>
      </c>
      <c r="N102" s="1183" t="str">
        <f t="shared" si="7"/>
        <v>N/A</v>
      </c>
      <c r="O102" s="1578" t="s">
        <v>1558</v>
      </c>
      <c r="P102" s="1183">
        <f>IF($D102="Logistics",VLOOKUP($O102,'Lower Hot Cell Logistics'!$C$4:$D$69,2,FALSE),"N/A")</f>
        <v>0.53</v>
      </c>
      <c r="Q102" s="1578"/>
      <c r="R102" s="1183" t="str">
        <f>IFERROR(VLOOKUP($Q102,'Lower Hot Cell Dependencies'!$C$5:$F$367,4,FALSE),"N/A")</f>
        <v>N/A</v>
      </c>
      <c r="S102" s="1183" t="str">
        <f t="shared" si="8"/>
        <v>N/A</v>
      </c>
    </row>
    <row r="103" spans="2:19" x14ac:dyDescent="0.35">
      <c r="B103" s="3786"/>
      <c r="C103" s="1579" t="s">
        <v>2060</v>
      </c>
      <c r="D103" s="1611" t="s">
        <v>251</v>
      </c>
      <c r="E103" s="626">
        <f t="shared" si="6"/>
        <v>1.7720395918264968</v>
      </c>
      <c r="F103" s="626">
        <f t="shared" si="9"/>
        <v>163.09468495878383</v>
      </c>
      <c r="G103" s="1579" t="s">
        <v>442</v>
      </c>
      <c r="H103" s="1183">
        <f>IF(D103="operation",VLOOKUP(G103,'Generic Divertor Port Tasks'!C$4:D$223,2,FALSE),"N/A")</f>
        <v>1.7720395918264968</v>
      </c>
      <c r="I103" s="1579"/>
      <c r="J103" s="582"/>
      <c r="K103" s="582"/>
      <c r="L103" s="1478" t="str">
        <f>IFERROR(INDEX('Lower Hot Cell Logistics'!$I$13:$O$19,MATCH($J103,'Lower Hot Cell Logistics'!$H$13:$H$19,0),MATCH($K103,'Lower Hot Cell Logistics'!$H$13:$H$19,0)),"N/A")</f>
        <v>N/A</v>
      </c>
      <c r="M103" s="1478" t="str">
        <f>IFERROR(VLOOKUP($I103,'Lower Hot Cell Logistics'!$H$4:$I$9,2,FALSE),"N/A")</f>
        <v>N/A</v>
      </c>
      <c r="N103" s="1183" t="str">
        <f t="shared" si="7"/>
        <v>N/A</v>
      </c>
      <c r="O103" s="1578"/>
      <c r="P103" s="1183" t="str">
        <f>IF($D103="Logistics",VLOOKUP($O103,'Lower Hot Cell Logistics'!$C$4:$D$69,2,FALSE),"N/A")</f>
        <v>N/A</v>
      </c>
      <c r="Q103" s="1578"/>
      <c r="R103" s="1183" t="str">
        <f>IFERROR(VLOOKUP($Q103,'Lower Hot Cell Dependencies'!$C$5:$F$367,4,FALSE),"N/A")</f>
        <v>N/A</v>
      </c>
      <c r="S103" s="1183" t="str">
        <f t="shared" si="8"/>
        <v>N/A</v>
      </c>
    </row>
    <row r="104" spans="2:19" x14ac:dyDescent="0.35">
      <c r="B104" s="3786"/>
      <c r="C104" s="1579" t="s">
        <v>2061</v>
      </c>
      <c r="D104" s="1611" t="s">
        <v>3</v>
      </c>
      <c r="E104" s="626">
        <f t="shared" si="6"/>
        <v>0.6</v>
      </c>
      <c r="F104" s="626">
        <f t="shared" si="9"/>
        <v>163.69468495878382</v>
      </c>
      <c r="G104" s="1579"/>
      <c r="H104" s="1183" t="str">
        <f>IF(D104="operation",VLOOKUP(G104,'Generic Divertor Port Tasks'!C$4:D$223,2,FALSE),"N/A")</f>
        <v>N/A</v>
      </c>
      <c r="I104" s="1579"/>
      <c r="J104" s="582"/>
      <c r="K104" s="582"/>
      <c r="L104" s="1478" t="str">
        <f>IFERROR(INDEX('Lower Hot Cell Logistics'!$I$13:$O$19,MATCH($J104,'Lower Hot Cell Logistics'!$H$13:$H$19,0),MATCH($K104,'Lower Hot Cell Logistics'!$H$13:$H$19,0)),"N/A")</f>
        <v>N/A</v>
      </c>
      <c r="M104" s="1478" t="str">
        <f>IFERROR(VLOOKUP($I104,'Lower Hot Cell Logistics'!$H$4:$I$9,2,FALSE),"N/A")</f>
        <v>N/A</v>
      </c>
      <c r="N104" s="1183" t="str">
        <f t="shared" si="7"/>
        <v>N/A</v>
      </c>
      <c r="O104" s="1578" t="s">
        <v>2008</v>
      </c>
      <c r="P104" s="1183">
        <f>IF($D104="Logistics",VLOOKUP($O104,'Lower Hot Cell Logistics'!$C$4:$D$69,2,FALSE),"N/A")</f>
        <v>0.6</v>
      </c>
      <c r="Q104" s="1578" t="s">
        <v>2062</v>
      </c>
      <c r="R104" s="1183">
        <f>IFERROR(VLOOKUP($Q104,'Lower Hot Cell Dependencies'!$C$5:$F$367,4,FALSE),"N/A")</f>
        <v>159.62653170105682</v>
      </c>
      <c r="S104" s="1183">
        <f t="shared" si="8"/>
        <v>3.4681532577270104</v>
      </c>
    </row>
    <row r="105" spans="2:19" ht="13.3" thickBot="1" x14ac:dyDescent="0.4">
      <c r="B105" s="3788"/>
      <c r="C105" s="1136" t="s">
        <v>2063</v>
      </c>
      <c r="D105" s="1581" t="s">
        <v>3</v>
      </c>
      <c r="E105" s="585">
        <f t="shared" si="6"/>
        <v>0.6</v>
      </c>
      <c r="F105" s="585">
        <f t="shared" si="9"/>
        <v>164.29468495878382</v>
      </c>
      <c r="G105" s="1136"/>
      <c r="H105" s="1179" t="str">
        <f>IF(D105="operation",VLOOKUP(G105,'Generic Divertor Port Tasks'!C$4:D$223,2,FALSE),"N/A")</f>
        <v>N/A</v>
      </c>
      <c r="I105" s="1136"/>
      <c r="J105" s="584"/>
      <c r="K105" s="584"/>
      <c r="L105" s="814" t="str">
        <f>IFERROR(INDEX('Lower Hot Cell Logistics'!$I$13:$O$19,MATCH($J105,'Lower Hot Cell Logistics'!$H$13:$H$19,0),MATCH($K105,'Lower Hot Cell Logistics'!$H$13:$H$19,0)),"N/A")</f>
        <v>N/A</v>
      </c>
      <c r="M105" s="814" t="str">
        <f>IFERROR(VLOOKUP($I105,'Lower Hot Cell Logistics'!$H$4:$I$9,2,FALSE),"N/A")</f>
        <v>N/A</v>
      </c>
      <c r="N105" s="1179" t="str">
        <f t="shared" si="7"/>
        <v>N/A</v>
      </c>
      <c r="O105" s="1582" t="s">
        <v>2008</v>
      </c>
      <c r="P105" s="1179">
        <f>IF($D105="Logistics",VLOOKUP($O105,'Lower Hot Cell Logistics'!$C$4:$D$69,2,FALSE),"N/A")</f>
        <v>0.6</v>
      </c>
      <c r="Q105" s="1582"/>
      <c r="R105" s="1179" t="str">
        <f>IFERROR(VLOOKUP($Q105,'Lower Hot Cell Dependencies'!$C$5:$F$367,4,FALSE),"N/A")</f>
        <v>N/A</v>
      </c>
      <c r="S105" s="1179" t="str">
        <f t="shared" si="8"/>
        <v>N/A</v>
      </c>
    </row>
    <row r="106" spans="2:19" x14ac:dyDescent="0.35">
      <c r="B106" s="3803" t="s">
        <v>1642</v>
      </c>
      <c r="C106" s="1259" t="s">
        <v>850</v>
      </c>
      <c r="D106" s="1259"/>
      <c r="E106" s="1259"/>
      <c r="F106" s="1260">
        <f>F105</f>
        <v>164.29468495878382</v>
      </c>
      <c r="G106" s="1262"/>
      <c r="H106" s="1262"/>
      <c r="I106" s="1262"/>
      <c r="J106" s="1262"/>
      <c r="K106" s="1262"/>
      <c r="L106" s="1262"/>
      <c r="M106" s="1262"/>
      <c r="N106" s="1262"/>
      <c r="O106" s="1262"/>
      <c r="P106" s="1655"/>
      <c r="Q106" s="1655"/>
      <c r="R106" s="1655"/>
      <c r="S106" s="3630"/>
    </row>
    <row r="107" spans="2:19" x14ac:dyDescent="0.35">
      <c r="B107" s="3803"/>
      <c r="C107" s="1262" t="s">
        <v>851</v>
      </c>
      <c r="D107" s="1262"/>
      <c r="E107" s="1262"/>
      <c r="F107" s="1261">
        <f>SUMIF(D7:D105,"Operation",E7:E105)</f>
        <v>120.3542439121217</v>
      </c>
      <c r="G107" s="1263">
        <f>F107/$F$106</f>
        <v>0.7325510496113411</v>
      </c>
      <c r="H107" s="1263"/>
      <c r="I107" s="1259"/>
      <c r="J107" s="1259"/>
      <c r="K107" s="1259"/>
      <c r="L107" s="1259"/>
      <c r="M107" s="1259"/>
      <c r="N107" s="1259"/>
      <c r="O107" s="1259"/>
      <c r="P107" s="1657"/>
      <c r="Q107" s="1657"/>
      <c r="R107" s="1657"/>
      <c r="S107" s="3631"/>
    </row>
    <row r="108" spans="2:19" x14ac:dyDescent="0.35">
      <c r="B108" s="3803"/>
      <c r="C108" s="1262" t="s">
        <v>852</v>
      </c>
      <c r="D108" s="1262"/>
      <c r="E108" s="1262"/>
      <c r="F108" s="1261">
        <f>SUMIF(D7:D105,"Logistics",E7:E105)</f>
        <v>40.99000000000003</v>
      </c>
      <c r="G108" s="1263">
        <f>F108/$F$106</f>
        <v>0.24949072461037364</v>
      </c>
      <c r="H108" s="1263"/>
      <c r="I108" s="1262"/>
      <c r="J108" s="1262"/>
      <c r="K108" s="1262"/>
      <c r="L108" s="1262"/>
      <c r="M108" s="1262"/>
      <c r="N108" s="1262"/>
      <c r="O108" s="1262"/>
      <c r="P108" s="1655"/>
      <c r="Q108" s="1655"/>
      <c r="R108" s="1655"/>
      <c r="S108" s="3632"/>
    </row>
    <row r="109" spans="2:19" ht="13.3" thickBot="1" x14ac:dyDescent="0.4">
      <c r="B109" s="3803"/>
      <c r="C109" s="1262" t="s">
        <v>853</v>
      </c>
      <c r="D109" s="1262"/>
      <c r="E109" s="1262"/>
      <c r="F109" s="1261">
        <f>SUMIF(D7:D105,"Movement",E7:E105)</f>
        <v>0.64814814814814814</v>
      </c>
      <c r="G109" s="1263">
        <f>F109/F106</f>
        <v>3.9450341823945639E-3</v>
      </c>
      <c r="H109" s="1263"/>
      <c r="I109" s="1262"/>
      <c r="J109" s="1262"/>
      <c r="K109" s="1262"/>
      <c r="L109" s="1262"/>
      <c r="M109" s="1262"/>
      <c r="N109" s="1262"/>
      <c r="O109" s="1262"/>
      <c r="P109" s="1655"/>
      <c r="Q109" s="1655"/>
      <c r="R109" s="1655"/>
      <c r="S109" s="3633"/>
    </row>
    <row r="110" spans="2:19" x14ac:dyDescent="0.35">
      <c r="B110" s="3787" t="s">
        <v>774</v>
      </c>
      <c r="C110" s="566" t="s">
        <v>272</v>
      </c>
      <c r="D110" s="566" t="s">
        <v>251</v>
      </c>
      <c r="E110" s="567">
        <f t="shared" ref="E110:E126" si="10">MAX($P110,$N110,$H110)</f>
        <v>0</v>
      </c>
      <c r="F110" s="1621">
        <v>0</v>
      </c>
      <c r="G110" s="803" t="s">
        <v>1998</v>
      </c>
      <c r="H110" s="1175">
        <f>IF(D110="operation",VLOOKUP(G110,'Generic Divertor Port Tasks'!C$4:D$223,2,FALSE),"N/A")</f>
        <v>0</v>
      </c>
      <c r="I110" s="803"/>
      <c r="J110" s="566"/>
      <c r="K110" s="566"/>
      <c r="L110" s="570" t="str">
        <f>IFERROR(INDEX('Lower Hot Cell Logistics'!$I$13:$O$19,MATCH($J110,'Lower Hot Cell Logistics'!$H$13:$H$19,0),MATCH($K110,'Lower Hot Cell Logistics'!$H$13:$H$19,0)),"N/A")</f>
        <v>N/A</v>
      </c>
      <c r="M110" s="570" t="str">
        <f>IFERROR(VLOOKUP($I110,'Lower Hot Cell Logistics'!$H$4:$I$9,2,FALSE),"N/A")</f>
        <v>N/A</v>
      </c>
      <c r="N110" s="1175" t="str">
        <f t="shared" ref="N110:N151" si="11">IF(D110="Movement",IFERROR((L110/M110)/(60*60),"Error"),"N/A")</f>
        <v>N/A</v>
      </c>
      <c r="O110" s="1664"/>
      <c r="P110" s="1175" t="str">
        <f>IF($D110="Logistics",VLOOKUP($O110,'Lower Hot Cell Logistics'!$C$4:$D$69,2,FALSE),"N/A")</f>
        <v>N/A</v>
      </c>
      <c r="Q110" s="1664"/>
      <c r="R110" s="1175" t="str">
        <f>IFERROR(VLOOKUP($Q110,'Lower Hot Cell Dependencies'!$C$5:$F$367,4,FALSE),"N/A")</f>
        <v>N/A</v>
      </c>
      <c r="S110" s="1175" t="str">
        <f>IFERROR(F110-R110,"N/A")</f>
        <v>N/A</v>
      </c>
    </row>
    <row r="111" spans="2:19" x14ac:dyDescent="0.35">
      <c r="B111" s="3786"/>
      <c r="C111" s="572" t="s">
        <v>2064</v>
      </c>
      <c r="D111" s="880" t="s">
        <v>3</v>
      </c>
      <c r="E111" s="1276">
        <f t="shared" si="10"/>
        <v>0.8</v>
      </c>
      <c r="F111" s="626">
        <f>IF(S111&lt;0,E111+F108+(-S111),E111+F108)</f>
        <v>41.790000000000028</v>
      </c>
      <c r="G111" s="854"/>
      <c r="H111" s="1176" t="str">
        <f>IF(D111="operation",VLOOKUP(G111,'Generic Divertor Port Tasks'!C$4:D$223,2,FALSE),"N/A")</f>
        <v>N/A</v>
      </c>
      <c r="I111" s="1131"/>
      <c r="J111" s="573"/>
      <c r="K111" s="573"/>
      <c r="L111" s="853" t="str">
        <f>IFERROR(INDEX('Lower Hot Cell Logistics'!$I$13:$O$19,MATCH($J111,'Lower Hot Cell Logistics'!$H$13:$H$19,0),MATCH($K111,'Lower Hot Cell Logistics'!$H$13:$H$19,0)),"N/A")</f>
        <v>N/A</v>
      </c>
      <c r="M111" s="853" t="str">
        <f>IFERROR(VLOOKUP($I111,'Lower Hot Cell Logistics'!$H$4:$I$9,2,FALSE),"N/A")</f>
        <v>N/A</v>
      </c>
      <c r="N111" s="1176" t="str">
        <f t="shared" si="11"/>
        <v>N/A</v>
      </c>
      <c r="O111" s="1580" t="s">
        <v>1828</v>
      </c>
      <c r="P111" s="1176">
        <f>IF($D111="Logistics",VLOOKUP($O111,'Lower Hot Cell Logistics'!$C$4:$D$69,2,FALSE),"N/A")</f>
        <v>0.8</v>
      </c>
      <c r="Q111" s="1580"/>
      <c r="R111" s="1176" t="str">
        <f>IFERROR(VLOOKUP($Q111,'Lower Hot Cell Dependencies'!$C$5:$F$367,4,FALSE),"N/A")</f>
        <v>N/A</v>
      </c>
      <c r="S111" s="1176" t="str">
        <f>IFERROR(#REF!-R111,"N/A")</f>
        <v>N/A</v>
      </c>
    </row>
    <row r="112" spans="2:19" x14ac:dyDescent="0.35">
      <c r="B112" s="3786"/>
      <c r="C112" s="572" t="s">
        <v>2065</v>
      </c>
      <c r="D112" s="880" t="s">
        <v>778</v>
      </c>
      <c r="E112" s="1276">
        <f t="shared" si="10"/>
        <v>0.69444444444444442</v>
      </c>
      <c r="F112" s="626">
        <f>IF(S112&lt;0,E112+F109+(-S112),E112+F109)</f>
        <v>1.3425925925925926</v>
      </c>
      <c r="G112" s="854"/>
      <c r="H112" s="1176" t="str">
        <f>IF(D112="operation",VLOOKUP(G112,'Generic Divertor Port Tasks'!C$4:D$223,2,FALSE),"N/A")</f>
        <v>N/A</v>
      </c>
      <c r="I112" s="1131" t="s">
        <v>2002</v>
      </c>
      <c r="J112" s="573" t="s">
        <v>799</v>
      </c>
      <c r="K112" s="573" t="s">
        <v>451</v>
      </c>
      <c r="L112" s="853">
        <f>IFERROR(INDEX('Lower Hot Cell Logistics'!$I$13:$O$19,MATCH($J112,'Lower Hot Cell Logistics'!$H$13:$H$19,0),MATCH($K112,'Lower Hot Cell Logistics'!$H$13:$H$19,0)),"N/A")</f>
        <v>50</v>
      </c>
      <c r="M112" s="853">
        <f>IFERROR(VLOOKUP($I112,'Lower Hot Cell Logistics'!$H$4:$I$9,2,FALSE),"N/A")</f>
        <v>0.02</v>
      </c>
      <c r="N112" s="1176">
        <f t="shared" si="11"/>
        <v>0.69444444444444442</v>
      </c>
      <c r="O112" s="1580" t="s">
        <v>1828</v>
      </c>
      <c r="P112" s="1176" t="str">
        <f>IF($D112="Logistics",VLOOKUP($O112,'Lower Hot Cell Logistics'!$C$4:$D$69,2,FALSE),"N/A")</f>
        <v>N/A</v>
      </c>
      <c r="Q112" s="1580"/>
      <c r="R112" s="1176" t="str">
        <f>IFERROR(VLOOKUP($Q112,'Lower Hot Cell Dependencies'!$C$5:$F$367,4,FALSE),"N/A")</f>
        <v>N/A</v>
      </c>
      <c r="S112" s="1176" t="str">
        <f>IFERROR(#REF!-R112,"N/A")</f>
        <v>N/A</v>
      </c>
    </row>
    <row r="113" spans="2:19" x14ac:dyDescent="0.35">
      <c r="B113" s="3786"/>
      <c r="C113" s="573" t="s">
        <v>854</v>
      </c>
      <c r="D113" s="573" t="s">
        <v>3</v>
      </c>
      <c r="E113" s="1276">
        <f t="shared" si="10"/>
        <v>0.8</v>
      </c>
      <c r="F113" s="626">
        <f>IF(S113&lt;0,E113+F110+(-S113),E113+F110)</f>
        <v>0.8</v>
      </c>
      <c r="G113" s="1131"/>
      <c r="H113" s="1176" t="str">
        <f>IF(D113="operation",VLOOKUP(G113,'Generic Divertor Port Tasks'!C$4:D$223,2,FALSE),"N/A")</f>
        <v>N/A</v>
      </c>
      <c r="I113" s="1131"/>
      <c r="J113" s="573"/>
      <c r="K113" s="573"/>
      <c r="L113" s="853" t="str">
        <f>IFERROR(INDEX('Lower Hot Cell Logistics'!$I$13:$O$19,MATCH($J113,'Lower Hot Cell Logistics'!$H$13:$H$19,0),MATCH($K113,'Lower Hot Cell Logistics'!$H$13:$H$19,0)),"N/A")</f>
        <v>N/A</v>
      </c>
      <c r="M113" s="853" t="str">
        <f>IFERROR(VLOOKUP($I113,'Lower Hot Cell Logistics'!$H$4:$I$9,2,FALSE),"N/A")</f>
        <v>N/A</v>
      </c>
      <c r="N113" s="1176" t="str">
        <f t="shared" si="11"/>
        <v>N/A</v>
      </c>
      <c r="O113" s="1580" t="s">
        <v>1828</v>
      </c>
      <c r="P113" s="1176">
        <f>IF($D113="Logistics",VLOOKUP($O113,'Lower Hot Cell Logistics'!$C$4:$D$69,2,FALSE),"N/A")</f>
        <v>0.8</v>
      </c>
      <c r="Q113" s="1580"/>
      <c r="R113" s="1176" t="str">
        <f>IFERROR(VLOOKUP($Q113,'Lower Hot Cell Dependencies'!$C$5:$F$367,4,FALSE),"N/A")</f>
        <v>N/A</v>
      </c>
      <c r="S113" s="1176" t="str">
        <f>IFERROR(#REF!-R113,"N/A")</f>
        <v>N/A</v>
      </c>
    </row>
    <row r="114" spans="2:19" x14ac:dyDescent="0.35">
      <c r="B114" s="3786"/>
      <c r="C114" s="573" t="s">
        <v>144</v>
      </c>
      <c r="D114" s="573" t="s">
        <v>251</v>
      </c>
      <c r="E114" s="1276">
        <f t="shared" si="10"/>
        <v>7.6666666666666661</v>
      </c>
      <c r="F114" s="626">
        <f>IF(S114&lt;0,E114+F113+(-S114),E114+F113)</f>
        <v>8.4666666666666668</v>
      </c>
      <c r="G114" s="1131" t="s">
        <v>144</v>
      </c>
      <c r="H114" s="1176">
        <f>IF(D114="operation",VLOOKUP(G114,'Generic Divertor Port Tasks'!C$4:D$223,2,FALSE),"N/A")</f>
        <v>7.6666666666666661</v>
      </c>
      <c r="I114" s="1131"/>
      <c r="J114" s="573"/>
      <c r="K114" s="573"/>
      <c r="L114" s="853" t="str">
        <f>IFERROR(INDEX('Lower Hot Cell Logistics'!$I$13:$O$19,MATCH($J114,'Lower Hot Cell Logistics'!$H$13:$H$19,0),MATCH($K114,'Lower Hot Cell Logistics'!$H$13:$H$19,0)),"N/A")</f>
        <v>N/A</v>
      </c>
      <c r="M114" s="853" t="str">
        <f>IFERROR(VLOOKUP($I114,'Lower Hot Cell Logistics'!$H$4:$I$9,2,FALSE),"N/A")</f>
        <v>N/A</v>
      </c>
      <c r="N114" s="1176" t="str">
        <f t="shared" si="11"/>
        <v>N/A</v>
      </c>
      <c r="O114" s="1580"/>
      <c r="P114" s="1176" t="str">
        <f>IF($D114="Logistics",VLOOKUP($O114,'Lower Hot Cell Logistics'!$C$4:$D$69,2,FALSE),"N/A")</f>
        <v>N/A</v>
      </c>
      <c r="Q114" s="1580"/>
      <c r="R114" s="1176" t="str">
        <f>IFERROR(VLOOKUP($Q114,'Lower Hot Cell Dependencies'!$C$5:$F$367,4,FALSE),"N/A")</f>
        <v>N/A</v>
      </c>
      <c r="S114" s="1176" t="str">
        <f t="shared" ref="S114:S196" si="12">IFERROR(F113-R114,"N/A")</f>
        <v>N/A</v>
      </c>
    </row>
    <row r="115" spans="2:19" x14ac:dyDescent="0.35">
      <c r="B115" s="3786"/>
      <c r="C115" s="573" t="s">
        <v>1645</v>
      </c>
      <c r="D115" s="573" t="s">
        <v>3</v>
      </c>
      <c r="E115" s="1276">
        <f t="shared" si="10"/>
        <v>0.6</v>
      </c>
      <c r="F115" s="626">
        <f t="shared" ref="F115:F178" si="13">IF(S115&lt;0,E115+F114+(-S115),E115+F114)</f>
        <v>9.0666666666666664</v>
      </c>
      <c r="G115" s="1131"/>
      <c r="H115" s="1176" t="str">
        <f>IF(D115="operation",VLOOKUP(G115,'Generic Divertor Port Tasks'!C$4:D$223,2,FALSE),"N/A")</f>
        <v>N/A</v>
      </c>
      <c r="I115" s="1131"/>
      <c r="J115" s="573"/>
      <c r="K115" s="573"/>
      <c r="L115" s="853" t="str">
        <f>IFERROR(INDEX('Lower Hot Cell Logistics'!$I$13:$O$19,MATCH($J115,'Lower Hot Cell Logistics'!$H$13:$H$19,0),MATCH($K115,'Lower Hot Cell Logistics'!$H$13:$H$19,0)),"N/A")</f>
        <v>N/A</v>
      </c>
      <c r="M115" s="853" t="str">
        <f>IFERROR(VLOOKUP($I115,'Lower Hot Cell Logistics'!$H$4:$I$9,2,FALSE),"N/A")</f>
        <v>N/A</v>
      </c>
      <c r="N115" s="1176" t="str">
        <f t="shared" si="11"/>
        <v>N/A</v>
      </c>
      <c r="O115" s="1580" t="s">
        <v>2008</v>
      </c>
      <c r="P115" s="1176">
        <f>IF($D115="Logistics",VLOOKUP($O115,'Lower Hot Cell Logistics'!$C$4:$D$69,2,FALSE),"N/A")</f>
        <v>0.6</v>
      </c>
      <c r="Q115" s="1580"/>
      <c r="R115" s="1176" t="str">
        <f>IFERROR(VLOOKUP($Q115,'Lower Hot Cell Dependencies'!$C$5:$F$367,4,FALSE),"N/A")</f>
        <v>N/A</v>
      </c>
      <c r="S115" s="1176" t="str">
        <f t="shared" si="12"/>
        <v>N/A</v>
      </c>
    </row>
    <row r="116" spans="2:19" x14ac:dyDescent="0.35">
      <c r="B116" s="3786"/>
      <c r="C116" s="573" t="s">
        <v>1646</v>
      </c>
      <c r="D116" s="573" t="s">
        <v>3</v>
      </c>
      <c r="E116" s="1276">
        <f t="shared" si="10"/>
        <v>0.8</v>
      </c>
      <c r="F116" s="626">
        <f t="shared" si="13"/>
        <v>9.8666666666666671</v>
      </c>
      <c r="G116" s="1131"/>
      <c r="H116" s="1176" t="str">
        <f>IF(D116="operation",VLOOKUP(G116,'Generic Divertor Port Tasks'!C$4:D$223,2,FALSE),"N/A")</f>
        <v>N/A</v>
      </c>
      <c r="I116" s="1131"/>
      <c r="J116" s="573"/>
      <c r="K116" s="573"/>
      <c r="L116" s="853" t="str">
        <f>IFERROR(INDEX('Lower Hot Cell Logistics'!$I$13:$O$19,MATCH($J116,'Lower Hot Cell Logistics'!$H$13:$H$19,0),MATCH($K116,'Lower Hot Cell Logistics'!$H$13:$H$19,0)),"N/A")</f>
        <v>N/A</v>
      </c>
      <c r="M116" s="853" t="str">
        <f>IFERROR(VLOOKUP($I116,'Lower Hot Cell Logistics'!$H$4:$I$9,2,FALSE),"N/A")</f>
        <v>N/A</v>
      </c>
      <c r="N116" s="1176" t="str">
        <f t="shared" si="11"/>
        <v>N/A</v>
      </c>
      <c r="O116" s="1580" t="s">
        <v>1828</v>
      </c>
      <c r="P116" s="1176">
        <f>IF($D116="Logistics",VLOOKUP($O116,'Lower Hot Cell Logistics'!$C$4:$D$69,2,FALSE),"N/A")</f>
        <v>0.8</v>
      </c>
      <c r="Q116" s="1580"/>
      <c r="R116" s="1176" t="str">
        <f>IFERROR(VLOOKUP($Q116,'Lower Hot Cell Dependencies'!$C$5:$F$367,4,FALSE),"N/A")</f>
        <v>N/A</v>
      </c>
      <c r="S116" s="1176" t="str">
        <f t="shared" si="12"/>
        <v>N/A</v>
      </c>
    </row>
    <row r="117" spans="2:19" x14ac:dyDescent="0.35">
      <c r="B117" s="3786"/>
      <c r="C117" s="573" t="s">
        <v>145</v>
      </c>
      <c r="D117" s="573" t="s">
        <v>251</v>
      </c>
      <c r="E117" s="1276">
        <f t="shared" si="10"/>
        <v>7.6666666666666661</v>
      </c>
      <c r="F117" s="626">
        <f t="shared" si="13"/>
        <v>17.533333333333331</v>
      </c>
      <c r="G117" s="1131" t="s">
        <v>255</v>
      </c>
      <c r="H117" s="1176">
        <f>IF(D117="operation",VLOOKUP(G117,'Generic Divertor Port Tasks'!C$4:D$223,2,FALSE),"N/A")</f>
        <v>7.6666666666666661</v>
      </c>
      <c r="I117" s="1131"/>
      <c r="J117" s="573"/>
      <c r="K117" s="573"/>
      <c r="L117" s="853" t="str">
        <f>IFERROR(INDEX('Lower Hot Cell Logistics'!$I$13:$O$19,MATCH($J117,'Lower Hot Cell Logistics'!$H$13:$H$19,0),MATCH($K117,'Lower Hot Cell Logistics'!$H$13:$H$19,0)),"N/A")</f>
        <v>N/A</v>
      </c>
      <c r="M117" s="853" t="str">
        <f>IFERROR(VLOOKUP($I117,'Lower Hot Cell Logistics'!$H$4:$I$9,2,FALSE),"N/A")</f>
        <v>N/A</v>
      </c>
      <c r="N117" s="1176" t="str">
        <f t="shared" si="11"/>
        <v>N/A</v>
      </c>
      <c r="O117" s="1580"/>
      <c r="P117" s="1176" t="str">
        <f>IF($D117="Logistics",VLOOKUP($O117,'Lower Hot Cell Logistics'!$C$4:$D$69,2,FALSE),"N/A")</f>
        <v>N/A</v>
      </c>
      <c r="Q117" s="1580"/>
      <c r="R117" s="1176" t="str">
        <f>IFERROR(VLOOKUP($Q117,'Lower Hot Cell Dependencies'!$C$5:$F$367,4,FALSE),"N/A")</f>
        <v>N/A</v>
      </c>
      <c r="S117" s="1176" t="str">
        <f t="shared" si="12"/>
        <v>N/A</v>
      </c>
    </row>
    <row r="118" spans="2:19" ht="13.3" thickBot="1" x14ac:dyDescent="0.4">
      <c r="B118" s="3788"/>
      <c r="C118" s="584" t="s">
        <v>2066</v>
      </c>
      <c r="D118" s="584" t="s">
        <v>3</v>
      </c>
      <c r="E118" s="1632">
        <f t="shared" si="10"/>
        <v>0.6</v>
      </c>
      <c r="F118" s="585">
        <f t="shared" si="13"/>
        <v>18.133333333333333</v>
      </c>
      <c r="G118" s="1136"/>
      <c r="H118" s="1179" t="str">
        <f>IF(D118="operation",VLOOKUP(G118,'Generic Divertor Port Tasks'!C$4:D$223,2,FALSE),"N/A")</f>
        <v>N/A</v>
      </c>
      <c r="I118" s="1136"/>
      <c r="J118" s="584"/>
      <c r="K118" s="584"/>
      <c r="L118" s="814" t="str">
        <f>IFERROR(INDEX('Lower Hot Cell Logistics'!$I$13:$O$19,MATCH($J118,'Lower Hot Cell Logistics'!$H$13:$H$19,0),MATCH($K118,'Lower Hot Cell Logistics'!$H$13:$H$19,0)),"N/A")</f>
        <v>N/A</v>
      </c>
      <c r="M118" s="814" t="str">
        <f>IFERROR(VLOOKUP($I118,'Lower Hot Cell Logistics'!$H$4:$I$9,2,FALSE),"N/A")</f>
        <v>N/A</v>
      </c>
      <c r="N118" s="1179" t="str">
        <f t="shared" si="11"/>
        <v>N/A</v>
      </c>
      <c r="O118" s="1582" t="s">
        <v>2008</v>
      </c>
      <c r="P118" s="1179">
        <f>IF($D118="Logistics",VLOOKUP($O118,'Lower Hot Cell Logistics'!$C$4:$D$69,2,FALSE),"N/A")</f>
        <v>0.6</v>
      </c>
      <c r="Q118" s="1582"/>
      <c r="R118" s="1179" t="str">
        <f>IFERROR(VLOOKUP($Q118,'Lower Hot Cell Dependencies'!$C$5:$F$367,4,FALSE),"N/A")</f>
        <v>N/A</v>
      </c>
      <c r="S118" s="1179" t="str">
        <f t="shared" si="12"/>
        <v>N/A</v>
      </c>
    </row>
    <row r="119" spans="2:19" ht="25.75" x14ac:dyDescent="0.35">
      <c r="B119" s="3814" t="s">
        <v>2067</v>
      </c>
      <c r="C119" s="1906" t="s">
        <v>1247</v>
      </c>
      <c r="D119" s="1907" t="s">
        <v>3</v>
      </c>
      <c r="E119" s="1739">
        <f t="shared" si="10"/>
        <v>0.8</v>
      </c>
      <c r="F119" s="1739">
        <f t="shared" si="13"/>
        <v>18.933333333333334</v>
      </c>
      <c r="G119" s="1906"/>
      <c r="H119" s="1917" t="str">
        <f>IF(D119="operation",VLOOKUP(G119,'Generic Divertor Port Tasks'!C$4:D$223,2,FALSE),"N/A")</f>
        <v>N/A</v>
      </c>
      <c r="I119" s="1906"/>
      <c r="J119" s="1911"/>
      <c r="K119" s="1911"/>
      <c r="L119" s="1912" t="str">
        <f>IFERROR(INDEX('Lower Hot Cell Logistics'!$I$13:$O$19,MATCH($J119,'Lower Hot Cell Logistics'!$H$13:$H$19,0),MATCH($K119,'Lower Hot Cell Logistics'!$H$13:$H$19,0)),"N/A")</f>
        <v>N/A</v>
      </c>
      <c r="M119" s="1912" t="str">
        <f>IFERROR(VLOOKUP($I119,'Lower Hot Cell Logistics'!$H$4:$I$9,2,FALSE),"N/A")</f>
        <v>N/A</v>
      </c>
      <c r="N119" s="1917" t="str">
        <f t="shared" si="11"/>
        <v>N/A</v>
      </c>
      <c r="O119" s="1916" t="s">
        <v>1828</v>
      </c>
      <c r="P119" s="1917">
        <f>IF($D119="Logistics",VLOOKUP($O119,'Lower Hot Cell Logistics'!$C$4:$D$69,2,FALSE),"N/A")</f>
        <v>0.8</v>
      </c>
      <c r="Q119" s="1916" t="s">
        <v>2068</v>
      </c>
      <c r="R119" s="1917">
        <f>IFERROR(VLOOKUP($Q119,'Lower Hot Cell Dependencies'!$C$5:$F$367,4,FALSE),"N/A")</f>
        <v>2.1470370370370371</v>
      </c>
      <c r="S119" s="1917">
        <f t="shared" si="12"/>
        <v>15.986296296296295</v>
      </c>
    </row>
    <row r="120" spans="2:19" x14ac:dyDescent="0.35">
      <c r="B120" s="3815"/>
      <c r="C120" s="1895" t="s">
        <v>2069</v>
      </c>
      <c r="D120" s="1896" t="s">
        <v>3</v>
      </c>
      <c r="E120" s="1347">
        <f t="shared" si="10"/>
        <v>0.8</v>
      </c>
      <c r="F120" s="1347">
        <f t="shared" si="13"/>
        <v>19.733333333333334</v>
      </c>
      <c r="G120" s="1895"/>
      <c r="H120" s="1903" t="str">
        <f>IF(D120="operation",VLOOKUP(G120,'Generic Divertor Port Tasks'!C$4:D$223,2,FALSE),"N/A")</f>
        <v>N/A</v>
      </c>
      <c r="I120" s="1895"/>
      <c r="J120" s="1897"/>
      <c r="K120" s="1897"/>
      <c r="L120" s="1898" t="str">
        <f>IFERROR(INDEX('Lower Hot Cell Logistics'!$I$13:$O$19,MATCH($J120,'Lower Hot Cell Logistics'!$H$13:$H$19,0),MATCH($K120,'Lower Hot Cell Logistics'!$H$13:$H$19,0)),"N/A")</f>
        <v>N/A</v>
      </c>
      <c r="M120" s="1898" t="str">
        <f>IFERROR(VLOOKUP($I120,'Lower Hot Cell Logistics'!$H$4:$I$9,2,FALSE),"N/A")</f>
        <v>N/A</v>
      </c>
      <c r="N120" s="1903" t="str">
        <f t="shared" si="11"/>
        <v>N/A</v>
      </c>
      <c r="O120" s="1902" t="s">
        <v>1828</v>
      </c>
      <c r="P120" s="1903">
        <f>IF($D120="Logistics",VLOOKUP($O120,'Lower Hot Cell Logistics'!$C$4:$D$69,2,FALSE),"N/A")</f>
        <v>0.8</v>
      </c>
      <c r="Q120" s="1902"/>
      <c r="R120" s="1903" t="str">
        <f>IFERROR(VLOOKUP($Q120,'Lower Hot Cell Dependencies'!$C$5:$F$367,4,FALSE),"N/A")</f>
        <v>N/A</v>
      </c>
      <c r="S120" s="1903" t="str">
        <f t="shared" si="12"/>
        <v>N/A</v>
      </c>
    </row>
    <row r="121" spans="2:19" x14ac:dyDescent="0.35">
      <c r="B121" s="3815"/>
      <c r="C121" s="1895" t="s">
        <v>2070</v>
      </c>
      <c r="D121" s="1896" t="s">
        <v>251</v>
      </c>
      <c r="E121" s="1347">
        <f t="shared" si="10"/>
        <v>53.784637313778319</v>
      </c>
      <c r="F121" s="1347">
        <f t="shared" si="13"/>
        <v>73.517970647111653</v>
      </c>
      <c r="G121" s="1895" t="s">
        <v>556</v>
      </c>
      <c r="H121" s="1903">
        <f>IF(D121="operation",VLOOKUP(G121,'Generic Divertor Port Tasks'!C$4:D$223,2,FALSE),"N/A")</f>
        <v>53.784637313778319</v>
      </c>
      <c r="I121" s="1895"/>
      <c r="J121" s="1897"/>
      <c r="K121" s="1897"/>
      <c r="L121" s="1898" t="str">
        <f>IFERROR(INDEX('Lower Hot Cell Logistics'!$I$13:$O$19,MATCH($J121,'Lower Hot Cell Logistics'!$H$13:$H$19,0),MATCH($K121,'Lower Hot Cell Logistics'!$H$13:$H$19,0)),"N/A")</f>
        <v>N/A</v>
      </c>
      <c r="M121" s="1898" t="str">
        <f>IFERROR(VLOOKUP($I121,'Lower Hot Cell Logistics'!$H$4:$I$9,2,FALSE),"N/A")</f>
        <v>N/A</v>
      </c>
      <c r="N121" s="1903" t="str">
        <f t="shared" si="11"/>
        <v>N/A</v>
      </c>
      <c r="O121" s="1902"/>
      <c r="P121" s="1903" t="str">
        <f>IF($D121="Logistics",VLOOKUP($O121,'Lower Hot Cell Logistics'!$C$4:$D$69,2,FALSE),"N/A")</f>
        <v>N/A</v>
      </c>
      <c r="Q121" s="1902"/>
      <c r="R121" s="1903" t="str">
        <f>IFERROR(VLOOKUP($Q121,'Lower Hot Cell Dependencies'!$C$5:$F$367,4,FALSE),"N/A")</f>
        <v>N/A</v>
      </c>
      <c r="S121" s="1903" t="str">
        <f t="shared" si="12"/>
        <v>N/A</v>
      </c>
    </row>
    <row r="122" spans="2:19" ht="25.75" x14ac:dyDescent="0.35">
      <c r="B122" s="3815"/>
      <c r="C122" s="1895" t="s">
        <v>2071</v>
      </c>
      <c r="D122" s="1896" t="s">
        <v>3</v>
      </c>
      <c r="E122" s="1347">
        <f t="shared" si="10"/>
        <v>0.53</v>
      </c>
      <c r="F122" s="1347">
        <f t="shared" si="13"/>
        <v>74.047970647111654</v>
      </c>
      <c r="G122" s="1895"/>
      <c r="H122" s="1903" t="str">
        <f>IF(D122="operation",VLOOKUP(G122,'Generic Divertor Port Tasks'!C$4:D$223,2,FALSE),"N/A")</f>
        <v>N/A</v>
      </c>
      <c r="I122" s="1895"/>
      <c r="J122" s="1897"/>
      <c r="K122" s="1897"/>
      <c r="L122" s="1898" t="str">
        <f>IFERROR(INDEX('Lower Hot Cell Logistics'!$I$13:$O$19,MATCH($J122,'Lower Hot Cell Logistics'!$H$13:$H$19,0),MATCH($K122,'Lower Hot Cell Logistics'!$H$13:$H$19,0)),"N/A")</f>
        <v>N/A</v>
      </c>
      <c r="M122" s="1898" t="str">
        <f>IFERROR(VLOOKUP($I122,'Lower Hot Cell Logistics'!$H$4:$I$9,2,FALSE),"N/A")</f>
        <v>N/A</v>
      </c>
      <c r="N122" s="1903" t="str">
        <f t="shared" si="11"/>
        <v>N/A</v>
      </c>
      <c r="O122" s="1902" t="s">
        <v>1558</v>
      </c>
      <c r="P122" s="1903">
        <f>IF($D122="Logistics",VLOOKUP($O122,'Lower Hot Cell Logistics'!$C$4:$D$69,2,FALSE),"N/A")</f>
        <v>0.53</v>
      </c>
      <c r="Q122" s="1902" t="s">
        <v>2072</v>
      </c>
      <c r="R122" s="1903">
        <f>IFERROR(VLOOKUP($Q122,'Lower Hot Cell Dependencies'!$C$5:$F$367,4,FALSE),"N/A")</f>
        <v>21.882592592592587</v>
      </c>
      <c r="S122" s="1903">
        <f t="shared" si="12"/>
        <v>51.635378054519066</v>
      </c>
    </row>
    <row r="123" spans="2:19" x14ac:dyDescent="0.35">
      <c r="B123" s="3815"/>
      <c r="C123" s="1895" t="s">
        <v>2073</v>
      </c>
      <c r="D123" s="1896" t="s">
        <v>3</v>
      </c>
      <c r="E123" s="1347">
        <f t="shared" si="10"/>
        <v>0.8</v>
      </c>
      <c r="F123" s="1347">
        <f t="shared" si="13"/>
        <v>74.847970647111651</v>
      </c>
      <c r="G123" s="1895"/>
      <c r="H123" s="1903" t="str">
        <f>IF(D123="operation",VLOOKUP(G123,'Generic Divertor Port Tasks'!C$4:D$223,2,FALSE),"N/A")</f>
        <v>N/A</v>
      </c>
      <c r="I123" s="1895"/>
      <c r="J123" s="1897"/>
      <c r="K123" s="1897"/>
      <c r="L123" s="1898" t="str">
        <f>IFERROR(INDEX('Lower Hot Cell Logistics'!$I$13:$O$19,MATCH($J123,'Lower Hot Cell Logistics'!$H$13:$H$19,0),MATCH($K123,'Lower Hot Cell Logistics'!$H$13:$H$19,0)),"N/A")</f>
        <v>N/A</v>
      </c>
      <c r="M123" s="1898" t="str">
        <f>IFERROR(VLOOKUP($I123,'Lower Hot Cell Logistics'!$H$4:$I$9,2,FALSE),"N/A")</f>
        <v>N/A</v>
      </c>
      <c r="N123" s="1903" t="str">
        <f t="shared" si="11"/>
        <v>N/A</v>
      </c>
      <c r="O123" s="1902" t="s">
        <v>1828</v>
      </c>
      <c r="P123" s="1903">
        <f>IF($D123="Logistics",VLOOKUP($O123,'Lower Hot Cell Logistics'!$C$4:$D$69,2,FALSE),"N/A")</f>
        <v>0.8</v>
      </c>
      <c r="Q123" s="1902"/>
      <c r="R123" s="1903" t="str">
        <f>IFERROR(VLOOKUP($Q123,'Lower Hot Cell Dependencies'!$C$5:$F$367,4,FALSE),"N/A")</f>
        <v>N/A</v>
      </c>
      <c r="S123" s="1903" t="str">
        <f t="shared" si="12"/>
        <v>N/A</v>
      </c>
    </row>
    <row r="124" spans="2:19" x14ac:dyDescent="0.35">
      <c r="B124" s="3815"/>
      <c r="C124" s="1895" t="s">
        <v>2074</v>
      </c>
      <c r="D124" s="1896" t="s">
        <v>251</v>
      </c>
      <c r="E124" s="1347">
        <f t="shared" si="10"/>
        <v>53.784637313778319</v>
      </c>
      <c r="F124" s="1347">
        <f t="shared" si="13"/>
        <v>128.63260796088997</v>
      </c>
      <c r="G124" s="1895" t="s">
        <v>556</v>
      </c>
      <c r="H124" s="1903">
        <f>IF(D124="operation",VLOOKUP(G124,'Generic Divertor Port Tasks'!C$4:D$223,2,FALSE),"N/A")</f>
        <v>53.784637313778319</v>
      </c>
      <c r="I124" s="1895"/>
      <c r="J124" s="1897"/>
      <c r="K124" s="1897"/>
      <c r="L124" s="1898" t="str">
        <f>IFERROR(INDEX('Lower Hot Cell Logistics'!$I$13:$O$19,MATCH($J124,'Lower Hot Cell Logistics'!$H$13:$H$19,0),MATCH($K124,'Lower Hot Cell Logistics'!$H$13:$H$19,0)),"N/A")</f>
        <v>N/A</v>
      </c>
      <c r="M124" s="1898" t="str">
        <f>IFERROR(VLOOKUP($I124,'Lower Hot Cell Logistics'!$H$4:$I$9,2,FALSE),"N/A")</f>
        <v>N/A</v>
      </c>
      <c r="N124" s="1903" t="str">
        <f t="shared" si="11"/>
        <v>N/A</v>
      </c>
      <c r="O124" s="1902"/>
      <c r="P124" s="1903" t="str">
        <f>IF($D124="Logistics",VLOOKUP($O124,'Lower Hot Cell Logistics'!$C$4:$D$69,2,FALSE),"N/A")</f>
        <v>N/A</v>
      </c>
      <c r="Q124" s="1902"/>
      <c r="R124" s="1903" t="str">
        <f>IFERROR(VLOOKUP($Q124,'Lower Hot Cell Dependencies'!$C$5:$F$367,4,FALSE),"N/A")</f>
        <v>N/A</v>
      </c>
      <c r="S124" s="1903" t="str">
        <f t="shared" si="12"/>
        <v>N/A</v>
      </c>
    </row>
    <row r="125" spans="2:19" x14ac:dyDescent="0.35">
      <c r="B125" s="3815"/>
      <c r="C125" s="1895" t="s">
        <v>2042</v>
      </c>
      <c r="D125" s="1896" t="s">
        <v>3</v>
      </c>
      <c r="E125" s="1347">
        <f t="shared" si="10"/>
        <v>0.6</v>
      </c>
      <c r="F125" s="1347">
        <f t="shared" si="13"/>
        <v>129.23260796088996</v>
      </c>
      <c r="G125" s="1895"/>
      <c r="H125" s="1903" t="str">
        <f>IF(D125="operation",VLOOKUP(G125,'Generic Divertor Port Tasks'!C$4:D$223,2,FALSE),"N/A")</f>
        <v>N/A</v>
      </c>
      <c r="I125" s="1895"/>
      <c r="J125" s="1897"/>
      <c r="K125" s="1897"/>
      <c r="L125" s="1898" t="str">
        <f>IFERROR(INDEX('Lower Hot Cell Logistics'!$I$13:$O$19,MATCH($J125,'Lower Hot Cell Logistics'!$H$13:$H$19,0),MATCH($K125,'Lower Hot Cell Logistics'!$H$13:$H$19,0)),"N/A")</f>
        <v>N/A</v>
      </c>
      <c r="M125" s="1898" t="str">
        <f>IFERROR(VLOOKUP($I125,'Lower Hot Cell Logistics'!$H$4:$I$9,2,FALSE),"N/A")</f>
        <v>N/A</v>
      </c>
      <c r="N125" s="1903" t="str">
        <f t="shared" si="11"/>
        <v>N/A</v>
      </c>
      <c r="O125" s="1902" t="s">
        <v>2008</v>
      </c>
      <c r="P125" s="1903">
        <f>IF($D125="Logistics",VLOOKUP($O125,'Lower Hot Cell Logistics'!$C$4:$D$69,2,FALSE),"N/A")</f>
        <v>0.6</v>
      </c>
      <c r="Q125" s="1902"/>
      <c r="R125" s="1903" t="str">
        <f>IFERROR(VLOOKUP($Q125,'Lower Hot Cell Dependencies'!$C$5:$F$367,4,FALSE),"N/A")</f>
        <v>N/A</v>
      </c>
      <c r="S125" s="1903" t="str">
        <f t="shared" si="12"/>
        <v>N/A</v>
      </c>
    </row>
    <row r="126" spans="2:19" ht="13.3" thickBot="1" x14ac:dyDescent="0.4">
      <c r="B126" s="3816"/>
      <c r="C126" s="1869" t="s">
        <v>1590</v>
      </c>
      <c r="D126" s="1918" t="s">
        <v>3</v>
      </c>
      <c r="E126" s="1295">
        <f t="shared" si="10"/>
        <v>0.6</v>
      </c>
      <c r="F126" s="1295">
        <f t="shared" si="13"/>
        <v>129.83260796088996</v>
      </c>
      <c r="G126" s="1869"/>
      <c r="H126" s="1922" t="str">
        <f>IF(D126="operation",VLOOKUP(G126,'Generic Divertor Port Tasks'!C$4:D$223,2,FALSE),"N/A")</f>
        <v>N/A</v>
      </c>
      <c r="I126" s="1869"/>
      <c r="J126" s="837"/>
      <c r="K126" s="837"/>
      <c r="L126" s="842" t="str">
        <f>IFERROR(INDEX('Lower Hot Cell Logistics'!$I$13:$O$19,MATCH($J126,'Lower Hot Cell Logistics'!$H$13:$H$19,0),MATCH($K126,'Lower Hot Cell Logistics'!$H$13:$H$19,0)),"N/A")</f>
        <v>N/A</v>
      </c>
      <c r="M126" s="842" t="str">
        <f>IFERROR(VLOOKUP($I126,'Lower Hot Cell Logistics'!$H$4:$I$9,2,FALSE),"N/A")</f>
        <v>N/A</v>
      </c>
      <c r="N126" s="1922" t="str">
        <f t="shared" si="11"/>
        <v>N/A</v>
      </c>
      <c r="O126" s="1921" t="s">
        <v>2008</v>
      </c>
      <c r="P126" s="1922">
        <f>IF($D126="Logistics",VLOOKUP($O126,'Lower Hot Cell Logistics'!$C$4:$D$69,2,FALSE),"N/A")</f>
        <v>0.6</v>
      </c>
      <c r="Q126" s="1921"/>
      <c r="R126" s="1922" t="str">
        <f>IFERROR(VLOOKUP($Q126,'Lower Hot Cell Dependencies'!$C$5:$F$367,4,FALSE),"N/A")</f>
        <v>N/A</v>
      </c>
      <c r="S126" s="1922" t="str">
        <f t="shared" si="12"/>
        <v>N/A</v>
      </c>
    </row>
    <row r="127" spans="2:19" x14ac:dyDescent="0.35">
      <c r="B127" s="3786" t="s">
        <v>2075</v>
      </c>
      <c r="C127" s="2209" t="s">
        <v>2076</v>
      </c>
      <c r="D127" s="2210" t="s">
        <v>3</v>
      </c>
      <c r="E127" s="1250">
        <f>MAX($P127,$N127,$H127)</f>
        <v>0.8</v>
      </c>
      <c r="F127" s="1250">
        <f t="shared" si="13"/>
        <v>130.63260796088997</v>
      </c>
      <c r="G127" s="2209"/>
      <c r="H127" s="2211" t="str">
        <f>IF(D127="operation",VLOOKUP(G127,'Generic Divertor Port Tasks'!C$4:D$223,2,FALSE),"N/A")</f>
        <v>N/A</v>
      </c>
      <c r="I127" s="2209"/>
      <c r="J127" s="2212"/>
      <c r="K127" s="2212"/>
      <c r="L127" s="2213" t="str">
        <f>IFERROR(INDEX('Lower Hot Cell Logistics'!$I$13:$O$19,MATCH($J127,'Lower Hot Cell Logistics'!$H$13:$H$19,0),MATCH($K127,'Lower Hot Cell Logistics'!$H$13:$H$19,0)),"N/A")</f>
        <v>N/A</v>
      </c>
      <c r="M127" s="2213" t="str">
        <f>IFERROR(VLOOKUP($I127,'Lower Hot Cell Logistics'!$H$4:$I$9,2,FALSE),"N/A")</f>
        <v>N/A</v>
      </c>
      <c r="N127" s="2211" t="str">
        <f t="shared" si="11"/>
        <v>N/A</v>
      </c>
      <c r="O127" s="2214" t="s">
        <v>1828</v>
      </c>
      <c r="P127" s="2211">
        <f>IF($D127="Logistics",VLOOKUP($O127,'Lower Hot Cell Logistics'!$C$4:$D$69,2,FALSE),"N/A")</f>
        <v>0.8</v>
      </c>
      <c r="Q127" s="2214" t="s">
        <v>2077</v>
      </c>
      <c r="R127" s="2211">
        <f>IFERROR(VLOOKUP($Q127,'Lower Hot Cell Dependencies'!$C$5:$F$367,4,FALSE),"N/A")</f>
        <v>75.123896573037584</v>
      </c>
      <c r="S127" s="2211">
        <f t="shared" si="12"/>
        <v>54.708711387852375</v>
      </c>
    </row>
    <row r="128" spans="2:19" x14ac:dyDescent="0.35">
      <c r="B128" s="3786"/>
      <c r="C128" s="1579" t="s">
        <v>1086</v>
      </c>
      <c r="D128" s="1611" t="s">
        <v>251</v>
      </c>
      <c r="E128" s="626">
        <f>MAX($P128,$N128,$H128)</f>
        <v>53.784637313778319</v>
      </c>
      <c r="F128" s="626">
        <f t="shared" si="13"/>
        <v>184.41724527466829</v>
      </c>
      <c r="G128" s="1579" t="s">
        <v>556</v>
      </c>
      <c r="H128" s="1183">
        <f>IF(D128="operation",VLOOKUP(G128,'Generic Divertor Port Tasks'!C$4:D$223,2,FALSE),"N/A")</f>
        <v>53.784637313778319</v>
      </c>
      <c r="I128" s="1579"/>
      <c r="J128" s="582"/>
      <c r="K128" s="582"/>
      <c r="L128" s="1478" t="str">
        <f>IFERROR(INDEX('Lower Hot Cell Logistics'!$I$13:$O$19,MATCH($J128,'Lower Hot Cell Logistics'!$H$13:$H$19,0),MATCH($K128,'Lower Hot Cell Logistics'!$H$13:$H$19,0)),"N/A")</f>
        <v>N/A</v>
      </c>
      <c r="M128" s="1478" t="str">
        <f>IFERROR(VLOOKUP($I128,'Lower Hot Cell Logistics'!$H$4:$I$9,2,FALSE),"N/A")</f>
        <v>N/A</v>
      </c>
      <c r="N128" s="1183" t="str">
        <f t="shared" si="11"/>
        <v>N/A</v>
      </c>
      <c r="O128" s="1578"/>
      <c r="P128" s="1183" t="str">
        <f>IF($D128="Logistics",VLOOKUP($O128,'Lower Hot Cell Logistics'!$C$4:$D$69,2,FALSE),"N/A")</f>
        <v>N/A</v>
      </c>
      <c r="Q128" s="1578"/>
      <c r="R128" s="1183" t="str">
        <f>IFERROR(VLOOKUP($Q128,'Lower Hot Cell Dependencies'!$C$5:$F$367,4,FALSE),"N/A")</f>
        <v>N/A</v>
      </c>
      <c r="S128" s="1183" t="str">
        <f t="shared" si="12"/>
        <v>N/A</v>
      </c>
    </row>
    <row r="129" spans="2:19" x14ac:dyDescent="0.35">
      <c r="B129" s="3786"/>
      <c r="C129" s="1579" t="s">
        <v>2078</v>
      </c>
      <c r="D129" s="1611" t="s">
        <v>3</v>
      </c>
      <c r="E129" s="626">
        <f t="shared" ref="E129:E175" si="14">MAX($P129,$N129,$H129)</f>
        <v>0.8</v>
      </c>
      <c r="F129" s="626">
        <f t="shared" si="13"/>
        <v>185.2172452746683</v>
      </c>
      <c r="G129" s="1579"/>
      <c r="H129" s="1183" t="str">
        <f>IF(D129="operation",VLOOKUP(G129,'Generic Divertor Port Tasks'!C$4:D$223,2,FALSE),"N/A")</f>
        <v>N/A</v>
      </c>
      <c r="I129" s="1579"/>
      <c r="J129" s="582"/>
      <c r="K129" s="582"/>
      <c r="L129" s="1478" t="str">
        <f>IFERROR(INDEX('Lower Hot Cell Logistics'!$I$13:$O$19,MATCH($J129,'Lower Hot Cell Logistics'!$H$13:$H$19,0),MATCH($K129,'Lower Hot Cell Logistics'!$H$13:$H$19,0)),"N/A")</f>
        <v>N/A</v>
      </c>
      <c r="M129" s="1478" t="str">
        <f>IFERROR(VLOOKUP($I129,'Lower Hot Cell Logistics'!$H$4:$I$9,2,FALSE),"N/A")</f>
        <v>N/A</v>
      </c>
      <c r="N129" s="1183" t="str">
        <f t="shared" si="11"/>
        <v>N/A</v>
      </c>
      <c r="O129" s="1578" t="s">
        <v>1828</v>
      </c>
      <c r="P129" s="1183">
        <f>IF($D129="Logistics",VLOOKUP($O129,'Lower Hot Cell Logistics'!$C$4:$D$69,2,FALSE),"N/A")</f>
        <v>0.8</v>
      </c>
      <c r="Q129" s="1578" t="s">
        <v>2079</v>
      </c>
      <c r="R129" s="1183">
        <f>IFERROR(VLOOKUP($Q129,'Lower Hot Cell Dependencies'!$C$5:$F$367,4,FALSE),"N/A")</f>
        <v>130.43853388681592</v>
      </c>
      <c r="S129" s="1183">
        <f t="shared" si="12"/>
        <v>53.978711387852371</v>
      </c>
    </row>
    <row r="130" spans="2:19" x14ac:dyDescent="0.35">
      <c r="B130" s="3786"/>
      <c r="C130" s="2209" t="s">
        <v>2076</v>
      </c>
      <c r="D130" s="2210" t="s">
        <v>3</v>
      </c>
      <c r="E130" s="1250">
        <f t="shared" si="14"/>
        <v>0.8</v>
      </c>
      <c r="F130" s="1250">
        <f t="shared" si="13"/>
        <v>186.01724527466831</v>
      </c>
      <c r="G130" s="2209"/>
      <c r="H130" s="2211" t="str">
        <f>IF(D130="operation",VLOOKUP(G130,'Generic Divertor Port Tasks'!C$4:D$223,2,FALSE),"N/A")</f>
        <v>N/A</v>
      </c>
      <c r="I130" s="2209"/>
      <c r="J130" s="2212"/>
      <c r="K130" s="2212"/>
      <c r="L130" s="2213" t="str">
        <f>IFERROR(INDEX('Lower Hot Cell Logistics'!$I$13:$O$19,MATCH($J130,'Lower Hot Cell Logistics'!$H$13:$H$19,0),MATCH($K130,'Lower Hot Cell Logistics'!$H$13:$H$19,0)),"N/A")</f>
        <v>N/A</v>
      </c>
      <c r="M130" s="2213" t="str">
        <f>IFERROR(VLOOKUP($I130,'Lower Hot Cell Logistics'!$H$4:$I$9,2,FALSE),"N/A")</f>
        <v>N/A</v>
      </c>
      <c r="N130" s="2211" t="str">
        <f t="shared" si="11"/>
        <v>N/A</v>
      </c>
      <c r="O130" s="2214" t="s">
        <v>1828</v>
      </c>
      <c r="P130" s="2211">
        <f>IF($D130="Logistics",VLOOKUP($O130,'Lower Hot Cell Logistics'!$C$4:$D$69,2,FALSE),"N/A")</f>
        <v>0.8</v>
      </c>
      <c r="Q130" s="2214"/>
      <c r="R130" s="2211" t="str">
        <f>IFERROR(VLOOKUP($Q130,'Lower Hot Cell Dependencies'!$C$5:$F$367,4,FALSE),"N/A")</f>
        <v>N/A</v>
      </c>
      <c r="S130" s="2211" t="str">
        <f t="shared" si="12"/>
        <v>N/A</v>
      </c>
    </row>
    <row r="131" spans="2:19" ht="13.3" thickBot="1" x14ac:dyDescent="0.4">
      <c r="B131" s="3786"/>
      <c r="C131" s="1579" t="s">
        <v>1089</v>
      </c>
      <c r="D131" s="1611" t="s">
        <v>251</v>
      </c>
      <c r="E131" s="626">
        <f t="shared" si="14"/>
        <v>53.784637313778319</v>
      </c>
      <c r="F131" s="626">
        <f t="shared" si="13"/>
        <v>239.80188258844663</v>
      </c>
      <c r="G131" s="1579" t="s">
        <v>556</v>
      </c>
      <c r="H131" s="1183">
        <f>IF(D131="operation",VLOOKUP(G131,'Generic Divertor Port Tasks'!C$4:D$223,2,FALSE),"N/A")</f>
        <v>53.784637313778319</v>
      </c>
      <c r="I131" s="1579"/>
      <c r="J131" s="582"/>
      <c r="K131" s="582"/>
      <c r="L131" s="1478" t="str">
        <f>IFERROR(INDEX('Lower Hot Cell Logistics'!$I$13:$O$19,MATCH($J131,'Lower Hot Cell Logistics'!$H$13:$H$19,0),MATCH($K131,'Lower Hot Cell Logistics'!$H$13:$H$19,0)),"N/A")</f>
        <v>N/A</v>
      </c>
      <c r="M131" s="1478" t="str">
        <f>IFERROR(VLOOKUP($I131,'Lower Hot Cell Logistics'!$H$4:$I$9,2,FALSE),"N/A")</f>
        <v>N/A</v>
      </c>
      <c r="N131" s="1183" t="str">
        <f t="shared" si="11"/>
        <v>N/A</v>
      </c>
      <c r="O131" s="1578"/>
      <c r="P131" s="1183" t="str">
        <f>IF($D131="Logistics",VLOOKUP($O131,'Lower Hot Cell Logistics'!$C$4:$D$69,2,FALSE),"N/A")</f>
        <v>N/A</v>
      </c>
      <c r="Q131" s="1578"/>
      <c r="R131" s="1183" t="str">
        <f>IFERROR(VLOOKUP($Q131,'Lower Hot Cell Dependencies'!$C$5:$F$367,4,FALSE),"N/A")</f>
        <v>N/A</v>
      </c>
      <c r="S131" s="1183" t="str">
        <f t="shared" si="12"/>
        <v>N/A</v>
      </c>
    </row>
    <row r="132" spans="2:19" ht="15" customHeight="1" x14ac:dyDescent="0.35">
      <c r="B132" s="3814" t="s">
        <v>2080</v>
      </c>
      <c r="C132" s="1906" t="s">
        <v>2081</v>
      </c>
      <c r="D132" s="1907" t="s">
        <v>3</v>
      </c>
      <c r="E132" s="1739">
        <f t="shared" si="14"/>
        <v>0.8</v>
      </c>
      <c r="F132" s="1739">
        <f t="shared" si="13"/>
        <v>240.60188258844664</v>
      </c>
      <c r="G132" s="1906"/>
      <c r="H132" s="1917" t="str">
        <f>IF(D132="operation",VLOOKUP(G132,'Generic Divertor Port Tasks'!C$4:D$223,2,FALSE),"N/A")</f>
        <v>N/A</v>
      </c>
      <c r="I132" s="1906"/>
      <c r="J132" s="1911"/>
      <c r="K132" s="1911"/>
      <c r="L132" s="1912" t="str">
        <f>IFERROR(INDEX('Lower Hot Cell Logistics'!$I$13:$O$19,MATCH($J132,'Lower Hot Cell Logistics'!$H$13:$H$19,0),MATCH($K132,'Lower Hot Cell Logistics'!$H$13:$H$19,0)),"N/A")</f>
        <v>N/A</v>
      </c>
      <c r="M132" s="1912" t="str">
        <f>IFERROR(VLOOKUP($I132,'Lower Hot Cell Logistics'!$H$4:$I$9,2,FALSE),"N/A")</f>
        <v>N/A</v>
      </c>
      <c r="N132" s="1917" t="str">
        <f t="shared" si="11"/>
        <v>N/A</v>
      </c>
      <c r="O132" s="1916" t="s">
        <v>1828</v>
      </c>
      <c r="P132" s="1917">
        <f>IF($D132="Logistics",VLOOKUP($O132,'Lower Hot Cell Logistics'!$C$4:$D$69,2,FALSE),"N/A")</f>
        <v>0.8</v>
      </c>
      <c r="Q132" s="1916" t="s">
        <v>2082</v>
      </c>
      <c r="R132" s="1917">
        <f>IFERROR(VLOOKUP($Q132,'Lower Hot Cell Dependencies'!$C$5:$F$367,4,FALSE),"N/A")</f>
        <v>186.22317120059424</v>
      </c>
      <c r="S132" s="1917">
        <f t="shared" si="12"/>
        <v>53.578711387852394</v>
      </c>
    </row>
    <row r="133" spans="2:19" x14ac:dyDescent="0.35">
      <c r="B133" s="3815"/>
      <c r="C133" s="1895" t="s">
        <v>1092</v>
      </c>
      <c r="D133" s="1896" t="s">
        <v>251</v>
      </c>
      <c r="E133" s="1347">
        <f t="shared" si="14"/>
        <v>26.773271037841543</v>
      </c>
      <c r="F133" s="1347">
        <f t="shared" si="13"/>
        <v>267.37515362628818</v>
      </c>
      <c r="G133" s="1895" t="s">
        <v>450</v>
      </c>
      <c r="H133" s="1903">
        <f>IF(D133="operation",VLOOKUP(G133,'Generic Divertor Port Tasks'!C$4:D$223,2,FALSE),"N/A")</f>
        <v>26.773271037841543</v>
      </c>
      <c r="I133" s="1895"/>
      <c r="J133" s="1897"/>
      <c r="K133" s="1897"/>
      <c r="L133" s="1898" t="str">
        <f>IFERROR(INDEX('Lower Hot Cell Logistics'!$I$13:$O$19,MATCH($J133,'Lower Hot Cell Logistics'!$H$13:$H$19,0),MATCH($K133,'Lower Hot Cell Logistics'!$H$13:$H$19,0)),"N/A")</f>
        <v>N/A</v>
      </c>
      <c r="M133" s="1898" t="str">
        <f>IFERROR(VLOOKUP($I133,'Lower Hot Cell Logistics'!$H$4:$I$9,2,FALSE),"N/A")</f>
        <v>N/A</v>
      </c>
      <c r="N133" s="1903" t="str">
        <f t="shared" si="11"/>
        <v>N/A</v>
      </c>
      <c r="O133" s="1902"/>
      <c r="P133" s="1903" t="str">
        <f>IF($D133="Logistics",VLOOKUP($O133,'Lower Hot Cell Logistics'!$C$4:$D$69,2,FALSE),"N/A")</f>
        <v>N/A</v>
      </c>
      <c r="Q133" s="1902"/>
      <c r="R133" s="1903" t="str">
        <f>IFERROR(VLOOKUP($Q133,'Lower Hot Cell Dependencies'!$C$5:$F$367,4,FALSE),"N/A")</f>
        <v>N/A</v>
      </c>
      <c r="S133" s="1903" t="str">
        <f t="shared" si="12"/>
        <v>N/A</v>
      </c>
    </row>
    <row r="134" spans="2:19" x14ac:dyDescent="0.35">
      <c r="B134" s="3815"/>
      <c r="C134" s="1895" t="s">
        <v>2083</v>
      </c>
      <c r="D134" s="1896" t="s">
        <v>3</v>
      </c>
      <c r="E134" s="1347">
        <f t="shared" si="14"/>
        <v>0.8</v>
      </c>
      <c r="F134" s="1347">
        <f t="shared" si="13"/>
        <v>268.17515362628819</v>
      </c>
      <c r="G134" s="1895"/>
      <c r="H134" s="1903" t="str">
        <f>IF(D134="operation",VLOOKUP(G134,'Generic Divertor Port Tasks'!C$4:D$223,2,FALSE),"N/A")</f>
        <v>N/A</v>
      </c>
      <c r="I134" s="1895"/>
      <c r="J134" s="1897"/>
      <c r="K134" s="1897"/>
      <c r="L134" s="1898" t="str">
        <f>IFERROR(INDEX('Lower Hot Cell Logistics'!$I$13:$O$19,MATCH($J134,'Lower Hot Cell Logistics'!$H$13:$H$19,0),MATCH($K134,'Lower Hot Cell Logistics'!$H$13:$H$19,0)),"N/A")</f>
        <v>N/A</v>
      </c>
      <c r="M134" s="1898" t="str">
        <f>IFERROR(VLOOKUP($I134,'Lower Hot Cell Logistics'!$H$4:$I$9,2,FALSE),"N/A")</f>
        <v>N/A</v>
      </c>
      <c r="N134" s="1903" t="str">
        <f t="shared" si="11"/>
        <v>N/A</v>
      </c>
      <c r="O134" s="1902" t="s">
        <v>1828</v>
      </c>
      <c r="P134" s="1903">
        <f>IF($D134="Logistics",VLOOKUP($O134,'Lower Hot Cell Logistics'!$C$4:$D$69,2,FALSE),"N/A")</f>
        <v>0.8</v>
      </c>
      <c r="Q134" s="1902"/>
      <c r="R134" s="1903" t="str">
        <f>IFERROR(VLOOKUP($Q134,'Lower Hot Cell Dependencies'!$C$5:$F$367,4,FALSE),"N/A")</f>
        <v>N/A</v>
      </c>
      <c r="S134" s="1903" t="str">
        <f>IFERROR(F133-R134,"N/A")</f>
        <v>N/A</v>
      </c>
    </row>
    <row r="135" spans="2:19" x14ac:dyDescent="0.35">
      <c r="B135" s="3815"/>
      <c r="C135" s="1895" t="s">
        <v>1670</v>
      </c>
      <c r="D135" s="1896" t="s">
        <v>3</v>
      </c>
      <c r="E135" s="1347">
        <f t="shared" si="14"/>
        <v>0.53</v>
      </c>
      <c r="F135" s="1347">
        <f t="shared" si="13"/>
        <v>268.70515362628817</v>
      </c>
      <c r="G135" s="1895"/>
      <c r="H135" s="1903" t="str">
        <f>IF(D135="operation",VLOOKUP(G135,'Generic Divertor Port Tasks'!C$4:D$223,2,FALSE),"N/A")</f>
        <v>N/A</v>
      </c>
      <c r="I135" s="1895"/>
      <c r="J135" s="1897"/>
      <c r="K135" s="1897"/>
      <c r="L135" s="1898" t="str">
        <f>IFERROR(INDEX('Lower Hot Cell Logistics'!$I$13:$O$19,MATCH($J135,'Lower Hot Cell Logistics'!$H$13:$H$19,0),MATCH($K135,'Lower Hot Cell Logistics'!$H$13:$H$19,0)),"N/A")</f>
        <v>N/A</v>
      </c>
      <c r="M135" s="1898" t="str">
        <f>IFERROR(VLOOKUP($I135,'Lower Hot Cell Logistics'!$H$4:$I$9,2,FALSE),"N/A")</f>
        <v>N/A</v>
      </c>
      <c r="N135" s="1903" t="str">
        <f t="shared" si="11"/>
        <v>N/A</v>
      </c>
      <c r="O135" s="1902" t="s">
        <v>1558</v>
      </c>
      <c r="P135" s="1903">
        <f>IF($D135="Logistics",VLOOKUP($O135,'Lower Hot Cell Logistics'!$C$4:$D$69,2,FALSE),"N/A")</f>
        <v>0.53</v>
      </c>
      <c r="Q135" s="1902"/>
      <c r="R135" s="1903" t="str">
        <f>IFERROR(VLOOKUP($Q135,'Lower Hot Cell Dependencies'!$C$5:$F$367,4,FALSE),"N/A")</f>
        <v>N/A</v>
      </c>
      <c r="S135" s="1903" t="str">
        <f t="shared" si="12"/>
        <v>N/A</v>
      </c>
    </row>
    <row r="136" spans="2:19" x14ac:dyDescent="0.35">
      <c r="B136" s="3815"/>
      <c r="C136" s="1895" t="s">
        <v>2084</v>
      </c>
      <c r="D136" s="1896" t="s">
        <v>251</v>
      </c>
      <c r="E136" s="1347">
        <f t="shared" si="14"/>
        <v>26.773271037841543</v>
      </c>
      <c r="F136" s="1347">
        <f t="shared" si="13"/>
        <v>295.4784246641297</v>
      </c>
      <c r="G136" s="1895" t="s">
        <v>450</v>
      </c>
      <c r="H136" s="1903">
        <f>IF(D136="operation",VLOOKUP(G136,'Generic Divertor Port Tasks'!C$4:D$223,2,FALSE),"N/A")</f>
        <v>26.773271037841543</v>
      </c>
      <c r="I136" s="1895"/>
      <c r="J136" s="1897"/>
      <c r="K136" s="1897"/>
      <c r="L136" s="1898" t="str">
        <f>IFERROR(INDEX('Lower Hot Cell Logistics'!$I$13:$O$19,MATCH($J136,'Lower Hot Cell Logistics'!$H$13:$H$19,0),MATCH($K136,'Lower Hot Cell Logistics'!$H$13:$H$19,0)),"N/A")</f>
        <v>N/A</v>
      </c>
      <c r="M136" s="1898" t="str">
        <f>IFERROR(VLOOKUP($I136,'Lower Hot Cell Logistics'!$H$4:$I$9,2,FALSE),"N/A")</f>
        <v>N/A</v>
      </c>
      <c r="N136" s="1903" t="str">
        <f t="shared" si="11"/>
        <v>N/A</v>
      </c>
      <c r="O136" s="1902"/>
      <c r="P136" s="1903" t="str">
        <f>IF($D136="Logistics",VLOOKUP($O136,'Lower Hot Cell Logistics'!$C$4:$D$69,2,FALSE),"N/A")</f>
        <v>N/A</v>
      </c>
      <c r="Q136" s="1902" t="s">
        <v>2085</v>
      </c>
      <c r="R136" s="1903">
        <f>IFERROR(VLOOKUP($Q136,'Lower Hot Cell Dependencies'!$C$5:$F$367,4,FALSE),"N/A")</f>
        <v>241.60780851437258</v>
      </c>
      <c r="S136" s="1903">
        <f t="shared" si="12"/>
        <v>27.097345111915587</v>
      </c>
    </row>
    <row r="137" spans="2:19" x14ac:dyDescent="0.35">
      <c r="B137" s="3815"/>
      <c r="C137" s="1895" t="s">
        <v>2042</v>
      </c>
      <c r="D137" s="1896" t="s">
        <v>3</v>
      </c>
      <c r="E137" s="1347">
        <f t="shared" si="14"/>
        <v>0.6</v>
      </c>
      <c r="F137" s="1347">
        <f t="shared" si="13"/>
        <v>296.07842466412973</v>
      </c>
      <c r="G137" s="1895"/>
      <c r="H137" s="1903" t="str">
        <f>IF(D137="operation",VLOOKUP(G137,'Generic Divertor Port Tasks'!C$4:D$223,2,FALSE),"N/A")</f>
        <v>N/A</v>
      </c>
      <c r="I137" s="1895"/>
      <c r="J137" s="1897"/>
      <c r="K137" s="1897"/>
      <c r="L137" s="1898" t="str">
        <f>IFERROR(INDEX('Lower Hot Cell Logistics'!$I$13:$O$19,MATCH($J137,'Lower Hot Cell Logistics'!$H$13:$H$19,0),MATCH($K137,'Lower Hot Cell Logistics'!$H$13:$H$19,0)),"N/A")</f>
        <v>N/A</v>
      </c>
      <c r="M137" s="1898" t="str">
        <f>IFERROR(VLOOKUP($I137,'Lower Hot Cell Logistics'!$H$4:$I$9,2,FALSE),"N/A")</f>
        <v>N/A</v>
      </c>
      <c r="N137" s="1903" t="str">
        <f t="shared" si="11"/>
        <v>N/A</v>
      </c>
      <c r="O137" s="1902" t="s">
        <v>2008</v>
      </c>
      <c r="P137" s="1903">
        <f>IF($D137="Logistics",VLOOKUP($O137,'Lower Hot Cell Logistics'!$C$4:$D$69,2,FALSE),"N/A")</f>
        <v>0.6</v>
      </c>
      <c r="Q137" s="1902"/>
      <c r="R137" s="1903" t="str">
        <f>IFERROR(VLOOKUP($Q137,'Lower Hot Cell Dependencies'!$C$5:$F$367,4,FALSE),"N/A")</f>
        <v>N/A</v>
      </c>
      <c r="S137" s="1903" t="str">
        <f t="shared" si="12"/>
        <v>N/A</v>
      </c>
    </row>
    <row r="138" spans="2:19" x14ac:dyDescent="0.35">
      <c r="B138" s="3815"/>
      <c r="C138" s="1895" t="s">
        <v>1252</v>
      </c>
      <c r="D138" s="1896" t="s">
        <v>3</v>
      </c>
      <c r="E138" s="1347">
        <f t="shared" si="14"/>
        <v>0.8</v>
      </c>
      <c r="F138" s="1347">
        <f t="shared" si="13"/>
        <v>296.87842466412974</v>
      </c>
      <c r="G138" s="1895"/>
      <c r="H138" s="1903" t="str">
        <f>IF(D138="operation",VLOOKUP(G138,'Generic Divertor Port Tasks'!C$4:D$223,2,FALSE),"N/A")</f>
        <v>N/A</v>
      </c>
      <c r="I138" s="1895"/>
      <c r="J138" s="1897"/>
      <c r="K138" s="1897"/>
      <c r="L138" s="1898" t="str">
        <f>IFERROR(INDEX('Lower Hot Cell Logistics'!$I$13:$O$19,MATCH($J138,'Lower Hot Cell Logistics'!$H$13:$H$19,0),MATCH($K138,'Lower Hot Cell Logistics'!$H$13:$H$19,0)),"N/A")</f>
        <v>N/A</v>
      </c>
      <c r="M138" s="1898" t="str">
        <f>IFERROR(VLOOKUP($I138,'Lower Hot Cell Logistics'!$H$4:$I$9,2,FALSE),"N/A")</f>
        <v>N/A</v>
      </c>
      <c r="N138" s="1903" t="str">
        <f t="shared" si="11"/>
        <v>N/A</v>
      </c>
      <c r="O138" s="1902" t="s">
        <v>1828</v>
      </c>
      <c r="P138" s="1903">
        <f>IF($D138="Logistics",VLOOKUP($O138,'Lower Hot Cell Logistics'!$C$4:$D$69,2,FALSE),"N/A")</f>
        <v>0.8</v>
      </c>
      <c r="Q138" s="1902"/>
      <c r="R138" s="1903" t="str">
        <f>IFERROR(VLOOKUP($Q138,'Lower Hot Cell Dependencies'!$C$5:$F$367,4,FALSE),"N/A")</f>
        <v>N/A</v>
      </c>
      <c r="S138" s="1903" t="str">
        <f t="shared" si="12"/>
        <v>N/A</v>
      </c>
    </row>
    <row r="139" spans="2:19" x14ac:dyDescent="0.35">
      <c r="B139" s="3815"/>
      <c r="C139" s="1895" t="s">
        <v>1672</v>
      </c>
      <c r="D139" s="1896" t="s">
        <v>251</v>
      </c>
      <c r="E139" s="1347">
        <f t="shared" si="14"/>
        <v>5.16</v>
      </c>
      <c r="F139" s="1347">
        <f t="shared" si="13"/>
        <v>302.03842466412976</v>
      </c>
      <c r="G139" s="1895" t="s">
        <v>273</v>
      </c>
      <c r="H139" s="1903">
        <f>IF(D139="operation",VLOOKUP(G139,'Generic Divertor Port Tasks'!C$4:D$223,2,FALSE),"N/A")</f>
        <v>5.16</v>
      </c>
      <c r="I139" s="1895"/>
      <c r="J139" s="1897"/>
      <c r="K139" s="1897"/>
      <c r="L139" s="1898" t="str">
        <f>IFERROR(INDEX('Lower Hot Cell Logistics'!$I$13:$O$19,MATCH($J139,'Lower Hot Cell Logistics'!$H$13:$H$19,0),MATCH($K139,'Lower Hot Cell Logistics'!$H$13:$H$19,0)),"N/A")</f>
        <v>N/A</v>
      </c>
      <c r="M139" s="1898" t="str">
        <f>IFERROR(VLOOKUP($I139,'Lower Hot Cell Logistics'!$H$4:$I$9,2,FALSE),"N/A")</f>
        <v>N/A</v>
      </c>
      <c r="N139" s="1903" t="str">
        <f t="shared" si="11"/>
        <v>N/A</v>
      </c>
      <c r="O139" s="1902"/>
      <c r="P139" s="1903" t="str">
        <f>IF($D139="Logistics",VLOOKUP($O139,'Lower Hot Cell Logistics'!$C$4:$D$69,2,FALSE),"N/A")</f>
        <v>N/A</v>
      </c>
      <c r="Q139" s="1902"/>
      <c r="R139" s="1903" t="str">
        <f>IFERROR(VLOOKUP($Q139,'Lower Hot Cell Dependencies'!$C$5:$F$367,4,FALSE),"N/A")</f>
        <v>N/A</v>
      </c>
      <c r="S139" s="1903" t="str">
        <f t="shared" si="12"/>
        <v>N/A</v>
      </c>
    </row>
    <row r="140" spans="2:19" x14ac:dyDescent="0.35">
      <c r="B140" s="3815"/>
      <c r="C140" s="1895" t="s">
        <v>1673</v>
      </c>
      <c r="D140" s="1896" t="s">
        <v>251</v>
      </c>
      <c r="E140" s="1347">
        <f t="shared" si="14"/>
        <v>5.16</v>
      </c>
      <c r="F140" s="1347">
        <f t="shared" si="13"/>
        <v>307.19842466412979</v>
      </c>
      <c r="G140" s="1895" t="s">
        <v>273</v>
      </c>
      <c r="H140" s="1903">
        <f>IF(D140="operation",VLOOKUP(G140,'Generic Divertor Port Tasks'!C$4:D$223,2,FALSE),"N/A")</f>
        <v>5.16</v>
      </c>
      <c r="I140" s="1895"/>
      <c r="J140" s="1897"/>
      <c r="K140" s="1897"/>
      <c r="L140" s="1898" t="str">
        <f>IFERROR(INDEX('Lower Hot Cell Logistics'!$I$13:$O$19,MATCH($J140,'Lower Hot Cell Logistics'!$H$13:$H$19,0),MATCH($K140,'Lower Hot Cell Logistics'!$H$13:$H$19,0)),"N/A")</f>
        <v>N/A</v>
      </c>
      <c r="M140" s="1898" t="str">
        <f>IFERROR(VLOOKUP($I140,'Lower Hot Cell Logistics'!$H$4:$I$9,2,FALSE),"N/A")</f>
        <v>N/A</v>
      </c>
      <c r="N140" s="1903" t="str">
        <f t="shared" si="11"/>
        <v>N/A</v>
      </c>
      <c r="O140" s="1902"/>
      <c r="P140" s="1903" t="str">
        <f>IF($D140="Logistics",VLOOKUP($O140,'Lower Hot Cell Logistics'!$C$4:$D$69,2,FALSE),"N/A")</f>
        <v>N/A</v>
      </c>
      <c r="Q140" s="1902"/>
      <c r="R140" s="1903" t="str">
        <f>IFERROR(VLOOKUP($Q140,'Lower Hot Cell Dependencies'!$C$5:$F$367,4,FALSE),"N/A")</f>
        <v>N/A</v>
      </c>
      <c r="S140" s="1903" t="str">
        <f t="shared" si="12"/>
        <v>N/A</v>
      </c>
    </row>
    <row r="141" spans="2:19" x14ac:dyDescent="0.35">
      <c r="B141" s="3815"/>
      <c r="C141" s="1895" t="s">
        <v>1590</v>
      </c>
      <c r="D141" s="1896" t="s">
        <v>3</v>
      </c>
      <c r="E141" s="1347">
        <f t="shared" si="14"/>
        <v>0.6</v>
      </c>
      <c r="F141" s="1347">
        <f t="shared" si="13"/>
        <v>307.79842466412981</v>
      </c>
      <c r="G141" s="1895"/>
      <c r="H141" s="1903" t="str">
        <f>IF(D141="operation",VLOOKUP(G141,'Generic Divertor Port Tasks'!C$4:D$223,2,FALSE),"N/A")</f>
        <v>N/A</v>
      </c>
      <c r="I141" s="1895"/>
      <c r="J141" s="1897"/>
      <c r="K141" s="1897"/>
      <c r="L141" s="1898" t="str">
        <f>IFERROR(INDEX('Lower Hot Cell Logistics'!$I$13:$O$19,MATCH($J141,'Lower Hot Cell Logistics'!$H$13:$H$19,0),MATCH($K141,'Lower Hot Cell Logistics'!$H$13:$H$19,0)),"N/A")</f>
        <v>N/A</v>
      </c>
      <c r="M141" s="1898" t="str">
        <f>IFERROR(VLOOKUP($I141,'Lower Hot Cell Logistics'!$H$4:$I$9,2,FALSE),"N/A")</f>
        <v>N/A</v>
      </c>
      <c r="N141" s="1903" t="str">
        <f t="shared" si="11"/>
        <v>N/A</v>
      </c>
      <c r="O141" s="1902" t="s">
        <v>2008</v>
      </c>
      <c r="P141" s="1903">
        <f>IF($D141="Logistics",VLOOKUP($O141,'Lower Hot Cell Logistics'!$C$4:$D$69,2,FALSE),"N/A")</f>
        <v>0.6</v>
      </c>
      <c r="Q141" s="1902"/>
      <c r="R141" s="1903" t="str">
        <f>IFERROR(VLOOKUP($Q141,'Lower Hot Cell Dependencies'!$C$5:$F$367,4,FALSE),"N/A")</f>
        <v>N/A</v>
      </c>
      <c r="S141" s="1903" t="str">
        <f t="shared" si="12"/>
        <v>N/A</v>
      </c>
    </row>
    <row r="142" spans="2:19" x14ac:dyDescent="0.35">
      <c r="B142" s="3815"/>
      <c r="C142" s="1895" t="s">
        <v>1247</v>
      </c>
      <c r="D142" s="1896" t="s">
        <v>3</v>
      </c>
      <c r="E142" s="1347">
        <f t="shared" si="14"/>
        <v>0.8</v>
      </c>
      <c r="F142" s="1347">
        <f t="shared" si="13"/>
        <v>308.59842466412982</v>
      </c>
      <c r="G142" s="1895"/>
      <c r="H142" s="1903" t="str">
        <f>IF(D142="operation",VLOOKUP(G142,'Generic Divertor Port Tasks'!C$4:D$223,2,FALSE),"N/A")</f>
        <v>N/A</v>
      </c>
      <c r="I142" s="1895"/>
      <c r="J142" s="1897"/>
      <c r="K142" s="1897"/>
      <c r="L142" s="1898" t="str">
        <f>IFERROR(INDEX('Lower Hot Cell Logistics'!$I$13:$O$19,MATCH($J142,'Lower Hot Cell Logistics'!$H$13:$H$19,0),MATCH($K142,'Lower Hot Cell Logistics'!$H$13:$H$19,0)),"N/A")</f>
        <v>N/A</v>
      </c>
      <c r="M142" s="1898" t="str">
        <f>IFERROR(VLOOKUP($I142,'Lower Hot Cell Logistics'!$H$4:$I$9,2,FALSE),"N/A")</f>
        <v>N/A</v>
      </c>
      <c r="N142" s="1903" t="str">
        <f t="shared" si="11"/>
        <v>N/A</v>
      </c>
      <c r="O142" s="1902" t="s">
        <v>1828</v>
      </c>
      <c r="P142" s="1903">
        <f>IF($D142="Logistics",VLOOKUP($O142,'Lower Hot Cell Logistics'!$C$4:$D$69,2,FALSE),"N/A")</f>
        <v>0.8</v>
      </c>
      <c r="Q142" s="1902"/>
      <c r="R142" s="1903" t="str">
        <f>IFERROR(VLOOKUP($Q142,'Lower Hot Cell Dependencies'!$C$5:$F$367,4,FALSE),"N/A")</f>
        <v>N/A</v>
      </c>
      <c r="S142" s="1903" t="str">
        <f t="shared" si="12"/>
        <v>N/A</v>
      </c>
    </row>
    <row r="143" spans="2:19" x14ac:dyDescent="0.35">
      <c r="B143" s="3815"/>
      <c r="C143" s="1895" t="s">
        <v>2086</v>
      </c>
      <c r="D143" s="1896" t="s">
        <v>3</v>
      </c>
      <c r="E143" s="1347">
        <f t="shared" si="14"/>
        <v>0.8</v>
      </c>
      <c r="F143" s="1347">
        <f t="shared" si="13"/>
        <v>309.39842466412983</v>
      </c>
      <c r="G143" s="1895"/>
      <c r="H143" s="1903" t="str">
        <f>IF(D143="operation",VLOOKUP(G143,'Generic Divertor Port Tasks'!C$4:D$223,2,FALSE),"N/A")</f>
        <v>N/A</v>
      </c>
      <c r="I143" s="1895"/>
      <c r="J143" s="1897"/>
      <c r="K143" s="1897"/>
      <c r="L143" s="1898" t="str">
        <f>IFERROR(INDEX('Lower Hot Cell Logistics'!$I$13:$O$19,MATCH($J143,'Lower Hot Cell Logistics'!$H$13:$H$19,0),MATCH($K143,'Lower Hot Cell Logistics'!$H$13:$H$19,0)),"N/A")</f>
        <v>N/A</v>
      </c>
      <c r="M143" s="1898" t="str">
        <f>IFERROR(VLOOKUP($I143,'Lower Hot Cell Logistics'!$H$4:$I$9,2,FALSE),"N/A")</f>
        <v>N/A</v>
      </c>
      <c r="N143" s="1903" t="str">
        <f t="shared" si="11"/>
        <v>N/A</v>
      </c>
      <c r="O143" s="1902" t="s">
        <v>1828</v>
      </c>
      <c r="P143" s="1903">
        <f>IF($D143="Logistics",VLOOKUP($O143,'Lower Hot Cell Logistics'!$C$4:$D$69,2,FALSE),"N/A")</f>
        <v>0.8</v>
      </c>
      <c r="Q143" s="1902" t="s">
        <v>2087</v>
      </c>
      <c r="R143" s="1903">
        <f>IFERROR(VLOOKUP($Q143,'Lower Hot Cell Dependencies'!$C$5:$F$367,4,FALSE),"N/A")</f>
        <v>269.1810795522141</v>
      </c>
      <c r="S143" s="1903">
        <f t="shared" si="12"/>
        <v>39.417345111915722</v>
      </c>
    </row>
    <row r="144" spans="2:19" x14ac:dyDescent="0.35">
      <c r="B144" s="3815"/>
      <c r="C144" s="1895" t="s">
        <v>1596</v>
      </c>
      <c r="D144" s="1896" t="s">
        <v>3</v>
      </c>
      <c r="E144" s="1347">
        <f t="shared" si="14"/>
        <v>0.53</v>
      </c>
      <c r="F144" s="1347">
        <f t="shared" si="13"/>
        <v>309.92842466412981</v>
      </c>
      <c r="G144" s="1895"/>
      <c r="H144" s="1903" t="str">
        <f>IF(D144="operation",VLOOKUP(G144,'Generic Divertor Port Tasks'!C$4:D$223,2,FALSE),"N/A")</f>
        <v>N/A</v>
      </c>
      <c r="I144" s="1895"/>
      <c r="J144" s="1897"/>
      <c r="K144" s="1897"/>
      <c r="L144" s="1898" t="str">
        <f>IFERROR(INDEX('Lower Hot Cell Logistics'!$I$13:$O$19,MATCH($J144,'Lower Hot Cell Logistics'!$H$13:$H$19,0),MATCH($K144,'Lower Hot Cell Logistics'!$H$13:$H$19,0)),"N/A")</f>
        <v>N/A</v>
      </c>
      <c r="M144" s="1898" t="str">
        <f>IFERROR(VLOOKUP($I144,'Lower Hot Cell Logistics'!$H$4:$I$9,2,FALSE),"N/A")</f>
        <v>N/A</v>
      </c>
      <c r="N144" s="1903" t="str">
        <f t="shared" si="11"/>
        <v>N/A</v>
      </c>
      <c r="O144" s="1902" t="s">
        <v>1558</v>
      </c>
      <c r="P144" s="1903">
        <f>IF($D144="Logistics",VLOOKUP($O144,'Lower Hot Cell Logistics'!$C$4:$D$69,2,FALSE),"N/A")</f>
        <v>0.53</v>
      </c>
      <c r="Q144" s="1902"/>
      <c r="R144" s="1903" t="str">
        <f>IFERROR(VLOOKUP($Q144,'Lower Hot Cell Dependencies'!$C$5:$F$367,4,FALSE),"N/A")</f>
        <v>N/A</v>
      </c>
      <c r="S144" s="1903" t="str">
        <f t="shared" si="12"/>
        <v>N/A</v>
      </c>
    </row>
    <row r="145" spans="2:19" x14ac:dyDescent="0.35">
      <c r="B145" s="3815"/>
      <c r="C145" s="1895" t="s">
        <v>2088</v>
      </c>
      <c r="D145" s="1896" t="s">
        <v>251</v>
      </c>
      <c r="E145" s="1347">
        <f t="shared" si="14"/>
        <v>26.773271037841543</v>
      </c>
      <c r="F145" s="1347">
        <f t="shared" si="13"/>
        <v>336.70169570197135</v>
      </c>
      <c r="G145" s="1895" t="s">
        <v>450</v>
      </c>
      <c r="H145" s="1903">
        <f>IF(D145="operation",VLOOKUP(G145,'Generic Divertor Port Tasks'!C$4:D$223,2,FALSE),"N/A")</f>
        <v>26.773271037841543</v>
      </c>
      <c r="I145" s="1895"/>
      <c r="J145" s="1897"/>
      <c r="K145" s="1897"/>
      <c r="L145" s="1898" t="str">
        <f>IFERROR(INDEX('Lower Hot Cell Logistics'!$I$13:$O$19,MATCH($J145,'Lower Hot Cell Logistics'!$H$13:$H$19,0),MATCH($K145,'Lower Hot Cell Logistics'!$H$13:$H$19,0)),"N/A")</f>
        <v>N/A</v>
      </c>
      <c r="M145" s="1898" t="str">
        <f>IFERROR(VLOOKUP($I145,'Lower Hot Cell Logistics'!$H$4:$I$9,2,FALSE),"N/A")</f>
        <v>N/A</v>
      </c>
      <c r="N145" s="1903" t="str">
        <f t="shared" si="11"/>
        <v>N/A</v>
      </c>
      <c r="O145" s="1902"/>
      <c r="P145" s="1903" t="str">
        <f>IF($D145="Logistics",VLOOKUP($O145,'Lower Hot Cell Logistics'!$C$4:$D$69,2,FALSE),"N/A")</f>
        <v>N/A</v>
      </c>
      <c r="Q145" s="1902"/>
      <c r="R145" s="1903" t="str">
        <f>IFERROR(VLOOKUP($Q145,'Lower Hot Cell Dependencies'!$C$5:$F$367,4,FALSE),"N/A")</f>
        <v>N/A</v>
      </c>
      <c r="S145" s="1903" t="str">
        <f t="shared" si="12"/>
        <v>N/A</v>
      </c>
    </row>
    <row r="146" spans="2:19" x14ac:dyDescent="0.35">
      <c r="B146" s="3815"/>
      <c r="C146" s="1895" t="s">
        <v>2089</v>
      </c>
      <c r="D146" s="1896" t="s">
        <v>3</v>
      </c>
      <c r="E146" s="1347">
        <f t="shared" si="14"/>
        <v>0.6</v>
      </c>
      <c r="F146" s="1347">
        <f t="shared" si="13"/>
        <v>337.30169570197137</v>
      </c>
      <c r="G146" s="1895"/>
      <c r="H146" s="1903" t="str">
        <f>IF(D146="operation",VLOOKUP(G146,'Generic Divertor Port Tasks'!C$4:D$223,2,FALSE),"N/A")</f>
        <v>N/A</v>
      </c>
      <c r="I146" s="1895"/>
      <c r="J146" s="1897"/>
      <c r="K146" s="1897"/>
      <c r="L146" s="1898" t="str">
        <f>IFERROR(INDEX('Lower Hot Cell Logistics'!$I$13:$O$19,MATCH($J146,'Lower Hot Cell Logistics'!$H$13:$H$19,0),MATCH($K146,'Lower Hot Cell Logistics'!$H$13:$H$19,0)),"N/A")</f>
        <v>N/A</v>
      </c>
      <c r="M146" s="1898" t="str">
        <f>IFERROR(VLOOKUP($I146,'Lower Hot Cell Logistics'!$H$4:$I$9,2,FALSE),"N/A")</f>
        <v>N/A</v>
      </c>
      <c r="N146" s="1903" t="str">
        <f t="shared" si="11"/>
        <v>N/A</v>
      </c>
      <c r="O146" s="1902" t="s">
        <v>2008</v>
      </c>
      <c r="P146" s="1903">
        <f>IF($D146="Logistics",VLOOKUP($O146,'Lower Hot Cell Logistics'!$C$4:$D$69,2,FALSE),"N/A")</f>
        <v>0.6</v>
      </c>
      <c r="Q146" s="1902"/>
      <c r="R146" s="1903" t="str">
        <f>IFERROR(VLOOKUP($Q146,'Lower Hot Cell Dependencies'!$C$5:$F$367,4,FALSE),"N/A")</f>
        <v>N/A</v>
      </c>
      <c r="S146" s="1903" t="str">
        <f t="shared" si="12"/>
        <v>N/A</v>
      </c>
    </row>
    <row r="147" spans="2:19" x14ac:dyDescent="0.35">
      <c r="B147" s="3815"/>
      <c r="C147" s="1895" t="s">
        <v>1252</v>
      </c>
      <c r="D147" s="1896" t="s">
        <v>3</v>
      </c>
      <c r="E147" s="1347">
        <f t="shared" si="14"/>
        <v>0.8</v>
      </c>
      <c r="F147" s="1347">
        <f t="shared" si="13"/>
        <v>338.10169570197138</v>
      </c>
      <c r="G147" s="1895"/>
      <c r="H147" s="1903" t="str">
        <f>IF(D147="operation",VLOOKUP(G147,'Generic Divertor Port Tasks'!C$4:D$223,2,FALSE),"N/A")</f>
        <v>N/A</v>
      </c>
      <c r="I147" s="1895"/>
      <c r="J147" s="1897"/>
      <c r="K147" s="1897"/>
      <c r="L147" s="1898" t="str">
        <f>IFERROR(INDEX('Lower Hot Cell Logistics'!$I$13:$O$19,MATCH($J147,'Lower Hot Cell Logistics'!$H$13:$H$19,0),MATCH($K147,'Lower Hot Cell Logistics'!$H$13:$H$19,0)),"N/A")</f>
        <v>N/A</v>
      </c>
      <c r="M147" s="1898" t="str">
        <f>IFERROR(VLOOKUP($I147,'Lower Hot Cell Logistics'!$H$4:$I$9,2,FALSE),"N/A")</f>
        <v>N/A</v>
      </c>
      <c r="N147" s="1903" t="str">
        <f t="shared" si="11"/>
        <v>N/A</v>
      </c>
      <c r="O147" s="1902" t="s">
        <v>1828</v>
      </c>
      <c r="P147" s="1903">
        <f>IF($D147="Logistics",VLOOKUP($O147,'Lower Hot Cell Logistics'!$C$4:$D$69,2,FALSE),"N/A")</f>
        <v>0.8</v>
      </c>
      <c r="Q147" s="1902"/>
      <c r="R147" s="1903" t="str">
        <f>IFERROR(VLOOKUP($Q147,'Lower Hot Cell Dependencies'!$C$5:$F$367,4,FALSE),"N/A")</f>
        <v>N/A</v>
      </c>
      <c r="S147" s="1903" t="str">
        <f t="shared" si="12"/>
        <v>N/A</v>
      </c>
    </row>
    <row r="148" spans="2:19" x14ac:dyDescent="0.35">
      <c r="B148" s="3815"/>
      <c r="C148" s="1895" t="s">
        <v>1676</v>
      </c>
      <c r="D148" s="1896" t="s">
        <v>251</v>
      </c>
      <c r="E148" s="1347">
        <f t="shared" si="14"/>
        <v>5.16</v>
      </c>
      <c r="F148" s="1347">
        <f t="shared" si="13"/>
        <v>343.26169570197141</v>
      </c>
      <c r="G148" s="1895" t="s">
        <v>273</v>
      </c>
      <c r="H148" s="1903">
        <f>IF(D148="operation",VLOOKUP(G148,'Generic Divertor Port Tasks'!C$4:D$223,2,FALSE),"N/A")</f>
        <v>5.16</v>
      </c>
      <c r="I148" s="1895"/>
      <c r="J148" s="1897"/>
      <c r="K148" s="1897"/>
      <c r="L148" s="1898" t="str">
        <f>IFERROR(INDEX('Lower Hot Cell Logistics'!$I$13:$O$19,MATCH($J148,'Lower Hot Cell Logistics'!$H$13:$H$19,0),MATCH($K148,'Lower Hot Cell Logistics'!$H$13:$H$19,0)),"N/A")</f>
        <v>N/A</v>
      </c>
      <c r="M148" s="1898" t="str">
        <f>IFERROR(VLOOKUP($I148,'Lower Hot Cell Logistics'!$H$4:$I$9,2,FALSE),"N/A")</f>
        <v>N/A</v>
      </c>
      <c r="N148" s="1903" t="str">
        <f t="shared" si="11"/>
        <v>N/A</v>
      </c>
      <c r="O148" s="1902"/>
      <c r="P148" s="1903" t="str">
        <f>IF($D148="Logistics",VLOOKUP($O148,'Lower Hot Cell Logistics'!$C$4:$D$69,2,FALSE),"N/A")</f>
        <v>N/A</v>
      </c>
      <c r="Q148" s="1902"/>
      <c r="R148" s="1903" t="str">
        <f>IFERROR(VLOOKUP($Q148,'Lower Hot Cell Dependencies'!$C$5:$F$367,4,FALSE),"N/A")</f>
        <v>N/A</v>
      </c>
      <c r="S148" s="1903" t="str">
        <f t="shared" si="12"/>
        <v>N/A</v>
      </c>
    </row>
    <row r="149" spans="2:19" ht="13.3" thickBot="1" x14ac:dyDescent="0.4">
      <c r="B149" s="3816"/>
      <c r="C149" s="1895" t="s">
        <v>2090</v>
      </c>
      <c r="D149" s="1896" t="s">
        <v>3</v>
      </c>
      <c r="E149" s="1347">
        <f t="shared" si="14"/>
        <v>0.6</v>
      </c>
      <c r="F149" s="1347">
        <f t="shared" si="13"/>
        <v>343.86169570197143</v>
      </c>
      <c r="G149" s="1895"/>
      <c r="H149" s="1903" t="str">
        <f>IF(D149="operation",VLOOKUP(G149,'Generic Divertor Port Tasks'!C$4:D$223,2,FALSE),"N/A")</f>
        <v>N/A</v>
      </c>
      <c r="I149" s="1895"/>
      <c r="J149" s="1897"/>
      <c r="K149" s="1897"/>
      <c r="L149" s="1898" t="str">
        <f>IFERROR(INDEX('Lower Hot Cell Logistics'!$I$13:$O$19,MATCH($J149,'Lower Hot Cell Logistics'!$H$13:$H$19,0),MATCH($K149,'Lower Hot Cell Logistics'!$H$13:$H$19,0)),"N/A")</f>
        <v>N/A</v>
      </c>
      <c r="M149" s="1898" t="str">
        <f>IFERROR(VLOOKUP($I149,'Lower Hot Cell Logistics'!$H$4:$I$9,2,FALSE),"N/A")</f>
        <v>N/A</v>
      </c>
      <c r="N149" s="1903" t="str">
        <f t="shared" si="11"/>
        <v>N/A</v>
      </c>
      <c r="O149" s="1902" t="s">
        <v>2008</v>
      </c>
      <c r="P149" s="1903">
        <f>IF($D149="Logistics",VLOOKUP($O149,'Lower Hot Cell Logistics'!$C$4:$D$69,2,FALSE),"N/A")</f>
        <v>0.6</v>
      </c>
      <c r="Q149" s="1902"/>
      <c r="R149" s="1903" t="str">
        <f>IFERROR(VLOOKUP($Q149,'Lower Hot Cell Dependencies'!$C$5:$F$367,4,FALSE),"N/A")</f>
        <v>N/A</v>
      </c>
      <c r="S149" s="1903" t="str">
        <f t="shared" si="12"/>
        <v>N/A</v>
      </c>
    </row>
    <row r="150" spans="2:19" ht="25.75" x14ac:dyDescent="0.35">
      <c r="B150" s="3787" t="s">
        <v>1678</v>
      </c>
      <c r="C150" s="566" t="s">
        <v>1606</v>
      </c>
      <c r="D150" s="566" t="s">
        <v>3</v>
      </c>
      <c r="E150" s="1621">
        <f>MAX($P150,$N150,$H150)</f>
        <v>0.8</v>
      </c>
      <c r="F150" s="1621">
        <f t="shared" si="13"/>
        <v>344.66169570197144</v>
      </c>
      <c r="G150" s="803"/>
      <c r="H150" s="1175" t="str">
        <f>IF(D150="operation",VLOOKUP(G150,'Generic Divertor Port Tasks'!C$4:D$223,2,FALSE),"N/A")</f>
        <v>N/A</v>
      </c>
      <c r="I150" s="803"/>
      <c r="J150" s="566"/>
      <c r="K150" s="566"/>
      <c r="L150" s="570" t="str">
        <f>IFERROR(INDEX('Lower Hot Cell Logistics'!$I$13:$O$19,MATCH($J150,'Lower Hot Cell Logistics'!$H$13:$H$19,0),MATCH($K150,'Lower Hot Cell Logistics'!$H$13:$H$19,0)),"N/A")</f>
        <v>N/A</v>
      </c>
      <c r="M150" s="570" t="str">
        <f>IFERROR(VLOOKUP($I150,'Lower Hot Cell Logistics'!$H$4:$I$9,2,FALSE),"N/A")</f>
        <v>N/A</v>
      </c>
      <c r="N150" s="1175" t="str">
        <f t="shared" si="11"/>
        <v>N/A</v>
      </c>
      <c r="O150" s="1664" t="s">
        <v>1828</v>
      </c>
      <c r="P150" s="1175">
        <f>IF($D150="Logistics",VLOOKUP($O150,'Lower Hot Cell Logistics'!$C$4:$D$69,2,FALSE),"N/A")</f>
        <v>0.8</v>
      </c>
      <c r="Q150" s="1664" t="s">
        <v>2091</v>
      </c>
      <c r="R150" s="1175">
        <f>IFERROR(VLOOKUP($Q150,'Lower Hot Cell Dependencies'!$C$5:$F$367,4,FALSE),"N/A")</f>
        <v>298.76472096042602</v>
      </c>
      <c r="S150" s="1175">
        <f t="shared" si="12"/>
        <v>45.096974741545409</v>
      </c>
    </row>
    <row r="151" spans="2:19" x14ac:dyDescent="0.35">
      <c r="B151" s="3786"/>
      <c r="C151" s="573" t="s">
        <v>1681</v>
      </c>
      <c r="D151" s="573" t="s">
        <v>251</v>
      </c>
      <c r="E151" s="626">
        <f>MAX($P151,$N151,$H151)</f>
        <v>0.95000000000000007</v>
      </c>
      <c r="F151" s="626">
        <f t="shared" si="13"/>
        <v>345.61169570197143</v>
      </c>
      <c r="G151" s="1131" t="s">
        <v>274</v>
      </c>
      <c r="H151" s="1176">
        <f>IF(D151="operation",VLOOKUP(G151,'Generic Divertor Port Tasks'!C$4:D$223,2,FALSE),"N/A")</f>
        <v>0.95000000000000007</v>
      </c>
      <c r="I151" s="1131"/>
      <c r="J151" s="573"/>
      <c r="K151" s="573"/>
      <c r="L151" s="853" t="str">
        <f>IFERROR(INDEX('Lower Hot Cell Logistics'!$I$13:$O$19,MATCH($J151,'Lower Hot Cell Logistics'!$H$13:$H$19,0),MATCH($K151,'Lower Hot Cell Logistics'!$H$13:$H$19,0)),"N/A")</f>
        <v>N/A</v>
      </c>
      <c r="M151" s="853" t="str">
        <f>IFERROR(VLOOKUP($I151,'Lower Hot Cell Logistics'!$H$4:$I$9,2,FALSE),"N/A")</f>
        <v>N/A</v>
      </c>
      <c r="N151" s="1176" t="str">
        <f t="shared" si="11"/>
        <v>N/A</v>
      </c>
      <c r="O151" s="1580"/>
      <c r="P151" s="1176" t="str">
        <f>IF($D151="Logistics",VLOOKUP($O151,'Lower Hot Cell Logistics'!$C$4:$D$69,2,FALSE),"N/A")</f>
        <v>N/A</v>
      </c>
      <c r="Q151" s="1580"/>
      <c r="R151" s="1176" t="str">
        <f>IFERROR(VLOOKUP($Q151,'Lower Hot Cell Dependencies'!$C$5:$F$367,4,FALSE),"N/A")</f>
        <v>N/A</v>
      </c>
      <c r="S151" s="1176" t="str">
        <f t="shared" si="12"/>
        <v>N/A</v>
      </c>
    </row>
    <row r="152" spans="2:19" ht="13.3" thickBot="1" x14ac:dyDescent="0.4">
      <c r="B152" s="3788"/>
      <c r="C152" s="584" t="s">
        <v>2092</v>
      </c>
      <c r="D152" s="584" t="s">
        <v>3</v>
      </c>
      <c r="E152" s="585">
        <v>0.38</v>
      </c>
      <c r="F152" s="585">
        <f t="shared" si="13"/>
        <v>345.99169570197142</v>
      </c>
      <c r="G152" s="1136"/>
      <c r="H152" s="1179" t="str">
        <f>IF(D152="operation",VLOOKUP(G152,'Generic Divertor Port Tasks'!C$4:D$223,2,FALSE),"N/A")</f>
        <v>N/A</v>
      </c>
      <c r="I152" s="1136"/>
      <c r="J152" s="584"/>
      <c r="K152" s="584"/>
      <c r="L152" s="814" t="s">
        <v>263</v>
      </c>
      <c r="M152" s="814" t="s">
        <v>263</v>
      </c>
      <c r="N152" s="1179" t="s">
        <v>263</v>
      </c>
      <c r="O152" s="1582" t="s">
        <v>2008</v>
      </c>
      <c r="P152" s="1179">
        <v>0.38</v>
      </c>
      <c r="Q152" s="1582"/>
      <c r="R152" s="1179" t="s">
        <v>263</v>
      </c>
      <c r="S152" s="1179" t="str">
        <f t="shared" si="12"/>
        <v>N/A</v>
      </c>
    </row>
    <row r="153" spans="2:19" ht="25.75" x14ac:dyDescent="0.35">
      <c r="B153" s="3814" t="s">
        <v>1683</v>
      </c>
      <c r="C153" s="823" t="s">
        <v>1606</v>
      </c>
      <c r="D153" s="823" t="s">
        <v>3</v>
      </c>
      <c r="E153" s="1291">
        <f>MAX($P153,$N153,$H153)</f>
        <v>0.8</v>
      </c>
      <c r="F153" s="1739">
        <f t="shared" si="13"/>
        <v>347.94799199826775</v>
      </c>
      <c r="G153" s="829"/>
      <c r="H153" s="2040" t="str">
        <f>IF(D153="operation",VLOOKUP(G153,'Generic Divertor Port Tasks'!C$4:D$223,2,FALSE),"N/A")</f>
        <v>N/A</v>
      </c>
      <c r="I153" s="829"/>
      <c r="J153" s="823"/>
      <c r="K153" s="823"/>
      <c r="L153" s="828" t="str">
        <f>IFERROR(INDEX('Lower Hot Cell Logistics'!$I$13:$O$19,MATCH($J153,'Lower Hot Cell Logistics'!$H$13:$H$19,0),MATCH($K153,'Lower Hot Cell Logistics'!$H$13:$H$19,0)),"N/A")</f>
        <v>N/A</v>
      </c>
      <c r="M153" s="828" t="str">
        <f>IFERROR(VLOOKUP($I153,'Lower Hot Cell Logistics'!$H$4:$I$9,2,FALSE),"N/A")</f>
        <v>N/A</v>
      </c>
      <c r="N153" s="2040" t="str">
        <f>IF(D153="Movement",IFERROR((L153/M153)/(60*60),"Error"),"N/A")</f>
        <v>N/A</v>
      </c>
      <c r="O153" s="2039" t="s">
        <v>1828</v>
      </c>
      <c r="P153" s="2040">
        <f>IF($D153="Logistics",VLOOKUP($O153,'Lower Hot Cell Logistics'!$C$4:$D$69,2,FALSE),"N/A")</f>
        <v>0.8</v>
      </c>
      <c r="Q153" s="2039" t="s">
        <v>2093</v>
      </c>
      <c r="R153" s="2040">
        <f>IFERROR(VLOOKUP($Q153,'Lower Hot Cell Dependencies'!$C$5:$F$367,4,FALSE),"N/A")</f>
        <v>347.14799199826774</v>
      </c>
      <c r="S153" s="2040">
        <f t="shared" si="12"/>
        <v>-1.1562962962963184</v>
      </c>
    </row>
    <row r="154" spans="2:19" x14ac:dyDescent="0.35">
      <c r="B154" s="3815"/>
      <c r="C154" s="860" t="s">
        <v>1685</v>
      </c>
      <c r="D154" s="860" t="s">
        <v>251</v>
      </c>
      <c r="E154" s="1363">
        <f>MAX($P154,$N154,$H154)</f>
        <v>0.95000000000000007</v>
      </c>
      <c r="F154" s="1347">
        <f t="shared" si="13"/>
        <v>348.89799199826774</v>
      </c>
      <c r="G154" s="2041" t="s">
        <v>274</v>
      </c>
      <c r="H154" s="2042">
        <f>IF(D154="operation",VLOOKUP(G154,'Generic Divertor Port Tasks'!C$4:D$223,2,FALSE),"N/A")</f>
        <v>0.95000000000000007</v>
      </c>
      <c r="I154" s="2041"/>
      <c r="J154" s="860"/>
      <c r="K154" s="860"/>
      <c r="L154" s="865" t="str">
        <f>IFERROR(INDEX('Lower Hot Cell Logistics'!$I$13:$O$19,MATCH($J154,'Lower Hot Cell Logistics'!$H$13:$H$19,0),MATCH($K154,'Lower Hot Cell Logistics'!$H$13:$H$19,0)),"N/A")</f>
        <v>N/A</v>
      </c>
      <c r="M154" s="865" t="str">
        <f>IFERROR(VLOOKUP($I154,'Lower Hot Cell Logistics'!$H$4:$I$9,2,FALSE),"N/A")</f>
        <v>N/A</v>
      </c>
      <c r="N154" s="2042" t="str">
        <f>IF(D154="Movement",IFERROR((L154/M154)/(60*60),"Error"),"N/A")</f>
        <v>N/A</v>
      </c>
      <c r="O154" s="1725"/>
      <c r="P154" s="2042" t="str">
        <f>IF($D154="Logistics",VLOOKUP($O154,'Lower Hot Cell Logistics'!$C$4:$D$69,2,FALSE),"N/A")</f>
        <v>N/A</v>
      </c>
      <c r="Q154" s="1725"/>
      <c r="R154" s="2042" t="str">
        <f>IFERROR(VLOOKUP($Q154,'Lower Hot Cell Dependencies'!$C$5:$F$367,4,FALSE),"N/A")</f>
        <v>N/A</v>
      </c>
      <c r="S154" s="2042" t="str">
        <f t="shared" si="12"/>
        <v>N/A</v>
      </c>
    </row>
    <row r="155" spans="2:19" ht="13.3" thickBot="1" x14ac:dyDescent="0.4">
      <c r="B155" s="3816"/>
      <c r="C155" s="837" t="s">
        <v>2094</v>
      </c>
      <c r="D155" s="837" t="s">
        <v>3</v>
      </c>
      <c r="E155" s="2043">
        <v>0.38</v>
      </c>
      <c r="F155" s="1295">
        <f t="shared" si="13"/>
        <v>349.27799199826774</v>
      </c>
      <c r="G155" s="1869"/>
      <c r="H155" s="1922" t="str">
        <f>IF(D155="operation",VLOOKUP(G155,'Generic Divertor Port Tasks'!C$4:D$223,2,FALSE),"N/A")</f>
        <v>N/A</v>
      </c>
      <c r="I155" s="1869"/>
      <c r="J155" s="837"/>
      <c r="K155" s="837"/>
      <c r="L155" s="842" t="s">
        <v>263</v>
      </c>
      <c r="M155" s="842" t="s">
        <v>263</v>
      </c>
      <c r="N155" s="1922" t="s">
        <v>263</v>
      </c>
      <c r="O155" s="1921" t="s">
        <v>2008</v>
      </c>
      <c r="P155" s="1922">
        <v>0.38</v>
      </c>
      <c r="Q155" s="1921"/>
      <c r="R155" s="1922" t="s">
        <v>263</v>
      </c>
      <c r="S155" s="1922" t="str">
        <f t="shared" si="12"/>
        <v>N/A</v>
      </c>
    </row>
    <row r="156" spans="2:19" x14ac:dyDescent="0.35">
      <c r="B156" s="3787" t="s">
        <v>275</v>
      </c>
      <c r="C156" s="566" t="s">
        <v>1606</v>
      </c>
      <c r="D156" s="566" t="s">
        <v>3</v>
      </c>
      <c r="E156" s="567">
        <f>MAX($P156,$N156,$H156)</f>
        <v>0.8</v>
      </c>
      <c r="F156" s="1621">
        <f t="shared" si="13"/>
        <v>350.07799199826775</v>
      </c>
      <c r="G156" s="803"/>
      <c r="H156" s="1175" t="str">
        <f>IF(D156="operation",VLOOKUP(G156,'Generic Divertor Port Tasks'!C$4:D$223,2,FALSE),"N/A")</f>
        <v>N/A</v>
      </c>
      <c r="I156" s="803"/>
      <c r="J156" s="566"/>
      <c r="K156" s="566"/>
      <c r="L156" s="570" t="str">
        <f>IFERROR(INDEX('Lower Hot Cell Logistics'!$I$13:$O$19,MATCH($J156,'Lower Hot Cell Logistics'!$H$13:$H$19,0),MATCH($K156,'Lower Hot Cell Logistics'!$H$13:$H$19,0)),"N/A")</f>
        <v>N/A</v>
      </c>
      <c r="M156" s="570" t="str">
        <f>IFERROR(VLOOKUP($I156,'Lower Hot Cell Logistics'!$H$4:$I$9,2,FALSE),"N/A")</f>
        <v>N/A</v>
      </c>
      <c r="N156" s="1175" t="str">
        <f>IF(D156="Movement",IFERROR((L156/M156)/(60*60),"Error"),"N/A")</f>
        <v>N/A</v>
      </c>
      <c r="O156" s="1664" t="s">
        <v>1828</v>
      </c>
      <c r="P156" s="1175">
        <f>IF($D156="Logistics",VLOOKUP($O156,'Lower Hot Cell Logistics'!$C$4:$D$69,2,FALSE),"N/A")</f>
        <v>0.8</v>
      </c>
      <c r="Q156" s="1664" t="s">
        <v>2095</v>
      </c>
      <c r="R156" s="1175">
        <f>IFERROR(VLOOKUP($Q156,'Lower Hot Cell Dependencies'!$C$5:$F$367,4,FALSE),"N/A")</f>
        <v>347.79762162789734</v>
      </c>
      <c r="S156" s="1175">
        <f t="shared" si="12"/>
        <v>1.4803703703703945</v>
      </c>
    </row>
    <row r="157" spans="2:19" x14ac:dyDescent="0.35">
      <c r="B157" s="3786"/>
      <c r="C157" s="573" t="s">
        <v>2096</v>
      </c>
      <c r="D157" s="573" t="s">
        <v>251</v>
      </c>
      <c r="E157" s="1276">
        <f>MAX($P157,$N157,$H157)</f>
        <v>0.95000000000000007</v>
      </c>
      <c r="F157" s="626">
        <f t="shared" si="13"/>
        <v>351.02799199826774</v>
      </c>
      <c r="G157" s="1131" t="s">
        <v>275</v>
      </c>
      <c r="H157" s="1176">
        <f>IF(D157="operation",VLOOKUP(G157,'Generic Divertor Port Tasks'!C$4:D$223,2,FALSE),"N/A")</f>
        <v>0.95000000000000007</v>
      </c>
      <c r="I157" s="1131"/>
      <c r="J157" s="573"/>
      <c r="K157" s="573"/>
      <c r="L157" s="853" t="str">
        <f>IFERROR(INDEX('Lower Hot Cell Logistics'!$I$13:$O$19,MATCH($J157,'Lower Hot Cell Logistics'!$H$13:$H$19,0),MATCH($K157,'Lower Hot Cell Logistics'!$H$13:$H$19,0)),"N/A")</f>
        <v>N/A</v>
      </c>
      <c r="M157" s="853" t="str">
        <f>IFERROR(VLOOKUP($I157,'Lower Hot Cell Logistics'!$H$4:$I$9,2,FALSE),"N/A")</f>
        <v>N/A</v>
      </c>
      <c r="N157" s="1176" t="str">
        <f>IF(D157="Movement",IFERROR((L157/M157)/(60*60),"Error"),"N/A")</f>
        <v>N/A</v>
      </c>
      <c r="O157" s="1580"/>
      <c r="P157" s="1176" t="str">
        <f>IF($D157="Logistics",VLOOKUP($O157,'Lower Hot Cell Logistics'!$C$4:$D$69,2,FALSE),"N/A")</f>
        <v>N/A</v>
      </c>
      <c r="Q157" s="1580"/>
      <c r="R157" s="1176" t="str">
        <f>IFERROR(VLOOKUP($Q157,'Lower Hot Cell Dependencies'!$C$5:$F$367,4,FALSE),"N/A")</f>
        <v>N/A</v>
      </c>
      <c r="S157" s="1176" t="str">
        <f t="shared" si="12"/>
        <v>N/A</v>
      </c>
    </row>
    <row r="158" spans="2:19" ht="13.3" thickBot="1" x14ac:dyDescent="0.4">
      <c r="B158" s="3788"/>
      <c r="C158" s="584" t="s">
        <v>2097</v>
      </c>
      <c r="D158" s="584" t="s">
        <v>3</v>
      </c>
      <c r="E158" s="1632">
        <v>0.38</v>
      </c>
      <c r="F158" s="585">
        <f t="shared" si="13"/>
        <v>351.40799199826773</v>
      </c>
      <c r="G158" s="1136"/>
      <c r="H158" s="1179" t="str">
        <f>IF(D158="operation",VLOOKUP(G158,'Generic Divertor Port Tasks'!C$4:D$223,2,FALSE),"N/A")</f>
        <v>N/A</v>
      </c>
      <c r="I158" s="1136"/>
      <c r="J158" s="584"/>
      <c r="K158" s="584"/>
      <c r="L158" s="814" t="s">
        <v>263</v>
      </c>
      <c r="M158" s="814" t="s">
        <v>263</v>
      </c>
      <c r="N158" s="1179" t="s">
        <v>263</v>
      </c>
      <c r="O158" s="1582" t="s">
        <v>2008</v>
      </c>
      <c r="P158" s="1179">
        <v>0.38</v>
      </c>
      <c r="Q158" s="1582"/>
      <c r="R158" s="1179" t="s">
        <v>263</v>
      </c>
      <c r="S158" s="1179" t="str">
        <f t="shared" si="12"/>
        <v>N/A</v>
      </c>
    </row>
    <row r="159" spans="2:19" ht="25.75" x14ac:dyDescent="0.35">
      <c r="B159" s="3814" t="s">
        <v>2098</v>
      </c>
      <c r="C159" s="1906" t="s">
        <v>2099</v>
      </c>
      <c r="D159" s="1907" t="s">
        <v>3</v>
      </c>
      <c r="E159" s="1739">
        <f>MAX($P159,$N159,$H159)</f>
        <v>0.8</v>
      </c>
      <c r="F159" s="1739">
        <f t="shared" si="13"/>
        <v>352.59169570197145</v>
      </c>
      <c r="G159" s="1906"/>
      <c r="H159" s="1917" t="str">
        <f>IF(D159="operation",VLOOKUP(G159,'Generic Divertor Port Tasks'!C$4:D$223,2,FALSE),"N/A")</f>
        <v>N/A</v>
      </c>
      <c r="I159" s="1906"/>
      <c r="J159" s="1911"/>
      <c r="K159" s="1911"/>
      <c r="L159" s="1912" t="str">
        <f>IFERROR(INDEX('Lower Hot Cell Logistics'!$I$13:$O$19,MATCH($J159,'Lower Hot Cell Logistics'!$H$13:$H$19,0),MATCH($K159,'Lower Hot Cell Logistics'!$H$13:$H$19,0)),"N/A")</f>
        <v>N/A</v>
      </c>
      <c r="M159" s="1912" t="str">
        <f>IFERROR(VLOOKUP($I159,'Lower Hot Cell Logistics'!$H$4:$I$9,2,FALSE),"N/A")</f>
        <v>N/A</v>
      </c>
      <c r="N159" s="1917" t="str">
        <f t="shared" ref="N159:N208" si="15">IF(D159="Movement",IFERROR((L159/M159)/(60*60),"Error"),"N/A")</f>
        <v>N/A</v>
      </c>
      <c r="O159" s="1916" t="s">
        <v>1828</v>
      </c>
      <c r="P159" s="1917">
        <f>IF($D159="Logistics",VLOOKUP($O159,'Lower Hot Cell Logistics'!$C$4:$D$69,2,FALSE),"N/A")</f>
        <v>0.8</v>
      </c>
      <c r="Q159" s="1916" t="s">
        <v>2100</v>
      </c>
      <c r="R159" s="1917">
        <f>IFERROR(VLOOKUP($Q159,'Lower Hot Cell Dependencies'!$C$5:$F$367,4,FALSE),"N/A")</f>
        <v>351.79169570197143</v>
      </c>
      <c r="S159" s="1917">
        <f t="shared" si="12"/>
        <v>-0.3837037037037021</v>
      </c>
    </row>
    <row r="160" spans="2:19" x14ac:dyDescent="0.35">
      <c r="B160" s="3815"/>
      <c r="C160" s="1895" t="s">
        <v>2101</v>
      </c>
      <c r="D160" s="1896" t="s">
        <v>3</v>
      </c>
      <c r="E160" s="1347">
        <f t="shared" si="14"/>
        <v>0.8</v>
      </c>
      <c r="F160" s="1347">
        <f t="shared" si="13"/>
        <v>353.39169570197146</v>
      </c>
      <c r="G160" s="1895"/>
      <c r="H160" s="1903" t="str">
        <f>IF(D160="operation",VLOOKUP(G160,'Generic Divertor Port Tasks'!C$4:D$223,2,FALSE),"N/A")</f>
        <v>N/A</v>
      </c>
      <c r="I160" s="1895"/>
      <c r="J160" s="1897"/>
      <c r="K160" s="1897"/>
      <c r="L160" s="1898" t="str">
        <f>IFERROR(INDEX('Lower Hot Cell Logistics'!$I$13:$O$19,MATCH($J160,'Lower Hot Cell Logistics'!$H$13:$H$19,0),MATCH($K160,'Lower Hot Cell Logistics'!$H$13:$H$19,0)),"N/A")</f>
        <v>N/A</v>
      </c>
      <c r="M160" s="1898" t="str">
        <f>IFERROR(VLOOKUP($I160,'Lower Hot Cell Logistics'!$H$4:$I$9,2,FALSE),"N/A")</f>
        <v>N/A</v>
      </c>
      <c r="N160" s="1903" t="str">
        <f t="shared" si="15"/>
        <v>N/A</v>
      </c>
      <c r="O160" s="1902" t="s">
        <v>1828</v>
      </c>
      <c r="P160" s="1903">
        <f>IF($D160="Logistics",VLOOKUP($O160,'Lower Hot Cell Logistics'!$C$4:$D$69,2,FALSE),"N/A")</f>
        <v>0.8</v>
      </c>
      <c r="Q160" s="1902"/>
      <c r="R160" s="1903" t="str">
        <f>IFERROR(VLOOKUP($Q160,'Lower Hot Cell Dependencies'!$C$5:$F$367,4,FALSE),"N/A")</f>
        <v>N/A</v>
      </c>
      <c r="S160" s="1903" t="str">
        <f t="shared" si="12"/>
        <v>N/A</v>
      </c>
    </row>
    <row r="161" spans="2:19" x14ac:dyDescent="0.35">
      <c r="B161" s="3815"/>
      <c r="C161" s="1895" t="s">
        <v>2102</v>
      </c>
      <c r="D161" s="1896" t="s">
        <v>251</v>
      </c>
      <c r="E161" s="1347">
        <f t="shared" si="14"/>
        <v>16.965057309144747</v>
      </c>
      <c r="F161" s="1347">
        <f t="shared" si="13"/>
        <v>370.35675301111621</v>
      </c>
      <c r="G161" s="1895" t="s">
        <v>449</v>
      </c>
      <c r="H161" s="1903">
        <f>IF(D161="operation",VLOOKUP(G161,'Generic Divertor Port Tasks'!C$4:D$223,2,FALSE),"N/A")</f>
        <v>16.965057309144747</v>
      </c>
      <c r="I161" s="1895"/>
      <c r="J161" s="1897"/>
      <c r="K161" s="1897"/>
      <c r="L161" s="1898" t="str">
        <f>IFERROR(INDEX('Lower Hot Cell Logistics'!$I$13:$O$19,MATCH($J161,'Lower Hot Cell Logistics'!$H$13:$H$19,0),MATCH($K161,'Lower Hot Cell Logistics'!$H$13:$H$19,0)),"N/A")</f>
        <v>N/A</v>
      </c>
      <c r="M161" s="1898" t="str">
        <f>IFERROR(VLOOKUP($I161,'Lower Hot Cell Logistics'!$H$4:$I$9,2,FALSE),"N/A")</f>
        <v>N/A</v>
      </c>
      <c r="N161" s="1903" t="str">
        <f t="shared" si="15"/>
        <v>N/A</v>
      </c>
      <c r="O161" s="1902"/>
      <c r="P161" s="1903" t="str">
        <f>IF($D161="Logistics",VLOOKUP($O161,'Lower Hot Cell Logistics'!$C$4:$D$69,2,FALSE),"N/A")</f>
        <v>N/A</v>
      </c>
      <c r="Q161" s="1902"/>
      <c r="R161" s="1903" t="str">
        <f>IFERROR(VLOOKUP($Q161,'Lower Hot Cell Dependencies'!$C$5:$F$367,4,FALSE),"N/A")</f>
        <v>N/A</v>
      </c>
      <c r="S161" s="1903" t="str">
        <f t="shared" si="12"/>
        <v>N/A</v>
      </c>
    </row>
    <row r="162" spans="2:19" ht="25.75" x14ac:dyDescent="0.35">
      <c r="B162" s="3815"/>
      <c r="C162" s="1895" t="s">
        <v>2103</v>
      </c>
      <c r="D162" s="1896" t="s">
        <v>3</v>
      </c>
      <c r="E162" s="1347">
        <f t="shared" si="14"/>
        <v>0.8</v>
      </c>
      <c r="F162" s="1347">
        <f t="shared" si="13"/>
        <v>371.15675301111622</v>
      </c>
      <c r="G162" s="1895"/>
      <c r="H162" s="1903" t="str">
        <f>IF(D162="operation",VLOOKUP(G162,'Generic Divertor Port Tasks'!C$4:D$223,2,FALSE),"N/A")</f>
        <v>N/A</v>
      </c>
      <c r="I162" s="1895"/>
      <c r="J162" s="1897"/>
      <c r="K162" s="1897"/>
      <c r="L162" s="1898" t="str">
        <f>IFERROR(INDEX('Lower Hot Cell Logistics'!$I$13:$O$19,MATCH($J162,'Lower Hot Cell Logistics'!$H$13:$H$19,0),MATCH($K162,'Lower Hot Cell Logistics'!$H$13:$H$19,0)),"N/A")</f>
        <v>N/A</v>
      </c>
      <c r="M162" s="1898" t="str">
        <f>IFERROR(VLOOKUP($I162,'Lower Hot Cell Logistics'!$H$4:$I$9,2,FALSE),"N/A")</f>
        <v>N/A</v>
      </c>
      <c r="N162" s="1903" t="str">
        <f t="shared" si="15"/>
        <v>N/A</v>
      </c>
      <c r="O162" s="1902" t="s">
        <v>1828</v>
      </c>
      <c r="P162" s="1903">
        <f>IF($D162="Logistics",VLOOKUP($O162,'Lower Hot Cell Logistics'!$C$4:$D$69,2,FALSE),"N/A")</f>
        <v>0.8</v>
      </c>
      <c r="Q162" s="1902" t="s">
        <v>2104</v>
      </c>
      <c r="R162" s="1903">
        <f>IFERROR(VLOOKUP($Q162,'Lower Hot Cell Dependencies'!$C$5:$F$367,4,FALSE),"N/A")</f>
        <v>351.79169570197143</v>
      </c>
      <c r="S162" s="1903">
        <f t="shared" si="12"/>
        <v>18.565057309144777</v>
      </c>
    </row>
    <row r="163" spans="2:19" x14ac:dyDescent="0.35">
      <c r="B163" s="3815"/>
      <c r="C163" s="1895" t="s">
        <v>1694</v>
      </c>
      <c r="D163" s="1896" t="s">
        <v>3</v>
      </c>
      <c r="E163" s="1347">
        <f t="shared" si="14"/>
        <v>0.53</v>
      </c>
      <c r="F163" s="1347">
        <f t="shared" si="13"/>
        <v>371.6867530111162</v>
      </c>
      <c r="G163" s="1895"/>
      <c r="H163" s="1903" t="str">
        <f>IF(D163="operation",VLOOKUP(G163,'Generic Divertor Port Tasks'!C$4:D$223,2,FALSE),"N/A")</f>
        <v>N/A</v>
      </c>
      <c r="I163" s="1895"/>
      <c r="J163" s="1897"/>
      <c r="K163" s="1897"/>
      <c r="L163" s="1898" t="str">
        <f>IFERROR(INDEX('Lower Hot Cell Logistics'!$I$13:$O$19,MATCH($J163,'Lower Hot Cell Logistics'!$H$13:$H$19,0),MATCH($K163,'Lower Hot Cell Logistics'!$H$13:$H$19,0)),"N/A")</f>
        <v>N/A</v>
      </c>
      <c r="M163" s="1898" t="str">
        <f>IFERROR(VLOOKUP($I163,'Lower Hot Cell Logistics'!$H$4:$I$9,2,FALSE),"N/A")</f>
        <v>N/A</v>
      </c>
      <c r="N163" s="1903" t="str">
        <f t="shared" si="15"/>
        <v>N/A</v>
      </c>
      <c r="O163" s="1902" t="s">
        <v>1558</v>
      </c>
      <c r="P163" s="1903">
        <f>IF($D163="Logistics",VLOOKUP($O163,'Lower Hot Cell Logistics'!$C$4:$D$69,2,FALSE),"N/A")</f>
        <v>0.53</v>
      </c>
      <c r="Q163" s="1902"/>
      <c r="R163" s="1903" t="str">
        <f>IFERROR(VLOOKUP($Q163,'Lower Hot Cell Dependencies'!$C$5:$F$367,4,FALSE),"N/A")</f>
        <v>N/A</v>
      </c>
      <c r="S163" s="1903" t="str">
        <f t="shared" si="12"/>
        <v>N/A</v>
      </c>
    </row>
    <row r="164" spans="2:19" x14ac:dyDescent="0.35">
      <c r="B164" s="3815"/>
      <c r="C164" s="1895" t="s">
        <v>2105</v>
      </c>
      <c r="D164" s="1896" t="s">
        <v>251</v>
      </c>
      <c r="E164" s="1347">
        <f t="shared" si="14"/>
        <v>16.965057309144747</v>
      </c>
      <c r="F164" s="1347">
        <f t="shared" si="13"/>
        <v>388.65181032026095</v>
      </c>
      <c r="G164" s="1895" t="s">
        <v>449</v>
      </c>
      <c r="H164" s="1903">
        <f>IF(D164="operation",VLOOKUP(G164,'Generic Divertor Port Tasks'!C$4:D$223,2,FALSE),"N/A")</f>
        <v>16.965057309144747</v>
      </c>
      <c r="I164" s="1895"/>
      <c r="J164" s="1897"/>
      <c r="K164" s="1897"/>
      <c r="L164" s="1898" t="str">
        <f>IFERROR(INDEX('Lower Hot Cell Logistics'!$I$13:$O$19,MATCH($J164,'Lower Hot Cell Logistics'!$H$13:$H$19,0),MATCH($K164,'Lower Hot Cell Logistics'!$H$13:$H$19,0)),"N/A")</f>
        <v>N/A</v>
      </c>
      <c r="M164" s="1898" t="str">
        <f>IFERROR(VLOOKUP($I164,'Lower Hot Cell Logistics'!$H$4:$I$9,2,FALSE),"N/A")</f>
        <v>N/A</v>
      </c>
      <c r="N164" s="1903" t="str">
        <f t="shared" si="15"/>
        <v>N/A</v>
      </c>
      <c r="O164" s="1902"/>
      <c r="P164" s="1903" t="str">
        <f>IF($D164="Logistics",VLOOKUP($O164,'Lower Hot Cell Logistics'!$C$4:$D$69,2,FALSE),"N/A")</f>
        <v>N/A</v>
      </c>
      <c r="Q164" s="1902"/>
      <c r="R164" s="1903" t="str">
        <f>IFERROR(VLOOKUP($Q164,'Lower Hot Cell Dependencies'!$C$5:$F$367,4,FALSE),"N/A")</f>
        <v>N/A</v>
      </c>
      <c r="S164" s="1903" t="str">
        <f t="shared" si="12"/>
        <v>N/A</v>
      </c>
    </row>
    <row r="165" spans="2:19" x14ac:dyDescent="0.35">
      <c r="B165" s="3815"/>
      <c r="C165" s="1895" t="s">
        <v>2106</v>
      </c>
      <c r="D165" s="1896" t="s">
        <v>3</v>
      </c>
      <c r="E165" s="1347">
        <f t="shared" si="14"/>
        <v>0.8</v>
      </c>
      <c r="F165" s="1347">
        <f t="shared" si="13"/>
        <v>389.45181032026096</v>
      </c>
      <c r="G165" s="1895"/>
      <c r="H165" s="1903" t="str">
        <f>IF(D165="operation",VLOOKUP(G165,'Generic Divertor Port Tasks'!C$4:D$223,2,FALSE),"N/A")</f>
        <v>N/A</v>
      </c>
      <c r="I165" s="1895"/>
      <c r="J165" s="1897"/>
      <c r="K165" s="1897"/>
      <c r="L165" s="1898" t="str">
        <f>IFERROR(INDEX('Lower Hot Cell Logistics'!$I$13:$O$19,MATCH($J165,'Lower Hot Cell Logistics'!$H$13:$H$19,0),MATCH($K165,'Lower Hot Cell Logistics'!$H$13:$H$19,0)),"N/A")</f>
        <v>N/A</v>
      </c>
      <c r="M165" s="1898" t="str">
        <f>IFERROR(VLOOKUP($I165,'Lower Hot Cell Logistics'!$H$4:$I$9,2,FALSE),"N/A")</f>
        <v>N/A</v>
      </c>
      <c r="N165" s="1903" t="str">
        <f t="shared" si="15"/>
        <v>N/A</v>
      </c>
      <c r="O165" s="1902" t="s">
        <v>1828</v>
      </c>
      <c r="P165" s="1903">
        <f>IF($D165="Logistics",VLOOKUP($O165,'Lower Hot Cell Logistics'!$C$4:$D$69,2,FALSE),"N/A")</f>
        <v>0.8</v>
      </c>
      <c r="Q165" s="1902" t="s">
        <v>2107</v>
      </c>
      <c r="R165" s="1903">
        <f>IFERROR(VLOOKUP($Q165,'Lower Hot Cell Dependencies'!$C$5:$F$367,4,FALSE),"N/A")</f>
        <v>372.16267893704213</v>
      </c>
      <c r="S165" s="1903">
        <f t="shared" si="12"/>
        <v>16.489131383218819</v>
      </c>
    </row>
    <row r="166" spans="2:19" x14ac:dyDescent="0.35">
      <c r="B166" s="3815"/>
      <c r="C166" s="1895" t="s">
        <v>1596</v>
      </c>
      <c r="D166" s="1896" t="s">
        <v>3</v>
      </c>
      <c r="E166" s="1347">
        <f t="shared" si="14"/>
        <v>0.53</v>
      </c>
      <c r="F166" s="1347">
        <f t="shared" si="13"/>
        <v>389.98181032026093</v>
      </c>
      <c r="G166" s="1895"/>
      <c r="H166" s="1903" t="str">
        <f>IF(D166="operation",VLOOKUP(G166,'Generic Divertor Port Tasks'!C$4:D$223,2,FALSE),"N/A")</f>
        <v>N/A</v>
      </c>
      <c r="I166" s="1895"/>
      <c r="J166" s="1897"/>
      <c r="K166" s="1897"/>
      <c r="L166" s="1898" t="str">
        <f>IFERROR(INDEX('Lower Hot Cell Logistics'!$I$13:$O$19,MATCH($J166,'Lower Hot Cell Logistics'!$H$13:$H$19,0),MATCH($K166,'Lower Hot Cell Logistics'!$H$13:$H$19,0)),"N/A")</f>
        <v>N/A</v>
      </c>
      <c r="M166" s="1898" t="str">
        <f>IFERROR(VLOOKUP($I166,'Lower Hot Cell Logistics'!$H$4:$I$9,2,FALSE),"N/A")</f>
        <v>N/A</v>
      </c>
      <c r="N166" s="1903" t="str">
        <f t="shared" si="15"/>
        <v>N/A</v>
      </c>
      <c r="O166" s="1902" t="s">
        <v>1558</v>
      </c>
      <c r="P166" s="1903">
        <f>IF($D166="Logistics",VLOOKUP($O166,'Lower Hot Cell Logistics'!$C$4:$D$69,2,FALSE),"N/A")</f>
        <v>0.53</v>
      </c>
      <c r="Q166" s="1902"/>
      <c r="R166" s="1903" t="str">
        <f>IFERROR(VLOOKUP($Q166,'Lower Hot Cell Dependencies'!$C$5:$F$367,4,FALSE),"N/A")</f>
        <v>N/A</v>
      </c>
      <c r="S166" s="1903" t="str">
        <f t="shared" si="12"/>
        <v>N/A</v>
      </c>
    </row>
    <row r="167" spans="2:19" x14ac:dyDescent="0.35">
      <c r="B167" s="3815"/>
      <c r="C167" s="1895" t="s">
        <v>2108</v>
      </c>
      <c r="D167" s="1896" t="s">
        <v>251</v>
      </c>
      <c r="E167" s="1347">
        <f t="shared" si="14"/>
        <v>16.965057309144747</v>
      </c>
      <c r="F167" s="1347">
        <f t="shared" si="13"/>
        <v>406.94686762940569</v>
      </c>
      <c r="G167" s="1895" t="s">
        <v>449</v>
      </c>
      <c r="H167" s="1903">
        <f>IF(D167="operation",VLOOKUP(G167,'Generic Divertor Port Tasks'!C$4:D$223,2,FALSE),"N/A")</f>
        <v>16.965057309144747</v>
      </c>
      <c r="I167" s="1895"/>
      <c r="J167" s="1897"/>
      <c r="K167" s="1897"/>
      <c r="L167" s="1898" t="str">
        <f>IFERROR(INDEX('Lower Hot Cell Logistics'!$I$13:$O$19,MATCH($J167,'Lower Hot Cell Logistics'!$H$13:$H$19,0),MATCH($K167,'Lower Hot Cell Logistics'!$H$13:$H$19,0)),"N/A")</f>
        <v>N/A</v>
      </c>
      <c r="M167" s="1898" t="str">
        <f>IFERROR(VLOOKUP($I167,'Lower Hot Cell Logistics'!$H$4:$I$9,2,FALSE),"N/A")</f>
        <v>N/A</v>
      </c>
      <c r="N167" s="1903" t="str">
        <f t="shared" si="15"/>
        <v>N/A</v>
      </c>
      <c r="O167" s="1902"/>
      <c r="P167" s="1903" t="str">
        <f>IF($D167="Logistics",VLOOKUP($O167,'Lower Hot Cell Logistics'!$C$4:$D$69,2,FALSE),"N/A")</f>
        <v>N/A</v>
      </c>
      <c r="Q167" s="1902"/>
      <c r="R167" s="1903" t="str">
        <f>IFERROR(VLOOKUP($Q167,'Lower Hot Cell Dependencies'!$C$5:$F$367,4,FALSE),"N/A")</f>
        <v>N/A</v>
      </c>
      <c r="S167" s="1903" t="str">
        <f t="shared" si="12"/>
        <v>N/A</v>
      </c>
    </row>
    <row r="168" spans="2:19" x14ac:dyDescent="0.35">
      <c r="B168" s="3815"/>
      <c r="C168" s="1895" t="s">
        <v>2042</v>
      </c>
      <c r="D168" s="1896" t="s">
        <v>3</v>
      </c>
      <c r="E168" s="1347">
        <f t="shared" si="14"/>
        <v>0.6</v>
      </c>
      <c r="F168" s="1347">
        <f t="shared" si="13"/>
        <v>407.54686762940571</v>
      </c>
      <c r="G168" s="1895"/>
      <c r="H168" s="1903" t="str">
        <f>IF(D168="operation",VLOOKUP(G168,'Generic Divertor Port Tasks'!C$4:D$223,2,FALSE),"N/A")</f>
        <v>N/A</v>
      </c>
      <c r="I168" s="1895"/>
      <c r="J168" s="1897"/>
      <c r="K168" s="1897"/>
      <c r="L168" s="1898" t="str">
        <f>IFERROR(INDEX('Lower Hot Cell Logistics'!$I$13:$O$19,MATCH($J168,'Lower Hot Cell Logistics'!$H$13:$H$19,0),MATCH($K168,'Lower Hot Cell Logistics'!$H$13:$H$19,0)),"N/A")</f>
        <v>N/A</v>
      </c>
      <c r="M168" s="1898" t="str">
        <f>IFERROR(VLOOKUP($I168,'Lower Hot Cell Logistics'!$H$4:$I$9,2,FALSE),"N/A")</f>
        <v>N/A</v>
      </c>
      <c r="N168" s="1903" t="str">
        <f t="shared" si="15"/>
        <v>N/A</v>
      </c>
      <c r="O168" s="1902" t="s">
        <v>2008</v>
      </c>
      <c r="P168" s="1903">
        <f>IF($D168="Logistics",VLOOKUP($O168,'Lower Hot Cell Logistics'!$C$4:$D$69,2,FALSE),"N/A")</f>
        <v>0.6</v>
      </c>
      <c r="Q168" s="1902"/>
      <c r="R168" s="1903" t="str">
        <f>IFERROR(VLOOKUP($Q168,'Lower Hot Cell Dependencies'!$C$5:$F$367,4,FALSE),"N/A")</f>
        <v>N/A</v>
      </c>
      <c r="S168" s="1903" t="str">
        <f t="shared" si="12"/>
        <v>N/A</v>
      </c>
    </row>
    <row r="169" spans="2:19" x14ac:dyDescent="0.35">
      <c r="B169" s="3815"/>
      <c r="C169" s="1895" t="s">
        <v>1252</v>
      </c>
      <c r="D169" s="1896" t="s">
        <v>3</v>
      </c>
      <c r="E169" s="1347">
        <f t="shared" si="14"/>
        <v>0.8</v>
      </c>
      <c r="F169" s="1347">
        <f t="shared" si="13"/>
        <v>408.34686762940572</v>
      </c>
      <c r="G169" s="1895"/>
      <c r="H169" s="1903" t="str">
        <f>IF(D169="operation",VLOOKUP(G169,'Generic Divertor Port Tasks'!C$4:D$223,2,FALSE),"N/A")</f>
        <v>N/A</v>
      </c>
      <c r="I169" s="1895"/>
      <c r="J169" s="1897"/>
      <c r="K169" s="1897"/>
      <c r="L169" s="1898" t="str">
        <f>IFERROR(INDEX('Lower Hot Cell Logistics'!$I$13:$O$19,MATCH($J169,'Lower Hot Cell Logistics'!$H$13:$H$19,0),MATCH($K169,'Lower Hot Cell Logistics'!$H$13:$H$19,0)),"N/A")</f>
        <v>N/A</v>
      </c>
      <c r="M169" s="1898" t="str">
        <f>IFERROR(VLOOKUP($I169,'Lower Hot Cell Logistics'!$H$4:$I$9,2,FALSE),"N/A")</f>
        <v>N/A</v>
      </c>
      <c r="N169" s="1903" t="str">
        <f t="shared" si="15"/>
        <v>N/A</v>
      </c>
      <c r="O169" s="1902" t="s">
        <v>1828</v>
      </c>
      <c r="P169" s="1903">
        <f>IF($D169="Logistics",VLOOKUP($O169,'Lower Hot Cell Logistics'!$C$4:$D$69,2,FALSE),"N/A")</f>
        <v>0.8</v>
      </c>
      <c r="Q169" s="1902"/>
      <c r="R169" s="1903" t="str">
        <f>IFERROR(VLOOKUP($Q169,'Lower Hot Cell Dependencies'!$C$5:$F$367,4,FALSE),"N/A")</f>
        <v>N/A</v>
      </c>
      <c r="S169" s="1903" t="str">
        <f t="shared" si="12"/>
        <v>N/A</v>
      </c>
    </row>
    <row r="170" spans="2:19" x14ac:dyDescent="0.35">
      <c r="B170" s="3815"/>
      <c r="C170" s="1895" t="s">
        <v>1696</v>
      </c>
      <c r="D170" s="1896" t="s">
        <v>251</v>
      </c>
      <c r="E170" s="1347">
        <f t="shared" si="14"/>
        <v>5.16</v>
      </c>
      <c r="F170" s="1347">
        <f t="shared" si="13"/>
        <v>413.50686762940575</v>
      </c>
      <c r="G170" s="1895" t="s">
        <v>273</v>
      </c>
      <c r="H170" s="1903">
        <f>IF(D170="operation",VLOOKUP(G170,'Generic Divertor Port Tasks'!C$4:D$223,2,FALSE),"N/A")</f>
        <v>5.16</v>
      </c>
      <c r="I170" s="1895"/>
      <c r="J170" s="1897"/>
      <c r="K170" s="1897"/>
      <c r="L170" s="1898" t="str">
        <f>IFERROR(INDEX('Lower Hot Cell Logistics'!$I$13:$O$19,MATCH($J170,'Lower Hot Cell Logistics'!$H$13:$H$19,0),MATCH($K170,'Lower Hot Cell Logistics'!$H$13:$H$19,0)),"N/A")</f>
        <v>N/A</v>
      </c>
      <c r="M170" s="1898" t="str">
        <f>IFERROR(VLOOKUP($I170,'Lower Hot Cell Logistics'!$H$4:$I$9,2,FALSE),"N/A")</f>
        <v>N/A</v>
      </c>
      <c r="N170" s="1903" t="str">
        <f t="shared" si="15"/>
        <v>N/A</v>
      </c>
      <c r="O170" s="1902"/>
      <c r="P170" s="1903" t="str">
        <f>IF($D170="Logistics",VLOOKUP($O170,'Lower Hot Cell Logistics'!$C$4:$D$69,2,FALSE),"N/A")</f>
        <v>N/A</v>
      </c>
      <c r="Q170" s="1902"/>
      <c r="R170" s="1903" t="str">
        <f>IFERROR(VLOOKUP($Q170,'Lower Hot Cell Dependencies'!$C$5:$F$367,4,FALSE),"N/A")</f>
        <v>N/A</v>
      </c>
      <c r="S170" s="1903" t="str">
        <f t="shared" si="12"/>
        <v>N/A</v>
      </c>
    </row>
    <row r="171" spans="2:19" x14ac:dyDescent="0.35">
      <c r="B171" s="3815"/>
      <c r="C171" s="1895" t="s">
        <v>1697</v>
      </c>
      <c r="D171" s="1896" t="s">
        <v>251</v>
      </c>
      <c r="E171" s="1347">
        <f t="shared" si="14"/>
        <v>5.16</v>
      </c>
      <c r="F171" s="1347">
        <f t="shared" si="13"/>
        <v>418.66686762940577</v>
      </c>
      <c r="G171" s="1895" t="s">
        <v>273</v>
      </c>
      <c r="H171" s="1903">
        <f>IF(D171="operation",VLOOKUP(G171,'Generic Divertor Port Tasks'!C$4:D$223,2,FALSE),"N/A")</f>
        <v>5.16</v>
      </c>
      <c r="I171" s="1895"/>
      <c r="J171" s="1897"/>
      <c r="K171" s="1897"/>
      <c r="L171" s="1898" t="str">
        <f>IFERROR(INDEX('Lower Hot Cell Logistics'!$I$13:$O$19,MATCH($J171,'Lower Hot Cell Logistics'!$H$13:$H$19,0),MATCH($K171,'Lower Hot Cell Logistics'!$H$13:$H$19,0)),"N/A")</f>
        <v>N/A</v>
      </c>
      <c r="M171" s="1898" t="str">
        <f>IFERROR(VLOOKUP($I171,'Lower Hot Cell Logistics'!$H$4:$I$9,2,FALSE),"N/A")</f>
        <v>N/A</v>
      </c>
      <c r="N171" s="1903" t="str">
        <f t="shared" si="15"/>
        <v>N/A</v>
      </c>
      <c r="O171" s="1902"/>
      <c r="P171" s="1903" t="str">
        <f>IF($D171="Logistics",VLOOKUP($O171,'Lower Hot Cell Logistics'!$C$4:$D$69,2,FALSE),"N/A")</f>
        <v>N/A</v>
      </c>
      <c r="Q171" s="1902"/>
      <c r="R171" s="1903" t="str">
        <f>IFERROR(VLOOKUP($Q171,'Lower Hot Cell Dependencies'!$C$5:$F$367,4,FALSE),"N/A")</f>
        <v>N/A</v>
      </c>
      <c r="S171" s="1903" t="str">
        <f t="shared" si="12"/>
        <v>N/A</v>
      </c>
    </row>
    <row r="172" spans="2:19" x14ac:dyDescent="0.35">
      <c r="B172" s="3815"/>
      <c r="C172" s="1895" t="s">
        <v>1698</v>
      </c>
      <c r="D172" s="1896" t="s">
        <v>251</v>
      </c>
      <c r="E172" s="1347">
        <f t="shared" si="14"/>
        <v>5.16</v>
      </c>
      <c r="F172" s="1347">
        <f t="shared" si="13"/>
        <v>423.8268676294058</v>
      </c>
      <c r="G172" s="1895" t="s">
        <v>273</v>
      </c>
      <c r="H172" s="1903">
        <f>IF(D172="operation",VLOOKUP(G172,'Generic Divertor Port Tasks'!C$4:D$223,2,FALSE),"N/A")</f>
        <v>5.16</v>
      </c>
      <c r="I172" s="1895"/>
      <c r="J172" s="1897"/>
      <c r="K172" s="1897"/>
      <c r="L172" s="1898" t="str">
        <f>IFERROR(INDEX('Lower Hot Cell Logistics'!$I$13:$O$19,MATCH($J172,'Lower Hot Cell Logistics'!$H$13:$H$19,0),MATCH($K172,'Lower Hot Cell Logistics'!$H$13:$H$19,0)),"N/A")</f>
        <v>N/A</v>
      </c>
      <c r="M172" s="1898" t="str">
        <f>IFERROR(VLOOKUP($I172,'Lower Hot Cell Logistics'!$H$4:$I$9,2,FALSE),"N/A")</f>
        <v>N/A</v>
      </c>
      <c r="N172" s="1903" t="str">
        <f t="shared" si="15"/>
        <v>N/A</v>
      </c>
      <c r="O172" s="1902"/>
      <c r="P172" s="1903" t="str">
        <f>IF($D172="Logistics",VLOOKUP($O172,'Lower Hot Cell Logistics'!$C$4:$D$69,2,FALSE),"N/A")</f>
        <v>N/A</v>
      </c>
      <c r="Q172" s="1902"/>
      <c r="R172" s="1903" t="str">
        <f>IFERROR(VLOOKUP($Q172,'Lower Hot Cell Dependencies'!$C$5:$F$367,4,FALSE),"N/A")</f>
        <v>N/A</v>
      </c>
      <c r="S172" s="1903" t="str">
        <f t="shared" si="12"/>
        <v>N/A</v>
      </c>
    </row>
    <row r="173" spans="2:19" ht="13.3" thickBot="1" x14ac:dyDescent="0.4">
      <c r="B173" s="3816"/>
      <c r="C173" s="1869" t="s">
        <v>1590</v>
      </c>
      <c r="D173" s="1918" t="s">
        <v>3</v>
      </c>
      <c r="E173" s="1295">
        <f t="shared" si="14"/>
        <v>0.6</v>
      </c>
      <c r="F173" s="1295">
        <f t="shared" si="13"/>
        <v>424.42686762940582</v>
      </c>
      <c r="G173" s="1869"/>
      <c r="H173" s="1922" t="str">
        <f>IF(D173="operation",VLOOKUP(G173,'Generic Divertor Port Tasks'!C$4:D$223,2,FALSE),"N/A")</f>
        <v>N/A</v>
      </c>
      <c r="I173" s="1869"/>
      <c r="J173" s="837"/>
      <c r="K173" s="837"/>
      <c r="L173" s="842" t="str">
        <f>IFERROR(INDEX('Lower Hot Cell Logistics'!$I$13:$O$19,MATCH($J173,'Lower Hot Cell Logistics'!$H$13:$H$19,0),MATCH($K173,'Lower Hot Cell Logistics'!$H$13:$H$19,0)),"N/A")</f>
        <v>N/A</v>
      </c>
      <c r="M173" s="842" t="str">
        <f>IFERROR(VLOOKUP($I173,'Lower Hot Cell Logistics'!$H$4:$I$9,2,FALSE),"N/A")</f>
        <v>N/A</v>
      </c>
      <c r="N173" s="1922" t="str">
        <f t="shared" si="15"/>
        <v>N/A</v>
      </c>
      <c r="O173" s="1921" t="s">
        <v>2008</v>
      </c>
      <c r="P173" s="1922">
        <f>IF($D173="Logistics",VLOOKUP($O173,'Lower Hot Cell Logistics'!$C$4:$D$69,2,FALSE),"N/A")</f>
        <v>0.6</v>
      </c>
      <c r="Q173" s="1921"/>
      <c r="R173" s="1922" t="str">
        <f>IFERROR(VLOOKUP($Q173,'Lower Hot Cell Dependencies'!$C$5:$F$367,4,FALSE),"N/A")</f>
        <v>N/A</v>
      </c>
      <c r="S173" s="1922" t="str">
        <f t="shared" si="12"/>
        <v>N/A</v>
      </c>
    </row>
    <row r="174" spans="2:19" ht="25.75" x14ac:dyDescent="0.35">
      <c r="B174" s="3787" t="s">
        <v>2109</v>
      </c>
      <c r="C174" s="566" t="s">
        <v>1581</v>
      </c>
      <c r="D174" s="566" t="s">
        <v>3</v>
      </c>
      <c r="E174" s="567">
        <f t="shared" si="14"/>
        <v>0.8</v>
      </c>
      <c r="F174" s="1621">
        <f t="shared" si="13"/>
        <v>425.22686762940583</v>
      </c>
      <c r="G174" s="803"/>
      <c r="H174" s="1175" t="str">
        <f>IF(D174="operation",VLOOKUP(G174,'Generic Divertor Port Tasks'!C$4:D$223,2,FALSE),"N/A")</f>
        <v>N/A</v>
      </c>
      <c r="I174" s="803"/>
      <c r="J174" s="566"/>
      <c r="K174" s="566"/>
      <c r="L174" s="570" t="str">
        <f>IFERROR(INDEX('Lower Cask Movement &amp; Logistics'!$I$13:$O$19,MATCH($J174,'Lower Cask Movement &amp; Logistics'!$H$13:$H$19,0),MATCH($K174,'Lower Cask Movement &amp; Logistics'!$H$13:$H$19,0)),"N/A")</f>
        <v>N/A</v>
      </c>
      <c r="M174" s="570" t="str">
        <f>IFERROR(VLOOKUP($I174,'Lower Cask Movement &amp; Logistics'!$H$4:$I$9,2,FALSE),"N/A")</f>
        <v>N/A</v>
      </c>
      <c r="N174" s="1175" t="str">
        <f t="shared" si="15"/>
        <v>N/A</v>
      </c>
      <c r="O174" s="1664" t="s">
        <v>1828</v>
      </c>
      <c r="P174" s="1175">
        <f>IF($D174="Logistics",VLOOKUP($O174,'Lower Hot Cell Logistics'!$C$4:$D$69,2,FALSE),"N/A")</f>
        <v>0.8</v>
      </c>
      <c r="Q174" s="1664" t="s">
        <v>2110</v>
      </c>
      <c r="R174" s="1175">
        <f>IFERROR(VLOOKUP($Q174,'Lower Hot Cell Dependencies'!$C$5:$F$367,4,FALSE),"N/A")</f>
        <v>390.78773624618685</v>
      </c>
      <c r="S174" s="1175">
        <f t="shared" si="12"/>
        <v>33.639131383218967</v>
      </c>
    </row>
    <row r="175" spans="2:19" x14ac:dyDescent="0.35">
      <c r="B175" s="3786"/>
      <c r="C175" s="573" t="s">
        <v>1702</v>
      </c>
      <c r="D175" s="573" t="s">
        <v>251</v>
      </c>
      <c r="E175" s="1276">
        <f t="shared" si="14"/>
        <v>4.3500000000000005</v>
      </c>
      <c r="F175" s="626">
        <f t="shared" si="13"/>
        <v>429.57686762940585</v>
      </c>
      <c r="G175" s="1131" t="s">
        <v>694</v>
      </c>
      <c r="H175" s="1176">
        <f>IF(D175="operation",VLOOKUP(G175,'Generic Divertor Port Tasks'!C$4:D$223,2,FALSE),"N/A")</f>
        <v>4.3500000000000005</v>
      </c>
      <c r="I175" s="1131"/>
      <c r="J175" s="573"/>
      <c r="K175" s="573"/>
      <c r="L175" s="853" t="str">
        <f>IFERROR(INDEX('Lower Cask Movement &amp; Logistics'!$I$13:$O$19,MATCH($J175,'Lower Cask Movement &amp; Logistics'!$H$13:$H$19,0),MATCH($K175,'Lower Cask Movement &amp; Logistics'!$H$13:$H$19,0)),"N/A")</f>
        <v>N/A</v>
      </c>
      <c r="M175" s="853" t="str">
        <f>IFERROR(VLOOKUP($I175,'Lower Cask Movement &amp; Logistics'!$H$4:$I$9,2,FALSE),"N/A")</f>
        <v>N/A</v>
      </c>
      <c r="N175" s="1176" t="str">
        <f t="shared" si="15"/>
        <v>N/A</v>
      </c>
      <c r="O175" s="1580"/>
      <c r="P175" s="1176" t="str">
        <f>IF($D175="Logistics",VLOOKUP($O175,'Lower Hot Cell Logistics'!$C$4:$D$69,2,FALSE),"N/A")</f>
        <v>N/A</v>
      </c>
      <c r="Q175" s="1580"/>
      <c r="R175" s="1176" t="str">
        <f>IFERROR(VLOOKUP($Q175,'Lower Hot Cell Dependencies'!$C$5:$F$367,4,FALSE),"N/A")</f>
        <v>N/A</v>
      </c>
      <c r="S175" s="1176" t="str">
        <f t="shared" si="12"/>
        <v>N/A</v>
      </c>
    </row>
    <row r="176" spans="2:19" ht="13.3" thickBot="1" x14ac:dyDescent="0.4">
      <c r="B176" s="3788"/>
      <c r="C176" s="584" t="s">
        <v>2111</v>
      </c>
      <c r="D176" s="584" t="s">
        <v>3</v>
      </c>
      <c r="E176" s="1632">
        <v>0.38</v>
      </c>
      <c r="F176" s="585">
        <f t="shared" si="13"/>
        <v>429.95686762940585</v>
      </c>
      <c r="G176" s="1136"/>
      <c r="H176" s="1179" t="str">
        <f>IF(D176="operation",VLOOKUP(G176,'Generic Divertor Port Tasks'!C$4:D$223,2,FALSE),"N/A")</f>
        <v>N/A</v>
      </c>
      <c r="I176" s="1136"/>
      <c r="J176" s="584"/>
      <c r="K176" s="584"/>
      <c r="L176" s="814" t="s">
        <v>263</v>
      </c>
      <c r="M176" s="814" t="s">
        <v>263</v>
      </c>
      <c r="N176" s="1179" t="s">
        <v>263</v>
      </c>
      <c r="O176" s="1582" t="s">
        <v>2008</v>
      </c>
      <c r="P176" s="1179">
        <f>IF($D176="Logistics",VLOOKUP($O176,'Lower Hot Cell Logistics'!$C$4:$D$69,2,FALSE),"N/A")</f>
        <v>0.6</v>
      </c>
      <c r="Q176" s="1582"/>
      <c r="R176" s="1179" t="str">
        <f>IFERROR(VLOOKUP($Q176,'Lower Hot Cell Dependencies'!$C$5:$F$367,4,FALSE),"N/A")</f>
        <v>N/A</v>
      </c>
      <c r="S176" s="1179" t="str">
        <f t="shared" si="12"/>
        <v>N/A</v>
      </c>
    </row>
    <row r="177" spans="2:20" ht="25.75" x14ac:dyDescent="0.35">
      <c r="B177" s="3814" t="s">
        <v>1705</v>
      </c>
      <c r="C177" s="860" t="s">
        <v>1574</v>
      </c>
      <c r="D177" s="860" t="s">
        <v>3</v>
      </c>
      <c r="E177" s="1363">
        <f t="shared" ref="E177:E184" si="16">MAX($P177,$N177,$H177)</f>
        <v>0.8</v>
      </c>
      <c r="F177" s="1347">
        <f t="shared" si="13"/>
        <v>430.75686762940586</v>
      </c>
      <c r="G177" s="2041"/>
      <c r="H177" s="2042" t="str">
        <f>IF(D177="operation",VLOOKUP(G177,'Generic Divertor Port Tasks'!C$4:D$223,2,FALSE),"N/A")</f>
        <v>N/A</v>
      </c>
      <c r="I177" s="2041"/>
      <c r="J177" s="860"/>
      <c r="K177" s="2192"/>
      <c r="L177" s="864" t="str">
        <f>IFERROR(INDEX('Lower Hot Cell Logistics'!$I$13:$O$19,MATCH($J177,'Lower Hot Cell Logistics'!$H$13:$H$19,0),MATCH($K177,'Lower Hot Cell Logistics'!$H$13:$H$19,0)),"N/A")</f>
        <v>N/A</v>
      </c>
      <c r="M177" s="865" t="str">
        <f>IFERROR(VLOOKUP($I177,'Lower Hot Cell Logistics'!$H$4:$I$9,2,FALSE),"N/A")</f>
        <v>N/A</v>
      </c>
      <c r="N177" s="2042" t="str">
        <f t="shared" ref="N177:N184" si="17">IF(D177="Movement",IFERROR((L177/M177)/(60*60),"Error"),"N/A")</f>
        <v>N/A</v>
      </c>
      <c r="O177" s="1725" t="s">
        <v>1828</v>
      </c>
      <c r="P177" s="2042">
        <f>IF($D177="Logistics",VLOOKUP($O177,'Lower Hot Cell Logistics'!$C$4:$D$69,2,FALSE),"N/A")</f>
        <v>0.8</v>
      </c>
      <c r="Q177" s="1725" t="s">
        <v>2112</v>
      </c>
      <c r="R177" s="2042">
        <f>IFERROR(VLOOKUP($Q177,'Lower Hot Cell Dependencies'!$C$5:$F$367,4,FALSE),"N/A")</f>
        <v>409.08279355533159</v>
      </c>
      <c r="S177" s="2042">
        <f t="shared" si="12"/>
        <v>20.874074074074258</v>
      </c>
      <c r="T177" s="1853"/>
    </row>
    <row r="178" spans="2:20" x14ac:dyDescent="0.35">
      <c r="B178" s="3815"/>
      <c r="C178" s="1897" t="s">
        <v>2113</v>
      </c>
      <c r="D178" s="1897" t="s">
        <v>251</v>
      </c>
      <c r="E178" s="1885">
        <f t="shared" si="16"/>
        <v>3.7</v>
      </c>
      <c r="F178" s="1347">
        <f t="shared" si="13"/>
        <v>434.45686762940585</v>
      </c>
      <c r="G178" s="1895" t="s">
        <v>436</v>
      </c>
      <c r="H178" s="1903">
        <f>IF(D178="operation",VLOOKUP(G178,'Generic Divertor Port Tasks'!C$4:D$223,2,FALSE),"N/A")</f>
        <v>3.7</v>
      </c>
      <c r="I178" s="1895"/>
      <c r="J178" s="1897"/>
      <c r="K178" s="2193"/>
      <c r="L178" s="2008" t="str">
        <f>IFERROR(INDEX('Lower Hot Cell Logistics'!$I$13:$O$19,MATCH($J178,'Lower Hot Cell Logistics'!$H$13:$H$19,0),MATCH($K178,'Lower Hot Cell Logistics'!$H$13:$H$19,0)),"N/A")</f>
        <v>N/A</v>
      </c>
      <c r="M178" s="1898" t="str">
        <f>IFERROR(VLOOKUP($I178,'Lower Hot Cell Logistics'!$H$4:$I$9,2,FALSE),"N/A")</f>
        <v>N/A</v>
      </c>
      <c r="N178" s="1903" t="str">
        <f t="shared" si="17"/>
        <v>N/A</v>
      </c>
      <c r="O178" s="1902"/>
      <c r="P178" s="1903" t="str">
        <f>IF($D178="Logistics",VLOOKUP($O178,'Lower Hot Cell Logistics'!$C$4:$D$69,2,FALSE),"N/A")</f>
        <v>N/A</v>
      </c>
      <c r="Q178" s="1902"/>
      <c r="R178" s="1903" t="str">
        <f>IFERROR(VLOOKUP($Q178,'Lower Hot Cell Dependencies'!$C$5:$F$367,4,FALSE),"N/A")</f>
        <v>N/A</v>
      </c>
      <c r="S178" s="1903" t="str">
        <f t="shared" si="12"/>
        <v>N/A</v>
      </c>
      <c r="T178" s="1853"/>
    </row>
    <row r="179" spans="2:20" x14ac:dyDescent="0.35">
      <c r="B179" s="3815"/>
      <c r="C179" s="860" t="s">
        <v>1559</v>
      </c>
      <c r="D179" s="860" t="s">
        <v>3</v>
      </c>
      <c r="E179" s="1292">
        <f t="shared" si="16"/>
        <v>0.8</v>
      </c>
      <c r="F179" s="1292">
        <f t="shared" ref="F179:F208" si="18">IF(S179&lt;0,E179+F178+(-S179),E179+F178)</f>
        <v>435.25686762940586</v>
      </c>
      <c r="G179" s="2041"/>
      <c r="H179" s="2042" t="str">
        <f>IF(D179="operation",VLOOKUP(G179,'Generic Divertor Port Tasks'!C$4:D$223,2,FALSE),"N/A")</f>
        <v>N/A</v>
      </c>
      <c r="I179" s="2041"/>
      <c r="J179" s="860"/>
      <c r="K179" s="2192"/>
      <c r="L179" s="864" t="str">
        <f>IFERROR(INDEX('Lower Hot Cell Logistics'!$I$13:$O$19,MATCH($J179,'Lower Hot Cell Logistics'!$H$13:$H$19,0),MATCH($K179,'Lower Hot Cell Logistics'!$H$13:$H$19,0)),"N/A")</f>
        <v>N/A</v>
      </c>
      <c r="M179" s="865" t="str">
        <f>IFERROR(VLOOKUP($I179,'Lower Hot Cell Logistics'!$H$4:$I$9,2,FALSE),"N/A")</f>
        <v>N/A</v>
      </c>
      <c r="N179" s="2042" t="str">
        <f t="shared" si="17"/>
        <v>N/A</v>
      </c>
      <c r="O179" s="1725" t="s">
        <v>1828</v>
      </c>
      <c r="P179" s="2042">
        <f>IF($D179="Logistics",VLOOKUP($O179,'Lower Hot Cell Logistics'!$C$4:$D$69,2,FALSE),"N/A")</f>
        <v>0.8</v>
      </c>
      <c r="Q179" s="1725"/>
      <c r="R179" s="2042" t="str">
        <f>IFERROR(VLOOKUP($Q179,'Lower Hot Cell Dependencies'!$C$5:$F$367,4,FALSE),"N/A")</f>
        <v>N/A</v>
      </c>
      <c r="S179" s="2042" t="str">
        <f t="shared" si="12"/>
        <v>N/A</v>
      </c>
      <c r="T179" s="1853"/>
    </row>
    <row r="180" spans="2:20" x14ac:dyDescent="0.35">
      <c r="B180" s="3815"/>
      <c r="C180" s="860" t="s">
        <v>2114</v>
      </c>
      <c r="D180" s="860" t="s">
        <v>251</v>
      </c>
      <c r="E180" s="1363">
        <f t="shared" si="16"/>
        <v>8.1444444444444439</v>
      </c>
      <c r="F180" s="1347">
        <f t="shared" si="18"/>
        <v>443.40131207385031</v>
      </c>
      <c r="G180" s="2041" t="s">
        <v>433</v>
      </c>
      <c r="H180" s="2042">
        <f>IF(D180="operation",VLOOKUP(G180,'Generic Divertor Port Tasks'!C$4:D$223,2,FALSE),"N/A")</f>
        <v>8.1444444444444439</v>
      </c>
      <c r="I180" s="2041"/>
      <c r="J180" s="860"/>
      <c r="K180" s="2192"/>
      <c r="L180" s="864" t="str">
        <f>IFERROR(INDEX('Lower Hot Cell Logistics'!$I$13:$O$19,MATCH($J180,'Lower Hot Cell Logistics'!$H$13:$H$19,0),MATCH($K180,'Lower Hot Cell Logistics'!$H$13:$H$19,0)),"N/A")</f>
        <v>N/A</v>
      </c>
      <c r="M180" s="865" t="str">
        <f>IFERROR(VLOOKUP($I180,'Lower Hot Cell Logistics'!$H$4:$I$9,2,FALSE),"N/A")</f>
        <v>N/A</v>
      </c>
      <c r="N180" s="2042" t="str">
        <f t="shared" si="17"/>
        <v>N/A</v>
      </c>
      <c r="O180" s="1725"/>
      <c r="P180" s="2042" t="str">
        <f>IF($D180="Logistics",VLOOKUP($O180,'Lower Hot Cell Logistics'!$C$4:$D$69,2,FALSE),"N/A")</f>
        <v>N/A</v>
      </c>
      <c r="Q180" s="1725"/>
      <c r="R180" s="2042" t="str">
        <f>IFERROR(VLOOKUP($Q180,'Lower Hot Cell Dependencies'!$C$5:$F$367,4,FALSE),"N/A")</f>
        <v>N/A</v>
      </c>
      <c r="S180" s="2042" t="str">
        <f t="shared" si="12"/>
        <v>N/A</v>
      </c>
      <c r="T180" s="1853"/>
    </row>
    <row r="181" spans="2:20" x14ac:dyDescent="0.35">
      <c r="B181" s="3815"/>
      <c r="C181" s="860" t="s">
        <v>1573</v>
      </c>
      <c r="D181" s="860" t="s">
        <v>3</v>
      </c>
      <c r="E181" s="1363">
        <f t="shared" si="16"/>
        <v>0.6</v>
      </c>
      <c r="F181" s="1347">
        <f t="shared" si="18"/>
        <v>444.00131207385033</v>
      </c>
      <c r="G181" s="2041"/>
      <c r="H181" s="2042" t="str">
        <f>IF(D181="operation",VLOOKUP(G181,'Generic Divertor Port Tasks'!C$4:D$223,2,FALSE),"N/A")</f>
        <v>N/A</v>
      </c>
      <c r="I181" s="2041"/>
      <c r="J181" s="860"/>
      <c r="K181" s="2192"/>
      <c r="L181" s="864" t="str">
        <f>IFERROR(INDEX('Lower Hot Cell Logistics'!$I$13:$O$19,MATCH($J181,'Lower Hot Cell Logistics'!$H$13:$H$19,0),MATCH($K181,'Lower Hot Cell Logistics'!$H$13:$H$19,0)),"N/A")</f>
        <v>N/A</v>
      </c>
      <c r="M181" s="865" t="str">
        <f>IFERROR(VLOOKUP($I181,'Lower Hot Cell Logistics'!$H$4:$I$9,2,FALSE),"N/A")</f>
        <v>N/A</v>
      </c>
      <c r="N181" s="2042" t="str">
        <f t="shared" si="17"/>
        <v>N/A</v>
      </c>
      <c r="O181" s="1725" t="s">
        <v>2008</v>
      </c>
      <c r="P181" s="2042">
        <f>IF($D181="Logistics",VLOOKUP($O181,'Lower Hot Cell Logistics'!$C$4:$D$69,2,FALSE),"N/A")</f>
        <v>0.6</v>
      </c>
      <c r="Q181" s="1725"/>
      <c r="R181" s="2042" t="str">
        <f>IFERROR(VLOOKUP($Q181,'Lower Hot Cell Dependencies'!$C$5:$F$367,4,FALSE),"N/A")</f>
        <v>N/A</v>
      </c>
      <c r="S181" s="2042" t="str">
        <f t="shared" si="12"/>
        <v>N/A</v>
      </c>
      <c r="T181" s="1853"/>
    </row>
    <row r="182" spans="2:20" ht="13.3" thickBot="1" x14ac:dyDescent="0.4">
      <c r="B182" s="3816"/>
      <c r="C182" s="2068" t="s">
        <v>2115</v>
      </c>
      <c r="D182" s="2068" t="s">
        <v>3</v>
      </c>
      <c r="E182" s="1363">
        <f t="shared" si="16"/>
        <v>0.6</v>
      </c>
      <c r="F182" s="1347">
        <f t="shared" si="18"/>
        <v>444.60131207385035</v>
      </c>
      <c r="G182" s="2041"/>
      <c r="H182" s="2042" t="str">
        <f>IF(D182="operation",VLOOKUP(G182,'Generic Divertor Port Tasks'!C$4:D$223,2,FALSE),"N/A")</f>
        <v>N/A</v>
      </c>
      <c r="I182" s="2041"/>
      <c r="J182" s="860"/>
      <c r="K182" s="2192"/>
      <c r="L182" s="864" t="str">
        <f>IFERROR(INDEX('Lower Hot Cell Logistics'!$I$13:$O$19,MATCH($J182,'Lower Hot Cell Logistics'!$H$13:$H$19,0),MATCH($K182,'Lower Hot Cell Logistics'!$H$13:$H$19,0)),"N/A")</f>
        <v>N/A</v>
      </c>
      <c r="M182" s="865" t="str">
        <f>IFERROR(VLOOKUP($I182,'Lower Hot Cell Logistics'!$H$4:$I$9,2,FALSE),"N/A")</f>
        <v>N/A</v>
      </c>
      <c r="N182" s="2042" t="str">
        <f t="shared" si="17"/>
        <v>N/A</v>
      </c>
      <c r="O182" s="1725" t="s">
        <v>2008</v>
      </c>
      <c r="P182" s="2042">
        <f>IF($D182="Logistics",VLOOKUP($O182,'Lower Hot Cell Logistics'!$C$4:$D$69,2,FALSE),"N/A")</f>
        <v>0.6</v>
      </c>
      <c r="Q182" s="1725"/>
      <c r="R182" s="2042" t="str">
        <f>IFERROR(VLOOKUP($Q182,'Lower Hot Cell Dependencies'!$C$5:$F$367,4,FALSE),"N/A")</f>
        <v>N/A</v>
      </c>
      <c r="S182" s="2042" t="str">
        <f t="shared" si="12"/>
        <v>N/A</v>
      </c>
      <c r="T182" s="1853"/>
    </row>
    <row r="183" spans="2:20" x14ac:dyDescent="0.35">
      <c r="B183" s="3787" t="s">
        <v>2116</v>
      </c>
      <c r="C183" s="566" t="s">
        <v>1566</v>
      </c>
      <c r="D183" s="566" t="s">
        <v>3</v>
      </c>
      <c r="E183" s="567">
        <f t="shared" si="16"/>
        <v>0.8</v>
      </c>
      <c r="F183" s="1621">
        <f t="shared" si="18"/>
        <v>445.40131207385036</v>
      </c>
      <c r="G183" s="803"/>
      <c r="H183" s="1175" t="str">
        <f>IF(D183="operation",VLOOKUP(G183,'Generic Divertor Port Tasks'!C$4:D$223,2,FALSE),"N/A")</f>
        <v>N/A</v>
      </c>
      <c r="I183" s="803"/>
      <c r="J183" s="566"/>
      <c r="K183" s="566"/>
      <c r="L183" s="570" t="str">
        <f>IFERROR(INDEX('Lower Cask Movement &amp; Logistics'!$I$13:$O$19,MATCH($J183,'Lower Cask Movement &amp; Logistics'!$H$13:$H$19,0),MATCH($K183,'Lower Cask Movement &amp; Logistics'!$H$13:$H$19,0)),"N/A")</f>
        <v>N/A</v>
      </c>
      <c r="M183" s="570" t="str">
        <f>IFERROR(VLOOKUP($I183,'Lower Cask Movement &amp; Logistics'!$H$4:$I$9,2,FALSE),"N/A")</f>
        <v>N/A</v>
      </c>
      <c r="N183" s="1175" t="str">
        <f t="shared" si="17"/>
        <v>N/A</v>
      </c>
      <c r="O183" s="1664" t="s">
        <v>1828</v>
      </c>
      <c r="P183" s="1175">
        <f>IF($D183="Logistics",VLOOKUP($O183,'Lower Hot Cell Logistics'!$C$4:$D$69,2,FALSE),"N/A")</f>
        <v>0.8</v>
      </c>
      <c r="Q183" s="1664" t="s">
        <v>2117</v>
      </c>
      <c r="R183" s="1175">
        <f>IFERROR(VLOOKUP($Q183,'Lower Hot Cell Dependencies'!$C$5:$F$367,4,FALSE),"N/A")</f>
        <v>432.09279355533175</v>
      </c>
      <c r="S183" s="1175">
        <f t="shared" si="12"/>
        <v>12.508518518518599</v>
      </c>
    </row>
    <row r="184" spans="2:20" x14ac:dyDescent="0.35">
      <c r="B184" s="3786"/>
      <c r="C184" s="573" t="s">
        <v>2118</v>
      </c>
      <c r="D184" s="573" t="s">
        <v>251</v>
      </c>
      <c r="E184" s="1276">
        <f t="shared" si="16"/>
        <v>8.81388888888889</v>
      </c>
      <c r="F184" s="626">
        <f t="shared" si="18"/>
        <v>454.21520096273923</v>
      </c>
      <c r="G184" s="1131" t="s">
        <v>695</v>
      </c>
      <c r="H184" s="1176">
        <f>IF(D184="operation",VLOOKUP(G184,'Generic Divertor Port Tasks'!C$4:D$223,2,FALSE),"N/A")</f>
        <v>8.81388888888889</v>
      </c>
      <c r="I184" s="1131"/>
      <c r="J184" s="573"/>
      <c r="K184" s="573"/>
      <c r="L184" s="853" t="str">
        <f>IFERROR(INDEX('Lower Cask Movement &amp; Logistics'!$I$13:$O$19,MATCH($J184,'Lower Cask Movement &amp; Logistics'!$H$13:$H$19,0),MATCH($K184,'Lower Cask Movement &amp; Logistics'!$H$13:$H$19,0)),"N/A")</f>
        <v>N/A</v>
      </c>
      <c r="M184" s="853" t="str">
        <f>IFERROR(VLOOKUP($I184,'Lower Cask Movement &amp; Logistics'!$H$4:$I$9,2,FALSE),"N/A")</f>
        <v>N/A</v>
      </c>
      <c r="N184" s="1176" t="str">
        <f t="shared" si="17"/>
        <v>N/A</v>
      </c>
      <c r="O184" s="1580"/>
      <c r="P184" s="1176" t="str">
        <f>IF($D184="Logistics",VLOOKUP($O184,'Lower Hot Cell Logistics'!$C$4:$D$69,2,FALSE),"N/A")</f>
        <v>N/A</v>
      </c>
      <c r="Q184" s="1580"/>
      <c r="R184" s="1176" t="str">
        <f>IFERROR(VLOOKUP($Q184,'Lower Hot Cell Dependencies'!$C$5:$F$367,4,FALSE),"N/A")</f>
        <v>N/A</v>
      </c>
      <c r="S184" s="1176" t="str">
        <f t="shared" si="12"/>
        <v>N/A</v>
      </c>
    </row>
    <row r="185" spans="2:20" ht="13.3" thickBot="1" x14ac:dyDescent="0.4">
      <c r="B185" s="3788"/>
      <c r="C185" s="584" t="s">
        <v>2119</v>
      </c>
      <c r="D185" s="584" t="s">
        <v>3</v>
      </c>
      <c r="E185" s="1632">
        <v>0.38</v>
      </c>
      <c r="F185" s="585">
        <f t="shared" si="18"/>
        <v>454.59520096273923</v>
      </c>
      <c r="G185" s="1136"/>
      <c r="H185" s="1179" t="str">
        <f>IF(D185="operation",VLOOKUP(G185,'Generic Divertor Port Tasks'!C$4:D$223,2,FALSE),"N/A")</f>
        <v>N/A</v>
      </c>
      <c r="I185" s="1136"/>
      <c r="J185" s="584"/>
      <c r="K185" s="584"/>
      <c r="L185" s="814" t="s">
        <v>263</v>
      </c>
      <c r="M185" s="814" t="s">
        <v>263</v>
      </c>
      <c r="N185" s="1179" t="s">
        <v>263</v>
      </c>
      <c r="O185" s="1582" t="s">
        <v>2008</v>
      </c>
      <c r="P185" s="1179">
        <f>IF($D185="Logistics",VLOOKUP($O185,'Lower Hot Cell Logistics'!$C$4:$D$69,2,FALSE),"N/A")</f>
        <v>0.6</v>
      </c>
      <c r="Q185" s="1582"/>
      <c r="R185" s="1179" t="str">
        <f>IFERROR(VLOOKUP($Q185,'Lower Hot Cell Dependencies'!$C$5:$F$367,4,FALSE),"N/A")</f>
        <v>N/A</v>
      </c>
      <c r="S185" s="1179" t="str">
        <f t="shared" si="12"/>
        <v>N/A</v>
      </c>
    </row>
    <row r="186" spans="2:20" x14ac:dyDescent="0.35">
      <c r="B186" s="3814" t="s">
        <v>2120</v>
      </c>
      <c r="C186" s="1897" t="s">
        <v>2121</v>
      </c>
      <c r="D186" s="1896" t="s">
        <v>3</v>
      </c>
      <c r="E186" s="1347">
        <f>MAX($P186,$N186,$H186)</f>
        <v>0.8</v>
      </c>
      <c r="F186" s="1347">
        <f t="shared" si="18"/>
        <v>455.39520096273924</v>
      </c>
      <c r="G186" s="1895"/>
      <c r="H186" s="1903" t="str">
        <f>IF(D186="operation",VLOOKUP(G186,'Generic Divertor Port Tasks'!C$4:D$223,2,FALSE),"N/A")</f>
        <v>N/A</v>
      </c>
      <c r="I186" s="1895"/>
      <c r="J186" s="1897"/>
      <c r="K186" s="1896"/>
      <c r="L186" s="2008" t="str">
        <f>IFERROR(INDEX('Lower Cask Movement &amp; Logistics'!$I$13:$O$19,MATCH($J186,'Lower Cask Movement &amp; Logistics'!$H$13:$H$19,0),MATCH($K186,'Lower Cask Movement &amp; Logistics'!$H$13:$H$19,0)),"N/A")</f>
        <v>N/A</v>
      </c>
      <c r="M186" s="1898" t="str">
        <f>IFERROR(VLOOKUP($I186,'Lower Cask Movement &amp; Logistics'!$H$4:$I$9,2,FALSE),"N/A")</f>
        <v>N/A</v>
      </c>
      <c r="N186" s="1903" t="str">
        <f>IF(D186="Movement",IFERROR((L186/M186)/(60*60),"Error"),"N/A")</f>
        <v>N/A</v>
      </c>
      <c r="O186" s="1902" t="s">
        <v>1828</v>
      </c>
      <c r="P186" s="1903">
        <f>IF($D186="Logistics",VLOOKUP($O186,'Lower Hot Cell Logistics'!$C$4:$D$69,2,FALSE),"N/A")</f>
        <v>0.8</v>
      </c>
      <c r="Q186" s="1902" t="s">
        <v>2122</v>
      </c>
      <c r="R186" s="1903">
        <f>IFERROR(VLOOKUP($Q186,'Lower Hot Cell Dependencies'!$C$5:$F$367,4,FALSE),"N/A")</f>
        <v>446.73723799977626</v>
      </c>
      <c r="S186" s="1903">
        <f t="shared" si="12"/>
        <v>7.8579629629629721</v>
      </c>
    </row>
    <row r="187" spans="2:20" x14ac:dyDescent="0.35">
      <c r="B187" s="3815"/>
      <c r="C187" s="1897" t="s">
        <v>1559</v>
      </c>
      <c r="D187" s="1896" t="s">
        <v>3</v>
      </c>
      <c r="E187" s="1347">
        <f>MAX($P187,$N187,$H187)</f>
        <v>0.8</v>
      </c>
      <c r="F187" s="1347">
        <f t="shared" si="18"/>
        <v>456.19520096273925</v>
      </c>
      <c r="G187" s="1895"/>
      <c r="H187" s="1903" t="str">
        <f>IF(D187="operation",VLOOKUP(G187,'Generic Divertor Port Tasks'!C$4:D$223,2,FALSE),"N/A")</f>
        <v>N/A</v>
      </c>
      <c r="I187" s="1895"/>
      <c r="J187" s="1897"/>
      <c r="K187" s="1896"/>
      <c r="L187" s="2008" t="str">
        <f>IFERROR(INDEX('Lower Cask Movement &amp; Logistics'!$I$13:$O$19,MATCH($J187,'Lower Cask Movement &amp; Logistics'!$H$13:$H$19,0),MATCH($K187,'Lower Cask Movement &amp; Logistics'!$H$13:$H$19,0)),"N/A")</f>
        <v>N/A</v>
      </c>
      <c r="M187" s="1898" t="str">
        <f>IFERROR(VLOOKUP($I187,'Lower Cask Movement &amp; Logistics'!$H$4:$I$9,2,FALSE),"N/A")</f>
        <v>N/A</v>
      </c>
      <c r="N187" s="1903" t="str">
        <f>IF(D187="Movement",IFERROR((L187/M187)/(60*60),"Error"),"N/A")</f>
        <v>N/A</v>
      </c>
      <c r="O187" s="1902" t="s">
        <v>1828</v>
      </c>
      <c r="P187" s="1903">
        <f>IF($D187="Logistics",VLOOKUP($O187,'Lower Hot Cell Logistics'!$C$4:$D$69,2,FALSE),"N/A")</f>
        <v>0.8</v>
      </c>
      <c r="Q187" s="1902"/>
      <c r="R187" s="1903" t="str">
        <f>IFERROR(VLOOKUP($Q187,'Lower Hot Cell Dependencies'!$C$5:$F$367,4,FALSE),"N/A")</f>
        <v>N/A</v>
      </c>
      <c r="S187" s="1903" t="str">
        <f t="shared" si="12"/>
        <v>N/A</v>
      </c>
    </row>
    <row r="188" spans="2:20" ht="14.25" customHeight="1" x14ac:dyDescent="0.35">
      <c r="B188" s="3815"/>
      <c r="C188" s="860" t="s">
        <v>2123</v>
      </c>
      <c r="D188" s="2099" t="s">
        <v>251</v>
      </c>
      <c r="E188" s="1292">
        <f>MAX($P188,$N188,$H188)</f>
        <v>8.1138888888888889</v>
      </c>
      <c r="F188" s="1292">
        <f t="shared" si="18"/>
        <v>464.30908985162813</v>
      </c>
      <c r="G188" s="2041" t="s">
        <v>697</v>
      </c>
      <c r="H188" s="1903">
        <f>IF(D188="operation",VLOOKUP(G188,'Generic Divertor Port Tasks'!C$4:D$223,2,FALSE),"N/A")</f>
        <v>8.1138888888888889</v>
      </c>
      <c r="I188" s="1895"/>
      <c r="J188" s="1897"/>
      <c r="K188" s="1896"/>
      <c r="L188" s="2008" t="str">
        <f>IFERROR(INDEX('Lower Cask Movement &amp; Logistics'!$I$13:$O$19,MATCH($J188,'Lower Cask Movement &amp; Logistics'!$H$13:$H$19,0),MATCH($K188,'Lower Cask Movement &amp; Logistics'!$H$13:$H$19,0)),"N/A")</f>
        <v>N/A</v>
      </c>
      <c r="M188" s="1898" t="str">
        <f>IFERROR(VLOOKUP($I188,'Lower Cask Movement &amp; Logistics'!$H$4:$I$9,2,FALSE),"N/A")</f>
        <v>N/A</v>
      </c>
      <c r="N188" s="1903" t="str">
        <f t="shared" ref="N188:N193" si="19">IF(D188="Movement",IFERROR((L188/M188)/(60*60),"Error"),"N/A")</f>
        <v>N/A</v>
      </c>
      <c r="O188" s="1725"/>
      <c r="P188" s="2042" t="str">
        <f>IF($D188="Logistics",VLOOKUP($O188,'Lower Hot Cell Logistics'!$C$4:$D$69,2,FALSE),"N/A")</f>
        <v>N/A</v>
      </c>
      <c r="Q188" s="1725"/>
      <c r="R188" s="2042" t="str">
        <f>IFERROR(VLOOKUP($Q188,'Lower Hot Cell Dependencies'!$C$5:$F$367,4,FALSE),"N/A")</f>
        <v>N/A</v>
      </c>
      <c r="S188" s="2042" t="str">
        <f t="shared" si="12"/>
        <v>N/A</v>
      </c>
    </row>
    <row r="189" spans="2:20" ht="14.25" customHeight="1" x14ac:dyDescent="0.35">
      <c r="B189" s="3815"/>
      <c r="C189" s="1897" t="s">
        <v>2010</v>
      </c>
      <c r="D189" s="1896" t="s">
        <v>3</v>
      </c>
      <c r="E189" s="1292">
        <f>MAX($P189,$N189,$H189)</f>
        <v>0.6</v>
      </c>
      <c r="F189" s="1292">
        <f t="shared" si="18"/>
        <v>464.90908985162815</v>
      </c>
      <c r="G189" s="1895"/>
      <c r="H189" s="1903" t="str">
        <f>IF(D189="operation",VLOOKUP(G189,'Generic Divertor Port Tasks'!C$4:D$223,2,FALSE),"N/A")</f>
        <v>N/A</v>
      </c>
      <c r="I189" s="1895"/>
      <c r="J189" s="1897"/>
      <c r="K189" s="1896"/>
      <c r="L189" s="2008" t="str">
        <f>IFERROR(INDEX('Lower Cask Movement &amp; Logistics'!$I$13:$O$19,MATCH($J189,'Lower Cask Movement &amp; Logistics'!$H$13:$H$19,0),MATCH($K189,'Lower Cask Movement &amp; Logistics'!$H$13:$H$19,0)),"N/A")</f>
        <v>N/A</v>
      </c>
      <c r="M189" s="1898" t="str">
        <f>IFERROR(VLOOKUP($I189,'Lower Cask Movement &amp; Logistics'!$H$4:$I$9,2,FALSE),"N/A")</f>
        <v>N/A</v>
      </c>
      <c r="N189" s="1903" t="str">
        <f t="shared" si="19"/>
        <v>N/A</v>
      </c>
      <c r="O189" s="1725" t="s">
        <v>2008</v>
      </c>
      <c r="P189" s="2042">
        <f>IF($D189="Logistics",VLOOKUP($O189,'Lower Hot Cell Logistics'!$C$4:$D$69,2,FALSE),"N/A")</f>
        <v>0.6</v>
      </c>
      <c r="Q189" s="1902"/>
      <c r="R189" s="2042" t="str">
        <f>IFERROR(VLOOKUP($Q189,'Lower Hot Cell Dependencies'!$C$5:$F$367,4,FALSE),"N/A")</f>
        <v>N/A</v>
      </c>
      <c r="S189" s="2042" t="str">
        <f t="shared" si="12"/>
        <v>N/A</v>
      </c>
    </row>
    <row r="190" spans="2:20" ht="13.3" thickBot="1" x14ac:dyDescent="0.4">
      <c r="B190" s="3815"/>
      <c r="C190" s="1897" t="s">
        <v>2124</v>
      </c>
      <c r="D190" s="1896" t="s">
        <v>3</v>
      </c>
      <c r="E190" s="1347">
        <f>MAX($P190,$N190,$H190)</f>
        <v>0.6</v>
      </c>
      <c r="F190" s="1347">
        <f t="shared" si="18"/>
        <v>465.50908985162818</v>
      </c>
      <c r="G190" s="1895"/>
      <c r="H190" s="1903" t="str">
        <f>IF(D190="operation",VLOOKUP(G190,'Generic Divertor Port Tasks'!C$4:D$223,2,FALSE),"N/A")</f>
        <v>N/A</v>
      </c>
      <c r="I190" s="1895"/>
      <c r="J190" s="1897"/>
      <c r="K190" s="1896"/>
      <c r="L190" s="2008" t="str">
        <f>IFERROR(INDEX('Lower Cask Movement &amp; Logistics'!$I$13:$O$19,MATCH($J190,'Lower Cask Movement &amp; Logistics'!$H$13:$H$19,0),MATCH($K190,'Lower Cask Movement &amp; Logistics'!$H$13:$H$19,0)),"N/A")</f>
        <v>N/A</v>
      </c>
      <c r="M190" s="1898" t="str">
        <f>IFERROR(VLOOKUP($I190,'Lower Cask Movement &amp; Logistics'!$H$4:$I$9,2,FALSE),"N/A")</f>
        <v>N/A</v>
      </c>
      <c r="N190" s="1903" t="str">
        <f t="shared" si="19"/>
        <v>N/A</v>
      </c>
      <c r="O190" s="1902" t="s">
        <v>2008</v>
      </c>
      <c r="P190" s="1903">
        <f>IF($D190="Logistics",VLOOKUP($O190,'Lower Hot Cell Logistics'!$C$4:$D$69,2,FALSE),"N/A")</f>
        <v>0.6</v>
      </c>
      <c r="Q190" s="1902"/>
      <c r="R190" s="1903" t="str">
        <f>IFERROR(VLOOKUP($Q190,'Lower Hot Cell Dependencies'!$C$5:$F$367,4,FALSE),"N/A")</f>
        <v>N/A</v>
      </c>
      <c r="S190" s="1903" t="str">
        <f t="shared" si="12"/>
        <v>N/A</v>
      </c>
    </row>
    <row r="191" spans="2:20" ht="15" customHeight="1" x14ac:dyDescent="0.35">
      <c r="B191" s="3787" t="s">
        <v>596</v>
      </c>
      <c r="C191" s="566" t="s">
        <v>1543</v>
      </c>
      <c r="D191" s="1574" t="s">
        <v>3</v>
      </c>
      <c r="E191" s="567">
        <f t="shared" ref="E191:E208" si="20">MAX($P191,$N191,$H191)</f>
        <v>0.8</v>
      </c>
      <c r="F191" s="567">
        <f t="shared" si="18"/>
        <v>466.30908985162819</v>
      </c>
      <c r="G191" s="803"/>
      <c r="H191" s="1175" t="str">
        <f>IF(D191="operation",VLOOKUP(G191,'Generic Divertor Port Tasks'!C$4:D$223,2,FALSE),"N/A")</f>
        <v>N/A</v>
      </c>
      <c r="I191" s="803"/>
      <c r="J191" s="566"/>
      <c r="K191" s="566"/>
      <c r="L191" s="570" t="str">
        <f>IFERROR(INDEX('Lower Hot Cell Logistics'!$I$13:$O$19,MATCH($J191,'Lower Hot Cell Logistics'!$H$13:$H$19,0),MATCH($K191,'Lower Hot Cell Logistics'!$H$13:$H$19,0)),"N/A")</f>
        <v>N/A</v>
      </c>
      <c r="M191" s="570" t="str">
        <f>IFERROR(VLOOKUP($I191,'Lower Hot Cell Logistics'!$H$4:$I$9,2,FALSE),"N/A")</f>
        <v>N/A</v>
      </c>
      <c r="N191" s="1175" t="str">
        <f t="shared" si="19"/>
        <v>N/A</v>
      </c>
      <c r="O191" s="1576" t="s">
        <v>1828</v>
      </c>
      <c r="P191" s="1175">
        <f>IF($D191="Logistics",VLOOKUP($O191,'Lower Hot Cell Logistics'!$C$4:$D$69,2,FALSE),"N/A")</f>
        <v>0.8</v>
      </c>
      <c r="Q191" s="1664" t="s">
        <v>2125</v>
      </c>
      <c r="R191" s="1175">
        <f>IFERROR(VLOOKUP($Q191,'Lower Hot Cell Dependencies'!$C$5:$F$367,4,FALSE),"N/A")</f>
        <v>456.73112688866513</v>
      </c>
      <c r="S191" s="1175">
        <f t="shared" si="12"/>
        <v>8.7779629629630449</v>
      </c>
      <c r="T191" s="2198"/>
    </row>
    <row r="192" spans="2:20" ht="14.6" x14ac:dyDescent="0.35">
      <c r="B192" s="3786"/>
      <c r="C192" s="1579" t="s">
        <v>2412</v>
      </c>
      <c r="D192" s="1611" t="s">
        <v>251</v>
      </c>
      <c r="E192" s="626">
        <f t="shared" si="20"/>
        <v>6.7722222222222221</v>
      </c>
      <c r="F192" s="574">
        <f t="shared" si="18"/>
        <v>473.08131207385043</v>
      </c>
      <c r="G192" s="1579" t="s">
        <v>596</v>
      </c>
      <c r="H192" s="1183">
        <f>IF(D192="operation",VLOOKUP(G192,'Generic Divertor Port Tasks'!C$4:D$223,2,FALSE),"N/A")</f>
        <v>6.7722222222222221</v>
      </c>
      <c r="I192" s="1579"/>
      <c r="J192" s="582"/>
      <c r="K192" s="582"/>
      <c r="L192" s="1478" t="str">
        <f>IFERROR(INDEX('Lower Hot Cell Logistics'!$I$13:$O$19,MATCH($J192,'Lower Hot Cell Logistics'!$H$13:$H$19,0),MATCH($K192,'Lower Hot Cell Logistics'!$H$13:$H$19,0)),"N/A")</f>
        <v>N/A</v>
      </c>
      <c r="M192" s="1478" t="str">
        <f>IFERROR(VLOOKUP($I192,'Lower Hot Cell Logistics'!$H$4:$I$9,2,FALSE),"N/A")</f>
        <v>N/A</v>
      </c>
      <c r="N192" s="1183" t="str">
        <f t="shared" si="19"/>
        <v>N/A</v>
      </c>
      <c r="O192" s="1578"/>
      <c r="P192" s="1183" t="str">
        <f>IF($D192="Logistics",VLOOKUP($O192,'Lower Hot Cell Logistics'!$C$4:$D$69,2,FALSE),"N/A")</f>
        <v>N/A</v>
      </c>
      <c r="Q192" s="1578"/>
      <c r="R192" s="1183" t="str">
        <f>IFERROR(VLOOKUP($Q192,'Lower Hot Cell Dependencies'!$C$5:$F$367,4,FALSE),"N/A")</f>
        <v>N/A</v>
      </c>
      <c r="S192" s="1183" t="str">
        <f t="shared" si="12"/>
        <v>N/A</v>
      </c>
      <c r="T192" s="2198"/>
    </row>
    <row r="193" spans="2:20" ht="15" thickBot="1" x14ac:dyDescent="0.4">
      <c r="B193" s="3788"/>
      <c r="C193" s="1136" t="s">
        <v>1545</v>
      </c>
      <c r="D193" s="1581" t="s">
        <v>3</v>
      </c>
      <c r="E193" s="585">
        <f t="shared" si="20"/>
        <v>0.6</v>
      </c>
      <c r="F193" s="585">
        <f t="shared" si="18"/>
        <v>473.68131207385045</v>
      </c>
      <c r="G193" s="1136"/>
      <c r="H193" s="1179" t="str">
        <f>IF(D193="operation",VLOOKUP(G193,'Generic Divertor Port Tasks'!C$4:D$223,2,FALSE),"N/A")</f>
        <v>N/A</v>
      </c>
      <c r="I193" s="1136"/>
      <c r="J193" s="584"/>
      <c r="K193" s="584"/>
      <c r="L193" s="814" t="str">
        <f>IFERROR(INDEX('Lower Hot Cell Logistics'!$I$13:$O$19,MATCH($J193,'Lower Hot Cell Logistics'!$H$13:$H$19,0),MATCH($K193,'Lower Hot Cell Logistics'!$H$13:$H$19,0)),"N/A")</f>
        <v>N/A</v>
      </c>
      <c r="M193" s="814" t="str">
        <f>IFERROR(VLOOKUP($I193,'Lower Hot Cell Logistics'!$H$4:$I$9,2,FALSE),"N/A")</f>
        <v>N/A</v>
      </c>
      <c r="N193" s="1179" t="str">
        <f t="shared" si="19"/>
        <v>N/A</v>
      </c>
      <c r="O193" s="1582" t="s">
        <v>2008</v>
      </c>
      <c r="P193" s="1179">
        <f>IF($D193="Logistics",VLOOKUP($O193,'Lower Hot Cell Logistics'!$C$4:$D$69,2,FALSE),"N/A")</f>
        <v>0.6</v>
      </c>
      <c r="Q193" s="1582"/>
      <c r="R193" s="1179" t="str">
        <f>IFERROR(VLOOKUP($Q193,'Lower Hot Cell Dependencies'!$C$5:$F$367,4,FALSE),"N/A")</f>
        <v>N/A</v>
      </c>
      <c r="S193" s="1179" t="str">
        <f t="shared" si="12"/>
        <v>N/A</v>
      </c>
      <c r="T193" s="2198"/>
    </row>
    <row r="194" spans="2:20" s="623" customFormat="1" x14ac:dyDescent="0.35">
      <c r="B194" s="3814" t="s">
        <v>2126</v>
      </c>
      <c r="C194" s="1906" t="s">
        <v>2127</v>
      </c>
      <c r="D194" s="1907" t="s">
        <v>3</v>
      </c>
      <c r="E194" s="1739">
        <f t="shared" si="20"/>
        <v>0.8</v>
      </c>
      <c r="F194" s="1291">
        <f t="shared" si="18"/>
        <v>474.48131207385046</v>
      </c>
      <c r="G194" s="1906"/>
      <c r="H194" s="1917" t="str">
        <f>IF(D194="operation",VLOOKUP(G194,'Generic Divertor Port Tasks'!C$4:D$223,2,FALSE),"N/A")</f>
        <v>N/A</v>
      </c>
      <c r="I194" s="1906"/>
      <c r="J194" s="1911"/>
      <c r="K194" s="1911"/>
      <c r="L194" s="1912" t="str">
        <f>IFERROR(INDEX('Lower Hot Cell Logistics'!$I$13:$O$19,MATCH($J194,'Lower Hot Cell Logistics'!$H$13:$H$19,0),MATCH($K194,'Lower Hot Cell Logistics'!$H$13:$H$19,0)),"N/A")</f>
        <v>N/A</v>
      </c>
      <c r="M194" s="1912" t="str">
        <f>IFERROR(VLOOKUP($I194,'Lower Hot Cell Logistics'!$H$4:$I$9,2,FALSE),"N/A")</f>
        <v>N/A</v>
      </c>
      <c r="N194" s="1917" t="str">
        <f t="shared" si="15"/>
        <v>N/A</v>
      </c>
      <c r="O194" s="1916" t="s">
        <v>1828</v>
      </c>
      <c r="P194" s="1917">
        <f>IF($D194="Logistics",VLOOKUP($O194,'Lower Hot Cell Logistics'!$C$4:$D$69,2,FALSE),"N/A")</f>
        <v>0.8</v>
      </c>
      <c r="Q194" s="1916" t="s">
        <v>2128</v>
      </c>
      <c r="R194" s="1917">
        <f>IFERROR(VLOOKUP($Q194,'Lower Hot Cell Dependencies'!$C$5:$F$367,4,FALSE),"N/A")</f>
        <v>467.64501577755408</v>
      </c>
      <c r="S194" s="1917">
        <f t="shared" si="12"/>
        <v>6.0362962962963707</v>
      </c>
    </row>
    <row r="195" spans="2:20" s="623" customFormat="1" x14ac:dyDescent="0.35">
      <c r="B195" s="3815"/>
      <c r="C195" s="1895" t="s">
        <v>702</v>
      </c>
      <c r="D195" s="1896" t="s">
        <v>251</v>
      </c>
      <c r="E195" s="1347">
        <f t="shared" si="20"/>
        <v>1.2166666666666666</v>
      </c>
      <c r="F195" s="1292">
        <f t="shared" si="18"/>
        <v>475.6979787405171</v>
      </c>
      <c r="G195" s="1895" t="s">
        <v>701</v>
      </c>
      <c r="H195" s="1903">
        <f>IF(D195="operation",VLOOKUP(G195,'Generic Divertor Port Tasks'!C$4:D$223,2,FALSE),"N/A")</f>
        <v>1.2166666666666666</v>
      </c>
      <c r="I195" s="1895"/>
      <c r="J195" s="1897"/>
      <c r="K195" s="1897"/>
      <c r="L195" s="1898" t="str">
        <f>IFERROR(INDEX('Lower Hot Cell Logistics'!$I$13:$O$19,MATCH($J195,'Lower Hot Cell Logistics'!$H$13:$H$19,0),MATCH($K195,'Lower Hot Cell Logistics'!$H$13:$H$19,0)),"N/A")</f>
        <v>N/A</v>
      </c>
      <c r="M195" s="1898" t="str">
        <f>IFERROR(VLOOKUP($I195,'Lower Hot Cell Logistics'!$H$4:$I$9,2,FALSE),"N/A")</f>
        <v>N/A</v>
      </c>
      <c r="N195" s="1903" t="str">
        <f t="shared" si="15"/>
        <v>N/A</v>
      </c>
      <c r="O195" s="1902" t="s">
        <v>1828</v>
      </c>
      <c r="P195" s="1903" t="str">
        <f>IF($D195="Logistics",VLOOKUP($O195,'Lower Hot Cell Logistics'!$C$4:$D$69,2,FALSE),"N/A")</f>
        <v>N/A</v>
      </c>
      <c r="Q195" s="1902"/>
      <c r="R195" s="1903" t="str">
        <f>IFERROR(VLOOKUP($Q195,'Lower Hot Cell Dependencies'!$C$5:$F$367,4,FALSE),"N/A")</f>
        <v>N/A</v>
      </c>
      <c r="S195" s="1903" t="str">
        <f t="shared" si="12"/>
        <v>N/A</v>
      </c>
    </row>
    <row r="196" spans="2:20" s="623" customFormat="1" x14ac:dyDescent="0.35">
      <c r="B196" s="3815"/>
      <c r="C196" s="1895" t="s">
        <v>1721</v>
      </c>
      <c r="D196" s="1896" t="s">
        <v>251</v>
      </c>
      <c r="E196" s="1347">
        <f t="shared" si="20"/>
        <v>8.0666666666666682</v>
      </c>
      <c r="F196" s="1292">
        <f t="shared" si="18"/>
        <v>483.76464540718376</v>
      </c>
      <c r="G196" s="1895" t="s">
        <v>2129</v>
      </c>
      <c r="H196" s="1903">
        <f>IF(D196="operation",VLOOKUP(G196,'Generic Divertor Port Tasks'!C$4:D$223,2,FALSE),"N/A")</f>
        <v>8.0666666666666682</v>
      </c>
      <c r="I196" s="1895"/>
      <c r="J196" s="1897"/>
      <c r="K196" s="1897"/>
      <c r="L196" s="1898" t="str">
        <f>IFERROR(INDEX('Lower Hot Cell Logistics'!$I$13:$O$19,MATCH($J196,'Lower Hot Cell Logistics'!$H$13:$H$19,0),MATCH($K196,'Lower Hot Cell Logistics'!$H$13:$H$19,0)),"N/A")</f>
        <v>N/A</v>
      </c>
      <c r="M196" s="1898" t="str">
        <f>IFERROR(VLOOKUP($I196,'Lower Hot Cell Logistics'!$H$4:$I$9,2,FALSE),"N/A")</f>
        <v>N/A</v>
      </c>
      <c r="N196" s="1903" t="str">
        <f t="shared" si="15"/>
        <v>N/A</v>
      </c>
      <c r="O196" s="1902"/>
      <c r="P196" s="1903" t="str">
        <f>IF($D196="Logistics",VLOOKUP($O196,'Lower Hot Cell Logistics'!$C$4:$D$69,2,FALSE),"N/A")</f>
        <v>N/A</v>
      </c>
      <c r="Q196" s="1902"/>
      <c r="R196" s="1903" t="str">
        <f>IFERROR(VLOOKUP($Q196,'Lower Hot Cell Dependencies'!$C$5:$F$367,4,FALSE),"N/A")</f>
        <v>N/A</v>
      </c>
      <c r="S196" s="1903" t="str">
        <f t="shared" si="12"/>
        <v>N/A</v>
      </c>
    </row>
    <row r="197" spans="2:20" s="623" customFormat="1" ht="13.3" thickBot="1" x14ac:dyDescent="0.4">
      <c r="B197" s="3816"/>
      <c r="C197" s="1869" t="s">
        <v>2130</v>
      </c>
      <c r="D197" s="1918" t="s">
        <v>3</v>
      </c>
      <c r="E197" s="1295">
        <f t="shared" si="20"/>
        <v>0.6</v>
      </c>
      <c r="F197" s="1295">
        <f t="shared" si="18"/>
        <v>484.36464540718379</v>
      </c>
      <c r="G197" s="1869"/>
      <c r="H197" s="1922" t="str">
        <f>IF(D197="operation",VLOOKUP(G197,'Generic Divertor Port Tasks'!C$4:D$223,2,FALSE),"N/A")</f>
        <v>N/A</v>
      </c>
      <c r="I197" s="1869"/>
      <c r="J197" s="837"/>
      <c r="K197" s="837"/>
      <c r="L197" s="842" t="str">
        <f>IFERROR(INDEX('Lower Hot Cell Logistics'!$I$13:$O$19,MATCH($J197,'Lower Hot Cell Logistics'!$H$13:$H$19,0),MATCH($K197,'Lower Hot Cell Logistics'!$H$13:$H$19,0)),"N/A")</f>
        <v>N/A</v>
      </c>
      <c r="M197" s="842" t="str">
        <f>IFERROR(VLOOKUP($I197,'Lower Hot Cell Logistics'!$H$4:$I$9,2,FALSE),"N/A")</f>
        <v>N/A</v>
      </c>
      <c r="N197" s="1922" t="str">
        <f t="shared" si="15"/>
        <v>N/A</v>
      </c>
      <c r="O197" s="1921" t="s">
        <v>2008</v>
      </c>
      <c r="P197" s="1922">
        <f>IF($D197="Logistics",VLOOKUP($O197,'Lower Hot Cell Logistics'!$C$4:$D$69,2,FALSE),"N/A")</f>
        <v>0.6</v>
      </c>
      <c r="Q197" s="1921"/>
      <c r="R197" s="1922" t="str">
        <f>IFERROR(VLOOKUP($Q197,'Lower Hot Cell Dependencies'!$C$5:$F$367,4,FALSE),"N/A")</f>
        <v>N/A</v>
      </c>
      <c r="S197" s="1922" t="str">
        <f t="shared" ref="S197:S208" si="21">IFERROR(F196-R197,"N/A")</f>
        <v>N/A</v>
      </c>
    </row>
    <row r="198" spans="2:20" ht="15" customHeight="1" x14ac:dyDescent="0.35">
      <c r="B198" s="3786" t="s">
        <v>596</v>
      </c>
      <c r="C198" s="573" t="s">
        <v>1543</v>
      </c>
      <c r="D198" s="1577" t="s">
        <v>3</v>
      </c>
      <c r="E198" s="574">
        <f t="shared" si="20"/>
        <v>0.8</v>
      </c>
      <c r="F198" s="574">
        <f t="shared" si="18"/>
        <v>485.1646454071838</v>
      </c>
      <c r="G198" s="1131"/>
      <c r="H198" s="1176" t="str">
        <f>IF(D198="operation",VLOOKUP(G198,'Generic Divertor Port Tasks'!C$4:D$223,2,FALSE),"N/A")</f>
        <v>N/A</v>
      </c>
      <c r="I198" s="1131"/>
      <c r="J198" s="573"/>
      <c r="K198" s="573"/>
      <c r="L198" s="853" t="str">
        <f>IFERROR(INDEX('Lower Hot Cell Logistics'!$I$13:$O$19,MATCH($J198,'Lower Hot Cell Logistics'!$H$13:$H$19,0),MATCH($K198,'Lower Hot Cell Logistics'!$H$13:$H$19,0)),"N/A")</f>
        <v>N/A</v>
      </c>
      <c r="M198" s="853" t="str">
        <f>IFERROR(VLOOKUP($I198,'Lower Hot Cell Logistics'!$H$4:$I$9,2,FALSE),"N/A")</f>
        <v>N/A</v>
      </c>
      <c r="N198" s="1176" t="str">
        <f t="shared" si="15"/>
        <v>N/A</v>
      </c>
      <c r="O198" s="1576" t="s">
        <v>1828</v>
      </c>
      <c r="P198" s="1176">
        <f>IF($D198="Logistics",VLOOKUP($O198,'Lower Hot Cell Logistics'!$C$4:$D$69,2,FALSE),"N/A")</f>
        <v>0.8</v>
      </c>
      <c r="Q198" s="1580"/>
      <c r="R198" s="1176" t="str">
        <f>IFERROR(VLOOKUP($Q198,'Lower Hot Cell Dependencies'!$C$5:$F$367,4,FALSE),"N/A")</f>
        <v>N/A</v>
      </c>
      <c r="S198" s="1176" t="str">
        <f t="shared" si="21"/>
        <v>N/A</v>
      </c>
      <c r="T198" s="2198"/>
    </row>
    <row r="199" spans="2:20" ht="14.6" x14ac:dyDescent="0.35">
      <c r="B199" s="3786"/>
      <c r="C199" s="1579" t="s">
        <v>2412</v>
      </c>
      <c r="D199" s="1611" t="s">
        <v>251</v>
      </c>
      <c r="E199" s="626">
        <f t="shared" si="20"/>
        <v>6.7722222222222221</v>
      </c>
      <c r="F199" s="574">
        <f t="shared" si="18"/>
        <v>491.93686762940604</v>
      </c>
      <c r="G199" s="1579" t="s">
        <v>596</v>
      </c>
      <c r="H199" s="1183">
        <f>IF(D199="operation",VLOOKUP(G199,'Generic Divertor Port Tasks'!C$4:D$223,2,FALSE),"N/A")</f>
        <v>6.7722222222222221</v>
      </c>
      <c r="I199" s="1579"/>
      <c r="J199" s="582"/>
      <c r="K199" s="582"/>
      <c r="L199" s="1478" t="str">
        <f>IFERROR(INDEX('Lower Hot Cell Logistics'!$I$13:$O$19,MATCH($J199,'Lower Hot Cell Logistics'!$H$13:$H$19,0),MATCH($K199,'Lower Hot Cell Logistics'!$H$13:$H$19,0)),"N/A")</f>
        <v>N/A</v>
      </c>
      <c r="M199" s="1478" t="str">
        <f>IFERROR(VLOOKUP($I199,'Lower Hot Cell Logistics'!$H$4:$I$9,2,FALSE),"N/A")</f>
        <v>N/A</v>
      </c>
      <c r="N199" s="1183" t="str">
        <f t="shared" si="15"/>
        <v>N/A</v>
      </c>
      <c r="O199" s="1578"/>
      <c r="P199" s="1183" t="str">
        <f>IF($D199="Logistics",VLOOKUP($O199,'Lower Hot Cell Logistics'!$C$4:$D$69,2,FALSE),"N/A")</f>
        <v>N/A</v>
      </c>
      <c r="Q199" s="1578"/>
      <c r="R199" s="1183" t="str">
        <f>IFERROR(VLOOKUP($Q199,'Lower Hot Cell Dependencies'!$C$5:$F$367,4,FALSE),"N/A")</f>
        <v>N/A</v>
      </c>
      <c r="S199" s="1183" t="str">
        <f t="shared" si="21"/>
        <v>N/A</v>
      </c>
      <c r="T199" s="2198"/>
    </row>
    <row r="200" spans="2:20" ht="15" thickBot="1" x14ac:dyDescent="0.4">
      <c r="B200" s="3786"/>
      <c r="C200" s="1579" t="s">
        <v>2131</v>
      </c>
      <c r="D200" s="1611" t="s">
        <v>3</v>
      </c>
      <c r="E200" s="626">
        <f t="shared" si="20"/>
        <v>0.6</v>
      </c>
      <c r="F200" s="626">
        <f t="shared" si="18"/>
        <v>492.53686762940606</v>
      </c>
      <c r="G200" s="1579"/>
      <c r="H200" s="1183" t="str">
        <f>IF(D200="operation",VLOOKUP(G200,'Generic Divertor Port Tasks'!C$4:D$223,2,FALSE),"N/A")</f>
        <v>N/A</v>
      </c>
      <c r="I200" s="1579"/>
      <c r="J200" s="582"/>
      <c r="K200" s="582"/>
      <c r="L200" s="1478" t="str">
        <f>IFERROR(INDEX('Lower Hot Cell Logistics'!$I$13:$O$19,MATCH($J200,'Lower Hot Cell Logistics'!$H$13:$H$19,0),MATCH($K200,'Lower Hot Cell Logistics'!$H$13:$H$19,0)),"N/A")</f>
        <v>N/A</v>
      </c>
      <c r="M200" s="1478" t="str">
        <f>IFERROR(VLOOKUP($I200,'Lower Hot Cell Logistics'!$H$4:$I$9,2,FALSE),"N/A")</f>
        <v>N/A</v>
      </c>
      <c r="N200" s="1183" t="str">
        <f t="shared" si="15"/>
        <v>N/A</v>
      </c>
      <c r="O200" s="1578" t="s">
        <v>2008</v>
      </c>
      <c r="P200" s="1183">
        <f>IF($D200="Logistics",VLOOKUP($O200,'Lower Hot Cell Logistics'!$C$4:$D$69,2,FALSE),"N/A")</f>
        <v>0.6</v>
      </c>
      <c r="Q200" s="1578"/>
      <c r="R200" s="1183" t="str">
        <f>IFERROR(VLOOKUP($Q200,'Lower Hot Cell Dependencies'!$C$5:$F$367,4,FALSE),"N/A")</f>
        <v>N/A</v>
      </c>
      <c r="S200" s="1183" t="str">
        <f t="shared" si="21"/>
        <v>N/A</v>
      </c>
      <c r="T200" s="2198"/>
    </row>
    <row r="201" spans="2:20" x14ac:dyDescent="0.35">
      <c r="B201" s="3814" t="s">
        <v>2132</v>
      </c>
      <c r="C201" s="823" t="s">
        <v>1559</v>
      </c>
      <c r="D201" s="823" t="s">
        <v>3</v>
      </c>
      <c r="E201" s="1291">
        <f t="shared" si="20"/>
        <v>0.8</v>
      </c>
      <c r="F201" s="1291">
        <f t="shared" si="18"/>
        <v>493.33686762940607</v>
      </c>
      <c r="G201" s="823"/>
      <c r="H201" s="1917" t="str">
        <f>IF(D201="operation",VLOOKUP(G201,'Generic Divertor Port Tasks'!C$4:D$223,2,FALSE),"N/A")</f>
        <v>N/A</v>
      </c>
      <c r="I201" s="1906"/>
      <c r="J201" s="1911"/>
      <c r="K201" s="2215"/>
      <c r="L201" s="2216" t="str">
        <f>IFERROR(INDEX('Lower Hot Cell Logistics'!$I$13:$O$19,MATCH($J201,'Lower Hot Cell Logistics'!$H$13:$H$19,0),MATCH($K201,'Lower Hot Cell Logistics'!$H$13:$H$19,0)),"N/A")</f>
        <v>N/A</v>
      </c>
      <c r="M201" s="1912" t="str">
        <f>IFERROR(VLOOKUP($I201,'Lower Hot Cell Logistics'!$H$4:$I$9,2,FALSE),"N/A")</f>
        <v>N/A</v>
      </c>
      <c r="N201" s="1917" t="str">
        <f t="shared" si="15"/>
        <v>N/A</v>
      </c>
      <c r="O201" s="2217" t="s">
        <v>1828</v>
      </c>
      <c r="P201" s="2040">
        <f>IF($D201="Logistics",VLOOKUP($O201,'Lower Hot Cell Logistics'!$C$4:$D$69,2,FALSE),"N/A")</f>
        <v>0.8</v>
      </c>
      <c r="Q201" s="1916" t="s">
        <v>2133</v>
      </c>
      <c r="R201" s="1917">
        <f>IFERROR(VLOOKUP($Q201,'Lower Hot Cell Dependencies'!$C$5:$F$367,4,FALSE),"N/A")</f>
        <v>486.50057133310969</v>
      </c>
      <c r="S201" s="1917">
        <f t="shared" si="21"/>
        <v>6.0362962962963707</v>
      </c>
      <c r="T201" s="1853"/>
    </row>
    <row r="202" spans="2:20" x14ac:dyDescent="0.35">
      <c r="B202" s="3815"/>
      <c r="C202" s="1897" t="s">
        <v>2134</v>
      </c>
      <c r="D202" s="1897" t="s">
        <v>251</v>
      </c>
      <c r="E202" s="1347">
        <f t="shared" si="20"/>
        <v>1.2</v>
      </c>
      <c r="F202" s="1347">
        <f t="shared" si="18"/>
        <v>494.53686762940606</v>
      </c>
      <c r="G202" s="1897" t="s">
        <v>706</v>
      </c>
      <c r="H202" s="1903">
        <f>IF(D202="operation",VLOOKUP(G202,'Generic Divertor Port Tasks'!C$4:D$223,2,FALSE),"N/A")</f>
        <v>1.2</v>
      </c>
      <c r="I202" s="1895"/>
      <c r="J202" s="1897"/>
      <c r="K202" s="2193"/>
      <c r="L202" s="2008" t="str">
        <f>IFERROR(INDEX('Lower Hot Cell Logistics'!$I$13:$O$19,MATCH($J202,'Lower Hot Cell Logistics'!$H$13:$H$19,0),MATCH($K202,'Lower Hot Cell Logistics'!$H$13:$H$19,0)),"N/A")</f>
        <v>N/A</v>
      </c>
      <c r="M202" s="1898" t="str">
        <f>IFERROR(VLOOKUP($I202,'Lower Hot Cell Logistics'!$H$4:$I$9,2,FALSE),"N/A")</f>
        <v>N/A</v>
      </c>
      <c r="N202" s="1903" t="str">
        <f t="shared" si="15"/>
        <v>N/A</v>
      </c>
      <c r="O202" s="1902"/>
      <c r="P202" s="1903" t="str">
        <f>IF($D202="Logistics",VLOOKUP($O202,'Lower Hot Cell Logistics'!$C$4:$D$69,2,FALSE),"N/A")</f>
        <v>N/A</v>
      </c>
      <c r="Q202" s="1902"/>
      <c r="R202" s="1903" t="str">
        <f>IFERROR(VLOOKUP($Q202,'Lower Hot Cell Dependencies'!$C$5:$F$367,4,FALSE),"N/A")</f>
        <v>N/A</v>
      </c>
      <c r="S202" s="1903" t="str">
        <f t="shared" si="21"/>
        <v>N/A</v>
      </c>
      <c r="T202" s="1853"/>
    </row>
    <row r="203" spans="2:20" ht="15" customHeight="1" x14ac:dyDescent="0.35">
      <c r="B203" s="3815"/>
      <c r="C203" s="860" t="s">
        <v>2004</v>
      </c>
      <c r="D203" s="2099" t="s">
        <v>3</v>
      </c>
      <c r="E203" s="1292">
        <f t="shared" si="20"/>
        <v>0.8</v>
      </c>
      <c r="F203" s="1292">
        <f t="shared" si="18"/>
        <v>495.33686762940607</v>
      </c>
      <c r="G203" s="860"/>
      <c r="H203" s="2042" t="str">
        <f>IF(D203="operation",VLOOKUP(G203,'Generic Divertor Port Tasks'!C$4:D$223,2,FALSE),"N/A")</f>
        <v>N/A</v>
      </c>
      <c r="I203" s="2041"/>
      <c r="J203" s="860"/>
      <c r="K203" s="2192"/>
      <c r="L203" s="864" t="str">
        <f>IFERROR(INDEX('Lower Hot Cell Logistics'!$I$13:$O$19,MATCH($J203,'Lower Hot Cell Logistics'!$H$13:$H$19,0),MATCH($K203,'Lower Hot Cell Logistics'!$H$13:$H$19,0)),"N/A")</f>
        <v>N/A</v>
      </c>
      <c r="M203" s="865" t="str">
        <f>IFERROR(VLOOKUP($I203,'Lower Hot Cell Logistics'!$H$4:$I$9,2,FALSE),"N/A")</f>
        <v>N/A</v>
      </c>
      <c r="N203" s="2042" t="str">
        <f t="shared" si="15"/>
        <v>N/A</v>
      </c>
      <c r="O203" s="1725" t="s">
        <v>1828</v>
      </c>
      <c r="P203" s="2042">
        <f>IF($D203="Logistics",VLOOKUP($O203,'Lower Hot Cell Logistics'!$C$4:$D$69,2,FALSE),"N/A")</f>
        <v>0.8</v>
      </c>
      <c r="Q203" s="1725"/>
      <c r="R203" s="2042" t="str">
        <f>IFERROR(VLOOKUP($Q203,'Lower Hot Cell Dependencies'!$C$5:$F$367,4,FALSE),"N/A")</f>
        <v>N/A</v>
      </c>
      <c r="S203" s="2042" t="str">
        <f t="shared" si="21"/>
        <v>N/A</v>
      </c>
      <c r="T203" s="1853"/>
    </row>
    <row r="204" spans="2:20" x14ac:dyDescent="0.35">
      <c r="B204" s="3815"/>
      <c r="C204" s="860" t="s">
        <v>2135</v>
      </c>
      <c r="D204" s="860" t="s">
        <v>251</v>
      </c>
      <c r="E204" s="1292">
        <f t="shared" si="20"/>
        <v>0.3</v>
      </c>
      <c r="F204" s="1292">
        <f t="shared" si="18"/>
        <v>495.63686762940608</v>
      </c>
      <c r="G204" s="860" t="s">
        <v>705</v>
      </c>
      <c r="H204" s="1903">
        <f>IF(D204="operation",VLOOKUP(G204,'Generic Divertor Port Tasks'!C$4:D$223,2,FALSE),"N/A")</f>
        <v>0.3</v>
      </c>
      <c r="I204" s="1895"/>
      <c r="J204" s="1897"/>
      <c r="K204" s="2193"/>
      <c r="L204" s="2008" t="str">
        <f>IFERROR(INDEX('Lower Hot Cell Logistics'!$I$13:$O$19,MATCH($J204,'Lower Hot Cell Logistics'!$H$13:$H$19,0),MATCH($K204,'Lower Hot Cell Logistics'!$H$13:$H$19,0)),"N/A")</f>
        <v>N/A</v>
      </c>
      <c r="M204" s="1898" t="str">
        <f>IFERROR(VLOOKUP($I204,'Lower Hot Cell Logistics'!$H$4:$I$9,2,FALSE),"N/A")</f>
        <v>N/A</v>
      </c>
      <c r="N204" s="1903" t="str">
        <f t="shared" si="15"/>
        <v>N/A</v>
      </c>
      <c r="O204" s="1902"/>
      <c r="P204" s="1903" t="str">
        <f>IF($D204="Logistics",VLOOKUP($O204,'Lower Hot Cell Logistics'!$C$4:$D$69,2,FALSE),"N/A")</f>
        <v>N/A</v>
      </c>
      <c r="Q204" s="1902"/>
      <c r="R204" s="1903" t="str">
        <f>IFERROR(VLOOKUP($Q204,'Lower Hot Cell Dependencies'!$C$5:$F$367,4,FALSE),"N/A")</f>
        <v>N/A</v>
      </c>
      <c r="S204" s="1903" t="str">
        <f t="shared" si="21"/>
        <v>N/A</v>
      </c>
      <c r="T204" s="1853"/>
    </row>
    <row r="205" spans="2:20" ht="13.3" thickBot="1" x14ac:dyDescent="0.4">
      <c r="B205" s="3816"/>
      <c r="C205" s="837" t="s">
        <v>2007</v>
      </c>
      <c r="D205" s="837" t="s">
        <v>3</v>
      </c>
      <c r="E205" s="1295">
        <f t="shared" si="20"/>
        <v>0.6</v>
      </c>
      <c r="F205" s="1295">
        <f t="shared" si="18"/>
        <v>496.23686762940611</v>
      </c>
      <c r="G205" s="837"/>
      <c r="H205" s="1922" t="str">
        <f>IF(D205="operation",VLOOKUP(G205,'Generic Divertor Port Tasks'!C$4:D$223,2,FALSE),"N/A")</f>
        <v>N/A</v>
      </c>
      <c r="I205" s="1869"/>
      <c r="J205" s="837"/>
      <c r="K205" s="2204"/>
      <c r="L205" s="841" t="str">
        <f>IFERROR(INDEX('Lower Hot Cell Logistics'!$I$13:$O$19,MATCH($J205,'Lower Hot Cell Logistics'!$H$13:$H$19,0),MATCH($K205,'Lower Hot Cell Logistics'!$H$13:$H$19,0)),"N/A")</f>
        <v>N/A</v>
      </c>
      <c r="M205" s="842" t="str">
        <f>IFERROR(VLOOKUP($I205,'Lower Hot Cell Logistics'!$H$4:$I$9,2,FALSE),"N/A")</f>
        <v>N/A</v>
      </c>
      <c r="N205" s="1922" t="str">
        <f t="shared" si="15"/>
        <v>N/A</v>
      </c>
      <c r="O205" s="1921" t="s">
        <v>2008</v>
      </c>
      <c r="P205" s="1922">
        <f>IF($D205="Logistics",VLOOKUP($O205,'Lower Hot Cell Logistics'!$C$4:$D$69,2,FALSE),"N/A")</f>
        <v>0.6</v>
      </c>
      <c r="Q205" s="1921"/>
      <c r="R205" s="1922" t="str">
        <f>IFERROR(VLOOKUP($Q205,'Lower Hot Cell Dependencies'!$C$5:$F$367,4,FALSE),"N/A")</f>
        <v>N/A</v>
      </c>
      <c r="S205" s="1922" t="str">
        <f t="shared" si="21"/>
        <v>N/A</v>
      </c>
      <c r="T205" s="1853"/>
    </row>
    <row r="206" spans="2:20" x14ac:dyDescent="0.35">
      <c r="B206" s="3787" t="s">
        <v>276</v>
      </c>
      <c r="C206" s="803" t="s">
        <v>1534</v>
      </c>
      <c r="D206" s="1574" t="s">
        <v>3</v>
      </c>
      <c r="E206" s="567">
        <f t="shared" si="20"/>
        <v>0.58000000000000007</v>
      </c>
      <c r="F206" s="1621">
        <f t="shared" si="18"/>
        <v>496.81686762940609</v>
      </c>
      <c r="G206" s="803"/>
      <c r="H206" s="1575" t="str">
        <f>IF(D206="operation",VLOOKUP(G206,'Generic Divertor Port Tasks'!C$4:D$223,2,FALSE),"N/A")</f>
        <v>N/A</v>
      </c>
      <c r="I206" s="803"/>
      <c r="J206" s="566"/>
      <c r="K206" s="566"/>
      <c r="L206" s="570" t="str">
        <f>IFERROR(INDEX('Lower Hot Cell Logistics'!$I$13:$O$19,MATCH($J206,'Lower Hot Cell Logistics'!$H$13:$H$19,0),MATCH($K206,'Lower Hot Cell Logistics'!$H$13:$H$19,0)),"N/A")</f>
        <v>N/A</v>
      </c>
      <c r="M206" s="570" t="str">
        <f>IFERROR(VLOOKUP($I206,'Lower Hot Cell Logistics'!$H$4:$I$9,2,FALSE),"N/A")</f>
        <v>N/A</v>
      </c>
      <c r="N206" s="1575" t="str">
        <f t="shared" si="15"/>
        <v>N/A</v>
      </c>
      <c r="O206" s="1576" t="s">
        <v>796</v>
      </c>
      <c r="P206" s="1575">
        <f>IF($D206="Logistics",VLOOKUP($O206,'Lower Hot Cell Logistics'!$C$4:$D$69,2,FALSE),"N/A")</f>
        <v>0.58000000000000007</v>
      </c>
      <c r="Q206" s="1576" t="s">
        <v>2136</v>
      </c>
      <c r="R206" s="1575">
        <f>IFERROR(VLOOKUP($Q206,'Lower Hot Cell Dependencies'!$C$5:$F$367,4,FALSE),"N/A")</f>
        <v>495.48427503681341</v>
      </c>
      <c r="S206" s="1575">
        <f t="shared" si="21"/>
        <v>0.75259259259269129</v>
      </c>
    </row>
    <row r="207" spans="2:20" ht="25.75" x14ac:dyDescent="0.35">
      <c r="B207" s="3786"/>
      <c r="C207" s="1131" t="s">
        <v>1999</v>
      </c>
      <c r="D207" s="1577" t="s">
        <v>778</v>
      </c>
      <c r="E207" s="626">
        <f t="shared" si="20"/>
        <v>0.23148148148148148</v>
      </c>
      <c r="F207" s="626">
        <f t="shared" si="18"/>
        <v>497.04834911088756</v>
      </c>
      <c r="G207" s="1579"/>
      <c r="H207" s="1183" t="str">
        <f>IF(D207="operation",VLOOKUP(G207,'Generic Divertor Port Tasks'!C$4:D$223,2,FALSE),"N/A")</f>
        <v>N/A</v>
      </c>
      <c r="I207" s="1579" t="s">
        <v>2137</v>
      </c>
      <c r="J207" s="582" t="s">
        <v>799</v>
      </c>
      <c r="K207" s="582" t="s">
        <v>451</v>
      </c>
      <c r="L207" s="1478">
        <f>IFERROR(INDEX('Lower Hot Cell Logistics'!$I$13:$O$19,MATCH($J207,'Lower Hot Cell Logistics'!$H$13:$H$19,0),MATCH($K207,'Lower Hot Cell Logistics'!$H$13:$H$19,0)),"N/A")</f>
        <v>50</v>
      </c>
      <c r="M207" s="1478">
        <f>IFERROR(VLOOKUP($I207,'Lower Hot Cell Logistics'!$H$4:$I$9,2,FALSE),"N/A")</f>
        <v>0.06</v>
      </c>
      <c r="N207" s="1183">
        <f>IF(D207="Movement",IFERROR((L207/M207)/(60*60),"Error"),"N/A")</f>
        <v>0.23148148148148148</v>
      </c>
      <c r="O207" s="1578"/>
      <c r="P207" s="1183" t="str">
        <f>IF($D207="Logistics",VLOOKUP($O207,'Lower Hot Cell Logistics'!$C$4:$D$69,2,FALSE),"N/A")</f>
        <v>N/A</v>
      </c>
      <c r="Q207" s="1578"/>
      <c r="R207" s="1183" t="str">
        <f>IFERROR(VLOOKUP($Q207,'Lower Hot Cell Dependencies'!$C$5:$F$367,4,FALSE),"N/A")</f>
        <v>N/A</v>
      </c>
      <c r="S207" s="1183" t="str">
        <f t="shared" si="21"/>
        <v>N/A</v>
      </c>
    </row>
    <row r="208" spans="2:20" ht="13.3" thickBot="1" x14ac:dyDescent="0.4">
      <c r="B208" s="3788"/>
      <c r="C208" s="1136" t="s">
        <v>1723</v>
      </c>
      <c r="D208" s="1581" t="s">
        <v>251</v>
      </c>
      <c r="E208" s="585">
        <f t="shared" si="20"/>
        <v>0.89999999999999991</v>
      </c>
      <c r="F208" s="585">
        <f t="shared" si="18"/>
        <v>497.94834911088753</v>
      </c>
      <c r="G208" s="1136" t="s">
        <v>276</v>
      </c>
      <c r="H208" s="1179">
        <f>IF(D208="operation",VLOOKUP(G208,'Generic Divertor Port Tasks'!C$4:D$223,2,FALSE),"N/A")</f>
        <v>0.89999999999999991</v>
      </c>
      <c r="I208" s="1136"/>
      <c r="J208" s="584"/>
      <c r="K208" s="584"/>
      <c r="L208" s="814" t="str">
        <f>IFERROR(INDEX('Lower Hot Cell Logistics'!$I$13:$O$19,MATCH($J208,'Lower Hot Cell Logistics'!$H$13:$H$19,0),MATCH($K208,'Lower Hot Cell Logistics'!$H$13:$H$19,0)),"N/A")</f>
        <v>N/A</v>
      </c>
      <c r="M208" s="814" t="str">
        <f>IFERROR(VLOOKUP($I208,'Lower Hot Cell Logistics'!$H$4:$I$9,2,FALSE),"N/A")</f>
        <v>N/A</v>
      </c>
      <c r="N208" s="1179" t="str">
        <f t="shared" si="15"/>
        <v>N/A</v>
      </c>
      <c r="O208" s="1582"/>
      <c r="P208" s="1179" t="str">
        <f>IF($D208="Logistics",VLOOKUP($O208,'Lower Hot Cell Logistics'!$C$4:$D$69,2,FALSE),"N/A")</f>
        <v>N/A</v>
      </c>
      <c r="Q208" s="1582"/>
      <c r="R208" s="1179" t="str">
        <f>IFERROR(VLOOKUP($Q208,'Lower Hot Cell Dependencies'!$C$5:$F$367,4,FALSE),"N/A")</f>
        <v>N/A</v>
      </c>
      <c r="S208" s="1179" t="str">
        <f t="shared" si="21"/>
        <v>N/A</v>
      </c>
    </row>
    <row r="209" spans="2:19" x14ac:dyDescent="0.35">
      <c r="B209" s="3800" t="s">
        <v>1724</v>
      </c>
      <c r="C209" s="1647" t="s">
        <v>850</v>
      </c>
      <c r="D209" s="1647"/>
      <c r="E209" s="1647"/>
      <c r="F209" s="1648">
        <f>SUM(E110:E118)+SUM(E150:E208)</f>
        <v>172.17443118669348</v>
      </c>
      <c r="G209" s="1649"/>
      <c r="H209" s="1649"/>
      <c r="I209" s="1649"/>
      <c r="J209" s="1649"/>
      <c r="K209" s="1649"/>
      <c r="L209" s="1649"/>
      <c r="M209" s="1649"/>
      <c r="N209" s="1649"/>
      <c r="O209" s="1649"/>
      <c r="P209" s="1650"/>
      <c r="Q209" s="1650"/>
      <c r="R209" s="1650"/>
      <c r="S209" s="1650"/>
    </row>
    <row r="210" spans="2:19" x14ac:dyDescent="0.35">
      <c r="B210" s="3800"/>
      <c r="C210" s="1649" t="s">
        <v>851</v>
      </c>
      <c r="D210" s="1649"/>
      <c r="E210" s="1649"/>
      <c r="F210" s="1652">
        <f>SUMIF($D$150:$D$208,"Operation",$E$150:$E$208)+SUMIF($D$110:$D$118,"Operation",$E$110:$E$118)</f>
        <v>142.90850526076758</v>
      </c>
      <c r="G210" s="1653">
        <f>F210/F209</f>
        <v>0.83002164883476781</v>
      </c>
      <c r="H210" s="1653"/>
      <c r="I210" s="1647"/>
      <c r="J210" s="1647"/>
      <c r="K210" s="1647"/>
      <c r="L210" s="1647"/>
      <c r="M210" s="1647"/>
      <c r="N210" s="1647"/>
      <c r="O210" s="1647"/>
      <c r="P210" s="1654"/>
      <c r="Q210" s="1654"/>
      <c r="R210" s="1654"/>
      <c r="S210" s="1654"/>
    </row>
    <row r="211" spans="2:19" x14ac:dyDescent="0.35">
      <c r="B211" s="3800"/>
      <c r="C211" s="1649" t="s">
        <v>852</v>
      </c>
      <c r="D211" s="1649"/>
      <c r="E211" s="1649"/>
      <c r="F211" s="1652">
        <f>SUMIF($D$150:$D$208,"Logistics",$E$150:$E$208)+SUMIF($D$110:$D$118,"Logistics",$E$110:$E$118)</f>
        <v>28.340000000000018</v>
      </c>
      <c r="G211" s="1653">
        <f>F211/F209</f>
        <v>0.16460051474931359</v>
      </c>
      <c r="H211" s="1653"/>
      <c r="I211" s="1649"/>
      <c r="J211" s="1649"/>
      <c r="K211" s="1649"/>
      <c r="L211" s="1649"/>
      <c r="M211" s="1649"/>
      <c r="N211" s="1649"/>
      <c r="O211" s="1649"/>
      <c r="P211" s="1650"/>
      <c r="Q211" s="1650"/>
      <c r="R211" s="1650"/>
      <c r="S211" s="1650"/>
    </row>
    <row r="212" spans="2:19" ht="13.3" thickBot="1" x14ac:dyDescent="0.4">
      <c r="B212" s="3801"/>
      <c r="C212" s="1673" t="s">
        <v>853</v>
      </c>
      <c r="D212" s="1673"/>
      <c r="E212" s="1673"/>
      <c r="F212" s="1674">
        <f>SUMIF($D$150:$D$208,"Movement",$E$150:$E$208)+SUMIF($D$110:$D$118,"Movement",$E$110:$E$118)</f>
        <v>0.92592592592592593</v>
      </c>
      <c r="G212" s="1675">
        <f>F212/F209</f>
        <v>5.3778364159189169E-3</v>
      </c>
      <c r="H212" s="1675"/>
      <c r="I212" s="1673"/>
      <c r="J212" s="1673"/>
      <c r="K212" s="1673"/>
      <c r="L212" s="1673"/>
      <c r="M212" s="1673"/>
      <c r="N212" s="1673"/>
      <c r="O212" s="1673"/>
      <c r="P212" s="1676"/>
      <c r="Q212" s="1676"/>
      <c r="R212" s="1676"/>
      <c r="S212" s="1676"/>
    </row>
    <row r="213" spans="2:19" x14ac:dyDescent="0.35">
      <c r="B213" s="3806" t="s">
        <v>1725</v>
      </c>
      <c r="C213" s="1296" t="s">
        <v>850</v>
      </c>
      <c r="D213" s="1296"/>
      <c r="E213" s="1296"/>
      <c r="F213" s="1297">
        <f>F208</f>
        <v>497.94834911088753</v>
      </c>
      <c r="G213" s="1298"/>
      <c r="H213" s="1298"/>
      <c r="I213" s="1298"/>
      <c r="J213" s="1298"/>
      <c r="K213" s="1298"/>
      <c r="L213" s="1298"/>
      <c r="M213" s="1298"/>
      <c r="N213" s="1298"/>
      <c r="O213" s="1298"/>
      <c r="P213" s="1678"/>
      <c r="Q213" s="1678"/>
      <c r="R213" s="1678"/>
      <c r="S213" s="1678"/>
    </row>
    <row r="214" spans="2:19" x14ac:dyDescent="0.35">
      <c r="B214" s="3806"/>
      <c r="C214" s="1298" t="s">
        <v>851</v>
      </c>
      <c r="D214" s="1298"/>
      <c r="E214" s="1298"/>
      <c r="F214" s="1299">
        <f>SUMIF(D110:D208,"Operation",E110:E208)</f>
        <v>453.84686762940555</v>
      </c>
      <c r="G214" s="1300">
        <f>F214/F213</f>
        <v>0.91143362246259585</v>
      </c>
      <c r="H214" s="1300"/>
      <c r="I214" s="1296"/>
      <c r="J214" s="1296"/>
      <c r="K214" s="1296"/>
      <c r="L214" s="1296"/>
      <c r="M214" s="1296"/>
      <c r="N214" s="1296"/>
      <c r="O214" s="1296"/>
      <c r="P214" s="1679"/>
      <c r="Q214" s="1679"/>
      <c r="R214" s="1679"/>
      <c r="S214" s="1679"/>
    </row>
    <row r="215" spans="2:19" x14ac:dyDescent="0.35">
      <c r="B215" s="3806"/>
      <c r="C215" s="1298" t="s">
        <v>852</v>
      </c>
      <c r="D215" s="1298"/>
      <c r="E215" s="1298"/>
      <c r="F215" s="1299">
        <f>SUMIF(D110:D208,"Logistics",E110:E208)</f>
        <v>43.13</v>
      </c>
      <c r="G215" s="1300">
        <f>F215/F213</f>
        <v>8.6615409162437915E-2</v>
      </c>
      <c r="H215" s="1300"/>
      <c r="I215" s="1298"/>
      <c r="J215" s="1298"/>
      <c r="K215" s="1298"/>
      <c r="L215" s="1298"/>
      <c r="M215" s="1298"/>
      <c r="N215" s="1298"/>
      <c r="O215" s="1298"/>
      <c r="P215" s="1678"/>
      <c r="Q215" s="1678"/>
      <c r="R215" s="1678"/>
      <c r="S215" s="1678"/>
    </row>
    <row r="216" spans="2:19" ht="13.3" thickBot="1" x14ac:dyDescent="0.4">
      <c r="B216" s="3806"/>
      <c r="C216" s="1298" t="s">
        <v>853</v>
      </c>
      <c r="D216" s="1298"/>
      <c r="E216" s="1298"/>
      <c r="F216" s="1299">
        <f>SUMIF(D110:D208,"Movement",E110:E208)</f>
        <v>0.92592592592592593</v>
      </c>
      <c r="G216" s="1300">
        <f>F216/F213</f>
        <v>1.8594818671037155E-3</v>
      </c>
      <c r="H216" s="1300"/>
      <c r="I216" s="1298"/>
      <c r="J216" s="1298"/>
      <c r="K216" s="1298"/>
      <c r="L216" s="1298"/>
      <c r="M216" s="1298"/>
      <c r="N216" s="1298"/>
      <c r="O216" s="1298"/>
      <c r="P216" s="1678"/>
      <c r="Q216" s="1678"/>
      <c r="R216" s="1678"/>
      <c r="S216" s="1678"/>
    </row>
    <row r="217" spans="2:19" x14ac:dyDescent="0.35">
      <c r="B217" s="3808" t="s">
        <v>1726</v>
      </c>
      <c r="C217" s="1680" t="s">
        <v>850</v>
      </c>
      <c r="D217" s="1680"/>
      <c r="E217" s="1680"/>
      <c r="F217" s="1681">
        <f>F209+F74</f>
        <v>305.54234538966546</v>
      </c>
      <c r="G217" s="1682"/>
      <c r="H217" s="1683"/>
      <c r="I217" s="1682"/>
      <c r="J217" s="1682"/>
      <c r="K217" s="1682"/>
      <c r="L217" s="1682"/>
      <c r="M217" s="1682"/>
      <c r="N217" s="1682"/>
      <c r="O217" s="1682"/>
      <c r="P217" s="1684"/>
      <c r="Q217" s="1684"/>
      <c r="R217" s="1684"/>
      <c r="S217" s="1684"/>
    </row>
    <row r="218" spans="2:19" x14ac:dyDescent="0.35">
      <c r="B218" s="3809"/>
      <c r="C218" s="1686" t="s">
        <v>851</v>
      </c>
      <c r="D218" s="1686"/>
      <c r="E218" s="1686"/>
      <c r="F218" s="1687">
        <f>F210+F75</f>
        <v>244.42857100967004</v>
      </c>
      <c r="G218" s="1688">
        <f>F218/F217</f>
        <v>0.79998263644256717</v>
      </c>
      <c r="H218" s="1689"/>
      <c r="I218" s="1690"/>
      <c r="J218" s="1690"/>
      <c r="K218" s="1690"/>
      <c r="L218" s="1690"/>
      <c r="M218" s="1690"/>
      <c r="N218" s="1690"/>
      <c r="O218" s="1690"/>
      <c r="P218" s="1691"/>
      <c r="Q218" s="1691"/>
      <c r="R218" s="1691"/>
      <c r="S218" s="1691"/>
    </row>
    <row r="219" spans="2:19" x14ac:dyDescent="0.35">
      <c r="B219" s="3809"/>
      <c r="C219" s="1686" t="s">
        <v>852</v>
      </c>
      <c r="D219" s="1686"/>
      <c r="E219" s="1686"/>
      <c r="F219" s="1687">
        <f>F211+F76</f>
        <v>58.010000000000034</v>
      </c>
      <c r="G219" s="1688">
        <f>F219/F217</f>
        <v>0.1898591173214256</v>
      </c>
      <c r="H219" s="1689"/>
      <c r="I219" s="1686"/>
      <c r="J219" s="1686"/>
      <c r="K219" s="1686"/>
      <c r="L219" s="1686"/>
      <c r="M219" s="1686"/>
      <c r="N219" s="1686"/>
      <c r="O219" s="1686"/>
      <c r="P219" s="1693"/>
      <c r="Q219" s="1693"/>
      <c r="R219" s="1693"/>
      <c r="S219" s="1693"/>
    </row>
    <row r="220" spans="2:19" ht="13.3" thickBot="1" x14ac:dyDescent="0.4">
      <c r="B220" s="3810"/>
      <c r="C220" s="1694" t="s">
        <v>853</v>
      </c>
      <c r="D220" s="1694"/>
      <c r="E220" s="1694"/>
      <c r="F220" s="1695">
        <f>F212+F77</f>
        <v>1.574074074074074</v>
      </c>
      <c r="G220" s="1696">
        <f>F220/F217</f>
        <v>5.1517378779907565E-3</v>
      </c>
      <c r="H220" s="1696"/>
      <c r="I220" s="1697"/>
      <c r="J220" s="1694"/>
      <c r="K220" s="1694"/>
      <c r="L220" s="1694"/>
      <c r="M220" s="1694"/>
      <c r="N220" s="1694"/>
      <c r="O220" s="1694"/>
      <c r="P220" s="1698"/>
      <c r="Q220" s="1698"/>
      <c r="R220" s="1698"/>
      <c r="S220" s="1698"/>
    </row>
    <row r="221" spans="2:19" x14ac:dyDescent="0.35">
      <c r="B221" s="3811" t="s">
        <v>1727</v>
      </c>
      <c r="C221" s="1700" t="s">
        <v>850</v>
      </c>
      <c r="D221" s="1700"/>
      <c r="E221" s="1700"/>
      <c r="F221" s="1701">
        <f>F213+F106</f>
        <v>662.24303406967135</v>
      </c>
      <c r="G221" s="1702"/>
      <c r="H221" s="1703"/>
      <c r="I221" s="1702"/>
      <c r="J221" s="1702"/>
      <c r="K221" s="1702"/>
      <c r="L221" s="1702"/>
      <c r="M221" s="1702"/>
      <c r="N221" s="1702"/>
      <c r="O221" s="1702"/>
      <c r="P221" s="1704"/>
      <c r="Q221" s="1704"/>
      <c r="R221" s="1704"/>
      <c r="S221" s="1704"/>
    </row>
    <row r="222" spans="2:19" x14ac:dyDescent="0.35">
      <c r="B222" s="3812"/>
      <c r="C222" s="1706" t="s">
        <v>851</v>
      </c>
      <c r="D222" s="1706"/>
      <c r="E222" s="1706"/>
      <c r="F222" s="1707">
        <f>F214+F107</f>
        <v>574.20111154152721</v>
      </c>
      <c r="G222" s="1708">
        <f>F222/F221</f>
        <v>0.86705496623029532</v>
      </c>
      <c r="H222" s="1709"/>
      <c r="I222" s="1710"/>
      <c r="J222" s="1710"/>
      <c r="K222" s="1710"/>
      <c r="L222" s="1710"/>
      <c r="M222" s="1710"/>
      <c r="N222" s="1710"/>
      <c r="O222" s="1710"/>
      <c r="P222" s="1711"/>
      <c r="Q222" s="1711"/>
      <c r="R222" s="1711"/>
      <c r="S222" s="1711"/>
    </row>
    <row r="223" spans="2:19" x14ac:dyDescent="0.35">
      <c r="B223" s="3812"/>
      <c r="C223" s="1706" t="s">
        <v>852</v>
      </c>
      <c r="D223" s="1706"/>
      <c r="E223" s="1706"/>
      <c r="F223" s="1707">
        <f>F215+F108</f>
        <v>84.120000000000033</v>
      </c>
      <c r="G223" s="1708">
        <f>F223/F221</f>
        <v>0.12702285365398072</v>
      </c>
      <c r="H223" s="1709"/>
      <c r="I223" s="1706"/>
      <c r="J223" s="1706"/>
      <c r="K223" s="1706"/>
      <c r="L223" s="1706"/>
      <c r="M223" s="1706"/>
      <c r="N223" s="1706"/>
      <c r="O223" s="1706"/>
      <c r="P223" s="1713"/>
      <c r="Q223" s="1713"/>
      <c r="R223" s="1713"/>
      <c r="S223" s="1713"/>
    </row>
    <row r="224" spans="2:19" ht="13.3" thickBot="1" x14ac:dyDescent="0.4">
      <c r="B224" s="3813"/>
      <c r="C224" s="1714" t="s">
        <v>853</v>
      </c>
      <c r="D224" s="1714"/>
      <c r="E224" s="1714"/>
      <c r="F224" s="1715">
        <f>F216+F109</f>
        <v>1.574074074074074</v>
      </c>
      <c r="G224" s="1716">
        <f>F224/F221</f>
        <v>2.3768827954307684E-3</v>
      </c>
      <c r="H224" s="1716"/>
      <c r="I224" s="1715"/>
      <c r="J224" s="1714"/>
      <c r="K224" s="1714"/>
      <c r="L224" s="1714"/>
      <c r="M224" s="1714"/>
      <c r="N224" s="1714"/>
      <c r="O224" s="1714"/>
      <c r="P224" s="1717"/>
      <c r="Q224" s="1717"/>
      <c r="R224" s="1717"/>
      <c r="S224" s="1717"/>
    </row>
    <row r="226" spans="6:16" x14ac:dyDescent="0.35">
      <c r="P226" s="88"/>
    </row>
    <row r="227" spans="6:16" x14ac:dyDescent="0.35">
      <c r="F227" s="555"/>
      <c r="G227" s="555"/>
      <c r="P227" s="88"/>
    </row>
    <row r="229" spans="6:16" x14ac:dyDescent="0.35">
      <c r="F229" s="555"/>
      <c r="O229" s="1719"/>
    </row>
    <row r="230" spans="6:16" x14ac:dyDescent="0.35">
      <c r="G230" s="555"/>
      <c r="O230" s="1719"/>
    </row>
  </sheetData>
  <autoFilter ref="C6:P224"/>
  <customSheetViews>
    <customSheetView guid="{9C0AA20B-B2A2-4A2C-B279-4A5988F4E71A}" scale="70" showAutoFilter="1" hiddenColumns="1" state="hidden">
      <selection activeCell="Q20" sqref="Q20"/>
      <pageMargins left="0.7" right="0.7" top="0.75" bottom="0.75" header="0.3" footer="0.3"/>
      <pageSetup paperSize="9" orientation="portrait" verticalDpi="0" r:id="rId1"/>
      <autoFilter ref="C6:P99"/>
    </customSheetView>
  </customSheetViews>
  <mergeCells count="43">
    <mergeCell ref="B217:B220"/>
    <mergeCell ref="B221:B224"/>
    <mergeCell ref="B194:B197"/>
    <mergeCell ref="B198:B200"/>
    <mergeCell ref="B201:B205"/>
    <mergeCell ref="B206:B208"/>
    <mergeCell ref="B209:B212"/>
    <mergeCell ref="B213:B216"/>
    <mergeCell ref="B191:B193"/>
    <mergeCell ref="B119:B126"/>
    <mergeCell ref="B127:B131"/>
    <mergeCell ref="B132:B149"/>
    <mergeCell ref="B150:B152"/>
    <mergeCell ref="B153:B155"/>
    <mergeCell ref="B156:B158"/>
    <mergeCell ref="B159:B173"/>
    <mergeCell ref="B174:B176"/>
    <mergeCell ref="B177:B182"/>
    <mergeCell ref="B183:B185"/>
    <mergeCell ref="B186:B190"/>
    <mergeCell ref="B28:B33"/>
    <mergeCell ref="B39:B41"/>
    <mergeCell ref="G5:H5"/>
    <mergeCell ref="B34:B38"/>
    <mergeCell ref="B110:B118"/>
    <mergeCell ref="B42:B46"/>
    <mergeCell ref="B47:B49"/>
    <mergeCell ref="B50:B61"/>
    <mergeCell ref="B62:B67"/>
    <mergeCell ref="B68:B70"/>
    <mergeCell ref="B71:B73"/>
    <mergeCell ref="B74:B77"/>
    <mergeCell ref="B78:B92"/>
    <mergeCell ref="B93:B99"/>
    <mergeCell ref="B100:B105"/>
    <mergeCell ref="B106:B109"/>
    <mergeCell ref="I5:N5"/>
    <mergeCell ref="O5:P5"/>
    <mergeCell ref="Q5:S5"/>
    <mergeCell ref="B13:B18"/>
    <mergeCell ref="B25:B27"/>
    <mergeCell ref="B7:B12"/>
    <mergeCell ref="B19:B24"/>
  </mergeCells>
  <conditionalFormatting sqref="D1:D1048576">
    <cfRule type="cellIs" dxfId="3844" priority="3" stopIfTrue="1" operator="equal">
      <formula>"Total"</formula>
    </cfRule>
    <cfRule type="cellIs" dxfId="3843" priority="4" stopIfTrue="1" operator="equal">
      <formula>"Operation"</formula>
    </cfRule>
  </conditionalFormatting>
  <conditionalFormatting sqref="Q1:S1048576">
    <cfRule type="cellIs" dxfId="3842" priority="2" stopIfTrue="1" operator="lessThan">
      <formula>0</formula>
    </cfRule>
  </conditionalFormatting>
  <conditionalFormatting sqref="G1:S1048576">
    <cfRule type="cellIs" dxfId="3841" priority="1" stopIfTrue="1" operator="equal">
      <formula>"N/A"</formula>
    </cfRule>
  </conditionalFormatting>
  <pageMargins left="0.7" right="0.7" top="0.75" bottom="0.75" header="0.3" footer="0.3"/>
  <pageSetup paperSize="9" orientation="portrait"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7" tint="-0.249977111117893"/>
  </sheetPr>
  <dimension ref="B1:O72"/>
  <sheetViews>
    <sheetView workbookViewId="0">
      <selection activeCell="Q20" sqref="Q20"/>
    </sheetView>
  </sheetViews>
  <sheetFormatPr defaultRowHeight="14.6" x14ac:dyDescent="0.4"/>
  <cols>
    <col min="2" max="2" width="24.3828125" bestFit="1" customWidth="1"/>
    <col min="3" max="3" width="46.304687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15" ht="15" thickBot="1" x14ac:dyDescent="0.45"/>
    <row r="2" spans="2:15" ht="21" thickBot="1" x14ac:dyDescent="0.6">
      <c r="B2" s="3826" t="s">
        <v>1000</v>
      </c>
      <c r="C2" s="3827"/>
      <c r="D2" s="3828"/>
      <c r="H2" s="3684" t="s">
        <v>1001</v>
      </c>
      <c r="I2" s="3686"/>
    </row>
    <row r="3" spans="2:15" ht="15" thickBot="1" x14ac:dyDescent="0.45">
      <c r="B3" s="650" t="s">
        <v>781</v>
      </c>
      <c r="C3" s="4" t="s">
        <v>1002</v>
      </c>
      <c r="D3" s="1" t="s">
        <v>2</v>
      </c>
      <c r="H3" s="650" t="s">
        <v>786</v>
      </c>
      <c r="I3" s="1" t="s">
        <v>790</v>
      </c>
    </row>
    <row r="4" spans="2:15" ht="15" thickBot="1" x14ac:dyDescent="0.45">
      <c r="B4" s="651" t="s">
        <v>1003</v>
      </c>
      <c r="C4" s="652" t="str">
        <f>B4</f>
        <v>Deploy Equipment</v>
      </c>
      <c r="D4" s="653">
        <v>0</v>
      </c>
      <c r="H4" s="654" t="s">
        <v>1826</v>
      </c>
      <c r="I4" s="655">
        <f>loaded_hardware_transporter_spd</f>
        <v>0.02</v>
      </c>
    </row>
    <row r="5" spans="2:15" x14ac:dyDescent="0.4">
      <c r="B5" s="3829" t="s">
        <v>796</v>
      </c>
      <c r="C5" s="656" t="s">
        <v>1004</v>
      </c>
      <c r="D5" s="655">
        <v>0.28000000000000003</v>
      </c>
      <c r="H5" s="2" t="s">
        <v>2237</v>
      </c>
      <c r="I5" s="657">
        <f>unloaded_hardware_transporter_spd</f>
        <v>0.2</v>
      </c>
    </row>
    <row r="6" spans="2:15" x14ac:dyDescent="0.4">
      <c r="B6" s="3830"/>
      <c r="C6" s="289"/>
      <c r="D6" s="658"/>
      <c r="H6" s="2" t="s">
        <v>2238</v>
      </c>
      <c r="I6" s="657">
        <f>empty_hardware_transporter_spd</f>
        <v>0.06</v>
      </c>
    </row>
    <row r="7" spans="2:15" x14ac:dyDescent="0.4">
      <c r="B7" s="3830"/>
      <c r="C7" s="289" t="s">
        <v>1005</v>
      </c>
      <c r="D7" s="658">
        <v>0.2</v>
      </c>
      <c r="H7" s="2" t="s">
        <v>12</v>
      </c>
      <c r="I7" s="657">
        <f>MFM_deployment_spd</f>
        <v>0.02</v>
      </c>
    </row>
    <row r="8" spans="2:15" ht="15" thickBot="1" x14ac:dyDescent="0.45">
      <c r="B8" s="3831"/>
      <c r="C8" s="659" t="s">
        <v>1006</v>
      </c>
      <c r="D8" s="657">
        <v>0.1</v>
      </c>
      <c r="H8" s="2" t="s">
        <v>815</v>
      </c>
      <c r="I8" s="657">
        <v>0.02</v>
      </c>
    </row>
    <row r="9" spans="2:15" ht="15" thickBot="1" x14ac:dyDescent="0.45">
      <c r="B9" s="3832"/>
      <c r="C9" s="652" t="str">
        <f>B5</f>
        <v>Collect interface hardware</v>
      </c>
      <c r="D9" s="653">
        <f>SUM(D5:D8)</f>
        <v>0.58000000000000007</v>
      </c>
      <c r="H9" s="3" t="s">
        <v>897</v>
      </c>
      <c r="I9" s="662">
        <v>0.02</v>
      </c>
    </row>
    <row r="10" spans="2:15" ht="18.45" x14ac:dyDescent="0.5">
      <c r="B10" s="3833" t="s">
        <v>2168</v>
      </c>
      <c r="C10" s="656" t="s">
        <v>1004</v>
      </c>
      <c r="D10" s="655">
        <v>0.28000000000000003</v>
      </c>
      <c r="I10" s="1741"/>
      <c r="J10" s="1741"/>
      <c r="K10" s="1741"/>
      <c r="L10" s="1741"/>
      <c r="M10" s="1741"/>
      <c r="N10" s="1741"/>
      <c r="O10" s="1741"/>
    </row>
    <row r="11" spans="2:15" ht="18.899999999999999" thickBot="1" x14ac:dyDescent="0.55000000000000004">
      <c r="B11" s="3834"/>
      <c r="C11" s="663" t="s">
        <v>1005</v>
      </c>
      <c r="D11" s="658">
        <v>0.2</v>
      </c>
      <c r="H11" s="1741" t="s">
        <v>1019</v>
      </c>
      <c r="I11" s="1741"/>
      <c r="J11" s="1741"/>
      <c r="K11" s="1741"/>
      <c r="L11" s="1741"/>
      <c r="M11" s="1741"/>
      <c r="N11" s="1741"/>
      <c r="O11" s="1741"/>
    </row>
    <row r="12" spans="2:15" ht="43.75" x14ac:dyDescent="0.4">
      <c r="B12" s="3834"/>
      <c r="C12" s="659" t="s">
        <v>1802</v>
      </c>
      <c r="D12" s="657">
        <v>0.2</v>
      </c>
      <c r="H12" s="667" t="s">
        <v>1020</v>
      </c>
      <c r="I12" s="668" t="str">
        <f>H13</f>
        <v>Equipment Stillage</v>
      </c>
      <c r="J12" s="668" t="str">
        <f>H14</f>
        <v>Divertor Port</v>
      </c>
      <c r="K12" s="668" t="str">
        <f>H15</f>
        <v>Hardware Stillage</v>
      </c>
      <c r="L12" s="668" t="str">
        <f>H16</f>
        <v>AMF Equipment Issue</v>
      </c>
      <c r="M12" s="668" t="str">
        <f>H17</f>
        <v>AMF Equipment Receipt</v>
      </c>
      <c r="N12" s="668" t="str">
        <f>H18</f>
        <v>AMF Hardware Receipt</v>
      </c>
      <c r="O12" s="669" t="str">
        <f>H19</f>
        <v>AMF Hardware Issue</v>
      </c>
    </row>
    <row r="13" spans="2:15" ht="15" thickBot="1" x14ac:dyDescent="0.45">
      <c r="B13" s="3834"/>
      <c r="C13" s="659" t="s">
        <v>1803</v>
      </c>
      <c r="D13" s="657">
        <v>0.2</v>
      </c>
      <c r="H13" s="2" t="s">
        <v>816</v>
      </c>
      <c r="I13" s="670"/>
      <c r="J13" s="671">
        <f>I14</f>
        <v>15</v>
      </c>
      <c r="K13" s="671">
        <f>I15</f>
        <v>10</v>
      </c>
      <c r="L13" s="671">
        <f>I16</f>
        <v>50</v>
      </c>
      <c r="M13" s="671">
        <f>I17</f>
        <v>50</v>
      </c>
      <c r="N13" s="671">
        <f>I18</f>
        <v>50</v>
      </c>
      <c r="O13" s="672">
        <f>I19</f>
        <v>50</v>
      </c>
    </row>
    <row r="14" spans="2:15" ht="15" thickBot="1" x14ac:dyDescent="0.45">
      <c r="B14" s="3835"/>
      <c r="C14" s="652" t="str">
        <f>B10</f>
        <v>Store Hardware in the AMF</v>
      </c>
      <c r="D14" s="653">
        <f>SUM(D10:D13)</f>
        <v>0.88000000000000012</v>
      </c>
      <c r="H14" s="2" t="s">
        <v>451</v>
      </c>
      <c r="I14" s="673">
        <v>15</v>
      </c>
      <c r="J14" s="670"/>
      <c r="K14" s="671">
        <f>J15</f>
        <v>30</v>
      </c>
      <c r="L14" s="671">
        <f>J16</f>
        <v>50</v>
      </c>
      <c r="M14" s="671">
        <f>J17</f>
        <v>50</v>
      </c>
      <c r="N14" s="671">
        <f>J18</f>
        <v>50</v>
      </c>
      <c r="O14" s="672">
        <f>J19</f>
        <v>50</v>
      </c>
    </row>
    <row r="15" spans="2:15" x14ac:dyDescent="0.4">
      <c r="B15" s="3823" t="s">
        <v>2003</v>
      </c>
      <c r="C15" s="656" t="s">
        <v>1004</v>
      </c>
      <c r="D15" s="655">
        <v>0.28000000000000003</v>
      </c>
      <c r="H15" s="2" t="s">
        <v>901</v>
      </c>
      <c r="I15" s="673">
        <v>10</v>
      </c>
      <c r="J15" s="673">
        <v>30</v>
      </c>
      <c r="K15" s="670"/>
      <c r="L15" s="671">
        <f>K16</f>
        <v>50</v>
      </c>
      <c r="M15" s="671">
        <f>K17</f>
        <v>50</v>
      </c>
      <c r="N15" s="671">
        <f>K18</f>
        <v>50</v>
      </c>
      <c r="O15" s="672">
        <f>K19</f>
        <v>50</v>
      </c>
    </row>
    <row r="16" spans="2:15" x14ac:dyDescent="0.4">
      <c r="B16" s="3824"/>
      <c r="C16" s="289" t="s">
        <v>1005</v>
      </c>
      <c r="D16" s="658">
        <v>0.2</v>
      </c>
      <c r="H16" s="2" t="s">
        <v>799</v>
      </c>
      <c r="I16" s="673">
        <v>50</v>
      </c>
      <c r="J16" s="673">
        <v>50</v>
      </c>
      <c r="K16" s="673">
        <v>50</v>
      </c>
      <c r="L16" s="670"/>
      <c r="M16" s="671">
        <f>L17</f>
        <v>20</v>
      </c>
      <c r="N16" s="671">
        <f>L18</f>
        <v>20</v>
      </c>
      <c r="O16" s="672">
        <f>L19</f>
        <v>20</v>
      </c>
    </row>
    <row r="17" spans="2:15" ht="15" thickBot="1" x14ac:dyDescent="0.45">
      <c r="B17" s="3824"/>
      <c r="C17" s="674" t="s">
        <v>1022</v>
      </c>
      <c r="D17" s="657">
        <v>0.1</v>
      </c>
      <c r="H17" s="2" t="s">
        <v>914</v>
      </c>
      <c r="I17" s="673">
        <v>50</v>
      </c>
      <c r="J17" s="673">
        <v>50</v>
      </c>
      <c r="K17" s="673">
        <v>50</v>
      </c>
      <c r="L17" s="673">
        <v>20</v>
      </c>
      <c r="M17" s="670"/>
      <c r="N17" s="671">
        <f>M18</f>
        <v>20</v>
      </c>
      <c r="O17" s="672">
        <f>M19</f>
        <v>20</v>
      </c>
    </row>
    <row r="18" spans="2:15" ht="15" thickBot="1" x14ac:dyDescent="0.45">
      <c r="B18" s="3825"/>
      <c r="C18" s="652" t="str">
        <f>B15</f>
        <v>Store Equipment / Hardware in a hot cell stillage</v>
      </c>
      <c r="D18" s="653">
        <f>SUM(D15:D17)</f>
        <v>0.58000000000000007</v>
      </c>
      <c r="H18" s="2" t="s">
        <v>831</v>
      </c>
      <c r="I18" s="673">
        <v>50</v>
      </c>
      <c r="J18" s="673">
        <v>50</v>
      </c>
      <c r="K18" s="673">
        <v>50</v>
      </c>
      <c r="L18" s="673">
        <v>20</v>
      </c>
      <c r="M18" s="673">
        <v>20</v>
      </c>
      <c r="N18" s="675"/>
      <c r="O18" s="672">
        <f>N19</f>
        <v>10</v>
      </c>
    </row>
    <row r="19" spans="2:15" ht="15" customHeight="1" thickBot="1" x14ac:dyDescent="0.45">
      <c r="B19" s="3823" t="s">
        <v>2139</v>
      </c>
      <c r="C19" s="656" t="s">
        <v>1004</v>
      </c>
      <c r="D19" s="655">
        <v>0.28000000000000003</v>
      </c>
      <c r="H19" s="3" t="s">
        <v>858</v>
      </c>
      <c r="I19" s="677">
        <v>50</v>
      </c>
      <c r="J19" s="677">
        <v>50</v>
      </c>
      <c r="K19" s="677">
        <v>50</v>
      </c>
      <c r="L19" s="677">
        <v>20</v>
      </c>
      <c r="M19" s="677">
        <v>20</v>
      </c>
      <c r="N19" s="677">
        <v>10</v>
      </c>
      <c r="O19" s="675"/>
    </row>
    <row r="20" spans="2:15" x14ac:dyDescent="0.4">
      <c r="B20" s="3824"/>
      <c r="C20" s="663" t="s">
        <v>1804</v>
      </c>
      <c r="D20" s="658">
        <v>0.2</v>
      </c>
    </row>
    <row r="21" spans="2:15" ht="15" thickBot="1" x14ac:dyDescent="0.45">
      <c r="B21" s="3824"/>
      <c r="C21" s="659" t="s">
        <v>1024</v>
      </c>
      <c r="D21" s="657">
        <v>0.2</v>
      </c>
    </row>
    <row r="22" spans="2:15" ht="15" thickBot="1" x14ac:dyDescent="0.45">
      <c r="B22" s="3825"/>
      <c r="C22" s="652" t="str">
        <f>B19</f>
        <v>Collect hardware from the AMF</v>
      </c>
      <c r="D22" s="653">
        <f>SUM(D19:D21)</f>
        <v>0.68</v>
      </c>
    </row>
    <row r="23" spans="2:15" x14ac:dyDescent="0.4">
      <c r="B23" s="3823" t="s">
        <v>2239</v>
      </c>
      <c r="C23" s="676" t="s">
        <v>1004</v>
      </c>
      <c r="D23" s="655">
        <v>0.28000000000000003</v>
      </c>
    </row>
    <row r="24" spans="2:15" x14ac:dyDescent="0.4">
      <c r="B24" s="3824"/>
      <c r="C24" s="289" t="s">
        <v>1806</v>
      </c>
      <c r="D24" s="658">
        <v>0.3</v>
      </c>
    </row>
    <row r="25" spans="2:15" ht="15" thickBot="1" x14ac:dyDescent="0.45">
      <c r="B25" s="3824"/>
      <c r="C25" s="678" t="s">
        <v>1024</v>
      </c>
      <c r="D25" s="662">
        <v>0.2</v>
      </c>
    </row>
    <row r="26" spans="2:15" ht="15" thickBot="1" x14ac:dyDescent="0.45">
      <c r="B26" s="3825"/>
      <c r="C26" s="652" t="str">
        <f>B23</f>
        <v>Collect Equipment / Hardware from stillage</v>
      </c>
      <c r="D26" s="653">
        <f>SUM(D23:D25)</f>
        <v>0.78</v>
      </c>
    </row>
    <row r="27" spans="2:15" x14ac:dyDescent="0.4">
      <c r="B27" s="3823" t="s">
        <v>1541</v>
      </c>
      <c r="C27" s="676" t="s">
        <v>1437</v>
      </c>
      <c r="D27" s="655">
        <v>0.2</v>
      </c>
    </row>
    <row r="28" spans="2:15" x14ac:dyDescent="0.4">
      <c r="B28" s="3824"/>
      <c r="C28" s="289" t="s">
        <v>264</v>
      </c>
      <c r="D28" s="658">
        <v>0.3</v>
      </c>
    </row>
    <row r="29" spans="2:15" x14ac:dyDescent="0.4">
      <c r="B29" s="3824"/>
      <c r="C29" s="289" t="s">
        <v>1807</v>
      </c>
      <c r="D29" s="658">
        <v>0.1</v>
      </c>
    </row>
    <row r="30" spans="2:15" x14ac:dyDescent="0.4">
      <c r="B30" s="3824"/>
      <c r="C30" s="289" t="s">
        <v>1808</v>
      </c>
      <c r="D30" s="658">
        <v>0.1</v>
      </c>
    </row>
    <row r="31" spans="2:15" x14ac:dyDescent="0.4">
      <c r="B31" s="3824"/>
      <c r="C31" s="1742" t="s">
        <v>1809</v>
      </c>
      <c r="D31" s="666">
        <v>0.2</v>
      </c>
    </row>
    <row r="32" spans="2:15" x14ac:dyDescent="0.4">
      <c r="B32" s="3824"/>
      <c r="C32" s="659" t="s">
        <v>1810</v>
      </c>
      <c r="D32" s="657">
        <v>0.2</v>
      </c>
    </row>
    <row r="33" spans="2:4" x14ac:dyDescent="0.4">
      <c r="B33" s="3824"/>
      <c r="C33" s="663" t="s">
        <v>265</v>
      </c>
      <c r="D33" s="658">
        <v>0.3</v>
      </c>
    </row>
    <row r="34" spans="2:4" x14ac:dyDescent="0.4">
      <c r="B34" s="3824"/>
      <c r="C34" s="663" t="s">
        <v>1430</v>
      </c>
      <c r="D34" s="658">
        <v>0.5</v>
      </c>
    </row>
    <row r="35" spans="2:4" ht="15" thickBot="1" x14ac:dyDescent="0.45">
      <c r="B35" s="3825"/>
      <c r="C35" s="1743" t="str">
        <f>B27</f>
        <v>Dock Cask and Commission RM Systems</v>
      </c>
      <c r="D35" s="1744">
        <f>SUM(D27:D34)</f>
        <v>1.9</v>
      </c>
    </row>
    <row r="36" spans="2:4" x14ac:dyDescent="0.4">
      <c r="B36" s="3824" t="s">
        <v>1552</v>
      </c>
      <c r="C36" s="289" t="s">
        <v>1442</v>
      </c>
      <c r="D36" s="658">
        <v>0.5</v>
      </c>
    </row>
    <row r="37" spans="2:4" ht="15" customHeight="1" x14ac:dyDescent="0.4">
      <c r="B37" s="3824"/>
      <c r="C37" s="289" t="s">
        <v>1443</v>
      </c>
      <c r="D37" s="658">
        <v>0.3</v>
      </c>
    </row>
    <row r="38" spans="2:4" x14ac:dyDescent="0.4">
      <c r="B38" s="3824"/>
      <c r="C38" s="289" t="s">
        <v>1444</v>
      </c>
      <c r="D38" s="658">
        <v>0.3</v>
      </c>
    </row>
    <row r="39" spans="2:4" ht="15" customHeight="1" x14ac:dyDescent="0.4">
      <c r="B39" s="3824"/>
      <c r="C39" s="289" t="s">
        <v>1018</v>
      </c>
      <c r="D39" s="658">
        <v>0.1</v>
      </c>
    </row>
    <row r="40" spans="2:4" x14ac:dyDescent="0.4">
      <c r="B40" s="3824"/>
      <c r="C40" s="289" t="s">
        <v>1446</v>
      </c>
      <c r="D40" s="658">
        <v>1</v>
      </c>
    </row>
    <row r="41" spans="2:4" ht="15" thickBot="1" x14ac:dyDescent="0.45">
      <c r="B41" s="3824"/>
      <c r="C41" s="674" t="s">
        <v>1448</v>
      </c>
      <c r="D41" s="657">
        <v>0.1</v>
      </c>
    </row>
    <row r="42" spans="2:4" ht="15" thickBot="1" x14ac:dyDescent="0.45">
      <c r="B42" s="3825"/>
      <c r="C42" s="1745" t="str">
        <f>B36</f>
        <v>Un-Dock Cask</v>
      </c>
      <c r="D42" s="653">
        <f>SUM(D36:D41)</f>
        <v>2.3000000000000003</v>
      </c>
    </row>
    <row r="43" spans="2:4" x14ac:dyDescent="0.4">
      <c r="B43" s="3823" t="s">
        <v>1828</v>
      </c>
      <c r="C43" s="289" t="s">
        <v>2240</v>
      </c>
      <c r="D43" s="658">
        <v>0.2</v>
      </c>
    </row>
    <row r="44" spans="2:4" x14ac:dyDescent="0.4">
      <c r="B44" s="3824"/>
      <c r="C44" s="289" t="s">
        <v>2241</v>
      </c>
      <c r="D44" s="658">
        <v>0.1</v>
      </c>
    </row>
    <row r="45" spans="2:4" x14ac:dyDescent="0.4">
      <c r="B45" s="3824"/>
      <c r="C45" s="289" t="s">
        <v>2242</v>
      </c>
      <c r="D45" s="658">
        <v>0.1</v>
      </c>
    </row>
    <row r="46" spans="2:4" ht="15" customHeight="1" x14ac:dyDescent="0.4">
      <c r="B46" s="3824"/>
      <c r="C46" s="289" t="s">
        <v>2243</v>
      </c>
      <c r="D46" s="658">
        <v>0.1</v>
      </c>
    </row>
    <row r="47" spans="2:4" ht="15" thickBot="1" x14ac:dyDescent="0.45">
      <c r="B47" s="3824"/>
      <c r="C47" s="289" t="s">
        <v>2244</v>
      </c>
      <c r="D47" s="658">
        <v>0.3</v>
      </c>
    </row>
    <row r="48" spans="2:4" ht="15" thickBot="1" x14ac:dyDescent="0.45">
      <c r="B48" s="3825"/>
      <c r="C48" s="1745" t="str">
        <f>B43</f>
        <v>Deploy Tool / Hardware into the Port</v>
      </c>
      <c r="D48" s="653">
        <f>SUM(D43:D47)</f>
        <v>0.8</v>
      </c>
    </row>
    <row r="49" spans="2:4" x14ac:dyDescent="0.4">
      <c r="B49" s="3823" t="s">
        <v>2008</v>
      </c>
      <c r="C49" s="676" t="s">
        <v>2245</v>
      </c>
      <c r="D49" s="655">
        <v>0.3</v>
      </c>
    </row>
    <row r="50" spans="2:4" x14ac:dyDescent="0.4">
      <c r="B50" s="3824"/>
      <c r="C50" s="289" t="s">
        <v>2246</v>
      </c>
      <c r="D50" s="658">
        <v>0.1</v>
      </c>
    </row>
    <row r="51" spans="2:4" x14ac:dyDescent="0.4">
      <c r="B51" s="3824"/>
      <c r="C51" s="289" t="s">
        <v>2247</v>
      </c>
      <c r="D51" s="658">
        <v>0.1</v>
      </c>
    </row>
    <row r="52" spans="2:4" ht="15" thickBot="1" x14ac:dyDescent="0.45">
      <c r="B52" s="3824"/>
      <c r="C52" s="289" t="s">
        <v>2248</v>
      </c>
      <c r="D52" s="658">
        <v>0.1</v>
      </c>
    </row>
    <row r="53" spans="2:4" ht="15" thickBot="1" x14ac:dyDescent="0.45">
      <c r="B53" s="3825"/>
      <c r="C53" s="1745" t="str">
        <f>B49</f>
        <v>Recover Tool / Hardware from the Port</v>
      </c>
      <c r="D53" s="653">
        <f>SUM(D49:D52)</f>
        <v>0.6</v>
      </c>
    </row>
    <row r="54" spans="2:4" x14ac:dyDescent="0.4">
      <c r="B54" s="3823" t="s">
        <v>1558</v>
      </c>
      <c r="C54" s="676" t="s">
        <v>1811</v>
      </c>
      <c r="D54" s="655">
        <v>0.33</v>
      </c>
    </row>
    <row r="55" spans="2:4" x14ac:dyDescent="0.4">
      <c r="B55" s="3824"/>
      <c r="C55" s="289" t="s">
        <v>1812</v>
      </c>
      <c r="D55" s="658">
        <v>0.1</v>
      </c>
    </row>
    <row r="56" spans="2:4" ht="15" thickBot="1" x14ac:dyDescent="0.45">
      <c r="B56" s="3824"/>
      <c r="C56" s="674" t="s">
        <v>1813</v>
      </c>
      <c r="D56" s="657">
        <v>0.1</v>
      </c>
    </row>
    <row r="57" spans="2:4" ht="16.5" customHeight="1" thickBot="1" x14ac:dyDescent="0.45">
      <c r="B57" s="3825"/>
      <c r="C57" s="1745" t="str">
        <f>B54</f>
        <v>Reposition tool within Port</v>
      </c>
      <c r="D57" s="653">
        <f>SUM(D54:D56)</f>
        <v>0.53</v>
      </c>
    </row>
    <row r="58" spans="2:4" x14ac:dyDescent="0.4">
      <c r="B58" s="3823" t="s">
        <v>1822</v>
      </c>
      <c r="C58" s="676" t="s">
        <v>2249</v>
      </c>
      <c r="D58" s="655">
        <v>0.1</v>
      </c>
    </row>
    <row r="59" spans="2:4" x14ac:dyDescent="0.4">
      <c r="B59" s="3824"/>
      <c r="C59" s="289" t="s">
        <v>2241</v>
      </c>
      <c r="D59" s="658">
        <v>0.1</v>
      </c>
    </row>
    <row r="60" spans="2:4" x14ac:dyDescent="0.4">
      <c r="B60" s="3824"/>
      <c r="C60" s="289" t="s">
        <v>2250</v>
      </c>
      <c r="D60" s="658">
        <v>0.1</v>
      </c>
    </row>
    <row r="61" spans="2:4" x14ac:dyDescent="0.4">
      <c r="B61" s="3824"/>
      <c r="C61" s="289" t="s">
        <v>2251</v>
      </c>
      <c r="D61" s="658">
        <v>1</v>
      </c>
    </row>
    <row r="62" spans="2:4" ht="15" thickBot="1" x14ac:dyDescent="0.45">
      <c r="B62" s="3824"/>
      <c r="C62" s="289" t="s">
        <v>2252</v>
      </c>
      <c r="D62" s="658">
        <v>0.5</v>
      </c>
    </row>
    <row r="63" spans="2:4" ht="15" thickBot="1" x14ac:dyDescent="0.45">
      <c r="B63" s="3825"/>
      <c r="C63" s="1745" t="str">
        <f>B58</f>
        <v>Connect recovery system to hardware</v>
      </c>
      <c r="D63" s="653">
        <f>SUM(D58:D62)</f>
        <v>1.8</v>
      </c>
    </row>
    <row r="64" spans="2:4" x14ac:dyDescent="0.4">
      <c r="B64" s="3823" t="s">
        <v>2253</v>
      </c>
      <c r="C64" s="676" t="s">
        <v>2254</v>
      </c>
      <c r="D64" s="655">
        <v>0.5</v>
      </c>
    </row>
    <row r="65" spans="2:4" x14ac:dyDescent="0.4">
      <c r="B65" s="3824"/>
      <c r="C65" s="289" t="s">
        <v>2255</v>
      </c>
      <c r="D65" s="658">
        <v>0.5</v>
      </c>
    </row>
    <row r="66" spans="2:4" x14ac:dyDescent="0.4">
      <c r="B66" s="3824"/>
      <c r="C66" s="289" t="s">
        <v>2256</v>
      </c>
      <c r="D66" s="658">
        <v>0.2</v>
      </c>
    </row>
    <row r="67" spans="2:4" ht="15" thickBot="1" x14ac:dyDescent="0.45">
      <c r="B67" s="3824"/>
      <c r="C67" s="1467" t="s">
        <v>2257</v>
      </c>
      <c r="D67" s="666">
        <v>0.1</v>
      </c>
    </row>
    <row r="68" spans="2:4" ht="15" thickBot="1" x14ac:dyDescent="0.45">
      <c r="B68" s="3825"/>
      <c r="C68" s="1745" t="str">
        <f>B64</f>
        <v>Disconnect recovery system from hardware</v>
      </c>
      <c r="D68" s="653">
        <f>SUM(D64:D67)</f>
        <v>1.3</v>
      </c>
    </row>
    <row r="72" spans="2:4" x14ac:dyDescent="0.4">
      <c r="B72" s="685"/>
    </row>
  </sheetData>
  <customSheetViews>
    <customSheetView guid="{9C0AA20B-B2A2-4A2C-B279-4A5988F4E71A}" state="hidden">
      <selection activeCell="Q20" sqref="Q20"/>
      <pageMargins left="0.7" right="0.7" top="0.75" bottom="0.75" header="0.3" footer="0.3"/>
    </customSheetView>
  </customSheetViews>
  <mergeCells count="14">
    <mergeCell ref="B58:B63"/>
    <mergeCell ref="B64:B68"/>
    <mergeCell ref="B23:B26"/>
    <mergeCell ref="B27:B35"/>
    <mergeCell ref="B36:B42"/>
    <mergeCell ref="B43:B48"/>
    <mergeCell ref="B49:B53"/>
    <mergeCell ref="B54:B57"/>
    <mergeCell ref="B19:B22"/>
    <mergeCell ref="B2:D2"/>
    <mergeCell ref="H2:I2"/>
    <mergeCell ref="B5:B9"/>
    <mergeCell ref="B10:B14"/>
    <mergeCell ref="B15:B1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7" tint="-0.249977111117893"/>
  </sheetPr>
  <dimension ref="B1:AH188"/>
  <sheetViews>
    <sheetView workbookViewId="0">
      <selection activeCell="Q20" sqref="Q20"/>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4.3046875" bestFit="1" customWidth="1"/>
    <col min="7" max="7" width="18.53515625" customWidth="1" outlineLevel="1"/>
    <col min="8" max="8" width="13.69140625" style="177"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3.53515625" hidden="1" customWidth="1" outlineLevel="1"/>
    <col min="16" max="16" width="11.69140625" customWidth="1" collapsed="1"/>
    <col min="17" max="17" width="32.15234375" style="287" customWidth="1"/>
    <col min="18" max="19" width="11.69140625" customWidth="1"/>
    <col min="20" max="20" width="6.3046875" customWidth="1"/>
    <col min="21" max="21" width="64.3828125" style="3547" customWidth="1"/>
    <col min="22" max="22" width="13.3828125" style="177" customWidth="1"/>
    <col min="23" max="27" width="9.3046875" style="177" customWidth="1"/>
    <col min="28" max="28" width="7.69140625" style="5" customWidth="1"/>
    <col min="29" max="29" width="14.53515625" customWidth="1"/>
    <col min="30"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3:29" s="687" customFormat="1" ht="24.9" x14ac:dyDescent="0.55000000000000004">
      <c r="C1" s="1075" t="s">
        <v>1117</v>
      </c>
      <c r="D1" s="1076"/>
      <c r="E1" s="1076"/>
      <c r="F1" s="1076"/>
      <c r="G1" s="1076"/>
      <c r="H1" s="1076"/>
      <c r="I1" s="1076"/>
      <c r="J1" s="1076"/>
      <c r="K1" s="1076"/>
      <c r="L1" s="1076"/>
      <c r="M1" s="1076"/>
      <c r="N1" s="1076"/>
      <c r="O1" s="1076"/>
      <c r="P1" s="1076"/>
      <c r="Q1" s="287"/>
      <c r="R1" s="1076"/>
      <c r="S1" s="1076"/>
      <c r="T1" s="1076"/>
      <c r="U1" s="3547"/>
      <c r="V1" s="1076"/>
      <c r="W1" s="1076"/>
      <c r="X1" s="1076"/>
      <c r="Y1" s="1076"/>
      <c r="Z1" s="1076"/>
      <c r="AA1" s="1076"/>
      <c r="AB1" s="1412"/>
      <c r="AC1" s="79"/>
    </row>
    <row r="2" spans="3:29" ht="15" thickBot="1" x14ac:dyDescent="0.45"/>
    <row r="3" spans="3:29" ht="20.6" thickBot="1" x14ac:dyDescent="0.55000000000000004">
      <c r="C3" s="690" t="s">
        <v>1118</v>
      </c>
      <c r="D3" s="692"/>
      <c r="E3" s="692"/>
      <c r="F3" s="692"/>
      <c r="G3" s="692"/>
      <c r="H3" s="692"/>
      <c r="I3" s="692"/>
      <c r="J3" s="692"/>
      <c r="K3" s="692"/>
      <c r="L3" s="692"/>
      <c r="M3" s="692"/>
      <c r="N3" s="692"/>
      <c r="O3" s="693"/>
      <c r="U3" s="3548"/>
      <c r="V3" s="696"/>
      <c r="W3" s="694"/>
      <c r="X3" s="694"/>
      <c r="Y3" s="694"/>
      <c r="Z3" s="694"/>
      <c r="AA3" s="695"/>
      <c r="AC3" s="697"/>
    </row>
    <row r="4" spans="3:29" x14ac:dyDescent="0.4">
      <c r="C4" s="1077" t="s">
        <v>1119</v>
      </c>
    </row>
    <row r="5" spans="3:29" x14ac:dyDescent="0.4">
      <c r="C5" s="8" t="s">
        <v>1120</v>
      </c>
    </row>
    <row r="6" spans="3:29" x14ac:dyDescent="0.4">
      <c r="C6" s="8" t="s">
        <v>1121</v>
      </c>
    </row>
    <row r="7" spans="3:29" ht="15" thickBot="1" x14ac:dyDescent="0.45">
      <c r="C7" s="748"/>
    </row>
    <row r="8" spans="3:29" ht="15.9" thickBot="1" x14ac:dyDescent="0.45">
      <c r="C8" s="710"/>
      <c r="D8" s="718" t="s">
        <v>23</v>
      </c>
      <c r="E8" s="3875" t="s">
        <v>1044</v>
      </c>
      <c r="F8" s="3876"/>
      <c r="G8" s="3876"/>
      <c r="H8" s="3876"/>
      <c r="I8" s="3877"/>
    </row>
    <row r="9" spans="3:29" ht="15" thickBot="1" x14ac:dyDescent="0.45">
      <c r="C9" s="1749" t="s">
        <v>1045</v>
      </c>
      <c r="D9" s="1750">
        <v>1</v>
      </c>
      <c r="E9" s="1751">
        <v>1</v>
      </c>
      <c r="F9" s="1751">
        <v>2</v>
      </c>
      <c r="G9" s="1752">
        <v>3</v>
      </c>
      <c r="H9" s="1753">
        <v>4</v>
      </c>
      <c r="I9" s="1754">
        <v>6</v>
      </c>
    </row>
    <row r="10" spans="3:29" x14ac:dyDescent="0.4">
      <c r="C10" s="1755" t="s">
        <v>1048</v>
      </c>
      <c r="D10" s="1094">
        <f t="shared" ref="D10:I10" si="0">V$25+V$45+V$74</f>
        <v>5.5942093606903986</v>
      </c>
      <c r="E10" s="1418">
        <f t="shared" si="0"/>
        <v>89.507349771046378</v>
      </c>
      <c r="F10" s="1756">
        <f t="shared" si="0"/>
        <v>44.753674885523189</v>
      </c>
      <c r="G10" s="1756">
        <f t="shared" si="0"/>
        <v>33.56525616414239</v>
      </c>
      <c r="H10" s="1756">
        <f t="shared" si="0"/>
        <v>22.376837442761595</v>
      </c>
      <c r="I10" s="1097">
        <f t="shared" si="0"/>
        <v>16.782628082071195</v>
      </c>
      <c r="Q10" s="290"/>
    </row>
    <row r="11" spans="3:29" x14ac:dyDescent="0.4">
      <c r="C11" s="1755" t="s">
        <v>2658</v>
      </c>
      <c r="D11" s="1099">
        <f t="shared" ref="D11:I11" si="1">V$26+V$46+V$75</f>
        <v>14.043432683007437</v>
      </c>
      <c r="E11" s="1420">
        <f t="shared" si="1"/>
        <v>224.69492292811898</v>
      </c>
      <c r="F11" s="1757">
        <f t="shared" si="1"/>
        <v>112.34746146405949</v>
      </c>
      <c r="G11" s="1757">
        <f t="shared" si="1"/>
        <v>84.260596098044616</v>
      </c>
      <c r="H11" s="1757">
        <f t="shared" si="1"/>
        <v>56.173730732029746</v>
      </c>
      <c r="I11" s="1102">
        <f t="shared" si="1"/>
        <v>42.130298049022308</v>
      </c>
      <c r="Q11"/>
    </row>
    <row r="12" spans="3:29" ht="15" thickBot="1" x14ac:dyDescent="0.45">
      <c r="C12" s="1758" t="s">
        <v>2663</v>
      </c>
      <c r="D12" s="1104">
        <f t="shared" ref="D12:I12" si="2">V$27+V$47+V$76</f>
        <v>0</v>
      </c>
      <c r="E12" s="1422">
        <f t="shared" si="2"/>
        <v>0</v>
      </c>
      <c r="F12" s="1759">
        <f t="shared" si="2"/>
        <v>0</v>
      </c>
      <c r="G12" s="1759">
        <f t="shared" si="2"/>
        <v>0</v>
      </c>
      <c r="H12" s="1759">
        <f t="shared" si="2"/>
        <v>0</v>
      </c>
      <c r="I12" s="1107">
        <f t="shared" si="2"/>
        <v>0</v>
      </c>
      <c r="Q12"/>
    </row>
    <row r="13" spans="3:29" ht="15" thickBot="1" x14ac:dyDescent="0.45">
      <c r="C13" s="1760" t="s">
        <v>1032</v>
      </c>
      <c r="D13" s="1761">
        <f t="shared" ref="D13:I13" si="3">V$28+V$48+V$77</f>
        <v>19.637642043697838</v>
      </c>
      <c r="E13" s="2274">
        <f t="shared" si="3"/>
        <v>314.20227269916541</v>
      </c>
      <c r="F13" s="1762">
        <f t="shared" si="3"/>
        <v>157.1011363495827</v>
      </c>
      <c r="G13" s="1762">
        <f t="shared" si="3"/>
        <v>117.82585226218701</v>
      </c>
      <c r="H13" s="1762">
        <f t="shared" si="3"/>
        <v>78.550568174791351</v>
      </c>
      <c r="I13" s="1817">
        <f t="shared" si="3"/>
        <v>58.912926131093506</v>
      </c>
    </row>
    <row r="14" spans="3:29" x14ac:dyDescent="0.4">
      <c r="C14" s="1763" t="s">
        <v>1048</v>
      </c>
      <c r="D14" s="1094">
        <f t="shared" ref="D14:I17" si="4">V100+V119+V147</f>
        <v>2.8745763000000002</v>
      </c>
      <c r="E14" s="1418">
        <f t="shared" ca="1" si="4"/>
        <v>46.017638826666669</v>
      </c>
      <c r="F14" s="1756">
        <f t="shared" ca="1" si="4"/>
        <v>22.993157066666669</v>
      </c>
      <c r="G14" s="1756">
        <f t="shared" ca="1" si="4"/>
        <v>17.244867800000005</v>
      </c>
      <c r="H14" s="1756">
        <f t="shared" ca="1" si="4"/>
        <v>11.496578533333334</v>
      </c>
      <c r="I14" s="1097">
        <f t="shared" ca="1" si="4"/>
        <v>8.6224339000000025</v>
      </c>
      <c r="Q14"/>
    </row>
    <row r="15" spans="3:29" x14ac:dyDescent="0.4">
      <c r="C15" s="1763" t="s">
        <v>2658</v>
      </c>
      <c r="D15" s="1099">
        <f t="shared" si="4"/>
        <v>11.065366636222228</v>
      </c>
      <c r="E15" s="1420">
        <f t="shared" ca="1" si="4"/>
        <v>177.05955610098772</v>
      </c>
      <c r="F15" s="1757">
        <f t="shared" ca="1" si="4"/>
        <v>88.520996984839542</v>
      </c>
      <c r="G15" s="1757">
        <f t="shared" ca="1" si="4"/>
        <v>66.39074773862967</v>
      </c>
      <c r="H15" s="1757">
        <f t="shared" ca="1" si="4"/>
        <v>44.260498492419771</v>
      </c>
      <c r="I15" s="1102">
        <f t="shared" ca="1" si="4"/>
        <v>33.195373869314835</v>
      </c>
      <c r="Q15"/>
    </row>
    <row r="16" spans="3:29" ht="15" thickBot="1" x14ac:dyDescent="0.45">
      <c r="C16" s="1764" t="s">
        <v>2663</v>
      </c>
      <c r="D16" s="1104">
        <f t="shared" si="4"/>
        <v>0</v>
      </c>
      <c r="E16" s="1422">
        <f t="shared" ca="1" si="4"/>
        <v>0</v>
      </c>
      <c r="F16" s="1759">
        <f t="shared" ca="1" si="4"/>
        <v>0</v>
      </c>
      <c r="G16" s="1759">
        <f t="shared" ca="1" si="4"/>
        <v>0</v>
      </c>
      <c r="H16" s="1759">
        <f t="shared" ca="1" si="4"/>
        <v>0</v>
      </c>
      <c r="I16" s="1107">
        <f t="shared" ca="1" si="4"/>
        <v>0</v>
      </c>
    </row>
    <row r="17" spans="2:34" ht="15" thickBot="1" x14ac:dyDescent="0.45">
      <c r="C17" s="1765" t="s">
        <v>1032</v>
      </c>
      <c r="D17" s="1109">
        <f t="shared" si="4"/>
        <v>13.939942936222227</v>
      </c>
      <c r="E17" s="1424">
        <f t="shared" ca="1" si="4"/>
        <v>223.07719492765438</v>
      </c>
      <c r="F17" s="1766">
        <f t="shared" ca="1" si="4"/>
        <v>111.51415405150621</v>
      </c>
      <c r="G17" s="1766">
        <f t="shared" ca="1" si="4"/>
        <v>83.635615538629665</v>
      </c>
      <c r="H17" s="1766">
        <f t="shared" ca="1" si="4"/>
        <v>55.757077025753105</v>
      </c>
      <c r="I17" s="1112">
        <f t="shared" ca="1" si="4"/>
        <v>41.817807769314832</v>
      </c>
    </row>
    <row r="18" spans="2:34" x14ac:dyDescent="0.4">
      <c r="B18" s="5"/>
      <c r="C18" s="1144"/>
      <c r="D18" s="892"/>
      <c r="E18" s="894"/>
      <c r="F18" s="894"/>
      <c r="G18" s="94"/>
      <c r="H18" s="895"/>
      <c r="I18" s="94"/>
      <c r="J18" s="94"/>
      <c r="K18" s="94"/>
      <c r="L18" s="897"/>
      <c r="M18" s="897"/>
      <c r="N18" s="895"/>
      <c r="O18" s="94"/>
      <c r="P18" s="897"/>
      <c r="Q18" s="1444"/>
      <c r="R18" s="897"/>
      <c r="S18" s="897"/>
      <c r="T18" s="5"/>
      <c r="U18" s="3549"/>
      <c r="V18" s="290"/>
      <c r="W18" s="290"/>
      <c r="X18" s="290"/>
      <c r="Y18" s="290"/>
      <c r="Z18" s="290"/>
      <c r="AA18" s="290"/>
      <c r="AC18" s="8"/>
      <c r="AD18" s="8"/>
      <c r="AE18" s="8"/>
      <c r="AF18" s="8"/>
      <c r="AG18" s="8"/>
      <c r="AH18" s="8"/>
    </row>
    <row r="19" spans="2:34" ht="15.45" x14ac:dyDescent="0.4">
      <c r="B19" s="1769"/>
      <c r="C19" s="1785" t="s">
        <v>2258</v>
      </c>
      <c r="D19" s="1785"/>
      <c r="E19" s="1785"/>
      <c r="F19" s="1785"/>
      <c r="G19" s="1785"/>
      <c r="H19" s="1785"/>
      <c r="I19" s="1785"/>
      <c r="J19" s="1785"/>
      <c r="K19" s="1785"/>
      <c r="L19" s="1785"/>
      <c r="M19" s="1785"/>
      <c r="N19" s="1785"/>
      <c r="O19" s="1785"/>
      <c r="P19" s="1785"/>
      <c r="Q19" s="1786"/>
      <c r="R19" s="1785"/>
      <c r="S19" s="1785"/>
      <c r="T19" s="1785"/>
      <c r="U19" s="3550"/>
      <c r="V19" s="1785"/>
      <c r="W19" s="1785"/>
      <c r="X19" s="1785"/>
      <c r="Y19" s="1785"/>
      <c r="Z19" s="1785"/>
      <c r="AA19" s="1785"/>
      <c r="AB19" s="1787"/>
    </row>
    <row r="20" spans="2:34" ht="15" outlineLevel="1" thickBot="1" x14ac:dyDescent="0.45">
      <c r="B20" s="1771"/>
      <c r="C20" s="748" t="s">
        <v>1053</v>
      </c>
      <c r="D20" s="706"/>
      <c r="E20" s="706"/>
      <c r="F20" s="706"/>
      <c r="G20" s="706"/>
      <c r="H20" s="1117"/>
      <c r="I20" s="706"/>
      <c r="J20" s="706"/>
      <c r="K20" s="706"/>
      <c r="L20" s="706"/>
      <c r="M20" s="706"/>
      <c r="N20" s="706"/>
      <c r="O20" s="706"/>
      <c r="P20" s="7"/>
      <c r="Q20" s="1413"/>
      <c r="R20" s="7"/>
      <c r="S20" s="7"/>
      <c r="T20" s="7"/>
      <c r="U20" s="3549"/>
      <c r="V20" s="290"/>
      <c r="W20" s="290"/>
      <c r="X20" s="290"/>
      <c r="Y20" s="290"/>
      <c r="Z20" s="290"/>
      <c r="AA20" s="290"/>
      <c r="AB20" s="1430"/>
    </row>
    <row r="21" spans="2:34" outlineLevel="1" x14ac:dyDescent="0.4">
      <c r="B21" s="1771"/>
      <c r="C21" s="700" t="s">
        <v>1815</v>
      </c>
      <c r="D21" s="706"/>
      <c r="E21" s="706"/>
      <c r="F21" s="706"/>
      <c r="G21" s="706"/>
      <c r="H21" s="1117"/>
      <c r="I21" s="706"/>
      <c r="J21" s="706"/>
      <c r="K21" s="706"/>
      <c r="L21" s="706"/>
      <c r="M21" s="706"/>
      <c r="N21" s="706"/>
      <c r="O21" s="706"/>
      <c r="P21" s="7"/>
      <c r="Q21" s="1413"/>
      <c r="R21" s="7"/>
      <c r="S21" s="7"/>
      <c r="T21" s="7"/>
      <c r="U21" s="3551" t="str">
        <f>C19</f>
        <v>Hardware Transporter failure at the divertor port</v>
      </c>
      <c r="V21" s="1519" t="s">
        <v>23</v>
      </c>
      <c r="W21" s="3842" t="s">
        <v>2604</v>
      </c>
      <c r="X21" s="3843"/>
      <c r="Y21" s="3843"/>
      <c r="Z21" s="3843"/>
      <c r="AA21" s="3844"/>
      <c r="AB21" s="1430"/>
    </row>
    <row r="22" spans="2:34" outlineLevel="1" x14ac:dyDescent="0.4">
      <c r="B22" s="1771"/>
      <c r="C22" s="700" t="s">
        <v>1125</v>
      </c>
      <c r="D22" s="706"/>
      <c r="E22" s="706"/>
      <c r="F22" s="706"/>
      <c r="G22" s="706"/>
      <c r="H22" s="1117"/>
      <c r="I22" s="706"/>
      <c r="J22" s="706"/>
      <c r="K22" s="706"/>
      <c r="L22" s="706"/>
      <c r="M22" s="706"/>
      <c r="N22" s="706"/>
      <c r="O22" s="706"/>
      <c r="P22" s="7"/>
      <c r="Q22" s="1413"/>
      <c r="R22" s="7"/>
      <c r="S22" s="7"/>
      <c r="T22" s="7"/>
      <c r="U22" s="3543" t="s">
        <v>1055</v>
      </c>
      <c r="V22" s="1513">
        <v>1</v>
      </c>
      <c r="W22" s="1512">
        <v>1</v>
      </c>
      <c r="X22" s="916">
        <v>2</v>
      </c>
      <c r="Y22" s="916">
        <v>3</v>
      </c>
      <c r="Z22" s="916">
        <v>4</v>
      </c>
      <c r="AA22" s="1045">
        <v>6</v>
      </c>
      <c r="AB22" s="1430"/>
    </row>
    <row r="23" spans="2:34" outlineLevel="1" x14ac:dyDescent="0.4">
      <c r="B23" s="1771"/>
      <c r="C23" s="700"/>
      <c r="D23" s="706"/>
      <c r="E23" s="706"/>
      <c r="F23" s="706"/>
      <c r="G23" s="706"/>
      <c r="H23" s="1117"/>
      <c r="I23" s="706"/>
      <c r="J23" s="706"/>
      <c r="K23" s="706"/>
      <c r="L23" s="706"/>
      <c r="M23" s="706"/>
      <c r="N23" s="706"/>
      <c r="O23" s="706"/>
      <c r="P23" s="7"/>
      <c r="Q23" s="1413"/>
      <c r="R23" s="7"/>
      <c r="S23" s="7"/>
      <c r="T23" s="7"/>
      <c r="U23" s="3542" t="s">
        <v>2668</v>
      </c>
      <c r="V23" s="290">
        <f>('Lower Hot Cell Critical Path'!$F$221)</f>
        <v>662.24303406967135</v>
      </c>
      <c r="W23" s="1415">
        <f>('Lower Hot Cell Critical Path'!$F$221*ROUNDUP(Tokamak_Segmts/W22,0))</f>
        <v>10595.888545114742</v>
      </c>
      <c r="X23" s="917">
        <f>('Lower Hot Cell Critical Path'!$F$221*ROUNDUP(Tokamak_Segmts/X22,0))</f>
        <v>5297.9442725573708</v>
      </c>
      <c r="Y23" s="917">
        <f>('Lower Hot Cell Critical Path'!$F$221*ROUNDUP(Tokamak_Segmts/Y22,0))</f>
        <v>3973.4582044180279</v>
      </c>
      <c r="Z23" s="917">
        <f>('Lower Hot Cell Critical Path'!$F$221*ROUNDUP(Tokamak_Segmts/Z22,0))</f>
        <v>2648.9721362786854</v>
      </c>
      <c r="AA23" s="1028">
        <f>('Lower Hot Cell Critical Path'!$F$221*ROUNDUP(Tokamak_Segmts/AA22,0))</f>
        <v>1986.7291022090139</v>
      </c>
      <c r="AB23" s="1430"/>
    </row>
    <row r="24" spans="2:34" ht="15" outlineLevel="1" thickBot="1" x14ac:dyDescent="0.45">
      <c r="B24" s="1771"/>
      <c r="C24" s="748" t="s">
        <v>1056</v>
      </c>
      <c r="D24" s="927">
        <f>SUM(D25)</f>
        <v>1.11E-4</v>
      </c>
      <c r="E24" s="918"/>
      <c r="F24" s="918"/>
      <c r="G24" s="918"/>
      <c r="H24" s="919"/>
      <c r="I24" s="918"/>
      <c r="J24" s="918"/>
      <c r="K24" s="918"/>
      <c r="L24" s="918"/>
      <c r="M24" s="918"/>
      <c r="N24" s="918"/>
      <c r="O24" s="706"/>
      <c r="P24" s="7"/>
      <c r="Q24" s="1413"/>
      <c r="R24" s="7"/>
      <c r="S24" s="7"/>
      <c r="T24" s="7"/>
      <c r="U24" s="3141" t="s">
        <v>2693</v>
      </c>
      <c r="V24" s="1138">
        <f>V$23*$D$24</f>
        <v>7.3508976781733515E-2</v>
      </c>
      <c r="W24" s="1416">
        <f t="shared" ref="W24:AA24" si="5">W$23*$D$24</f>
        <v>1.1761436285077362</v>
      </c>
      <c r="X24" s="920">
        <f t="shared" si="5"/>
        <v>0.58807181425386812</v>
      </c>
      <c r="Y24" s="920">
        <f t="shared" si="5"/>
        <v>0.44105386069040109</v>
      </c>
      <c r="Z24" s="920">
        <f t="shared" si="5"/>
        <v>0.29403590712693406</v>
      </c>
      <c r="AA24" s="1029">
        <f t="shared" si="5"/>
        <v>0.22052693034520054</v>
      </c>
      <c r="AB24" s="1430"/>
    </row>
    <row r="25" spans="2:34" ht="15" outlineLevel="1" thickBot="1" x14ac:dyDescent="0.45">
      <c r="B25" s="1771"/>
      <c r="C25" s="7" t="s">
        <v>1830</v>
      </c>
      <c r="D25" s="283">
        <f>Hardware_transport_failure</f>
        <v>1.11E-4</v>
      </c>
      <c r="E25" s="922"/>
      <c r="F25" s="922"/>
      <c r="G25" s="922"/>
      <c r="H25" s="290"/>
      <c r="I25" s="922"/>
      <c r="J25" s="922"/>
      <c r="K25" s="922"/>
      <c r="L25" s="922"/>
      <c r="M25" s="922"/>
      <c r="N25" s="922"/>
      <c r="O25" s="706"/>
      <c r="P25" s="7"/>
      <c r="Q25" s="1413"/>
      <c r="R25" s="7"/>
      <c r="S25" s="7"/>
      <c r="T25" s="7"/>
      <c r="U25" s="3552" t="s">
        <v>1048</v>
      </c>
      <c r="V25" s="1082">
        <f t="shared" ref="V25:AA25" si="6">V24*(SUMIF($D$28:$D$33,"Operation",$E$28:$E$33))</f>
        <v>0.44105386069040109</v>
      </c>
      <c r="W25" s="1777">
        <f t="shared" si="6"/>
        <v>7.0568617710464174</v>
      </c>
      <c r="X25" s="1777">
        <f t="shared" si="6"/>
        <v>3.5284308855232087</v>
      </c>
      <c r="Y25" s="1777">
        <f t="shared" si="6"/>
        <v>2.6463231641424065</v>
      </c>
      <c r="Z25" s="1777">
        <f t="shared" si="6"/>
        <v>1.7642154427616044</v>
      </c>
      <c r="AA25" s="1778">
        <f t="shared" si="6"/>
        <v>1.3231615820712033</v>
      </c>
      <c r="AB25" s="1430"/>
    </row>
    <row r="26" spans="2:34" ht="15" outlineLevel="1" thickBot="1" x14ac:dyDescent="0.45">
      <c r="B26" s="1771"/>
      <c r="C26" s="7"/>
      <c r="D26" s="7"/>
      <c r="E26" s="7"/>
      <c r="F26" s="1773"/>
      <c r="G26" s="3836" t="s">
        <v>18</v>
      </c>
      <c r="H26" s="3837"/>
      <c r="I26" s="3793" t="s">
        <v>778</v>
      </c>
      <c r="J26" s="3794"/>
      <c r="K26" s="3794"/>
      <c r="L26" s="3794"/>
      <c r="M26" s="3794"/>
      <c r="N26" s="3795"/>
      <c r="O26" s="3793" t="s">
        <v>3</v>
      </c>
      <c r="P26" s="3795"/>
      <c r="Q26" s="3838" t="s">
        <v>779</v>
      </c>
      <c r="R26" s="3839"/>
      <c r="S26" s="3840"/>
      <c r="T26" s="7"/>
      <c r="U26" s="3544" t="s">
        <v>2658</v>
      </c>
      <c r="V26" s="1086">
        <f t="shared" ref="V26:AA26" si="7">V24*(SUMIF($D$28:$D$33,"Movement",$E$28:$E$33)+(SUMIF($D$28:$D$33,"Logistics",$E$28:$E$33)))</f>
        <v>0.24727603022966468</v>
      </c>
      <c r="W26" s="917">
        <f t="shared" si="7"/>
        <v>3.9564164836746349</v>
      </c>
      <c r="X26" s="917">
        <f t="shared" si="7"/>
        <v>1.9782082418373175</v>
      </c>
      <c r="Y26" s="917">
        <f t="shared" si="7"/>
        <v>1.483656181377988</v>
      </c>
      <c r="Z26" s="917">
        <f t="shared" si="7"/>
        <v>0.98910412091865874</v>
      </c>
      <c r="AA26" s="1028">
        <f t="shared" si="7"/>
        <v>0.74182809068899402</v>
      </c>
      <c r="AB26" s="1430"/>
    </row>
    <row r="27" spans="2:34" ht="15" outlineLevel="1" thickBot="1" x14ac:dyDescent="0.45">
      <c r="B27" s="1771"/>
      <c r="C27" s="1775" t="s">
        <v>1129</v>
      </c>
      <c r="D27" s="1123" t="s">
        <v>782</v>
      </c>
      <c r="E27" s="1123" t="s">
        <v>783</v>
      </c>
      <c r="F27" s="1124" t="s">
        <v>784</v>
      </c>
      <c r="G27" s="562" t="s">
        <v>785</v>
      </c>
      <c r="H27" s="946" t="s">
        <v>783</v>
      </c>
      <c r="I27" s="565" t="s">
        <v>786</v>
      </c>
      <c r="J27" s="559" t="s">
        <v>787</v>
      </c>
      <c r="K27" s="559" t="s">
        <v>788</v>
      </c>
      <c r="L27" s="559" t="s">
        <v>789</v>
      </c>
      <c r="M27" s="559" t="s">
        <v>790</v>
      </c>
      <c r="N27" s="561" t="s">
        <v>783</v>
      </c>
      <c r="O27" s="1145" t="s">
        <v>785</v>
      </c>
      <c r="P27" s="1152" t="s">
        <v>783</v>
      </c>
      <c r="Q27" s="1447" t="s">
        <v>781</v>
      </c>
      <c r="R27" s="786" t="s">
        <v>791</v>
      </c>
      <c r="S27" s="787" t="s">
        <v>792</v>
      </c>
      <c r="T27" s="7"/>
      <c r="U27" s="3144" t="s">
        <v>2663</v>
      </c>
      <c r="V27" s="1089">
        <f t="shared" ref="V27:AA27" si="8">V24*(-SUMIF($S$28:$S$33,"&lt;0"))</f>
        <v>0</v>
      </c>
      <c r="W27" s="920">
        <f t="shared" si="8"/>
        <v>0</v>
      </c>
      <c r="X27" s="920">
        <f t="shared" si="8"/>
        <v>0</v>
      </c>
      <c r="Y27" s="920">
        <f t="shared" si="8"/>
        <v>0</v>
      </c>
      <c r="Z27" s="920">
        <f t="shared" si="8"/>
        <v>0</v>
      </c>
      <c r="AA27" s="1029">
        <f t="shared" si="8"/>
        <v>0</v>
      </c>
      <c r="AB27" s="1430"/>
    </row>
    <row r="28" spans="2:34" ht="15" outlineLevel="1" thickBot="1" x14ac:dyDescent="0.45">
      <c r="B28" s="1771"/>
      <c r="C28" s="1776" t="s">
        <v>1817</v>
      </c>
      <c r="D28" s="847" t="s">
        <v>251</v>
      </c>
      <c r="E28" s="390">
        <f t="shared" ref="E28:E33" si="9">MAX($P28,$N28,$H28)</f>
        <v>0</v>
      </c>
      <c r="F28" s="385">
        <v>0</v>
      </c>
      <c r="G28" s="575" t="s">
        <v>1818</v>
      </c>
      <c r="H28" s="580" t="s">
        <v>263</v>
      </c>
      <c r="I28" s="575"/>
      <c r="J28" s="573"/>
      <c r="K28" s="573"/>
      <c r="L28" s="1176" t="str">
        <f>IFERROR(INDEX('Lower Hot Cell Logistics'!$I$13:$O$19,MATCH($J28,'Lower Hot Cell Logistics'!$H$13:$H$19,0),MATCH($K28,'Lower Hot Cell Logistics'!$H$13:$H$19,0)),"N/A")</f>
        <v>N/A</v>
      </c>
      <c r="M28" s="1176" t="str">
        <f>IFERROR(VLOOKUP($I28,'Lower Hot Cell Logistics'!$H$4:$I$8,2,FALSE),"N/A")</f>
        <v>N/A</v>
      </c>
      <c r="N28" s="580" t="str">
        <f t="shared" ref="N28:N33" si="10">IF(D28="Movement",IFERROR((L28/M28)/(60*60),"Error"),"N/A")</f>
        <v>N/A</v>
      </c>
      <c r="O28" s="575"/>
      <c r="P28" s="580" t="str">
        <f>IF($D28="Logistics",VLOOKUP($O28,'Lower Hot Cell Logistics'!$C$4:$D$69,2,FALSE),"N/A")</f>
        <v>N/A</v>
      </c>
      <c r="Q28" s="1448"/>
      <c r="R28" s="464" t="str">
        <f>IFERROR(VLOOKUP($Q28,'Lower HotCell RecoveryLogistics'!C607:F612,4,FALSE),"N/A")</f>
        <v>N/A</v>
      </c>
      <c r="S28" s="343" t="str">
        <f t="shared" ref="S28:S33" si="11">IFERROR(F27-R28,"N/A")</f>
        <v>N/A</v>
      </c>
      <c r="T28" s="7"/>
      <c r="U28" s="3368" t="s">
        <v>2667</v>
      </c>
      <c r="V28" s="2993">
        <f t="shared" ref="V28:AA28" si="12">V24*$F$34</f>
        <v>0.6883298909200658</v>
      </c>
      <c r="W28" s="2994">
        <f t="shared" si="12"/>
        <v>11.013278254721053</v>
      </c>
      <c r="X28" s="2975">
        <f t="shared" si="12"/>
        <v>5.5066391273605264</v>
      </c>
      <c r="Y28" s="2975">
        <f t="shared" si="12"/>
        <v>4.129979345520395</v>
      </c>
      <c r="Z28" s="2975">
        <f t="shared" si="12"/>
        <v>2.7533195636802632</v>
      </c>
      <c r="AA28" s="2995">
        <f t="shared" si="12"/>
        <v>2.0649896727601975</v>
      </c>
      <c r="AB28" s="1430"/>
    </row>
    <row r="29" spans="2:34" outlineLevel="1" x14ac:dyDescent="0.4">
      <c r="B29" s="1771"/>
      <c r="C29" s="1779" t="s">
        <v>1819</v>
      </c>
      <c r="D29" s="847" t="s">
        <v>778</v>
      </c>
      <c r="E29" s="390">
        <f t="shared" si="9"/>
        <v>6.9444444444444448E-2</v>
      </c>
      <c r="F29" s="517">
        <f>IF(S29&lt;0,E29+F28+(-S29),E29+F28)</f>
        <v>6.9444444444444448E-2</v>
      </c>
      <c r="G29" s="575"/>
      <c r="H29" s="580" t="s">
        <v>263</v>
      </c>
      <c r="I29" s="575" t="s">
        <v>1820</v>
      </c>
      <c r="J29" s="573" t="s">
        <v>799</v>
      </c>
      <c r="K29" s="573" t="s">
        <v>451</v>
      </c>
      <c r="L29" s="1176">
        <f>IFERROR(INDEX('Lower Hot Cell Logistics'!$I$13:$O$19,MATCH($J29,'Lower Hot Cell Logistics'!$H$13:$H$19,0),MATCH($K29,'Lower Hot Cell Logistics'!$H$13:$H$19,0)),"N/A")</f>
        <v>50</v>
      </c>
      <c r="M29" s="1176">
        <f>IFERROR(VLOOKUP($I29,'Lower Hot Cell Logistics'!$H$4:$I$8,2,FALSE),"N/A")</f>
        <v>0.2</v>
      </c>
      <c r="N29" s="580">
        <f t="shared" si="10"/>
        <v>6.9444444444444448E-2</v>
      </c>
      <c r="O29" s="575"/>
      <c r="P29" s="580" t="str">
        <f>IF($D29="Logistics",VLOOKUP($O29,'Lower Hot Cell Logistics'!$C$4:$D$69,2,FALSE),"N/A")</f>
        <v>N/A</v>
      </c>
      <c r="Q29" s="1448"/>
      <c r="R29" s="464" t="str">
        <f>IFERROR(VLOOKUP($Q29,'Lower HotCell RecoveryLogistics'!C608:F613,4,FALSE),"N/A")</f>
        <v>N/A</v>
      </c>
      <c r="S29" s="343" t="str">
        <f t="shared" si="11"/>
        <v>N/A</v>
      </c>
      <c r="T29" s="7"/>
      <c r="AB29" s="1430"/>
    </row>
    <row r="30" spans="2:34" outlineLevel="1" x14ac:dyDescent="0.4">
      <c r="B30" s="1771"/>
      <c r="C30" s="1780" t="s">
        <v>1821</v>
      </c>
      <c r="D30" s="1781" t="s">
        <v>3</v>
      </c>
      <c r="E30" s="390">
        <f t="shared" si="9"/>
        <v>1.8</v>
      </c>
      <c r="F30" s="517">
        <f>IF(S30&lt;0,E30+F29+(-S30),E30+F29)</f>
        <v>1.8694444444444445</v>
      </c>
      <c r="G30" s="575"/>
      <c r="H30" s="580" t="s">
        <v>263</v>
      </c>
      <c r="I30" s="575"/>
      <c r="J30" s="573"/>
      <c r="K30" s="573"/>
      <c r="L30" s="1176" t="str">
        <f>IFERROR(INDEX('Lower Hot Cell Logistics'!$I$13:$O$19,MATCH($J30,'Lower Hot Cell Logistics'!$H$13:$H$19,0),MATCH($K30,'Lower Hot Cell Logistics'!$H$13:$H$19,0)),"N/A")</f>
        <v>N/A</v>
      </c>
      <c r="M30" s="1176" t="str">
        <f>IFERROR(VLOOKUP($I30,'Lower Hot Cell Logistics'!$H$4:$I$8,2,FALSE),"N/A")</f>
        <v>N/A</v>
      </c>
      <c r="N30" s="580" t="str">
        <f t="shared" si="10"/>
        <v>N/A</v>
      </c>
      <c r="O30" s="879" t="s">
        <v>1822</v>
      </c>
      <c r="P30" s="580">
        <f>IF($D30="Logistics",VLOOKUP($O30,'Lower Hot Cell Logistics'!$C$4:$D$69,2,FALSE),"N/A")</f>
        <v>1.8</v>
      </c>
      <c r="Q30" s="1448"/>
      <c r="R30" s="464" t="str">
        <f>IFERROR(VLOOKUP($Q30,'Lower HotCell RecoveryLogistics'!C609:F614,4,FALSE),"N/A")</f>
        <v>N/A</v>
      </c>
      <c r="S30" s="343" t="str">
        <f t="shared" si="11"/>
        <v>N/A</v>
      </c>
      <c r="T30" s="7"/>
      <c r="AB30" s="1430"/>
    </row>
    <row r="31" spans="2:34" ht="38.6" outlineLevel="1" x14ac:dyDescent="0.4">
      <c r="B31" s="1771"/>
      <c r="C31" s="1458" t="s">
        <v>1823</v>
      </c>
      <c r="D31" s="1781" t="s">
        <v>251</v>
      </c>
      <c r="E31" s="459">
        <f t="shared" si="9"/>
        <v>6</v>
      </c>
      <c r="F31" s="517">
        <f>IF(S31&lt;0,E31+F30+(-S31),E31+F30)</f>
        <v>7.8694444444444445</v>
      </c>
      <c r="G31" s="575" t="s">
        <v>1818</v>
      </c>
      <c r="H31" s="580">
        <v>6</v>
      </c>
      <c r="I31" s="575"/>
      <c r="J31" s="573"/>
      <c r="K31" s="573"/>
      <c r="L31" s="1176" t="str">
        <f>IFERROR(INDEX('Lower Hot Cell Logistics'!$I$13:$O$19,MATCH($J31,'Lower Hot Cell Logistics'!$H$13:$H$19,0),MATCH($K31,'Lower Hot Cell Logistics'!$H$13:$H$19,0)),"N/A")</f>
        <v>N/A</v>
      </c>
      <c r="M31" s="1176" t="str">
        <f>IFERROR(VLOOKUP($I31,'Lower Hot Cell Logistics'!$H$4:$I$8,2,FALSE),"N/A")</f>
        <v>N/A</v>
      </c>
      <c r="N31" s="580" t="str">
        <f t="shared" si="10"/>
        <v>N/A</v>
      </c>
      <c r="O31" s="879"/>
      <c r="P31" s="580" t="str">
        <f>IF($D31="Logistics",VLOOKUP($O31,'Lower Hot Cell Logistics'!$C$4:$D$69,2,FALSE),"N/A")</f>
        <v>N/A</v>
      </c>
      <c r="Q31" s="1482" t="s">
        <v>1824</v>
      </c>
      <c r="R31" s="464">
        <f>IFERROR(VLOOKUP($Q31,'Lower HotCell RecoveryLogistics'!C610:F615,4,FALSE),"N/A")</f>
        <v>1.6192592592592594</v>
      </c>
      <c r="S31" s="343">
        <f t="shared" si="11"/>
        <v>0.25018518518518507</v>
      </c>
      <c r="T31" s="7"/>
      <c r="AB31" s="1430"/>
    </row>
    <row r="32" spans="2:34" outlineLevel="1" x14ac:dyDescent="0.4">
      <c r="B32" s="1771"/>
      <c r="C32" s="1159" t="s">
        <v>1825</v>
      </c>
      <c r="D32" s="847" t="s">
        <v>778</v>
      </c>
      <c r="E32" s="390">
        <f t="shared" si="9"/>
        <v>0.69444444444444442</v>
      </c>
      <c r="F32" s="517">
        <f>IF(S32&lt;0,E32+F31+(-S32),E32+F31)</f>
        <v>8.5638888888888882</v>
      </c>
      <c r="G32" s="575"/>
      <c r="H32" s="850" t="s">
        <v>263</v>
      </c>
      <c r="I32" s="575" t="s">
        <v>1826</v>
      </c>
      <c r="J32" s="573" t="s">
        <v>799</v>
      </c>
      <c r="K32" s="573" t="s">
        <v>451</v>
      </c>
      <c r="L32" s="1176">
        <f>IFERROR(INDEX('Lower Hot Cell Logistics'!$I$13:$O$19,MATCH($J32,'Lower Hot Cell Logistics'!$H$13:$H$19,0),MATCH($K32,'Lower Hot Cell Logistics'!$H$13:$H$19,0)),"N/A")</f>
        <v>50</v>
      </c>
      <c r="M32" s="1176">
        <f>IFERROR(VLOOKUP($I32,'Lower Hot Cell Logistics'!$H$4:$I$8,2,FALSE),"N/A")</f>
        <v>0.02</v>
      </c>
      <c r="N32" s="580">
        <f t="shared" si="10"/>
        <v>0.69444444444444442</v>
      </c>
      <c r="O32" s="575"/>
      <c r="P32" s="580" t="str">
        <f>IF($D32="Logistics",VLOOKUP($O32,'Lower Hot Cell Logistics'!$C$4:$D$69,2,FALSE),"N/A")</f>
        <v>N/A</v>
      </c>
      <c r="Q32" s="1449"/>
      <c r="R32" s="464" t="str">
        <f>IFERROR(VLOOKUP($Q32,'Lower HotCell RecoveryLogistics'!C618:F624,4,FALSE),"N/A")</f>
        <v>N/A</v>
      </c>
      <c r="S32" s="343" t="str">
        <f t="shared" si="11"/>
        <v>N/A</v>
      </c>
      <c r="T32" s="5"/>
      <c r="AB32" s="1430"/>
    </row>
    <row r="33" spans="2:34" ht="15" outlineLevel="1" thickBot="1" x14ac:dyDescent="0.45">
      <c r="B33" s="1771"/>
      <c r="C33" s="1146" t="s">
        <v>1827</v>
      </c>
      <c r="D33" s="808" t="s">
        <v>3</v>
      </c>
      <c r="E33" s="349">
        <f t="shared" si="9"/>
        <v>0.8</v>
      </c>
      <c r="F33" s="517">
        <f>IF(S33&lt;0,E33+F32+(-S33),E33+F32)</f>
        <v>9.3638888888888889</v>
      </c>
      <c r="G33" s="586"/>
      <c r="H33" s="811" t="s">
        <v>263</v>
      </c>
      <c r="I33" s="586"/>
      <c r="J33" s="584"/>
      <c r="K33" s="584"/>
      <c r="L33" s="1179" t="str">
        <f>IFERROR(INDEX('Lower Hot Cell Logistics'!$I$13:$O$19,MATCH($J33,'Lower Hot Cell Logistics'!$H$13:$H$19,0),MATCH($K33,'Lower Hot Cell Logistics'!$H$13:$H$19,0)),"N/A")</f>
        <v>N/A</v>
      </c>
      <c r="M33" s="1179" t="str">
        <f>IFERROR(VLOOKUP($I33,'Lower Hot Cell Logistics'!$H$4:$I$8,2,FALSE),"N/A")</f>
        <v>N/A</v>
      </c>
      <c r="N33" s="591" t="str">
        <f t="shared" si="10"/>
        <v>N/A</v>
      </c>
      <c r="O33" s="586" t="s">
        <v>1828</v>
      </c>
      <c r="P33" s="591">
        <f>IF($D33="Logistics",VLOOKUP($O33,'Lower Hot Cell Logistics'!$C$4:$D$69,2,FALSE),"N/A")</f>
        <v>0.8</v>
      </c>
      <c r="Q33" s="1450"/>
      <c r="R33" s="464" t="str">
        <f>IFERROR(VLOOKUP($Q33,'Lower HotCell RecoveryLogistics'!C619:F625,4,FALSE),"N/A")</f>
        <v>N/A</v>
      </c>
      <c r="S33" s="343" t="str">
        <f t="shared" si="11"/>
        <v>N/A</v>
      </c>
      <c r="T33" s="5"/>
      <c r="AB33" s="915"/>
    </row>
    <row r="34" spans="2:34" outlineLevel="1" x14ac:dyDescent="0.4">
      <c r="B34" s="1771"/>
      <c r="C34" s="7"/>
      <c r="D34" s="870" t="s">
        <v>11</v>
      </c>
      <c r="E34" s="7"/>
      <c r="F34" s="290">
        <f>F33</f>
        <v>9.3638888888888889</v>
      </c>
      <c r="G34" s="7"/>
      <c r="H34" s="290"/>
      <c r="I34" s="7"/>
      <c r="J34" s="7"/>
      <c r="K34" s="7"/>
      <c r="L34" s="7"/>
      <c r="M34" s="7"/>
      <c r="N34" s="7"/>
      <c r="O34" s="7"/>
      <c r="P34" s="7"/>
      <c r="Q34" s="1413"/>
      <c r="R34" s="7"/>
      <c r="S34" s="7"/>
      <c r="T34" s="5"/>
      <c r="U34" s="3549"/>
      <c r="V34" s="290"/>
      <c r="W34" s="290"/>
      <c r="X34" s="290"/>
      <c r="Y34" s="290"/>
      <c r="Z34" s="290"/>
      <c r="AA34" s="290"/>
      <c r="AB34" s="915"/>
    </row>
    <row r="35" spans="2:34" outlineLevel="1" x14ac:dyDescent="0.4">
      <c r="B35" s="1771"/>
      <c r="C35" s="1144"/>
      <c r="D35" s="892"/>
      <c r="E35" s="894"/>
      <c r="F35" s="894"/>
      <c r="G35" s="94"/>
      <c r="H35" s="895"/>
      <c r="I35" s="94"/>
      <c r="J35" s="94"/>
      <c r="K35" s="94"/>
      <c r="L35" s="895"/>
      <c r="M35" s="895"/>
      <c r="N35" s="895"/>
      <c r="O35" s="94"/>
      <c r="P35" s="895"/>
      <c r="Q35" s="1782"/>
      <c r="R35" s="895"/>
      <c r="S35" s="895"/>
      <c r="T35" s="5"/>
      <c r="U35" s="3549"/>
      <c r="V35" s="290"/>
      <c r="W35" s="290"/>
      <c r="X35" s="290"/>
      <c r="Y35" s="290"/>
      <c r="Z35" s="290"/>
      <c r="AA35" s="290"/>
      <c r="AB35" s="1430"/>
    </row>
    <row r="36" spans="2:34" x14ac:dyDescent="0.4">
      <c r="B36" s="1783"/>
      <c r="C36" s="1784"/>
      <c r="D36" s="1792"/>
      <c r="E36" s="1792"/>
      <c r="F36" s="1792"/>
      <c r="G36" s="1792"/>
      <c r="H36" s="1793"/>
      <c r="I36" s="1792"/>
      <c r="J36" s="1792"/>
      <c r="K36" s="1792"/>
      <c r="L36" s="1792"/>
      <c r="M36" s="1792"/>
      <c r="N36" s="1792"/>
      <c r="O36" s="1794"/>
      <c r="P36" s="1784"/>
      <c r="Q36" s="1795"/>
      <c r="R36" s="1784"/>
      <c r="S36" s="1784"/>
      <c r="T36" s="1784"/>
      <c r="U36" s="3553"/>
      <c r="V36" s="1796"/>
      <c r="W36" s="1796"/>
      <c r="X36" s="1796"/>
      <c r="Y36" s="1796"/>
      <c r="Z36" s="1796"/>
      <c r="AA36" s="1796"/>
      <c r="AB36" s="1797"/>
    </row>
    <row r="37" spans="2:34" x14ac:dyDescent="0.4">
      <c r="B37" s="5"/>
      <c r="C37" s="1144"/>
      <c r="D37" s="892"/>
      <c r="E37" s="894"/>
      <c r="F37" s="894"/>
      <c r="G37" s="94"/>
      <c r="H37" s="895"/>
      <c r="I37" s="94"/>
      <c r="J37" s="94"/>
      <c r="K37" s="94"/>
      <c r="L37" s="897"/>
      <c r="M37" s="897"/>
      <c r="N37" s="895"/>
      <c r="O37" s="94"/>
      <c r="P37" s="897"/>
      <c r="Q37" s="1444"/>
      <c r="R37" s="897"/>
      <c r="S37" s="897"/>
      <c r="T37" s="5"/>
      <c r="U37" s="3549"/>
      <c r="V37" s="290"/>
      <c r="W37" s="290"/>
      <c r="X37" s="290"/>
      <c r="Y37" s="290"/>
      <c r="Z37" s="290"/>
      <c r="AA37" s="290"/>
      <c r="AB37" s="290"/>
      <c r="AC37" s="8"/>
      <c r="AD37" s="8"/>
      <c r="AE37" s="8"/>
      <c r="AF37" s="8"/>
      <c r="AG37" s="8"/>
      <c r="AH37" s="8"/>
    </row>
    <row r="38" spans="2:34" ht="15.45" x14ac:dyDescent="0.4">
      <c r="B38" s="1769"/>
      <c r="C38" s="1770" t="s">
        <v>1143</v>
      </c>
      <c r="D38" s="1798"/>
      <c r="E38" s="1798"/>
      <c r="F38" s="1798"/>
      <c r="G38" s="1798"/>
      <c r="H38" s="1798"/>
      <c r="I38" s="1798"/>
      <c r="J38" s="1798"/>
      <c r="K38" s="1798"/>
      <c r="L38" s="1798"/>
      <c r="M38" s="1798"/>
      <c r="N38" s="1798"/>
      <c r="O38" s="1798"/>
      <c r="P38" s="1798"/>
      <c r="Q38" s="1799"/>
      <c r="R38" s="1798"/>
      <c r="S38" s="1798"/>
      <c r="T38" s="1798"/>
      <c r="U38" s="3554"/>
      <c r="V38" s="1798"/>
      <c r="W38" s="1798"/>
      <c r="X38" s="1798"/>
      <c r="Y38" s="1798"/>
      <c r="Z38" s="1798"/>
      <c r="AA38" s="1798"/>
      <c r="AB38" s="1800"/>
    </row>
    <row r="39" spans="2:34" ht="15" outlineLevel="1" thickBot="1" x14ac:dyDescent="0.45">
      <c r="B39" s="1771"/>
      <c r="C39" s="748" t="s">
        <v>1053</v>
      </c>
      <c r="D39" s="706"/>
      <c r="E39" s="706"/>
      <c r="F39" s="706"/>
      <c r="G39" s="706"/>
      <c r="H39" s="1117"/>
      <c r="I39" s="706"/>
      <c r="J39" s="706"/>
      <c r="K39" s="706"/>
      <c r="L39" s="706"/>
      <c r="M39" s="706"/>
      <c r="N39" s="706"/>
      <c r="O39" s="706"/>
      <c r="P39" s="7"/>
      <c r="Q39" s="1413"/>
      <c r="R39" s="7"/>
      <c r="S39" s="7"/>
      <c r="T39" s="7"/>
      <c r="U39" s="3549"/>
      <c r="V39" s="290"/>
      <c r="W39" s="290"/>
      <c r="X39" s="290"/>
      <c r="Y39" s="290"/>
      <c r="Z39" s="290"/>
      <c r="AA39" s="290"/>
      <c r="AB39" s="1430"/>
    </row>
    <row r="40" spans="2:34" outlineLevel="1" x14ac:dyDescent="0.4">
      <c r="B40" s="1771"/>
      <c r="C40" s="700" t="s">
        <v>1144</v>
      </c>
      <c r="D40" s="706"/>
      <c r="E40" s="706"/>
      <c r="F40" s="706"/>
      <c r="G40" s="706"/>
      <c r="H40" s="1117"/>
      <c r="I40" s="706"/>
      <c r="J40" s="706"/>
      <c r="K40" s="706"/>
      <c r="L40" s="706"/>
      <c r="M40" s="706"/>
      <c r="N40" s="706"/>
      <c r="O40" s="706"/>
      <c r="P40" s="7"/>
      <c r="Q40" s="1413"/>
      <c r="R40" s="7"/>
      <c r="S40" s="7"/>
      <c r="T40" s="7"/>
      <c r="U40" s="3555" t="str">
        <f>C38</f>
        <v>Multifunction Manipulator failure</v>
      </c>
      <c r="V40" s="1119" t="s">
        <v>23</v>
      </c>
      <c r="W40" s="3842" t="s">
        <v>2604</v>
      </c>
      <c r="X40" s="3843"/>
      <c r="Y40" s="3843"/>
      <c r="Z40" s="3843"/>
      <c r="AA40" s="3844"/>
      <c r="AB40" s="1430"/>
    </row>
    <row r="41" spans="2:34" outlineLevel="1" x14ac:dyDescent="0.4">
      <c r="B41" s="1771"/>
      <c r="C41" s="700" t="s">
        <v>1125</v>
      </c>
      <c r="D41" s="706"/>
      <c r="E41" s="706"/>
      <c r="F41" s="706"/>
      <c r="G41" s="706"/>
      <c r="H41" s="1117"/>
      <c r="I41" s="706"/>
      <c r="J41" s="706"/>
      <c r="K41" s="706"/>
      <c r="L41" s="706"/>
      <c r="M41" s="706"/>
      <c r="N41" s="706"/>
      <c r="O41" s="706"/>
      <c r="P41" s="7"/>
      <c r="Q41" s="1413"/>
      <c r="R41" s="7"/>
      <c r="S41" s="7"/>
      <c r="T41" s="7"/>
      <c r="U41" s="3556" t="s">
        <v>1055</v>
      </c>
      <c r="V41" s="1122">
        <v>1</v>
      </c>
      <c r="W41" s="1512">
        <v>1</v>
      </c>
      <c r="X41" s="916">
        <v>2</v>
      </c>
      <c r="Y41" s="916">
        <v>3</v>
      </c>
      <c r="Z41" s="916">
        <v>4</v>
      </c>
      <c r="AA41" s="1045">
        <v>6</v>
      </c>
      <c r="AB41" s="1430"/>
    </row>
    <row r="42" spans="2:34" outlineLevel="1" x14ac:dyDescent="0.4">
      <c r="B42" s="1771"/>
      <c r="C42" s="700" t="s">
        <v>1842</v>
      </c>
      <c r="D42" s="706"/>
      <c r="E42" s="706"/>
      <c r="F42" s="706"/>
      <c r="G42" s="706"/>
      <c r="H42" s="1117"/>
      <c r="I42" s="706"/>
      <c r="J42" s="706"/>
      <c r="K42" s="706"/>
      <c r="L42" s="706"/>
      <c r="M42" s="706"/>
      <c r="N42" s="706"/>
      <c r="O42" s="706"/>
      <c r="P42" s="7"/>
      <c r="Q42" s="1413"/>
      <c r="R42" s="7"/>
      <c r="S42" s="7"/>
      <c r="T42" s="7"/>
      <c r="U42" s="3140" t="s">
        <v>1843</v>
      </c>
      <c r="V42" s="1086">
        <f>SUMIF('Lower Hot Cell Critical Path'!$C$7:$C$208, "*Multifunction Manipulator*", 'Lower Hot Cell Critical Path'!$E$7:$E$208)</f>
        <v>69.139999999999972</v>
      </c>
      <c r="W42" s="1415">
        <f>SUMIF('Lower Hot Cell Critical Path'!$C$7:$C$208, "*Multifunction Manipulator*", 'Lower Hot Cell Critical Path'!$E$7:$E$208)</f>
        <v>69.139999999999972</v>
      </c>
      <c r="X42" s="917">
        <f>SUMIF('Lower Hot Cell Critical Path'!$C$7:$C$208, "*Multifunction Manipulator*", 'Lower Hot Cell Critical Path'!$E$7:$E$208)</f>
        <v>69.139999999999972</v>
      </c>
      <c r="Y42" s="917">
        <f>SUMIF('Lower Hot Cell Critical Path'!$C$7:$C$208, "*Multifunction Manipulator*", 'Lower Hot Cell Critical Path'!$E$7:$E$208)</f>
        <v>69.139999999999972</v>
      </c>
      <c r="Z42" s="917">
        <f>SUMIF('Lower Hot Cell Critical Path'!$C$7:$C$208, "*Multifunction Manipulator*", 'Lower Hot Cell Critical Path'!$E$7:$E$208)</f>
        <v>69.139999999999972</v>
      </c>
      <c r="AA42" s="1028">
        <f>SUMIF('Lower Hot Cell Critical Path'!$C$7:$C$208, "*Multifunction Manipulator*", 'Lower Hot Cell Critical Path'!$E$7:$E$208)</f>
        <v>69.139999999999972</v>
      </c>
      <c r="AB42" s="1430"/>
    </row>
    <row r="43" spans="2:34" outlineLevel="1" x14ac:dyDescent="0.4">
      <c r="B43" s="1771"/>
      <c r="C43" s="700"/>
      <c r="D43" s="706"/>
      <c r="E43" s="706"/>
      <c r="F43" s="706"/>
      <c r="G43" s="706"/>
      <c r="H43" s="1117"/>
      <c r="I43" s="706"/>
      <c r="J43" s="706"/>
      <c r="K43" s="706"/>
      <c r="L43" s="706"/>
      <c r="M43" s="706"/>
      <c r="N43" s="706"/>
      <c r="O43" s="706"/>
      <c r="P43" s="7"/>
      <c r="Q43" s="1413"/>
      <c r="R43" s="7"/>
      <c r="S43" s="7"/>
      <c r="T43" s="7"/>
      <c r="U43" s="3140" t="s">
        <v>2668</v>
      </c>
      <c r="V43" s="1086">
        <f>V42</f>
        <v>69.139999999999972</v>
      </c>
      <c r="W43" s="1415">
        <f>(W42*ROUNDUP(Tokamak_Segmts/W41,0))</f>
        <v>1106.2399999999996</v>
      </c>
      <c r="X43" s="917">
        <f>(X42*ROUNDUP(Tokamak_Segmts/X41,0))</f>
        <v>553.11999999999978</v>
      </c>
      <c r="Y43" s="917">
        <f>(Y42*ROUNDUP(Tokamak_Segmts/Y41,0))</f>
        <v>414.8399999999998</v>
      </c>
      <c r="Z43" s="917">
        <f>(Z42*ROUNDUP(Tokamak_Segmts/Z41,0))</f>
        <v>276.55999999999989</v>
      </c>
      <c r="AA43" s="1028">
        <f>(AA42*ROUNDUP(Tokamak_Segmts/AA41,0))</f>
        <v>207.4199999999999</v>
      </c>
      <c r="AB43" s="1430"/>
    </row>
    <row r="44" spans="2:34" ht="15" outlineLevel="1" thickBot="1" x14ac:dyDescent="0.45">
      <c r="B44" s="1771"/>
      <c r="C44" s="748" t="s">
        <v>1056</v>
      </c>
      <c r="D44" s="927">
        <f>SUM(D45)</f>
        <v>0.02</v>
      </c>
      <c r="E44" s="918"/>
      <c r="F44" s="918"/>
      <c r="G44" s="918"/>
      <c r="H44" s="919"/>
      <c r="I44" s="918"/>
      <c r="J44" s="918"/>
      <c r="K44" s="918"/>
      <c r="L44" s="918"/>
      <c r="M44" s="918"/>
      <c r="N44" s="918"/>
      <c r="O44" s="706"/>
      <c r="P44" s="7"/>
      <c r="Q44" s="1413"/>
      <c r="R44" s="7"/>
      <c r="S44" s="7"/>
      <c r="T44" s="7"/>
      <c r="U44" s="3141" t="s">
        <v>2693</v>
      </c>
      <c r="V44" s="1089">
        <f>V$43*$D$44</f>
        <v>1.3827999999999994</v>
      </c>
      <c r="W44" s="1416">
        <f t="shared" ref="W44:AA44" si="13">W$43*$D$44</f>
        <v>22.12479999999999</v>
      </c>
      <c r="X44" s="920">
        <f t="shared" si="13"/>
        <v>11.062399999999995</v>
      </c>
      <c r="Y44" s="920">
        <f t="shared" si="13"/>
        <v>8.2967999999999957</v>
      </c>
      <c r="Z44" s="920">
        <f t="shared" si="13"/>
        <v>5.5311999999999975</v>
      </c>
      <c r="AA44" s="1029">
        <f t="shared" si="13"/>
        <v>4.1483999999999979</v>
      </c>
      <c r="AB44" s="1430"/>
    </row>
    <row r="45" spans="2:34" outlineLevel="1" x14ac:dyDescent="0.4">
      <c r="B45" s="1771"/>
      <c r="C45" s="7" t="s">
        <v>1146</v>
      </c>
      <c r="D45" s="283">
        <f>total_mfm_failure</f>
        <v>0.02</v>
      </c>
      <c r="E45" s="922"/>
      <c r="F45" s="922"/>
      <c r="G45" s="918"/>
      <c r="H45" s="919"/>
      <c r="I45" s="918"/>
      <c r="J45" s="918"/>
      <c r="K45" s="918"/>
      <c r="L45" s="918"/>
      <c r="M45" s="918"/>
      <c r="N45" s="918"/>
      <c r="O45" s="706"/>
      <c r="P45" s="7"/>
      <c r="Q45" s="1413"/>
      <c r="R45" s="7"/>
      <c r="S45" s="7"/>
      <c r="T45" s="7"/>
      <c r="U45" s="3552" t="s">
        <v>1048</v>
      </c>
      <c r="V45" s="1082">
        <f t="shared" ref="V45:AA45" si="14">V44*SUMIF($D$49:$D$59,"Operation",$E$49:$E$59)</f>
        <v>4.1483999999999979</v>
      </c>
      <c r="W45" s="1414">
        <f t="shared" si="14"/>
        <v>66.374399999999966</v>
      </c>
      <c r="X45" s="1777">
        <f t="shared" si="14"/>
        <v>33.187199999999983</v>
      </c>
      <c r="Y45" s="1777">
        <f t="shared" si="14"/>
        <v>24.890399999999985</v>
      </c>
      <c r="Z45" s="1777">
        <f t="shared" si="14"/>
        <v>16.593599999999991</v>
      </c>
      <c r="AA45" s="1778">
        <f t="shared" si="14"/>
        <v>12.445199999999993</v>
      </c>
      <c r="AB45" s="1430"/>
    </row>
    <row r="46" spans="2:34" ht="15" outlineLevel="1" thickBot="1" x14ac:dyDescent="0.45">
      <c r="B46" s="1771"/>
      <c r="C46" s="7"/>
      <c r="D46" s="922"/>
      <c r="E46" s="922"/>
      <c r="F46" s="922"/>
      <c r="G46" s="918"/>
      <c r="H46" s="919"/>
      <c r="I46" s="918"/>
      <c r="J46" s="918"/>
      <c r="K46" s="918"/>
      <c r="L46" s="918"/>
      <c r="M46" s="918"/>
      <c r="N46" s="918"/>
      <c r="O46" s="706"/>
      <c r="P46" s="7"/>
      <c r="Q46" s="1413"/>
      <c r="R46" s="7"/>
      <c r="S46" s="7"/>
      <c r="T46" s="7"/>
      <c r="U46" s="3544" t="s">
        <v>2658</v>
      </c>
      <c r="V46" s="1086">
        <f t="shared" ref="V46:AA46" si="15">V44*(SUMIF($D$49:$D$59,"Movement",$E$49:$E$59)+SUMIF($D$49:$D$59,"Logistics",$E$49:$E$59))</f>
        <v>12.651851777777772</v>
      </c>
      <c r="W46" s="1415">
        <f t="shared" si="15"/>
        <v>202.42962844444435</v>
      </c>
      <c r="X46" s="917">
        <f t="shared" si="15"/>
        <v>101.21481422222217</v>
      </c>
      <c r="Y46" s="917">
        <f t="shared" si="15"/>
        <v>75.91111066666663</v>
      </c>
      <c r="Z46" s="917">
        <f t="shared" si="15"/>
        <v>50.607407111111087</v>
      </c>
      <c r="AA46" s="1028">
        <f t="shared" si="15"/>
        <v>37.955555333333315</v>
      </c>
      <c r="AB46" s="1430"/>
    </row>
    <row r="47" spans="2:34" ht="15" outlineLevel="1" thickBot="1" x14ac:dyDescent="0.45">
      <c r="B47" s="1771"/>
      <c r="C47" s="7"/>
      <c r="D47" s="7"/>
      <c r="E47" s="7"/>
      <c r="F47" s="929"/>
      <c r="G47" s="3841" t="s">
        <v>18</v>
      </c>
      <c r="H47" s="3837"/>
      <c r="I47" s="3793" t="s">
        <v>778</v>
      </c>
      <c r="J47" s="3794"/>
      <c r="K47" s="3794"/>
      <c r="L47" s="3794"/>
      <c r="M47" s="3794"/>
      <c r="N47" s="3795"/>
      <c r="O47" s="3793" t="s">
        <v>3</v>
      </c>
      <c r="P47" s="3795"/>
      <c r="Q47" s="3838" t="s">
        <v>779</v>
      </c>
      <c r="R47" s="3839"/>
      <c r="S47" s="3840"/>
      <c r="T47" s="938"/>
      <c r="U47" s="3144" t="s">
        <v>2663</v>
      </c>
      <c r="V47" s="1089">
        <f t="shared" ref="V47:AA47" si="16">V44*(-SUMIF($S$49:$S$59,"&lt;0"))</f>
        <v>0</v>
      </c>
      <c r="W47" s="1416">
        <f t="shared" si="16"/>
        <v>0</v>
      </c>
      <c r="X47" s="920">
        <f t="shared" si="16"/>
        <v>0</v>
      </c>
      <c r="Y47" s="920">
        <f t="shared" si="16"/>
        <v>0</v>
      </c>
      <c r="Z47" s="920">
        <f t="shared" si="16"/>
        <v>0</v>
      </c>
      <c r="AA47" s="1029">
        <f t="shared" si="16"/>
        <v>0</v>
      </c>
      <c r="AB47" s="1430"/>
    </row>
    <row r="48" spans="2:34" ht="15" outlineLevel="1" thickBot="1" x14ac:dyDescent="0.45">
      <c r="B48" s="1771"/>
      <c r="C48" s="562" t="s">
        <v>1129</v>
      </c>
      <c r="D48" s="563" t="s">
        <v>782</v>
      </c>
      <c r="E48" s="942" t="s">
        <v>783</v>
      </c>
      <c r="F48" s="943" t="s">
        <v>784</v>
      </c>
      <c r="G48" s="940" t="s">
        <v>785</v>
      </c>
      <c r="H48" s="944" t="s">
        <v>783</v>
      </c>
      <c r="I48" s="940" t="s">
        <v>786</v>
      </c>
      <c r="J48" s="563" t="s">
        <v>787</v>
      </c>
      <c r="K48" s="563" t="s">
        <v>788</v>
      </c>
      <c r="L48" s="563" t="s">
        <v>789</v>
      </c>
      <c r="M48" s="563" t="s">
        <v>790</v>
      </c>
      <c r="N48" s="564" t="s">
        <v>783</v>
      </c>
      <c r="O48" s="560" t="s">
        <v>785</v>
      </c>
      <c r="P48" s="1152" t="s">
        <v>783</v>
      </c>
      <c r="Q48" s="1447" t="s">
        <v>781</v>
      </c>
      <c r="R48" s="786" t="s">
        <v>791</v>
      </c>
      <c r="S48" s="787" t="s">
        <v>792</v>
      </c>
      <c r="T48" s="947"/>
      <c r="U48" s="3368" t="s">
        <v>2667</v>
      </c>
      <c r="V48" s="2993">
        <f t="shared" ref="V48:AA48" si="17">V44*$F$60</f>
        <v>16.80025177777777</v>
      </c>
      <c r="W48" s="2994">
        <f t="shared" si="17"/>
        <v>268.80402844444433</v>
      </c>
      <c r="X48" s="2975">
        <f t="shared" si="17"/>
        <v>134.40201422222216</v>
      </c>
      <c r="Y48" s="2975">
        <f t="shared" si="17"/>
        <v>100.80151066666662</v>
      </c>
      <c r="Z48" s="2975">
        <f t="shared" si="17"/>
        <v>67.201007111111082</v>
      </c>
      <c r="AA48" s="2995">
        <f t="shared" si="17"/>
        <v>50.400755333333308</v>
      </c>
      <c r="AB48" s="1430"/>
    </row>
    <row r="49" spans="2:28" outlineLevel="1" x14ac:dyDescent="0.4">
      <c r="B49" s="1771"/>
      <c r="C49" s="1776" t="s">
        <v>2259</v>
      </c>
      <c r="D49" s="798" t="s">
        <v>251</v>
      </c>
      <c r="E49" s="326">
        <f t="shared" ref="E49:E59" si="18">MAX($P49,$N49,$H49)</f>
        <v>0</v>
      </c>
      <c r="F49" s="327">
        <v>0</v>
      </c>
      <c r="G49" s="568" t="s">
        <v>1818</v>
      </c>
      <c r="H49" s="621" t="s">
        <v>263</v>
      </c>
      <c r="I49" s="568"/>
      <c r="J49" s="566"/>
      <c r="K49" s="566"/>
      <c r="L49" s="1175" t="str">
        <f>IFERROR(INDEX('Lower Hot Cell Logistics'!$I$13:$O$19,MATCH($J49,'Lower Hot Cell Logistics'!$H$13:$H$19,0),MATCH($K49,'Lower Hot Cell Logistics'!$H$13:$H$19,0)),"N/A")</f>
        <v>N/A</v>
      </c>
      <c r="M49" s="1175" t="str">
        <f>IFERROR(VLOOKUP($I49,'Lower Hot Cell Logistics'!$H$4:$I$8,2,FALSE),"N/A")</f>
        <v>N/A</v>
      </c>
      <c r="N49" s="621" t="str">
        <f t="shared" ref="N49:N59" si="19">IF(D49="Movement",IFERROR((L49/M49)/(60*60),"Error"),"N/A")</f>
        <v>N/A</v>
      </c>
      <c r="O49" s="568"/>
      <c r="P49" s="621" t="str">
        <f>IF($D49="Logistics",VLOOKUP($O49,'Lower Hot Cell Logistics'!$C$4:$D$69,2,FALSE),"N/A")</f>
        <v>N/A</v>
      </c>
      <c r="Q49" s="2275"/>
      <c r="R49" s="456" t="str">
        <f>IFERROR(VLOOKUP($Q49,'Lower HotCell RecoveryLogistics'!$C$618:$F$624,4,FALSE),"N/A")</f>
        <v>N/A</v>
      </c>
      <c r="S49" s="329" t="str">
        <f>IFERROR(F48-R49,"N/A")</f>
        <v>N/A</v>
      </c>
      <c r="T49" s="7"/>
      <c r="AB49" s="1430"/>
    </row>
    <row r="50" spans="2:28" outlineLevel="1" x14ac:dyDescent="0.4">
      <c r="B50" s="1771"/>
      <c r="C50" s="1779" t="s">
        <v>1819</v>
      </c>
      <c r="D50" s="847" t="s">
        <v>778</v>
      </c>
      <c r="E50" s="390">
        <f t="shared" si="18"/>
        <v>6.9444444444444448E-2</v>
      </c>
      <c r="F50" s="517">
        <f>IF(S50&lt;0,E50+F49+(-S50),E50+F49)</f>
        <v>6.9444444444444448E-2</v>
      </c>
      <c r="G50" s="575"/>
      <c r="H50" s="580" t="s">
        <v>263</v>
      </c>
      <c r="I50" s="575" t="s">
        <v>1820</v>
      </c>
      <c r="J50" s="573" t="s">
        <v>799</v>
      </c>
      <c r="K50" s="573" t="s">
        <v>451</v>
      </c>
      <c r="L50" s="1176">
        <f>IFERROR(INDEX('Lower Hot Cell Logistics'!$I$13:$O$19,MATCH($J50,'Lower Hot Cell Logistics'!$H$13:$H$19,0),MATCH($K50,'Lower Hot Cell Logistics'!$H$13:$H$19,0)),"N/A")</f>
        <v>50</v>
      </c>
      <c r="M50" s="1176">
        <f>IFERROR(VLOOKUP($I50,'Lower Hot Cell Logistics'!$H$4:$I$8,2,FALSE),"N/A")</f>
        <v>0.2</v>
      </c>
      <c r="N50" s="580">
        <f t="shared" si="19"/>
        <v>6.9444444444444448E-2</v>
      </c>
      <c r="O50" s="575"/>
      <c r="P50" s="580" t="str">
        <f>IF($D50="Logistics",VLOOKUP($O50,'Lower Hot Cell Logistics'!$C$4:$D$69,2,FALSE),"N/A")</f>
        <v>N/A</v>
      </c>
      <c r="Q50" s="1448"/>
      <c r="R50" s="464" t="str">
        <f>IFERROR(VLOOKUP($Q50,'Lower HotCell RecoveryLogistics'!$C$618:$F$624,4,FALSE),"N/A")</f>
        <v>N/A</v>
      </c>
      <c r="S50" s="343" t="str">
        <f>IFERROR(F49-R50,"N/A")</f>
        <v>N/A</v>
      </c>
      <c r="T50" s="7"/>
      <c r="AB50" s="1430"/>
    </row>
    <row r="51" spans="2:28" outlineLevel="1" x14ac:dyDescent="0.4">
      <c r="B51" s="1771"/>
      <c r="C51" s="1780" t="s">
        <v>2260</v>
      </c>
      <c r="D51" s="1781" t="s">
        <v>3</v>
      </c>
      <c r="E51" s="390">
        <f t="shared" si="18"/>
        <v>0.8</v>
      </c>
      <c r="F51" s="517">
        <f>IF(S51&lt;0,E51+F50+(-S51),E51+F50)</f>
        <v>0.86944444444444446</v>
      </c>
      <c r="G51" s="575"/>
      <c r="H51" s="580" t="s">
        <v>263</v>
      </c>
      <c r="I51" s="575"/>
      <c r="J51" s="573"/>
      <c r="K51" s="573"/>
      <c r="L51" s="1176" t="str">
        <f>IFERROR(INDEX('Lower Hot Cell Logistics'!$I$13:$O$19,MATCH($J51,'Lower Hot Cell Logistics'!$H$13:$H$19,0),MATCH($K51,'Lower Hot Cell Logistics'!$H$13:$H$19,0)),"N/A")</f>
        <v>N/A</v>
      </c>
      <c r="M51" s="1176" t="str">
        <f>IFERROR(VLOOKUP($I51,'Lower Hot Cell Logistics'!$H$4:$I$8,2,FALSE),"N/A")</f>
        <v>N/A</v>
      </c>
      <c r="N51" s="580" t="str">
        <f t="shared" si="19"/>
        <v>N/A</v>
      </c>
      <c r="O51" s="879" t="s">
        <v>1828</v>
      </c>
      <c r="P51" s="580">
        <f>IF($D51="Logistics",VLOOKUP($O51,'Lower Hot Cell Logistics'!$C$4:$D$69,2,FALSE),"N/A")</f>
        <v>0.8</v>
      </c>
      <c r="Q51" s="1448"/>
      <c r="R51" s="464" t="str">
        <f>IFERROR(VLOOKUP($Q51,'Lower HotCell RecoveryLogistics'!$C$618:$F$624,4,FALSE),"N/A")</f>
        <v>N/A</v>
      </c>
      <c r="S51" s="343" t="str">
        <f>IFERROR(F50-R51,"N/A")</f>
        <v>N/A</v>
      </c>
      <c r="T51" s="7"/>
      <c r="AB51" s="1430"/>
    </row>
    <row r="52" spans="2:28" outlineLevel="1" x14ac:dyDescent="0.4">
      <c r="B52" s="1771"/>
      <c r="C52" s="1458" t="s">
        <v>2261</v>
      </c>
      <c r="D52" s="1781" t="s">
        <v>3</v>
      </c>
      <c r="E52" s="459">
        <f t="shared" si="18"/>
        <v>1.8</v>
      </c>
      <c r="F52" s="517">
        <f t="shared" ref="F52:F59" si="20">IF(S52&lt;0,E52+F51+(-S52),E52+F51)</f>
        <v>2.6694444444444443</v>
      </c>
      <c r="G52" s="575"/>
      <c r="H52" s="580" t="s">
        <v>263</v>
      </c>
      <c r="I52" s="575"/>
      <c r="J52" s="573"/>
      <c r="K52" s="573"/>
      <c r="L52" s="1176" t="str">
        <f>IFERROR(INDEX('Lower Hot Cell Logistics'!$I$13:$O$19,MATCH($J52,'Lower Hot Cell Logistics'!$H$13:$H$19,0),MATCH($K52,'Lower Hot Cell Logistics'!$H$13:$H$19,0)),"N/A")</f>
        <v>N/A</v>
      </c>
      <c r="M52" s="1176" t="str">
        <f>IFERROR(VLOOKUP($I52,'Lower Hot Cell Logistics'!$H$4:$I$8,2,FALSE),"N/A")</f>
        <v>N/A</v>
      </c>
      <c r="N52" s="580" t="str">
        <f t="shared" si="19"/>
        <v>N/A</v>
      </c>
      <c r="O52" s="879" t="s">
        <v>1822</v>
      </c>
      <c r="P52" s="580">
        <f>IF($D52="Logistics",VLOOKUP($O52,'Lower Hot Cell Logistics'!$C$4:$D$69,2,FALSE),"N/A")</f>
        <v>1.8</v>
      </c>
      <c r="Q52" s="1449"/>
      <c r="R52" s="464" t="str">
        <f>IFERROR(VLOOKUP($Q52,'Lower HotCell RecoveryLogistics'!$C$618:$F$624,4,FALSE),"N/A")</f>
        <v>N/A</v>
      </c>
      <c r="S52" s="343" t="str">
        <f>IFERROR(F51-R52,"N/A")</f>
        <v>N/A</v>
      </c>
      <c r="T52" s="7"/>
      <c r="AB52" s="1430"/>
    </row>
    <row r="53" spans="2:28" outlineLevel="1" x14ac:dyDescent="0.4">
      <c r="B53" s="1771"/>
      <c r="C53" s="1458" t="s">
        <v>2262</v>
      </c>
      <c r="D53" s="1781" t="s">
        <v>3</v>
      </c>
      <c r="E53" s="459">
        <f t="shared" si="18"/>
        <v>0.6</v>
      </c>
      <c r="F53" s="517">
        <f t="shared" si="20"/>
        <v>3.2694444444444444</v>
      </c>
      <c r="G53" s="575"/>
      <c r="H53" s="850" t="s">
        <v>263</v>
      </c>
      <c r="I53" s="575" t="s">
        <v>1826</v>
      </c>
      <c r="J53" s="573" t="s">
        <v>451</v>
      </c>
      <c r="K53" s="573" t="s">
        <v>831</v>
      </c>
      <c r="L53" s="1176">
        <f>IFERROR(INDEX('Lower Hot Cell Logistics'!$I$13:$O$19,MATCH($J53,'Lower Hot Cell Logistics'!$H$13:$H$19,0),MATCH($K53,'Lower Hot Cell Logistics'!$H$13:$H$19,0)),"N/A")</f>
        <v>50</v>
      </c>
      <c r="M53" s="1176">
        <f>IFERROR(VLOOKUP($I53,'Lower Hot Cell Logistics'!$H$4:$I$8,2,FALSE),"N/A")</f>
        <v>0.02</v>
      </c>
      <c r="N53" s="580" t="str">
        <f t="shared" si="19"/>
        <v>N/A</v>
      </c>
      <c r="O53" s="879" t="s">
        <v>2008</v>
      </c>
      <c r="P53" s="580">
        <f>IF($D53="Logistics",VLOOKUP($O53,'Lower Hot Cell Logistics'!$C$4:$D$69,2,FALSE),"N/A")</f>
        <v>0.6</v>
      </c>
      <c r="Q53" s="1449"/>
      <c r="R53" s="464" t="str">
        <f>IFERROR(VLOOKUP($Q53,'Lower HotCell RecoveryLogistics'!$C$618:$F$624,4,FALSE),"N/A")</f>
        <v>N/A</v>
      </c>
      <c r="S53" s="343" t="str">
        <f>IFERROR(F52-R53,"N/A")</f>
        <v>N/A</v>
      </c>
      <c r="T53" s="7"/>
      <c r="AB53" s="1430"/>
    </row>
    <row r="54" spans="2:28" outlineLevel="1" x14ac:dyDescent="0.4">
      <c r="B54" s="1771"/>
      <c r="C54" s="1458" t="s">
        <v>2263</v>
      </c>
      <c r="D54" s="1781" t="s">
        <v>251</v>
      </c>
      <c r="E54" s="459">
        <f t="shared" si="18"/>
        <v>3</v>
      </c>
      <c r="F54" s="517">
        <f t="shared" si="20"/>
        <v>6.2694444444444439</v>
      </c>
      <c r="G54" s="575" t="s">
        <v>1818</v>
      </c>
      <c r="H54" s="850">
        <v>3</v>
      </c>
      <c r="I54" s="575"/>
      <c r="J54" s="573"/>
      <c r="K54" s="573"/>
      <c r="L54" s="1176" t="str">
        <f>IFERROR(INDEX('Lower Hot Cell Logistics'!$I$13:$O$19,MATCH($J54,'Lower Hot Cell Logistics'!$H$13:$H$19,0),MATCH($K54,'Lower Hot Cell Logistics'!$H$13:$H$19,0)),"N/A")</f>
        <v>N/A</v>
      </c>
      <c r="M54" s="1176" t="str">
        <f>IFERROR(VLOOKUP($I54,'Lower Hot Cell Logistics'!$H$4:$I$8,2,FALSE),"N/A")</f>
        <v>N/A</v>
      </c>
      <c r="N54" s="580" t="str">
        <f t="shared" si="19"/>
        <v>N/A</v>
      </c>
      <c r="O54" s="1941"/>
      <c r="P54" s="580" t="str">
        <f>IF($D54="Logistics",VLOOKUP($O54,'Lower Hot Cell Logistics'!$C$4:$D$69,2,FALSE),"N/A")</f>
        <v>N/A</v>
      </c>
      <c r="Q54" s="1449"/>
      <c r="R54" s="464" t="str">
        <f>IFERROR(VLOOKUP($Q54,'Lower HotCell RecoveryLogistics'!$C$618:$F$624,4,FALSE),"N/A")</f>
        <v>N/A</v>
      </c>
      <c r="S54" s="343" t="str">
        <f>IFERROR(F51-R54,"N/A")</f>
        <v>N/A</v>
      </c>
      <c r="T54" s="7"/>
      <c r="AB54" s="1430"/>
    </row>
    <row r="55" spans="2:28" outlineLevel="1" x14ac:dyDescent="0.4">
      <c r="B55" s="1771"/>
      <c r="C55" s="1458" t="s">
        <v>2264</v>
      </c>
      <c r="D55" s="1781" t="s">
        <v>3</v>
      </c>
      <c r="E55" s="459">
        <f t="shared" si="18"/>
        <v>1.3</v>
      </c>
      <c r="F55" s="517">
        <f t="shared" si="20"/>
        <v>7.5694444444444438</v>
      </c>
      <c r="G55" s="575"/>
      <c r="H55" s="850" t="s">
        <v>263</v>
      </c>
      <c r="I55" s="575"/>
      <c r="J55" s="573"/>
      <c r="K55" s="573"/>
      <c r="L55" s="1176" t="str">
        <f>IFERROR(INDEX('Lower Hot Cell Logistics'!$I$13:$O$19,MATCH($J55,'Lower Hot Cell Logistics'!$H$13:$H$19,0),MATCH($K55,'Lower Hot Cell Logistics'!$H$13:$H$19,0)),"N/A")</f>
        <v>N/A</v>
      </c>
      <c r="M55" s="1176" t="str">
        <f>IFERROR(VLOOKUP($I55,'Lower Hot Cell Logistics'!$H$4:$I$8,2,FALSE),"N/A")</f>
        <v>N/A</v>
      </c>
      <c r="N55" s="580" t="str">
        <f t="shared" si="19"/>
        <v>N/A</v>
      </c>
      <c r="O55" s="575" t="s">
        <v>2265</v>
      </c>
      <c r="P55" s="580">
        <f>IF($D55="Logistics",VLOOKUP($O55,'Lower Hot Cell Logistics'!$C$4:$D$69,2,FALSE),"N/A")</f>
        <v>1.3</v>
      </c>
      <c r="Q55" s="1449"/>
      <c r="R55" s="464" t="str">
        <f>IFERROR(VLOOKUP($Q55,'Lower HotCell RecoveryLogistics'!$C$618:$F$624,4,FALSE),"N/A")</f>
        <v>N/A</v>
      </c>
      <c r="S55" s="343" t="str">
        <f>IFERROR(F53-R55,"N/A")</f>
        <v>N/A</v>
      </c>
      <c r="T55" s="7"/>
      <c r="AB55" s="1430"/>
    </row>
    <row r="56" spans="2:28" ht="38.6" outlineLevel="1" x14ac:dyDescent="0.4">
      <c r="B56" s="1771"/>
      <c r="C56" s="1128" t="s">
        <v>2266</v>
      </c>
      <c r="D56" s="1781" t="s">
        <v>3</v>
      </c>
      <c r="E56" s="390">
        <f t="shared" si="18"/>
        <v>1.8</v>
      </c>
      <c r="F56" s="517">
        <f t="shared" si="20"/>
        <v>9.3694444444444436</v>
      </c>
      <c r="G56" s="575"/>
      <c r="H56" s="850" t="s">
        <v>263</v>
      </c>
      <c r="I56" s="575"/>
      <c r="J56" s="573"/>
      <c r="K56" s="573"/>
      <c r="L56" s="1176" t="str">
        <f>IFERROR(INDEX('Lower Hot Cell Logistics'!$I$13:$O$19,MATCH($J56,'Lower Hot Cell Logistics'!$H$13:$H$19,0),MATCH($K56,'Lower Hot Cell Logistics'!$H$13:$H$19,0)),"N/A")</f>
        <v>N/A</v>
      </c>
      <c r="M56" s="1176" t="str">
        <f>IFERROR(VLOOKUP($I56,'Lower Hot Cell Logistics'!$H$4:$I$8,2,FALSE),"N/A")</f>
        <v>N/A</v>
      </c>
      <c r="N56" s="580" t="str">
        <f t="shared" si="19"/>
        <v>N/A</v>
      </c>
      <c r="O56" s="575" t="s">
        <v>1822</v>
      </c>
      <c r="P56" s="580">
        <f>IF($D56="Logistics",VLOOKUP($O56,'Lower Hot Cell Logistics'!$C$4:$D$69,2,FALSE),"N/A")</f>
        <v>1.8</v>
      </c>
      <c r="Q56" s="1482" t="s">
        <v>2267</v>
      </c>
      <c r="R56" s="464">
        <f>IFERROR(VLOOKUP($Q56,'Lower HotCell RecoveryLogistics'!$C$618:$F$624,4,FALSE),"N/A")</f>
        <v>2.2822222222222224</v>
      </c>
      <c r="S56" s="343">
        <f>IFERROR(F55-R56,"N/A")</f>
        <v>5.2872222222222209</v>
      </c>
      <c r="T56" s="7"/>
      <c r="AB56" s="1430"/>
    </row>
    <row r="57" spans="2:28" outlineLevel="1" x14ac:dyDescent="0.4">
      <c r="B57" s="1771"/>
      <c r="C57" s="1128" t="s">
        <v>2268</v>
      </c>
      <c r="D57" s="659" t="s">
        <v>3</v>
      </c>
      <c r="E57" s="390">
        <f t="shared" si="18"/>
        <v>0.8</v>
      </c>
      <c r="F57" s="517">
        <f t="shared" si="20"/>
        <v>10.169444444444444</v>
      </c>
      <c r="G57" s="575"/>
      <c r="H57" s="850" t="s">
        <v>263</v>
      </c>
      <c r="I57" s="575"/>
      <c r="J57" s="573"/>
      <c r="K57" s="573"/>
      <c r="L57" s="1176" t="str">
        <f>IFERROR(INDEX('Lower Hot Cell Logistics'!$I$13:$O$19,MATCH($J57,'Lower Hot Cell Logistics'!$H$13:$H$19,0),MATCH($K57,'Lower Hot Cell Logistics'!$H$13:$H$19,0)),"N/A")</f>
        <v>N/A</v>
      </c>
      <c r="M57" s="1176" t="str">
        <f>IFERROR(VLOOKUP($I57,'Lower Hot Cell Logistics'!$H$4:$I$8,2,FALSE),"N/A")</f>
        <v>N/A</v>
      </c>
      <c r="N57" s="580" t="str">
        <f t="shared" si="19"/>
        <v>N/A</v>
      </c>
      <c r="O57" s="575" t="s">
        <v>1828</v>
      </c>
      <c r="P57" s="580">
        <f>IF($D57="Logistics",VLOOKUP($O57,'Lower Hot Cell Logistics'!$C$4:$D$69,2,FALSE),"N/A")</f>
        <v>0.8</v>
      </c>
      <c r="Q57" s="1449"/>
      <c r="R57" s="464" t="str">
        <f>IFERROR(VLOOKUP($Q57,'Lower HotCell RecoveryLogistics'!$C$618:$F$624,4,FALSE),"N/A")</f>
        <v>N/A</v>
      </c>
      <c r="S57" s="343" t="str">
        <f>IFERROR(F56-R57,"N/A")</f>
        <v>N/A</v>
      </c>
      <c r="T57" s="5"/>
      <c r="AB57" s="1430"/>
    </row>
    <row r="58" spans="2:28" outlineLevel="1" x14ac:dyDescent="0.4">
      <c r="B58" s="1771"/>
      <c r="C58" s="1128" t="s">
        <v>2269</v>
      </c>
      <c r="D58" s="847" t="s">
        <v>3</v>
      </c>
      <c r="E58" s="390">
        <f t="shared" si="18"/>
        <v>1.3</v>
      </c>
      <c r="F58" s="517">
        <f t="shared" si="20"/>
        <v>11.469444444444445</v>
      </c>
      <c r="G58" s="575"/>
      <c r="H58" s="850" t="s">
        <v>263</v>
      </c>
      <c r="I58" s="575"/>
      <c r="J58" s="573"/>
      <c r="K58" s="573"/>
      <c r="L58" s="1176" t="str">
        <f>IFERROR(INDEX('Lower Hot Cell Logistics'!$I$13:$O$19,MATCH($J58,'Lower Hot Cell Logistics'!$H$13:$H$19,0),MATCH($K58,'Lower Hot Cell Logistics'!$H$13:$H$19,0)),"N/A")</f>
        <v>N/A</v>
      </c>
      <c r="M58" s="1176" t="str">
        <f>IFERROR(VLOOKUP($I58,'Lower Hot Cell Logistics'!$H$4:$I$8,2,FALSE),"N/A")</f>
        <v>N/A</v>
      </c>
      <c r="N58" s="580" t="str">
        <f t="shared" si="19"/>
        <v>N/A</v>
      </c>
      <c r="O58" s="575" t="s">
        <v>2265</v>
      </c>
      <c r="P58" s="580">
        <f>IF($D58="Logistics",VLOOKUP($O58,'Lower Hot Cell Logistics'!$C$4:$D$69,2,FALSE),"N/A")</f>
        <v>1.3</v>
      </c>
      <c r="Q58" s="1449"/>
      <c r="R58" s="464" t="str">
        <f>IFERROR(VLOOKUP($Q58,'Lower HotCell RecoveryLogistics'!$C$618:$F$624,4,FALSE),"N/A")</f>
        <v>N/A</v>
      </c>
      <c r="S58" s="343" t="str">
        <f>IFERROR(F57-R58,"N/A")</f>
        <v>N/A</v>
      </c>
      <c r="T58" s="5"/>
      <c r="U58" s="3549"/>
      <c r="V58" s="290"/>
      <c r="W58" s="290"/>
      <c r="X58" s="290"/>
      <c r="Y58" s="290"/>
      <c r="Z58" s="290"/>
      <c r="AA58" s="290"/>
      <c r="AB58" s="1430"/>
    </row>
    <row r="59" spans="2:28" ht="15" outlineLevel="1" thickBot="1" x14ac:dyDescent="0.45">
      <c r="B59" s="1771"/>
      <c r="C59" s="1437" t="s">
        <v>2270</v>
      </c>
      <c r="D59" s="808" t="s">
        <v>3</v>
      </c>
      <c r="E59" s="349">
        <f t="shared" si="18"/>
        <v>0.68</v>
      </c>
      <c r="F59" s="1148">
        <f t="shared" si="20"/>
        <v>12.149444444444445</v>
      </c>
      <c r="G59" s="586"/>
      <c r="H59" s="811" t="s">
        <v>263</v>
      </c>
      <c r="I59" s="586"/>
      <c r="J59" s="584"/>
      <c r="K59" s="584"/>
      <c r="L59" s="1179" t="str">
        <f>IFERROR(INDEX('Lower Hot Cell Logistics'!$I$13:$O$19,MATCH($J59,'Lower Hot Cell Logistics'!$H$13:$H$19,0),MATCH($K59,'Lower Hot Cell Logistics'!$H$13:$H$19,0)),"N/A")</f>
        <v>N/A</v>
      </c>
      <c r="M59" s="1179" t="str">
        <f>IFERROR(VLOOKUP($I59,'Lower Hot Cell Logistics'!$H$4:$I$8,2,FALSE),"N/A")</f>
        <v>N/A</v>
      </c>
      <c r="N59" s="591" t="str">
        <f t="shared" si="19"/>
        <v>N/A</v>
      </c>
      <c r="O59" s="586" t="s">
        <v>2139</v>
      </c>
      <c r="P59" s="591">
        <f>IF($D59="Logistics",VLOOKUP($O59,'Lower Hot Cell Logistics'!$C$4:$D$69,2,FALSE),"N/A")</f>
        <v>0.68</v>
      </c>
      <c r="Q59" s="1450"/>
      <c r="R59" s="471" t="str">
        <f>IFERROR(VLOOKUP($Q59,'Lower HotCell RecoveryLogistics'!$C$618:$F$624,4,FALSE),"N/A")</f>
        <v>N/A</v>
      </c>
      <c r="S59" s="353" t="str">
        <f>IFERROR(F58-R59,"N/A")</f>
        <v>N/A</v>
      </c>
      <c r="T59" s="5"/>
      <c r="U59" s="3549"/>
      <c r="V59" s="290"/>
      <c r="W59" s="290"/>
      <c r="X59" s="290"/>
      <c r="Y59" s="290"/>
      <c r="Z59" s="290"/>
      <c r="AA59" s="290"/>
      <c r="AB59" s="1430"/>
    </row>
    <row r="60" spans="2:28" outlineLevel="1" x14ac:dyDescent="0.4">
      <c r="B60" s="1771"/>
      <c r="C60" s="705"/>
      <c r="D60" s="870" t="s">
        <v>11</v>
      </c>
      <c r="E60" s="7"/>
      <c r="F60" s="290">
        <f>F59</f>
        <v>12.149444444444445</v>
      </c>
      <c r="G60" s="94"/>
      <c r="H60" s="895"/>
      <c r="I60" s="94"/>
      <c r="J60" s="94"/>
      <c r="K60" s="94"/>
      <c r="L60" s="897"/>
      <c r="M60" s="897"/>
      <c r="N60" s="895"/>
      <c r="O60" s="94"/>
      <c r="P60" s="897"/>
      <c r="Q60" s="1444"/>
      <c r="R60" s="897"/>
      <c r="S60" s="897"/>
      <c r="T60" s="5"/>
      <c r="U60" s="3549"/>
      <c r="V60" s="290"/>
      <c r="W60" s="290"/>
      <c r="X60" s="290"/>
      <c r="Y60" s="290"/>
      <c r="Z60" s="290"/>
      <c r="AA60" s="290"/>
      <c r="AB60" s="915"/>
    </row>
    <row r="61" spans="2:28" outlineLevel="1" x14ac:dyDescent="0.4">
      <c r="B61" s="1771"/>
      <c r="T61" s="7"/>
      <c r="U61" s="3549"/>
      <c r="V61" s="290"/>
      <c r="W61" s="290"/>
      <c r="X61" s="290"/>
      <c r="Y61" s="290"/>
      <c r="Z61" s="290"/>
      <c r="AA61" s="290"/>
      <c r="AB61" s="1430"/>
    </row>
    <row r="62" spans="2:28" outlineLevel="1" x14ac:dyDescent="0.4">
      <c r="B62" s="1771"/>
      <c r="C62" s="1144"/>
      <c r="D62" s="1483"/>
      <c r="E62" s="894"/>
      <c r="F62" s="894"/>
      <c r="G62" s="94"/>
      <c r="H62" s="895"/>
      <c r="I62" s="94"/>
      <c r="J62" s="94"/>
      <c r="K62" s="94"/>
      <c r="L62" s="897"/>
      <c r="M62" s="897"/>
      <c r="N62" s="895"/>
      <c r="O62" s="94"/>
      <c r="P62" s="897"/>
      <c r="Q62" s="1444"/>
      <c r="R62" s="897"/>
      <c r="S62" s="897"/>
      <c r="T62" s="7"/>
      <c r="U62" s="3549"/>
      <c r="V62" s="290"/>
      <c r="W62" s="290"/>
      <c r="X62" s="290"/>
      <c r="Y62" s="290"/>
      <c r="Z62" s="290"/>
      <c r="AA62" s="290"/>
      <c r="AB62" s="1430"/>
    </row>
    <row r="63" spans="2:28" outlineLevel="1" x14ac:dyDescent="0.4">
      <c r="B63" s="1771"/>
      <c r="C63" s="5"/>
      <c r="D63" s="1140"/>
      <c r="E63" s="1139"/>
      <c r="F63" s="1139"/>
      <c r="G63" s="1139"/>
      <c r="H63" s="1140"/>
      <c r="I63" s="1139"/>
      <c r="J63" s="1139"/>
      <c r="K63" s="1139"/>
      <c r="L63" s="1139"/>
      <c r="M63" s="1139"/>
      <c r="N63" s="1139"/>
      <c r="O63" s="1141"/>
      <c r="P63" s="7"/>
      <c r="Q63" s="1413"/>
      <c r="R63" s="7"/>
      <c r="S63" s="7"/>
      <c r="T63" s="7"/>
      <c r="U63" s="3549"/>
      <c r="V63" s="290"/>
      <c r="W63" s="290"/>
      <c r="X63" s="290"/>
      <c r="Y63" s="290"/>
      <c r="Z63" s="290"/>
      <c r="AA63" s="290"/>
      <c r="AB63" s="1430"/>
    </row>
    <row r="64" spans="2:28" outlineLevel="1" x14ac:dyDescent="0.4">
      <c r="B64" s="1771"/>
      <c r="C64" s="5"/>
      <c r="D64" s="1140"/>
      <c r="E64" s="1139"/>
      <c r="F64" s="1139"/>
      <c r="G64" s="1139"/>
      <c r="H64" s="1140"/>
      <c r="I64" s="1139"/>
      <c r="J64" s="1139"/>
      <c r="K64" s="1139"/>
      <c r="L64" s="1139"/>
      <c r="M64" s="1139"/>
      <c r="N64" s="1139"/>
      <c r="O64" s="1141"/>
      <c r="P64" s="7"/>
      <c r="Q64" s="1413"/>
      <c r="R64" s="7"/>
      <c r="S64" s="7"/>
      <c r="T64" s="7"/>
      <c r="U64" s="3549"/>
      <c r="V64" s="290"/>
      <c r="W64" s="290"/>
      <c r="X64" s="290"/>
      <c r="Y64" s="290"/>
      <c r="Z64" s="290"/>
      <c r="AA64" s="290"/>
      <c r="AB64" s="1430"/>
    </row>
    <row r="65" spans="2:34" x14ac:dyDescent="0.4">
      <c r="B65" s="1783"/>
      <c r="C65" s="1784"/>
      <c r="D65" s="1784"/>
      <c r="E65" s="1784"/>
      <c r="F65" s="1784"/>
      <c r="G65" s="1784"/>
      <c r="H65" s="1796"/>
      <c r="I65" s="1784"/>
      <c r="J65" s="1784"/>
      <c r="K65" s="1784"/>
      <c r="L65" s="1784"/>
      <c r="M65" s="1784"/>
      <c r="N65" s="1784"/>
      <c r="O65" s="1784"/>
      <c r="P65" s="1784"/>
      <c r="Q65" s="1795"/>
      <c r="R65" s="1784"/>
      <c r="S65" s="1784"/>
      <c r="T65" s="1784"/>
      <c r="U65" s="3557"/>
      <c r="V65" s="1801"/>
      <c r="W65" s="1801"/>
      <c r="X65" s="1801"/>
      <c r="Y65" s="1801"/>
      <c r="Z65" s="1801"/>
      <c r="AA65" s="1801"/>
      <c r="AB65" s="1802"/>
    </row>
    <row r="66" spans="2:34" x14ac:dyDescent="0.4">
      <c r="B66" s="5"/>
      <c r="C66" s="1144"/>
      <c r="D66" s="892"/>
      <c r="E66" s="894"/>
      <c r="F66" s="894"/>
      <c r="G66" s="94"/>
      <c r="H66" s="895"/>
      <c r="I66" s="94"/>
      <c r="J66" s="94"/>
      <c r="K66" s="94"/>
      <c r="L66" s="897"/>
      <c r="M66" s="897"/>
      <c r="N66" s="895"/>
      <c r="O66" s="94"/>
      <c r="P66" s="897"/>
      <c r="Q66" s="1444"/>
      <c r="R66" s="897"/>
      <c r="S66" s="897"/>
      <c r="T66" s="5"/>
      <c r="U66" s="3549"/>
      <c r="V66" s="290"/>
      <c r="W66" s="290"/>
      <c r="X66" s="290"/>
      <c r="Y66" s="290"/>
      <c r="Z66" s="290"/>
      <c r="AA66" s="290"/>
      <c r="AB66" s="290"/>
      <c r="AC66" s="8"/>
      <c r="AD66" s="8"/>
      <c r="AE66" s="8"/>
      <c r="AF66" s="8"/>
      <c r="AG66" s="8"/>
      <c r="AH66" s="8"/>
    </row>
    <row r="67" spans="2:34" ht="15.45" x14ac:dyDescent="0.4">
      <c r="B67" s="1769"/>
      <c r="C67" s="1770" t="s">
        <v>1845</v>
      </c>
      <c r="D67" s="1798"/>
      <c r="E67" s="1798"/>
      <c r="F67" s="1798"/>
      <c r="G67" s="1798"/>
      <c r="H67" s="1798"/>
      <c r="I67" s="1798"/>
      <c r="J67" s="1798"/>
      <c r="K67" s="1798"/>
      <c r="L67" s="1798"/>
      <c r="M67" s="1798"/>
      <c r="N67" s="1798"/>
      <c r="O67" s="1798"/>
      <c r="P67" s="1798"/>
      <c r="Q67" s="1799"/>
      <c r="R67" s="1798"/>
      <c r="S67" s="1798"/>
      <c r="T67" s="1798"/>
      <c r="U67" s="3554"/>
      <c r="V67" s="1798"/>
      <c r="W67" s="1798"/>
      <c r="X67" s="1798"/>
      <c r="Y67" s="1798"/>
      <c r="Z67" s="1798"/>
      <c r="AA67" s="1798"/>
      <c r="AB67" s="1800"/>
    </row>
    <row r="68" spans="2:34" ht="15" outlineLevel="1" thickBot="1" x14ac:dyDescent="0.45">
      <c r="B68" s="1771"/>
      <c r="C68" s="748" t="s">
        <v>1053</v>
      </c>
      <c r="D68" s="706"/>
      <c r="E68" s="706"/>
      <c r="F68" s="706"/>
      <c r="G68" s="706"/>
      <c r="H68" s="1117"/>
      <c r="I68" s="706"/>
      <c r="J68" s="706"/>
      <c r="K68" s="706"/>
      <c r="L68" s="706"/>
      <c r="M68" s="706"/>
      <c r="N68" s="706"/>
      <c r="O68" s="706"/>
      <c r="P68" s="7"/>
      <c r="Q68" s="1413"/>
      <c r="R68" s="7"/>
      <c r="S68" s="7"/>
      <c r="T68" s="7"/>
      <c r="U68" s="3549"/>
      <c r="V68" s="290"/>
      <c r="W68" s="290"/>
      <c r="X68" s="290"/>
      <c r="Y68" s="290"/>
      <c r="Z68" s="290"/>
      <c r="AA68" s="290"/>
      <c r="AB68" s="1430"/>
    </row>
    <row r="69" spans="2:34" outlineLevel="1" x14ac:dyDescent="0.4">
      <c r="B69" s="1771"/>
      <c r="C69" s="700" t="s">
        <v>1846</v>
      </c>
      <c r="D69" s="706"/>
      <c r="E69" s="706"/>
      <c r="F69" s="706"/>
      <c r="G69" s="706"/>
      <c r="H69" s="1117"/>
      <c r="I69" s="706"/>
      <c r="J69" s="706"/>
      <c r="K69" s="706"/>
      <c r="L69" s="706"/>
      <c r="M69" s="706"/>
      <c r="N69" s="706"/>
      <c r="O69" s="706"/>
      <c r="P69" s="7"/>
      <c r="Q69" s="1413"/>
      <c r="R69" s="7"/>
      <c r="S69" s="7"/>
      <c r="T69" s="7"/>
      <c r="U69" s="3555" t="str">
        <f>C67</f>
        <v>Divertor handling system failure</v>
      </c>
      <c r="V69" s="1119" t="s">
        <v>23</v>
      </c>
      <c r="W69" s="3842" t="s">
        <v>2604</v>
      </c>
      <c r="X69" s="3843"/>
      <c r="Y69" s="3843"/>
      <c r="Z69" s="3843"/>
      <c r="AA69" s="3844"/>
      <c r="AB69" s="1430"/>
    </row>
    <row r="70" spans="2:34" outlineLevel="1" x14ac:dyDescent="0.4">
      <c r="B70" s="1771"/>
      <c r="C70" s="700" t="s">
        <v>1125</v>
      </c>
      <c r="D70" s="706"/>
      <c r="E70" s="706"/>
      <c r="F70" s="706"/>
      <c r="G70" s="706"/>
      <c r="H70" s="1117"/>
      <c r="I70" s="706"/>
      <c r="J70" s="706"/>
      <c r="K70" s="706"/>
      <c r="L70" s="706"/>
      <c r="M70" s="706"/>
      <c r="N70" s="706"/>
      <c r="O70" s="706"/>
      <c r="P70" s="7"/>
      <c r="Q70" s="1413"/>
      <c r="R70" s="7"/>
      <c r="S70" s="7"/>
      <c r="T70" s="7"/>
      <c r="U70" s="3556" t="s">
        <v>1055</v>
      </c>
      <c r="V70" s="1122">
        <v>1</v>
      </c>
      <c r="W70" s="1512">
        <v>1</v>
      </c>
      <c r="X70" s="916">
        <v>2</v>
      </c>
      <c r="Y70" s="916">
        <v>3</v>
      </c>
      <c r="Z70" s="916">
        <v>4</v>
      </c>
      <c r="AA70" s="1045">
        <v>6</v>
      </c>
      <c r="AB70" s="1430"/>
    </row>
    <row r="71" spans="2:34" outlineLevel="1" x14ac:dyDescent="0.4">
      <c r="B71" s="1771"/>
      <c r="C71" s="700" t="s">
        <v>1842</v>
      </c>
      <c r="D71" s="706"/>
      <c r="E71" s="706"/>
      <c r="F71" s="706"/>
      <c r="G71" s="706"/>
      <c r="H71" s="1117"/>
      <c r="I71" s="706"/>
      <c r="J71" s="706"/>
      <c r="K71" s="706"/>
      <c r="L71" s="706"/>
      <c r="M71" s="706"/>
      <c r="N71" s="706"/>
      <c r="O71" s="706"/>
      <c r="P71" s="7"/>
      <c r="Q71" s="1413"/>
      <c r="R71" s="7"/>
      <c r="S71" s="7"/>
      <c r="T71" s="7"/>
      <c r="U71" s="3544" t="s">
        <v>1848</v>
      </c>
      <c r="V71" s="1086">
        <f>SUMIF('Lower Hot Cell Critical Path'!$C$7:$C$208, "*cassette*", 'Lower Hot Cell Critical Path'!$E$7:$E$208)</f>
        <v>40.11</v>
      </c>
      <c r="W71" s="1415">
        <f>SUMIF('Lower Hot Cell Critical Path'!$C$7:$C$208, "*cassette*", 'Lower Hot Cell Critical Path'!$E$7:$E$208)</f>
        <v>40.11</v>
      </c>
      <c r="X71" s="917">
        <f>SUMIF('Lower Hot Cell Critical Path'!$C$7:$C$208, "*cassette*", 'Lower Hot Cell Critical Path'!$E$7:$E$208)</f>
        <v>40.11</v>
      </c>
      <c r="Y71" s="917">
        <f>SUMIF('Lower Hot Cell Critical Path'!$C$7:$C$208, "*cassette*", 'Lower Hot Cell Critical Path'!$E$7:$E$208)</f>
        <v>40.11</v>
      </c>
      <c r="Z71" s="917">
        <f>SUMIF('Lower Hot Cell Critical Path'!$C$7:$C$208, "*cassette*", 'Lower Hot Cell Critical Path'!$E$7:$E$208)</f>
        <v>40.11</v>
      </c>
      <c r="AA71" s="1028">
        <f>SUMIF('Lower Hot Cell Critical Path'!$C$7:$C$208, "*cassette*", 'Lower Hot Cell Critical Path'!$E$7:$E$208)</f>
        <v>40.11</v>
      </c>
      <c r="AB71" s="1430"/>
    </row>
    <row r="72" spans="2:34" outlineLevel="1" x14ac:dyDescent="0.4">
      <c r="B72" s="1771"/>
      <c r="C72" s="700"/>
      <c r="D72" s="706"/>
      <c r="E72" s="706"/>
      <c r="F72" s="706"/>
      <c r="G72" s="706"/>
      <c r="H72" s="1117"/>
      <c r="I72" s="706"/>
      <c r="J72" s="706"/>
      <c r="K72" s="706"/>
      <c r="L72" s="706"/>
      <c r="M72" s="706"/>
      <c r="N72" s="706"/>
      <c r="O72" s="706"/>
      <c r="P72" s="7"/>
      <c r="Q72" s="1413"/>
      <c r="R72" s="7"/>
      <c r="S72" s="7"/>
      <c r="T72" s="7"/>
      <c r="U72" s="3140" t="s">
        <v>2668</v>
      </c>
      <c r="V72" s="1086">
        <f>V71</f>
        <v>40.11</v>
      </c>
      <c r="W72" s="1087">
        <f>W71*ROUNDUP(Tokamak_Segmts/W70,0)</f>
        <v>641.76</v>
      </c>
      <c r="X72" s="915">
        <f>X71*ROUNDUP(Tokamak_Segmts/X70,0)</f>
        <v>320.88</v>
      </c>
      <c r="Y72" s="915">
        <f>Y71*ROUNDUP(Tokamak_Segmts/Y70,0)</f>
        <v>240.66</v>
      </c>
      <c r="Z72" s="915">
        <f>Z71*ROUNDUP(Tokamak_Segmts/Z70,0)</f>
        <v>160.44</v>
      </c>
      <c r="AA72" s="1088">
        <f>AA71*ROUNDUP(Tokamak_Segmts/AA70,0)</f>
        <v>120.33</v>
      </c>
      <c r="AB72" s="1430"/>
    </row>
    <row r="73" spans="2:34" ht="15" outlineLevel="1" thickBot="1" x14ac:dyDescent="0.45">
      <c r="B73" s="1771"/>
      <c r="C73" s="748" t="s">
        <v>1056</v>
      </c>
      <c r="D73" s="927">
        <f>SUM(D74)</f>
        <v>5.0100000000000006E-3</v>
      </c>
      <c r="E73" s="918"/>
      <c r="F73" s="918"/>
      <c r="G73" s="918"/>
      <c r="H73" s="919"/>
      <c r="I73" s="918"/>
      <c r="J73" s="918"/>
      <c r="K73" s="918"/>
      <c r="L73" s="918"/>
      <c r="M73" s="918"/>
      <c r="N73" s="918"/>
      <c r="O73" s="706"/>
      <c r="P73" s="7"/>
      <c r="Q73" s="1413"/>
      <c r="R73" s="7"/>
      <c r="S73" s="7"/>
      <c r="T73" s="7"/>
      <c r="U73" s="3141" t="s">
        <v>2693</v>
      </c>
      <c r="V73" s="1089">
        <f>V$72*$D$73</f>
        <v>0.20095110000000002</v>
      </c>
      <c r="W73" s="1090">
        <f t="shared" ref="W73:AA73" si="21">W$72*$D$73</f>
        <v>3.2152176000000003</v>
      </c>
      <c r="X73" s="1091">
        <f t="shared" si="21"/>
        <v>1.6076088000000002</v>
      </c>
      <c r="Y73" s="1091">
        <f t="shared" si="21"/>
        <v>1.2057066000000001</v>
      </c>
      <c r="Z73" s="1091">
        <f t="shared" si="21"/>
        <v>0.80380440000000009</v>
      </c>
      <c r="AA73" s="1092">
        <f t="shared" si="21"/>
        <v>0.60285330000000004</v>
      </c>
      <c r="AB73" s="1430"/>
    </row>
    <row r="74" spans="2:34" outlineLevel="1" x14ac:dyDescent="0.4">
      <c r="B74" s="1771"/>
      <c r="C74" s="7" t="s">
        <v>2271</v>
      </c>
      <c r="D74" s="283">
        <f>Total_Cassette_Handling_Failure</f>
        <v>5.0100000000000006E-3</v>
      </c>
      <c r="E74" s="922"/>
      <c r="F74" s="922"/>
      <c r="G74" s="918"/>
      <c r="H74" s="919"/>
      <c r="I74" s="918"/>
      <c r="J74" s="918"/>
      <c r="K74" s="918"/>
      <c r="L74" s="918"/>
      <c r="M74" s="918"/>
      <c r="N74" s="918"/>
      <c r="O74" s="706"/>
      <c r="P74" s="7"/>
      <c r="Q74" s="1413"/>
      <c r="R74" s="7"/>
      <c r="S74" s="7"/>
      <c r="T74" s="7"/>
      <c r="U74" s="3552" t="s">
        <v>1048</v>
      </c>
      <c r="V74" s="1082">
        <f t="shared" ref="V74:AA74" si="22">V73*(SUMIF($D$79:$D$85,"Operation",$E$79:$E$85))</f>
        <v>1.0047555000000001</v>
      </c>
      <c r="W74" s="1083">
        <f t="shared" si="22"/>
        <v>16.076088000000002</v>
      </c>
      <c r="X74" s="1084">
        <f t="shared" si="22"/>
        <v>8.0380440000000011</v>
      </c>
      <c r="Y74" s="1084">
        <f t="shared" si="22"/>
        <v>6.0285330000000004</v>
      </c>
      <c r="Z74" s="1084">
        <f t="shared" si="22"/>
        <v>4.0190220000000005</v>
      </c>
      <c r="AA74" s="1085">
        <f t="shared" si="22"/>
        <v>3.0142665000000002</v>
      </c>
      <c r="AB74" s="1430"/>
    </row>
    <row r="75" spans="2:34" ht="15" outlineLevel="1" thickBot="1" x14ac:dyDescent="0.45">
      <c r="B75" s="1771"/>
      <c r="C75" s="7"/>
      <c r="D75" s="922"/>
      <c r="E75" s="922"/>
      <c r="F75" s="922"/>
      <c r="G75" s="918"/>
      <c r="H75" s="919"/>
      <c r="I75" s="918"/>
      <c r="J75" s="918"/>
      <c r="K75" s="918"/>
      <c r="L75" s="918"/>
      <c r="M75" s="918"/>
      <c r="N75" s="918"/>
      <c r="O75" s="706"/>
      <c r="P75" s="7"/>
      <c r="Q75" s="1413"/>
      <c r="R75" s="7"/>
      <c r="S75" s="7"/>
      <c r="T75" s="7"/>
      <c r="U75" s="3544" t="s">
        <v>2658</v>
      </c>
      <c r="V75" s="1086">
        <f t="shared" ref="V75:AA75" si="23">V73*(SUMIF($D$79:$D$85,"Movement",$E$79:$E$85)+(SUMIF($D$79:$D$85,"Logistics",$E$79:$E$85)))</f>
        <v>1.1443048750000002</v>
      </c>
      <c r="W75" s="1087">
        <f t="shared" si="23"/>
        <v>18.308878000000004</v>
      </c>
      <c r="X75" s="915">
        <f t="shared" si="23"/>
        <v>9.1544390000000018</v>
      </c>
      <c r="Y75" s="915">
        <f t="shared" si="23"/>
        <v>6.8658292500000009</v>
      </c>
      <c r="Z75" s="915">
        <f t="shared" si="23"/>
        <v>4.5772195000000009</v>
      </c>
      <c r="AA75" s="1088">
        <f t="shared" si="23"/>
        <v>3.4329146250000004</v>
      </c>
      <c r="AB75" s="1430"/>
    </row>
    <row r="76" spans="2:34" ht="15" outlineLevel="1" thickBot="1" x14ac:dyDescent="0.45">
      <c r="B76" s="1771"/>
      <c r="C76" s="7"/>
      <c r="D76" s="7"/>
      <c r="E76" s="7"/>
      <c r="F76" s="929"/>
      <c r="G76" s="3841" t="s">
        <v>18</v>
      </c>
      <c r="H76" s="3837"/>
      <c r="I76" s="3793" t="s">
        <v>778</v>
      </c>
      <c r="J76" s="3794"/>
      <c r="K76" s="3794"/>
      <c r="L76" s="3794"/>
      <c r="M76" s="3794"/>
      <c r="N76" s="3795"/>
      <c r="O76" s="3793" t="s">
        <v>3</v>
      </c>
      <c r="P76" s="3795"/>
      <c r="Q76" s="3838" t="s">
        <v>779</v>
      </c>
      <c r="R76" s="3839"/>
      <c r="S76" s="3840"/>
      <c r="T76" s="938"/>
      <c r="U76" s="3144" t="s">
        <v>2663</v>
      </c>
      <c r="V76" s="1089">
        <f t="shared" ref="V76:AA76" si="24">V73*(-SUMIF($S$79:$S$85,"&lt;0"))</f>
        <v>0</v>
      </c>
      <c r="W76" s="1090">
        <f t="shared" si="24"/>
        <v>0</v>
      </c>
      <c r="X76" s="1091">
        <f t="shared" si="24"/>
        <v>0</v>
      </c>
      <c r="Y76" s="1091">
        <f t="shared" si="24"/>
        <v>0</v>
      </c>
      <c r="Z76" s="1091">
        <f t="shared" si="24"/>
        <v>0</v>
      </c>
      <c r="AA76" s="1092">
        <f t="shared" si="24"/>
        <v>0</v>
      </c>
      <c r="AB76" s="1430"/>
    </row>
    <row r="77" spans="2:34" ht="15" outlineLevel="1" thickBot="1" x14ac:dyDescent="0.45">
      <c r="B77" s="1771"/>
      <c r="C77" s="562" t="s">
        <v>1129</v>
      </c>
      <c r="D77" s="563" t="s">
        <v>782</v>
      </c>
      <c r="E77" s="942" t="s">
        <v>783</v>
      </c>
      <c r="F77" s="943" t="s">
        <v>784</v>
      </c>
      <c r="G77" s="940" t="s">
        <v>785</v>
      </c>
      <c r="H77" s="944" t="s">
        <v>783</v>
      </c>
      <c r="I77" s="940" t="s">
        <v>786</v>
      </c>
      <c r="J77" s="563" t="s">
        <v>787</v>
      </c>
      <c r="K77" s="563" t="s">
        <v>788</v>
      </c>
      <c r="L77" s="563" t="s">
        <v>789</v>
      </c>
      <c r="M77" s="563" t="s">
        <v>790</v>
      </c>
      <c r="N77" s="564" t="s">
        <v>783</v>
      </c>
      <c r="O77" s="560" t="s">
        <v>785</v>
      </c>
      <c r="P77" s="1152" t="s">
        <v>783</v>
      </c>
      <c r="Q77" s="1447" t="s">
        <v>781</v>
      </c>
      <c r="R77" s="786" t="s">
        <v>791</v>
      </c>
      <c r="S77" s="787" t="s">
        <v>792</v>
      </c>
      <c r="T77" s="947"/>
      <c r="U77" s="3368" t="s">
        <v>2667</v>
      </c>
      <c r="V77" s="2993">
        <f t="shared" ref="V77:AA77" si="25">V73*$F$86</f>
        <v>2.1490603750000008</v>
      </c>
      <c r="W77" s="2994">
        <f t="shared" si="25"/>
        <v>34.384966000000013</v>
      </c>
      <c r="X77" s="2975">
        <f t="shared" si="25"/>
        <v>17.192483000000006</v>
      </c>
      <c r="Y77" s="2975">
        <f t="shared" si="25"/>
        <v>12.894362250000004</v>
      </c>
      <c r="Z77" s="3545">
        <f t="shared" si="25"/>
        <v>8.5962415000000032</v>
      </c>
      <c r="AA77" s="2974">
        <f t="shared" si="25"/>
        <v>6.447181125000002</v>
      </c>
      <c r="AB77" s="1430"/>
    </row>
    <row r="78" spans="2:34" outlineLevel="1" x14ac:dyDescent="0.4">
      <c r="B78" s="1771"/>
      <c r="C78" s="1776" t="s">
        <v>2272</v>
      </c>
      <c r="D78" s="1957" t="s">
        <v>251</v>
      </c>
      <c r="E78" s="2276">
        <f t="shared" ref="E78:E85" si="26">MAX($P78,$N78,$H78)</f>
        <v>0</v>
      </c>
      <c r="F78" s="2277">
        <v>0</v>
      </c>
      <c r="G78" s="1874"/>
      <c r="H78" s="1130" t="s">
        <v>263</v>
      </c>
      <c r="I78" s="1874"/>
      <c r="J78" s="1619"/>
      <c r="K78" s="1619"/>
      <c r="L78" s="1575" t="str">
        <f>IFERROR(INDEX('Lower Hot Cell Logistics'!$I$13:$O$19,MATCH($J78,'Lower Hot Cell Logistics'!$H$13:$H$19,0),MATCH($K78,'Lower Hot Cell Logistics'!$H$13:$H$19,0)),"N/A")</f>
        <v>N/A</v>
      </c>
      <c r="M78" s="1575" t="str">
        <f>IFERROR(VLOOKUP($I78,'Lower Hot Cell Logistics'!$H$4:$I$8,2,FALSE),"N/A")</f>
        <v>N/A</v>
      </c>
      <c r="N78" s="1130" t="str">
        <f t="shared" ref="N78:N85" si="27">IF(D78="Movement",IFERROR((L78/M78)/(60*60),"Error"),"N/A")</f>
        <v>N/A</v>
      </c>
      <c r="O78" s="1874"/>
      <c r="P78" s="1130" t="str">
        <f>IF($D78="Logistics",VLOOKUP($O78,'Lower Hot Cell Logistics'!$C$4:$D$69,2,FALSE),"N/A")</f>
        <v>N/A</v>
      </c>
      <c r="Q78" s="2278"/>
      <c r="R78" s="1624" t="str">
        <f>IFERROR(VLOOKUP($Q78,'Lower HotCell RecoveryLogistics'!$C$618:$F$624,4,FALSE),"N/A")</f>
        <v>N/A</v>
      </c>
      <c r="S78" s="332" t="str">
        <f>IFERROR(F77-R78,"N/A")</f>
        <v>N/A</v>
      </c>
      <c r="T78" s="947"/>
      <c r="AB78" s="1430"/>
    </row>
    <row r="79" spans="2:34" outlineLevel="1" x14ac:dyDescent="0.4">
      <c r="B79" s="1771"/>
      <c r="C79" s="1779" t="s">
        <v>1819</v>
      </c>
      <c r="D79" s="847" t="s">
        <v>778</v>
      </c>
      <c r="E79" s="390">
        <f t="shared" si="26"/>
        <v>0.69444444444444442</v>
      </c>
      <c r="F79" s="385">
        <f t="shared" ref="F79:F85" si="28">IF(S79&lt;0,E79+F78+(-S79),E79+F78)</f>
        <v>0.69444444444444442</v>
      </c>
      <c r="G79" s="575"/>
      <c r="H79" s="580" t="s">
        <v>263</v>
      </c>
      <c r="I79" s="575" t="s">
        <v>1826</v>
      </c>
      <c r="J79" s="573" t="s">
        <v>799</v>
      </c>
      <c r="K79" s="573" t="s">
        <v>2273</v>
      </c>
      <c r="L79" s="1176">
        <f>IFERROR(INDEX('Lower Hot Cell Logistics'!$I$13:$O$19,MATCH($J79,'Lower Hot Cell Logistics'!$H$13:$H$19,0),MATCH($K79,'Lower Hot Cell Logistics'!$H$13:$H$19,0)),"N/A")</f>
        <v>50</v>
      </c>
      <c r="M79" s="1176">
        <f>IFERROR(VLOOKUP($I79,'Lower Hot Cell Logistics'!$H$4:$I$8,2,FALSE),"N/A")</f>
        <v>0.02</v>
      </c>
      <c r="N79" s="580">
        <f t="shared" si="27"/>
        <v>0.69444444444444442</v>
      </c>
      <c r="O79" s="575"/>
      <c r="P79" s="580" t="str">
        <f>IF($D79="Logistics",VLOOKUP($O79,'Lower Hot Cell Logistics'!$C$4:$D$69,2,FALSE),"N/A")</f>
        <v>N/A</v>
      </c>
      <c r="Q79" s="1448"/>
      <c r="R79" s="320" t="s">
        <v>263</v>
      </c>
      <c r="S79" s="319" t="str">
        <f>IFERROR(F78-R79,"N/A")</f>
        <v>N/A</v>
      </c>
      <c r="T79" s="947"/>
      <c r="AB79" s="1430"/>
    </row>
    <row r="80" spans="2:34" outlineLevel="1" x14ac:dyDescent="0.4">
      <c r="B80" s="1771"/>
      <c r="C80" s="1780" t="s">
        <v>2274</v>
      </c>
      <c r="D80" s="1781" t="s">
        <v>3</v>
      </c>
      <c r="E80" s="459">
        <f t="shared" si="26"/>
        <v>1.8</v>
      </c>
      <c r="F80" s="517">
        <f t="shared" si="28"/>
        <v>2.4944444444444445</v>
      </c>
      <c r="G80" s="575"/>
      <c r="H80" s="580" t="s">
        <v>263</v>
      </c>
      <c r="I80" s="575"/>
      <c r="J80" s="573"/>
      <c r="K80" s="573"/>
      <c r="L80" s="1176" t="s">
        <v>263</v>
      </c>
      <c r="M80" s="1176" t="s">
        <v>263</v>
      </c>
      <c r="N80" s="580" t="str">
        <f t="shared" si="27"/>
        <v>N/A</v>
      </c>
      <c r="O80" s="879" t="s">
        <v>1822</v>
      </c>
      <c r="P80" s="580">
        <f>IF($D80="Logistics",VLOOKUP($O80,'Lower Hot Cell Logistics'!$C$4:$D$69,2,FALSE),"N/A")</f>
        <v>1.8</v>
      </c>
      <c r="Q80" s="1449"/>
      <c r="R80" s="853" t="s">
        <v>263</v>
      </c>
      <c r="S80" s="576" t="str">
        <f>IFERROR(F79-R80,"N/A")</f>
        <v>N/A</v>
      </c>
      <c r="T80" s="947"/>
      <c r="AB80" s="1430"/>
    </row>
    <row r="81" spans="2:34" outlineLevel="1" x14ac:dyDescent="0.4">
      <c r="B81" s="1771"/>
      <c r="C81" s="1159" t="s">
        <v>2275</v>
      </c>
      <c r="D81" s="1781" t="s">
        <v>3</v>
      </c>
      <c r="E81" s="459">
        <f t="shared" si="26"/>
        <v>0.6</v>
      </c>
      <c r="F81" s="517">
        <f t="shared" si="28"/>
        <v>3.0944444444444446</v>
      </c>
      <c r="G81" s="575"/>
      <c r="H81" s="580" t="s">
        <v>263</v>
      </c>
      <c r="I81" s="575"/>
      <c r="J81" s="573"/>
      <c r="K81" s="573"/>
      <c r="L81" s="1176" t="s">
        <v>263</v>
      </c>
      <c r="M81" s="1176" t="s">
        <v>263</v>
      </c>
      <c r="N81" s="580" t="str">
        <f t="shared" si="27"/>
        <v>N/A</v>
      </c>
      <c r="O81" s="879" t="s">
        <v>2008</v>
      </c>
      <c r="P81" s="580">
        <f>IF($D81="Logistics",VLOOKUP($O81,'Lower Hot Cell Logistics'!$C$4:$D$69,2,FALSE),"N/A")</f>
        <v>0.6</v>
      </c>
      <c r="Q81" s="1449"/>
      <c r="R81" s="853" t="s">
        <v>263</v>
      </c>
      <c r="S81" s="576" t="str">
        <f>IFERROR(F80-R81,"N/A")</f>
        <v>N/A</v>
      </c>
      <c r="T81" s="947"/>
      <c r="AB81" s="1430"/>
    </row>
    <row r="82" spans="2:34" outlineLevel="1" x14ac:dyDescent="0.4">
      <c r="B82" s="1771"/>
      <c r="C82" s="1159" t="s">
        <v>2694</v>
      </c>
      <c r="D82" s="847" t="s">
        <v>251</v>
      </c>
      <c r="E82" s="390">
        <f t="shared" si="26"/>
        <v>3</v>
      </c>
      <c r="F82" s="517">
        <f t="shared" si="28"/>
        <v>6.094444444444445</v>
      </c>
      <c r="G82" s="575" t="s">
        <v>1818</v>
      </c>
      <c r="H82" s="580">
        <v>3</v>
      </c>
      <c r="I82" s="575"/>
      <c r="J82" s="573"/>
      <c r="K82" s="573"/>
      <c r="L82" s="1176" t="s">
        <v>263</v>
      </c>
      <c r="M82" s="1176" t="s">
        <v>263</v>
      </c>
      <c r="N82" s="580" t="str">
        <f t="shared" si="27"/>
        <v>N/A</v>
      </c>
      <c r="O82" s="1941" t="s">
        <v>2265</v>
      </c>
      <c r="P82" s="580" t="str">
        <f>IF($D82="Logistics",VLOOKUP($O82,'Lower Hot Cell Logistics'!$C$4:$D$69,2,FALSE),"N/A")</f>
        <v>N/A</v>
      </c>
      <c r="Q82" s="1449"/>
      <c r="R82" s="853" t="s">
        <v>263</v>
      </c>
      <c r="S82" s="576" t="str">
        <f>IFERROR(#REF!-R82,"N/A")</f>
        <v>N/A</v>
      </c>
      <c r="T82" s="897"/>
      <c r="U82" s="3549"/>
      <c r="V82" s="290"/>
      <c r="W82" s="290"/>
      <c r="X82" s="290"/>
      <c r="Y82" s="290"/>
      <c r="Z82" s="290"/>
      <c r="AA82" s="290"/>
      <c r="AB82" s="1430"/>
    </row>
    <row r="83" spans="2:34" outlineLevel="1" x14ac:dyDescent="0.4">
      <c r="B83" s="1771"/>
      <c r="C83" s="2279" t="s">
        <v>2276</v>
      </c>
      <c r="D83" s="847" t="s">
        <v>3</v>
      </c>
      <c r="E83" s="390">
        <f t="shared" si="26"/>
        <v>1.8</v>
      </c>
      <c r="F83" s="517">
        <f t="shared" si="28"/>
        <v>7.8944444444444448</v>
      </c>
      <c r="G83" s="575"/>
      <c r="H83" s="580" t="s">
        <v>263</v>
      </c>
      <c r="I83" s="575"/>
      <c r="J83" s="573"/>
      <c r="K83" s="573"/>
      <c r="L83" s="1176" t="s">
        <v>263</v>
      </c>
      <c r="M83" s="1176" t="s">
        <v>263</v>
      </c>
      <c r="N83" s="580" t="str">
        <f t="shared" si="27"/>
        <v>N/A</v>
      </c>
      <c r="O83" s="1941" t="s">
        <v>1822</v>
      </c>
      <c r="P83" s="580">
        <f>IF($D83="Logistics",VLOOKUP($O83,'Lower Hot Cell Logistics'!$C$4:$D$69,2,FALSE),"N/A")</f>
        <v>1.8</v>
      </c>
      <c r="Q83" s="1449"/>
      <c r="R83" s="853" t="s">
        <v>263</v>
      </c>
      <c r="S83" s="576" t="str">
        <f>IFERROR(#REF!-R83,"N/A")</f>
        <v>N/A</v>
      </c>
      <c r="T83" s="897"/>
      <c r="U83" s="3549"/>
      <c r="V83" s="290"/>
      <c r="W83" s="290"/>
      <c r="X83" s="290"/>
      <c r="Y83" s="290"/>
      <c r="Z83" s="290"/>
      <c r="AA83" s="290"/>
      <c r="AB83" s="1430"/>
    </row>
    <row r="84" spans="2:34" outlineLevel="1" x14ac:dyDescent="0.4">
      <c r="B84" s="1771"/>
      <c r="C84" s="2279" t="s">
        <v>2277</v>
      </c>
      <c r="D84" s="1474" t="s">
        <v>251</v>
      </c>
      <c r="E84" s="390">
        <f t="shared" si="26"/>
        <v>2</v>
      </c>
      <c r="F84" s="517">
        <f t="shared" si="28"/>
        <v>9.8944444444444457</v>
      </c>
      <c r="G84" s="575" t="s">
        <v>1818</v>
      </c>
      <c r="H84" s="580">
        <v>2</v>
      </c>
      <c r="I84" s="575"/>
      <c r="J84" s="573"/>
      <c r="K84" s="573"/>
      <c r="L84" s="1176" t="s">
        <v>263</v>
      </c>
      <c r="M84" s="1176" t="s">
        <v>263</v>
      </c>
      <c r="N84" s="580" t="str">
        <f t="shared" si="27"/>
        <v>N/A</v>
      </c>
      <c r="O84" s="575" t="s">
        <v>1822</v>
      </c>
      <c r="P84" s="580" t="str">
        <f>IF($D84="Logistics",VLOOKUP($O84,'Lower Hot Cell Logistics'!$C$4:$D$69,2,FALSE),"N/A")</f>
        <v>N/A</v>
      </c>
      <c r="Q84" s="1449"/>
      <c r="R84" s="853" t="s">
        <v>263</v>
      </c>
      <c r="S84" s="576" t="str">
        <f>IFERROR(#REF!-R84,"N/A")</f>
        <v>N/A</v>
      </c>
      <c r="T84" s="897"/>
      <c r="U84" s="3549"/>
      <c r="V84" s="290"/>
      <c r="W84" s="290"/>
      <c r="X84" s="290"/>
      <c r="Y84" s="290"/>
      <c r="Z84" s="290"/>
      <c r="AA84" s="290"/>
      <c r="AB84" s="1430"/>
    </row>
    <row r="85" spans="2:34" ht="15" outlineLevel="1" thickBot="1" x14ac:dyDescent="0.45">
      <c r="B85" s="1771"/>
      <c r="C85" s="1146" t="s">
        <v>2278</v>
      </c>
      <c r="D85" s="808" t="s">
        <v>3</v>
      </c>
      <c r="E85" s="349">
        <f t="shared" si="26"/>
        <v>0.8</v>
      </c>
      <c r="F85" s="517">
        <f t="shared" si="28"/>
        <v>10.694444444444446</v>
      </c>
      <c r="G85" s="586"/>
      <c r="H85" s="580" t="s">
        <v>263</v>
      </c>
      <c r="I85" s="586"/>
      <c r="J85" s="584"/>
      <c r="K85" s="584"/>
      <c r="L85" s="1179" t="s">
        <v>263</v>
      </c>
      <c r="M85" s="1179" t="s">
        <v>263</v>
      </c>
      <c r="N85" s="591" t="str">
        <f t="shared" si="27"/>
        <v>N/A</v>
      </c>
      <c r="O85" s="586" t="s">
        <v>2279</v>
      </c>
      <c r="P85" s="580">
        <f>IF($D85="Logistics",VLOOKUP($O85,'Lower Hot Cell Logistics'!$C$4:$D$69,2,FALSE),"N/A")</f>
        <v>0.8</v>
      </c>
      <c r="Q85" s="1450"/>
      <c r="R85" s="814" t="s">
        <v>263</v>
      </c>
      <c r="S85" s="587" t="str">
        <f>IFERROR(F82-R85,"N/A")</f>
        <v>N/A</v>
      </c>
      <c r="T85" s="5"/>
      <c r="U85" s="3549"/>
      <c r="V85" s="290"/>
      <c r="W85" s="290"/>
      <c r="X85" s="290"/>
      <c r="Y85" s="290"/>
      <c r="Z85" s="290"/>
      <c r="AA85" s="290"/>
      <c r="AB85" s="1430"/>
    </row>
    <row r="86" spans="2:34" outlineLevel="1" x14ac:dyDescent="0.4">
      <c r="B86" s="1771"/>
      <c r="C86" s="705"/>
      <c r="D86" s="870" t="s">
        <v>11</v>
      </c>
      <c r="E86" s="7"/>
      <c r="F86" s="290">
        <f>F85</f>
        <v>10.694444444444446</v>
      </c>
      <c r="G86" s="94"/>
      <c r="H86" s="895"/>
      <c r="I86" s="94"/>
      <c r="J86" s="94"/>
      <c r="K86" s="94"/>
      <c r="L86" s="897"/>
      <c r="M86" s="897"/>
      <c r="N86" s="895"/>
      <c r="O86" s="94"/>
      <c r="P86" s="897"/>
      <c r="Q86" s="1444"/>
      <c r="R86" s="897"/>
      <c r="S86" s="897"/>
      <c r="T86" s="7"/>
      <c r="U86" s="3549"/>
      <c r="V86" s="290"/>
      <c r="W86" s="290"/>
      <c r="X86" s="290"/>
      <c r="Y86" s="290"/>
      <c r="Z86" s="290"/>
      <c r="AA86" s="290"/>
      <c r="AB86" s="1430"/>
    </row>
    <row r="87" spans="2:34" outlineLevel="1" x14ac:dyDescent="0.4">
      <c r="B87" s="1771"/>
      <c r="C87" s="1144"/>
      <c r="D87" s="1483"/>
      <c r="E87" s="894"/>
      <c r="F87" s="894"/>
      <c r="G87" s="94"/>
      <c r="H87" s="895"/>
      <c r="I87" s="94"/>
      <c r="J87" s="94"/>
      <c r="K87" s="94"/>
      <c r="L87" s="897"/>
      <c r="M87" s="897"/>
      <c r="N87" s="895"/>
      <c r="O87" s="94"/>
      <c r="P87" s="897"/>
      <c r="Q87" s="1444"/>
      <c r="R87" s="897"/>
      <c r="S87" s="897"/>
      <c r="T87" s="7"/>
      <c r="U87" s="3549"/>
      <c r="V87" s="290"/>
      <c r="W87" s="290"/>
      <c r="X87" s="290"/>
      <c r="Y87" s="290"/>
      <c r="Z87" s="290"/>
      <c r="AA87" s="290"/>
      <c r="AB87" s="1430"/>
    </row>
    <row r="88" spans="2:34" outlineLevel="1" x14ac:dyDescent="0.4">
      <c r="B88" s="1771"/>
      <c r="C88" s="5"/>
      <c r="D88" s="1140"/>
      <c r="E88" s="1139"/>
      <c r="F88" s="1139"/>
      <c r="G88" s="1139"/>
      <c r="H88" s="1140"/>
      <c r="I88" s="1139"/>
      <c r="J88" s="1139"/>
      <c r="K88" s="1139"/>
      <c r="L88" s="1139"/>
      <c r="M88" s="1139"/>
      <c r="N88" s="1139"/>
      <c r="O88" s="1141"/>
      <c r="P88" s="7"/>
      <c r="Q88" s="1413"/>
      <c r="R88" s="7"/>
      <c r="S88" s="7"/>
      <c r="T88" s="7"/>
      <c r="U88" s="3549"/>
      <c r="V88" s="290"/>
      <c r="W88" s="290"/>
      <c r="X88" s="290"/>
      <c r="Y88" s="290"/>
      <c r="Z88" s="290"/>
      <c r="AA88" s="290"/>
      <c r="AB88" s="1430"/>
    </row>
    <row r="89" spans="2:34" outlineLevel="1" x14ac:dyDescent="0.4">
      <c r="B89" s="1771"/>
      <c r="C89" s="5"/>
      <c r="D89" s="1140"/>
      <c r="E89" s="1139"/>
      <c r="F89" s="1139"/>
      <c r="G89" s="1139"/>
      <c r="H89" s="1140"/>
      <c r="I89" s="1139"/>
      <c r="J89" s="1139"/>
      <c r="K89" s="1139"/>
      <c r="L89" s="1139"/>
      <c r="M89" s="1139"/>
      <c r="N89" s="1139"/>
      <c r="O89" s="1141"/>
      <c r="P89" s="7"/>
      <c r="Q89" s="1413"/>
      <c r="R89" s="7"/>
      <c r="S89" s="7"/>
      <c r="T89" s="7"/>
      <c r="U89" s="3549"/>
      <c r="V89" s="290"/>
      <c r="W89" s="290"/>
      <c r="X89" s="290"/>
      <c r="Y89" s="290"/>
      <c r="Z89" s="290"/>
      <c r="AA89" s="290"/>
      <c r="AB89" s="1430"/>
    </row>
    <row r="90" spans="2:34" x14ac:dyDescent="0.4">
      <c r="B90" s="1783"/>
      <c r="C90" s="1784"/>
      <c r="D90" s="1784"/>
      <c r="E90" s="1784"/>
      <c r="F90" s="1784"/>
      <c r="G90" s="1784"/>
      <c r="H90" s="1796"/>
      <c r="I90" s="1784"/>
      <c r="J90" s="1784"/>
      <c r="K90" s="1784"/>
      <c r="L90" s="1784"/>
      <c r="M90" s="1784"/>
      <c r="N90" s="1784"/>
      <c r="O90" s="1784"/>
      <c r="P90" s="1784"/>
      <c r="Q90" s="1795"/>
      <c r="R90" s="1784"/>
      <c r="S90" s="1784"/>
      <c r="T90" s="1784"/>
      <c r="U90" s="3557"/>
      <c r="V90" s="1801"/>
      <c r="W90" s="1801"/>
      <c r="X90" s="1801"/>
      <c r="Y90" s="1801"/>
      <c r="Z90" s="1801"/>
      <c r="AA90" s="1801"/>
      <c r="AB90" s="1802"/>
    </row>
    <row r="91" spans="2:34" x14ac:dyDescent="0.4">
      <c r="B91" s="5"/>
      <c r="C91" s="1144"/>
      <c r="D91" s="892"/>
      <c r="E91" s="894"/>
      <c r="F91" s="894"/>
      <c r="G91" s="94"/>
      <c r="H91" s="895"/>
      <c r="I91" s="94"/>
      <c r="J91" s="94"/>
      <c r="K91" s="94"/>
      <c r="L91" s="897"/>
      <c r="M91" s="897"/>
      <c r="N91" s="895"/>
      <c r="O91" s="94"/>
      <c r="P91" s="897"/>
      <c r="Q91" s="1444"/>
      <c r="R91" s="897"/>
      <c r="S91" s="897"/>
      <c r="T91" s="5"/>
      <c r="U91" s="3549"/>
      <c r="V91" s="290"/>
      <c r="W91" s="290"/>
      <c r="X91" s="290"/>
      <c r="Y91" s="290"/>
      <c r="Z91" s="290"/>
      <c r="AA91" s="290"/>
      <c r="AC91" s="8"/>
      <c r="AD91" s="8"/>
      <c r="AE91" s="8"/>
      <c r="AF91" s="8"/>
      <c r="AG91" s="8"/>
      <c r="AH91" s="8"/>
    </row>
    <row r="92" spans="2:34" ht="15.45" x14ac:dyDescent="0.4">
      <c r="B92" s="1803"/>
      <c r="C92" s="1804" t="s">
        <v>2280</v>
      </c>
      <c r="D92" s="1804"/>
      <c r="E92" s="1804"/>
      <c r="F92" s="1804"/>
      <c r="G92" s="1804"/>
      <c r="H92" s="1804"/>
      <c r="I92" s="1804"/>
      <c r="J92" s="1804"/>
      <c r="K92" s="1804"/>
      <c r="L92" s="1804"/>
      <c r="M92" s="1804"/>
      <c r="N92" s="1804"/>
      <c r="O92" s="1804"/>
      <c r="P92" s="1804"/>
      <c r="Q92" s="1805"/>
      <c r="R92" s="1804"/>
      <c r="S92" s="1804"/>
      <c r="T92" s="1804"/>
      <c r="U92" s="3558"/>
      <c r="V92" s="1804"/>
      <c r="W92" s="1804"/>
      <c r="X92" s="1804"/>
      <c r="Y92" s="1804"/>
      <c r="Z92" s="1804"/>
      <c r="AA92" s="1804"/>
      <c r="AB92" s="1806"/>
    </row>
    <row r="93" spans="2:34" ht="15" outlineLevel="1" thickBot="1" x14ac:dyDescent="0.45">
      <c r="B93" s="1807"/>
      <c r="C93" s="748" t="s">
        <v>1053</v>
      </c>
      <c r="D93" s="767"/>
      <c r="E93" s="767"/>
      <c r="F93" s="767"/>
      <c r="G93" s="767"/>
      <c r="H93" s="2280"/>
      <c r="I93" s="767"/>
      <c r="J93" s="767"/>
      <c r="K93" s="767"/>
      <c r="L93" s="767"/>
      <c r="M93" s="767"/>
      <c r="N93" s="767"/>
      <c r="O93" s="767"/>
      <c r="P93" s="5"/>
      <c r="Q93" s="1768"/>
      <c r="R93" s="5"/>
      <c r="S93" s="5"/>
      <c r="T93" s="5"/>
      <c r="U93" s="3559"/>
      <c r="V93" s="273"/>
      <c r="W93" s="273"/>
      <c r="X93" s="273"/>
      <c r="Y93" s="273"/>
      <c r="Z93" s="273"/>
      <c r="AA93" s="273"/>
      <c r="AB93" s="1430"/>
    </row>
    <row r="94" spans="2:34" ht="29.6" outlineLevel="1" thickBot="1" x14ac:dyDescent="0.45">
      <c r="B94" s="1807"/>
      <c r="C94" s="1118" t="s">
        <v>1815</v>
      </c>
      <c r="D94" s="767"/>
      <c r="E94" s="767"/>
      <c r="F94" s="767"/>
      <c r="G94" s="767"/>
      <c r="H94" s="2280"/>
      <c r="I94" s="767"/>
      <c r="J94" s="767"/>
      <c r="K94" s="767"/>
      <c r="L94" s="767"/>
      <c r="M94" s="767"/>
      <c r="N94" s="767"/>
      <c r="O94" s="767"/>
      <c r="P94" s="5"/>
      <c r="Q94" s="1768"/>
      <c r="R94" s="5"/>
      <c r="S94" s="5"/>
      <c r="T94" s="5"/>
      <c r="U94" s="3560" t="str">
        <f>C92</f>
        <v>Hardware Transporter failure at the divertor port during divertor maintenance</v>
      </c>
      <c r="V94" s="2281" t="s">
        <v>23</v>
      </c>
      <c r="W94" s="3842" t="s">
        <v>2604</v>
      </c>
      <c r="X94" s="3843"/>
      <c r="Y94" s="3843"/>
      <c r="Z94" s="3843"/>
      <c r="AA94" s="3844"/>
      <c r="AB94" s="1430"/>
    </row>
    <row r="95" spans="2:34" outlineLevel="1" x14ac:dyDescent="0.4">
      <c r="B95" s="1807"/>
      <c r="C95" s="1118" t="s">
        <v>1125</v>
      </c>
      <c r="D95" s="767"/>
      <c r="E95" s="767"/>
      <c r="F95" s="767"/>
      <c r="G95" s="767"/>
      <c r="H95" s="2280"/>
      <c r="I95" s="767"/>
      <c r="J95" s="767"/>
      <c r="K95" s="767"/>
      <c r="L95" s="767"/>
      <c r="M95" s="767"/>
      <c r="N95" s="767"/>
      <c r="O95" s="767"/>
      <c r="P95" s="5"/>
      <c r="Q95" s="1768"/>
      <c r="R95" s="5"/>
      <c r="S95" s="5"/>
      <c r="T95" s="5"/>
      <c r="U95" s="3546" t="s">
        <v>1055</v>
      </c>
      <c r="V95" s="2282">
        <v>1</v>
      </c>
      <c r="W95" s="1497">
        <v>1</v>
      </c>
      <c r="X95" s="754">
        <v>2</v>
      </c>
      <c r="Y95" s="754">
        <v>3</v>
      </c>
      <c r="Z95" s="754">
        <v>4</v>
      </c>
      <c r="AA95" s="753">
        <v>6</v>
      </c>
      <c r="AB95" s="1430"/>
    </row>
    <row r="96" spans="2:34" outlineLevel="1" x14ac:dyDescent="0.4">
      <c r="B96" s="1807"/>
      <c r="C96" s="1118"/>
      <c r="D96" s="767"/>
      <c r="E96" s="767"/>
      <c r="F96" s="767"/>
      <c r="G96" s="767"/>
      <c r="H96" s="2280"/>
      <c r="I96" s="767"/>
      <c r="J96" s="767"/>
      <c r="K96" s="767"/>
      <c r="L96" s="767"/>
      <c r="M96" s="767"/>
      <c r="N96" s="767"/>
      <c r="O96" s="767"/>
      <c r="P96" s="5"/>
      <c r="Q96" s="1768"/>
      <c r="R96" s="5"/>
      <c r="S96" s="5"/>
      <c r="T96" s="5"/>
      <c r="U96" s="3139" t="s">
        <v>2669</v>
      </c>
      <c r="V96" s="1086">
        <f>SUMIF('Lower Hot Cell Critical Path'!$D$7:D$73, "Movement", 'Lower Hot Cell Critical Path'!E$7:E$73)+SUMIF('Lower Hot Cell Dependencies'!$D$6:$D$88, "Movement", 'Lower Hot Cell Dependencies'!$E$6:$E$88)</f>
        <v>12.203703703703708</v>
      </c>
      <c r="W96" s="1498">
        <f ca="1">SUMIF('Lower Hot Cell Critical Path'!$D$7:E$73, "Movement", 'Lower Hot Cell Critical Path'!F$7:F$73)+SUMIF('Lower Hot Cell Dependencies'!$D$6:$D$88, "Movement", 'Lower Hot Cell Dependencies'!$E$6:$E$88)</f>
        <v>14.495185185185189</v>
      </c>
      <c r="X96" s="756">
        <f ca="1">SUMIF('Lower Hot Cell Critical Path'!$D$7:F$73, "Movement", 'Lower Hot Cell Critical Path'!G$7:G$73)+SUMIF('Lower Hot Cell Dependencies'!$D$6:$D$88, "Movement", 'Lower Hot Cell Dependencies'!$E$6:$E$88)</f>
        <v>11.555555555555559</v>
      </c>
      <c r="Y96" s="756">
        <f ca="1">SUMIF('Lower Hot Cell Critical Path'!$D$7:G$73, "Movement", 'Lower Hot Cell Critical Path'!H$7:H$73)+SUMIF('Lower Hot Cell Dependencies'!$D$6:$D$88, "Movement", 'Lower Hot Cell Dependencies'!$E$6:$E$88)</f>
        <v>11.555555555555559</v>
      </c>
      <c r="Z96" s="756">
        <f ca="1">SUMIF('Lower Hot Cell Critical Path'!$D$7:H$73, "Movement", 'Lower Hot Cell Critical Path'!I$7:I$73)+SUMIF('Lower Hot Cell Dependencies'!$D$6:$D$88, "Movement", 'Lower Hot Cell Dependencies'!$E$6:$E$88)</f>
        <v>11.555555555555559</v>
      </c>
      <c r="AA96" s="755">
        <f ca="1">SUMIF('Lower Hot Cell Critical Path'!$D$7:I$73, "Movement", 'Lower Hot Cell Critical Path'!J$7:J$73)+SUMIF('Lower Hot Cell Dependencies'!$D$6:$D$88, "Movement", 'Lower Hot Cell Dependencies'!$E$6:$E$88)</f>
        <v>11.555555555555559</v>
      </c>
      <c r="AB96" s="1430"/>
    </row>
    <row r="97" spans="2:28" outlineLevel="1" x14ac:dyDescent="0.4">
      <c r="B97" s="1807"/>
      <c r="C97" s="748" t="s">
        <v>1056</v>
      </c>
      <c r="D97" s="709">
        <f>SUM(D98)</f>
        <v>1.11E-4</v>
      </c>
      <c r="E97" s="759"/>
      <c r="F97" s="759"/>
      <c r="G97" s="759"/>
      <c r="H97" s="758"/>
      <c r="I97" s="759"/>
      <c r="J97" s="759"/>
      <c r="K97" s="759"/>
      <c r="L97" s="759"/>
      <c r="M97" s="759"/>
      <c r="N97" s="759"/>
      <c r="O97" s="767"/>
      <c r="P97" s="5"/>
      <c r="Q97" s="1768"/>
      <c r="R97" s="5"/>
      <c r="S97" s="5"/>
      <c r="T97" s="5"/>
      <c r="U97" s="3139" t="s">
        <v>2281</v>
      </c>
      <c r="V97" s="1086">
        <f>SUMIF('Lower Hot Cell Critical Path'!$D$150:D$208, "Movement", 'Lower Hot Cell Critical Path'!$E$150:E$208)+SUMIF('Lower Hot Cell Dependencies'!$D$233:$D$314, "Movement", 'Lower Hot Cell Dependencies'!$E$233:$E$314)</f>
        <v>9.6296296296296315</v>
      </c>
      <c r="W97" s="1498">
        <f>SUMIF('Lower Hot Cell Critical Path'!$D$150:E$208, "Movement", 'Lower Hot Cell Critical Path'!$E$150:F$208)+SUMIF('Lower Hot Cell Dependencies'!$D$233:$D$314, "Movement", 'Lower Hot Cell Dependencies'!$E$233:$E$314)</f>
        <v>9.6296296296296315</v>
      </c>
      <c r="X97" s="756">
        <f>SUMIF('Lower Hot Cell Critical Path'!$D$150:F$208, "Movement", 'Lower Hot Cell Critical Path'!$E$150:G$208)+SUMIF('Lower Hot Cell Dependencies'!$D$233:$D$314, "Movement", 'Lower Hot Cell Dependencies'!$E$233:$E$314)</f>
        <v>9.6296296296296315</v>
      </c>
      <c r="Y97" s="756">
        <f>SUMIF('Lower Hot Cell Critical Path'!$D$150:G$208, "Movement", 'Lower Hot Cell Critical Path'!$E$150:H$208)+SUMIF('Lower Hot Cell Dependencies'!$D$233:$D$314, "Movement", 'Lower Hot Cell Dependencies'!$E$233:$E$314)</f>
        <v>9.6296296296296315</v>
      </c>
      <c r="Z97" s="756">
        <f>SUMIF('Lower Hot Cell Critical Path'!$D$150:H$208, "Movement", 'Lower Hot Cell Critical Path'!$E$150:I$208)+SUMIF('Lower Hot Cell Dependencies'!$D$233:$D$314, "Movement", 'Lower Hot Cell Dependencies'!$E$233:$E$314)</f>
        <v>9.6296296296296315</v>
      </c>
      <c r="AA97" s="755">
        <f>SUMIF('Lower Hot Cell Critical Path'!$D$150:I$208, "Movement", 'Lower Hot Cell Critical Path'!$E$150:J$208)+SUMIF('Lower Hot Cell Dependencies'!$D$233:$D$314, "Movement", 'Lower Hot Cell Dependencies'!$E$233:$E$314)</f>
        <v>9.6296296296296315</v>
      </c>
      <c r="AB97" s="1430"/>
    </row>
    <row r="98" spans="2:28" ht="15" outlineLevel="1" thickBot="1" x14ac:dyDescent="0.45">
      <c r="B98" s="1807"/>
      <c r="C98" s="5" t="s">
        <v>1830</v>
      </c>
      <c r="D98" s="272">
        <f>Hardware_transport_failure</f>
        <v>1.11E-4</v>
      </c>
      <c r="E98" s="763"/>
      <c r="F98" s="763"/>
      <c r="G98" s="763"/>
      <c r="H98" s="273"/>
      <c r="I98" s="763"/>
      <c r="J98" s="763"/>
      <c r="K98" s="763"/>
      <c r="L98" s="763"/>
      <c r="M98" s="763"/>
      <c r="N98" s="763"/>
      <c r="O98" s="767"/>
      <c r="P98" s="5"/>
      <c r="Q98" s="1768"/>
      <c r="R98" s="5"/>
      <c r="S98" s="5"/>
      <c r="T98" s="5"/>
      <c r="U98" s="3140" t="s">
        <v>2668</v>
      </c>
      <c r="V98" s="1086">
        <f>V97+V96</f>
        <v>21.833333333333339</v>
      </c>
      <c r="W98" s="1498">
        <f ca="1">(W97+W96)*ROUNDUP(Tokamak_Segmts/W95,0)</f>
        <v>385.9970370370371</v>
      </c>
      <c r="X98" s="756">
        <f ca="1">(X97+X96)*ROUNDUP(Tokamak_Segmts/X95,0)</f>
        <v>169.48148148148152</v>
      </c>
      <c r="Y98" s="756">
        <f ca="1">(Y97+Y96)*ROUNDUP(Tokamak_Segmts/Y95,0)</f>
        <v>127.11111111111114</v>
      </c>
      <c r="Z98" s="756">
        <f ca="1">(Z97+Z96)*ROUNDUP(Tokamak_Segmts/Z95,0)</f>
        <v>84.740740740740762</v>
      </c>
      <c r="AA98" s="755">
        <f ca="1">(AA97+AA96)*ROUNDUP(Tokamak_Segmts/AA95,0)</f>
        <v>63.555555555555571</v>
      </c>
      <c r="AB98" s="1430"/>
    </row>
    <row r="99" spans="2:28" ht="15" outlineLevel="1" thickBot="1" x14ac:dyDescent="0.45">
      <c r="B99" s="1807"/>
      <c r="C99" s="5"/>
      <c r="D99" s="5"/>
      <c r="E99" s="5"/>
      <c r="F99" s="2283"/>
      <c r="G99" s="3878" t="s">
        <v>18</v>
      </c>
      <c r="H99" s="3879"/>
      <c r="I99" s="3880" t="s">
        <v>778</v>
      </c>
      <c r="J99" s="3881"/>
      <c r="K99" s="3881"/>
      <c r="L99" s="3881"/>
      <c r="M99" s="3881"/>
      <c r="N99" s="3882"/>
      <c r="O99" s="3880" t="s">
        <v>3</v>
      </c>
      <c r="P99" s="3882"/>
      <c r="Q99" s="3883" t="s">
        <v>779</v>
      </c>
      <c r="R99" s="3884"/>
      <c r="S99" s="3885"/>
      <c r="T99" s="5"/>
      <c r="U99" s="3141" t="s">
        <v>2693</v>
      </c>
      <c r="V99" s="1089">
        <f>V$98*$D$97</f>
        <v>2.4235000000000007E-3</v>
      </c>
      <c r="W99" s="1498">
        <f t="shared" ref="W99:AA99" ca="1" si="29">W$98*$D$97</f>
        <v>4.2845671111111122E-2</v>
      </c>
      <c r="X99" s="756">
        <f t="shared" ca="1" si="29"/>
        <v>1.8812444444444448E-2</v>
      </c>
      <c r="Y99" s="756">
        <f t="shared" ca="1" si="29"/>
        <v>1.4109333333333337E-2</v>
      </c>
      <c r="Z99" s="756">
        <f t="shared" ca="1" si="29"/>
        <v>9.4062222222222238E-3</v>
      </c>
      <c r="AA99" s="755">
        <f t="shared" ca="1" si="29"/>
        <v>7.0546666666666683E-3</v>
      </c>
      <c r="AB99" s="1430"/>
    </row>
    <row r="100" spans="2:28" ht="15" outlineLevel="1" thickBot="1" x14ac:dyDescent="0.45">
      <c r="B100" s="1807"/>
      <c r="C100" s="2285" t="s">
        <v>1129</v>
      </c>
      <c r="D100" s="1456" t="s">
        <v>782</v>
      </c>
      <c r="E100" s="1456" t="s">
        <v>783</v>
      </c>
      <c r="F100" s="1457" t="s">
        <v>784</v>
      </c>
      <c r="G100" s="788" t="s">
        <v>785</v>
      </c>
      <c r="H100" s="792" t="s">
        <v>783</v>
      </c>
      <c r="I100" s="2286" t="s">
        <v>786</v>
      </c>
      <c r="J100" s="2287" t="s">
        <v>787</v>
      </c>
      <c r="K100" s="2287" t="s">
        <v>788</v>
      </c>
      <c r="L100" s="2287" t="s">
        <v>789</v>
      </c>
      <c r="M100" s="2287" t="s">
        <v>790</v>
      </c>
      <c r="N100" s="2288" t="s">
        <v>783</v>
      </c>
      <c r="O100" s="2289" t="s">
        <v>785</v>
      </c>
      <c r="P100" s="2290" t="s">
        <v>783</v>
      </c>
      <c r="Q100" s="1447" t="s">
        <v>781</v>
      </c>
      <c r="R100" s="786" t="s">
        <v>791</v>
      </c>
      <c r="S100" s="787" t="s">
        <v>792</v>
      </c>
      <c r="T100" s="5"/>
      <c r="U100" s="3561" t="s">
        <v>1048</v>
      </c>
      <c r="V100" s="2294">
        <f t="shared" ref="V100:AA100" si="30">V99*(SUMIF($D$101:$D$106,"Operation",$E$101:$E$106))</f>
        <v>1.4541000000000005E-2</v>
      </c>
      <c r="W100" s="2295">
        <f t="shared" ca="1" si="30"/>
        <v>0.25707402666666673</v>
      </c>
      <c r="X100" s="2295">
        <f t="shared" ca="1" si="30"/>
        <v>0.11287466666666668</v>
      </c>
      <c r="Y100" s="2295">
        <f t="shared" ca="1" si="30"/>
        <v>8.4656000000000023E-2</v>
      </c>
      <c r="Z100" s="2295">
        <f t="shared" ca="1" si="30"/>
        <v>5.6437333333333339E-2</v>
      </c>
      <c r="AA100" s="2296">
        <f t="shared" ca="1" si="30"/>
        <v>4.2328000000000011E-2</v>
      </c>
      <c r="AB100" s="1430"/>
    </row>
    <row r="101" spans="2:28" outlineLevel="1" x14ac:dyDescent="0.4">
      <c r="B101" s="1807"/>
      <c r="C101" s="2291" t="s">
        <v>1817</v>
      </c>
      <c r="D101" s="847" t="s">
        <v>251</v>
      </c>
      <c r="E101" s="390">
        <f t="shared" ref="E101:E106" si="31">MAX($P101,$N101,$H101)</f>
        <v>0</v>
      </c>
      <c r="F101" s="385">
        <v>0</v>
      </c>
      <c r="G101" s="575" t="s">
        <v>1818</v>
      </c>
      <c r="H101" s="580" t="s">
        <v>263</v>
      </c>
      <c r="I101" s="575"/>
      <c r="J101" s="573"/>
      <c r="K101" s="573"/>
      <c r="L101" s="1176" t="str">
        <f>IFERROR(INDEX('Lower Hot Cell Logistics'!$I$13:$O$19,MATCH($J101,'Lower Hot Cell Logistics'!$H$13:$H$19,0),MATCH($K101,'Lower Hot Cell Logistics'!$H$13:$H$19,0)),"N/A")</f>
        <v>N/A</v>
      </c>
      <c r="M101" s="1176" t="str">
        <f>IFERROR(VLOOKUP($I101,'Lower Hot Cell Logistics'!$H$4:$I$8,2,FALSE),"N/A")</f>
        <v>N/A</v>
      </c>
      <c r="N101" s="580" t="str">
        <f t="shared" ref="N101:N106" si="32">IF(D101="Movement",IFERROR((L101/M101)/(60*60),"Error"),"N/A")</f>
        <v>N/A</v>
      </c>
      <c r="O101" s="575"/>
      <c r="P101" s="580" t="str">
        <f>IF($D101="Logistics",VLOOKUP($O101,'Lower Hot Cell Logistics'!$C$4:$D$69,2,FALSE),"N/A")</f>
        <v>N/A</v>
      </c>
      <c r="Q101" s="1448"/>
      <c r="R101" s="464" t="str">
        <f>IFERROR(VLOOKUP($Q101,'Lower HotCell RecoveryLogistics'!C680:F685,4,FALSE),"N/A")</f>
        <v>N/A</v>
      </c>
      <c r="S101" s="343" t="str">
        <f t="shared" ref="S101:S106" si="33">IFERROR(F100-R101,"N/A")</f>
        <v>N/A</v>
      </c>
      <c r="T101" s="5"/>
      <c r="U101" s="3562" t="s">
        <v>2658</v>
      </c>
      <c r="V101" s="2284">
        <f t="shared" ref="V101:AA101" si="34">V99*(SUMIF($D$101:$D$106,"Movement",$E$101:$E$106)+(SUMIF($D$101:$D$106,"Logistics",$E$101:$E$106)))</f>
        <v>8.1523847222222251E-3</v>
      </c>
      <c r="W101" s="756">
        <f t="shared" ca="1" si="34"/>
        <v>0.14412807698765437</v>
      </c>
      <c r="X101" s="756">
        <f t="shared" ca="1" si="34"/>
        <v>6.328297283950618E-2</v>
      </c>
      <c r="Y101" s="756">
        <f t="shared" ca="1" si="34"/>
        <v>4.7462229629629642E-2</v>
      </c>
      <c r="Z101" s="756">
        <f t="shared" ca="1" si="34"/>
        <v>3.164148641975309E-2</v>
      </c>
      <c r="AA101" s="755">
        <f t="shared" ca="1" si="34"/>
        <v>2.3731114814814821E-2</v>
      </c>
      <c r="AB101" s="1430"/>
    </row>
    <row r="102" spans="2:28" ht="15" outlineLevel="1" thickBot="1" x14ac:dyDescent="0.45">
      <c r="B102" s="1807"/>
      <c r="C102" s="462" t="s">
        <v>1819</v>
      </c>
      <c r="D102" s="847" t="s">
        <v>778</v>
      </c>
      <c r="E102" s="390">
        <f t="shared" si="31"/>
        <v>6.9444444444444448E-2</v>
      </c>
      <c r="F102" s="517">
        <f>IF(S102&lt;0,E102+F101+(-S102),E102+F101)</f>
        <v>6.9444444444444448E-2</v>
      </c>
      <c r="G102" s="575"/>
      <c r="H102" s="580" t="s">
        <v>263</v>
      </c>
      <c r="I102" s="575" t="s">
        <v>1820</v>
      </c>
      <c r="J102" s="573" t="s">
        <v>799</v>
      </c>
      <c r="K102" s="573" t="s">
        <v>451</v>
      </c>
      <c r="L102" s="1176">
        <f>IFERROR(INDEX('Lower Hot Cell Logistics'!$I$13:$O$19,MATCH($J102,'Lower Hot Cell Logistics'!$H$13:$H$19,0),MATCH($K102,'Lower Hot Cell Logistics'!$H$13:$H$19,0)),"N/A")</f>
        <v>50</v>
      </c>
      <c r="M102" s="1176">
        <f>IFERROR(VLOOKUP($I102,'Lower Hot Cell Logistics'!$H$4:$I$8,2,FALSE),"N/A")</f>
        <v>0.2</v>
      </c>
      <c r="N102" s="580">
        <f t="shared" si="32"/>
        <v>6.9444444444444448E-2</v>
      </c>
      <c r="O102" s="575"/>
      <c r="P102" s="580" t="str">
        <f>IF($D102="Logistics",VLOOKUP($O102,'Lower Hot Cell Logistics'!$C$4:$D$69,2,FALSE),"N/A")</f>
        <v>N/A</v>
      </c>
      <c r="Q102" s="1448"/>
      <c r="R102" s="464" t="str">
        <f>IFERROR(VLOOKUP($Q102,'Lower HotCell RecoveryLogistics'!C681:F686,4,FALSE),"N/A")</f>
        <v>N/A</v>
      </c>
      <c r="S102" s="343" t="str">
        <f t="shared" si="33"/>
        <v>N/A</v>
      </c>
      <c r="T102" s="5"/>
      <c r="U102" s="3563" t="s">
        <v>2663</v>
      </c>
      <c r="V102" s="2292">
        <f t="shared" ref="V102:AA102" si="35">V99*(-SUMIF($S$101:$S$106,"&lt;0"))</f>
        <v>0</v>
      </c>
      <c r="W102" s="761">
        <f t="shared" ca="1" si="35"/>
        <v>0</v>
      </c>
      <c r="X102" s="761">
        <f t="shared" ca="1" si="35"/>
        <v>0</v>
      </c>
      <c r="Y102" s="761">
        <f t="shared" ca="1" si="35"/>
        <v>0</v>
      </c>
      <c r="Z102" s="761">
        <f t="shared" ca="1" si="35"/>
        <v>0</v>
      </c>
      <c r="AA102" s="760">
        <f t="shared" ca="1" si="35"/>
        <v>0</v>
      </c>
      <c r="AB102" s="1430"/>
    </row>
    <row r="103" spans="2:28" ht="15" outlineLevel="1" thickBot="1" x14ac:dyDescent="0.45">
      <c r="B103" s="1807"/>
      <c r="C103" s="2293" t="s">
        <v>1821</v>
      </c>
      <c r="D103" s="1781" t="s">
        <v>3</v>
      </c>
      <c r="E103" s="390">
        <f t="shared" si="31"/>
        <v>1.8</v>
      </c>
      <c r="F103" s="517">
        <f>IF(S103&lt;0,E103+F102+(-S103),E103+F102)</f>
        <v>1.8694444444444445</v>
      </c>
      <c r="G103" s="575"/>
      <c r="H103" s="580" t="s">
        <v>263</v>
      </c>
      <c r="I103" s="575"/>
      <c r="J103" s="573"/>
      <c r="K103" s="573"/>
      <c r="L103" s="1176" t="str">
        <f>IFERROR(INDEX('Lower Hot Cell Logistics'!$I$13:$O$19,MATCH($J103,'Lower Hot Cell Logistics'!$H$13:$H$19,0),MATCH($K103,'Lower Hot Cell Logistics'!$H$13:$H$19,0)),"N/A")</f>
        <v>N/A</v>
      </c>
      <c r="M103" s="1176" t="str">
        <f>IFERROR(VLOOKUP($I103,'Lower Hot Cell Logistics'!$H$4:$I$8,2,FALSE),"N/A")</f>
        <v>N/A</v>
      </c>
      <c r="N103" s="580" t="str">
        <f t="shared" si="32"/>
        <v>N/A</v>
      </c>
      <c r="O103" s="879" t="s">
        <v>1822</v>
      </c>
      <c r="P103" s="580">
        <f>IF($D103="Logistics",VLOOKUP($O103,'Lower Hot Cell Logistics'!$C$4:$D$69,2,FALSE),"N/A")</f>
        <v>1.8</v>
      </c>
      <c r="Q103" s="1448"/>
      <c r="R103" s="464" t="str">
        <f>IFERROR(VLOOKUP($Q103,'Lower HotCell RecoveryLogistics'!C682:F687,4,FALSE),"N/A")</f>
        <v>N/A</v>
      </c>
      <c r="S103" s="343" t="str">
        <f t="shared" si="33"/>
        <v>N/A</v>
      </c>
      <c r="T103" s="5"/>
      <c r="U103" s="3368" t="s">
        <v>2667</v>
      </c>
      <c r="V103" s="2993">
        <f t="shared" ref="V103:AA103" si="36">V99*$F$107</f>
        <v>2.269338472222223E-2</v>
      </c>
      <c r="W103" s="2994">
        <f t="shared" ca="1" si="36"/>
        <v>0.40120210365432107</v>
      </c>
      <c r="X103" s="2975">
        <f t="shared" ca="1" si="36"/>
        <v>0.17615763950617286</v>
      </c>
      <c r="Y103" s="2975">
        <f t="shared" ca="1" si="36"/>
        <v>0.13211822962962966</v>
      </c>
      <c r="Z103" s="2975">
        <f t="shared" ca="1" si="36"/>
        <v>8.8078819753086429E-2</v>
      </c>
      <c r="AA103" s="2995">
        <f t="shared" ca="1" si="36"/>
        <v>6.6059114814814829E-2</v>
      </c>
      <c r="AB103" s="1430"/>
    </row>
    <row r="104" spans="2:28" ht="38.6" outlineLevel="1" x14ac:dyDescent="0.4">
      <c r="B104" s="1807"/>
      <c r="C104" s="1458" t="s">
        <v>1823</v>
      </c>
      <c r="D104" s="1781" t="s">
        <v>251</v>
      </c>
      <c r="E104" s="459">
        <f t="shared" si="31"/>
        <v>6</v>
      </c>
      <c r="F104" s="517">
        <f>IF(S104&lt;0,E104+F103+(-S104),E104+F103)</f>
        <v>7.8694444444444445</v>
      </c>
      <c r="G104" s="575" t="s">
        <v>1818</v>
      </c>
      <c r="H104" s="580">
        <v>6</v>
      </c>
      <c r="I104" s="575"/>
      <c r="J104" s="573"/>
      <c r="K104" s="573"/>
      <c r="L104" s="1176" t="str">
        <f>IFERROR(INDEX('Lower Hot Cell Logistics'!$I$13:$O$19,MATCH($J104,'Lower Hot Cell Logistics'!$H$13:$H$19,0),MATCH($K104,'Lower Hot Cell Logistics'!$H$13:$H$19,0)),"N/A")</f>
        <v>N/A</v>
      </c>
      <c r="M104" s="1176" t="str">
        <f>IFERROR(VLOOKUP($I104,'Lower Hot Cell Logistics'!$H$4:$I$8,2,FALSE),"N/A")</f>
        <v>N/A</v>
      </c>
      <c r="N104" s="580" t="str">
        <f t="shared" si="32"/>
        <v>N/A</v>
      </c>
      <c r="O104" s="879"/>
      <c r="P104" s="580" t="str">
        <f>IF($D104="Logistics",VLOOKUP($O104,'Lower Hot Cell Logistics'!$C$4:$D$69,2,FALSE),"N/A")</f>
        <v>N/A</v>
      </c>
      <c r="Q104" s="1482" t="s">
        <v>1824</v>
      </c>
      <c r="R104" s="464" t="str">
        <f>IFERROR(VLOOKUP($Q104,'Lower HotCell RecoveryLogistics'!C683:F688,4,FALSE),"N/A")</f>
        <v>N/A</v>
      </c>
      <c r="S104" s="343" t="str">
        <f t="shared" si="33"/>
        <v>N/A</v>
      </c>
      <c r="T104" s="5"/>
      <c r="AB104" s="1430"/>
    </row>
    <row r="105" spans="2:28" outlineLevel="1" x14ac:dyDescent="0.4">
      <c r="B105" s="1807"/>
      <c r="C105" s="1159" t="s">
        <v>1825</v>
      </c>
      <c r="D105" s="847" t="s">
        <v>778</v>
      </c>
      <c r="E105" s="390">
        <f t="shared" si="31"/>
        <v>0.69444444444444442</v>
      </c>
      <c r="F105" s="517">
        <f>IF(S105&lt;0,E105+F104+(-S105),E105+F104)</f>
        <v>8.5638888888888882</v>
      </c>
      <c r="G105" s="575"/>
      <c r="H105" s="850" t="s">
        <v>263</v>
      </c>
      <c r="I105" s="575" t="s">
        <v>1826</v>
      </c>
      <c r="J105" s="573" t="s">
        <v>799</v>
      </c>
      <c r="K105" s="573" t="s">
        <v>451</v>
      </c>
      <c r="L105" s="1176">
        <f>IFERROR(INDEX('Lower Hot Cell Logistics'!$I$13:$O$19,MATCH($J105,'Lower Hot Cell Logistics'!$H$13:$H$19,0),MATCH($K105,'Lower Hot Cell Logistics'!$H$13:$H$19,0)),"N/A")</f>
        <v>50</v>
      </c>
      <c r="M105" s="1176">
        <f>IFERROR(VLOOKUP($I105,'Lower Hot Cell Logistics'!$H$4:$I$8,2,FALSE),"N/A")</f>
        <v>0.02</v>
      </c>
      <c r="N105" s="580">
        <f t="shared" si="32"/>
        <v>0.69444444444444442</v>
      </c>
      <c r="O105" s="575"/>
      <c r="P105" s="580" t="str">
        <f>IF($D105="Logistics",VLOOKUP($O105,'Lower Hot Cell Logistics'!$C$4:$D$69,2,FALSE),"N/A")</f>
        <v>N/A</v>
      </c>
      <c r="Q105" s="1449"/>
      <c r="R105" s="464" t="str">
        <f>IFERROR(VLOOKUP($Q105,'Lower HotCell RecoveryLogistics'!C691:F697,4,FALSE),"N/A")</f>
        <v>N/A</v>
      </c>
      <c r="S105" s="343" t="str">
        <f t="shared" si="33"/>
        <v>N/A</v>
      </c>
      <c r="T105" s="5"/>
      <c r="AB105" s="1430"/>
    </row>
    <row r="106" spans="2:28" ht="15" outlineLevel="1" thickBot="1" x14ac:dyDescent="0.45">
      <c r="B106" s="1807"/>
      <c r="C106" s="1146" t="s">
        <v>1827</v>
      </c>
      <c r="D106" s="808" t="s">
        <v>3</v>
      </c>
      <c r="E106" s="349">
        <f t="shared" si="31"/>
        <v>0.8</v>
      </c>
      <c r="F106" s="517">
        <f>IF(S106&lt;0,E106+F105+(-S106),E106+F105)</f>
        <v>9.3638888888888889</v>
      </c>
      <c r="G106" s="586"/>
      <c r="H106" s="811" t="s">
        <v>263</v>
      </c>
      <c r="I106" s="586"/>
      <c r="J106" s="584"/>
      <c r="K106" s="584"/>
      <c r="L106" s="1179" t="str">
        <f>IFERROR(INDEX('Lower Hot Cell Logistics'!$I$13:$O$19,MATCH($J106,'Lower Hot Cell Logistics'!$H$13:$H$19,0),MATCH($K106,'Lower Hot Cell Logistics'!$H$13:$H$19,0)),"N/A")</f>
        <v>N/A</v>
      </c>
      <c r="M106" s="1179" t="str">
        <f>IFERROR(VLOOKUP($I106,'Lower Hot Cell Logistics'!$H$4:$I$8,2,FALSE),"N/A")</f>
        <v>N/A</v>
      </c>
      <c r="N106" s="591" t="str">
        <f t="shared" si="32"/>
        <v>N/A</v>
      </c>
      <c r="O106" s="586" t="s">
        <v>1828</v>
      </c>
      <c r="P106" s="591">
        <f>IF($D106="Logistics",VLOOKUP($O106,'Lower Hot Cell Logistics'!$C$4:$D$69,2,FALSE),"N/A")</f>
        <v>0.8</v>
      </c>
      <c r="Q106" s="1450"/>
      <c r="R106" s="464" t="str">
        <f>IFERROR(VLOOKUP($Q106,'Lower HotCell RecoveryLogistics'!C692:F698,4,FALSE),"N/A")</f>
        <v>N/A</v>
      </c>
      <c r="S106" s="343" t="str">
        <f t="shared" si="33"/>
        <v>N/A</v>
      </c>
      <c r="T106" s="5"/>
      <c r="AB106" s="752"/>
    </row>
    <row r="107" spans="2:28" outlineLevel="1" x14ac:dyDescent="0.4">
      <c r="B107" s="1807"/>
      <c r="C107" s="5"/>
      <c r="D107" s="870" t="s">
        <v>11</v>
      </c>
      <c r="E107" s="5"/>
      <c r="F107" s="273">
        <f>F106</f>
        <v>9.3638888888888889</v>
      </c>
      <c r="G107" s="5"/>
      <c r="H107" s="273"/>
      <c r="I107" s="5"/>
      <c r="J107" s="5"/>
      <c r="K107" s="5"/>
      <c r="L107" s="5"/>
      <c r="M107" s="5"/>
      <c r="N107" s="5"/>
      <c r="O107" s="5"/>
      <c r="P107" s="5"/>
      <c r="Q107" s="1768"/>
      <c r="R107" s="5"/>
      <c r="S107" s="5"/>
      <c r="T107" s="5"/>
      <c r="U107" s="3559"/>
      <c r="V107" s="273"/>
      <c r="W107" s="273"/>
      <c r="X107" s="273"/>
      <c r="Y107" s="273"/>
      <c r="Z107" s="273"/>
      <c r="AA107" s="273"/>
      <c r="AB107" s="752"/>
    </row>
    <row r="108" spans="2:28" outlineLevel="1" x14ac:dyDescent="0.4">
      <c r="B108" s="1807"/>
      <c r="C108" s="1144"/>
      <c r="D108" s="892"/>
      <c r="E108" s="894"/>
      <c r="F108" s="894"/>
      <c r="G108" s="94"/>
      <c r="H108" s="895"/>
      <c r="I108" s="94"/>
      <c r="J108" s="94"/>
      <c r="K108" s="94"/>
      <c r="L108" s="895"/>
      <c r="M108" s="895"/>
      <c r="N108" s="895"/>
      <c r="O108" s="94"/>
      <c r="P108" s="895"/>
      <c r="Q108" s="1782"/>
      <c r="R108" s="895"/>
      <c r="S108" s="895"/>
      <c r="T108" s="5"/>
      <c r="U108" s="3559"/>
      <c r="V108" s="273"/>
      <c r="W108" s="273"/>
      <c r="X108" s="273"/>
      <c r="Y108" s="273"/>
      <c r="Z108" s="273"/>
      <c r="AA108" s="273"/>
      <c r="AB108" s="1430"/>
    </row>
    <row r="109" spans="2:28" x14ac:dyDescent="0.4">
      <c r="B109" s="1808"/>
      <c r="C109" s="1809"/>
      <c r="D109" s="1810"/>
      <c r="E109" s="1810"/>
      <c r="F109" s="1810"/>
      <c r="G109" s="1810"/>
      <c r="H109" s="1811"/>
      <c r="I109" s="1810"/>
      <c r="J109" s="1810"/>
      <c r="K109" s="1810"/>
      <c r="L109" s="1810"/>
      <c r="M109" s="1810"/>
      <c r="N109" s="1810"/>
      <c r="O109" s="1812"/>
      <c r="P109" s="1809"/>
      <c r="Q109" s="1813"/>
      <c r="R109" s="1809"/>
      <c r="S109" s="1809"/>
      <c r="T109" s="1809"/>
      <c r="U109" s="3564"/>
      <c r="V109" s="1814"/>
      <c r="W109" s="1814"/>
      <c r="X109" s="1814"/>
      <c r="Y109" s="1814"/>
      <c r="Z109" s="1814"/>
      <c r="AA109" s="1814"/>
      <c r="AB109" s="1815"/>
    </row>
    <row r="111" spans="2:28" ht="15.45" x14ac:dyDescent="0.4">
      <c r="B111" s="1803"/>
      <c r="C111" s="1804" t="s">
        <v>1143</v>
      </c>
      <c r="D111" s="1819"/>
      <c r="E111" s="1819"/>
      <c r="F111" s="1819"/>
      <c r="G111" s="1819"/>
      <c r="H111" s="1819"/>
      <c r="I111" s="1819"/>
      <c r="J111" s="1819"/>
      <c r="K111" s="1819"/>
      <c r="L111" s="1819"/>
      <c r="M111" s="1819"/>
      <c r="N111" s="1819"/>
      <c r="O111" s="1819"/>
      <c r="P111" s="1819"/>
      <c r="Q111" s="1820"/>
      <c r="R111" s="1819"/>
      <c r="S111" s="1819"/>
      <c r="T111" s="1819"/>
      <c r="U111" s="3565"/>
      <c r="V111" s="1819"/>
      <c r="W111" s="1819"/>
      <c r="X111" s="1819"/>
      <c r="Y111" s="1819"/>
      <c r="Z111" s="1819"/>
      <c r="AA111" s="1819"/>
      <c r="AB111" s="1816"/>
    </row>
    <row r="112" spans="2:28" ht="15" outlineLevel="1" thickBot="1" x14ac:dyDescent="0.45">
      <c r="B112" s="1807"/>
      <c r="C112" s="748" t="s">
        <v>1053</v>
      </c>
      <c r="D112" s="706"/>
      <c r="E112" s="706"/>
      <c r="F112" s="706"/>
      <c r="G112" s="706"/>
      <c r="H112" s="1117"/>
      <c r="I112" s="706"/>
      <c r="J112" s="706"/>
      <c r="K112" s="706"/>
      <c r="L112" s="706"/>
      <c r="M112" s="706"/>
      <c r="N112" s="706"/>
      <c r="O112" s="706"/>
      <c r="P112" s="7"/>
      <c r="Q112" s="1413"/>
      <c r="R112" s="7"/>
      <c r="S112" s="7"/>
      <c r="T112" s="7"/>
      <c r="U112" s="3549"/>
      <c r="V112" s="290"/>
      <c r="W112" s="290"/>
      <c r="X112" s="290"/>
      <c r="Y112" s="290"/>
      <c r="Z112" s="290"/>
      <c r="AA112" s="290"/>
      <c r="AB112" s="1430"/>
    </row>
    <row r="113" spans="2:28" outlineLevel="1" x14ac:dyDescent="0.4">
      <c r="B113" s="1807"/>
      <c r="C113" s="700" t="s">
        <v>1144</v>
      </c>
      <c r="D113" s="706"/>
      <c r="E113" s="706"/>
      <c r="F113" s="706"/>
      <c r="G113" s="706"/>
      <c r="H113" s="1117"/>
      <c r="I113" s="706"/>
      <c r="J113" s="706"/>
      <c r="K113" s="706"/>
      <c r="L113" s="706"/>
      <c r="M113" s="706"/>
      <c r="N113" s="706"/>
      <c r="O113" s="706"/>
      <c r="P113" s="7"/>
      <c r="Q113" s="1413"/>
      <c r="R113" s="7"/>
      <c r="S113" s="7"/>
      <c r="T113" s="7"/>
      <c r="U113" s="3555" t="str">
        <f>C111</f>
        <v>Multifunction Manipulator failure</v>
      </c>
      <c r="V113" s="1119" t="s">
        <v>23</v>
      </c>
      <c r="W113" s="3842" t="s">
        <v>2604</v>
      </c>
      <c r="X113" s="3843"/>
      <c r="Y113" s="3843"/>
      <c r="Z113" s="3843"/>
      <c r="AA113" s="3844"/>
      <c r="AB113" s="1430"/>
    </row>
    <row r="114" spans="2:28" outlineLevel="1" x14ac:dyDescent="0.4">
      <c r="B114" s="1807"/>
      <c r="C114" s="700" t="s">
        <v>1125</v>
      </c>
      <c r="D114" s="706"/>
      <c r="E114" s="706"/>
      <c r="F114" s="706"/>
      <c r="G114" s="706"/>
      <c r="H114" s="1117"/>
      <c r="I114" s="706"/>
      <c r="J114" s="706"/>
      <c r="K114" s="706"/>
      <c r="L114" s="706"/>
      <c r="M114" s="706"/>
      <c r="N114" s="706"/>
      <c r="O114" s="706"/>
      <c r="P114" s="7"/>
      <c r="Q114" s="1413"/>
      <c r="R114" s="7"/>
      <c r="S114" s="7"/>
      <c r="T114" s="7"/>
      <c r="U114" s="3556" t="s">
        <v>1055</v>
      </c>
      <c r="V114" s="1122">
        <v>1</v>
      </c>
      <c r="W114" s="1512">
        <v>1</v>
      </c>
      <c r="X114" s="916">
        <v>2</v>
      </c>
      <c r="Y114" s="916">
        <v>3</v>
      </c>
      <c r="Z114" s="916">
        <v>4</v>
      </c>
      <c r="AA114" s="1045">
        <v>6</v>
      </c>
      <c r="AB114" s="1430"/>
    </row>
    <row r="115" spans="2:28" outlineLevel="1" x14ac:dyDescent="0.4">
      <c r="B115" s="1807"/>
      <c r="C115" s="700" t="s">
        <v>1145</v>
      </c>
      <c r="D115" s="706"/>
      <c r="E115" s="706"/>
      <c r="F115" s="706"/>
      <c r="G115" s="706"/>
      <c r="H115" s="1117"/>
      <c r="I115" s="706"/>
      <c r="J115" s="706"/>
      <c r="K115" s="706"/>
      <c r="L115" s="706"/>
      <c r="M115" s="706"/>
      <c r="N115" s="706"/>
      <c r="O115" s="706"/>
      <c r="P115" s="7"/>
      <c r="Q115" s="1413"/>
      <c r="R115" s="7"/>
      <c r="S115" s="7"/>
      <c r="T115" s="7"/>
      <c r="U115" s="3544" t="s">
        <v>1854</v>
      </c>
      <c r="V115" s="1086">
        <f>SUMIF('Lower Hot Cell Critical Path'!$C$7:$C$72, "*Multifunction Manipulator*", 'Lower Hot Cell Critical Path'!$E$7:$E$72)</f>
        <v>16.490000000000002</v>
      </c>
      <c r="W115" s="1415">
        <f>SUMIF('Lower Hot Cell Critical Path'!$C$7:$C$72, "*Multifunction Manipulator*", 'Lower Hot Cell Critical Path'!$E$7:$E$72)</f>
        <v>16.490000000000002</v>
      </c>
      <c r="X115" s="917">
        <f>SUMIF('Lower Hot Cell Critical Path'!$C$7:$C$72, "*Multifunction Manipulator*", 'Lower Hot Cell Critical Path'!$E$7:$E$72)</f>
        <v>16.490000000000002</v>
      </c>
      <c r="Y115" s="917">
        <f>SUMIF('Lower Hot Cell Critical Path'!$C$7:$C$72, "*Multifunction Manipulator*", 'Lower Hot Cell Critical Path'!$E$7:$E$72)</f>
        <v>16.490000000000002</v>
      </c>
      <c r="Z115" s="917">
        <f>SUMIF('Lower Hot Cell Critical Path'!$C$7:$C$72, "*Multifunction Manipulator*", 'Lower Hot Cell Critical Path'!$E$7:$E$72)</f>
        <v>16.490000000000002</v>
      </c>
      <c r="AA115" s="1028">
        <f>SUMIF('Lower Hot Cell Critical Path'!$C$7:$C$72, "*Multifunction Manipulator*", 'Lower Hot Cell Critical Path'!$E$7:$E$72)</f>
        <v>16.490000000000002</v>
      </c>
      <c r="AB115" s="1430"/>
    </row>
    <row r="116" spans="2:28" outlineLevel="1" x14ac:dyDescent="0.4">
      <c r="B116" s="1807"/>
      <c r="C116" s="700"/>
      <c r="D116" s="706"/>
      <c r="E116" s="706"/>
      <c r="F116" s="706"/>
      <c r="G116" s="706"/>
      <c r="H116" s="1117"/>
      <c r="I116" s="706"/>
      <c r="J116" s="706"/>
      <c r="K116" s="706"/>
      <c r="L116" s="706"/>
      <c r="M116" s="706"/>
      <c r="N116" s="706"/>
      <c r="O116" s="706"/>
      <c r="P116" s="7"/>
      <c r="Q116" s="1413"/>
      <c r="R116" s="7"/>
      <c r="S116" s="7"/>
      <c r="T116" s="7"/>
      <c r="U116" s="3544" t="s">
        <v>1855</v>
      </c>
      <c r="V116" s="1086">
        <f>SUMIF('Lower Hot Cell Critical Path'!$C$150:$C$208, "*Multifunction Manipulator*", 'Lower Hot Cell Critical Path'!$E$150:$E$208)</f>
        <v>21.280000000000005</v>
      </c>
      <c r="W116" s="1415">
        <f>SUMIF('Lower Hot Cell Critical Path'!$C$150:$C$208, "*Multifunction Manipulator*", 'Lower Hot Cell Critical Path'!$E$150:$E$208)</f>
        <v>21.280000000000005</v>
      </c>
      <c r="X116" s="917">
        <f>SUMIF('Lower Hot Cell Critical Path'!$C$150:$C$208, "*Multifunction Manipulator*", 'Lower Hot Cell Critical Path'!$E$150:$E$208)</f>
        <v>21.280000000000005</v>
      </c>
      <c r="Y116" s="917">
        <f>SUMIF('Lower Hot Cell Critical Path'!$C$150:$C$208, "*Multifunction Manipulator*", 'Lower Hot Cell Critical Path'!$E$150:$E$208)</f>
        <v>21.280000000000005</v>
      </c>
      <c r="Z116" s="917">
        <f>SUMIF('Lower Hot Cell Critical Path'!$C$150:$C$208, "*Multifunction Manipulator*", 'Lower Hot Cell Critical Path'!$E$150:$E$208)</f>
        <v>21.280000000000005</v>
      </c>
      <c r="AA116" s="1028">
        <f>SUMIF('Lower Hot Cell Critical Path'!$C$150:$C$208, "*Multifunction Manipulator*", 'Lower Hot Cell Critical Path'!$E$150:$E$208)</f>
        <v>21.280000000000005</v>
      </c>
      <c r="AB116" s="1430"/>
    </row>
    <row r="117" spans="2:28" outlineLevel="1" x14ac:dyDescent="0.4">
      <c r="B117" s="1807"/>
      <c r="C117" s="748" t="s">
        <v>1056</v>
      </c>
      <c r="D117" s="927">
        <f>SUM(D118)</f>
        <v>0.02</v>
      </c>
      <c r="E117" s="918"/>
      <c r="F117" s="918"/>
      <c r="G117" s="918"/>
      <c r="H117" s="919"/>
      <c r="I117" s="918"/>
      <c r="J117" s="918"/>
      <c r="K117" s="918"/>
      <c r="L117" s="918"/>
      <c r="M117" s="918"/>
      <c r="N117" s="918"/>
      <c r="O117" s="706"/>
      <c r="P117" s="7"/>
      <c r="Q117" s="1413"/>
      <c r="R117" s="7"/>
      <c r="S117" s="7"/>
      <c r="T117" s="7"/>
      <c r="U117" s="3140" t="s">
        <v>2668</v>
      </c>
      <c r="V117" s="1086">
        <f>V116+V115</f>
        <v>37.77000000000001</v>
      </c>
      <c r="W117" s="1415">
        <f>(W116+W115)*ROUNDUP(Tokamak_Segmts/W114,0)</f>
        <v>604.32000000000016</v>
      </c>
      <c r="X117" s="917">
        <f>(X116+X115)*ROUNDUP(Tokamak_Segmts/X114,0)</f>
        <v>302.16000000000008</v>
      </c>
      <c r="Y117" s="917">
        <f>(Y116+Y115)*ROUNDUP(Tokamak_Segmts/Y114,0)</f>
        <v>226.62000000000006</v>
      </c>
      <c r="Z117" s="917">
        <f>(Z116+Z115)*ROUNDUP(Tokamak_Segmts/Z114,0)</f>
        <v>151.08000000000004</v>
      </c>
      <c r="AA117" s="1028">
        <f>(AA116+AA115)*ROUNDUP(Tokamak_Segmts/AA114,0)</f>
        <v>113.31000000000003</v>
      </c>
      <c r="AB117" s="1430"/>
    </row>
    <row r="118" spans="2:28" ht="15" outlineLevel="1" thickBot="1" x14ac:dyDescent="0.45">
      <c r="B118" s="1807"/>
      <c r="C118" s="7" t="s">
        <v>1146</v>
      </c>
      <c r="D118" s="283">
        <f>total_mfm_failure</f>
        <v>0.02</v>
      </c>
      <c r="E118" s="922"/>
      <c r="F118" s="922"/>
      <c r="G118" s="918"/>
      <c r="H118" s="919"/>
      <c r="I118" s="918"/>
      <c r="J118" s="918"/>
      <c r="K118" s="918"/>
      <c r="L118" s="918"/>
      <c r="M118" s="918"/>
      <c r="N118" s="918"/>
      <c r="O118" s="706"/>
      <c r="P118" s="7"/>
      <c r="Q118" s="1413"/>
      <c r="R118" s="7"/>
      <c r="S118" s="7"/>
      <c r="T118" s="7"/>
      <c r="U118" s="3141" t="s">
        <v>2693</v>
      </c>
      <c r="V118" s="1089">
        <f>V$117*$D$117</f>
        <v>0.75540000000000018</v>
      </c>
      <c r="W118" s="1416">
        <f t="shared" ref="W118:AA118" si="37">W$117*$D$117</f>
        <v>12.086400000000003</v>
      </c>
      <c r="X118" s="920">
        <f t="shared" si="37"/>
        <v>6.0432000000000015</v>
      </c>
      <c r="Y118" s="920">
        <f t="shared" si="37"/>
        <v>4.5324000000000018</v>
      </c>
      <c r="Z118" s="920">
        <f t="shared" si="37"/>
        <v>3.0216000000000007</v>
      </c>
      <c r="AA118" s="1029">
        <f t="shared" si="37"/>
        <v>2.2662000000000009</v>
      </c>
      <c r="AB118" s="1430"/>
    </row>
    <row r="119" spans="2:28" ht="15" outlineLevel="1" thickBot="1" x14ac:dyDescent="0.45">
      <c r="B119" s="1807"/>
      <c r="C119" s="7"/>
      <c r="D119" s="922"/>
      <c r="E119" s="922"/>
      <c r="F119" s="922"/>
      <c r="G119" s="918"/>
      <c r="H119" s="919"/>
      <c r="I119" s="918"/>
      <c r="J119" s="918"/>
      <c r="K119" s="918"/>
      <c r="L119" s="918"/>
      <c r="M119" s="918"/>
      <c r="N119" s="918"/>
      <c r="O119" s="706"/>
      <c r="P119" s="7"/>
      <c r="Q119" s="1413"/>
      <c r="R119" s="7"/>
      <c r="S119" s="7"/>
      <c r="T119" s="7"/>
      <c r="U119" s="3552" t="s">
        <v>1048</v>
      </c>
      <c r="V119" s="1082">
        <f t="shared" ref="V119:AA119" si="38">V118*(SUMIF($D$122:$D$132,"Operation",$E$122:$E$132))</f>
        <v>2.2662000000000004</v>
      </c>
      <c r="W119" s="1083">
        <f t="shared" si="38"/>
        <v>36.259200000000007</v>
      </c>
      <c r="X119" s="1084">
        <f t="shared" si="38"/>
        <v>18.129600000000003</v>
      </c>
      <c r="Y119" s="1084">
        <f t="shared" si="38"/>
        <v>13.597200000000004</v>
      </c>
      <c r="Z119" s="1084">
        <f t="shared" si="38"/>
        <v>9.0648000000000017</v>
      </c>
      <c r="AA119" s="1085">
        <f t="shared" si="38"/>
        <v>6.7986000000000022</v>
      </c>
      <c r="AB119" s="1430"/>
    </row>
    <row r="120" spans="2:28" ht="15" outlineLevel="1" thickBot="1" x14ac:dyDescent="0.45">
      <c r="B120" s="1807"/>
      <c r="C120" s="7"/>
      <c r="D120" s="7"/>
      <c r="E120" s="7"/>
      <c r="F120" s="929"/>
      <c r="G120" s="3841" t="s">
        <v>18</v>
      </c>
      <c r="H120" s="3837"/>
      <c r="I120" s="3793" t="s">
        <v>778</v>
      </c>
      <c r="J120" s="3794"/>
      <c r="K120" s="3794"/>
      <c r="L120" s="3794"/>
      <c r="M120" s="3794"/>
      <c r="N120" s="3795"/>
      <c r="O120" s="3793" t="s">
        <v>3</v>
      </c>
      <c r="P120" s="3795"/>
      <c r="Q120" s="3838" t="s">
        <v>779</v>
      </c>
      <c r="R120" s="3839"/>
      <c r="S120" s="3840"/>
      <c r="T120" s="938"/>
      <c r="U120" s="3544" t="s">
        <v>2658</v>
      </c>
      <c r="V120" s="1086">
        <f t="shared" ref="V120:AA120" si="39">V118*(SUMIF($D$122:$D$132,"Movement",$E$122:$E$132)+(SUMIF($D$122:$D$132,"Logistics",$E$122:$E$132)))</f>
        <v>8.7613810000000036</v>
      </c>
      <c r="W120" s="1087">
        <f t="shared" si="39"/>
        <v>140.18209600000006</v>
      </c>
      <c r="X120" s="915">
        <f t="shared" si="39"/>
        <v>70.091048000000029</v>
      </c>
      <c r="Y120" s="915">
        <f t="shared" si="39"/>
        <v>52.568286000000029</v>
      </c>
      <c r="Z120" s="915">
        <f t="shared" si="39"/>
        <v>35.045524000000015</v>
      </c>
      <c r="AA120" s="1088">
        <f t="shared" si="39"/>
        <v>26.284143000000014</v>
      </c>
      <c r="AB120" s="1430"/>
    </row>
    <row r="121" spans="2:28" ht="15" outlineLevel="1" thickBot="1" x14ac:dyDescent="0.45">
      <c r="B121" s="1807"/>
      <c r="C121" s="562" t="s">
        <v>1129</v>
      </c>
      <c r="D121" s="563" t="s">
        <v>782</v>
      </c>
      <c r="E121" s="942" t="s">
        <v>783</v>
      </c>
      <c r="F121" s="943" t="s">
        <v>784</v>
      </c>
      <c r="G121" s="940" t="s">
        <v>785</v>
      </c>
      <c r="H121" s="944" t="s">
        <v>783</v>
      </c>
      <c r="I121" s="940" t="s">
        <v>786</v>
      </c>
      <c r="J121" s="563" t="s">
        <v>787</v>
      </c>
      <c r="K121" s="563" t="s">
        <v>788</v>
      </c>
      <c r="L121" s="563" t="s">
        <v>789</v>
      </c>
      <c r="M121" s="563" t="s">
        <v>790</v>
      </c>
      <c r="N121" s="564" t="s">
        <v>783</v>
      </c>
      <c r="O121" s="560" t="s">
        <v>785</v>
      </c>
      <c r="P121" s="1152" t="s">
        <v>783</v>
      </c>
      <c r="Q121" s="1447" t="s">
        <v>781</v>
      </c>
      <c r="R121" s="786" t="s">
        <v>791</v>
      </c>
      <c r="S121" s="787" t="s">
        <v>792</v>
      </c>
      <c r="T121" s="947"/>
      <c r="U121" s="3144" t="s">
        <v>2663</v>
      </c>
      <c r="V121" s="1089">
        <f t="shared" ref="V121:AA121" si="40">V118*(-SUMIF($S$122:$S$132,"&lt;0"))</f>
        <v>0</v>
      </c>
      <c r="W121" s="1090">
        <f t="shared" si="40"/>
        <v>0</v>
      </c>
      <c r="X121" s="1091">
        <f t="shared" si="40"/>
        <v>0</v>
      </c>
      <c r="Y121" s="1091">
        <f t="shared" si="40"/>
        <v>0</v>
      </c>
      <c r="Z121" s="1091">
        <f t="shared" si="40"/>
        <v>0</v>
      </c>
      <c r="AA121" s="1092">
        <f t="shared" si="40"/>
        <v>0</v>
      </c>
      <c r="AB121" s="1430"/>
    </row>
    <row r="122" spans="2:28" ht="15" outlineLevel="1" thickBot="1" x14ac:dyDescent="0.45">
      <c r="B122" s="1807"/>
      <c r="C122" s="1788" t="s">
        <v>1819</v>
      </c>
      <c r="D122" s="1781" t="s">
        <v>778</v>
      </c>
      <c r="E122" s="459">
        <f t="shared" ref="E122:E131" si="41">MAX($P122,$N122,$H122)</f>
        <v>6.9444444444444448E-2</v>
      </c>
      <c r="F122" s="517">
        <f>E122</f>
        <v>6.9444444444444448E-2</v>
      </c>
      <c r="G122" s="575"/>
      <c r="H122" s="580" t="s">
        <v>263</v>
      </c>
      <c r="I122" s="575" t="s">
        <v>1831</v>
      </c>
      <c r="J122" s="573" t="s">
        <v>799</v>
      </c>
      <c r="K122" s="573" t="s">
        <v>1203</v>
      </c>
      <c r="L122" s="1176">
        <v>50</v>
      </c>
      <c r="M122" s="1176">
        <v>0.2</v>
      </c>
      <c r="N122" s="580">
        <f>IF(D122="Movement",IFERROR((L122/M122)/(60*60),"Error"),"N/A")</f>
        <v>6.9444444444444448E-2</v>
      </c>
      <c r="O122" s="879"/>
      <c r="P122" s="580" t="s">
        <v>263</v>
      </c>
      <c r="Q122" s="1448"/>
      <c r="R122" s="320" t="s">
        <v>263</v>
      </c>
      <c r="S122" s="319" t="str">
        <f>IFERROR(F122-E122-R122,"N/A")</f>
        <v>N/A</v>
      </c>
      <c r="T122" s="947"/>
      <c r="U122" s="3368" t="s">
        <v>2667</v>
      </c>
      <c r="V122" s="2993">
        <f t="shared" ref="V122:AA122" si="42">V118*$F$133</f>
        <v>11.027581000000003</v>
      </c>
      <c r="W122" s="2994">
        <f t="shared" si="42"/>
        <v>176.44129600000005</v>
      </c>
      <c r="X122" s="2975">
        <f t="shared" si="42"/>
        <v>88.220648000000025</v>
      </c>
      <c r="Y122" s="2975">
        <f t="shared" si="42"/>
        <v>66.16548600000003</v>
      </c>
      <c r="Z122" s="2975">
        <f t="shared" si="42"/>
        <v>44.110324000000013</v>
      </c>
      <c r="AA122" s="2995">
        <f t="shared" si="42"/>
        <v>33.082743000000015</v>
      </c>
      <c r="AB122" s="1430"/>
    </row>
    <row r="123" spans="2:28" outlineLevel="1" x14ac:dyDescent="0.4">
      <c r="B123" s="1807"/>
      <c r="C123" s="1780" t="s">
        <v>1832</v>
      </c>
      <c r="D123" s="1781" t="s">
        <v>3</v>
      </c>
      <c r="E123" s="459">
        <f t="shared" si="41"/>
        <v>1.9</v>
      </c>
      <c r="F123" s="517">
        <f t="shared" ref="F123:F132" si="43">IF(S123&lt;0,E123+F122+(-S123),E123+F122)</f>
        <v>1.9694444444444443</v>
      </c>
      <c r="G123" s="575"/>
      <c r="H123" s="580" t="s">
        <v>263</v>
      </c>
      <c r="I123" s="575"/>
      <c r="J123" s="573"/>
      <c r="K123" s="573"/>
      <c r="L123" s="1176" t="s">
        <v>263</v>
      </c>
      <c r="M123" s="1176" t="s">
        <v>263</v>
      </c>
      <c r="N123" s="580" t="str">
        <f>IF(D123="Movement",IFERROR((L123/M123)/(60*60),"Error"),"N/A")</f>
        <v>N/A</v>
      </c>
      <c r="O123" s="879" t="s">
        <v>1541</v>
      </c>
      <c r="P123" s="580">
        <v>1.9</v>
      </c>
      <c r="Q123" s="1449"/>
      <c r="R123" s="853" t="s">
        <v>263</v>
      </c>
      <c r="S123" s="576" t="str">
        <f t="shared" ref="S123:S132" si="44">IFERROR(F122-R123,"N/A")</f>
        <v>N/A</v>
      </c>
      <c r="T123" s="947"/>
      <c r="AB123" s="1430"/>
    </row>
    <row r="124" spans="2:28" outlineLevel="1" x14ac:dyDescent="0.4">
      <c r="B124" s="1807"/>
      <c r="C124" s="1458" t="s">
        <v>1844</v>
      </c>
      <c r="D124" s="1781" t="s">
        <v>251</v>
      </c>
      <c r="E124" s="459">
        <f t="shared" si="41"/>
        <v>3</v>
      </c>
      <c r="F124" s="517">
        <f t="shared" si="43"/>
        <v>4.9694444444444441</v>
      </c>
      <c r="G124" s="575" t="s">
        <v>1818</v>
      </c>
      <c r="H124" s="580">
        <v>3</v>
      </c>
      <c r="I124" s="575"/>
      <c r="J124" s="573"/>
      <c r="K124" s="573"/>
      <c r="L124" s="1176" t="s">
        <v>263</v>
      </c>
      <c r="M124" s="1176" t="s">
        <v>263</v>
      </c>
      <c r="N124" s="580" t="str">
        <f t="shared" ref="N124:N131" si="45">IF(D124="Movement",IFERROR((L124/M124)/(60*60),"Error"),"N/A")</f>
        <v>N/A</v>
      </c>
      <c r="O124" s="879" t="s">
        <v>1835</v>
      </c>
      <c r="P124" s="580" t="s">
        <v>263</v>
      </c>
      <c r="Q124" s="1449"/>
      <c r="R124" s="853" t="s">
        <v>263</v>
      </c>
      <c r="S124" s="576" t="str">
        <f t="shared" si="44"/>
        <v>N/A</v>
      </c>
      <c r="T124" s="947"/>
      <c r="AB124" s="1430"/>
    </row>
    <row r="125" spans="2:28" outlineLevel="1" x14ac:dyDescent="0.4">
      <c r="B125" s="1807"/>
      <c r="C125" s="1458" t="s">
        <v>1836</v>
      </c>
      <c r="D125" s="1781" t="s">
        <v>3</v>
      </c>
      <c r="E125" s="459">
        <f t="shared" si="41"/>
        <v>2.3000000000000003</v>
      </c>
      <c r="F125" s="517">
        <f t="shared" si="43"/>
        <v>7.2694444444444439</v>
      </c>
      <c r="G125" s="575"/>
      <c r="H125" s="850" t="s">
        <v>263</v>
      </c>
      <c r="I125" s="575"/>
      <c r="J125" s="573"/>
      <c r="K125" s="573"/>
      <c r="L125" s="1176" t="s">
        <v>263</v>
      </c>
      <c r="M125" s="1176" t="s">
        <v>263</v>
      </c>
      <c r="N125" s="580" t="str">
        <f t="shared" si="45"/>
        <v>N/A</v>
      </c>
      <c r="O125" s="879" t="s">
        <v>1552</v>
      </c>
      <c r="P125" s="580">
        <v>2.3000000000000003</v>
      </c>
      <c r="Q125" s="1449"/>
      <c r="R125" s="853" t="s">
        <v>263</v>
      </c>
      <c r="S125" s="576" t="str">
        <f t="shared" si="44"/>
        <v>N/A</v>
      </c>
      <c r="T125" s="947"/>
      <c r="AB125" s="1430"/>
    </row>
    <row r="126" spans="2:28" outlineLevel="1" x14ac:dyDescent="0.4">
      <c r="B126" s="1807"/>
      <c r="C126" s="1128" t="s">
        <v>1577</v>
      </c>
      <c r="D126" s="847" t="s">
        <v>3</v>
      </c>
      <c r="E126" s="390">
        <f t="shared" si="41"/>
        <v>2.3000000000000003</v>
      </c>
      <c r="F126" s="517">
        <f t="shared" si="43"/>
        <v>9.5694444444444446</v>
      </c>
      <c r="G126" s="575"/>
      <c r="H126" s="850" t="s">
        <v>263</v>
      </c>
      <c r="I126" s="575"/>
      <c r="J126" s="573"/>
      <c r="K126" s="573"/>
      <c r="L126" s="1176" t="s">
        <v>263</v>
      </c>
      <c r="M126" s="1176" t="s">
        <v>263</v>
      </c>
      <c r="N126" s="580" t="str">
        <f t="shared" si="45"/>
        <v>N/A</v>
      </c>
      <c r="O126" s="575" t="s">
        <v>1552</v>
      </c>
      <c r="P126" s="580">
        <v>2.3000000000000003</v>
      </c>
      <c r="Q126" s="1449"/>
      <c r="R126" s="853" t="s">
        <v>263</v>
      </c>
      <c r="S126" s="576" t="str">
        <f t="shared" si="44"/>
        <v>N/A</v>
      </c>
      <c r="T126" s="947"/>
      <c r="AB126" s="1430"/>
    </row>
    <row r="127" spans="2:28" outlineLevel="1" x14ac:dyDescent="0.4">
      <c r="B127" s="1807"/>
      <c r="C127" s="1128" t="s">
        <v>1150</v>
      </c>
      <c r="D127" s="659" t="s">
        <v>778</v>
      </c>
      <c r="E127" s="390">
        <f t="shared" si="41"/>
        <v>0.69444444444444442</v>
      </c>
      <c r="F127" s="517">
        <f t="shared" si="43"/>
        <v>10.263888888888889</v>
      </c>
      <c r="G127" s="575"/>
      <c r="H127" s="850" t="s">
        <v>263</v>
      </c>
      <c r="I127" s="575" t="s">
        <v>1538</v>
      </c>
      <c r="J127" s="573" t="s">
        <v>1203</v>
      </c>
      <c r="K127" s="573" t="s">
        <v>914</v>
      </c>
      <c r="L127" s="1176">
        <v>50</v>
      </c>
      <c r="M127" s="1176">
        <v>0.02</v>
      </c>
      <c r="N127" s="580">
        <f t="shared" si="45"/>
        <v>0.69444444444444442</v>
      </c>
      <c r="O127" s="575"/>
      <c r="P127" s="580" t="s">
        <v>263</v>
      </c>
      <c r="Q127" s="1449"/>
      <c r="R127" s="853" t="s">
        <v>263</v>
      </c>
      <c r="S127" s="576" t="str">
        <f t="shared" si="44"/>
        <v>N/A</v>
      </c>
      <c r="T127" s="947"/>
      <c r="AB127" s="1430"/>
    </row>
    <row r="128" spans="2:28" outlineLevel="1" x14ac:dyDescent="0.4">
      <c r="B128" s="1807"/>
      <c r="C128" s="1128" t="s">
        <v>1837</v>
      </c>
      <c r="D128" s="847" t="s">
        <v>3</v>
      </c>
      <c r="E128" s="390">
        <f t="shared" si="41"/>
        <v>0.58000000000000007</v>
      </c>
      <c r="F128" s="517">
        <f t="shared" si="43"/>
        <v>10.843888888888889</v>
      </c>
      <c r="G128" s="575"/>
      <c r="H128" s="850" t="s">
        <v>263</v>
      </c>
      <c r="I128" s="575"/>
      <c r="J128" s="573"/>
      <c r="K128" s="573"/>
      <c r="L128" s="1176" t="s">
        <v>263</v>
      </c>
      <c r="M128" s="1176" t="s">
        <v>263</v>
      </c>
      <c r="N128" s="580" t="str">
        <f t="shared" si="45"/>
        <v>N/A</v>
      </c>
      <c r="O128" s="575" t="s">
        <v>1838</v>
      </c>
      <c r="P128" s="580">
        <v>0.58000000000000007</v>
      </c>
      <c r="Q128" s="1449"/>
      <c r="R128" s="853" t="s">
        <v>263</v>
      </c>
      <c r="S128" s="576" t="str">
        <f t="shared" si="44"/>
        <v>N/A</v>
      </c>
      <c r="T128" s="947"/>
      <c r="AB128" s="1430"/>
    </row>
    <row r="129" spans="2:28" outlineLevel="1" x14ac:dyDescent="0.4">
      <c r="B129" s="1807"/>
      <c r="C129" s="1128" t="s">
        <v>1839</v>
      </c>
      <c r="D129" s="847" t="s">
        <v>3</v>
      </c>
      <c r="E129" s="390">
        <f t="shared" si="41"/>
        <v>0.78</v>
      </c>
      <c r="F129" s="517">
        <f t="shared" si="43"/>
        <v>11.623888888888889</v>
      </c>
      <c r="G129" s="575"/>
      <c r="H129" s="850" t="s">
        <v>263</v>
      </c>
      <c r="I129" s="575"/>
      <c r="J129" s="573"/>
      <c r="K129" s="573"/>
      <c r="L129" s="1176" t="s">
        <v>263</v>
      </c>
      <c r="M129" s="1176" t="s">
        <v>263</v>
      </c>
      <c r="N129" s="580" t="str">
        <f t="shared" si="45"/>
        <v>N/A</v>
      </c>
      <c r="O129" s="575" t="s">
        <v>1740</v>
      </c>
      <c r="P129" s="580">
        <v>0.78</v>
      </c>
      <c r="Q129" s="1449"/>
      <c r="R129" s="853" t="s">
        <v>263</v>
      </c>
      <c r="S129" s="576" t="str">
        <f t="shared" si="44"/>
        <v>N/A</v>
      </c>
      <c r="T129" s="947"/>
      <c r="AB129" s="1430"/>
    </row>
    <row r="130" spans="2:28" outlineLevel="1" x14ac:dyDescent="0.4">
      <c r="B130" s="1807"/>
      <c r="C130" s="1159" t="s">
        <v>1840</v>
      </c>
      <c r="D130" s="847" t="s">
        <v>778</v>
      </c>
      <c r="E130" s="390">
        <f t="shared" si="41"/>
        <v>0.69444444444444442</v>
      </c>
      <c r="F130" s="517">
        <f t="shared" si="43"/>
        <v>12.318333333333333</v>
      </c>
      <c r="G130" s="575"/>
      <c r="H130" s="850" t="s">
        <v>263</v>
      </c>
      <c r="I130" s="575" t="s">
        <v>1538</v>
      </c>
      <c r="J130" s="573" t="s">
        <v>799</v>
      </c>
      <c r="K130" s="573" t="s">
        <v>1203</v>
      </c>
      <c r="L130" s="1176">
        <v>50</v>
      </c>
      <c r="M130" s="1176">
        <v>0.02</v>
      </c>
      <c r="N130" s="580">
        <f t="shared" si="45"/>
        <v>0.69444444444444442</v>
      </c>
      <c r="O130" s="575"/>
      <c r="P130" s="580" t="s">
        <v>263</v>
      </c>
      <c r="Q130" s="1449"/>
      <c r="R130" s="853" t="s">
        <v>263</v>
      </c>
      <c r="S130" s="576" t="str">
        <f t="shared" si="44"/>
        <v>N/A</v>
      </c>
      <c r="T130" s="947"/>
      <c r="AB130" s="1430"/>
    </row>
    <row r="131" spans="2:28" outlineLevel="1" x14ac:dyDescent="0.4">
      <c r="B131" s="1807"/>
      <c r="C131" s="1159" t="s">
        <v>1541</v>
      </c>
      <c r="D131" s="847" t="s">
        <v>3</v>
      </c>
      <c r="E131" s="390">
        <f t="shared" si="41"/>
        <v>1.9</v>
      </c>
      <c r="F131" s="517">
        <f t="shared" si="43"/>
        <v>14.218333333333334</v>
      </c>
      <c r="G131" s="575"/>
      <c r="H131" s="850" t="s">
        <v>263</v>
      </c>
      <c r="I131" s="575"/>
      <c r="J131" s="573"/>
      <c r="K131" s="573"/>
      <c r="L131" s="1176" t="s">
        <v>263</v>
      </c>
      <c r="M131" s="1176" t="s">
        <v>263</v>
      </c>
      <c r="N131" s="580" t="str">
        <f t="shared" si="45"/>
        <v>N/A</v>
      </c>
      <c r="O131" s="575" t="s">
        <v>1541</v>
      </c>
      <c r="P131" s="580">
        <v>1.9</v>
      </c>
      <c r="Q131" s="1449"/>
      <c r="R131" s="853" t="s">
        <v>263</v>
      </c>
      <c r="S131" s="576" t="str">
        <f t="shared" si="44"/>
        <v>N/A</v>
      </c>
      <c r="T131" s="897"/>
      <c r="U131" s="3549"/>
      <c r="V131" s="290"/>
      <c r="W131" s="290"/>
      <c r="X131" s="290"/>
      <c r="Y131" s="290"/>
      <c r="Z131" s="290"/>
      <c r="AA131" s="290"/>
      <c r="AB131" s="1430"/>
    </row>
    <row r="132" spans="2:28" ht="15" outlineLevel="1" thickBot="1" x14ac:dyDescent="0.45">
      <c r="B132" s="1807"/>
      <c r="C132" s="1146" t="s">
        <v>1841</v>
      </c>
      <c r="D132" s="808" t="s">
        <v>3</v>
      </c>
      <c r="E132" s="349">
        <f>MAX($P132,$N132,$H132)</f>
        <v>0.38</v>
      </c>
      <c r="F132" s="517">
        <f t="shared" si="43"/>
        <v>14.598333333333334</v>
      </c>
      <c r="G132" s="586"/>
      <c r="H132" s="811" t="s">
        <v>263</v>
      </c>
      <c r="I132" s="586"/>
      <c r="J132" s="584"/>
      <c r="K132" s="584"/>
      <c r="L132" s="1179" t="s">
        <v>263</v>
      </c>
      <c r="M132" s="1179" t="s">
        <v>263</v>
      </c>
      <c r="N132" s="591" t="str">
        <f>IF(D132="Movement",IFERROR((L132/M132)/(60*60),"Error"),"N/A")</f>
        <v>N/A</v>
      </c>
      <c r="O132" s="586" t="s">
        <v>1544</v>
      </c>
      <c r="P132" s="591">
        <v>0.38</v>
      </c>
      <c r="Q132" s="1450"/>
      <c r="R132" s="814" t="s">
        <v>263</v>
      </c>
      <c r="S132" s="587" t="str">
        <f t="shared" si="44"/>
        <v>N/A</v>
      </c>
      <c r="T132" s="5"/>
      <c r="U132" s="3549"/>
      <c r="V132" s="290"/>
      <c r="W132" s="290"/>
      <c r="X132" s="290"/>
      <c r="Y132" s="290"/>
      <c r="Z132" s="290"/>
      <c r="AA132" s="290"/>
      <c r="AB132" s="1430"/>
    </row>
    <row r="133" spans="2:28" outlineLevel="1" x14ac:dyDescent="0.4">
      <c r="B133" s="1807"/>
      <c r="C133" s="705"/>
      <c r="D133" s="870" t="s">
        <v>11</v>
      </c>
      <c r="E133" s="7"/>
      <c r="F133" s="290">
        <f>F132</f>
        <v>14.598333333333334</v>
      </c>
      <c r="G133" s="94"/>
      <c r="H133" s="895"/>
      <c r="I133" s="94"/>
      <c r="J133" s="94"/>
      <c r="K133" s="94"/>
      <c r="L133" s="897"/>
      <c r="M133" s="897"/>
      <c r="N133" s="895"/>
      <c r="O133" s="94"/>
      <c r="P133" s="897"/>
      <c r="Q133" s="1444"/>
      <c r="R133" s="897"/>
      <c r="S133" s="897"/>
      <c r="T133" s="7"/>
      <c r="U133" s="3549"/>
      <c r="V133" s="290"/>
      <c r="W133" s="290"/>
      <c r="X133" s="290"/>
      <c r="Y133" s="290"/>
      <c r="Z133" s="290"/>
      <c r="AA133" s="290"/>
      <c r="AB133" s="1430"/>
    </row>
    <row r="134" spans="2:28" outlineLevel="1" x14ac:dyDescent="0.4">
      <c r="B134" s="1807"/>
      <c r="C134" s="1144"/>
      <c r="D134" s="1483"/>
      <c r="E134" s="894"/>
      <c r="F134" s="894"/>
      <c r="G134" s="94"/>
      <c r="H134" s="895"/>
      <c r="I134" s="94"/>
      <c r="J134" s="94"/>
      <c r="K134" s="94"/>
      <c r="L134" s="897"/>
      <c r="M134" s="897"/>
      <c r="N134" s="895"/>
      <c r="O134" s="94"/>
      <c r="P134" s="897"/>
      <c r="Q134" s="1444"/>
      <c r="R134" s="897"/>
      <c r="S134" s="897"/>
      <c r="T134" s="7"/>
      <c r="U134" s="3549"/>
      <c r="V134" s="290"/>
      <c r="W134" s="290"/>
      <c r="X134" s="290"/>
      <c r="Y134" s="290"/>
      <c r="Z134" s="290"/>
      <c r="AA134" s="290"/>
      <c r="AB134" s="1430"/>
    </row>
    <row r="135" spans="2:28" outlineLevel="1" x14ac:dyDescent="0.4">
      <c r="B135" s="1807"/>
      <c r="C135" s="5"/>
      <c r="D135" s="1140"/>
      <c r="E135" s="1139"/>
      <c r="F135" s="1139"/>
      <c r="G135" s="1139"/>
      <c r="H135" s="1140"/>
      <c r="I135" s="1139"/>
      <c r="J135" s="1139"/>
      <c r="K135" s="1139"/>
      <c r="L135" s="1139"/>
      <c r="M135" s="1139"/>
      <c r="N135" s="1139"/>
      <c r="O135" s="1141"/>
      <c r="P135" s="7"/>
      <c r="Q135" s="1413"/>
      <c r="R135" s="7"/>
      <c r="S135" s="7"/>
      <c r="T135" s="7"/>
      <c r="U135" s="3549"/>
      <c r="V135" s="290"/>
      <c r="W135" s="290"/>
      <c r="X135" s="290"/>
      <c r="Y135" s="290"/>
      <c r="Z135" s="290"/>
      <c r="AA135" s="290"/>
      <c r="AB135" s="1430"/>
    </row>
    <row r="136" spans="2:28" outlineLevel="1" x14ac:dyDescent="0.4">
      <c r="B136" s="1807"/>
      <c r="C136" s="5"/>
      <c r="D136" s="1140"/>
      <c r="E136" s="1139"/>
      <c r="F136" s="1139"/>
      <c r="G136" s="1139"/>
      <c r="H136" s="1140"/>
      <c r="I136" s="1139"/>
      <c r="J136" s="1139"/>
      <c r="K136" s="1139"/>
      <c r="L136" s="1139"/>
      <c r="M136" s="1139"/>
      <c r="N136" s="1139"/>
      <c r="O136" s="1141"/>
      <c r="P136" s="7"/>
      <c r="Q136" s="1413"/>
      <c r="R136" s="7"/>
      <c r="S136" s="7"/>
      <c r="T136" s="7"/>
      <c r="U136" s="3549"/>
      <c r="V136" s="290"/>
      <c r="W136" s="290"/>
      <c r="X136" s="290"/>
      <c r="Y136" s="290"/>
      <c r="Z136" s="290"/>
      <c r="AA136" s="290"/>
      <c r="AB136" s="1430"/>
    </row>
    <row r="137" spans="2:28" x14ac:dyDescent="0.4">
      <c r="B137" s="1808"/>
      <c r="C137" s="1809"/>
      <c r="D137" s="1809"/>
      <c r="E137" s="1809"/>
      <c r="F137" s="1809"/>
      <c r="G137" s="1809"/>
      <c r="H137" s="1814"/>
      <c r="I137" s="1809"/>
      <c r="J137" s="1809"/>
      <c r="K137" s="1809"/>
      <c r="L137" s="1809"/>
      <c r="M137" s="1809"/>
      <c r="N137" s="1809"/>
      <c r="O137" s="1809"/>
      <c r="P137" s="1809"/>
      <c r="Q137" s="1813"/>
      <c r="R137" s="1809"/>
      <c r="S137" s="1809"/>
      <c r="T137" s="1809"/>
      <c r="U137" s="3566"/>
      <c r="V137" s="1821"/>
      <c r="W137" s="1821"/>
      <c r="X137" s="1821"/>
      <c r="Y137" s="1821"/>
      <c r="Z137" s="1821"/>
      <c r="AA137" s="1821"/>
      <c r="AB137" s="1822"/>
    </row>
    <row r="138" spans="2:28" x14ac:dyDescent="0.4">
      <c r="B138" s="5"/>
      <c r="C138" s="5"/>
      <c r="D138" s="1139"/>
      <c r="E138" s="1139"/>
      <c r="F138" s="1139"/>
      <c r="G138" s="1139"/>
      <c r="H138" s="1140"/>
      <c r="I138" s="1139"/>
      <c r="J138" s="1139"/>
      <c r="K138" s="1139"/>
      <c r="L138" s="1139"/>
      <c r="M138" s="1139"/>
      <c r="N138" s="1139"/>
      <c r="O138" s="1141"/>
      <c r="P138" s="7"/>
      <c r="Q138" s="1413"/>
      <c r="R138" s="7"/>
      <c r="S138" s="7"/>
      <c r="T138" s="7"/>
      <c r="U138" s="3549"/>
      <c r="V138" s="290"/>
      <c r="W138" s="290"/>
      <c r="X138" s="290"/>
      <c r="Y138" s="290"/>
      <c r="Z138" s="290"/>
      <c r="AA138" s="290"/>
    </row>
    <row r="139" spans="2:28" ht="15.45" x14ac:dyDescent="0.4">
      <c r="B139" s="1803"/>
      <c r="C139" s="1804" t="s">
        <v>1845</v>
      </c>
      <c r="D139" s="1819"/>
      <c r="E139" s="1819"/>
      <c r="F139" s="1819"/>
      <c r="G139" s="1819"/>
      <c r="H139" s="1819"/>
      <c r="I139" s="1819"/>
      <c r="J139" s="1819"/>
      <c r="K139" s="1819"/>
      <c r="L139" s="1819"/>
      <c r="M139" s="1819"/>
      <c r="N139" s="1819"/>
      <c r="O139" s="1819"/>
      <c r="P139" s="1819"/>
      <c r="Q139" s="1820"/>
      <c r="R139" s="1819"/>
      <c r="S139" s="1819"/>
      <c r="T139" s="1819"/>
      <c r="U139" s="3565"/>
      <c r="V139" s="1819"/>
      <c r="W139" s="1819"/>
      <c r="X139" s="1819"/>
      <c r="Y139" s="1819"/>
      <c r="Z139" s="1819"/>
      <c r="AA139" s="1819"/>
      <c r="AB139" s="1816"/>
    </row>
    <row r="140" spans="2:28" ht="15" outlineLevel="1" thickBot="1" x14ac:dyDescent="0.45">
      <c r="B140" s="1807"/>
      <c r="C140" s="748" t="s">
        <v>1053</v>
      </c>
      <c r="D140" s="706"/>
      <c r="E140" s="706"/>
      <c r="F140" s="706"/>
      <c r="G140" s="706"/>
      <c r="H140" s="1117"/>
      <c r="I140" s="706"/>
      <c r="J140" s="706"/>
      <c r="K140" s="706"/>
      <c r="L140" s="706"/>
      <c r="M140" s="706"/>
      <c r="N140" s="706"/>
      <c r="O140" s="706"/>
      <c r="P140" s="7"/>
      <c r="Q140" s="1413"/>
      <c r="R140" s="7"/>
      <c r="S140" s="7"/>
      <c r="T140" s="7"/>
      <c r="U140" s="3549"/>
      <c r="V140" s="290"/>
      <c r="W140" s="290"/>
      <c r="X140" s="290"/>
      <c r="Y140" s="290"/>
      <c r="Z140" s="290"/>
      <c r="AA140" s="290"/>
      <c r="AB140" s="1430"/>
    </row>
    <row r="141" spans="2:28" outlineLevel="1" x14ac:dyDescent="0.4">
      <c r="B141" s="1807"/>
      <c r="C141" s="700" t="s">
        <v>1846</v>
      </c>
      <c r="D141" s="706"/>
      <c r="E141" s="706"/>
      <c r="F141" s="706"/>
      <c r="G141" s="706"/>
      <c r="H141" s="1117"/>
      <c r="I141" s="706"/>
      <c r="J141" s="706"/>
      <c r="K141" s="706"/>
      <c r="L141" s="706"/>
      <c r="M141" s="706"/>
      <c r="N141" s="706"/>
      <c r="O141" s="706"/>
      <c r="P141" s="7"/>
      <c r="Q141" s="1413"/>
      <c r="R141" s="7"/>
      <c r="S141" s="7"/>
      <c r="T141" s="7"/>
      <c r="U141" s="3555" t="str">
        <f>C139</f>
        <v>Divertor handling system failure</v>
      </c>
      <c r="V141" s="1119" t="s">
        <v>23</v>
      </c>
      <c r="W141" s="3842" t="s">
        <v>2604</v>
      </c>
      <c r="X141" s="3843"/>
      <c r="Y141" s="3843"/>
      <c r="Z141" s="3843"/>
      <c r="AA141" s="3844"/>
      <c r="AB141" s="1430"/>
    </row>
    <row r="142" spans="2:28" outlineLevel="1" x14ac:dyDescent="0.4">
      <c r="B142" s="1807"/>
      <c r="C142" s="700" t="s">
        <v>1125</v>
      </c>
      <c r="D142" s="706"/>
      <c r="E142" s="706"/>
      <c r="F142" s="706"/>
      <c r="G142" s="706"/>
      <c r="H142" s="1117"/>
      <c r="I142" s="706"/>
      <c r="J142" s="706"/>
      <c r="K142" s="706"/>
      <c r="L142" s="706"/>
      <c r="M142" s="706"/>
      <c r="N142" s="706"/>
      <c r="O142" s="706"/>
      <c r="P142" s="7"/>
      <c r="Q142" s="1413"/>
      <c r="R142" s="7"/>
      <c r="S142" s="7"/>
      <c r="T142" s="7"/>
      <c r="U142" s="3556" t="s">
        <v>1055</v>
      </c>
      <c r="V142" s="1122">
        <v>1</v>
      </c>
      <c r="W142" s="1512">
        <v>1</v>
      </c>
      <c r="X142" s="916">
        <v>2</v>
      </c>
      <c r="Y142" s="916">
        <v>3</v>
      </c>
      <c r="Z142" s="916">
        <v>4</v>
      </c>
      <c r="AA142" s="1045">
        <v>6</v>
      </c>
      <c r="AB142" s="1430"/>
    </row>
    <row r="143" spans="2:28" outlineLevel="1" x14ac:dyDescent="0.4">
      <c r="B143" s="1807"/>
      <c r="C143" s="700" t="s">
        <v>1842</v>
      </c>
      <c r="D143" s="706"/>
      <c r="E143" s="706"/>
      <c r="F143" s="706"/>
      <c r="G143" s="706"/>
      <c r="H143" s="1117"/>
      <c r="I143" s="706"/>
      <c r="J143" s="706"/>
      <c r="K143" s="706"/>
      <c r="L143" s="706"/>
      <c r="M143" s="706"/>
      <c r="N143" s="706"/>
      <c r="O143" s="706"/>
      <c r="P143" s="7"/>
      <c r="Q143" s="1413"/>
      <c r="R143" s="7"/>
      <c r="S143" s="7"/>
      <c r="T143" s="7"/>
      <c r="U143" s="3544" t="s">
        <v>1856</v>
      </c>
      <c r="V143" s="1086">
        <f>SUMIF('Lower Hot Cell Critical Path'!$C$7:$C$72, "*Cassette*", 'Lower Hot Cell Critical Path'!$E$7:$E$72)</f>
        <v>17.64</v>
      </c>
      <c r="W143" s="1415">
        <f>SUMIF('Lower Hot Cell Critical Path'!$C$7:$C$72, "*Cassette*", 'Lower Hot Cell Critical Path'!$E$7:$E$72)</f>
        <v>17.64</v>
      </c>
      <c r="X143" s="917">
        <f>SUMIF('Lower Hot Cell Critical Path'!$C$7:$C$72, "*Cassette*", 'Lower Hot Cell Critical Path'!$E$7:$E$72)</f>
        <v>17.64</v>
      </c>
      <c r="Y143" s="917">
        <f>SUMIF('Lower Hot Cell Critical Path'!$C$7:$C$72, "*Cassette*", 'Lower Hot Cell Critical Path'!$E$7:$E$72)</f>
        <v>17.64</v>
      </c>
      <c r="Z143" s="917">
        <f>SUMIF('Lower Hot Cell Critical Path'!$C$7:$C$72, "*Cassette*", 'Lower Hot Cell Critical Path'!$E$7:$E$72)</f>
        <v>17.64</v>
      </c>
      <c r="AA143" s="1028">
        <f>SUMIF('Lower Hot Cell Critical Path'!$C$7:$C$72, "*Cassette*", 'Lower Hot Cell Critical Path'!$E$7:$E$72)</f>
        <v>17.64</v>
      </c>
      <c r="AB143" s="1430"/>
    </row>
    <row r="144" spans="2:28" outlineLevel="1" x14ac:dyDescent="0.4">
      <c r="B144" s="1807"/>
      <c r="C144" s="700"/>
      <c r="D144" s="706"/>
      <c r="E144" s="706"/>
      <c r="F144" s="706"/>
      <c r="G144" s="706"/>
      <c r="H144" s="1117"/>
      <c r="I144" s="706"/>
      <c r="J144" s="706"/>
      <c r="K144" s="706"/>
      <c r="L144" s="706"/>
      <c r="M144" s="706"/>
      <c r="N144" s="706"/>
      <c r="O144" s="706"/>
      <c r="P144" s="7"/>
      <c r="Q144" s="1413"/>
      <c r="R144" s="7"/>
      <c r="S144" s="7"/>
      <c r="T144" s="7"/>
      <c r="U144" s="3544" t="s">
        <v>1857</v>
      </c>
      <c r="V144" s="1086">
        <f>SUMIF('Lower Hot Cell Critical Path'!$C$150:$C$208, "*Cassette*", 'Lower Hot Cell Critical Path'!$E$150:$E$208)</f>
        <v>21.87</v>
      </c>
      <c r="W144" s="1415">
        <f>SUMIF('Lower Hot Cell Critical Path'!$C$150:$C$208, "*Cassette*", 'Lower Hot Cell Critical Path'!$E$150:$E$208)</f>
        <v>21.87</v>
      </c>
      <c r="X144" s="917">
        <f>SUMIF('Lower Hot Cell Critical Path'!$C$150:$C$208, "*Cassette*", 'Lower Hot Cell Critical Path'!$E$150:$E$208)</f>
        <v>21.87</v>
      </c>
      <c r="Y144" s="917">
        <f>SUMIF('Lower Hot Cell Critical Path'!$C$150:$C$208, "*Cassette*", 'Lower Hot Cell Critical Path'!$E$150:$E$208)</f>
        <v>21.87</v>
      </c>
      <c r="Z144" s="917">
        <f>SUMIF('Lower Hot Cell Critical Path'!$C$150:$C$208, "*Cassette*", 'Lower Hot Cell Critical Path'!$E$150:$E$208)</f>
        <v>21.87</v>
      </c>
      <c r="AA144" s="1028">
        <f>SUMIF('Lower Hot Cell Critical Path'!$C$150:$C$208, "*Cassette*", 'Lower Hot Cell Critical Path'!$E$150:$E$208)</f>
        <v>21.87</v>
      </c>
      <c r="AB144" s="1430"/>
    </row>
    <row r="145" spans="2:28" outlineLevel="1" x14ac:dyDescent="0.4">
      <c r="B145" s="1807"/>
      <c r="C145" s="748" t="s">
        <v>1056</v>
      </c>
      <c r="D145" s="927">
        <f>SUM(D146)</f>
        <v>5.0100000000000006E-3</v>
      </c>
      <c r="E145" s="918"/>
      <c r="F145" s="918"/>
      <c r="G145" s="918"/>
      <c r="H145" s="919"/>
      <c r="I145" s="918"/>
      <c r="J145" s="918"/>
      <c r="K145" s="918"/>
      <c r="L145" s="918"/>
      <c r="M145" s="918"/>
      <c r="N145" s="918"/>
      <c r="O145" s="706"/>
      <c r="P145" s="7"/>
      <c r="Q145" s="1413"/>
      <c r="R145" s="7"/>
      <c r="S145" s="7"/>
      <c r="T145" s="7"/>
      <c r="U145" s="3140" t="s">
        <v>2668</v>
      </c>
      <c r="V145" s="1086">
        <f>V144+V143</f>
        <v>39.510000000000005</v>
      </c>
      <c r="W145" s="1415">
        <f>(W144+W143)*ROUNDUP(Tokamak_Segmts/W142,0)</f>
        <v>632.16000000000008</v>
      </c>
      <c r="X145" s="917">
        <f>(X144+X143)*ROUNDUP(Tokamak_Segmts/X142,0)</f>
        <v>316.08000000000004</v>
      </c>
      <c r="Y145" s="917">
        <f>(Y144+Y143)*ROUNDUP(Tokamak_Segmts/Y142,0)</f>
        <v>237.06000000000003</v>
      </c>
      <c r="Z145" s="917">
        <f>(Z144+Z143)*ROUNDUP(Tokamak_Segmts/Z142,0)</f>
        <v>158.04000000000002</v>
      </c>
      <c r="AA145" s="1028">
        <f>(AA144+AA143)*ROUNDUP(Tokamak_Segmts/AA142,0)</f>
        <v>118.53000000000002</v>
      </c>
      <c r="AB145" s="1430"/>
    </row>
    <row r="146" spans="2:28" ht="15" outlineLevel="1" thickBot="1" x14ac:dyDescent="0.45">
      <c r="B146" s="1807"/>
      <c r="C146" s="7" t="s">
        <v>1146</v>
      </c>
      <c r="D146" s="283">
        <f>Total_Cassette_Handling_Failure</f>
        <v>5.0100000000000006E-3</v>
      </c>
      <c r="E146" s="922"/>
      <c r="F146" s="922"/>
      <c r="G146" s="918"/>
      <c r="H146" s="919"/>
      <c r="I146" s="918"/>
      <c r="J146" s="918"/>
      <c r="K146" s="918"/>
      <c r="L146" s="918"/>
      <c r="M146" s="918"/>
      <c r="N146" s="918"/>
      <c r="O146" s="706"/>
      <c r="P146" s="7"/>
      <c r="Q146" s="1413"/>
      <c r="R146" s="7"/>
      <c r="S146" s="7"/>
      <c r="T146" s="7"/>
      <c r="U146" s="3141" t="s">
        <v>2693</v>
      </c>
      <c r="V146" s="1089">
        <f>V$145*$D$145</f>
        <v>0.19794510000000004</v>
      </c>
      <c r="W146" s="1416">
        <f t="shared" ref="W146:AA146" si="46">W$145*$D$145</f>
        <v>3.1671216000000006</v>
      </c>
      <c r="X146" s="920">
        <f t="shared" si="46"/>
        <v>1.5835608000000003</v>
      </c>
      <c r="Y146" s="920">
        <f t="shared" si="46"/>
        <v>1.1876706000000004</v>
      </c>
      <c r="Z146" s="920">
        <f t="shared" si="46"/>
        <v>0.79178040000000016</v>
      </c>
      <c r="AA146" s="1029">
        <f t="shared" si="46"/>
        <v>0.59383530000000018</v>
      </c>
      <c r="AB146" s="1430"/>
    </row>
    <row r="147" spans="2:28" ht="15" outlineLevel="1" thickBot="1" x14ac:dyDescent="0.45">
      <c r="B147" s="1807"/>
      <c r="C147" s="7"/>
      <c r="D147" s="922"/>
      <c r="E147" s="922"/>
      <c r="F147" s="922"/>
      <c r="G147" s="918"/>
      <c r="H147" s="919"/>
      <c r="I147" s="918"/>
      <c r="J147" s="918"/>
      <c r="K147" s="918"/>
      <c r="L147" s="918"/>
      <c r="M147" s="918"/>
      <c r="N147" s="918"/>
      <c r="O147" s="706"/>
      <c r="P147" s="7"/>
      <c r="Q147" s="1413"/>
      <c r="R147" s="7"/>
      <c r="S147" s="7"/>
      <c r="T147" s="7"/>
      <c r="U147" s="3552" t="s">
        <v>1048</v>
      </c>
      <c r="V147" s="1082">
        <f t="shared" ref="V147:AA147" si="47">V146*(SUMIF($D$150:$D$160,"Operation",$E$150:$E$160))</f>
        <v>0.59383530000000007</v>
      </c>
      <c r="W147" s="1083">
        <f t="shared" si="47"/>
        <v>9.5013648000000011</v>
      </c>
      <c r="X147" s="1084">
        <f t="shared" si="47"/>
        <v>4.7506824000000005</v>
      </c>
      <c r="Y147" s="1084">
        <f t="shared" si="47"/>
        <v>3.5630118000000008</v>
      </c>
      <c r="Z147" s="1084">
        <f t="shared" si="47"/>
        <v>2.3753412000000003</v>
      </c>
      <c r="AA147" s="1085">
        <f t="shared" si="47"/>
        <v>1.7815059000000004</v>
      </c>
      <c r="AB147" s="1430"/>
    </row>
    <row r="148" spans="2:28" ht="15" outlineLevel="1" thickBot="1" x14ac:dyDescent="0.45">
      <c r="B148" s="1807"/>
      <c r="C148" s="7"/>
      <c r="D148" s="7"/>
      <c r="E148" s="7"/>
      <c r="F148" s="929"/>
      <c r="G148" s="3841" t="s">
        <v>18</v>
      </c>
      <c r="H148" s="3837"/>
      <c r="I148" s="3793" t="s">
        <v>778</v>
      </c>
      <c r="J148" s="3794"/>
      <c r="K148" s="3794"/>
      <c r="L148" s="3794"/>
      <c r="M148" s="3794"/>
      <c r="N148" s="3795"/>
      <c r="O148" s="3793" t="s">
        <v>3</v>
      </c>
      <c r="P148" s="3795"/>
      <c r="Q148" s="3838" t="s">
        <v>779</v>
      </c>
      <c r="R148" s="3839"/>
      <c r="S148" s="3840"/>
      <c r="T148" s="938"/>
      <c r="U148" s="3544" t="s">
        <v>2658</v>
      </c>
      <c r="V148" s="1086">
        <f t="shared" ref="V148:AA148" si="48">V146*(SUMIF($D$150:$D$160,"Movement",$E$150:$E$160)+(SUMIF($D$150:$D$160,"Logistics",$E$150:$E$160)))</f>
        <v>2.2958332515000008</v>
      </c>
      <c r="W148" s="1087">
        <f t="shared" si="48"/>
        <v>36.733332024000013</v>
      </c>
      <c r="X148" s="915">
        <f t="shared" si="48"/>
        <v>18.366666012000007</v>
      </c>
      <c r="Y148" s="915">
        <f t="shared" si="48"/>
        <v>13.774999509000006</v>
      </c>
      <c r="Z148" s="915">
        <f t="shared" si="48"/>
        <v>9.1833330060000034</v>
      </c>
      <c r="AA148" s="1088">
        <f t="shared" si="48"/>
        <v>6.887499754500003</v>
      </c>
      <c r="AB148" s="1430"/>
    </row>
    <row r="149" spans="2:28" ht="15" outlineLevel="1" thickBot="1" x14ac:dyDescent="0.45">
      <c r="B149" s="1807"/>
      <c r="C149" s="562" t="s">
        <v>1129</v>
      </c>
      <c r="D149" s="563" t="s">
        <v>782</v>
      </c>
      <c r="E149" s="942" t="s">
        <v>783</v>
      </c>
      <c r="F149" s="943" t="s">
        <v>784</v>
      </c>
      <c r="G149" s="940" t="s">
        <v>785</v>
      </c>
      <c r="H149" s="944" t="s">
        <v>783</v>
      </c>
      <c r="I149" s="940" t="s">
        <v>786</v>
      </c>
      <c r="J149" s="563" t="s">
        <v>787</v>
      </c>
      <c r="K149" s="563" t="s">
        <v>788</v>
      </c>
      <c r="L149" s="563" t="s">
        <v>789</v>
      </c>
      <c r="M149" s="563" t="s">
        <v>790</v>
      </c>
      <c r="N149" s="564" t="s">
        <v>783</v>
      </c>
      <c r="O149" s="560" t="s">
        <v>785</v>
      </c>
      <c r="P149" s="1152" t="s">
        <v>783</v>
      </c>
      <c r="Q149" s="1447" t="s">
        <v>781</v>
      </c>
      <c r="R149" s="786" t="s">
        <v>791</v>
      </c>
      <c r="S149" s="787" t="s">
        <v>792</v>
      </c>
      <c r="T149" s="947"/>
      <c r="U149" s="3144" t="s">
        <v>2663</v>
      </c>
      <c r="V149" s="1089">
        <f t="shared" ref="V149:AA149" si="49">V146*(-SUMIF($S$150:$S$160,"&lt;0"))</f>
        <v>0</v>
      </c>
      <c r="W149" s="1090">
        <f t="shared" si="49"/>
        <v>0</v>
      </c>
      <c r="X149" s="1091">
        <f t="shared" si="49"/>
        <v>0</v>
      </c>
      <c r="Y149" s="1091">
        <f t="shared" si="49"/>
        <v>0</v>
      </c>
      <c r="Z149" s="1091">
        <f t="shared" si="49"/>
        <v>0</v>
      </c>
      <c r="AA149" s="1092">
        <f t="shared" si="49"/>
        <v>0</v>
      </c>
      <c r="AB149" s="1430"/>
    </row>
    <row r="150" spans="2:28" ht="15" outlineLevel="1" thickBot="1" x14ac:dyDescent="0.45">
      <c r="B150" s="1807"/>
      <c r="C150" s="1788" t="s">
        <v>1819</v>
      </c>
      <c r="D150" s="1781" t="s">
        <v>778</v>
      </c>
      <c r="E150" s="459">
        <f t="shared" ref="E150:E159" si="50">MAX($P150,$N150,$H150)</f>
        <v>6.9444444444444448E-2</v>
      </c>
      <c r="F150" s="517">
        <f>E150</f>
        <v>6.9444444444444448E-2</v>
      </c>
      <c r="G150" s="575"/>
      <c r="H150" s="580" t="s">
        <v>263</v>
      </c>
      <c r="I150" s="575" t="s">
        <v>1831</v>
      </c>
      <c r="J150" s="573" t="s">
        <v>799</v>
      </c>
      <c r="K150" s="573" t="s">
        <v>1203</v>
      </c>
      <c r="L150" s="1176">
        <v>50</v>
      </c>
      <c r="M150" s="1176">
        <v>0.2</v>
      </c>
      <c r="N150" s="580">
        <f>IF(D150="Movement",IFERROR((L150/M150)/(60*60),"Error"),"N/A")</f>
        <v>6.9444444444444448E-2</v>
      </c>
      <c r="O150" s="879"/>
      <c r="P150" s="580" t="s">
        <v>263</v>
      </c>
      <c r="Q150" s="1448"/>
      <c r="R150" s="320" t="s">
        <v>263</v>
      </c>
      <c r="S150" s="319" t="str">
        <f>IFERROR(F150-E150-R150,"N/A")</f>
        <v>N/A</v>
      </c>
      <c r="T150" s="947"/>
      <c r="U150" s="3368" t="s">
        <v>2667</v>
      </c>
      <c r="V150" s="2993">
        <f t="shared" ref="V150:AA150" si="51">V146*$F$161</f>
        <v>2.8896685515000007</v>
      </c>
      <c r="W150" s="2994">
        <f t="shared" si="51"/>
        <v>46.234696824000011</v>
      </c>
      <c r="X150" s="2975">
        <f t="shared" si="51"/>
        <v>23.117348412000005</v>
      </c>
      <c r="Y150" s="2975">
        <f t="shared" si="51"/>
        <v>17.338011309000006</v>
      </c>
      <c r="Z150" s="2975">
        <f t="shared" si="51"/>
        <v>11.558674206000003</v>
      </c>
      <c r="AA150" s="2995">
        <f t="shared" si="51"/>
        <v>8.6690056545000029</v>
      </c>
      <c r="AB150" s="1430"/>
    </row>
    <row r="151" spans="2:28" outlineLevel="1" x14ac:dyDescent="0.4">
      <c r="B151" s="1807"/>
      <c r="C151" s="1780" t="s">
        <v>1832</v>
      </c>
      <c r="D151" s="1781" t="s">
        <v>3</v>
      </c>
      <c r="E151" s="459">
        <f t="shared" si="50"/>
        <v>1.9</v>
      </c>
      <c r="F151" s="517">
        <f t="shared" ref="F151:F160" si="52">IF(S151&lt;0,E151+F150+(-S151),E151+F150)</f>
        <v>1.9694444444444443</v>
      </c>
      <c r="G151" s="575"/>
      <c r="H151" s="580" t="s">
        <v>263</v>
      </c>
      <c r="I151" s="575"/>
      <c r="J151" s="573"/>
      <c r="K151" s="573"/>
      <c r="L151" s="1176" t="s">
        <v>263</v>
      </c>
      <c r="M151" s="1176" t="s">
        <v>263</v>
      </c>
      <c r="N151" s="580" t="str">
        <f>IF(D151="Movement",IFERROR((L151/M151)/(60*60),"Error"),"N/A")</f>
        <v>N/A</v>
      </c>
      <c r="O151" s="879" t="s">
        <v>1541</v>
      </c>
      <c r="P151" s="580">
        <v>1.9</v>
      </c>
      <c r="Q151" s="1449"/>
      <c r="R151" s="853" t="s">
        <v>263</v>
      </c>
      <c r="S151" s="576" t="str">
        <f t="shared" ref="S151:S160" si="53">IFERROR(F150-R151,"N/A")</f>
        <v>N/A</v>
      </c>
      <c r="T151" s="947"/>
      <c r="AB151" s="1430"/>
    </row>
    <row r="152" spans="2:28" outlineLevel="1" x14ac:dyDescent="0.4">
      <c r="B152" s="1807"/>
      <c r="C152" s="1458" t="s">
        <v>1844</v>
      </c>
      <c r="D152" s="1781" t="s">
        <v>251</v>
      </c>
      <c r="E152" s="459">
        <f t="shared" si="50"/>
        <v>3</v>
      </c>
      <c r="F152" s="517">
        <f t="shared" si="52"/>
        <v>4.9694444444444441</v>
      </c>
      <c r="G152" s="575" t="s">
        <v>1818</v>
      </c>
      <c r="H152" s="580">
        <v>3</v>
      </c>
      <c r="I152" s="575"/>
      <c r="J152" s="573"/>
      <c r="K152" s="573"/>
      <c r="L152" s="1176" t="s">
        <v>263</v>
      </c>
      <c r="M152" s="1176" t="s">
        <v>263</v>
      </c>
      <c r="N152" s="580" t="str">
        <f t="shared" ref="N152:N159" si="54">IF(D152="Movement",IFERROR((L152/M152)/(60*60),"Error"),"N/A")</f>
        <v>N/A</v>
      </c>
      <c r="O152" s="879" t="s">
        <v>1835</v>
      </c>
      <c r="P152" s="580" t="s">
        <v>263</v>
      </c>
      <c r="Q152" s="1449"/>
      <c r="R152" s="853" t="s">
        <v>263</v>
      </c>
      <c r="S152" s="576" t="str">
        <f t="shared" si="53"/>
        <v>N/A</v>
      </c>
      <c r="T152" s="947"/>
      <c r="AB152" s="1430"/>
    </row>
    <row r="153" spans="2:28" outlineLevel="1" x14ac:dyDescent="0.4">
      <c r="B153" s="1807"/>
      <c r="C153" s="1458" t="s">
        <v>1836</v>
      </c>
      <c r="D153" s="1781" t="s">
        <v>3</v>
      </c>
      <c r="E153" s="459">
        <f t="shared" si="50"/>
        <v>2.3000000000000003</v>
      </c>
      <c r="F153" s="517">
        <f t="shared" si="52"/>
        <v>7.2694444444444439</v>
      </c>
      <c r="G153" s="575"/>
      <c r="H153" s="850" t="s">
        <v>263</v>
      </c>
      <c r="I153" s="575"/>
      <c r="J153" s="573"/>
      <c r="K153" s="573"/>
      <c r="L153" s="1176" t="s">
        <v>263</v>
      </c>
      <c r="M153" s="1176" t="s">
        <v>263</v>
      </c>
      <c r="N153" s="580" t="str">
        <f t="shared" si="54"/>
        <v>N/A</v>
      </c>
      <c r="O153" s="879" t="s">
        <v>1552</v>
      </c>
      <c r="P153" s="580">
        <v>2.3000000000000003</v>
      </c>
      <c r="Q153" s="1449"/>
      <c r="R153" s="853" t="s">
        <v>263</v>
      </c>
      <c r="S153" s="576" t="str">
        <f t="shared" si="53"/>
        <v>N/A</v>
      </c>
      <c r="T153" s="947"/>
      <c r="AB153" s="1430"/>
    </row>
    <row r="154" spans="2:28" outlineLevel="1" x14ac:dyDescent="0.4">
      <c r="B154" s="1807"/>
      <c r="C154" s="1128" t="s">
        <v>1577</v>
      </c>
      <c r="D154" s="847" t="s">
        <v>3</v>
      </c>
      <c r="E154" s="390">
        <f t="shared" si="50"/>
        <v>2.3000000000000003</v>
      </c>
      <c r="F154" s="517">
        <f t="shared" si="52"/>
        <v>9.5694444444444446</v>
      </c>
      <c r="G154" s="575"/>
      <c r="H154" s="850" t="s">
        <v>263</v>
      </c>
      <c r="I154" s="575"/>
      <c r="J154" s="573"/>
      <c r="K154" s="573"/>
      <c r="L154" s="1176" t="s">
        <v>263</v>
      </c>
      <c r="M154" s="1176" t="s">
        <v>263</v>
      </c>
      <c r="N154" s="580" t="str">
        <f t="shared" si="54"/>
        <v>N/A</v>
      </c>
      <c r="O154" s="575" t="s">
        <v>1552</v>
      </c>
      <c r="P154" s="580">
        <v>2.3000000000000003</v>
      </c>
      <c r="Q154" s="1449"/>
      <c r="R154" s="853" t="s">
        <v>263</v>
      </c>
      <c r="S154" s="576" t="str">
        <f t="shared" si="53"/>
        <v>N/A</v>
      </c>
      <c r="T154" s="947"/>
      <c r="AB154" s="1430"/>
    </row>
    <row r="155" spans="2:28" outlineLevel="1" x14ac:dyDescent="0.4">
      <c r="B155" s="1807"/>
      <c r="C155" s="1128" t="s">
        <v>1150</v>
      </c>
      <c r="D155" s="659" t="s">
        <v>778</v>
      </c>
      <c r="E155" s="390">
        <f t="shared" si="50"/>
        <v>0.69444444444444442</v>
      </c>
      <c r="F155" s="517">
        <f t="shared" si="52"/>
        <v>10.263888888888889</v>
      </c>
      <c r="G155" s="575"/>
      <c r="H155" s="850" t="s">
        <v>263</v>
      </c>
      <c r="I155" s="575" t="s">
        <v>1538</v>
      </c>
      <c r="J155" s="573" t="s">
        <v>1203</v>
      </c>
      <c r="K155" s="573" t="s">
        <v>914</v>
      </c>
      <c r="L155" s="1176">
        <v>50</v>
      </c>
      <c r="M155" s="1176">
        <v>0.02</v>
      </c>
      <c r="N155" s="580">
        <f t="shared" si="54"/>
        <v>0.69444444444444442</v>
      </c>
      <c r="O155" s="575"/>
      <c r="P155" s="580" t="s">
        <v>263</v>
      </c>
      <c r="Q155" s="1449"/>
      <c r="R155" s="853" t="s">
        <v>263</v>
      </c>
      <c r="S155" s="576" t="str">
        <f t="shared" si="53"/>
        <v>N/A</v>
      </c>
      <c r="T155" s="947"/>
      <c r="AB155" s="1430"/>
    </row>
    <row r="156" spans="2:28" outlineLevel="1" x14ac:dyDescent="0.4">
      <c r="B156" s="1807"/>
      <c r="C156" s="1128" t="s">
        <v>1837</v>
      </c>
      <c r="D156" s="847" t="s">
        <v>3</v>
      </c>
      <c r="E156" s="390">
        <f t="shared" si="50"/>
        <v>0.58000000000000007</v>
      </c>
      <c r="F156" s="517">
        <f t="shared" si="52"/>
        <v>10.843888888888889</v>
      </c>
      <c r="G156" s="575"/>
      <c r="H156" s="850" t="s">
        <v>263</v>
      </c>
      <c r="I156" s="575"/>
      <c r="J156" s="573"/>
      <c r="K156" s="573"/>
      <c r="L156" s="1176" t="s">
        <v>263</v>
      </c>
      <c r="M156" s="1176" t="s">
        <v>263</v>
      </c>
      <c r="N156" s="580" t="str">
        <f t="shared" si="54"/>
        <v>N/A</v>
      </c>
      <c r="O156" s="575" t="s">
        <v>1838</v>
      </c>
      <c r="P156" s="580">
        <v>0.58000000000000007</v>
      </c>
      <c r="Q156" s="1449"/>
      <c r="R156" s="853" t="s">
        <v>263</v>
      </c>
      <c r="S156" s="576" t="str">
        <f t="shared" si="53"/>
        <v>N/A</v>
      </c>
      <c r="T156" s="947"/>
      <c r="AB156" s="1430"/>
    </row>
    <row r="157" spans="2:28" outlineLevel="1" x14ac:dyDescent="0.4">
      <c r="B157" s="1807"/>
      <c r="C157" s="1128" t="s">
        <v>1839</v>
      </c>
      <c r="D157" s="847" t="s">
        <v>3</v>
      </c>
      <c r="E157" s="390">
        <f t="shared" si="50"/>
        <v>0.78</v>
      </c>
      <c r="F157" s="517">
        <f t="shared" si="52"/>
        <v>11.623888888888889</v>
      </c>
      <c r="G157" s="575"/>
      <c r="H157" s="850" t="s">
        <v>263</v>
      </c>
      <c r="I157" s="575"/>
      <c r="J157" s="573"/>
      <c r="K157" s="573"/>
      <c r="L157" s="1176" t="s">
        <v>263</v>
      </c>
      <c r="M157" s="1176" t="s">
        <v>263</v>
      </c>
      <c r="N157" s="580" t="str">
        <f t="shared" si="54"/>
        <v>N/A</v>
      </c>
      <c r="O157" s="575" t="s">
        <v>1740</v>
      </c>
      <c r="P157" s="580">
        <v>0.78</v>
      </c>
      <c r="Q157" s="1449"/>
      <c r="R157" s="853" t="s">
        <v>263</v>
      </c>
      <c r="S157" s="576" t="str">
        <f t="shared" si="53"/>
        <v>N/A</v>
      </c>
      <c r="T157" s="947"/>
      <c r="AB157" s="1430"/>
    </row>
    <row r="158" spans="2:28" outlineLevel="1" x14ac:dyDescent="0.4">
      <c r="B158" s="1807"/>
      <c r="C158" s="1159" t="s">
        <v>1840</v>
      </c>
      <c r="D158" s="847" t="s">
        <v>778</v>
      </c>
      <c r="E158" s="390">
        <f t="shared" si="50"/>
        <v>0.69444444444444442</v>
      </c>
      <c r="F158" s="517">
        <f t="shared" si="52"/>
        <v>12.318333333333333</v>
      </c>
      <c r="G158" s="575"/>
      <c r="H158" s="850" t="s">
        <v>263</v>
      </c>
      <c r="I158" s="575" t="s">
        <v>1538</v>
      </c>
      <c r="J158" s="573" t="s">
        <v>799</v>
      </c>
      <c r="K158" s="573" t="s">
        <v>1203</v>
      </c>
      <c r="L158" s="1176">
        <v>50</v>
      </c>
      <c r="M158" s="1176">
        <v>0.02</v>
      </c>
      <c r="N158" s="580">
        <f t="shared" si="54"/>
        <v>0.69444444444444442</v>
      </c>
      <c r="O158" s="575"/>
      <c r="P158" s="580" t="s">
        <v>263</v>
      </c>
      <c r="Q158" s="1449"/>
      <c r="R158" s="853" t="s">
        <v>263</v>
      </c>
      <c r="S158" s="576" t="str">
        <f t="shared" si="53"/>
        <v>N/A</v>
      </c>
      <c r="T158" s="947"/>
      <c r="AB158" s="1430"/>
    </row>
    <row r="159" spans="2:28" outlineLevel="1" x14ac:dyDescent="0.4">
      <c r="B159" s="1807"/>
      <c r="C159" s="1159" t="s">
        <v>1541</v>
      </c>
      <c r="D159" s="847" t="s">
        <v>3</v>
      </c>
      <c r="E159" s="390">
        <f t="shared" si="50"/>
        <v>1.9</v>
      </c>
      <c r="F159" s="517">
        <f t="shared" si="52"/>
        <v>14.218333333333334</v>
      </c>
      <c r="G159" s="575"/>
      <c r="H159" s="850" t="s">
        <v>263</v>
      </c>
      <c r="I159" s="575"/>
      <c r="J159" s="573"/>
      <c r="K159" s="573"/>
      <c r="L159" s="1176" t="s">
        <v>263</v>
      </c>
      <c r="M159" s="1176" t="s">
        <v>263</v>
      </c>
      <c r="N159" s="580" t="str">
        <f t="shared" si="54"/>
        <v>N/A</v>
      </c>
      <c r="O159" s="575" t="s">
        <v>1541</v>
      </c>
      <c r="P159" s="580">
        <v>1.9</v>
      </c>
      <c r="Q159" s="1449"/>
      <c r="R159" s="853" t="s">
        <v>263</v>
      </c>
      <c r="S159" s="576" t="str">
        <f t="shared" si="53"/>
        <v>N/A</v>
      </c>
      <c r="T159" s="897"/>
      <c r="U159" s="3549"/>
      <c r="V159" s="290"/>
      <c r="W159" s="290"/>
      <c r="X159" s="290"/>
      <c r="Y159" s="290"/>
      <c r="Z159" s="290"/>
      <c r="AA159" s="290"/>
      <c r="AB159" s="1430"/>
    </row>
    <row r="160" spans="2:28" ht="15" outlineLevel="1" thickBot="1" x14ac:dyDescent="0.45">
      <c r="B160" s="1807"/>
      <c r="C160" s="1146" t="s">
        <v>1841</v>
      </c>
      <c r="D160" s="808" t="s">
        <v>3</v>
      </c>
      <c r="E160" s="349">
        <f>MAX($P160,$N160,$H160)</f>
        <v>0.38</v>
      </c>
      <c r="F160" s="517">
        <f t="shared" si="52"/>
        <v>14.598333333333334</v>
      </c>
      <c r="G160" s="586"/>
      <c r="H160" s="811" t="s">
        <v>263</v>
      </c>
      <c r="I160" s="586"/>
      <c r="J160" s="584"/>
      <c r="K160" s="584"/>
      <c r="L160" s="1179" t="s">
        <v>263</v>
      </c>
      <c r="M160" s="1179" t="s">
        <v>263</v>
      </c>
      <c r="N160" s="591" t="str">
        <f>IF(D160="Movement",IFERROR((L160/M160)/(60*60),"Error"),"N/A")</f>
        <v>N/A</v>
      </c>
      <c r="O160" s="586" t="s">
        <v>1544</v>
      </c>
      <c r="P160" s="591">
        <v>0.38</v>
      </c>
      <c r="Q160" s="1450"/>
      <c r="R160" s="814" t="s">
        <v>263</v>
      </c>
      <c r="S160" s="587" t="str">
        <f t="shared" si="53"/>
        <v>N/A</v>
      </c>
      <c r="T160" s="5"/>
      <c r="U160" s="3549"/>
      <c r="V160" s="290"/>
      <c r="W160" s="290"/>
      <c r="X160" s="290"/>
      <c r="Y160" s="290"/>
      <c r="Z160" s="290"/>
      <c r="AA160" s="290"/>
      <c r="AB160" s="1430"/>
    </row>
    <row r="161" spans="2:28" outlineLevel="1" x14ac:dyDescent="0.4">
      <c r="B161" s="1807"/>
      <c r="C161" s="705"/>
      <c r="D161" s="870" t="s">
        <v>11</v>
      </c>
      <c r="E161" s="7"/>
      <c r="F161" s="290">
        <f>F160</f>
        <v>14.598333333333334</v>
      </c>
      <c r="G161" s="94"/>
      <c r="H161" s="895"/>
      <c r="I161" s="94"/>
      <c r="J161" s="94"/>
      <c r="K161" s="94"/>
      <c r="L161" s="897"/>
      <c r="M161" s="897"/>
      <c r="N161" s="895"/>
      <c r="O161" s="94"/>
      <c r="P161" s="897"/>
      <c r="Q161" s="1444"/>
      <c r="R161" s="897"/>
      <c r="S161" s="897"/>
      <c r="T161" s="7"/>
      <c r="U161" s="3549"/>
      <c r="V161" s="290"/>
      <c r="W161" s="290"/>
      <c r="X161" s="290"/>
      <c r="Y161" s="290"/>
      <c r="Z161" s="290"/>
      <c r="AA161" s="290"/>
      <c r="AB161" s="1430"/>
    </row>
    <row r="162" spans="2:28" outlineLevel="1" x14ac:dyDescent="0.4">
      <c r="B162" s="1807"/>
      <c r="C162" s="1144"/>
      <c r="D162" s="1483"/>
      <c r="E162" s="894"/>
      <c r="F162" s="894"/>
      <c r="G162" s="94"/>
      <c r="H162" s="895"/>
      <c r="I162" s="94"/>
      <c r="J162" s="94"/>
      <c r="K162" s="94"/>
      <c r="L162" s="897"/>
      <c r="M162" s="897"/>
      <c r="N162" s="895"/>
      <c r="O162" s="94"/>
      <c r="P162" s="897"/>
      <c r="Q162" s="1444"/>
      <c r="R162" s="897"/>
      <c r="S162" s="897"/>
      <c r="T162" s="7"/>
      <c r="U162" s="3549"/>
      <c r="V162" s="290"/>
      <c r="W162" s="290"/>
      <c r="X162" s="290"/>
      <c r="Y162" s="290"/>
      <c r="Z162" s="290"/>
      <c r="AA162" s="290"/>
      <c r="AB162" s="1430"/>
    </row>
    <row r="163" spans="2:28" outlineLevel="1" x14ac:dyDescent="0.4">
      <c r="B163" s="1807"/>
      <c r="C163" s="5"/>
      <c r="D163" s="1140"/>
      <c r="E163" s="1139"/>
      <c r="F163" s="1139"/>
      <c r="G163" s="1139"/>
      <c r="H163" s="1140"/>
      <c r="I163" s="1139"/>
      <c r="J163" s="1139"/>
      <c r="K163" s="1139"/>
      <c r="L163" s="1139"/>
      <c r="M163" s="1139"/>
      <c r="N163" s="1139"/>
      <c r="O163" s="1141"/>
      <c r="P163" s="7"/>
      <c r="Q163" s="1413"/>
      <c r="R163" s="7"/>
      <c r="S163" s="7"/>
      <c r="T163" s="7"/>
      <c r="U163" s="3549"/>
      <c r="V163" s="290"/>
      <c r="W163" s="290"/>
      <c r="X163" s="290"/>
      <c r="Y163" s="290"/>
      <c r="Z163" s="290"/>
      <c r="AA163" s="290"/>
      <c r="AB163" s="1430"/>
    </row>
    <row r="164" spans="2:28" outlineLevel="1" x14ac:dyDescent="0.4">
      <c r="B164" s="1807"/>
      <c r="C164" s="5"/>
      <c r="D164" s="1140"/>
      <c r="E164" s="1139"/>
      <c r="F164" s="1139"/>
      <c r="G164" s="1139"/>
      <c r="H164" s="1140"/>
      <c r="I164" s="1139"/>
      <c r="J164" s="1139"/>
      <c r="K164" s="1139"/>
      <c r="L164" s="1139"/>
      <c r="M164" s="1139"/>
      <c r="N164" s="1139"/>
      <c r="O164" s="1141"/>
      <c r="P164" s="7"/>
      <c r="Q164" s="1413"/>
      <c r="R164" s="7"/>
      <c r="S164" s="7"/>
      <c r="T164" s="7"/>
      <c r="U164" s="3549"/>
      <c r="V164" s="290"/>
      <c r="W164" s="290"/>
      <c r="X164" s="290"/>
      <c r="Y164" s="290"/>
      <c r="Z164" s="290"/>
      <c r="AA164" s="290"/>
      <c r="AB164" s="1430"/>
    </row>
    <row r="165" spans="2:28" x14ac:dyDescent="0.4">
      <c r="B165" s="1808"/>
      <c r="C165" s="1809"/>
      <c r="D165" s="1809"/>
      <c r="E165" s="1809"/>
      <c r="F165" s="1809"/>
      <c r="G165" s="1809"/>
      <c r="H165" s="1814"/>
      <c r="I165" s="1809"/>
      <c r="J165" s="1809"/>
      <c r="K165" s="1809"/>
      <c r="L165" s="1809"/>
      <c r="M165" s="1809"/>
      <c r="N165" s="1809"/>
      <c r="O165" s="1809"/>
      <c r="P165" s="1809"/>
      <c r="Q165" s="1813"/>
      <c r="R165" s="1809"/>
      <c r="S165" s="1809"/>
      <c r="T165" s="1809"/>
      <c r="U165" s="3566"/>
      <c r="V165" s="1821"/>
      <c r="W165" s="1821"/>
      <c r="X165" s="1821"/>
      <c r="Y165" s="1821"/>
      <c r="Z165" s="1821"/>
      <c r="AA165" s="1821"/>
      <c r="AB165" s="1822"/>
    </row>
    <row r="166" spans="2:28" x14ac:dyDescent="0.4">
      <c r="AA166" s="290"/>
    </row>
    <row r="167" spans="2:28" x14ac:dyDescent="0.4">
      <c r="AA167" s="290"/>
    </row>
    <row r="168" spans="2:28" x14ac:dyDescent="0.4">
      <c r="AA168" s="290"/>
      <c r="AB168" s="273"/>
    </row>
    <row r="169" spans="2:28" x14ac:dyDescent="0.4">
      <c r="AA169" s="290"/>
      <c r="AB169" s="273"/>
    </row>
    <row r="170" spans="2:28" x14ac:dyDescent="0.4">
      <c r="AA170" s="290"/>
      <c r="AB170" s="273"/>
    </row>
    <row r="171" spans="2:28" x14ac:dyDescent="0.4">
      <c r="AB171" s="273"/>
    </row>
    <row r="172" spans="2:28" x14ac:dyDescent="0.4">
      <c r="AB172" s="273"/>
    </row>
    <row r="173" spans="2:28" x14ac:dyDescent="0.4">
      <c r="AB173" s="273"/>
    </row>
    <row r="174" spans="2:28" x14ac:dyDescent="0.4">
      <c r="AB174" s="273"/>
    </row>
    <row r="175" spans="2:28" x14ac:dyDescent="0.4">
      <c r="AB175" s="273"/>
    </row>
    <row r="176" spans="2:28" x14ac:dyDescent="0.4">
      <c r="AB176" s="273"/>
    </row>
    <row r="177" spans="2:34" x14ac:dyDescent="0.4">
      <c r="AB177" s="273"/>
    </row>
    <row r="178" spans="2:34" x14ac:dyDescent="0.4">
      <c r="AB178" s="273"/>
    </row>
    <row r="179" spans="2:34" x14ac:dyDescent="0.4">
      <c r="AB179" s="273"/>
    </row>
    <row r="180" spans="2:34" x14ac:dyDescent="0.4">
      <c r="AB180" s="273"/>
    </row>
    <row r="181" spans="2:34" x14ac:dyDescent="0.4">
      <c r="AB181" s="273"/>
    </row>
    <row r="187" spans="2:34" s="8" customFormat="1" x14ac:dyDescent="0.4">
      <c r="B187"/>
      <c r="C187"/>
      <c r="D187"/>
      <c r="E187"/>
      <c r="F187"/>
      <c r="G187"/>
      <c r="H187" s="177"/>
      <c r="I187"/>
      <c r="J187"/>
      <c r="K187"/>
      <c r="L187"/>
      <c r="M187"/>
      <c r="N187"/>
      <c r="O187"/>
      <c r="P187"/>
      <c r="Q187" s="287"/>
      <c r="R187"/>
      <c r="S187"/>
      <c r="T187"/>
      <c r="U187" s="3391"/>
      <c r="AB187" s="5"/>
      <c r="AC187"/>
      <c r="AD187"/>
      <c r="AE187"/>
      <c r="AF187"/>
      <c r="AG187"/>
      <c r="AH187"/>
    </row>
    <row r="188" spans="2:34" s="8" customFormat="1" x14ac:dyDescent="0.4">
      <c r="B188"/>
      <c r="C188"/>
      <c r="D188"/>
      <c r="E188"/>
      <c r="F188"/>
      <c r="G188"/>
      <c r="H188" s="177"/>
      <c r="I188"/>
      <c r="J188"/>
      <c r="K188"/>
      <c r="L188"/>
      <c r="M188"/>
      <c r="N188"/>
      <c r="O188"/>
      <c r="P188"/>
      <c r="Q188" s="287"/>
      <c r="R188"/>
      <c r="S188"/>
      <c r="T188"/>
      <c r="U188" s="3391"/>
      <c r="AB188" s="5"/>
      <c r="AC188"/>
      <c r="AD188"/>
      <c r="AE188"/>
      <c r="AF188"/>
      <c r="AG188"/>
      <c r="AH188"/>
    </row>
  </sheetData>
  <customSheetViews>
    <customSheetView guid="{9C0AA20B-B2A2-4A2C-B279-4A5988F4E71A}" hiddenColumns="1" state="hidden">
      <selection activeCell="Q20" sqref="Q20"/>
      <pageMargins left="0.7" right="0.7" top="0.75" bottom="0.75" header="0.3" footer="0.3"/>
      <pageSetup paperSize="9" orientation="portrait" verticalDpi="0" r:id="rId1"/>
    </customSheetView>
  </customSheetViews>
  <mergeCells count="31">
    <mergeCell ref="W21:AA21"/>
    <mergeCell ref="W141:AA141"/>
    <mergeCell ref="W113:AA113"/>
    <mergeCell ref="W94:AA94"/>
    <mergeCell ref="W69:AA69"/>
    <mergeCell ref="W40:AA40"/>
    <mergeCell ref="G120:H120"/>
    <mergeCell ref="I120:N120"/>
    <mergeCell ref="O120:P120"/>
    <mergeCell ref="Q120:S120"/>
    <mergeCell ref="G148:H148"/>
    <mergeCell ref="I148:N148"/>
    <mergeCell ref="O148:P148"/>
    <mergeCell ref="Q148:S148"/>
    <mergeCell ref="G76:H76"/>
    <mergeCell ref="I76:N76"/>
    <mergeCell ref="O76:P76"/>
    <mergeCell ref="Q76:S76"/>
    <mergeCell ref="G99:H99"/>
    <mergeCell ref="I99:N99"/>
    <mergeCell ref="O99:P99"/>
    <mergeCell ref="Q99:S99"/>
    <mergeCell ref="G47:H47"/>
    <mergeCell ref="I47:N47"/>
    <mergeCell ref="O47:P47"/>
    <mergeCell ref="Q47:S47"/>
    <mergeCell ref="E8:I8"/>
    <mergeCell ref="G26:H26"/>
    <mergeCell ref="I26:N26"/>
    <mergeCell ref="O26:P26"/>
    <mergeCell ref="Q26:S26"/>
  </mergeCells>
  <conditionalFormatting sqref="E1:S1048576">
    <cfRule type="cellIs" dxfId="3840" priority="3" stopIfTrue="1" operator="equal">
      <formula>"N/A"</formula>
    </cfRule>
  </conditionalFormatting>
  <conditionalFormatting sqref="D1:D1048576">
    <cfRule type="cellIs" dxfId="3839" priority="1" stopIfTrue="1" operator="equal">
      <formula>"Total"</formula>
    </cfRule>
    <cfRule type="cellIs" dxfId="3838" priority="2" stopIfTrue="1" operator="equal">
      <formula>"Operation"</formula>
    </cfRule>
  </conditionalFormatting>
  <dataValidations disablePrompts="1" count="1">
    <dataValidation type="list" allowBlank="1" showInputMessage="1" showErrorMessage="1" sqref="WCH111:WCH1048576 VSL111:VSL1048576 VIP111:VIP1048576 UYT111:UYT1048576 UOX111:UOX1048576 UFB111:UFB1048576 TVF111:TVF1048576 TLJ111:TLJ1048576 TBN111:TBN1048576 SRR111:SRR1048576 SHV111:SHV1048576 RXZ111:RXZ1048576 ROD111:ROD1048576 REH111:REH1048576 QUL111:QUL1048576 QKP111:QKP1048576 QAT111:QAT1048576 PQX111:PQX1048576 PHB111:PHB1048576 OXF111:OXF1048576 ONJ111:ONJ1048576 ODN111:ODN1048576 NTR111:NTR1048576 NJV111:NJV1048576 MZZ111:MZZ1048576 MQD111:MQD1048576 MGH111:MGH1048576 LWL111:LWL1048576 LMP111:LMP1048576 LCT111:LCT1048576 KSX111:KSX1048576 KJB111:KJB1048576 JZF111:JZF1048576 JPJ111:JPJ1048576 JFN111:JFN1048576 IVR111:IVR1048576 ILV111:ILV1048576 IBZ111:IBZ1048576 HSD111:HSD1048576 HIH111:HIH1048576 GYL111:GYL1048576 GOP111:GOP1048576 GET111:GET1048576 FUX111:FUX1048576 FLB111:FLB1048576 FBF111:FBF1048576 ERJ111:ERJ1048576 EHN111:EHN1048576 DXR111:DXR1048576 DNV111:DNV1048576 DDZ111:DDZ1048576 CUD111:CUD1048576 CKH111:CKH1048576 CAL111:CAL1048576 BQP111:BQP1048576 BGT111:BGT1048576 AWX111:AWX1048576 ANB111:ANB1048576 ADF111:ADF1048576 TJ111:TJ1048576 JN111:JN1048576 WVZ111:WVZ1048576 WMD111:WMD1048576 WVZ1:WVZ109 JN1:JN109 TJ1:TJ109 ADF1:ADF109 ANB1:ANB109 AWX1:AWX109 BGT1:BGT109 BQP1:BQP109 CAL1:CAL109 CKH1:CKH109 CUD1:CUD109 DDZ1:DDZ109 DNV1:DNV109 DXR1:DXR109 EHN1:EHN109 ERJ1:ERJ109 FBF1:FBF109 FLB1:FLB109 FUX1:FUX109 GET1:GET109 GOP1:GOP109 GYL1:GYL109 HIH1:HIH109 HSD1:HSD109 IBZ1:IBZ109 ILV1:ILV109 IVR1:IVR109 JFN1:JFN109 JPJ1:JPJ109 JZF1:JZF109 KJB1:KJB109 KSX1:KSX109 LCT1:LCT109 LMP1:LMP109 LWL1:LWL109 MGH1:MGH109 MQD1:MQD109 MZZ1:MZZ109 NJV1:NJV109 NTR1:NTR109 ODN1:ODN109 ONJ1:ONJ109 OXF1:OXF109 PHB1:PHB109 PQX1:PQX109 QAT1:QAT109 QKP1:QKP109 QUL1:QUL109 REH1:REH109 ROD1:ROD109 RXZ1:RXZ109 SHV1:SHV109 SRR1:SRR109 TBN1:TBN109 TLJ1:TLJ109 TVF1:TVF109 UFB1:UFB109 UOX1:UOX109 UYT1:UYT109 VIP1:VIP109 VSL1:VSL109 WCH1:WCH109 WMD1:WMD109">
      <formula1>$AC$4:$AC$9</formula1>
    </dataValidation>
  </dataValidations>
  <pageMargins left="0.7" right="0.7" top="0.75" bottom="0.75" header="0.3" footer="0.3"/>
  <pageSetup paperSize="9" orientation="portrait" verticalDpi="0"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7" tint="-0.249977111117893"/>
  </sheetPr>
  <dimension ref="A1:AC543"/>
  <sheetViews>
    <sheetView topLeftCell="C7" workbookViewId="0">
      <selection activeCell="Q20" sqref="Q20"/>
    </sheetView>
  </sheetViews>
  <sheetFormatPr defaultRowHeight="14.6" outlineLevelRow="2" outlineLevelCol="1" x14ac:dyDescent="0.4"/>
  <cols>
    <col min="1" max="1" width="4.69140625" customWidth="1"/>
    <col min="2" max="2" width="5.69140625" customWidth="1"/>
    <col min="3" max="3" width="49.15234375" bestFit="1" customWidth="1"/>
    <col min="4" max="4" width="58.3828125" customWidth="1"/>
    <col min="5" max="5" width="12.69140625" style="688" customWidth="1"/>
    <col min="6" max="6" width="12.69140625" customWidth="1"/>
    <col min="7" max="7" width="16.15234375" customWidth="1"/>
    <col min="8" max="8" width="37.84375" style="89" customWidth="1" outlineLevel="1"/>
    <col min="9" max="9" width="12.69140625" style="177" customWidth="1"/>
    <col min="10" max="10" width="26.15234375" hidden="1" customWidth="1" outlineLevel="1"/>
    <col min="11" max="11" width="23.15234375" hidden="1" customWidth="1" outlineLevel="1"/>
    <col min="12" max="12" width="19.15234375" style="689"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12.3828125" style="3360" customWidth="1" outlineLevel="1"/>
    <col min="19" max="19" width="13.3828125" style="177" bestFit="1" customWidth="1"/>
    <col min="20" max="21" width="12.69140625" customWidth="1" outlineLevel="1"/>
    <col min="22" max="23" width="12.69140625" style="177" customWidth="1"/>
    <col min="24" max="24" width="13.3828125" style="177" customWidth="1"/>
    <col min="25" max="25" width="12.69140625" style="177" customWidth="1"/>
    <col min="26" max="29" width="12.69140625" customWidth="1"/>
    <col min="269" max="269" width="8.15234375" customWidth="1"/>
    <col min="270" max="270" width="53.3828125" customWidth="1"/>
    <col min="271" max="271" width="22.3046875" customWidth="1"/>
    <col min="272" max="272" width="12.53515625" customWidth="1"/>
    <col min="273" max="273" width="6.3046875" customWidth="1"/>
    <col min="274" max="274" width="41.53515625" customWidth="1"/>
    <col min="275" max="275" width="8.53515625" customWidth="1"/>
    <col min="276" max="277" width="6.3046875" customWidth="1"/>
    <col min="278" max="278" width="6.69140625" customWidth="1"/>
    <col min="279" max="279" width="12.69140625" customWidth="1"/>
    <col min="280" max="280" width="14.53515625" customWidth="1"/>
    <col min="281" max="285" width="12.69140625" customWidth="1"/>
    <col min="525" max="525" width="8.15234375" customWidth="1"/>
    <col min="526" max="526" width="53.3828125" customWidth="1"/>
    <col min="527" max="527" width="22.3046875" customWidth="1"/>
    <col min="528" max="528" width="12.53515625" customWidth="1"/>
    <col min="529" max="529" width="6.3046875" customWidth="1"/>
    <col min="530" max="530" width="41.53515625" customWidth="1"/>
    <col min="531" max="531" width="8.53515625" customWidth="1"/>
    <col min="532" max="533" width="6.3046875" customWidth="1"/>
    <col min="534" max="534" width="6.69140625" customWidth="1"/>
    <col min="535" max="535" width="12.69140625" customWidth="1"/>
    <col min="536" max="536" width="14.53515625" customWidth="1"/>
    <col min="537" max="541" width="12.69140625" customWidth="1"/>
    <col min="781" max="781" width="8.15234375" customWidth="1"/>
    <col min="782" max="782" width="53.3828125" customWidth="1"/>
    <col min="783" max="783" width="22.3046875" customWidth="1"/>
    <col min="784" max="784" width="12.53515625" customWidth="1"/>
    <col min="785" max="785" width="6.3046875" customWidth="1"/>
    <col min="786" max="786" width="41.53515625" customWidth="1"/>
    <col min="787" max="787" width="8.53515625" customWidth="1"/>
    <col min="788" max="789" width="6.3046875" customWidth="1"/>
    <col min="790" max="790" width="6.69140625" customWidth="1"/>
    <col min="791" max="791" width="12.69140625" customWidth="1"/>
    <col min="792" max="792" width="14.53515625" customWidth="1"/>
    <col min="793" max="797" width="12.69140625" customWidth="1"/>
    <col min="1037" max="1037" width="8.15234375" customWidth="1"/>
    <col min="1038" max="1038" width="53.3828125" customWidth="1"/>
    <col min="1039" max="1039" width="22.3046875" customWidth="1"/>
    <col min="1040" max="1040" width="12.53515625" customWidth="1"/>
    <col min="1041" max="1041" width="6.3046875" customWidth="1"/>
    <col min="1042" max="1042" width="41.53515625" customWidth="1"/>
    <col min="1043" max="1043" width="8.53515625" customWidth="1"/>
    <col min="1044" max="1045" width="6.3046875" customWidth="1"/>
    <col min="1046" max="1046" width="6.69140625" customWidth="1"/>
    <col min="1047" max="1047" width="12.69140625" customWidth="1"/>
    <col min="1048" max="1048" width="14.53515625" customWidth="1"/>
    <col min="1049" max="1053" width="12.69140625" customWidth="1"/>
    <col min="1293" max="1293" width="8.15234375" customWidth="1"/>
    <col min="1294" max="1294" width="53.3828125" customWidth="1"/>
    <col min="1295" max="1295" width="22.3046875" customWidth="1"/>
    <col min="1296" max="1296" width="12.53515625" customWidth="1"/>
    <col min="1297" max="1297" width="6.3046875" customWidth="1"/>
    <col min="1298" max="1298" width="41.53515625" customWidth="1"/>
    <col min="1299" max="1299" width="8.53515625" customWidth="1"/>
    <col min="1300" max="1301" width="6.3046875" customWidth="1"/>
    <col min="1302" max="1302" width="6.69140625" customWidth="1"/>
    <col min="1303" max="1303" width="12.69140625" customWidth="1"/>
    <col min="1304" max="1304" width="14.53515625" customWidth="1"/>
    <col min="1305" max="1309" width="12.69140625" customWidth="1"/>
    <col min="1549" max="1549" width="8.15234375" customWidth="1"/>
    <col min="1550" max="1550" width="53.3828125" customWidth="1"/>
    <col min="1551" max="1551" width="22.3046875" customWidth="1"/>
    <col min="1552" max="1552" width="12.53515625" customWidth="1"/>
    <col min="1553" max="1553" width="6.3046875" customWidth="1"/>
    <col min="1554" max="1554" width="41.53515625" customWidth="1"/>
    <col min="1555" max="1555" width="8.53515625" customWidth="1"/>
    <col min="1556" max="1557" width="6.3046875" customWidth="1"/>
    <col min="1558" max="1558" width="6.69140625" customWidth="1"/>
    <col min="1559" max="1559" width="12.69140625" customWidth="1"/>
    <col min="1560" max="1560" width="14.53515625" customWidth="1"/>
    <col min="1561" max="1565" width="12.69140625" customWidth="1"/>
    <col min="1805" max="1805" width="8.15234375" customWidth="1"/>
    <col min="1806" max="1806" width="53.3828125" customWidth="1"/>
    <col min="1807" max="1807" width="22.3046875" customWidth="1"/>
    <col min="1808" max="1808" width="12.53515625" customWidth="1"/>
    <col min="1809" max="1809" width="6.3046875" customWidth="1"/>
    <col min="1810" max="1810" width="41.53515625" customWidth="1"/>
    <col min="1811" max="1811" width="8.53515625" customWidth="1"/>
    <col min="1812" max="1813" width="6.3046875" customWidth="1"/>
    <col min="1814" max="1814" width="6.69140625" customWidth="1"/>
    <col min="1815" max="1815" width="12.69140625" customWidth="1"/>
    <col min="1816" max="1816" width="14.53515625" customWidth="1"/>
    <col min="1817" max="1821" width="12.69140625" customWidth="1"/>
    <col min="2061" max="2061" width="8.15234375" customWidth="1"/>
    <col min="2062" max="2062" width="53.3828125" customWidth="1"/>
    <col min="2063" max="2063" width="22.3046875" customWidth="1"/>
    <col min="2064" max="2064" width="12.53515625" customWidth="1"/>
    <col min="2065" max="2065" width="6.3046875" customWidth="1"/>
    <col min="2066" max="2066" width="41.53515625" customWidth="1"/>
    <col min="2067" max="2067" width="8.53515625" customWidth="1"/>
    <col min="2068" max="2069" width="6.3046875" customWidth="1"/>
    <col min="2070" max="2070" width="6.69140625" customWidth="1"/>
    <col min="2071" max="2071" width="12.69140625" customWidth="1"/>
    <col min="2072" max="2072" width="14.53515625" customWidth="1"/>
    <col min="2073" max="2077" width="12.69140625" customWidth="1"/>
    <col min="2317" max="2317" width="8.15234375" customWidth="1"/>
    <col min="2318" max="2318" width="53.3828125" customWidth="1"/>
    <col min="2319" max="2319" width="22.3046875" customWidth="1"/>
    <col min="2320" max="2320" width="12.53515625" customWidth="1"/>
    <col min="2321" max="2321" width="6.3046875" customWidth="1"/>
    <col min="2322" max="2322" width="41.53515625" customWidth="1"/>
    <col min="2323" max="2323" width="8.53515625" customWidth="1"/>
    <col min="2324" max="2325" width="6.3046875" customWidth="1"/>
    <col min="2326" max="2326" width="6.69140625" customWidth="1"/>
    <col min="2327" max="2327" width="12.69140625" customWidth="1"/>
    <col min="2328" max="2328" width="14.53515625" customWidth="1"/>
    <col min="2329" max="2333" width="12.69140625" customWidth="1"/>
    <col min="2573" max="2573" width="8.15234375" customWidth="1"/>
    <col min="2574" max="2574" width="53.3828125" customWidth="1"/>
    <col min="2575" max="2575" width="22.3046875" customWidth="1"/>
    <col min="2576" max="2576" width="12.53515625" customWidth="1"/>
    <col min="2577" max="2577" width="6.3046875" customWidth="1"/>
    <col min="2578" max="2578" width="41.53515625" customWidth="1"/>
    <col min="2579" max="2579" width="8.53515625" customWidth="1"/>
    <col min="2580" max="2581" width="6.3046875" customWidth="1"/>
    <col min="2582" max="2582" width="6.69140625" customWidth="1"/>
    <col min="2583" max="2583" width="12.69140625" customWidth="1"/>
    <col min="2584" max="2584" width="14.53515625" customWidth="1"/>
    <col min="2585" max="2589" width="12.69140625" customWidth="1"/>
    <col min="2829" max="2829" width="8.15234375" customWidth="1"/>
    <col min="2830" max="2830" width="53.3828125" customWidth="1"/>
    <col min="2831" max="2831" width="22.3046875" customWidth="1"/>
    <col min="2832" max="2832" width="12.53515625" customWidth="1"/>
    <col min="2833" max="2833" width="6.3046875" customWidth="1"/>
    <col min="2834" max="2834" width="41.53515625" customWidth="1"/>
    <col min="2835" max="2835" width="8.53515625" customWidth="1"/>
    <col min="2836" max="2837" width="6.3046875" customWidth="1"/>
    <col min="2838" max="2838" width="6.69140625" customWidth="1"/>
    <col min="2839" max="2839" width="12.69140625" customWidth="1"/>
    <col min="2840" max="2840" width="14.53515625" customWidth="1"/>
    <col min="2841" max="2845" width="12.69140625" customWidth="1"/>
    <col min="3085" max="3085" width="8.15234375" customWidth="1"/>
    <col min="3086" max="3086" width="53.3828125" customWidth="1"/>
    <col min="3087" max="3087" width="22.3046875" customWidth="1"/>
    <col min="3088" max="3088" width="12.53515625" customWidth="1"/>
    <col min="3089" max="3089" width="6.3046875" customWidth="1"/>
    <col min="3090" max="3090" width="41.53515625" customWidth="1"/>
    <col min="3091" max="3091" width="8.53515625" customWidth="1"/>
    <col min="3092" max="3093" width="6.3046875" customWidth="1"/>
    <col min="3094" max="3094" width="6.69140625" customWidth="1"/>
    <col min="3095" max="3095" width="12.69140625" customWidth="1"/>
    <col min="3096" max="3096" width="14.53515625" customWidth="1"/>
    <col min="3097" max="3101" width="12.69140625" customWidth="1"/>
    <col min="3341" max="3341" width="8.15234375" customWidth="1"/>
    <col min="3342" max="3342" width="53.3828125" customWidth="1"/>
    <col min="3343" max="3343" width="22.3046875" customWidth="1"/>
    <col min="3344" max="3344" width="12.53515625" customWidth="1"/>
    <col min="3345" max="3345" width="6.3046875" customWidth="1"/>
    <col min="3346" max="3346" width="41.53515625" customWidth="1"/>
    <col min="3347" max="3347" width="8.53515625" customWidth="1"/>
    <col min="3348" max="3349" width="6.3046875" customWidth="1"/>
    <col min="3350" max="3350" width="6.69140625" customWidth="1"/>
    <col min="3351" max="3351" width="12.69140625" customWidth="1"/>
    <col min="3352" max="3352" width="14.53515625" customWidth="1"/>
    <col min="3353" max="3357" width="12.69140625" customWidth="1"/>
    <col min="3597" max="3597" width="8.15234375" customWidth="1"/>
    <col min="3598" max="3598" width="53.3828125" customWidth="1"/>
    <col min="3599" max="3599" width="22.3046875" customWidth="1"/>
    <col min="3600" max="3600" width="12.53515625" customWidth="1"/>
    <col min="3601" max="3601" width="6.3046875" customWidth="1"/>
    <col min="3602" max="3602" width="41.53515625" customWidth="1"/>
    <col min="3603" max="3603" width="8.53515625" customWidth="1"/>
    <col min="3604" max="3605" width="6.3046875" customWidth="1"/>
    <col min="3606" max="3606" width="6.69140625" customWidth="1"/>
    <col min="3607" max="3607" width="12.69140625" customWidth="1"/>
    <col min="3608" max="3608" width="14.53515625" customWidth="1"/>
    <col min="3609" max="3613" width="12.69140625" customWidth="1"/>
    <col min="3853" max="3853" width="8.15234375" customWidth="1"/>
    <col min="3854" max="3854" width="53.3828125" customWidth="1"/>
    <col min="3855" max="3855" width="22.3046875" customWidth="1"/>
    <col min="3856" max="3856" width="12.53515625" customWidth="1"/>
    <col min="3857" max="3857" width="6.3046875" customWidth="1"/>
    <col min="3858" max="3858" width="41.53515625" customWidth="1"/>
    <col min="3859" max="3859" width="8.53515625" customWidth="1"/>
    <col min="3860" max="3861" width="6.3046875" customWidth="1"/>
    <col min="3862" max="3862" width="6.69140625" customWidth="1"/>
    <col min="3863" max="3863" width="12.69140625" customWidth="1"/>
    <col min="3864" max="3864" width="14.53515625" customWidth="1"/>
    <col min="3865" max="3869" width="12.69140625" customWidth="1"/>
    <col min="4109" max="4109" width="8.15234375" customWidth="1"/>
    <col min="4110" max="4110" width="53.3828125" customWidth="1"/>
    <col min="4111" max="4111" width="22.3046875" customWidth="1"/>
    <col min="4112" max="4112" width="12.53515625" customWidth="1"/>
    <col min="4113" max="4113" width="6.3046875" customWidth="1"/>
    <col min="4114" max="4114" width="41.53515625" customWidth="1"/>
    <col min="4115" max="4115" width="8.53515625" customWidth="1"/>
    <col min="4116" max="4117" width="6.3046875" customWidth="1"/>
    <col min="4118" max="4118" width="6.69140625" customWidth="1"/>
    <col min="4119" max="4119" width="12.69140625" customWidth="1"/>
    <col min="4120" max="4120" width="14.53515625" customWidth="1"/>
    <col min="4121" max="4125" width="12.69140625" customWidth="1"/>
    <col min="4365" max="4365" width="8.15234375" customWidth="1"/>
    <col min="4366" max="4366" width="53.3828125" customWidth="1"/>
    <col min="4367" max="4367" width="22.3046875" customWidth="1"/>
    <col min="4368" max="4368" width="12.53515625" customWidth="1"/>
    <col min="4369" max="4369" width="6.3046875" customWidth="1"/>
    <col min="4370" max="4370" width="41.53515625" customWidth="1"/>
    <col min="4371" max="4371" width="8.53515625" customWidth="1"/>
    <col min="4372" max="4373" width="6.3046875" customWidth="1"/>
    <col min="4374" max="4374" width="6.69140625" customWidth="1"/>
    <col min="4375" max="4375" width="12.69140625" customWidth="1"/>
    <col min="4376" max="4376" width="14.53515625" customWidth="1"/>
    <col min="4377" max="4381" width="12.69140625" customWidth="1"/>
    <col min="4621" max="4621" width="8.15234375" customWidth="1"/>
    <col min="4622" max="4622" width="53.3828125" customWidth="1"/>
    <col min="4623" max="4623" width="22.3046875" customWidth="1"/>
    <col min="4624" max="4624" width="12.53515625" customWidth="1"/>
    <col min="4625" max="4625" width="6.3046875" customWidth="1"/>
    <col min="4626" max="4626" width="41.53515625" customWidth="1"/>
    <col min="4627" max="4627" width="8.53515625" customWidth="1"/>
    <col min="4628" max="4629" width="6.3046875" customWidth="1"/>
    <col min="4630" max="4630" width="6.69140625" customWidth="1"/>
    <col min="4631" max="4631" width="12.69140625" customWidth="1"/>
    <col min="4632" max="4632" width="14.53515625" customWidth="1"/>
    <col min="4633" max="4637" width="12.69140625" customWidth="1"/>
    <col min="4877" max="4877" width="8.15234375" customWidth="1"/>
    <col min="4878" max="4878" width="53.3828125" customWidth="1"/>
    <col min="4879" max="4879" width="22.3046875" customWidth="1"/>
    <col min="4880" max="4880" width="12.53515625" customWidth="1"/>
    <col min="4881" max="4881" width="6.3046875" customWidth="1"/>
    <col min="4882" max="4882" width="41.53515625" customWidth="1"/>
    <col min="4883" max="4883" width="8.53515625" customWidth="1"/>
    <col min="4884" max="4885" width="6.3046875" customWidth="1"/>
    <col min="4886" max="4886" width="6.69140625" customWidth="1"/>
    <col min="4887" max="4887" width="12.69140625" customWidth="1"/>
    <col min="4888" max="4888" width="14.53515625" customWidth="1"/>
    <col min="4889" max="4893" width="12.69140625" customWidth="1"/>
    <col min="5133" max="5133" width="8.15234375" customWidth="1"/>
    <col min="5134" max="5134" width="53.3828125" customWidth="1"/>
    <col min="5135" max="5135" width="22.3046875" customWidth="1"/>
    <col min="5136" max="5136" width="12.53515625" customWidth="1"/>
    <col min="5137" max="5137" width="6.3046875" customWidth="1"/>
    <col min="5138" max="5138" width="41.53515625" customWidth="1"/>
    <col min="5139" max="5139" width="8.53515625" customWidth="1"/>
    <col min="5140" max="5141" width="6.3046875" customWidth="1"/>
    <col min="5142" max="5142" width="6.69140625" customWidth="1"/>
    <col min="5143" max="5143" width="12.69140625" customWidth="1"/>
    <col min="5144" max="5144" width="14.53515625" customWidth="1"/>
    <col min="5145" max="5149" width="12.69140625" customWidth="1"/>
    <col min="5389" max="5389" width="8.15234375" customWidth="1"/>
    <col min="5390" max="5390" width="53.3828125" customWidth="1"/>
    <col min="5391" max="5391" width="22.3046875" customWidth="1"/>
    <col min="5392" max="5392" width="12.53515625" customWidth="1"/>
    <col min="5393" max="5393" width="6.3046875" customWidth="1"/>
    <col min="5394" max="5394" width="41.53515625" customWidth="1"/>
    <col min="5395" max="5395" width="8.53515625" customWidth="1"/>
    <col min="5396" max="5397" width="6.3046875" customWidth="1"/>
    <col min="5398" max="5398" width="6.69140625" customWidth="1"/>
    <col min="5399" max="5399" width="12.69140625" customWidth="1"/>
    <col min="5400" max="5400" width="14.53515625" customWidth="1"/>
    <col min="5401" max="5405" width="12.69140625" customWidth="1"/>
    <col min="5645" max="5645" width="8.15234375" customWidth="1"/>
    <col min="5646" max="5646" width="53.3828125" customWidth="1"/>
    <col min="5647" max="5647" width="22.3046875" customWidth="1"/>
    <col min="5648" max="5648" width="12.53515625" customWidth="1"/>
    <col min="5649" max="5649" width="6.3046875" customWidth="1"/>
    <col min="5650" max="5650" width="41.53515625" customWidth="1"/>
    <col min="5651" max="5651" width="8.53515625" customWidth="1"/>
    <col min="5652" max="5653" width="6.3046875" customWidth="1"/>
    <col min="5654" max="5654" width="6.69140625" customWidth="1"/>
    <col min="5655" max="5655" width="12.69140625" customWidth="1"/>
    <col min="5656" max="5656" width="14.53515625" customWidth="1"/>
    <col min="5657" max="5661" width="12.69140625" customWidth="1"/>
    <col min="5901" max="5901" width="8.15234375" customWidth="1"/>
    <col min="5902" max="5902" width="53.3828125" customWidth="1"/>
    <col min="5903" max="5903" width="22.3046875" customWidth="1"/>
    <col min="5904" max="5904" width="12.53515625" customWidth="1"/>
    <col min="5905" max="5905" width="6.3046875" customWidth="1"/>
    <col min="5906" max="5906" width="41.53515625" customWidth="1"/>
    <col min="5907" max="5907" width="8.53515625" customWidth="1"/>
    <col min="5908" max="5909" width="6.3046875" customWidth="1"/>
    <col min="5910" max="5910" width="6.69140625" customWidth="1"/>
    <col min="5911" max="5911" width="12.69140625" customWidth="1"/>
    <col min="5912" max="5912" width="14.53515625" customWidth="1"/>
    <col min="5913" max="5917" width="12.69140625" customWidth="1"/>
    <col min="6157" max="6157" width="8.15234375" customWidth="1"/>
    <col min="6158" max="6158" width="53.3828125" customWidth="1"/>
    <col min="6159" max="6159" width="22.3046875" customWidth="1"/>
    <col min="6160" max="6160" width="12.53515625" customWidth="1"/>
    <col min="6161" max="6161" width="6.3046875" customWidth="1"/>
    <col min="6162" max="6162" width="41.53515625" customWidth="1"/>
    <col min="6163" max="6163" width="8.53515625" customWidth="1"/>
    <col min="6164" max="6165" width="6.3046875" customWidth="1"/>
    <col min="6166" max="6166" width="6.69140625" customWidth="1"/>
    <col min="6167" max="6167" width="12.69140625" customWidth="1"/>
    <col min="6168" max="6168" width="14.53515625" customWidth="1"/>
    <col min="6169" max="6173" width="12.69140625" customWidth="1"/>
    <col min="6413" max="6413" width="8.15234375" customWidth="1"/>
    <col min="6414" max="6414" width="53.3828125" customWidth="1"/>
    <col min="6415" max="6415" width="22.3046875" customWidth="1"/>
    <col min="6416" max="6416" width="12.53515625" customWidth="1"/>
    <col min="6417" max="6417" width="6.3046875" customWidth="1"/>
    <col min="6418" max="6418" width="41.53515625" customWidth="1"/>
    <col min="6419" max="6419" width="8.53515625" customWidth="1"/>
    <col min="6420" max="6421" width="6.3046875" customWidth="1"/>
    <col min="6422" max="6422" width="6.69140625" customWidth="1"/>
    <col min="6423" max="6423" width="12.69140625" customWidth="1"/>
    <col min="6424" max="6424" width="14.53515625" customWidth="1"/>
    <col min="6425" max="6429" width="12.69140625" customWidth="1"/>
    <col min="6669" max="6669" width="8.15234375" customWidth="1"/>
    <col min="6670" max="6670" width="53.3828125" customWidth="1"/>
    <col min="6671" max="6671" width="22.3046875" customWidth="1"/>
    <col min="6672" max="6672" width="12.53515625" customWidth="1"/>
    <col min="6673" max="6673" width="6.3046875" customWidth="1"/>
    <col min="6674" max="6674" width="41.53515625" customWidth="1"/>
    <col min="6675" max="6675" width="8.53515625" customWidth="1"/>
    <col min="6676" max="6677" width="6.3046875" customWidth="1"/>
    <col min="6678" max="6678" width="6.69140625" customWidth="1"/>
    <col min="6679" max="6679" width="12.69140625" customWidth="1"/>
    <col min="6680" max="6680" width="14.53515625" customWidth="1"/>
    <col min="6681" max="6685" width="12.69140625" customWidth="1"/>
    <col min="6925" max="6925" width="8.15234375" customWidth="1"/>
    <col min="6926" max="6926" width="53.3828125" customWidth="1"/>
    <col min="6927" max="6927" width="22.3046875" customWidth="1"/>
    <col min="6928" max="6928" width="12.53515625" customWidth="1"/>
    <col min="6929" max="6929" width="6.3046875" customWidth="1"/>
    <col min="6930" max="6930" width="41.53515625" customWidth="1"/>
    <col min="6931" max="6931" width="8.53515625" customWidth="1"/>
    <col min="6932" max="6933" width="6.3046875" customWidth="1"/>
    <col min="6934" max="6934" width="6.69140625" customWidth="1"/>
    <col min="6935" max="6935" width="12.69140625" customWidth="1"/>
    <col min="6936" max="6936" width="14.53515625" customWidth="1"/>
    <col min="6937" max="6941" width="12.69140625" customWidth="1"/>
    <col min="7181" max="7181" width="8.15234375" customWidth="1"/>
    <col min="7182" max="7182" width="53.3828125" customWidth="1"/>
    <col min="7183" max="7183" width="22.3046875" customWidth="1"/>
    <col min="7184" max="7184" width="12.53515625" customWidth="1"/>
    <col min="7185" max="7185" width="6.3046875" customWidth="1"/>
    <col min="7186" max="7186" width="41.53515625" customWidth="1"/>
    <col min="7187" max="7187" width="8.53515625" customWidth="1"/>
    <col min="7188" max="7189" width="6.3046875" customWidth="1"/>
    <col min="7190" max="7190" width="6.69140625" customWidth="1"/>
    <col min="7191" max="7191" width="12.69140625" customWidth="1"/>
    <col min="7192" max="7192" width="14.53515625" customWidth="1"/>
    <col min="7193" max="7197" width="12.69140625" customWidth="1"/>
    <col min="7437" max="7437" width="8.15234375" customWidth="1"/>
    <col min="7438" max="7438" width="53.3828125" customWidth="1"/>
    <col min="7439" max="7439" width="22.3046875" customWidth="1"/>
    <col min="7440" max="7440" width="12.53515625" customWidth="1"/>
    <col min="7441" max="7441" width="6.3046875" customWidth="1"/>
    <col min="7442" max="7442" width="41.53515625" customWidth="1"/>
    <col min="7443" max="7443" width="8.53515625" customWidth="1"/>
    <col min="7444" max="7445" width="6.3046875" customWidth="1"/>
    <col min="7446" max="7446" width="6.69140625" customWidth="1"/>
    <col min="7447" max="7447" width="12.69140625" customWidth="1"/>
    <col min="7448" max="7448" width="14.53515625" customWidth="1"/>
    <col min="7449" max="7453" width="12.69140625" customWidth="1"/>
    <col min="7693" max="7693" width="8.15234375" customWidth="1"/>
    <col min="7694" max="7694" width="53.3828125" customWidth="1"/>
    <col min="7695" max="7695" width="22.3046875" customWidth="1"/>
    <col min="7696" max="7696" width="12.53515625" customWidth="1"/>
    <col min="7697" max="7697" width="6.3046875" customWidth="1"/>
    <col min="7698" max="7698" width="41.53515625" customWidth="1"/>
    <col min="7699" max="7699" width="8.53515625" customWidth="1"/>
    <col min="7700" max="7701" width="6.3046875" customWidth="1"/>
    <col min="7702" max="7702" width="6.69140625" customWidth="1"/>
    <col min="7703" max="7703" width="12.69140625" customWidth="1"/>
    <col min="7704" max="7704" width="14.53515625" customWidth="1"/>
    <col min="7705" max="7709" width="12.69140625" customWidth="1"/>
    <col min="7949" max="7949" width="8.15234375" customWidth="1"/>
    <col min="7950" max="7950" width="53.3828125" customWidth="1"/>
    <col min="7951" max="7951" width="22.3046875" customWidth="1"/>
    <col min="7952" max="7952" width="12.53515625" customWidth="1"/>
    <col min="7953" max="7953" width="6.3046875" customWidth="1"/>
    <col min="7954" max="7954" width="41.53515625" customWidth="1"/>
    <col min="7955" max="7955" width="8.53515625" customWidth="1"/>
    <col min="7956" max="7957" width="6.3046875" customWidth="1"/>
    <col min="7958" max="7958" width="6.69140625" customWidth="1"/>
    <col min="7959" max="7959" width="12.69140625" customWidth="1"/>
    <col min="7960" max="7960" width="14.53515625" customWidth="1"/>
    <col min="7961" max="7965" width="12.69140625" customWidth="1"/>
    <col min="8205" max="8205" width="8.15234375" customWidth="1"/>
    <col min="8206" max="8206" width="53.3828125" customWidth="1"/>
    <col min="8207" max="8207" width="22.3046875" customWidth="1"/>
    <col min="8208" max="8208" width="12.53515625" customWidth="1"/>
    <col min="8209" max="8209" width="6.3046875" customWidth="1"/>
    <col min="8210" max="8210" width="41.53515625" customWidth="1"/>
    <col min="8211" max="8211" width="8.53515625" customWidth="1"/>
    <col min="8212" max="8213" width="6.3046875" customWidth="1"/>
    <col min="8214" max="8214" width="6.69140625" customWidth="1"/>
    <col min="8215" max="8215" width="12.69140625" customWidth="1"/>
    <col min="8216" max="8216" width="14.53515625" customWidth="1"/>
    <col min="8217" max="8221" width="12.69140625" customWidth="1"/>
    <col min="8461" max="8461" width="8.15234375" customWidth="1"/>
    <col min="8462" max="8462" width="53.3828125" customWidth="1"/>
    <col min="8463" max="8463" width="22.3046875" customWidth="1"/>
    <col min="8464" max="8464" width="12.53515625" customWidth="1"/>
    <col min="8465" max="8465" width="6.3046875" customWidth="1"/>
    <col min="8466" max="8466" width="41.53515625" customWidth="1"/>
    <col min="8467" max="8467" width="8.53515625" customWidth="1"/>
    <col min="8468" max="8469" width="6.3046875" customWidth="1"/>
    <col min="8470" max="8470" width="6.69140625" customWidth="1"/>
    <col min="8471" max="8471" width="12.69140625" customWidth="1"/>
    <col min="8472" max="8472" width="14.53515625" customWidth="1"/>
    <col min="8473" max="8477" width="12.69140625" customWidth="1"/>
    <col min="8717" max="8717" width="8.15234375" customWidth="1"/>
    <col min="8718" max="8718" width="53.3828125" customWidth="1"/>
    <col min="8719" max="8719" width="22.3046875" customWidth="1"/>
    <col min="8720" max="8720" width="12.53515625" customWidth="1"/>
    <col min="8721" max="8721" width="6.3046875" customWidth="1"/>
    <col min="8722" max="8722" width="41.53515625" customWidth="1"/>
    <col min="8723" max="8723" width="8.53515625" customWidth="1"/>
    <col min="8724" max="8725" width="6.3046875" customWidth="1"/>
    <col min="8726" max="8726" width="6.69140625" customWidth="1"/>
    <col min="8727" max="8727" width="12.69140625" customWidth="1"/>
    <col min="8728" max="8728" width="14.53515625" customWidth="1"/>
    <col min="8729" max="8733" width="12.69140625" customWidth="1"/>
    <col min="8973" max="8973" width="8.15234375" customWidth="1"/>
    <col min="8974" max="8974" width="53.3828125" customWidth="1"/>
    <col min="8975" max="8975" width="22.3046875" customWidth="1"/>
    <col min="8976" max="8976" width="12.53515625" customWidth="1"/>
    <col min="8977" max="8977" width="6.3046875" customWidth="1"/>
    <col min="8978" max="8978" width="41.53515625" customWidth="1"/>
    <col min="8979" max="8979" width="8.53515625" customWidth="1"/>
    <col min="8980" max="8981" width="6.3046875" customWidth="1"/>
    <col min="8982" max="8982" width="6.69140625" customWidth="1"/>
    <col min="8983" max="8983" width="12.69140625" customWidth="1"/>
    <col min="8984" max="8984" width="14.53515625" customWidth="1"/>
    <col min="8985" max="8989" width="12.69140625" customWidth="1"/>
    <col min="9229" max="9229" width="8.15234375" customWidth="1"/>
    <col min="9230" max="9230" width="53.3828125" customWidth="1"/>
    <col min="9231" max="9231" width="22.3046875" customWidth="1"/>
    <col min="9232" max="9232" width="12.53515625" customWidth="1"/>
    <col min="9233" max="9233" width="6.3046875" customWidth="1"/>
    <col min="9234" max="9234" width="41.53515625" customWidth="1"/>
    <col min="9235" max="9235" width="8.53515625" customWidth="1"/>
    <col min="9236" max="9237" width="6.3046875" customWidth="1"/>
    <col min="9238" max="9238" width="6.69140625" customWidth="1"/>
    <col min="9239" max="9239" width="12.69140625" customWidth="1"/>
    <col min="9240" max="9240" width="14.53515625" customWidth="1"/>
    <col min="9241" max="9245" width="12.69140625" customWidth="1"/>
    <col min="9485" max="9485" width="8.15234375" customWidth="1"/>
    <col min="9486" max="9486" width="53.3828125" customWidth="1"/>
    <col min="9487" max="9487" width="22.3046875" customWidth="1"/>
    <col min="9488" max="9488" width="12.53515625" customWidth="1"/>
    <col min="9489" max="9489" width="6.3046875" customWidth="1"/>
    <col min="9490" max="9490" width="41.53515625" customWidth="1"/>
    <col min="9491" max="9491" width="8.53515625" customWidth="1"/>
    <col min="9492" max="9493" width="6.3046875" customWidth="1"/>
    <col min="9494" max="9494" width="6.69140625" customWidth="1"/>
    <col min="9495" max="9495" width="12.69140625" customWidth="1"/>
    <col min="9496" max="9496" width="14.53515625" customWidth="1"/>
    <col min="9497" max="9501" width="12.69140625" customWidth="1"/>
    <col min="9741" max="9741" width="8.15234375" customWidth="1"/>
    <col min="9742" max="9742" width="53.3828125" customWidth="1"/>
    <col min="9743" max="9743" width="22.3046875" customWidth="1"/>
    <col min="9744" max="9744" width="12.53515625" customWidth="1"/>
    <col min="9745" max="9745" width="6.3046875" customWidth="1"/>
    <col min="9746" max="9746" width="41.53515625" customWidth="1"/>
    <col min="9747" max="9747" width="8.53515625" customWidth="1"/>
    <col min="9748" max="9749" width="6.3046875" customWidth="1"/>
    <col min="9750" max="9750" width="6.69140625" customWidth="1"/>
    <col min="9751" max="9751" width="12.69140625" customWidth="1"/>
    <col min="9752" max="9752" width="14.53515625" customWidth="1"/>
    <col min="9753" max="9757" width="12.69140625" customWidth="1"/>
    <col min="9997" max="9997" width="8.15234375" customWidth="1"/>
    <col min="9998" max="9998" width="53.3828125" customWidth="1"/>
    <col min="9999" max="9999" width="22.3046875" customWidth="1"/>
    <col min="10000" max="10000" width="12.53515625" customWidth="1"/>
    <col min="10001" max="10001" width="6.3046875" customWidth="1"/>
    <col min="10002" max="10002" width="41.53515625" customWidth="1"/>
    <col min="10003" max="10003" width="8.53515625" customWidth="1"/>
    <col min="10004" max="10005" width="6.3046875" customWidth="1"/>
    <col min="10006" max="10006" width="6.69140625" customWidth="1"/>
    <col min="10007" max="10007" width="12.69140625" customWidth="1"/>
    <col min="10008" max="10008" width="14.53515625" customWidth="1"/>
    <col min="10009" max="10013" width="12.69140625" customWidth="1"/>
    <col min="10253" max="10253" width="8.15234375" customWidth="1"/>
    <col min="10254" max="10254" width="53.3828125" customWidth="1"/>
    <col min="10255" max="10255" width="22.3046875" customWidth="1"/>
    <col min="10256" max="10256" width="12.53515625" customWidth="1"/>
    <col min="10257" max="10257" width="6.3046875" customWidth="1"/>
    <col min="10258" max="10258" width="41.53515625" customWidth="1"/>
    <col min="10259" max="10259" width="8.53515625" customWidth="1"/>
    <col min="10260" max="10261" width="6.3046875" customWidth="1"/>
    <col min="10262" max="10262" width="6.69140625" customWidth="1"/>
    <col min="10263" max="10263" width="12.69140625" customWidth="1"/>
    <col min="10264" max="10264" width="14.53515625" customWidth="1"/>
    <col min="10265" max="10269" width="12.69140625" customWidth="1"/>
    <col min="10509" max="10509" width="8.15234375" customWidth="1"/>
    <col min="10510" max="10510" width="53.3828125" customWidth="1"/>
    <col min="10511" max="10511" width="22.3046875" customWidth="1"/>
    <col min="10512" max="10512" width="12.53515625" customWidth="1"/>
    <col min="10513" max="10513" width="6.3046875" customWidth="1"/>
    <col min="10514" max="10514" width="41.53515625" customWidth="1"/>
    <col min="10515" max="10515" width="8.53515625" customWidth="1"/>
    <col min="10516" max="10517" width="6.3046875" customWidth="1"/>
    <col min="10518" max="10518" width="6.69140625" customWidth="1"/>
    <col min="10519" max="10519" width="12.69140625" customWidth="1"/>
    <col min="10520" max="10520" width="14.53515625" customWidth="1"/>
    <col min="10521" max="10525" width="12.69140625" customWidth="1"/>
    <col min="10765" max="10765" width="8.15234375" customWidth="1"/>
    <col min="10766" max="10766" width="53.3828125" customWidth="1"/>
    <col min="10767" max="10767" width="22.3046875" customWidth="1"/>
    <col min="10768" max="10768" width="12.53515625" customWidth="1"/>
    <col min="10769" max="10769" width="6.3046875" customWidth="1"/>
    <col min="10770" max="10770" width="41.53515625" customWidth="1"/>
    <col min="10771" max="10771" width="8.53515625" customWidth="1"/>
    <col min="10772" max="10773" width="6.3046875" customWidth="1"/>
    <col min="10774" max="10774" width="6.69140625" customWidth="1"/>
    <col min="10775" max="10775" width="12.69140625" customWidth="1"/>
    <col min="10776" max="10776" width="14.53515625" customWidth="1"/>
    <col min="10777" max="10781" width="12.69140625" customWidth="1"/>
    <col min="11021" max="11021" width="8.15234375" customWidth="1"/>
    <col min="11022" max="11022" width="53.3828125" customWidth="1"/>
    <col min="11023" max="11023" width="22.3046875" customWidth="1"/>
    <col min="11024" max="11024" width="12.53515625" customWidth="1"/>
    <col min="11025" max="11025" width="6.3046875" customWidth="1"/>
    <col min="11026" max="11026" width="41.53515625" customWidth="1"/>
    <col min="11027" max="11027" width="8.53515625" customWidth="1"/>
    <col min="11028" max="11029" width="6.3046875" customWidth="1"/>
    <col min="11030" max="11030" width="6.69140625" customWidth="1"/>
    <col min="11031" max="11031" width="12.69140625" customWidth="1"/>
    <col min="11032" max="11032" width="14.53515625" customWidth="1"/>
    <col min="11033" max="11037" width="12.69140625" customWidth="1"/>
    <col min="11277" max="11277" width="8.15234375" customWidth="1"/>
    <col min="11278" max="11278" width="53.3828125" customWidth="1"/>
    <col min="11279" max="11279" width="22.3046875" customWidth="1"/>
    <col min="11280" max="11280" width="12.53515625" customWidth="1"/>
    <col min="11281" max="11281" width="6.3046875" customWidth="1"/>
    <col min="11282" max="11282" width="41.53515625" customWidth="1"/>
    <col min="11283" max="11283" width="8.53515625" customWidth="1"/>
    <col min="11284" max="11285" width="6.3046875" customWidth="1"/>
    <col min="11286" max="11286" width="6.69140625" customWidth="1"/>
    <col min="11287" max="11287" width="12.69140625" customWidth="1"/>
    <col min="11288" max="11288" width="14.53515625" customWidth="1"/>
    <col min="11289" max="11293" width="12.69140625" customWidth="1"/>
    <col min="11533" max="11533" width="8.15234375" customWidth="1"/>
    <col min="11534" max="11534" width="53.3828125" customWidth="1"/>
    <col min="11535" max="11535" width="22.3046875" customWidth="1"/>
    <col min="11536" max="11536" width="12.53515625" customWidth="1"/>
    <col min="11537" max="11537" width="6.3046875" customWidth="1"/>
    <col min="11538" max="11538" width="41.53515625" customWidth="1"/>
    <col min="11539" max="11539" width="8.53515625" customWidth="1"/>
    <col min="11540" max="11541" width="6.3046875" customWidth="1"/>
    <col min="11542" max="11542" width="6.69140625" customWidth="1"/>
    <col min="11543" max="11543" width="12.69140625" customWidth="1"/>
    <col min="11544" max="11544" width="14.53515625" customWidth="1"/>
    <col min="11545" max="11549" width="12.69140625" customWidth="1"/>
    <col min="11789" max="11789" width="8.15234375" customWidth="1"/>
    <col min="11790" max="11790" width="53.3828125" customWidth="1"/>
    <col min="11791" max="11791" width="22.3046875" customWidth="1"/>
    <col min="11792" max="11792" width="12.53515625" customWidth="1"/>
    <col min="11793" max="11793" width="6.3046875" customWidth="1"/>
    <col min="11794" max="11794" width="41.53515625" customWidth="1"/>
    <col min="11795" max="11795" width="8.53515625" customWidth="1"/>
    <col min="11796" max="11797" width="6.3046875" customWidth="1"/>
    <col min="11798" max="11798" width="6.69140625" customWidth="1"/>
    <col min="11799" max="11799" width="12.69140625" customWidth="1"/>
    <col min="11800" max="11800" width="14.53515625" customWidth="1"/>
    <col min="11801" max="11805" width="12.69140625" customWidth="1"/>
    <col min="12045" max="12045" width="8.15234375" customWidth="1"/>
    <col min="12046" max="12046" width="53.3828125" customWidth="1"/>
    <col min="12047" max="12047" width="22.3046875" customWidth="1"/>
    <col min="12048" max="12048" width="12.53515625" customWidth="1"/>
    <col min="12049" max="12049" width="6.3046875" customWidth="1"/>
    <col min="12050" max="12050" width="41.53515625" customWidth="1"/>
    <col min="12051" max="12051" width="8.53515625" customWidth="1"/>
    <col min="12052" max="12053" width="6.3046875" customWidth="1"/>
    <col min="12054" max="12054" width="6.69140625" customWidth="1"/>
    <col min="12055" max="12055" width="12.69140625" customWidth="1"/>
    <col min="12056" max="12056" width="14.53515625" customWidth="1"/>
    <col min="12057" max="12061" width="12.69140625" customWidth="1"/>
    <col min="12301" max="12301" width="8.15234375" customWidth="1"/>
    <col min="12302" max="12302" width="53.3828125" customWidth="1"/>
    <col min="12303" max="12303" width="22.3046875" customWidth="1"/>
    <col min="12304" max="12304" width="12.53515625" customWidth="1"/>
    <col min="12305" max="12305" width="6.3046875" customWidth="1"/>
    <col min="12306" max="12306" width="41.53515625" customWidth="1"/>
    <col min="12307" max="12307" width="8.53515625" customWidth="1"/>
    <col min="12308" max="12309" width="6.3046875" customWidth="1"/>
    <col min="12310" max="12310" width="6.69140625" customWidth="1"/>
    <col min="12311" max="12311" width="12.69140625" customWidth="1"/>
    <col min="12312" max="12312" width="14.53515625" customWidth="1"/>
    <col min="12313" max="12317" width="12.69140625" customWidth="1"/>
    <col min="12557" max="12557" width="8.15234375" customWidth="1"/>
    <col min="12558" max="12558" width="53.3828125" customWidth="1"/>
    <col min="12559" max="12559" width="22.3046875" customWidth="1"/>
    <col min="12560" max="12560" width="12.53515625" customWidth="1"/>
    <col min="12561" max="12561" width="6.3046875" customWidth="1"/>
    <col min="12562" max="12562" width="41.53515625" customWidth="1"/>
    <col min="12563" max="12563" width="8.53515625" customWidth="1"/>
    <col min="12564" max="12565" width="6.3046875" customWidth="1"/>
    <col min="12566" max="12566" width="6.69140625" customWidth="1"/>
    <col min="12567" max="12567" width="12.69140625" customWidth="1"/>
    <col min="12568" max="12568" width="14.53515625" customWidth="1"/>
    <col min="12569" max="12573" width="12.69140625" customWidth="1"/>
    <col min="12813" max="12813" width="8.15234375" customWidth="1"/>
    <col min="12814" max="12814" width="53.3828125" customWidth="1"/>
    <col min="12815" max="12815" width="22.3046875" customWidth="1"/>
    <col min="12816" max="12816" width="12.53515625" customWidth="1"/>
    <col min="12817" max="12817" width="6.3046875" customWidth="1"/>
    <col min="12818" max="12818" width="41.53515625" customWidth="1"/>
    <col min="12819" max="12819" width="8.53515625" customWidth="1"/>
    <col min="12820" max="12821" width="6.3046875" customWidth="1"/>
    <col min="12822" max="12822" width="6.69140625" customWidth="1"/>
    <col min="12823" max="12823" width="12.69140625" customWidth="1"/>
    <col min="12824" max="12824" width="14.53515625" customWidth="1"/>
    <col min="12825" max="12829" width="12.69140625" customWidth="1"/>
    <col min="13069" max="13069" width="8.15234375" customWidth="1"/>
    <col min="13070" max="13070" width="53.3828125" customWidth="1"/>
    <col min="13071" max="13071" width="22.3046875" customWidth="1"/>
    <col min="13072" max="13072" width="12.53515625" customWidth="1"/>
    <col min="13073" max="13073" width="6.3046875" customWidth="1"/>
    <col min="13074" max="13074" width="41.53515625" customWidth="1"/>
    <col min="13075" max="13075" width="8.53515625" customWidth="1"/>
    <col min="13076" max="13077" width="6.3046875" customWidth="1"/>
    <col min="13078" max="13078" width="6.69140625" customWidth="1"/>
    <col min="13079" max="13079" width="12.69140625" customWidth="1"/>
    <col min="13080" max="13080" width="14.53515625" customWidth="1"/>
    <col min="13081" max="13085" width="12.69140625" customWidth="1"/>
    <col min="13325" max="13325" width="8.15234375" customWidth="1"/>
    <col min="13326" max="13326" width="53.3828125" customWidth="1"/>
    <col min="13327" max="13327" width="22.3046875" customWidth="1"/>
    <col min="13328" max="13328" width="12.53515625" customWidth="1"/>
    <col min="13329" max="13329" width="6.3046875" customWidth="1"/>
    <col min="13330" max="13330" width="41.53515625" customWidth="1"/>
    <col min="13331" max="13331" width="8.53515625" customWidth="1"/>
    <col min="13332" max="13333" width="6.3046875" customWidth="1"/>
    <col min="13334" max="13334" width="6.69140625" customWidth="1"/>
    <col min="13335" max="13335" width="12.69140625" customWidth="1"/>
    <col min="13336" max="13336" width="14.53515625" customWidth="1"/>
    <col min="13337" max="13341" width="12.69140625" customWidth="1"/>
    <col min="13581" max="13581" width="8.15234375" customWidth="1"/>
    <col min="13582" max="13582" width="53.3828125" customWidth="1"/>
    <col min="13583" max="13583" width="22.3046875" customWidth="1"/>
    <col min="13584" max="13584" width="12.53515625" customWidth="1"/>
    <col min="13585" max="13585" width="6.3046875" customWidth="1"/>
    <col min="13586" max="13586" width="41.53515625" customWidth="1"/>
    <col min="13587" max="13587" width="8.53515625" customWidth="1"/>
    <col min="13588" max="13589" width="6.3046875" customWidth="1"/>
    <col min="13590" max="13590" width="6.69140625" customWidth="1"/>
    <col min="13591" max="13591" width="12.69140625" customWidth="1"/>
    <col min="13592" max="13592" width="14.53515625" customWidth="1"/>
    <col min="13593" max="13597" width="12.69140625" customWidth="1"/>
    <col min="13837" max="13837" width="8.15234375" customWidth="1"/>
    <col min="13838" max="13838" width="53.3828125" customWidth="1"/>
    <col min="13839" max="13839" width="22.3046875" customWidth="1"/>
    <col min="13840" max="13840" width="12.53515625" customWidth="1"/>
    <col min="13841" max="13841" width="6.3046875" customWidth="1"/>
    <col min="13842" max="13842" width="41.53515625" customWidth="1"/>
    <col min="13843" max="13843" width="8.53515625" customWidth="1"/>
    <col min="13844" max="13845" width="6.3046875" customWidth="1"/>
    <col min="13846" max="13846" width="6.69140625" customWidth="1"/>
    <col min="13847" max="13847" width="12.69140625" customWidth="1"/>
    <col min="13848" max="13848" width="14.53515625" customWidth="1"/>
    <col min="13849" max="13853" width="12.69140625" customWidth="1"/>
    <col min="14093" max="14093" width="8.15234375" customWidth="1"/>
    <col min="14094" max="14094" width="53.3828125" customWidth="1"/>
    <col min="14095" max="14095" width="22.3046875" customWidth="1"/>
    <col min="14096" max="14096" width="12.53515625" customWidth="1"/>
    <col min="14097" max="14097" width="6.3046875" customWidth="1"/>
    <col min="14098" max="14098" width="41.53515625" customWidth="1"/>
    <col min="14099" max="14099" width="8.53515625" customWidth="1"/>
    <col min="14100" max="14101" width="6.3046875" customWidth="1"/>
    <col min="14102" max="14102" width="6.69140625" customWidth="1"/>
    <col min="14103" max="14103" width="12.69140625" customWidth="1"/>
    <col min="14104" max="14104" width="14.53515625" customWidth="1"/>
    <col min="14105" max="14109" width="12.69140625" customWidth="1"/>
    <col min="14349" max="14349" width="8.15234375" customWidth="1"/>
    <col min="14350" max="14350" width="53.3828125" customWidth="1"/>
    <col min="14351" max="14351" width="22.3046875" customWidth="1"/>
    <col min="14352" max="14352" width="12.53515625" customWidth="1"/>
    <col min="14353" max="14353" width="6.3046875" customWidth="1"/>
    <col min="14354" max="14354" width="41.53515625" customWidth="1"/>
    <col min="14355" max="14355" width="8.53515625" customWidth="1"/>
    <col min="14356" max="14357" width="6.3046875" customWidth="1"/>
    <col min="14358" max="14358" width="6.69140625" customWidth="1"/>
    <col min="14359" max="14359" width="12.69140625" customWidth="1"/>
    <col min="14360" max="14360" width="14.53515625" customWidth="1"/>
    <col min="14361" max="14365" width="12.69140625" customWidth="1"/>
    <col min="14605" max="14605" width="8.15234375" customWidth="1"/>
    <col min="14606" max="14606" width="53.3828125" customWidth="1"/>
    <col min="14607" max="14607" width="22.3046875" customWidth="1"/>
    <col min="14608" max="14608" width="12.53515625" customWidth="1"/>
    <col min="14609" max="14609" width="6.3046875" customWidth="1"/>
    <col min="14610" max="14610" width="41.53515625" customWidth="1"/>
    <col min="14611" max="14611" width="8.53515625" customWidth="1"/>
    <col min="14612" max="14613" width="6.3046875" customWidth="1"/>
    <col min="14614" max="14614" width="6.69140625" customWidth="1"/>
    <col min="14615" max="14615" width="12.69140625" customWidth="1"/>
    <col min="14616" max="14616" width="14.53515625" customWidth="1"/>
    <col min="14617" max="14621" width="12.69140625" customWidth="1"/>
    <col min="14861" max="14861" width="8.15234375" customWidth="1"/>
    <col min="14862" max="14862" width="53.3828125" customWidth="1"/>
    <col min="14863" max="14863" width="22.3046875" customWidth="1"/>
    <col min="14864" max="14864" width="12.53515625" customWidth="1"/>
    <col min="14865" max="14865" width="6.3046875" customWidth="1"/>
    <col min="14866" max="14866" width="41.53515625" customWidth="1"/>
    <col min="14867" max="14867" width="8.53515625" customWidth="1"/>
    <col min="14868" max="14869" width="6.3046875" customWidth="1"/>
    <col min="14870" max="14870" width="6.69140625" customWidth="1"/>
    <col min="14871" max="14871" width="12.69140625" customWidth="1"/>
    <col min="14872" max="14872" width="14.53515625" customWidth="1"/>
    <col min="14873" max="14877" width="12.69140625" customWidth="1"/>
    <col min="15117" max="15117" width="8.15234375" customWidth="1"/>
    <col min="15118" max="15118" width="53.3828125" customWidth="1"/>
    <col min="15119" max="15119" width="22.3046875" customWidth="1"/>
    <col min="15120" max="15120" width="12.53515625" customWidth="1"/>
    <col min="15121" max="15121" width="6.3046875" customWidth="1"/>
    <col min="15122" max="15122" width="41.53515625" customWidth="1"/>
    <col min="15123" max="15123" width="8.53515625" customWidth="1"/>
    <col min="15124" max="15125" width="6.3046875" customWidth="1"/>
    <col min="15126" max="15126" width="6.69140625" customWidth="1"/>
    <col min="15127" max="15127" width="12.69140625" customWidth="1"/>
    <col min="15128" max="15128" width="14.53515625" customWidth="1"/>
    <col min="15129" max="15133" width="12.69140625" customWidth="1"/>
    <col min="15373" max="15373" width="8.15234375" customWidth="1"/>
    <col min="15374" max="15374" width="53.3828125" customWidth="1"/>
    <col min="15375" max="15375" width="22.3046875" customWidth="1"/>
    <col min="15376" max="15376" width="12.53515625" customWidth="1"/>
    <col min="15377" max="15377" width="6.3046875" customWidth="1"/>
    <col min="15378" max="15378" width="41.53515625" customWidth="1"/>
    <col min="15379" max="15379" width="8.53515625" customWidth="1"/>
    <col min="15380" max="15381" width="6.3046875" customWidth="1"/>
    <col min="15382" max="15382" width="6.69140625" customWidth="1"/>
    <col min="15383" max="15383" width="12.69140625" customWidth="1"/>
    <col min="15384" max="15384" width="14.53515625" customWidth="1"/>
    <col min="15385" max="15389" width="12.69140625" customWidth="1"/>
    <col min="15629" max="15629" width="8.15234375" customWidth="1"/>
    <col min="15630" max="15630" width="53.3828125" customWidth="1"/>
    <col min="15631" max="15631" width="22.3046875" customWidth="1"/>
    <col min="15632" max="15632" width="12.53515625" customWidth="1"/>
    <col min="15633" max="15633" width="6.3046875" customWidth="1"/>
    <col min="15634" max="15634" width="41.53515625" customWidth="1"/>
    <col min="15635" max="15635" width="8.53515625" customWidth="1"/>
    <col min="15636" max="15637" width="6.3046875" customWidth="1"/>
    <col min="15638" max="15638" width="6.69140625" customWidth="1"/>
    <col min="15639" max="15639" width="12.69140625" customWidth="1"/>
    <col min="15640" max="15640" width="14.53515625" customWidth="1"/>
    <col min="15641" max="15645" width="12.69140625" customWidth="1"/>
    <col min="15885" max="15885" width="8.15234375" customWidth="1"/>
    <col min="15886" max="15886" width="53.3828125" customWidth="1"/>
    <col min="15887" max="15887" width="22.3046875" customWidth="1"/>
    <col min="15888" max="15888" width="12.53515625" customWidth="1"/>
    <col min="15889" max="15889" width="6.3046875" customWidth="1"/>
    <col min="15890" max="15890" width="41.53515625" customWidth="1"/>
    <col min="15891" max="15891" width="8.53515625" customWidth="1"/>
    <col min="15892" max="15893" width="6.3046875" customWidth="1"/>
    <col min="15894" max="15894" width="6.69140625" customWidth="1"/>
    <col min="15895" max="15895" width="12.69140625" customWidth="1"/>
    <col min="15896" max="15896" width="14.53515625" customWidth="1"/>
    <col min="15897" max="15901" width="12.69140625" customWidth="1"/>
    <col min="16141" max="16141" width="8.15234375" customWidth="1"/>
    <col min="16142" max="16142" width="53.3828125" customWidth="1"/>
    <col min="16143" max="16143" width="22.3046875" customWidth="1"/>
    <col min="16144" max="16144" width="12.53515625" customWidth="1"/>
    <col min="16145" max="16145" width="6.3046875" customWidth="1"/>
    <col min="16146" max="16146" width="41.53515625" customWidth="1"/>
    <col min="16147" max="16147" width="8.53515625" customWidth="1"/>
    <col min="16148" max="16149" width="6.3046875" customWidth="1"/>
    <col min="16150" max="16150" width="6.69140625" customWidth="1"/>
    <col min="16151" max="16151" width="12.69140625" customWidth="1"/>
    <col min="16152" max="16152" width="14.53515625" customWidth="1"/>
    <col min="16153" max="16157" width="12.69140625" customWidth="1"/>
  </cols>
  <sheetData>
    <row r="1" spans="2:26" s="687" customFormat="1" ht="24.9" x14ac:dyDescent="0.55000000000000004">
      <c r="B1" s="686" t="s">
        <v>1030</v>
      </c>
      <c r="C1" s="686"/>
      <c r="D1" s="79"/>
      <c r="E1" s="79"/>
      <c r="F1" s="79"/>
      <c r="G1" s="79"/>
      <c r="H1" s="79"/>
      <c r="I1" s="79"/>
      <c r="J1" s="79"/>
      <c r="K1" s="79"/>
      <c r="L1" s="79"/>
      <c r="M1" s="79"/>
      <c r="N1" s="79"/>
      <c r="O1" s="79"/>
      <c r="P1" s="79"/>
      <c r="Q1" s="79"/>
      <c r="R1" s="3360"/>
      <c r="S1" s="79"/>
      <c r="T1" s="79"/>
      <c r="U1" s="79"/>
      <c r="V1" s="79"/>
      <c r="W1" s="79"/>
      <c r="X1" s="79"/>
      <c r="Y1" s="79"/>
    </row>
    <row r="2" spans="2:26" ht="15" thickBot="1" x14ac:dyDescent="0.45"/>
    <row r="3" spans="2:26" ht="20.6" thickBot="1" x14ac:dyDescent="0.55000000000000004">
      <c r="B3" s="690" t="s">
        <v>1031</v>
      </c>
      <c r="C3" s="691"/>
      <c r="D3" s="692"/>
      <c r="E3" s="692"/>
      <c r="F3" s="692"/>
      <c r="G3" s="692"/>
      <c r="H3" s="692"/>
      <c r="I3" s="692"/>
      <c r="J3" s="692"/>
      <c r="K3" s="692"/>
      <c r="L3" s="692"/>
      <c r="M3" s="692"/>
      <c r="N3" s="692"/>
      <c r="O3" s="692"/>
      <c r="P3" s="693"/>
      <c r="Q3" s="690" t="s">
        <v>1032</v>
      </c>
      <c r="R3" s="3361"/>
      <c r="T3" s="694"/>
      <c r="U3" s="694"/>
      <c r="V3" s="695"/>
      <c r="W3" s="696"/>
    </row>
    <row r="4" spans="2:26" ht="20.149999999999999" x14ac:dyDescent="0.5">
      <c r="B4" s="698" t="s">
        <v>1033</v>
      </c>
      <c r="C4" s="698"/>
      <c r="D4" s="700"/>
      <c r="E4" s="701"/>
      <c r="F4" s="700"/>
      <c r="G4" s="700"/>
      <c r="H4" s="702"/>
      <c r="I4" s="700"/>
      <c r="J4" s="700"/>
      <c r="K4" s="700"/>
      <c r="L4" s="703"/>
      <c r="M4" s="700"/>
      <c r="N4" s="700"/>
      <c r="O4" s="700"/>
      <c r="P4" s="700"/>
      <c r="S4" s="290"/>
      <c r="V4" s="290"/>
      <c r="W4" s="290"/>
      <c r="X4" s="290"/>
      <c r="Y4" s="290"/>
    </row>
    <row r="5" spans="2:26" x14ac:dyDescent="0.4">
      <c r="B5" s="704" t="s">
        <v>1034</v>
      </c>
      <c r="C5" s="704"/>
    </row>
    <row r="6" spans="2:26" x14ac:dyDescent="0.4">
      <c r="B6" s="704" t="s">
        <v>1035</v>
      </c>
      <c r="C6" s="704"/>
    </row>
    <row r="7" spans="2:26" x14ac:dyDescent="0.4">
      <c r="B7" s="704" t="s">
        <v>1036</v>
      </c>
      <c r="C7" s="704"/>
      <c r="O7" s="7"/>
      <c r="P7" s="7"/>
      <c r="Q7" s="7"/>
      <c r="S7" s="7"/>
      <c r="Y7" s="7"/>
    </row>
    <row r="8" spans="2:26" x14ac:dyDescent="0.4">
      <c r="B8" s="704" t="s">
        <v>1037</v>
      </c>
      <c r="C8" s="704"/>
      <c r="L8" s="19"/>
      <c r="M8" s="705"/>
      <c r="N8" s="705"/>
      <c r="O8" s="700"/>
      <c r="P8" s="700"/>
      <c r="Q8" s="700"/>
      <c r="S8" s="696"/>
      <c r="Y8" s="696"/>
    </row>
    <row r="9" spans="2:26" x14ac:dyDescent="0.4">
      <c r="B9" s="704" t="s">
        <v>1038</v>
      </c>
      <c r="C9" s="704"/>
      <c r="L9" s="19"/>
      <c r="M9" s="706"/>
      <c r="N9" s="706"/>
      <c r="O9" s="706"/>
      <c r="P9" s="706"/>
      <c r="Q9" s="706"/>
      <c r="S9" s="706"/>
      <c r="Y9" s="706"/>
    </row>
    <row r="10" spans="2:26" x14ac:dyDescent="0.4">
      <c r="B10" s="704" t="s">
        <v>1039</v>
      </c>
      <c r="C10" s="704"/>
      <c r="L10" s="707"/>
      <c r="M10" s="290"/>
      <c r="N10" s="290"/>
      <c r="O10" s="290"/>
      <c r="P10" s="290"/>
      <c r="Q10" s="290"/>
      <c r="S10" s="290"/>
      <c r="Y10" s="290"/>
    </row>
    <row r="11" spans="2:26" x14ac:dyDescent="0.4">
      <c r="B11" s="704" t="s">
        <v>1040</v>
      </c>
      <c r="C11" s="704"/>
      <c r="L11" s="707"/>
      <c r="M11" s="290"/>
      <c r="N11" s="290"/>
      <c r="O11" s="290"/>
      <c r="P11" s="290"/>
      <c r="Q11" s="290"/>
      <c r="S11" s="290"/>
      <c r="Y11" s="290"/>
    </row>
    <row r="12" spans="2:26" x14ac:dyDescent="0.4">
      <c r="B12" s="704" t="s">
        <v>2687</v>
      </c>
      <c r="C12" s="704"/>
      <c r="L12" s="707"/>
      <c r="M12" s="290"/>
      <c r="N12" s="290"/>
      <c r="O12" s="290"/>
      <c r="P12" s="290"/>
      <c r="Q12" s="290"/>
      <c r="S12" s="290"/>
      <c r="Y12" s="290"/>
    </row>
    <row r="13" spans="2:26" ht="20.149999999999999" x14ac:dyDescent="0.5">
      <c r="B13" s="698" t="s">
        <v>1041</v>
      </c>
      <c r="C13" s="698"/>
      <c r="L13" s="707"/>
      <c r="M13" s="290"/>
      <c r="N13" s="290"/>
      <c r="O13" s="290"/>
      <c r="P13" s="290"/>
      <c r="Q13" s="290"/>
      <c r="S13" s="290"/>
      <c r="Y13" s="290"/>
    </row>
    <row r="14" spans="2:26" x14ac:dyDescent="0.4">
      <c r="B14" s="704" t="s">
        <v>1042</v>
      </c>
      <c r="C14" s="704"/>
      <c r="L14" s="707"/>
      <c r="M14" s="290"/>
      <c r="N14" s="290"/>
      <c r="O14" s="290"/>
      <c r="P14" s="290"/>
      <c r="Q14" s="290"/>
      <c r="S14" s="290"/>
      <c r="Y14" s="290"/>
    </row>
    <row r="15" spans="2:26" x14ac:dyDescent="0.4">
      <c r="B15" s="704" t="s">
        <v>1043</v>
      </c>
      <c r="C15" s="704"/>
      <c r="L15" s="707"/>
      <c r="M15" s="290"/>
      <c r="N15" s="290"/>
      <c r="O15" s="290"/>
      <c r="P15" s="290"/>
      <c r="Q15" s="290"/>
      <c r="S15" s="290"/>
      <c r="X15" s="273"/>
      <c r="Y15" s="273"/>
      <c r="Z15" s="5"/>
    </row>
    <row r="16" spans="2:26" x14ac:dyDescent="0.4">
      <c r="B16" s="704" t="s">
        <v>1036</v>
      </c>
      <c r="C16" s="704"/>
      <c r="L16" s="707"/>
      <c r="M16" s="7"/>
      <c r="N16" s="7"/>
      <c r="O16" s="7"/>
      <c r="P16" s="7"/>
      <c r="Q16" s="7"/>
      <c r="S16" s="7"/>
      <c r="X16" s="273"/>
      <c r="Y16" s="5"/>
      <c r="Z16" s="5"/>
    </row>
    <row r="17" spans="1:29" x14ac:dyDescent="0.4">
      <c r="B17" s="704" t="s">
        <v>1037</v>
      </c>
      <c r="C17" s="704"/>
      <c r="L17" s="707"/>
      <c r="M17" s="7"/>
      <c r="N17" s="7"/>
      <c r="O17" s="7"/>
      <c r="P17" s="7"/>
      <c r="Q17" s="7"/>
      <c r="S17"/>
      <c r="X17" s="273"/>
      <c r="Y17" s="5"/>
      <c r="Z17" s="5"/>
    </row>
    <row r="18" spans="1:29" x14ac:dyDescent="0.4">
      <c r="B18" s="704"/>
      <c r="L18" s="707"/>
      <c r="M18" s="7"/>
      <c r="N18" s="7"/>
      <c r="O18" s="7"/>
      <c r="P18" s="7"/>
      <c r="Q18" s="7"/>
      <c r="R18" s="3362"/>
      <c r="S18"/>
      <c r="T18" s="273"/>
      <c r="U18" s="273"/>
      <c r="V18" s="290"/>
      <c r="W18" s="290"/>
      <c r="X18" s="273"/>
      <c r="Y18" s="1118"/>
      <c r="Z18" s="5"/>
    </row>
    <row r="19" spans="1:29" ht="15" thickBot="1" x14ac:dyDescent="0.45">
      <c r="L19" s="707"/>
      <c r="M19" s="7"/>
      <c r="N19" s="7"/>
      <c r="S19"/>
      <c r="X19" s="1118"/>
      <c r="Y19" s="709"/>
      <c r="Z19" s="5"/>
    </row>
    <row r="20" spans="1:29" ht="15.9" thickBot="1" x14ac:dyDescent="0.45">
      <c r="C20" s="710"/>
      <c r="D20" s="1827" t="s">
        <v>23</v>
      </c>
      <c r="E20" s="1828" t="s">
        <v>1044</v>
      </c>
      <c r="F20" s="1829"/>
      <c r="G20" s="1829"/>
      <c r="H20" s="1829"/>
      <c r="I20" s="1829"/>
      <c r="S20"/>
      <c r="X20" s="273"/>
      <c r="Y20" s="3242"/>
      <c r="Z20" s="5"/>
    </row>
    <row r="21" spans="1:29" ht="15" thickBot="1" x14ac:dyDescent="0.45">
      <c r="C21" s="717" t="s">
        <v>1045</v>
      </c>
      <c r="D21" s="1831">
        <v>1</v>
      </c>
      <c r="E21" s="1081">
        <v>1</v>
      </c>
      <c r="F21" s="1081">
        <v>2</v>
      </c>
      <c r="G21" s="719">
        <v>3</v>
      </c>
      <c r="H21" s="719">
        <v>4</v>
      </c>
      <c r="I21" s="715">
        <v>6</v>
      </c>
      <c r="S21"/>
      <c r="X21" s="273"/>
      <c r="Y21" s="3243"/>
      <c r="Z21" s="5"/>
    </row>
    <row r="22" spans="1:29" s="177" customFormat="1" ht="15" thickBot="1" x14ac:dyDescent="0.45">
      <c r="A22"/>
      <c r="B22"/>
      <c r="C22" s="1832" t="s">
        <v>717</v>
      </c>
      <c r="D22" s="740"/>
      <c r="E22" s="1832"/>
      <c r="F22" s="1832"/>
      <c r="G22" s="1833"/>
      <c r="H22" s="1833"/>
      <c r="I22" s="740"/>
      <c r="P22"/>
      <c r="Q22"/>
      <c r="R22" s="3360"/>
      <c r="S22"/>
      <c r="T22"/>
      <c r="U22"/>
      <c r="X22" s="273"/>
      <c r="Y22" s="3244"/>
      <c r="Z22" s="5"/>
      <c r="AA22"/>
      <c r="AB22"/>
      <c r="AC22"/>
    </row>
    <row r="23" spans="1:29" s="177" customFormat="1" x14ac:dyDescent="0.4">
      <c r="A23"/>
      <c r="B23"/>
      <c r="C23" s="1834" t="s">
        <v>1048</v>
      </c>
      <c r="D23" s="724">
        <f t="shared" ref="D23:I25" si="0">S41+S116+S177+S231+S266+S314+S343+S385+S446+S502</f>
        <v>282.91268696018028</v>
      </c>
      <c r="E23" s="1835">
        <f t="shared" si="0"/>
        <v>4526.6029913628845</v>
      </c>
      <c r="F23" s="1835">
        <f t="shared" si="0"/>
        <v>2263.3014956814422</v>
      </c>
      <c r="G23" s="727">
        <f t="shared" si="0"/>
        <v>1697.4761217610821</v>
      </c>
      <c r="H23" s="727">
        <f t="shared" si="0"/>
        <v>1131.6507478407211</v>
      </c>
      <c r="I23" s="724">
        <f t="shared" si="0"/>
        <v>848.73806088054107</v>
      </c>
      <c r="P23"/>
      <c r="Q23"/>
      <c r="R23" s="3360"/>
      <c r="T23"/>
      <c r="U23"/>
      <c r="X23" s="273"/>
      <c r="Y23" s="3244"/>
      <c r="Z23" s="5"/>
      <c r="AA23"/>
      <c r="AB23"/>
      <c r="AC23"/>
    </row>
    <row r="24" spans="1:29" s="177" customFormat="1" x14ac:dyDescent="0.4">
      <c r="A24"/>
      <c r="B24"/>
      <c r="C24" s="1836" t="s">
        <v>2658</v>
      </c>
      <c r="D24" s="728">
        <f t="shared" si="0"/>
        <v>34.672083379666823</v>
      </c>
      <c r="E24" s="1837">
        <f t="shared" si="0"/>
        <v>554.75333407466917</v>
      </c>
      <c r="F24" s="1837">
        <f t="shared" si="0"/>
        <v>277.37666703733458</v>
      </c>
      <c r="G24" s="731">
        <f t="shared" si="0"/>
        <v>208.03250027800095</v>
      </c>
      <c r="H24" s="731">
        <f t="shared" si="0"/>
        <v>138.68833351866729</v>
      </c>
      <c r="I24" s="728">
        <f t="shared" si="0"/>
        <v>104.01625013900048</v>
      </c>
      <c r="P24"/>
      <c r="Q24"/>
      <c r="R24" s="3360"/>
      <c r="T24"/>
      <c r="U24"/>
      <c r="X24" s="273"/>
      <c r="Y24" s="3244"/>
      <c r="Z24" s="5"/>
      <c r="AA24"/>
      <c r="AB24"/>
      <c r="AC24"/>
    </row>
    <row r="25" spans="1:29" s="177" customFormat="1" ht="15" thickBot="1" x14ac:dyDescent="0.45">
      <c r="A25"/>
      <c r="B25"/>
      <c r="C25" s="1838" t="s">
        <v>2663</v>
      </c>
      <c r="D25" s="732">
        <f t="shared" si="0"/>
        <v>117.99093462874835</v>
      </c>
      <c r="E25" s="1839">
        <f t="shared" si="0"/>
        <v>1887.8549540599736</v>
      </c>
      <c r="F25" s="1839">
        <f t="shared" si="0"/>
        <v>943.92747702998679</v>
      </c>
      <c r="G25" s="735">
        <f t="shared" si="0"/>
        <v>707.94560777249001</v>
      </c>
      <c r="H25" s="735">
        <f t="shared" si="0"/>
        <v>471.96373851499339</v>
      </c>
      <c r="I25" s="732">
        <f t="shared" si="0"/>
        <v>353.972803886245</v>
      </c>
      <c r="P25"/>
      <c r="Q25"/>
      <c r="R25" s="3360"/>
      <c r="T25"/>
      <c r="U25"/>
      <c r="X25" s="273"/>
      <c r="Y25" s="3245"/>
      <c r="Z25" s="5"/>
      <c r="AA25"/>
      <c r="AB25"/>
      <c r="AC25"/>
    </row>
    <row r="26" spans="1:29" s="177" customFormat="1" ht="15" thickBot="1" x14ac:dyDescent="0.45">
      <c r="A26"/>
      <c r="B26"/>
      <c r="C26" s="1840" t="s">
        <v>1050</v>
      </c>
      <c r="D26" s="736">
        <f>S44+S115+S180+S234+S269+S317+S346+S388+S445+S505</f>
        <v>364.9187198110489</v>
      </c>
      <c r="E26" s="1841">
        <f>T44+T119+T180+T234+T269+T317+T346+T388+T445+T505</f>
        <v>6761.8532540187525</v>
      </c>
      <c r="F26" s="1841">
        <f>U44+U119+U180+U234+U269+U317+U346+U388+U445+U505</f>
        <v>3380.9266270093763</v>
      </c>
      <c r="G26" s="739">
        <f>V44+V119+V180+V234+V269+V317+V346+V388+V445+V505</f>
        <v>2535.6949702570319</v>
      </c>
      <c r="H26" s="739">
        <f>W44+W119+W180+W234+W269+W317+W346+W388+W445+W505</f>
        <v>1690.4633135046881</v>
      </c>
      <c r="I26" s="736">
        <f>X44+X119+X180+X234+X269+X317+X346+X388+X445+X505</f>
        <v>1267.8474851285159</v>
      </c>
      <c r="P26"/>
      <c r="Q26"/>
      <c r="R26" s="3360"/>
      <c r="T26"/>
      <c r="U26"/>
      <c r="X26" s="273"/>
      <c r="Y26" s="3243"/>
      <c r="Z26" s="5"/>
      <c r="AA26"/>
      <c r="AB26"/>
      <c r="AC26"/>
    </row>
    <row r="27" spans="1:29" s="177" customFormat="1" ht="15" thickBot="1" x14ac:dyDescent="0.45">
      <c r="A27"/>
      <c r="B27"/>
      <c r="C27" s="1843" t="s">
        <v>1858</v>
      </c>
      <c r="D27" s="1842"/>
      <c r="E27" s="1843"/>
      <c r="F27" s="1843"/>
      <c r="G27" s="1844"/>
      <c r="H27" s="1844"/>
      <c r="I27" s="1842"/>
      <c r="P27"/>
      <c r="Q27"/>
      <c r="R27" s="3360"/>
      <c r="T27"/>
      <c r="U27"/>
      <c r="X27" s="273"/>
      <c r="Y27" s="3244"/>
      <c r="Z27" s="5"/>
      <c r="AA27"/>
      <c r="AB27"/>
      <c r="AC27"/>
    </row>
    <row r="28" spans="1:29" s="177" customFormat="1" x14ac:dyDescent="0.4">
      <c r="A28"/>
      <c r="B28"/>
      <c r="C28" s="1845" t="s">
        <v>1048</v>
      </c>
      <c r="D28" s="724">
        <f t="shared" ref="D28:I31" si="1">S385+S446+S502</f>
        <v>30.808503762444825</v>
      </c>
      <c r="E28" s="1835">
        <f t="shared" si="1"/>
        <v>492.93606019911721</v>
      </c>
      <c r="F28" s="1835">
        <f t="shared" si="1"/>
        <v>246.4680300995586</v>
      </c>
      <c r="G28" s="727">
        <f t="shared" si="1"/>
        <v>184.851022574669</v>
      </c>
      <c r="H28" s="727">
        <f t="shared" si="1"/>
        <v>123.2340150497793</v>
      </c>
      <c r="I28" s="724">
        <f t="shared" si="1"/>
        <v>92.425511287334501</v>
      </c>
      <c r="P28"/>
      <c r="Q28"/>
      <c r="R28" s="3360"/>
      <c r="T28"/>
      <c r="U28"/>
      <c r="X28" s="273"/>
      <c r="Y28" s="3245"/>
      <c r="Z28" s="5"/>
      <c r="AA28"/>
      <c r="AB28"/>
      <c r="AC28"/>
    </row>
    <row r="29" spans="1:29" s="177" customFormat="1" x14ac:dyDescent="0.4">
      <c r="A29"/>
      <c r="B29"/>
      <c r="C29" s="1846" t="s">
        <v>2658</v>
      </c>
      <c r="D29" s="728">
        <f t="shared" si="1"/>
        <v>7.7034932229364479</v>
      </c>
      <c r="E29" s="1837">
        <f t="shared" si="1"/>
        <v>123.25589156698317</v>
      </c>
      <c r="F29" s="1837">
        <f t="shared" si="1"/>
        <v>61.627945783491583</v>
      </c>
      <c r="G29" s="731">
        <f t="shared" si="1"/>
        <v>46.220959337618694</v>
      </c>
      <c r="H29" s="731">
        <f t="shared" si="1"/>
        <v>30.813972891745792</v>
      </c>
      <c r="I29" s="728">
        <f t="shared" si="1"/>
        <v>23.110479668809347</v>
      </c>
      <c r="P29"/>
      <c r="Q29"/>
      <c r="R29" s="3360"/>
      <c r="T29"/>
      <c r="U29"/>
      <c r="X29" s="273"/>
      <c r="Y29" s="3245"/>
      <c r="Z29" s="5"/>
      <c r="AA29"/>
      <c r="AB29"/>
      <c r="AC29"/>
    </row>
    <row r="30" spans="1:29" s="177" customFormat="1" ht="15.75" customHeight="1" thickBot="1" x14ac:dyDescent="0.55000000000000004">
      <c r="A30"/>
      <c r="B30" s="698"/>
      <c r="C30" s="1847" t="s">
        <v>2663</v>
      </c>
      <c r="D30" s="732">
        <f t="shared" si="1"/>
        <v>0.81551030485059339</v>
      </c>
      <c r="E30" s="1839">
        <f t="shared" si="1"/>
        <v>13.048164877609494</v>
      </c>
      <c r="F30" s="1839">
        <f t="shared" si="1"/>
        <v>6.5240824388047471</v>
      </c>
      <c r="G30" s="735">
        <f t="shared" si="1"/>
        <v>4.8930618291035612</v>
      </c>
      <c r="H30" s="735">
        <f t="shared" si="1"/>
        <v>3.2620412194023736</v>
      </c>
      <c r="I30" s="732">
        <f t="shared" si="1"/>
        <v>2.4465309145517806</v>
      </c>
      <c r="P30"/>
      <c r="Q30"/>
      <c r="R30" s="3360"/>
      <c r="T30"/>
      <c r="U30"/>
      <c r="X30" s="273"/>
      <c r="Y30" s="3244"/>
      <c r="Z30" s="5"/>
      <c r="AA30"/>
      <c r="AB30"/>
      <c r="AC30"/>
    </row>
    <row r="31" spans="1:29" s="177" customFormat="1" ht="15" thickBot="1" x14ac:dyDescent="0.45">
      <c r="A31"/>
      <c r="B31"/>
      <c r="C31" s="1848" t="s">
        <v>1050</v>
      </c>
      <c r="D31" s="1841">
        <f t="shared" si="1"/>
        <v>39.327507290231864</v>
      </c>
      <c r="E31" s="1841">
        <f t="shared" si="1"/>
        <v>629.24011664370983</v>
      </c>
      <c r="F31" s="1841">
        <f t="shared" si="1"/>
        <v>314.62005832185491</v>
      </c>
      <c r="G31" s="739">
        <f t="shared" si="1"/>
        <v>235.96504374139118</v>
      </c>
      <c r="H31" s="739">
        <f t="shared" si="1"/>
        <v>157.31002916092746</v>
      </c>
      <c r="I31" s="736">
        <f t="shared" si="1"/>
        <v>117.98252187069559</v>
      </c>
      <c r="P31"/>
      <c r="Q31"/>
      <c r="R31" s="3360"/>
      <c r="T31"/>
      <c r="U31"/>
      <c r="X31" s="273"/>
      <c r="Y31" s="273"/>
      <c r="Z31" s="5"/>
      <c r="AA31"/>
      <c r="AB31"/>
      <c r="AC31"/>
    </row>
    <row r="32" spans="1:29" s="177" customFormat="1" x14ac:dyDescent="0.4">
      <c r="A32"/>
      <c r="B32"/>
      <c r="C32"/>
      <c r="D32"/>
      <c r="E32" s="741"/>
      <c r="F32"/>
      <c r="G32"/>
      <c r="H32" s="89"/>
      <c r="J32"/>
      <c r="K32"/>
      <c r="L32" s="689"/>
      <c r="M32"/>
      <c r="N32"/>
      <c r="O32"/>
      <c r="P32"/>
      <c r="Q32"/>
      <c r="R32" s="3360"/>
      <c r="T32"/>
      <c r="U32"/>
      <c r="V32" s="273"/>
      <c r="W32" s="273"/>
      <c r="Z32"/>
      <c r="AA32"/>
      <c r="AB32"/>
      <c r="AC32"/>
    </row>
    <row r="33" spans="1:29" s="177" customFormat="1" ht="20.149999999999999" x14ac:dyDescent="0.5">
      <c r="A33"/>
      <c r="B33" s="698" t="s">
        <v>1051</v>
      </c>
      <c r="C33"/>
      <c r="D33"/>
      <c r="E33" s="741"/>
      <c r="F33"/>
      <c r="G33"/>
      <c r="H33" s="89"/>
      <c r="J33"/>
      <c r="K33"/>
      <c r="L33" s="689"/>
      <c r="M33"/>
      <c r="N33"/>
      <c r="O33"/>
      <c r="P33"/>
      <c r="Q33"/>
      <c r="R33" s="3360"/>
      <c r="T33"/>
      <c r="U33"/>
      <c r="Z33"/>
      <c r="AA33"/>
      <c r="AB33"/>
      <c r="AC33"/>
    </row>
    <row r="34" spans="1:29" s="8" customFormat="1" ht="15.45" x14ac:dyDescent="0.4">
      <c r="A34"/>
      <c r="B34" s="1769"/>
      <c r="C34" s="2297"/>
      <c r="D34" s="1770" t="s">
        <v>1860</v>
      </c>
      <c r="E34" s="1798"/>
      <c r="F34" s="1798"/>
      <c r="G34" s="1798"/>
      <c r="H34" s="1798"/>
      <c r="I34" s="1798"/>
      <c r="J34" s="1798"/>
      <c r="K34" s="1798"/>
      <c r="L34" s="1798"/>
      <c r="M34" s="1798"/>
      <c r="N34" s="1798"/>
      <c r="O34" s="1798"/>
      <c r="P34" s="1798"/>
      <c r="Q34" s="1798"/>
      <c r="R34" s="3363"/>
      <c r="S34" s="1798"/>
      <c r="T34" s="1798"/>
      <c r="U34" s="1798"/>
      <c r="V34" s="1798"/>
      <c r="W34" s="1798"/>
      <c r="X34" s="1798"/>
      <c r="Y34" s="1798"/>
      <c r="Z34"/>
      <c r="AA34"/>
      <c r="AB34"/>
      <c r="AC34"/>
    </row>
    <row r="35" spans="1:29" s="8" customFormat="1" outlineLevel="1" x14ac:dyDescent="0.4">
      <c r="A35"/>
      <c r="B35" s="1850"/>
      <c r="C35" s="704"/>
      <c r="D35" s="748" t="s">
        <v>1053</v>
      </c>
      <c r="E35" s="749"/>
      <c r="F35" s="704"/>
      <c r="G35" s="704"/>
      <c r="H35" s="704"/>
      <c r="I35" s="750"/>
      <c r="J35" s="704"/>
      <c r="K35" s="704"/>
      <c r="L35" s="704"/>
      <c r="M35" s="704"/>
      <c r="N35" s="704"/>
      <c r="O35" s="704"/>
      <c r="P35" s="704"/>
      <c r="Q35" s="704"/>
      <c r="R35" s="3364"/>
      <c r="S35" s="750"/>
      <c r="T35" s="704"/>
      <c r="U35" s="704"/>
      <c r="V35" s="750"/>
      <c r="W35" s="750"/>
      <c r="X35" s="750"/>
      <c r="Y35" s="750"/>
      <c r="Z35"/>
      <c r="AA35"/>
      <c r="AB35"/>
      <c r="AC35"/>
    </row>
    <row r="36" spans="1:29" s="8" customFormat="1" ht="15" outlineLevel="1" thickBot="1" x14ac:dyDescent="0.45">
      <c r="A36"/>
      <c r="B36" s="1850"/>
      <c r="C36" s="704"/>
      <c r="D36" s="704" t="s">
        <v>1034</v>
      </c>
      <c r="E36" s="749"/>
      <c r="F36" s="704"/>
      <c r="G36" s="704"/>
      <c r="H36" s="704"/>
      <c r="I36" s="750"/>
      <c r="J36" s="704"/>
      <c r="K36" s="704"/>
      <c r="L36" s="704"/>
      <c r="M36" s="704"/>
      <c r="N36" s="704"/>
      <c r="O36" s="704"/>
      <c r="P36" s="704"/>
      <c r="Q36" s="704"/>
      <c r="R36" s="3364"/>
      <c r="S36" s="750"/>
      <c r="T36" s="704"/>
      <c r="V36" s="704"/>
      <c r="W36" s="750"/>
      <c r="X36" s="750"/>
      <c r="Y36" s="750"/>
      <c r="Z36"/>
      <c r="AA36"/>
      <c r="AB36"/>
      <c r="AC36"/>
    </row>
    <row r="37" spans="1:29" s="8" customFormat="1" outlineLevel="1" x14ac:dyDescent="0.4">
      <c r="A37"/>
      <c r="B37" s="1850"/>
      <c r="C37" s="704"/>
      <c r="D37" t="s">
        <v>2690</v>
      </c>
      <c r="E37" s="749"/>
      <c r="F37" s="704"/>
      <c r="G37" s="704"/>
      <c r="H37" s="704"/>
      <c r="I37" s="750"/>
      <c r="J37" s="704"/>
      <c r="K37" s="704"/>
      <c r="L37" s="704"/>
      <c r="M37" s="704"/>
      <c r="N37" s="704"/>
      <c r="O37" s="704"/>
      <c r="P37" s="704"/>
      <c r="Q37" s="704"/>
      <c r="R37" s="3570"/>
      <c r="S37" s="3567" t="s">
        <v>23</v>
      </c>
      <c r="T37" s="3842" t="s">
        <v>2604</v>
      </c>
      <c r="U37" s="3843"/>
      <c r="V37" s="3843"/>
      <c r="W37" s="3843"/>
      <c r="X37" s="3844"/>
      <c r="Y37" s="1044"/>
      <c r="Z37"/>
      <c r="AA37"/>
      <c r="AB37"/>
      <c r="AC37"/>
    </row>
    <row r="38" spans="1:29" s="8" customFormat="1" outlineLevel="1" x14ac:dyDescent="0.4">
      <c r="A38"/>
      <c r="B38" s="1850"/>
      <c r="C38" s="704"/>
      <c r="D38" s="704" t="s">
        <v>1035</v>
      </c>
      <c r="E38" s="749"/>
      <c r="F38" s="704"/>
      <c r="G38" s="704"/>
      <c r="H38" s="704"/>
      <c r="I38" s="750"/>
      <c r="J38" s="704"/>
      <c r="K38" s="704"/>
      <c r="L38" s="704"/>
      <c r="M38" s="704"/>
      <c r="N38" s="704"/>
      <c r="O38" s="704"/>
      <c r="P38" s="704"/>
      <c r="Q38" s="704"/>
      <c r="R38" s="3543" t="s">
        <v>1055</v>
      </c>
      <c r="S38" s="1434">
        <v>1</v>
      </c>
      <c r="T38" s="1512">
        <v>1</v>
      </c>
      <c r="U38" s="916">
        <v>2</v>
      </c>
      <c r="V38" s="916">
        <v>3</v>
      </c>
      <c r="W38" s="916">
        <v>4</v>
      </c>
      <c r="X38" s="1045">
        <v>6</v>
      </c>
      <c r="Y38" s="1851"/>
      <c r="Z38"/>
      <c r="AA38"/>
      <c r="AB38"/>
      <c r="AC38"/>
    </row>
    <row r="39" spans="1:29" s="8" customFormat="1" outlineLevel="1" x14ac:dyDescent="0.4">
      <c r="A39"/>
      <c r="B39" s="1850"/>
      <c r="C39" s="704"/>
      <c r="D39" s="704" t="s">
        <v>1036</v>
      </c>
      <c r="E39" s="749"/>
      <c r="F39" s="704"/>
      <c r="G39" s="704"/>
      <c r="H39" s="704"/>
      <c r="I39" s="750"/>
      <c r="J39" s="704"/>
      <c r="K39" s="704"/>
      <c r="L39" s="704"/>
      <c r="M39" s="704"/>
      <c r="N39" s="704"/>
      <c r="O39" s="704"/>
      <c r="P39" s="704"/>
      <c r="Q39" s="704"/>
      <c r="R39" s="3140" t="s">
        <v>2665</v>
      </c>
      <c r="S39" s="1088">
        <f>(connect_lower_blanket_pipework)</f>
        <v>26.773271037841543</v>
      </c>
      <c r="T39" s="1415">
        <f>(ROUNDUP(Tokamak_Segmts/T38,0)*(connect_lower_blanket_pipework))</f>
        <v>428.37233660546468</v>
      </c>
      <c r="U39" s="917">
        <f>(ROUNDUP(Tokamak_Segmts/U38,0)*(connect_lower_blanket_pipework))</f>
        <v>214.18616830273234</v>
      </c>
      <c r="V39" s="917">
        <f>(ROUNDUP(Tokamak_Segmts/V38,0)*(connect_lower_blanket_pipework))</f>
        <v>160.63962622704926</v>
      </c>
      <c r="W39" s="917">
        <f>(ROUNDUP(Tokamak_Segmts/W38,0)*(connect_lower_blanket_pipework))</f>
        <v>107.09308415136617</v>
      </c>
      <c r="X39" s="1028">
        <f>(ROUNDUP(Tokamak_Segmts/X38,0)*(connect_lower_blanket_pipework))</f>
        <v>80.319813113524631</v>
      </c>
      <c r="Y39" s="290"/>
      <c r="Z39"/>
      <c r="AA39"/>
      <c r="AB39"/>
      <c r="AC39"/>
    </row>
    <row r="40" spans="1:29" s="8" customFormat="1" ht="15" outlineLevel="1" thickBot="1" x14ac:dyDescent="0.45">
      <c r="A40"/>
      <c r="B40" s="1850"/>
      <c r="C40" s="704"/>
      <c r="D40" s="704" t="s">
        <v>1037</v>
      </c>
      <c r="E40" s="749"/>
      <c r="F40" s="704"/>
      <c r="G40" s="704"/>
      <c r="H40" s="704"/>
      <c r="I40" s="750"/>
      <c r="J40" s="704"/>
      <c r="K40" s="704"/>
      <c r="L40" s="704"/>
      <c r="M40" s="704"/>
      <c r="N40" s="704"/>
      <c r="O40" s="704"/>
      <c r="P40" s="704"/>
      <c r="Q40" s="704"/>
      <c r="R40" s="3141" t="s">
        <v>2693</v>
      </c>
      <c r="S40" s="1092">
        <f>S$39*$E$44</f>
        <v>0.29450598141625695</v>
      </c>
      <c r="T40" s="1416">
        <f t="shared" ref="T40:X40" si="2">T$39*$E$44</f>
        <v>4.7120957026601111</v>
      </c>
      <c r="U40" s="920">
        <f t="shared" si="2"/>
        <v>2.3560478513300556</v>
      </c>
      <c r="V40" s="920">
        <f t="shared" si="2"/>
        <v>1.7670358884975419</v>
      </c>
      <c r="W40" s="920">
        <f t="shared" si="2"/>
        <v>1.1780239256650278</v>
      </c>
      <c r="X40" s="1029">
        <f t="shared" si="2"/>
        <v>0.88351794424877095</v>
      </c>
      <c r="Y40" s="290"/>
      <c r="Z40"/>
      <c r="AA40"/>
      <c r="AB40"/>
      <c r="AC40"/>
    </row>
    <row r="41" spans="1:29" s="8" customFormat="1" outlineLevel="1" x14ac:dyDescent="0.4">
      <c r="A41"/>
      <c r="B41" s="1850"/>
      <c r="C41" s="704"/>
      <c r="D41" s="704" t="s">
        <v>1038</v>
      </c>
      <c r="E41" s="749"/>
      <c r="F41" s="704"/>
      <c r="G41" s="704"/>
      <c r="H41" s="704"/>
      <c r="I41" s="750"/>
      <c r="J41" s="704"/>
      <c r="K41" s="704"/>
      <c r="L41" s="704"/>
      <c r="M41" s="704"/>
      <c r="N41" s="704"/>
      <c r="O41" s="704"/>
      <c r="P41" s="704"/>
      <c r="Q41" s="704"/>
      <c r="R41" s="3571" t="s">
        <v>1048</v>
      </c>
      <c r="S41" s="1515">
        <f t="shared" ref="S41:X41" si="3">S40*(SUMIF($E$52:$E$104,"Operation",$F$52:$F$104))</f>
        <v>57.617275328406755</v>
      </c>
      <c r="T41" s="1500">
        <f t="shared" si="3"/>
        <v>921.87640525450809</v>
      </c>
      <c r="U41" s="768">
        <f t="shared" si="3"/>
        <v>460.93820262725404</v>
      </c>
      <c r="V41" s="768">
        <f t="shared" si="3"/>
        <v>345.7036519704406</v>
      </c>
      <c r="W41" s="768">
        <f t="shared" si="3"/>
        <v>230.46910131362702</v>
      </c>
      <c r="X41" s="1062">
        <f t="shared" si="3"/>
        <v>172.8518259852203</v>
      </c>
      <c r="Y41" s="290"/>
      <c r="Z41"/>
      <c r="AA41"/>
      <c r="AB41"/>
      <c r="AC41"/>
    </row>
    <row r="42" spans="1:29" s="8" customFormat="1" outlineLevel="1" x14ac:dyDescent="0.4">
      <c r="A42"/>
      <c r="B42" s="1850"/>
      <c r="C42" s="704"/>
      <c r="D42" s="704"/>
      <c r="E42" s="749"/>
      <c r="F42" s="704"/>
      <c r="G42" s="704"/>
      <c r="H42" s="704"/>
      <c r="I42" s="750"/>
      <c r="J42" s="704"/>
      <c r="K42" s="704"/>
      <c r="L42" s="704"/>
      <c r="M42" s="704"/>
      <c r="N42" s="704"/>
      <c r="O42" s="704"/>
      <c r="P42" s="704"/>
      <c r="Q42" s="704"/>
      <c r="R42" s="3543" t="s">
        <v>2658</v>
      </c>
      <c r="S42" s="1516">
        <f t="shared" ref="S42:X42" si="4">S40*(SUMIF($E$52:$E$104,"Movement",$F$52:$F$104)+(SUMIF($E$52:$E$104,"Logistics",$F$52:$F$104)))</f>
        <v>6.6293296416799476</v>
      </c>
      <c r="T42" s="1502">
        <f t="shared" si="4"/>
        <v>106.06927426687916</v>
      </c>
      <c r="U42" s="769">
        <f t="shared" si="4"/>
        <v>53.034637133439581</v>
      </c>
      <c r="V42" s="769">
        <f t="shared" si="4"/>
        <v>39.775977850079691</v>
      </c>
      <c r="W42" s="769">
        <f t="shared" si="4"/>
        <v>26.517318566719791</v>
      </c>
      <c r="X42" s="1064">
        <f t="shared" si="4"/>
        <v>19.887988925039846</v>
      </c>
      <c r="Y42" s="290"/>
      <c r="Z42"/>
      <c r="AA42"/>
      <c r="AB42"/>
      <c r="AC42"/>
    </row>
    <row r="43" spans="1:29" s="8" customFormat="1" ht="15" outlineLevel="1" thickBot="1" x14ac:dyDescent="0.45">
      <c r="A43"/>
      <c r="B43" s="1850"/>
      <c r="C43" s="704"/>
      <c r="D43" s="704"/>
      <c r="E43" s="749"/>
      <c r="F43" s="704"/>
      <c r="G43" s="704"/>
      <c r="H43" s="704"/>
      <c r="I43" s="750"/>
      <c r="J43" s="704"/>
      <c r="K43" s="704"/>
      <c r="L43" s="704"/>
      <c r="M43" s="704"/>
      <c r="N43" s="704"/>
      <c r="O43" s="704"/>
      <c r="P43" s="704"/>
      <c r="Q43" s="704"/>
      <c r="R43" s="3572" t="s">
        <v>2663</v>
      </c>
      <c r="S43" s="1112">
        <f t="shared" ref="S43:X43" si="5">S40*(-SUMIF($T$52:$T$104,"&lt;0"))</f>
        <v>0.66187492416069693</v>
      </c>
      <c r="T43" s="1110">
        <f t="shared" si="5"/>
        <v>10.589998786571151</v>
      </c>
      <c r="U43" s="770">
        <f t="shared" si="5"/>
        <v>5.2949993932855755</v>
      </c>
      <c r="V43" s="770">
        <f t="shared" si="5"/>
        <v>3.971249544964182</v>
      </c>
      <c r="W43" s="770">
        <f t="shared" si="5"/>
        <v>2.6474996966427877</v>
      </c>
      <c r="X43" s="1066">
        <f t="shared" si="5"/>
        <v>1.985624772482091</v>
      </c>
      <c r="Y43" s="290"/>
      <c r="Z43"/>
      <c r="AA43"/>
      <c r="AB43"/>
      <c r="AC43"/>
    </row>
    <row r="44" spans="1:29" s="8" customFormat="1" ht="15" outlineLevel="1" thickBot="1" x14ac:dyDescent="0.45">
      <c r="A44"/>
      <c r="B44" s="1850"/>
      <c r="C44" s="704"/>
      <c r="D44" s="748" t="s">
        <v>1056</v>
      </c>
      <c r="E44" s="709">
        <f>SUM(E45:E46)</f>
        <v>1.0999999999999999E-2</v>
      </c>
      <c r="F44" s="709"/>
      <c r="G44" s="709"/>
      <c r="H44" s="709"/>
      <c r="I44" s="919"/>
      <c r="J44" s="918"/>
      <c r="K44" s="918"/>
      <c r="L44" s="918"/>
      <c r="M44" s="918"/>
      <c r="N44" s="918"/>
      <c r="O44" s="918"/>
      <c r="P44" s="704"/>
      <c r="Q44" s="704"/>
      <c r="R44" s="3573" t="s">
        <v>2667</v>
      </c>
      <c r="S44" s="2974">
        <f t="shared" ref="S44:X44" si="6">S40*$G$105</f>
        <v>64.908479894247407</v>
      </c>
      <c r="T44" s="2994">
        <f t="shared" si="6"/>
        <v>1038.5356783079585</v>
      </c>
      <c r="U44" s="694">
        <f t="shared" si="6"/>
        <v>519.26783915397925</v>
      </c>
      <c r="V44" s="694">
        <f t="shared" si="6"/>
        <v>389.45087936548452</v>
      </c>
      <c r="W44" s="694">
        <f t="shared" si="6"/>
        <v>259.63391957698963</v>
      </c>
      <c r="X44" s="2974">
        <f t="shared" si="6"/>
        <v>194.72543968274226</v>
      </c>
      <c r="Y44" s="915"/>
      <c r="Z44"/>
      <c r="AA44"/>
      <c r="AB44"/>
      <c r="AC44"/>
    </row>
    <row r="45" spans="1:29" s="8" customFormat="1" outlineLevel="1" x14ac:dyDescent="0.4">
      <c r="A45"/>
      <c r="B45" s="1771"/>
      <c r="C45" s="5"/>
      <c r="D45" s="7" t="s">
        <v>1057</v>
      </c>
      <c r="E45" s="763">
        <f>Weld_Failure_Rate</f>
        <v>1E-3</v>
      </c>
      <c r="F45" s="922"/>
      <c r="G45" s="922"/>
      <c r="H45" s="924"/>
      <c r="I45" s="290"/>
      <c r="J45" s="922"/>
      <c r="K45" s="922"/>
      <c r="L45" s="925"/>
      <c r="M45" s="922"/>
      <c r="N45" s="922"/>
      <c r="O45" s="922"/>
      <c r="P45" s="706"/>
      <c r="Q45" s="7"/>
      <c r="R45" s="3391"/>
      <c r="Y45" s="915"/>
      <c r="Z45"/>
      <c r="AA45"/>
      <c r="AB45"/>
      <c r="AC45"/>
    </row>
    <row r="46" spans="1:29" s="8" customFormat="1" outlineLevel="1" x14ac:dyDescent="0.4">
      <c r="A46"/>
      <c r="B46" s="1771"/>
      <c r="C46" s="5"/>
      <c r="D46" s="7" t="s">
        <v>1058</v>
      </c>
      <c r="E46" s="763">
        <f>SJS_welder_failure</f>
        <v>0.01</v>
      </c>
      <c r="F46" s="922"/>
      <c r="G46" s="922"/>
      <c r="H46" s="924"/>
      <c r="I46" s="290"/>
      <c r="J46" s="922"/>
      <c r="K46" s="922"/>
      <c r="L46" s="925"/>
      <c r="M46" s="922"/>
      <c r="N46" s="922"/>
      <c r="O46" s="922"/>
      <c r="P46" s="706"/>
      <c r="Q46" s="7"/>
      <c r="R46" s="3391"/>
      <c r="Y46" s="915"/>
      <c r="Z46"/>
      <c r="AA46"/>
      <c r="AB46"/>
      <c r="AC46"/>
    </row>
    <row r="47" spans="1:29" s="8" customFormat="1" outlineLevel="1" x14ac:dyDescent="0.4">
      <c r="A47"/>
      <c r="B47" s="1771"/>
      <c r="C47" s="5"/>
      <c r="D47" s="926" t="s">
        <v>1059</v>
      </c>
      <c r="E47" s="709">
        <f>E44*(1-(1-E44)^(Divertor_port_pipes_per_blanket))</f>
        <v>3.5902164100000021E-4</v>
      </c>
      <c r="F47" s="927"/>
      <c r="G47" s="927"/>
      <c r="H47" s="927"/>
      <c r="I47" s="919"/>
      <c r="J47" s="927"/>
      <c r="K47" s="927"/>
      <c r="L47" s="927"/>
      <c r="M47" s="927"/>
      <c r="N47" s="927"/>
      <c r="O47" s="927"/>
      <c r="P47" s="706"/>
      <c r="Q47" s="7"/>
      <c r="R47" s="3391"/>
      <c r="Z47"/>
      <c r="AA47"/>
      <c r="AB47"/>
      <c r="AC47"/>
    </row>
    <row r="48" spans="1:29" s="8" customFormat="1" outlineLevel="1" x14ac:dyDescent="0.4">
      <c r="A48"/>
      <c r="B48" s="1771"/>
      <c r="C48" s="5"/>
      <c r="D48" s="926"/>
      <c r="E48" s="928"/>
      <c r="F48" s="927"/>
      <c r="G48" s="927"/>
      <c r="H48" s="927"/>
      <c r="I48" s="919"/>
      <c r="J48" s="927"/>
      <c r="K48" s="927"/>
      <c r="L48" s="927"/>
      <c r="M48" s="927"/>
      <c r="N48" s="927"/>
      <c r="O48" s="927"/>
      <c r="P48" s="706"/>
      <c r="Q48" s="7"/>
      <c r="R48" s="3369"/>
      <c r="S48" s="290"/>
      <c r="T48" s="7"/>
      <c r="U48" s="7"/>
      <c r="V48" s="290"/>
      <c r="W48" s="290"/>
      <c r="X48" s="290"/>
      <c r="Y48" s="290"/>
      <c r="Z48"/>
      <c r="AA48"/>
      <c r="AB48"/>
      <c r="AC48"/>
    </row>
    <row r="49" spans="1:29" s="8" customFormat="1" ht="15.75" hidden="1" customHeight="1" outlineLevel="2" thickBot="1" x14ac:dyDescent="0.45">
      <c r="A49"/>
      <c r="B49" s="1771"/>
      <c r="C49" s="5"/>
      <c r="D49" s="926"/>
      <c r="E49" s="928"/>
      <c r="F49" s="927"/>
      <c r="G49" s="927"/>
      <c r="H49" s="927"/>
      <c r="I49" s="919"/>
      <c r="J49" s="927"/>
      <c r="K49" s="927"/>
      <c r="L49" s="927"/>
      <c r="M49" s="927"/>
      <c r="N49" s="927"/>
      <c r="O49" s="927"/>
      <c r="P49" s="706"/>
      <c r="Q49" s="7"/>
      <c r="R49" s="3369"/>
      <c r="S49" s="290"/>
      <c r="T49" s="7"/>
      <c r="U49" s="7"/>
      <c r="V49" s="290"/>
      <c r="W49" s="290"/>
      <c r="X49" s="290"/>
      <c r="Y49" s="290"/>
      <c r="Z49"/>
      <c r="AA49"/>
      <c r="AB49"/>
      <c r="AC49"/>
    </row>
    <row r="50" spans="1:29" s="8" customFormat="1" ht="15.75" hidden="1" customHeight="1" outlineLevel="2" thickBot="1" x14ac:dyDescent="0.45">
      <c r="A50"/>
      <c r="B50" s="1771"/>
      <c r="C50" s="5"/>
      <c r="D50" s="926"/>
      <c r="E50" s="701"/>
      <c r="F50" s="7"/>
      <c r="G50" s="929"/>
      <c r="H50" s="930" t="s">
        <v>18</v>
      </c>
      <c r="I50" s="931"/>
      <c r="J50" s="932" t="s">
        <v>778</v>
      </c>
      <c r="K50" s="933"/>
      <c r="L50" s="933"/>
      <c r="M50" s="933"/>
      <c r="N50" s="933"/>
      <c r="O50" s="934"/>
      <c r="P50" s="933" t="s">
        <v>3</v>
      </c>
      <c r="Q50" s="934"/>
      <c r="R50" s="3386" t="s">
        <v>779</v>
      </c>
      <c r="S50" s="694"/>
      <c r="T50" s="3019"/>
      <c r="U50" s="937"/>
      <c r="V50" s="938"/>
      <c r="W50" s="938"/>
      <c r="X50" s="7"/>
      <c r="Y50" s="290"/>
      <c r="Z50"/>
      <c r="AA50"/>
      <c r="AB50"/>
      <c r="AC50"/>
    </row>
    <row r="51" spans="1:29" s="8" customFormat="1" ht="30.75" hidden="1" customHeight="1" outlineLevel="2" thickBot="1" x14ac:dyDescent="0.45">
      <c r="A51"/>
      <c r="B51" s="1771"/>
      <c r="C51" s="939" t="s">
        <v>780</v>
      </c>
      <c r="D51" s="940" t="s">
        <v>1060</v>
      </c>
      <c r="E51" s="941" t="s">
        <v>782</v>
      </c>
      <c r="F51" s="942" t="s">
        <v>783</v>
      </c>
      <c r="G51" s="943" t="s">
        <v>784</v>
      </c>
      <c r="H51" s="562" t="s">
        <v>785</v>
      </c>
      <c r="I51" s="944" t="s">
        <v>783</v>
      </c>
      <c r="J51" s="562" t="s">
        <v>786</v>
      </c>
      <c r="K51" s="563" t="s">
        <v>787</v>
      </c>
      <c r="L51" s="563" t="s">
        <v>788</v>
      </c>
      <c r="M51" s="563" t="s">
        <v>789</v>
      </c>
      <c r="N51" s="563" t="s">
        <v>790</v>
      </c>
      <c r="O51" s="945" t="s">
        <v>783</v>
      </c>
      <c r="P51" s="560" t="s">
        <v>785</v>
      </c>
      <c r="Q51" s="946" t="s">
        <v>783</v>
      </c>
      <c r="R51" s="3387" t="s">
        <v>781</v>
      </c>
      <c r="S51" s="794" t="s">
        <v>791</v>
      </c>
      <c r="T51" s="789" t="s">
        <v>792</v>
      </c>
      <c r="V51" s="947"/>
      <c r="W51" s="947"/>
      <c r="X51" s="7"/>
      <c r="Y51" s="290"/>
      <c r="Z51"/>
      <c r="AA51"/>
      <c r="AB51"/>
      <c r="AC51"/>
    </row>
    <row r="52" spans="1:29" s="8" customFormat="1" ht="15" hidden="1" customHeight="1" outlineLevel="2" x14ac:dyDescent="0.4">
      <c r="A52"/>
      <c r="B52" s="1771"/>
      <c r="C52" s="3886" t="s">
        <v>1062</v>
      </c>
      <c r="D52" s="797" t="s">
        <v>1862</v>
      </c>
      <c r="E52" s="799" t="s">
        <v>251</v>
      </c>
      <c r="F52" s="456">
        <f>MAX($Q52,$O52,$I52)</f>
        <v>0</v>
      </c>
      <c r="G52" s="800">
        <f>F52</f>
        <v>0</v>
      </c>
      <c r="H52" s="797" t="s">
        <v>557</v>
      </c>
      <c r="I52" s="621">
        <v>0</v>
      </c>
      <c r="J52" s="568"/>
      <c r="K52" s="566"/>
      <c r="L52" s="801"/>
      <c r="M52" s="802" t="str">
        <f>IFERROR(INDEX('Lower Hot Cell Logistics'!$I$28:$O$34,MATCH($K52,'Lower Hot Cell Logistics'!$H$28:$H$34,0),MATCH($L52,'Lower Hot Cell Logistics'!$H$28:$H$34,0)),"N/A")</f>
        <v>N/A</v>
      </c>
      <c r="N52" s="570" t="str">
        <f>IFERROR(VLOOKUP($J52,'Lower Hot Cell Logistics'!$H$4:$I$8,2,FALSE),"N/A")</f>
        <v>N/A</v>
      </c>
      <c r="O52" s="800" t="str">
        <f t="shared" ref="O52:O104" si="7">IF(E52="Movement",IFERROR((M52/N52)/(60*60),"Error"),"N/A")</f>
        <v>N/A</v>
      </c>
      <c r="P52" s="803"/>
      <c r="Q52" s="802" t="str">
        <f>IF($E52="Logistics",VLOOKUP($P52,'Lower Hot Cell Logistics'!$C$4:$D$57,2,FALSE),"N/A")</f>
        <v>N/A</v>
      </c>
      <c r="R52" s="3398"/>
      <c r="S52" s="804" t="str">
        <f>IFERROR(VLOOKUP($R52,'[1]Div Hot Cell RecoverS Logistics'!$C$80:$F$109,4,FALSE),"N/A")</f>
        <v>N/A</v>
      </c>
      <c r="T52" s="621" t="str">
        <f>IFERROR(G52-F52-S52,"N/A")</f>
        <v>N/A</v>
      </c>
      <c r="V52" s="947"/>
      <c r="W52" s="947"/>
      <c r="X52" s="7"/>
      <c r="Y52" s="290"/>
      <c r="Z52"/>
      <c r="AA52"/>
      <c r="AB52"/>
      <c r="AC52"/>
    </row>
    <row r="53" spans="1:29" s="8" customFormat="1" ht="15.75" hidden="1" customHeight="1" outlineLevel="2" thickBot="1" x14ac:dyDescent="0.45">
      <c r="A53"/>
      <c r="B53" s="1771"/>
      <c r="C53" s="3887"/>
      <c r="D53" s="807" t="s">
        <v>1885</v>
      </c>
      <c r="E53" s="809" t="s">
        <v>251</v>
      </c>
      <c r="F53" s="471">
        <f t="shared" ref="F53:F104" si="8">MAX($Q53,$O53,$I53)</f>
        <v>12.602967059728389</v>
      </c>
      <c r="G53" s="810">
        <f t="shared" ref="G53:G84" si="9">IF(T53&lt;0,F53+G52+(-T53),F53+G52)</f>
        <v>12.602967059728389</v>
      </c>
      <c r="H53" s="807" t="s">
        <v>2282</v>
      </c>
      <c r="I53" s="811">
        <v>12.602967059728389</v>
      </c>
      <c r="J53" s="586"/>
      <c r="K53" s="584"/>
      <c r="L53" s="812"/>
      <c r="M53" s="813" t="str">
        <f>IFERROR(INDEX(#REF!,MATCH($K53,#REF!,0),MATCH($L53,#REF!,0)),"N/A")</f>
        <v>N/A</v>
      </c>
      <c r="N53" s="814" t="str">
        <f>IFERROR(VLOOKUP($J53,#REF!,2,FALSE),"N/A")</f>
        <v>N/A</v>
      </c>
      <c r="O53" s="810" t="str">
        <f t="shared" si="7"/>
        <v>N/A</v>
      </c>
      <c r="P53" s="815"/>
      <c r="Q53" s="813" t="str">
        <f>IF($E53="Logistics",VLOOKUP($P53,'Lower Hot Cell Logistics'!$C$4:$D$57,2,FALSE),"N/A")</f>
        <v>N/A</v>
      </c>
      <c r="R53" s="3400"/>
      <c r="S53" s="816" t="str">
        <f>IFERROR(VLOOKUP($R53,'Lower HotCell RecoveryLogistics'!$C$4:$F$110,4,FALSE),"N/A")</f>
        <v>N/A</v>
      </c>
      <c r="T53" s="591" t="str">
        <f t="shared" ref="T53:T84" si="10">IFERROR(G52-S53,"N/A")</f>
        <v>N/A</v>
      </c>
      <c r="V53" s="290"/>
      <c r="W53" s="290"/>
      <c r="X53" s="290"/>
      <c r="Y53" s="290"/>
      <c r="Z53"/>
      <c r="AA53"/>
      <c r="AB53"/>
      <c r="AC53"/>
    </row>
    <row r="54" spans="1:29" s="8" customFormat="1" ht="15.75" hidden="1" customHeight="1" outlineLevel="2" thickBot="1" x14ac:dyDescent="0.45">
      <c r="A54"/>
      <c r="B54" s="1771"/>
      <c r="C54" s="961" t="s">
        <v>2283</v>
      </c>
      <c r="D54" s="963" t="s">
        <v>2041</v>
      </c>
      <c r="E54" s="2298" t="s">
        <v>3</v>
      </c>
      <c r="F54" s="368">
        <f t="shared" si="8"/>
        <v>0.6</v>
      </c>
      <c r="G54" s="363">
        <f t="shared" si="9"/>
        <v>13.202967059728389</v>
      </c>
      <c r="H54" s="611"/>
      <c r="I54" s="616" t="s">
        <v>263</v>
      </c>
      <c r="J54" s="611"/>
      <c r="K54" s="966"/>
      <c r="L54" s="968"/>
      <c r="M54" s="969" t="str">
        <f>IFERROR(INDEX(#REF!,MATCH($K54,#REF!,0),MATCH($L54,#REF!,0)),"N/A")</f>
        <v>N/A</v>
      </c>
      <c r="N54" s="970" t="str">
        <f>IFERROR(VLOOKUP($J54,#REF!,2,FALSE),"N/A")</f>
        <v>N/A</v>
      </c>
      <c r="O54" s="992" t="str">
        <f t="shared" si="7"/>
        <v>N/A</v>
      </c>
      <c r="P54" s="611" t="s">
        <v>2008</v>
      </c>
      <c r="Q54" s="969">
        <f>IF($E54="Logistics",VLOOKUP($P54,'Lower Hot Cell Logistics'!$C$4:$D$57,2,FALSE),"N/A")</f>
        <v>0.6</v>
      </c>
      <c r="R54" s="3574"/>
      <c r="S54" s="2299" t="str">
        <f>IFERROR(VLOOKUP($R54,'Lower HotCell RecoveryLogistics'!$C$4:$F$110,4,FALSE),"N/A")</f>
        <v>N/A</v>
      </c>
      <c r="T54" s="616" t="str">
        <f t="shared" si="10"/>
        <v>N/A</v>
      </c>
      <c r="V54" s="273"/>
      <c r="W54" s="273"/>
      <c r="X54" s="273"/>
      <c r="Y54" s="5"/>
      <c r="AB54"/>
      <c r="AC54"/>
    </row>
    <row r="55" spans="1:29" s="88" customFormat="1" hidden="1" outlineLevel="2" x14ac:dyDescent="0.4">
      <c r="B55" s="1771"/>
      <c r="C55" s="3787" t="s">
        <v>2284</v>
      </c>
      <c r="D55" s="1129" t="s">
        <v>1252</v>
      </c>
      <c r="E55" s="1620" t="s">
        <v>3</v>
      </c>
      <c r="F55" s="1621">
        <f t="shared" si="8"/>
        <v>0.8</v>
      </c>
      <c r="G55" s="1621">
        <f t="shared" si="9"/>
        <v>14.002967059728389</v>
      </c>
      <c r="H55" s="1129"/>
      <c r="I55" s="1575" t="s">
        <v>263</v>
      </c>
      <c r="J55" s="1129"/>
      <c r="K55" s="1619"/>
      <c r="L55" s="1619"/>
      <c r="M55" s="1623" t="str">
        <f>IFERROR(INDEX('Lower Hot Cell Logistics'!$I$13:$O$19,MATCH($K55,'Lower Hot Cell Logistics'!$H$13:$H$19,0),MATCH($L55,'Lower Hot Cell Logistics'!$H$13:$H$19,0)),"N/A")</f>
        <v>N/A</v>
      </c>
      <c r="N55" s="1623" t="str">
        <f>IFERROR(VLOOKUP($J55,'Lower Hot Cell Logistics'!$H$4:$I$9,2,FALSE),"N/A")</f>
        <v>N/A</v>
      </c>
      <c r="O55" s="1575" t="str">
        <f t="shared" si="7"/>
        <v>N/A</v>
      </c>
      <c r="P55" s="1576" t="s">
        <v>1828</v>
      </c>
      <c r="Q55" s="1575">
        <f>IF($E55="Logistics",VLOOKUP($P55,'Lower Hot Cell Logistics'!$C$4:$D$69,2,FALSE),"N/A")</f>
        <v>0.8</v>
      </c>
      <c r="R55" s="3376"/>
      <c r="S55" s="1575" t="str">
        <f>IFERROR(VLOOKUP($R55,'Lower HotCell RecoveryLogistics'!$C$4:$F$110,4,FALSE),"N/A")</f>
        <v>N/A</v>
      </c>
      <c r="T55" s="1130" t="str">
        <f t="shared" si="10"/>
        <v>N/A</v>
      </c>
      <c r="V55" s="2031"/>
      <c r="W55" s="2031"/>
      <c r="X55" s="1466"/>
      <c r="Y55" s="2032"/>
      <c r="Z55" s="623"/>
      <c r="AA55" s="623"/>
    </row>
    <row r="56" spans="1:29" s="88" customFormat="1" hidden="1" outlineLevel="2" x14ac:dyDescent="0.4">
      <c r="B56" s="1771"/>
      <c r="C56" s="3786"/>
      <c r="D56" s="1579" t="s">
        <v>1624</v>
      </c>
      <c r="E56" s="1611" t="s">
        <v>251</v>
      </c>
      <c r="F56" s="626">
        <f t="shared" si="8"/>
        <v>3.83</v>
      </c>
      <c r="G56" s="626">
        <f t="shared" si="9"/>
        <v>17.832967059728389</v>
      </c>
      <c r="H56" s="1579" t="s">
        <v>269</v>
      </c>
      <c r="I56" s="1183">
        <v>3.83</v>
      </c>
      <c r="J56" s="1579"/>
      <c r="K56" s="582"/>
      <c r="L56" s="582"/>
      <c r="M56" s="1478" t="str">
        <f>IFERROR(INDEX('Lower Hot Cell Logistics'!$I$13:$O$19,MATCH($K56,'Lower Hot Cell Logistics'!$H$13:$H$19,0),MATCH($L56,'Lower Hot Cell Logistics'!$H$13:$H$19,0)),"N/A")</f>
        <v>N/A</v>
      </c>
      <c r="N56" s="1478" t="str">
        <f>IFERROR(VLOOKUP($J56,'Lower Hot Cell Logistics'!$H$4:$I$9,2,FALSE),"N/A")</f>
        <v>N/A</v>
      </c>
      <c r="O56" s="1183" t="str">
        <f t="shared" si="7"/>
        <v>N/A</v>
      </c>
      <c r="P56" s="1578"/>
      <c r="Q56" s="1183" t="str">
        <f>IF($E56="Logistics",VLOOKUP($P56,'Lower Hot Cell Logistics'!$C$4:$D$69,2,FALSE),"N/A")</f>
        <v>N/A</v>
      </c>
      <c r="R56" s="3377"/>
      <c r="S56" s="1183" t="str">
        <f>IFERROR(VLOOKUP($R56,'Lower HotCell RecoveryLogistics'!$C$4:$F$110,4,FALSE),"N/A")</f>
        <v>N/A</v>
      </c>
      <c r="T56" s="632" t="str">
        <f t="shared" si="10"/>
        <v>N/A</v>
      </c>
      <c r="V56" s="2031"/>
      <c r="W56" s="2031"/>
      <c r="X56" s="1466"/>
      <c r="Y56" s="2032"/>
      <c r="Z56" s="623"/>
      <c r="AA56" s="623"/>
    </row>
    <row r="57" spans="1:29" s="88" customFormat="1" hidden="1" outlineLevel="2" x14ac:dyDescent="0.4">
      <c r="B57" s="1771"/>
      <c r="C57" s="3786"/>
      <c r="D57" s="1579" t="s">
        <v>1625</v>
      </c>
      <c r="E57" s="1611" t="s">
        <v>251</v>
      </c>
      <c r="F57" s="626">
        <f t="shared" si="8"/>
        <v>3.83</v>
      </c>
      <c r="G57" s="626">
        <f t="shared" si="9"/>
        <v>21.662967059728388</v>
      </c>
      <c r="H57" s="1579" t="s">
        <v>269</v>
      </c>
      <c r="I57" s="1183">
        <v>3.83</v>
      </c>
      <c r="J57" s="1579"/>
      <c r="K57" s="582"/>
      <c r="L57" s="582"/>
      <c r="M57" s="1478" t="str">
        <f>IFERROR(INDEX('Lower Hot Cell Logistics'!$I$13:$O$19,MATCH($K57,'Lower Hot Cell Logistics'!$H$13:$H$19,0),MATCH($L57,'Lower Hot Cell Logistics'!$H$13:$H$19,0)),"N/A")</f>
        <v>N/A</v>
      </c>
      <c r="N57" s="1478" t="str">
        <f>IFERROR(VLOOKUP($J57,'Lower Hot Cell Logistics'!$H$4:$I$9,2,FALSE),"N/A")</f>
        <v>N/A</v>
      </c>
      <c r="O57" s="1183" t="str">
        <f t="shared" si="7"/>
        <v>N/A</v>
      </c>
      <c r="P57" s="1578" t="s">
        <v>2008</v>
      </c>
      <c r="Q57" s="1183" t="str">
        <f>IF($E57="Logistics",VLOOKUP($P57,'Lower Hot Cell Logistics'!$C$4:$D$69,2,FALSE),"N/A")</f>
        <v>N/A</v>
      </c>
      <c r="R57" s="3377"/>
      <c r="S57" s="1183" t="str">
        <f>IFERROR(VLOOKUP($R57,'Lower HotCell RecoveryLogistics'!$C$4:$F$110,4,FALSE),"N/A")</f>
        <v>N/A</v>
      </c>
      <c r="T57" s="632" t="str">
        <f t="shared" si="10"/>
        <v>N/A</v>
      </c>
      <c r="V57" s="2031"/>
      <c r="W57" s="2031"/>
      <c r="X57" s="1466"/>
      <c r="Y57" s="2032"/>
      <c r="Z57" s="623"/>
      <c r="AA57" s="623"/>
    </row>
    <row r="58" spans="1:29" s="88" customFormat="1" hidden="1" outlineLevel="2" x14ac:dyDescent="0.4">
      <c r="B58" s="1771"/>
      <c r="C58" s="3786"/>
      <c r="D58" s="1579" t="s">
        <v>1593</v>
      </c>
      <c r="E58" s="1611" t="s">
        <v>3</v>
      </c>
      <c r="F58" s="626">
        <f t="shared" si="8"/>
        <v>0.53</v>
      </c>
      <c r="G58" s="626">
        <f t="shared" si="9"/>
        <v>22.192967059728389</v>
      </c>
      <c r="H58" s="1579"/>
      <c r="I58" s="1183" t="s">
        <v>263</v>
      </c>
      <c r="J58" s="1579"/>
      <c r="K58" s="582"/>
      <c r="L58" s="582"/>
      <c r="M58" s="1478" t="str">
        <f>IFERROR(INDEX('Lower Hot Cell Logistics'!$I$13:$O$19,MATCH($K58,'Lower Hot Cell Logistics'!$H$13:$H$19,0),MATCH($L58,'Lower Hot Cell Logistics'!$H$13:$H$19,0)),"N/A")</f>
        <v>N/A</v>
      </c>
      <c r="N58" s="1478" t="str">
        <f>IFERROR(VLOOKUP($J58,'Lower Hot Cell Logistics'!$H$4:$I$9,2,FALSE),"N/A")</f>
        <v>N/A</v>
      </c>
      <c r="O58" s="1183" t="str">
        <f t="shared" si="7"/>
        <v>N/A</v>
      </c>
      <c r="P58" s="1578" t="s">
        <v>1558</v>
      </c>
      <c r="Q58" s="1183">
        <f>IF($E58="Logistics",VLOOKUP($P58,'Lower Hot Cell Logistics'!$C$4:$D$69,2,FALSE),"N/A")</f>
        <v>0.53</v>
      </c>
      <c r="R58" s="3377"/>
      <c r="S58" s="1183" t="str">
        <f>IFERROR(VLOOKUP($R58,'Lower HotCell RecoveryLogistics'!$C$4:$F$110,4,FALSE),"N/A")</f>
        <v>N/A</v>
      </c>
      <c r="T58" s="632" t="str">
        <f t="shared" si="10"/>
        <v>N/A</v>
      </c>
      <c r="V58" s="2031"/>
      <c r="W58" s="2031"/>
      <c r="X58" s="1466"/>
      <c r="Y58" s="2032"/>
      <c r="Z58" s="623"/>
      <c r="AA58" s="623"/>
    </row>
    <row r="59" spans="1:29" s="88" customFormat="1" hidden="1" outlineLevel="2" x14ac:dyDescent="0.4">
      <c r="B59" s="1771"/>
      <c r="C59" s="3786"/>
      <c r="D59" s="1579" t="s">
        <v>2043</v>
      </c>
      <c r="E59" s="1611" t="s">
        <v>251</v>
      </c>
      <c r="F59" s="626">
        <f t="shared" si="8"/>
        <v>12.602967059728389</v>
      </c>
      <c r="G59" s="626">
        <f t="shared" si="9"/>
        <v>34.795934119456774</v>
      </c>
      <c r="H59" s="1579" t="s">
        <v>441</v>
      </c>
      <c r="I59" s="1183">
        <v>12.602967059728389</v>
      </c>
      <c r="J59" s="1579"/>
      <c r="K59" s="582"/>
      <c r="L59" s="582"/>
      <c r="M59" s="1478" t="str">
        <f>IFERROR(INDEX('Lower Hot Cell Logistics'!$I$13:$O$19,MATCH($K59,'Lower Hot Cell Logistics'!$H$13:$H$19,0),MATCH($L59,'Lower Hot Cell Logistics'!$H$13:$H$19,0)),"N/A")</f>
        <v>N/A</v>
      </c>
      <c r="N59" s="1478" t="str">
        <f>IFERROR(VLOOKUP($J59,'Lower Hot Cell Logistics'!$H$4:$I$9,2,FALSE),"N/A")</f>
        <v>N/A</v>
      </c>
      <c r="O59" s="1183" t="str">
        <f t="shared" si="7"/>
        <v>N/A</v>
      </c>
      <c r="P59" s="1578"/>
      <c r="Q59" s="1183" t="str">
        <f>IF($E59="Logistics",VLOOKUP($P59,'Lower Hot Cell Logistics'!$C$4:$D$69,2,FALSE),"N/A")</f>
        <v>N/A</v>
      </c>
      <c r="R59" s="3377"/>
      <c r="S59" s="1183" t="str">
        <f>IFERROR(VLOOKUP($R59,'Lower HotCell RecoveryLogistics'!$C$4:$F$110,4,FALSE),"N/A")</f>
        <v>N/A</v>
      </c>
      <c r="T59" s="632" t="str">
        <f t="shared" si="10"/>
        <v>N/A</v>
      </c>
      <c r="V59" s="2031"/>
      <c r="W59" s="2031"/>
      <c r="X59" s="1466"/>
      <c r="Y59" s="2032"/>
      <c r="Z59" s="623"/>
      <c r="AA59" s="623"/>
    </row>
    <row r="60" spans="1:29" s="88" customFormat="1" hidden="1" outlineLevel="2" x14ac:dyDescent="0.4">
      <c r="B60" s="1771"/>
      <c r="C60" s="3786"/>
      <c r="D60" s="1579" t="s">
        <v>2044</v>
      </c>
      <c r="E60" s="1611" t="s">
        <v>3</v>
      </c>
      <c r="F60" s="626">
        <f t="shared" si="8"/>
        <v>0.6</v>
      </c>
      <c r="G60" s="626">
        <f t="shared" si="9"/>
        <v>35.395934119456776</v>
      </c>
      <c r="H60" s="1579"/>
      <c r="I60" s="1183" t="s">
        <v>263</v>
      </c>
      <c r="J60" s="1579"/>
      <c r="K60" s="582"/>
      <c r="L60" s="582"/>
      <c r="M60" s="1478" t="str">
        <f>IFERROR(INDEX('Lower Hot Cell Logistics'!$I$13:$O$19,MATCH($K60,'Lower Hot Cell Logistics'!$H$13:$H$19,0),MATCH($L60,'Lower Hot Cell Logistics'!$H$13:$H$19,0)),"N/A")</f>
        <v>N/A</v>
      </c>
      <c r="N60" s="1478" t="str">
        <f>IFERROR(VLOOKUP($J60,'Lower Hot Cell Logistics'!$H$4:$I$9,2,FALSE),"N/A")</f>
        <v>N/A</v>
      </c>
      <c r="O60" s="1183" t="str">
        <f t="shared" si="7"/>
        <v>N/A</v>
      </c>
      <c r="P60" s="1578" t="s">
        <v>2008</v>
      </c>
      <c r="Q60" s="1183">
        <f>IF($E60="Logistics",VLOOKUP($P60,'Lower Hot Cell Logistics'!$C$4:$D$69,2,FALSE),"N/A")</f>
        <v>0.6</v>
      </c>
      <c r="R60" s="3377" t="s">
        <v>2285</v>
      </c>
      <c r="S60" s="1183">
        <f>IFERROR(VLOOKUP($R60,'Lower HotCell RecoveryLogistics'!$C$4:$F$110,4,FALSE),"N/A")</f>
        <v>1.8059259259259259</v>
      </c>
      <c r="T60" s="632">
        <f t="shared" si="10"/>
        <v>32.990008193530848</v>
      </c>
      <c r="V60" s="2031"/>
      <c r="W60" s="2031"/>
      <c r="X60" s="1466"/>
      <c r="Y60" s="2032"/>
      <c r="Z60" s="623"/>
      <c r="AA60" s="623"/>
    </row>
    <row r="61" spans="1:29" s="88" customFormat="1" hidden="1" outlineLevel="2" x14ac:dyDescent="0.4">
      <c r="B61" s="1771"/>
      <c r="C61" s="3786"/>
      <c r="D61" s="1579" t="s">
        <v>1596</v>
      </c>
      <c r="E61" s="1611" t="s">
        <v>3</v>
      </c>
      <c r="F61" s="626">
        <f t="shared" si="8"/>
        <v>0.53</v>
      </c>
      <c r="G61" s="626">
        <f t="shared" si="9"/>
        <v>35.925934119456777</v>
      </c>
      <c r="H61" s="1579"/>
      <c r="I61" s="1183" t="s">
        <v>263</v>
      </c>
      <c r="J61" s="1579"/>
      <c r="K61" s="582"/>
      <c r="L61" s="582"/>
      <c r="M61" s="1478" t="str">
        <f>IFERROR(INDEX('Lower Hot Cell Logistics'!$I$13:$O$19,MATCH($K61,'Lower Hot Cell Logistics'!$H$13:$H$19,0),MATCH($L61,'Lower Hot Cell Logistics'!$H$13:$H$19,0)),"N/A")</f>
        <v>N/A</v>
      </c>
      <c r="N61" s="1478" t="str">
        <f>IFERROR(VLOOKUP($J61,'Lower Hot Cell Logistics'!$H$4:$I$9,2,FALSE),"N/A")</f>
        <v>N/A</v>
      </c>
      <c r="O61" s="1183" t="str">
        <f t="shared" si="7"/>
        <v>N/A</v>
      </c>
      <c r="P61" s="1578" t="s">
        <v>1558</v>
      </c>
      <c r="Q61" s="1183">
        <f>IF($E61="Logistics",VLOOKUP($P61,'Lower Hot Cell Logistics'!$C$4:$D$69,2,FALSE),"N/A")</f>
        <v>0.53</v>
      </c>
      <c r="R61" s="3377"/>
      <c r="S61" s="1183" t="str">
        <f>IFERROR(VLOOKUP($R61,'Lower HotCell RecoveryLogistics'!$C$4:$F$110,4,FALSE),"N/A")</f>
        <v>N/A</v>
      </c>
      <c r="T61" s="632" t="str">
        <f t="shared" si="10"/>
        <v>N/A</v>
      </c>
      <c r="V61" s="2031"/>
      <c r="W61" s="2031"/>
      <c r="X61" s="1466"/>
      <c r="Y61" s="2032"/>
      <c r="Z61" s="623"/>
      <c r="AA61" s="623"/>
    </row>
    <row r="62" spans="1:29" s="88" customFormat="1" hidden="1" outlineLevel="2" x14ac:dyDescent="0.4">
      <c r="B62" s="1771"/>
      <c r="C62" s="3786"/>
      <c r="D62" s="1579" t="s">
        <v>2046</v>
      </c>
      <c r="E62" s="1611" t="s">
        <v>251</v>
      </c>
      <c r="F62" s="626">
        <f t="shared" si="8"/>
        <v>12.602967059728389</v>
      </c>
      <c r="G62" s="626">
        <f t="shared" si="9"/>
        <v>48.528901179185169</v>
      </c>
      <c r="H62" s="1579" t="s">
        <v>441</v>
      </c>
      <c r="I62" s="1183">
        <v>12.602967059728389</v>
      </c>
      <c r="J62" s="1579"/>
      <c r="K62" s="582"/>
      <c r="L62" s="582"/>
      <c r="M62" s="1478" t="str">
        <f>IFERROR(INDEX('Lower Hot Cell Logistics'!$I$13:$O$19,MATCH($K62,'Lower Hot Cell Logistics'!$H$13:$H$19,0),MATCH($L62,'Lower Hot Cell Logistics'!$H$13:$H$19,0)),"N/A")</f>
        <v>N/A</v>
      </c>
      <c r="N62" s="1478" t="str">
        <f>IFERROR(VLOOKUP($J62,'Lower Hot Cell Logistics'!$H$4:$I$9,2,FALSE),"N/A")</f>
        <v>N/A</v>
      </c>
      <c r="O62" s="1183" t="str">
        <f t="shared" si="7"/>
        <v>N/A</v>
      </c>
      <c r="P62" s="1578"/>
      <c r="Q62" s="1183" t="str">
        <f>IF($E62="Logistics",VLOOKUP($P62,'Lower Hot Cell Logistics'!$C$4:$D$69,2,FALSE),"N/A")</f>
        <v>N/A</v>
      </c>
      <c r="R62" s="3377"/>
      <c r="S62" s="1183" t="str">
        <f>IFERROR(VLOOKUP($R62,'Lower HotCell RecoveryLogistics'!$C$4:$F$110,4,FALSE),"N/A")</f>
        <v>N/A</v>
      </c>
      <c r="T62" s="632" t="str">
        <f t="shared" si="10"/>
        <v>N/A</v>
      </c>
      <c r="V62" s="2031"/>
      <c r="W62" s="2031"/>
      <c r="X62" s="1466"/>
      <c r="Y62" s="2032"/>
      <c r="Z62" s="623"/>
      <c r="AA62" s="623"/>
    </row>
    <row r="63" spans="1:29" s="88" customFormat="1" ht="15" hidden="1" outlineLevel="2" thickBot="1" x14ac:dyDescent="0.45">
      <c r="B63" s="1771"/>
      <c r="C63" s="3788"/>
      <c r="D63" s="2208" t="s">
        <v>2047</v>
      </c>
      <c r="E63" s="1581" t="s">
        <v>3</v>
      </c>
      <c r="F63" s="585">
        <f t="shared" si="8"/>
        <v>0.6</v>
      </c>
      <c r="G63" s="585">
        <f t="shared" si="9"/>
        <v>49.128901179185171</v>
      </c>
      <c r="H63" s="1136"/>
      <c r="I63" s="1179" t="s">
        <v>263</v>
      </c>
      <c r="J63" s="1136"/>
      <c r="K63" s="584"/>
      <c r="L63" s="584"/>
      <c r="M63" s="814" t="str">
        <f>IFERROR(INDEX('Lower Hot Cell Logistics'!$I$13:$O$19,MATCH($K63,'Lower Hot Cell Logistics'!$H$13:$H$19,0),MATCH($L63,'Lower Hot Cell Logistics'!$H$13:$H$19,0)),"N/A")</f>
        <v>N/A</v>
      </c>
      <c r="N63" s="814" t="str">
        <f>IFERROR(VLOOKUP($J63,'Lower Hot Cell Logistics'!$H$4:$I$9,2,FALSE),"N/A")</f>
        <v>N/A</v>
      </c>
      <c r="O63" s="1179" t="str">
        <f t="shared" si="7"/>
        <v>N/A</v>
      </c>
      <c r="P63" s="1582" t="s">
        <v>2008</v>
      </c>
      <c r="Q63" s="1179">
        <f>IF($E63="Logistics",VLOOKUP($P63,'Lower Hot Cell Logistics'!$C$4:$D$69,2,FALSE),"N/A")</f>
        <v>0.6</v>
      </c>
      <c r="R63" s="3378" t="s">
        <v>2048</v>
      </c>
      <c r="S63" s="1179">
        <f>IFERROR(VLOOKUP($R63,'Lower HotCell RecoveryLogistics'!$C$4:$F$110,4,FALSE),"N/A")</f>
        <v>15.008892985654315</v>
      </c>
      <c r="T63" s="591">
        <f t="shared" si="10"/>
        <v>33.520008193530856</v>
      </c>
      <c r="V63" s="2031"/>
      <c r="W63" s="2031"/>
      <c r="X63" s="1466"/>
      <c r="Y63" s="2032"/>
      <c r="Z63" s="623"/>
      <c r="AA63" s="623"/>
    </row>
    <row r="64" spans="1:29" s="88" customFormat="1" hidden="1" outlineLevel="2" x14ac:dyDescent="0.4">
      <c r="B64" s="1771"/>
      <c r="C64" s="3814" t="s">
        <v>2049</v>
      </c>
      <c r="D64" s="1906" t="s">
        <v>1247</v>
      </c>
      <c r="E64" s="1907" t="s">
        <v>3</v>
      </c>
      <c r="F64" s="1739">
        <f t="shared" si="8"/>
        <v>0.8</v>
      </c>
      <c r="G64" s="1739">
        <f t="shared" si="9"/>
        <v>49.928901179185168</v>
      </c>
      <c r="H64" s="1906"/>
      <c r="I64" s="1917" t="s">
        <v>263</v>
      </c>
      <c r="J64" s="1906"/>
      <c r="K64" s="1911"/>
      <c r="L64" s="1911"/>
      <c r="M64" s="1912" t="str">
        <f>IFERROR(INDEX('Lower Hot Cell Logistics'!$I$13:$O$19,MATCH($K64,'Lower Hot Cell Logistics'!$H$13:$H$19,0),MATCH($L64,'Lower Hot Cell Logistics'!$H$13:$H$19,0)),"N/A")</f>
        <v>N/A</v>
      </c>
      <c r="N64" s="1912" t="str">
        <f>IFERROR(VLOOKUP($J64,'Lower Hot Cell Logistics'!$H$4:$I$9,2,FALSE),"N/A")</f>
        <v>N/A</v>
      </c>
      <c r="O64" s="1917" t="str">
        <f t="shared" si="7"/>
        <v>N/A</v>
      </c>
      <c r="P64" s="1916" t="s">
        <v>1828</v>
      </c>
      <c r="Q64" s="1917">
        <f>IF($E64="Logistics",VLOOKUP($P64,'Lower Hot Cell Logistics'!$C$4:$D$69,2,FALSE),"N/A")</f>
        <v>0.8</v>
      </c>
      <c r="R64" s="3381"/>
      <c r="S64" s="1917" t="str">
        <f>IFERROR(VLOOKUP($R64,'Lower HotCell RecoveryLogistics'!$C$4:$F$110,4,FALSE),"N/A")</f>
        <v>N/A</v>
      </c>
      <c r="T64" s="632" t="str">
        <f t="shared" si="10"/>
        <v>N/A</v>
      </c>
      <c r="V64" s="2031"/>
      <c r="W64" s="2031"/>
      <c r="X64" s="1466"/>
      <c r="Y64" s="2032"/>
      <c r="Z64" s="623"/>
      <c r="AA64" s="623"/>
    </row>
    <row r="65" spans="2:27" s="88" customFormat="1" hidden="1" outlineLevel="2" x14ac:dyDescent="0.4">
      <c r="B65" s="1771"/>
      <c r="C65" s="3815"/>
      <c r="D65" s="1895" t="s">
        <v>2050</v>
      </c>
      <c r="E65" s="1896" t="s">
        <v>251</v>
      </c>
      <c r="F65" s="1347">
        <f t="shared" si="8"/>
        <v>12.602967059728389</v>
      </c>
      <c r="G65" s="1347">
        <f t="shared" si="9"/>
        <v>62.53186823891356</v>
      </c>
      <c r="H65" s="1895" t="s">
        <v>441</v>
      </c>
      <c r="I65" s="1903">
        <v>12.602967059728389</v>
      </c>
      <c r="J65" s="1895"/>
      <c r="K65" s="1897"/>
      <c r="L65" s="1897"/>
      <c r="M65" s="1898" t="str">
        <f>IFERROR(INDEX('Lower Hot Cell Logistics'!$I$13:$O$19,MATCH($K65,'Lower Hot Cell Logistics'!$H$13:$H$19,0),MATCH($L65,'Lower Hot Cell Logistics'!$H$13:$H$19,0)),"N/A")</f>
        <v>N/A</v>
      </c>
      <c r="N65" s="1898" t="str">
        <f>IFERROR(VLOOKUP($J65,'Lower Hot Cell Logistics'!$H$4:$I$9,2,FALSE),"N/A")</f>
        <v>N/A</v>
      </c>
      <c r="O65" s="1903" t="str">
        <f t="shared" si="7"/>
        <v>N/A</v>
      </c>
      <c r="P65" s="1902"/>
      <c r="Q65" s="1903" t="str">
        <f>IF($E65="Logistics",VLOOKUP($P65,'Lower Hot Cell Logistics'!$C$4:$D$69,2,FALSE),"N/A")</f>
        <v>N/A</v>
      </c>
      <c r="R65" s="3380"/>
      <c r="S65" s="1903" t="str">
        <f>IFERROR(VLOOKUP($R65,'Lower HotCell RecoveryLogistics'!$C$4:$F$110,4,FALSE),"N/A")</f>
        <v>N/A</v>
      </c>
      <c r="T65" s="632" t="str">
        <f t="shared" si="10"/>
        <v>N/A</v>
      </c>
      <c r="V65" s="2031"/>
      <c r="W65" s="2031"/>
      <c r="X65" s="1466"/>
      <c r="Y65" s="2032"/>
      <c r="Z65" s="623"/>
      <c r="AA65" s="623"/>
    </row>
    <row r="66" spans="2:27" s="88" customFormat="1" hidden="1" outlineLevel="2" x14ac:dyDescent="0.4">
      <c r="B66" s="1771"/>
      <c r="C66" s="3815"/>
      <c r="D66" s="1895" t="s">
        <v>2051</v>
      </c>
      <c r="E66" s="1896" t="s">
        <v>3</v>
      </c>
      <c r="F66" s="1347">
        <f t="shared" si="8"/>
        <v>0.6</v>
      </c>
      <c r="G66" s="1347">
        <f t="shared" si="9"/>
        <v>63.131868238913562</v>
      </c>
      <c r="H66" s="1895"/>
      <c r="I66" s="1903" t="s">
        <v>263</v>
      </c>
      <c r="J66" s="1895"/>
      <c r="K66" s="1897"/>
      <c r="L66" s="1897"/>
      <c r="M66" s="1898" t="str">
        <f>IFERROR(INDEX('Lower Hot Cell Logistics'!$I$13:$O$19,MATCH($K66,'Lower Hot Cell Logistics'!$H$13:$H$19,0),MATCH($L66,'Lower Hot Cell Logistics'!$H$13:$H$19,0)),"N/A")</f>
        <v>N/A</v>
      </c>
      <c r="N66" s="1898" t="str">
        <f>IFERROR(VLOOKUP($J66,'Lower Hot Cell Logistics'!$H$4:$I$9,2,FALSE),"N/A")</f>
        <v>N/A</v>
      </c>
      <c r="O66" s="1903" t="str">
        <f t="shared" si="7"/>
        <v>N/A</v>
      </c>
      <c r="P66" s="1902" t="s">
        <v>2008</v>
      </c>
      <c r="Q66" s="1903">
        <f>IF($E66="Logistics",VLOOKUP($P66,'Lower Hot Cell Logistics'!$C$4:$D$69,2,FALSE),"N/A")</f>
        <v>0.6</v>
      </c>
      <c r="R66" s="3380" t="s">
        <v>2052</v>
      </c>
      <c r="S66" s="1903">
        <f>IFERROR(VLOOKUP($R66,'Lower HotCell RecoveryLogistics'!$C$4:$F$110,4,FALSE),"N/A")</f>
        <v>37.201860045382702</v>
      </c>
      <c r="T66" s="632">
        <f t="shared" si="10"/>
        <v>25.330008193530858</v>
      </c>
      <c r="V66" s="2031"/>
      <c r="W66" s="2031"/>
      <c r="X66" s="1466"/>
      <c r="Y66" s="2032"/>
      <c r="Z66" s="623"/>
      <c r="AA66" s="623"/>
    </row>
    <row r="67" spans="2:27" s="88" customFormat="1" hidden="1" outlineLevel="2" x14ac:dyDescent="0.4">
      <c r="B67" s="1771"/>
      <c r="C67" s="3815"/>
      <c r="D67" s="1895" t="s">
        <v>1593</v>
      </c>
      <c r="E67" s="1896" t="s">
        <v>3</v>
      </c>
      <c r="F67" s="1347">
        <f t="shared" si="8"/>
        <v>0.53</v>
      </c>
      <c r="G67" s="1347">
        <f t="shared" si="9"/>
        <v>63.661868238913563</v>
      </c>
      <c r="H67" s="1895"/>
      <c r="I67" s="1903" t="s">
        <v>263</v>
      </c>
      <c r="J67" s="1895"/>
      <c r="K67" s="1897"/>
      <c r="L67" s="1897"/>
      <c r="M67" s="1898" t="str">
        <f>IFERROR(INDEX('Lower Hot Cell Logistics'!$I$13:$O$19,MATCH($K67,'Lower Hot Cell Logistics'!$H$13:$H$19,0),MATCH($L67,'Lower Hot Cell Logistics'!$H$13:$H$19,0)),"N/A")</f>
        <v>N/A</v>
      </c>
      <c r="N67" s="1898" t="str">
        <f>IFERROR(VLOOKUP($J67,'Lower Hot Cell Logistics'!$H$4:$I$9,2,FALSE),"N/A")</f>
        <v>N/A</v>
      </c>
      <c r="O67" s="1903" t="str">
        <f t="shared" si="7"/>
        <v>N/A</v>
      </c>
      <c r="P67" s="1902" t="s">
        <v>1558</v>
      </c>
      <c r="Q67" s="1903">
        <f>IF($E67="Logistics",VLOOKUP($P67,'Lower Hot Cell Logistics'!$C$4:$D$69,2,FALSE),"N/A")</f>
        <v>0.53</v>
      </c>
      <c r="R67" s="3380"/>
      <c r="S67" s="1903" t="str">
        <f>IFERROR(VLOOKUP($R67,'Lower HotCell RecoveryLogistics'!$C$4:$F$110,4,FALSE),"N/A")</f>
        <v>N/A</v>
      </c>
      <c r="T67" s="632" t="str">
        <f t="shared" si="10"/>
        <v>N/A</v>
      </c>
      <c r="V67" s="2031"/>
      <c r="W67" s="2031"/>
      <c r="X67" s="1466"/>
      <c r="Y67" s="2032"/>
      <c r="Z67" s="623"/>
      <c r="AA67" s="623"/>
    </row>
    <row r="68" spans="2:27" s="88" customFormat="1" hidden="1" outlineLevel="2" x14ac:dyDescent="0.4">
      <c r="B68" s="1771"/>
      <c r="C68" s="3815"/>
      <c r="D68" s="1895" t="s">
        <v>2053</v>
      </c>
      <c r="E68" s="1896" t="s">
        <v>251</v>
      </c>
      <c r="F68" s="1347">
        <f t="shared" si="8"/>
        <v>12.602967059728389</v>
      </c>
      <c r="G68" s="1347">
        <f t="shared" si="9"/>
        <v>76.264835298641955</v>
      </c>
      <c r="H68" s="1895" t="s">
        <v>441</v>
      </c>
      <c r="I68" s="1903">
        <v>12.602967059728389</v>
      </c>
      <c r="J68" s="1895"/>
      <c r="K68" s="1897"/>
      <c r="L68" s="1897"/>
      <c r="M68" s="1898" t="str">
        <f>IFERROR(INDEX('Lower Hot Cell Logistics'!$I$13:$O$19,MATCH($K68,'Lower Hot Cell Logistics'!$H$13:$H$19,0),MATCH($L68,'Lower Hot Cell Logistics'!$H$13:$H$19,0)),"N/A")</f>
        <v>N/A</v>
      </c>
      <c r="N68" s="1898" t="str">
        <f>IFERROR(VLOOKUP($J68,'Lower Hot Cell Logistics'!$H$4:$I$9,2,FALSE),"N/A")</f>
        <v>N/A</v>
      </c>
      <c r="O68" s="1903" t="str">
        <f t="shared" si="7"/>
        <v>N/A</v>
      </c>
      <c r="P68" s="1902"/>
      <c r="Q68" s="1903" t="str">
        <f>IF($E68="Logistics",VLOOKUP($P68,'Lower Hot Cell Logistics'!$C$4:$D$69,2,FALSE),"N/A")</f>
        <v>N/A</v>
      </c>
      <c r="R68" s="3380"/>
      <c r="S68" s="1903" t="str">
        <f>IFERROR(VLOOKUP($R68,'Lower HotCell RecoveryLogistics'!$C$4:$F$110,4,FALSE),"N/A")</f>
        <v>N/A</v>
      </c>
      <c r="T68" s="632" t="str">
        <f t="shared" si="10"/>
        <v>N/A</v>
      </c>
      <c r="V68" s="2031"/>
      <c r="W68" s="2031"/>
      <c r="X68" s="1466"/>
      <c r="Y68" s="2032"/>
      <c r="Z68" s="623"/>
      <c r="AA68" s="623"/>
    </row>
    <row r="69" spans="2:27" s="88" customFormat="1" hidden="1" outlineLevel="2" x14ac:dyDescent="0.4">
      <c r="B69" s="1771"/>
      <c r="C69" s="3815"/>
      <c r="D69" s="1895" t="s">
        <v>2054</v>
      </c>
      <c r="E69" s="1896" t="s">
        <v>3</v>
      </c>
      <c r="F69" s="1347">
        <f t="shared" si="8"/>
        <v>0.6</v>
      </c>
      <c r="G69" s="1347">
        <f t="shared" si="9"/>
        <v>76.86483529864195</v>
      </c>
      <c r="H69" s="1895"/>
      <c r="I69" s="1903" t="s">
        <v>263</v>
      </c>
      <c r="J69" s="1895"/>
      <c r="K69" s="1897"/>
      <c r="L69" s="1897"/>
      <c r="M69" s="1898" t="str">
        <f>IFERROR(INDEX('Lower Hot Cell Logistics'!$I$13:$O$19,MATCH($K69,'Lower Hot Cell Logistics'!$H$13:$H$19,0),MATCH($L69,'Lower Hot Cell Logistics'!$H$13:$H$19,0)),"N/A")</f>
        <v>N/A</v>
      </c>
      <c r="N69" s="1898" t="str">
        <f>IFERROR(VLOOKUP($J69,'Lower Hot Cell Logistics'!$H$4:$I$9,2,FALSE),"N/A")</f>
        <v>N/A</v>
      </c>
      <c r="O69" s="1903" t="str">
        <f t="shared" si="7"/>
        <v>N/A</v>
      </c>
      <c r="P69" s="1902" t="s">
        <v>2008</v>
      </c>
      <c r="Q69" s="1903">
        <f>IF($E69="Logistics",VLOOKUP($P69,'Lower Hot Cell Logistics'!$C$4:$D$69,2,FALSE),"N/A")</f>
        <v>0.6</v>
      </c>
      <c r="R69" s="3380" t="s">
        <v>2055</v>
      </c>
      <c r="S69" s="1903">
        <f>IFERROR(VLOOKUP($R69,'Lower HotCell RecoveryLogistics'!$C$4:$F$110,4,FALSE),"N/A")</f>
        <v>50.934827105111097</v>
      </c>
      <c r="T69" s="632">
        <f t="shared" si="10"/>
        <v>25.330008193530858</v>
      </c>
      <c r="V69" s="2031"/>
      <c r="W69" s="2031"/>
      <c r="X69" s="1466"/>
      <c r="Y69" s="2032"/>
      <c r="Z69" s="623"/>
      <c r="AA69" s="623"/>
    </row>
    <row r="70" spans="2:27" s="88" customFormat="1" ht="15" hidden="1" outlineLevel="2" thickBot="1" x14ac:dyDescent="0.45">
      <c r="B70" s="1771"/>
      <c r="C70" s="3816"/>
      <c r="D70" s="1869" t="s">
        <v>1599</v>
      </c>
      <c r="E70" s="1918" t="s">
        <v>3</v>
      </c>
      <c r="F70" s="1295">
        <f t="shared" si="8"/>
        <v>0.6</v>
      </c>
      <c r="G70" s="1295">
        <f t="shared" si="9"/>
        <v>77.464835298641944</v>
      </c>
      <c r="H70" s="1869"/>
      <c r="I70" s="1922" t="s">
        <v>263</v>
      </c>
      <c r="J70" s="1869"/>
      <c r="K70" s="837"/>
      <c r="L70" s="837"/>
      <c r="M70" s="842" t="str">
        <f>IFERROR(INDEX('Lower Hot Cell Logistics'!$I$13:$O$19,MATCH($K70,'Lower Hot Cell Logistics'!$H$13:$H$19,0),MATCH($L70,'Lower Hot Cell Logistics'!$H$13:$H$19,0)),"N/A")</f>
        <v>N/A</v>
      </c>
      <c r="N70" s="842" t="str">
        <f>IFERROR(VLOOKUP($J70,'Lower Hot Cell Logistics'!$H$4:$I$9,2,FALSE),"N/A")</f>
        <v>N/A</v>
      </c>
      <c r="O70" s="1922" t="str">
        <f t="shared" si="7"/>
        <v>N/A</v>
      </c>
      <c r="P70" s="1921" t="s">
        <v>2008</v>
      </c>
      <c r="Q70" s="1922">
        <f>IF($E70="Logistics",VLOOKUP($P70,'Lower Hot Cell Logistics'!$C$4:$D$69,2,FALSE),"N/A")</f>
        <v>0.6</v>
      </c>
      <c r="R70" s="3382"/>
      <c r="S70" s="1922" t="str">
        <f>IFERROR(VLOOKUP($R70,'Lower HotCell RecoveryLogistics'!$C$4:$F$110,4,FALSE),"N/A")</f>
        <v>N/A</v>
      </c>
      <c r="T70" s="632" t="str">
        <f t="shared" si="10"/>
        <v>N/A</v>
      </c>
      <c r="V70" s="2031"/>
      <c r="W70" s="2031"/>
      <c r="X70" s="1466"/>
      <c r="Y70" s="2032"/>
      <c r="Z70" s="623"/>
      <c r="AA70" s="623"/>
    </row>
    <row r="71" spans="2:27" s="88" customFormat="1" hidden="1" outlineLevel="2" x14ac:dyDescent="0.4">
      <c r="B71" s="1771"/>
      <c r="C71" s="3787" t="s">
        <v>2056</v>
      </c>
      <c r="D71" s="1129" t="s">
        <v>2057</v>
      </c>
      <c r="E71" s="1620" t="s">
        <v>251</v>
      </c>
      <c r="F71" s="1621">
        <f t="shared" si="8"/>
        <v>7.5229670597283897</v>
      </c>
      <c r="G71" s="1621">
        <f t="shared" si="9"/>
        <v>84.987802358370331</v>
      </c>
      <c r="H71" s="1129" t="s">
        <v>442</v>
      </c>
      <c r="I71" s="1575">
        <v>7.5229670597283897</v>
      </c>
      <c r="J71" s="1129"/>
      <c r="K71" s="1619"/>
      <c r="L71" s="1619"/>
      <c r="M71" s="1623" t="str">
        <f>IFERROR(INDEX('Lower Hot Cell Logistics'!$I$13:$O$19,MATCH($K71,'Lower Hot Cell Logistics'!$H$13:$H$19,0),MATCH($L71,'Lower Hot Cell Logistics'!$H$13:$H$19,0)),"N/A")</f>
        <v>N/A</v>
      </c>
      <c r="N71" s="1623" t="str">
        <f>IFERROR(VLOOKUP($J71,'Lower Hot Cell Logistics'!$H$4:$I$9,2,FALSE),"N/A")</f>
        <v>N/A</v>
      </c>
      <c r="O71" s="1575" t="str">
        <f t="shared" si="7"/>
        <v>N/A</v>
      </c>
      <c r="P71" s="1576"/>
      <c r="Q71" s="1575" t="str">
        <f>IF($E71="Logistics",VLOOKUP($P71,'Lower Hot Cell Logistics'!$C$4:$D$69,2,FALSE),"N/A")</f>
        <v>N/A</v>
      </c>
      <c r="R71" s="3376"/>
      <c r="S71" s="1575" t="str">
        <f>IFERROR(VLOOKUP($R71,'Lower HotCell RecoveryLogistics'!$C$4:$F$110,4,FALSE),"N/A")</f>
        <v>N/A</v>
      </c>
      <c r="T71" s="1130" t="str">
        <f t="shared" si="10"/>
        <v>N/A</v>
      </c>
      <c r="V71" s="2031"/>
      <c r="W71" s="2031"/>
      <c r="X71" s="1466"/>
      <c r="Y71" s="2032"/>
      <c r="Z71" s="623"/>
      <c r="AA71" s="623"/>
    </row>
    <row r="72" spans="2:27" s="88" customFormat="1" hidden="1" outlineLevel="2" x14ac:dyDescent="0.4">
      <c r="B72" s="1771"/>
      <c r="C72" s="3786"/>
      <c r="D72" s="1579" t="s">
        <v>2058</v>
      </c>
      <c r="E72" s="1611" t="s">
        <v>3</v>
      </c>
      <c r="F72" s="626">
        <f t="shared" si="8"/>
        <v>0.6</v>
      </c>
      <c r="G72" s="626">
        <f t="shared" si="9"/>
        <v>85.587802358370325</v>
      </c>
      <c r="H72" s="1579"/>
      <c r="I72" s="1183" t="s">
        <v>263</v>
      </c>
      <c r="J72" s="1579"/>
      <c r="K72" s="582"/>
      <c r="L72" s="582"/>
      <c r="M72" s="1478" t="str">
        <f>IFERROR(INDEX('Lower Hot Cell Logistics'!$I$13:$O$19,MATCH($K72,'Lower Hot Cell Logistics'!$H$13:$H$19,0),MATCH($L72,'Lower Hot Cell Logistics'!$H$13:$H$19,0)),"N/A")</f>
        <v>N/A</v>
      </c>
      <c r="N72" s="1478" t="str">
        <f>IFERROR(VLOOKUP($J72,'Lower Hot Cell Logistics'!$H$4:$I$9,2,FALSE),"N/A")</f>
        <v>N/A</v>
      </c>
      <c r="O72" s="1183" t="str">
        <f t="shared" si="7"/>
        <v>N/A</v>
      </c>
      <c r="P72" s="1578" t="s">
        <v>2008</v>
      </c>
      <c r="Q72" s="1183">
        <f>IF($E72="Logistics",VLOOKUP($P72,'Lower Hot Cell Logistics'!$C$4:$D$69,2,FALSE),"N/A")</f>
        <v>0.6</v>
      </c>
      <c r="R72" s="3377" t="s">
        <v>2059</v>
      </c>
      <c r="S72" s="1183">
        <f>IFERROR(VLOOKUP($R72,'Lower HotCell RecoveryLogistics'!$C$4:$F$110,4,FALSE),"N/A")</f>
        <v>64.937794164839488</v>
      </c>
      <c r="T72" s="632">
        <f t="shared" si="10"/>
        <v>20.050008193530843</v>
      </c>
      <c r="V72" s="2031"/>
      <c r="W72" s="2031"/>
      <c r="X72" s="1466"/>
      <c r="Y72" s="2032"/>
      <c r="Z72" s="623"/>
      <c r="AA72" s="623"/>
    </row>
    <row r="73" spans="2:27" s="88" customFormat="1" hidden="1" outlineLevel="2" x14ac:dyDescent="0.4">
      <c r="B73" s="1771"/>
      <c r="C73" s="3786"/>
      <c r="D73" s="1579" t="s">
        <v>1639</v>
      </c>
      <c r="E73" s="1611" t="s">
        <v>3</v>
      </c>
      <c r="F73" s="626">
        <f t="shared" si="8"/>
        <v>0.53</v>
      </c>
      <c r="G73" s="626">
        <f t="shared" si="9"/>
        <v>86.117802358370326</v>
      </c>
      <c r="H73" s="1579"/>
      <c r="I73" s="1183" t="s">
        <v>263</v>
      </c>
      <c r="J73" s="1579"/>
      <c r="K73" s="582"/>
      <c r="L73" s="582"/>
      <c r="M73" s="1478" t="str">
        <f>IFERROR(INDEX('Lower Hot Cell Logistics'!$I$13:$O$19,MATCH($K73,'Lower Hot Cell Logistics'!$H$13:$H$19,0),MATCH($L73,'Lower Hot Cell Logistics'!$H$13:$H$19,0)),"N/A")</f>
        <v>N/A</v>
      </c>
      <c r="N73" s="1478" t="str">
        <f>IFERROR(VLOOKUP($J73,'Lower Hot Cell Logistics'!$H$4:$I$9,2,FALSE),"N/A")</f>
        <v>N/A</v>
      </c>
      <c r="O73" s="1183" t="str">
        <f t="shared" si="7"/>
        <v>N/A</v>
      </c>
      <c r="P73" s="1578" t="s">
        <v>1558</v>
      </c>
      <c r="Q73" s="1183">
        <f>IF($E73="Logistics",VLOOKUP($P73,'Lower Hot Cell Logistics'!$C$4:$D$69,2,FALSE),"N/A")</f>
        <v>0.53</v>
      </c>
      <c r="R73" s="3377"/>
      <c r="S73" s="1183" t="str">
        <f>IFERROR(VLOOKUP($R73,'Lower HotCell RecoveryLogistics'!$C$4:$F$110,4,FALSE),"N/A")</f>
        <v>N/A</v>
      </c>
      <c r="T73" s="632" t="str">
        <f t="shared" si="10"/>
        <v>N/A</v>
      </c>
      <c r="V73" s="2031"/>
      <c r="W73" s="2031"/>
      <c r="X73" s="1466"/>
      <c r="Y73" s="2032"/>
      <c r="Z73" s="623"/>
      <c r="AA73" s="623"/>
    </row>
    <row r="74" spans="2:27" s="88" customFormat="1" hidden="1" outlineLevel="2" x14ac:dyDescent="0.4">
      <c r="B74" s="1771"/>
      <c r="C74" s="3786"/>
      <c r="D74" s="1579" t="s">
        <v>2060</v>
      </c>
      <c r="E74" s="1611" t="s">
        <v>251</v>
      </c>
      <c r="F74" s="626">
        <f t="shared" si="8"/>
        <v>7.5229670597283897</v>
      </c>
      <c r="G74" s="626">
        <f t="shared" si="9"/>
        <v>93.640769418098714</v>
      </c>
      <c r="H74" s="1579" t="s">
        <v>442</v>
      </c>
      <c r="I74" s="1183">
        <v>7.5229670597283897</v>
      </c>
      <c r="J74" s="1579"/>
      <c r="K74" s="582"/>
      <c r="L74" s="582"/>
      <c r="M74" s="1478" t="str">
        <f>IFERROR(INDEX('Lower Hot Cell Logistics'!$I$13:$O$19,MATCH($K74,'Lower Hot Cell Logistics'!$H$13:$H$19,0),MATCH($L74,'Lower Hot Cell Logistics'!$H$13:$H$19,0)),"N/A")</f>
        <v>N/A</v>
      </c>
      <c r="N74" s="1478" t="str">
        <f>IFERROR(VLOOKUP($J74,'Lower Hot Cell Logistics'!$H$4:$I$9,2,FALSE),"N/A")</f>
        <v>N/A</v>
      </c>
      <c r="O74" s="1183" t="str">
        <f t="shared" si="7"/>
        <v>N/A</v>
      </c>
      <c r="P74" s="1578"/>
      <c r="Q74" s="1183" t="str">
        <f>IF($E74="Logistics",VLOOKUP($P74,'Lower Hot Cell Logistics'!$C$4:$D$69,2,FALSE),"N/A")</f>
        <v>N/A</v>
      </c>
      <c r="R74" s="3377"/>
      <c r="S74" s="1183" t="str">
        <f>IFERROR(VLOOKUP($R74,'Lower HotCell RecoveryLogistics'!$C$4:$F$110,4,FALSE),"N/A")</f>
        <v>N/A</v>
      </c>
      <c r="T74" s="632" t="str">
        <f t="shared" si="10"/>
        <v>N/A</v>
      </c>
      <c r="V74" s="2031"/>
      <c r="W74" s="2031"/>
      <c r="X74" s="1466"/>
      <c r="Y74" s="2032"/>
      <c r="Z74" s="623"/>
      <c r="AA74" s="623"/>
    </row>
    <row r="75" spans="2:27" s="88" customFormat="1" hidden="1" outlineLevel="2" x14ac:dyDescent="0.4">
      <c r="B75" s="1771"/>
      <c r="C75" s="3786"/>
      <c r="D75" s="1579" t="s">
        <v>2061</v>
      </c>
      <c r="E75" s="1611" t="s">
        <v>3</v>
      </c>
      <c r="F75" s="626">
        <f t="shared" si="8"/>
        <v>0.6</v>
      </c>
      <c r="G75" s="626">
        <f t="shared" si="9"/>
        <v>94.240769418098708</v>
      </c>
      <c r="H75" s="1579"/>
      <c r="I75" s="1183" t="s">
        <v>263</v>
      </c>
      <c r="J75" s="1579"/>
      <c r="K75" s="582"/>
      <c r="L75" s="582"/>
      <c r="M75" s="1478" t="str">
        <f>IFERROR(INDEX('Lower Hot Cell Logistics'!$I$13:$O$19,MATCH($K75,'Lower Hot Cell Logistics'!$H$13:$H$19,0),MATCH($L75,'Lower Hot Cell Logistics'!$H$13:$H$19,0)),"N/A")</f>
        <v>N/A</v>
      </c>
      <c r="N75" s="1478" t="str">
        <f>IFERROR(VLOOKUP($J75,'Lower Hot Cell Logistics'!$H$4:$I$9,2,FALSE),"N/A")</f>
        <v>N/A</v>
      </c>
      <c r="O75" s="1183" t="str">
        <f t="shared" si="7"/>
        <v>N/A</v>
      </c>
      <c r="P75" s="1578" t="s">
        <v>2008</v>
      </c>
      <c r="Q75" s="1183">
        <f>IF($E75="Logistics",VLOOKUP($P75,'Lower Hot Cell Logistics'!$C$4:$D$69,2,FALSE),"N/A")</f>
        <v>0.6</v>
      </c>
      <c r="R75" s="3377" t="s">
        <v>2062</v>
      </c>
      <c r="S75" s="1183" t="str">
        <f>IFERROR(VLOOKUP($R75,'Lower HotCell RecoveryLogistics'!$C$4:$F$110,4,FALSE),"N/A")</f>
        <v>N/A</v>
      </c>
      <c r="T75" s="632" t="str">
        <f t="shared" si="10"/>
        <v>N/A</v>
      </c>
      <c r="V75" s="2031"/>
      <c r="W75" s="2031"/>
      <c r="X75" s="1466"/>
      <c r="Y75" s="2032"/>
      <c r="Z75" s="623"/>
      <c r="AA75" s="623"/>
    </row>
    <row r="76" spans="2:27" s="88" customFormat="1" ht="15" hidden="1" outlineLevel="2" thickBot="1" x14ac:dyDescent="0.45">
      <c r="B76" s="1771"/>
      <c r="C76" s="3788"/>
      <c r="D76" s="1136" t="s">
        <v>2063</v>
      </c>
      <c r="E76" s="1581" t="s">
        <v>3</v>
      </c>
      <c r="F76" s="585">
        <f t="shared" si="8"/>
        <v>0.6</v>
      </c>
      <c r="G76" s="585">
        <f t="shared" si="9"/>
        <v>94.840769418098702</v>
      </c>
      <c r="H76" s="1136"/>
      <c r="I76" s="1179" t="s">
        <v>263</v>
      </c>
      <c r="J76" s="1136"/>
      <c r="K76" s="584"/>
      <c r="L76" s="584"/>
      <c r="M76" s="814" t="str">
        <f>IFERROR(INDEX('Lower Hot Cell Logistics'!$I$13:$O$19,MATCH($K76,'Lower Hot Cell Logistics'!$H$13:$H$19,0),MATCH($L76,'Lower Hot Cell Logistics'!$H$13:$H$19,0)),"N/A")</f>
        <v>N/A</v>
      </c>
      <c r="N76" s="814" t="str">
        <f>IFERROR(VLOOKUP($J76,'Lower Hot Cell Logistics'!$H$4:$I$9,2,FALSE),"N/A")</f>
        <v>N/A</v>
      </c>
      <c r="O76" s="1179" t="str">
        <f t="shared" si="7"/>
        <v>N/A</v>
      </c>
      <c r="P76" s="1582" t="s">
        <v>2008</v>
      </c>
      <c r="Q76" s="1179">
        <f>IF($E76="Logistics",VLOOKUP($P76,'Lower Hot Cell Logistics'!$C$4:$D$69,2,FALSE),"N/A")</f>
        <v>0.6</v>
      </c>
      <c r="R76" s="3378"/>
      <c r="S76" s="1179" t="str">
        <f>IFERROR(VLOOKUP($R76,'Lower HotCell RecoveryLogistics'!$C$4:$F$110,4,FALSE),"N/A")</f>
        <v>N/A</v>
      </c>
      <c r="T76" s="632" t="str">
        <f t="shared" si="10"/>
        <v>N/A</v>
      </c>
      <c r="V76" s="2031"/>
      <c r="W76" s="2031"/>
      <c r="X76" s="1466"/>
      <c r="Y76" s="2032"/>
      <c r="Z76" s="623"/>
      <c r="AA76" s="623"/>
    </row>
    <row r="77" spans="2:27" s="88" customFormat="1" hidden="1" outlineLevel="2" x14ac:dyDescent="0.4">
      <c r="B77" s="1771"/>
      <c r="C77" s="3814" t="s">
        <v>2067</v>
      </c>
      <c r="D77" s="1906" t="s">
        <v>1247</v>
      </c>
      <c r="E77" s="1907" t="s">
        <v>3</v>
      </c>
      <c r="F77" s="1739">
        <f t="shared" si="8"/>
        <v>0.8</v>
      </c>
      <c r="G77" s="1739">
        <f t="shared" si="9"/>
        <v>95.640769418098699</v>
      </c>
      <c r="H77" s="1906"/>
      <c r="I77" s="1917" t="s">
        <v>263</v>
      </c>
      <c r="J77" s="1906"/>
      <c r="K77" s="1911"/>
      <c r="L77" s="1911"/>
      <c r="M77" s="1912" t="str">
        <f>IFERROR(INDEX('Lower Hot Cell Logistics'!$I$13:$O$19,MATCH($K77,'Lower Hot Cell Logistics'!$H$13:$H$19,0),MATCH($L77,'Lower Hot Cell Logistics'!$H$13:$H$19,0)),"N/A")</f>
        <v>N/A</v>
      </c>
      <c r="N77" s="1912" t="str">
        <f>IFERROR(VLOOKUP($J77,'Lower Hot Cell Logistics'!$H$4:$I$9,2,FALSE),"N/A")</f>
        <v>N/A</v>
      </c>
      <c r="O77" s="1917" t="str">
        <f t="shared" si="7"/>
        <v>N/A</v>
      </c>
      <c r="P77" s="1916" t="s">
        <v>1828</v>
      </c>
      <c r="Q77" s="1917">
        <f>IF($E77="Logistics",VLOOKUP($P77,'Lower Hot Cell Logistics'!$C$4:$D$69,2,FALSE),"N/A")</f>
        <v>0.8</v>
      </c>
      <c r="R77" s="3381"/>
      <c r="S77" s="1917" t="str">
        <f>IFERROR(VLOOKUP($R77,'Lower HotCell RecoveryLogistics'!$C$4:$F$110,4,FALSE),"N/A")</f>
        <v>N/A</v>
      </c>
      <c r="T77" s="632" t="str">
        <f t="shared" si="10"/>
        <v>N/A</v>
      </c>
      <c r="V77" s="2031"/>
      <c r="W77" s="2031"/>
      <c r="X77" s="2031"/>
      <c r="Y77" s="1466"/>
    </row>
    <row r="78" spans="2:27" s="88" customFormat="1" hidden="1" outlineLevel="2" x14ac:dyDescent="0.4">
      <c r="B78" s="1771"/>
      <c r="C78" s="3815"/>
      <c r="D78" s="1895" t="s">
        <v>2069</v>
      </c>
      <c r="E78" s="1896" t="s">
        <v>3</v>
      </c>
      <c r="F78" s="1347">
        <f t="shared" si="8"/>
        <v>0.8</v>
      </c>
      <c r="G78" s="1347">
        <f t="shared" si="9"/>
        <v>98.082250899580188</v>
      </c>
      <c r="H78" s="1895"/>
      <c r="I78" s="1903" t="s">
        <v>263</v>
      </c>
      <c r="J78" s="1895"/>
      <c r="K78" s="1897"/>
      <c r="L78" s="1897"/>
      <c r="M78" s="1898" t="str">
        <f>IFERROR(INDEX('Lower Hot Cell Logistics'!$I$13:$O$19,MATCH($K78,'Lower Hot Cell Logistics'!$H$13:$H$19,0),MATCH($L78,'Lower Hot Cell Logistics'!$H$13:$H$19,0)),"N/A")</f>
        <v>N/A</v>
      </c>
      <c r="N78" s="1898" t="str">
        <f>IFERROR(VLOOKUP($J78,'Lower Hot Cell Logistics'!$H$4:$I$9,2,FALSE),"N/A")</f>
        <v>N/A</v>
      </c>
      <c r="O78" s="1903" t="str">
        <f t="shared" si="7"/>
        <v>N/A</v>
      </c>
      <c r="P78" s="1902" t="s">
        <v>1828</v>
      </c>
      <c r="Q78" s="1903">
        <f>IF($E78="Logistics",VLOOKUP($P78,'Lower Hot Cell Logistics'!$C$4:$D$69,2,FALSE),"N/A")</f>
        <v>0.8</v>
      </c>
      <c r="R78" s="3380" t="s">
        <v>2286</v>
      </c>
      <c r="S78" s="1903">
        <f>IFERROR(VLOOKUP($R78,'Lower HotCell RecoveryLogistics'!$C$4:$F$110,4,FALSE),"N/A")</f>
        <v>97.282250899580191</v>
      </c>
      <c r="T78" s="632">
        <f t="shared" si="10"/>
        <v>-1.6414814814814918</v>
      </c>
      <c r="V78" s="2031"/>
      <c r="W78" s="2031"/>
      <c r="X78" s="2031"/>
      <c r="Y78" s="1466"/>
    </row>
    <row r="79" spans="2:27" s="88" customFormat="1" hidden="1" outlineLevel="2" x14ac:dyDescent="0.4">
      <c r="B79" s="1771"/>
      <c r="C79" s="3815"/>
      <c r="D79" s="1895" t="s">
        <v>2070</v>
      </c>
      <c r="E79" s="1896" t="s">
        <v>251</v>
      </c>
      <c r="F79" s="1347">
        <f t="shared" si="8"/>
        <v>17.622664625997164</v>
      </c>
      <c r="G79" s="1347">
        <f t="shared" si="9"/>
        <v>115.70491552557735</v>
      </c>
      <c r="H79" s="1895" t="s">
        <v>556</v>
      </c>
      <c r="I79" s="1903">
        <v>17.622664625997164</v>
      </c>
      <c r="J79" s="1895"/>
      <c r="K79" s="1897"/>
      <c r="L79" s="1897"/>
      <c r="M79" s="1898" t="str">
        <f>IFERROR(INDEX('Lower Hot Cell Logistics'!$I$13:$O$19,MATCH($K79,'Lower Hot Cell Logistics'!$H$13:$H$19,0),MATCH($L79,'Lower Hot Cell Logistics'!$H$13:$H$19,0)),"N/A")</f>
        <v>N/A</v>
      </c>
      <c r="N79" s="1898" t="str">
        <f>IFERROR(VLOOKUP($J79,'Lower Hot Cell Logistics'!$H$4:$I$9,2,FALSE),"N/A")</f>
        <v>N/A</v>
      </c>
      <c r="O79" s="1903" t="str">
        <f t="shared" si="7"/>
        <v>N/A</v>
      </c>
      <c r="P79" s="1902"/>
      <c r="Q79" s="1903" t="str">
        <f>IF($E79="Logistics",VLOOKUP($P79,'Lower Hot Cell Logistics'!$C$4:$D$69,2,FALSE),"N/A")</f>
        <v>N/A</v>
      </c>
      <c r="R79" s="3380"/>
      <c r="S79" s="1903" t="str">
        <f>IFERROR(VLOOKUP($R79,'Lower HotCell RecoveryLogistics'!$C$4:$F$110,4,FALSE),"N/A")</f>
        <v>N/A</v>
      </c>
      <c r="T79" s="632" t="str">
        <f t="shared" si="10"/>
        <v>N/A</v>
      </c>
      <c r="V79" s="2031"/>
      <c r="W79" s="2031"/>
      <c r="X79" s="2031"/>
      <c r="Y79" s="1466"/>
    </row>
    <row r="80" spans="2:27" s="88" customFormat="1" hidden="1" outlineLevel="2" x14ac:dyDescent="0.4">
      <c r="B80" s="1771"/>
      <c r="C80" s="3815"/>
      <c r="D80" s="1895" t="s">
        <v>2071</v>
      </c>
      <c r="E80" s="1896" t="s">
        <v>3</v>
      </c>
      <c r="F80" s="1347">
        <f t="shared" si="8"/>
        <v>0.53</v>
      </c>
      <c r="G80" s="1347">
        <f t="shared" si="9"/>
        <v>116.23491552557735</v>
      </c>
      <c r="H80" s="1895"/>
      <c r="I80" s="1903" t="s">
        <v>263</v>
      </c>
      <c r="J80" s="1895"/>
      <c r="K80" s="1897"/>
      <c r="L80" s="1897"/>
      <c r="M80" s="1898" t="str">
        <f>IFERROR(INDEX('Lower Hot Cell Logistics'!$I$13:$O$19,MATCH($K80,'Lower Hot Cell Logistics'!$H$13:$H$19,0),MATCH($L80,'Lower Hot Cell Logistics'!$H$13:$H$19,0)),"N/A")</f>
        <v>N/A</v>
      </c>
      <c r="N80" s="1898" t="str">
        <f>IFERROR(VLOOKUP($J80,'Lower Hot Cell Logistics'!$H$4:$I$9,2,FALSE),"N/A")</f>
        <v>N/A</v>
      </c>
      <c r="O80" s="1903" t="str">
        <f t="shared" si="7"/>
        <v>N/A</v>
      </c>
      <c r="P80" s="1902" t="s">
        <v>1558</v>
      </c>
      <c r="Q80" s="1903">
        <f>IF($E80="Logistics",VLOOKUP($P80,'Lower Hot Cell Logistics'!$C$4:$D$69,2,FALSE),"N/A")</f>
        <v>0.53</v>
      </c>
      <c r="R80" s="3380"/>
      <c r="S80" s="1903" t="str">
        <f>IFERROR(VLOOKUP($R80,'Lower HotCell RecoveryLogistics'!$C$4:$F$110,4,FALSE),"N/A")</f>
        <v>N/A</v>
      </c>
      <c r="T80" s="632" t="str">
        <f t="shared" si="10"/>
        <v>N/A</v>
      </c>
      <c r="V80" s="2031"/>
      <c r="W80" s="2031"/>
      <c r="X80" s="2031"/>
      <c r="Y80" s="1466"/>
    </row>
    <row r="81" spans="2:25" s="88" customFormat="1" hidden="1" outlineLevel="2" x14ac:dyDescent="0.4">
      <c r="B81" s="1771"/>
      <c r="C81" s="3815"/>
      <c r="D81" s="1895" t="s">
        <v>2073</v>
      </c>
      <c r="E81" s="1896" t="s">
        <v>3</v>
      </c>
      <c r="F81" s="1347">
        <f t="shared" si="8"/>
        <v>0.8</v>
      </c>
      <c r="G81" s="1347">
        <f t="shared" si="9"/>
        <v>117.03491552557735</v>
      </c>
      <c r="H81" s="1895"/>
      <c r="I81" s="1903" t="s">
        <v>263</v>
      </c>
      <c r="J81" s="1895"/>
      <c r="K81" s="1897"/>
      <c r="L81" s="1897"/>
      <c r="M81" s="1898" t="str">
        <f>IFERROR(INDEX('Lower Hot Cell Logistics'!$I$13:$O$19,MATCH($K81,'Lower Hot Cell Logistics'!$H$13:$H$19,0),MATCH($L81,'Lower Hot Cell Logistics'!$H$13:$H$19,0)),"N/A")</f>
        <v>N/A</v>
      </c>
      <c r="N81" s="1898" t="str">
        <f>IFERROR(VLOOKUP($J81,'Lower Hot Cell Logistics'!$H$4:$I$9,2,FALSE),"N/A")</f>
        <v>N/A</v>
      </c>
      <c r="O81" s="1903" t="str">
        <f t="shared" si="7"/>
        <v>N/A</v>
      </c>
      <c r="P81" s="1902" t="s">
        <v>1828</v>
      </c>
      <c r="Q81" s="1903">
        <f>IF($E81="Logistics",VLOOKUP($P81,'Lower Hot Cell Logistics'!$C$4:$D$69,2,FALSE),"N/A")</f>
        <v>0.8</v>
      </c>
      <c r="R81" s="3380" t="s">
        <v>2287</v>
      </c>
      <c r="S81" s="1903">
        <f>IFERROR(VLOOKUP($R81,'Lower HotCell RecoveryLogistics'!$C$4:$F$110,4,FALSE),"N/A")</f>
        <v>95.246695344024644</v>
      </c>
      <c r="T81" s="632">
        <f t="shared" si="10"/>
        <v>20.988220181552705</v>
      </c>
      <c r="V81" s="2031"/>
      <c r="W81" s="2031"/>
      <c r="X81" s="2031"/>
      <c r="Y81" s="1466"/>
    </row>
    <row r="82" spans="2:25" s="88" customFormat="1" hidden="1" outlineLevel="2" x14ac:dyDescent="0.4">
      <c r="B82" s="1771"/>
      <c r="C82" s="3815"/>
      <c r="D82" s="1895" t="s">
        <v>2074</v>
      </c>
      <c r="E82" s="1896" t="s">
        <v>251</v>
      </c>
      <c r="F82" s="1347">
        <f t="shared" si="8"/>
        <v>17.622664625997164</v>
      </c>
      <c r="G82" s="1347">
        <f t="shared" si="9"/>
        <v>134.65758015157451</v>
      </c>
      <c r="H82" s="1895" t="s">
        <v>556</v>
      </c>
      <c r="I82" s="1903">
        <v>17.622664625997164</v>
      </c>
      <c r="J82" s="1895"/>
      <c r="K82" s="1897"/>
      <c r="L82" s="1897"/>
      <c r="M82" s="1898" t="str">
        <f>IFERROR(INDEX('Lower Hot Cell Logistics'!$I$13:$O$19,MATCH($K82,'Lower Hot Cell Logistics'!$H$13:$H$19,0),MATCH($L82,'Lower Hot Cell Logistics'!$H$13:$H$19,0)),"N/A")</f>
        <v>N/A</v>
      </c>
      <c r="N82" s="1898" t="str">
        <f>IFERROR(VLOOKUP($J82,'Lower Hot Cell Logistics'!$H$4:$I$9,2,FALSE),"N/A")</f>
        <v>N/A</v>
      </c>
      <c r="O82" s="1903" t="str">
        <f t="shared" si="7"/>
        <v>N/A</v>
      </c>
      <c r="P82" s="1902"/>
      <c r="Q82" s="1903" t="str">
        <f>IF($E82="Logistics",VLOOKUP($P82,'Lower Hot Cell Logistics'!$C$4:$D$69,2,FALSE),"N/A")</f>
        <v>N/A</v>
      </c>
      <c r="R82" s="3380"/>
      <c r="S82" s="1903" t="str">
        <f>IFERROR(VLOOKUP($R82,'Lower HotCell RecoveryLogistics'!$C$4:$F$110,4,FALSE),"N/A")</f>
        <v>N/A</v>
      </c>
      <c r="T82" s="632" t="str">
        <f t="shared" si="10"/>
        <v>N/A</v>
      </c>
      <c r="V82" s="2031"/>
      <c r="W82" s="2031"/>
      <c r="X82" s="2031"/>
      <c r="Y82" s="1466"/>
    </row>
    <row r="83" spans="2:25" s="88" customFormat="1" hidden="1" outlineLevel="2" x14ac:dyDescent="0.4">
      <c r="B83" s="1771"/>
      <c r="C83" s="3815"/>
      <c r="D83" s="1895" t="s">
        <v>1599</v>
      </c>
      <c r="E83" s="1896" t="s">
        <v>3</v>
      </c>
      <c r="F83" s="1347">
        <f t="shared" si="8"/>
        <v>0.6</v>
      </c>
      <c r="G83" s="1347">
        <f t="shared" si="9"/>
        <v>135.2575801515745</v>
      </c>
      <c r="H83" s="1895"/>
      <c r="I83" s="1903" t="s">
        <v>263</v>
      </c>
      <c r="J83" s="1895"/>
      <c r="K83" s="1897"/>
      <c r="L83" s="1897"/>
      <c r="M83" s="1898" t="str">
        <f>IFERROR(INDEX('Lower Hot Cell Logistics'!$I$13:$O$19,MATCH($K83,'Lower Hot Cell Logistics'!$H$13:$H$19,0),MATCH($L83,'Lower Hot Cell Logistics'!$H$13:$H$19,0)),"N/A")</f>
        <v>N/A</v>
      </c>
      <c r="N83" s="1898" t="str">
        <f>IFERROR(VLOOKUP($J83,'Lower Hot Cell Logistics'!$H$4:$I$9,2,FALSE),"N/A")</f>
        <v>N/A</v>
      </c>
      <c r="O83" s="1903" t="str">
        <f t="shared" si="7"/>
        <v>N/A</v>
      </c>
      <c r="P83" s="1902" t="s">
        <v>2008</v>
      </c>
      <c r="Q83" s="1903">
        <f>IF($E83="Logistics",VLOOKUP($P83,'Lower Hot Cell Logistics'!$C$4:$D$69,2,FALSE),"N/A")</f>
        <v>0.6</v>
      </c>
      <c r="R83" s="3380"/>
      <c r="S83" s="1903" t="str">
        <f>IFERROR(VLOOKUP($R83,'Lower HotCell RecoveryLogistics'!$C$4:$F$110,4,FALSE),"N/A")</f>
        <v>N/A</v>
      </c>
      <c r="T83" s="632" t="str">
        <f t="shared" si="10"/>
        <v>N/A</v>
      </c>
      <c r="V83" s="2031"/>
      <c r="W83" s="2031"/>
      <c r="X83" s="2031"/>
      <c r="Y83" s="1466"/>
    </row>
    <row r="84" spans="2:25" s="88" customFormat="1" ht="15" hidden="1" outlineLevel="2" thickBot="1" x14ac:dyDescent="0.45">
      <c r="B84" s="1771"/>
      <c r="C84" s="3816"/>
      <c r="D84" s="1869" t="s">
        <v>1590</v>
      </c>
      <c r="E84" s="1918" t="s">
        <v>3</v>
      </c>
      <c r="F84" s="1295">
        <f t="shared" si="8"/>
        <v>0.6</v>
      </c>
      <c r="G84" s="1295">
        <f t="shared" si="9"/>
        <v>135.8575801515745</v>
      </c>
      <c r="H84" s="1869"/>
      <c r="I84" s="1922" t="s">
        <v>263</v>
      </c>
      <c r="J84" s="1869"/>
      <c r="K84" s="837"/>
      <c r="L84" s="837"/>
      <c r="M84" s="842" t="str">
        <f>IFERROR(INDEX('Lower Hot Cell Logistics'!$I$13:$O$19,MATCH($K84,'Lower Hot Cell Logistics'!$H$13:$H$19,0),MATCH($L84,'Lower Hot Cell Logistics'!$H$13:$H$19,0)),"N/A")</f>
        <v>N/A</v>
      </c>
      <c r="N84" s="842" t="str">
        <f>IFERROR(VLOOKUP($J84,'Lower Hot Cell Logistics'!$H$4:$I$9,2,FALSE),"N/A")</f>
        <v>N/A</v>
      </c>
      <c r="O84" s="1922" t="str">
        <f t="shared" si="7"/>
        <v>N/A</v>
      </c>
      <c r="P84" s="1921" t="s">
        <v>2008</v>
      </c>
      <c r="Q84" s="1922">
        <f>IF($E84="Logistics",VLOOKUP($P84,'Lower Hot Cell Logistics'!$C$4:$D$69,2,FALSE),"N/A")</f>
        <v>0.6</v>
      </c>
      <c r="R84" s="3382"/>
      <c r="S84" s="1922" t="str">
        <f>IFERROR(VLOOKUP($R84,'Lower HotCell RecoveryLogistics'!$C$4:$F$110,4,FALSE),"N/A")</f>
        <v>N/A</v>
      </c>
      <c r="T84" s="632" t="str">
        <f t="shared" si="10"/>
        <v>N/A</v>
      </c>
      <c r="V84" s="2031"/>
      <c r="W84" s="2031"/>
      <c r="X84" s="2031"/>
      <c r="Y84" s="1466"/>
    </row>
    <row r="85" spans="2:25" s="88" customFormat="1" hidden="1" outlineLevel="2" x14ac:dyDescent="0.4">
      <c r="B85" s="1771"/>
      <c r="C85" s="3786" t="s">
        <v>2075</v>
      </c>
      <c r="D85" s="2209" t="s">
        <v>2076</v>
      </c>
      <c r="E85" s="2210" t="s">
        <v>3</v>
      </c>
      <c r="F85" s="1250">
        <f t="shared" si="8"/>
        <v>0.8</v>
      </c>
      <c r="G85" s="1250">
        <f t="shared" ref="G85:G104" si="11">IF(T85&lt;0,F85+G84+(-T85),F85+G84)</f>
        <v>137.26350607750047</v>
      </c>
      <c r="H85" s="2209"/>
      <c r="I85" s="2211" t="s">
        <v>263</v>
      </c>
      <c r="J85" s="2209"/>
      <c r="K85" s="2212"/>
      <c r="L85" s="2212"/>
      <c r="M85" s="2213" t="str">
        <f>IFERROR(INDEX('Lower Hot Cell Logistics'!$I$13:$O$19,MATCH($K85,'Lower Hot Cell Logistics'!$H$13:$H$19,0),MATCH($L85,'Lower Hot Cell Logistics'!$H$13:$H$19,0)),"N/A")</f>
        <v>N/A</v>
      </c>
      <c r="N85" s="2213" t="str">
        <f>IFERROR(VLOOKUP($J85,'Lower Hot Cell Logistics'!$H$4:$I$9,2,FALSE),"N/A")</f>
        <v>N/A</v>
      </c>
      <c r="O85" s="2211" t="str">
        <f t="shared" si="7"/>
        <v>N/A</v>
      </c>
      <c r="P85" s="2214" t="s">
        <v>1828</v>
      </c>
      <c r="Q85" s="2211">
        <f>IF($E85="Logistics",VLOOKUP($P85,'Lower Hot Cell Logistics'!$C$4:$D$69,2,FALSE),"N/A")</f>
        <v>0.8</v>
      </c>
      <c r="R85" s="3575" t="s">
        <v>2077</v>
      </c>
      <c r="S85" s="2211">
        <f>IFERROR(VLOOKUP($R85,'Lower HotCell RecoveryLogistics'!$C$4:$F$110,4,FALSE),"N/A")</f>
        <v>136.46350607750045</v>
      </c>
      <c r="T85" s="632">
        <f t="shared" ref="T85:T104" si="12">IFERROR(G84-S85,"N/A")</f>
        <v>-0.60592592592595906</v>
      </c>
      <c r="V85" s="2031"/>
      <c r="W85" s="2031"/>
      <c r="X85" s="2031"/>
      <c r="Y85" s="1466"/>
    </row>
    <row r="86" spans="2:25" s="88" customFormat="1" hidden="1" outlineLevel="2" x14ac:dyDescent="0.4">
      <c r="B86" s="1771"/>
      <c r="C86" s="3786"/>
      <c r="D86" s="1579" t="s">
        <v>1086</v>
      </c>
      <c r="E86" s="1611" t="s">
        <v>251</v>
      </c>
      <c r="F86" s="626">
        <f t="shared" si="8"/>
        <v>17.622664625997164</v>
      </c>
      <c r="G86" s="626">
        <f t="shared" si="11"/>
        <v>154.88617070349764</v>
      </c>
      <c r="H86" s="1579" t="s">
        <v>556</v>
      </c>
      <c r="I86" s="1183">
        <v>17.622664625997164</v>
      </c>
      <c r="J86" s="1579"/>
      <c r="K86" s="582"/>
      <c r="L86" s="582"/>
      <c r="M86" s="1478" t="str">
        <f>IFERROR(INDEX('Lower Hot Cell Logistics'!$I$13:$O$19,MATCH($K86,'Lower Hot Cell Logistics'!$H$13:$H$19,0),MATCH($L86,'Lower Hot Cell Logistics'!$H$13:$H$19,0)),"N/A")</f>
        <v>N/A</v>
      </c>
      <c r="N86" s="1478" t="str">
        <f>IFERROR(VLOOKUP($J86,'Lower Hot Cell Logistics'!$H$4:$I$9,2,FALSE),"N/A")</f>
        <v>N/A</v>
      </c>
      <c r="O86" s="1183" t="str">
        <f t="shared" si="7"/>
        <v>N/A</v>
      </c>
      <c r="P86" s="1578"/>
      <c r="Q86" s="1183" t="str">
        <f>IF($E86="Logistics",VLOOKUP($P86,'Lower Hot Cell Logistics'!$C$4:$D$69,2,FALSE),"N/A")</f>
        <v>N/A</v>
      </c>
      <c r="R86" s="3377"/>
      <c r="S86" s="1183" t="str">
        <f>IFERROR(VLOOKUP($R86,'Lower HotCell RecoveryLogistics'!$C$4:$F$110,4,FALSE),"N/A")</f>
        <v>N/A</v>
      </c>
      <c r="T86" s="632" t="str">
        <f t="shared" si="12"/>
        <v>N/A</v>
      </c>
      <c r="V86" s="2031"/>
      <c r="W86" s="2031"/>
      <c r="X86" s="2031"/>
      <c r="Y86" s="1466"/>
    </row>
    <row r="87" spans="2:25" s="88" customFormat="1" hidden="1" outlineLevel="2" x14ac:dyDescent="0.4">
      <c r="B87" s="1771"/>
      <c r="C87" s="3786"/>
      <c r="D87" s="1579" t="s">
        <v>2078</v>
      </c>
      <c r="E87" s="1611" t="s">
        <v>3</v>
      </c>
      <c r="F87" s="626">
        <f t="shared" si="8"/>
        <v>0.8</v>
      </c>
      <c r="G87" s="626">
        <f t="shared" si="11"/>
        <v>155.68617070349765</v>
      </c>
      <c r="H87" s="1579"/>
      <c r="I87" s="1183" t="s">
        <v>263</v>
      </c>
      <c r="J87" s="1579"/>
      <c r="K87" s="582"/>
      <c r="L87" s="582"/>
      <c r="M87" s="1478" t="str">
        <f>IFERROR(INDEX('Lower Hot Cell Logistics'!$I$13:$O$19,MATCH($K87,'Lower Hot Cell Logistics'!$H$13:$H$19,0),MATCH($L87,'Lower Hot Cell Logistics'!$H$13:$H$19,0)),"N/A")</f>
        <v>N/A</v>
      </c>
      <c r="N87" s="1478" t="str">
        <f>IFERROR(VLOOKUP($J87,'Lower Hot Cell Logistics'!$H$4:$I$9,2,FALSE),"N/A")</f>
        <v>N/A</v>
      </c>
      <c r="O87" s="1183" t="str">
        <f t="shared" si="7"/>
        <v>N/A</v>
      </c>
      <c r="P87" s="1578" t="s">
        <v>1828</v>
      </c>
      <c r="Q87" s="1183">
        <f>IF($E87="Logistics",VLOOKUP($P87,'Lower Hot Cell Logistics'!$C$4:$D$69,2,FALSE),"N/A")</f>
        <v>0.8</v>
      </c>
      <c r="R87" s="3377"/>
      <c r="S87" s="1183" t="str">
        <f>IFERROR(VLOOKUP($R87,'Lower HotCell RecoveryLogistics'!$C$4:$F$110,4,FALSE),"N/A")</f>
        <v>N/A</v>
      </c>
      <c r="T87" s="632" t="str">
        <f t="shared" si="12"/>
        <v>N/A</v>
      </c>
      <c r="V87" s="2031"/>
      <c r="W87" s="2031"/>
      <c r="X87" s="2031"/>
      <c r="Y87" s="1466"/>
    </row>
    <row r="88" spans="2:25" s="88" customFormat="1" hidden="1" outlineLevel="2" x14ac:dyDescent="0.4">
      <c r="B88" s="1771"/>
      <c r="C88" s="3786"/>
      <c r="D88" s="2209" t="s">
        <v>2288</v>
      </c>
      <c r="E88" s="2210" t="s">
        <v>3</v>
      </c>
      <c r="F88" s="1250">
        <f t="shared" si="8"/>
        <v>0.8</v>
      </c>
      <c r="G88" s="1250">
        <f t="shared" si="11"/>
        <v>156.48617070349766</v>
      </c>
      <c r="H88" s="2209"/>
      <c r="I88" s="2211" t="s">
        <v>263</v>
      </c>
      <c r="J88" s="2209"/>
      <c r="K88" s="2212"/>
      <c r="L88" s="2212"/>
      <c r="M88" s="2213" t="str">
        <f>IFERROR(INDEX('Lower Hot Cell Logistics'!$I$13:$O$19,MATCH($K88,'Lower Hot Cell Logistics'!$H$13:$H$19,0),MATCH($L88,'Lower Hot Cell Logistics'!$H$13:$H$19,0)),"N/A")</f>
        <v>N/A</v>
      </c>
      <c r="N88" s="2213" t="str">
        <f>IFERROR(VLOOKUP($J88,'Lower Hot Cell Logistics'!$H$4:$I$9,2,FALSE),"N/A")</f>
        <v>N/A</v>
      </c>
      <c r="O88" s="2211" t="str">
        <f t="shared" si="7"/>
        <v>N/A</v>
      </c>
      <c r="P88" s="2214" t="s">
        <v>1828</v>
      </c>
      <c r="Q88" s="2211">
        <f>IF($E88="Logistics",VLOOKUP($P88,'Lower Hot Cell Logistics'!$C$4:$D$69,2,FALSE),"N/A")</f>
        <v>0.8</v>
      </c>
      <c r="R88" s="3575" t="s">
        <v>2079</v>
      </c>
      <c r="S88" s="2211">
        <f>IFERROR(VLOOKUP($R88,'Lower HotCell RecoveryLogistics'!$C$4:$F$110,4,FALSE),"N/A")</f>
        <v>136.46350607750045</v>
      </c>
      <c r="T88" s="632">
        <f t="shared" si="12"/>
        <v>19.222664625997197</v>
      </c>
      <c r="V88" s="2031"/>
      <c r="W88" s="2031"/>
      <c r="X88" s="2031"/>
      <c r="Y88" s="1466"/>
    </row>
    <row r="89" spans="2:25" s="88" customFormat="1" ht="15" hidden="1" outlineLevel="2" thickBot="1" x14ac:dyDescent="0.45">
      <c r="B89" s="1771"/>
      <c r="C89" s="3786"/>
      <c r="D89" s="1579" t="s">
        <v>1089</v>
      </c>
      <c r="E89" s="1611" t="s">
        <v>251</v>
      </c>
      <c r="F89" s="626">
        <f t="shared" si="8"/>
        <v>17.622664625997164</v>
      </c>
      <c r="G89" s="626">
        <f t="shared" si="11"/>
        <v>174.10883532949484</v>
      </c>
      <c r="H89" s="1579" t="s">
        <v>556</v>
      </c>
      <c r="I89" s="1183">
        <v>17.622664625997164</v>
      </c>
      <c r="J89" s="1579"/>
      <c r="K89" s="582"/>
      <c r="L89" s="582"/>
      <c r="M89" s="1478" t="str">
        <f>IFERROR(INDEX('Lower Hot Cell Logistics'!$I$13:$O$19,MATCH($K89,'Lower Hot Cell Logistics'!$H$13:$H$19,0),MATCH($L89,'Lower Hot Cell Logistics'!$H$13:$H$19,0)),"N/A")</f>
        <v>N/A</v>
      </c>
      <c r="N89" s="1478" t="str">
        <f>IFERROR(VLOOKUP($J89,'Lower Hot Cell Logistics'!$H$4:$I$9,2,FALSE),"N/A")</f>
        <v>N/A</v>
      </c>
      <c r="O89" s="1183" t="str">
        <f t="shared" si="7"/>
        <v>N/A</v>
      </c>
      <c r="P89" s="1578"/>
      <c r="Q89" s="1183" t="str">
        <f>IF($E89="Logistics",VLOOKUP($P89,'Lower Hot Cell Logistics'!$C$4:$D$69,2,FALSE),"N/A")</f>
        <v>N/A</v>
      </c>
      <c r="R89" s="3377"/>
      <c r="S89" s="1183" t="str">
        <f>IFERROR(VLOOKUP($R89,'Lower HotCell RecoveryLogistics'!$C$4:$F$110,4,FALSE),"N/A")</f>
        <v>N/A</v>
      </c>
      <c r="T89" s="632" t="str">
        <f t="shared" si="12"/>
        <v>N/A</v>
      </c>
      <c r="V89" s="2031"/>
      <c r="W89" s="2031"/>
      <c r="X89" s="2031"/>
      <c r="Y89" s="1466"/>
    </row>
    <row r="90" spans="2:25" s="88" customFormat="1" ht="15" hidden="1" customHeight="1" outlineLevel="2" x14ac:dyDescent="0.4">
      <c r="B90" s="1771"/>
      <c r="C90" s="3814" t="s">
        <v>2080</v>
      </c>
      <c r="D90" s="1906" t="s">
        <v>119</v>
      </c>
      <c r="E90" s="1907" t="s">
        <v>3</v>
      </c>
      <c r="F90" s="1739">
        <f t="shared" si="8"/>
        <v>0.8</v>
      </c>
      <c r="G90" s="1739">
        <f t="shared" si="11"/>
        <v>174.90883532949485</v>
      </c>
      <c r="H90" s="1906"/>
      <c r="I90" s="1917" t="s">
        <v>263</v>
      </c>
      <c r="J90" s="1906"/>
      <c r="K90" s="1911"/>
      <c r="L90" s="1911"/>
      <c r="M90" s="1912" t="str">
        <f>IFERROR(INDEX('Lower Hot Cell Logistics'!$I$13:$O$19,MATCH($K90,'Lower Hot Cell Logistics'!$H$13:$H$19,0),MATCH($L90,'Lower Hot Cell Logistics'!$H$13:$H$19,0)),"N/A")</f>
        <v>N/A</v>
      </c>
      <c r="N90" s="1912" t="str">
        <f>IFERROR(VLOOKUP($J90,'Lower Hot Cell Logistics'!$H$4:$I$9,2,FALSE),"N/A")</f>
        <v>N/A</v>
      </c>
      <c r="O90" s="1917" t="str">
        <f t="shared" si="7"/>
        <v>N/A</v>
      </c>
      <c r="P90" s="1916" t="s">
        <v>1828</v>
      </c>
      <c r="Q90" s="1917">
        <f>IF($E90="Logistics",VLOOKUP($P90,'Lower Hot Cell Logistics'!$C$4:$D$69,2,FALSE),"N/A")</f>
        <v>0.8</v>
      </c>
      <c r="R90" s="3381" t="s">
        <v>2082</v>
      </c>
      <c r="S90" s="1917">
        <f>IFERROR(VLOOKUP($R90,'Lower HotCell RecoveryLogistics'!$C$4:$F$110,4,FALSE),"N/A")</f>
        <v>156.69209662942359</v>
      </c>
      <c r="T90" s="1130">
        <f t="shared" si="12"/>
        <v>17.416738700071249</v>
      </c>
      <c r="V90" s="2031"/>
      <c r="W90" s="2031"/>
      <c r="X90" s="2031"/>
      <c r="Y90" s="1466"/>
    </row>
    <row r="91" spans="2:25" s="88" customFormat="1" hidden="1" outlineLevel="2" x14ac:dyDescent="0.4">
      <c r="B91" s="1771"/>
      <c r="C91" s="3815"/>
      <c r="D91" s="1895" t="s">
        <v>1092</v>
      </c>
      <c r="E91" s="1896" t="s">
        <v>251</v>
      </c>
      <c r="F91" s="1347">
        <f t="shared" si="8"/>
        <v>10.036332312998582</v>
      </c>
      <c r="G91" s="1347">
        <f t="shared" si="11"/>
        <v>184.94516764249343</v>
      </c>
      <c r="H91" s="1895" t="s">
        <v>450</v>
      </c>
      <c r="I91" s="1903">
        <v>10.036332312998582</v>
      </c>
      <c r="J91" s="1895"/>
      <c r="K91" s="1897"/>
      <c r="L91" s="1897"/>
      <c r="M91" s="1898" t="str">
        <f>IFERROR(INDEX('Lower Hot Cell Logistics'!$I$13:$O$19,MATCH($K91,'Lower Hot Cell Logistics'!$H$13:$H$19,0),MATCH($L91,'Lower Hot Cell Logistics'!$H$13:$H$19,0)),"N/A")</f>
        <v>N/A</v>
      </c>
      <c r="N91" s="1898" t="str">
        <f>IFERROR(VLOOKUP($J91,'Lower Hot Cell Logistics'!$H$4:$I$9,2,FALSE),"N/A")</f>
        <v>N/A</v>
      </c>
      <c r="O91" s="1903" t="str">
        <f t="shared" si="7"/>
        <v>N/A</v>
      </c>
      <c r="P91" s="1902"/>
      <c r="Q91" s="1903" t="str">
        <f>IF($E91="Logistics",VLOOKUP($P91,'Lower Hot Cell Logistics'!$C$4:$D$69,2,FALSE),"N/A")</f>
        <v>N/A</v>
      </c>
      <c r="R91" s="3380" t="s">
        <v>1871</v>
      </c>
      <c r="S91" s="1903">
        <f>IFERROR(VLOOKUP($R91,'Lower HotCell RecoveryLogistics'!$C$4:$F$110,4,FALSE),"N/A")</f>
        <v>101.59388888888886</v>
      </c>
      <c r="T91" s="632">
        <f t="shared" si="12"/>
        <v>73.314946440605993</v>
      </c>
      <c r="V91" s="2031"/>
      <c r="W91" s="2031"/>
      <c r="X91" s="2031"/>
      <c r="Y91" s="1466"/>
    </row>
    <row r="92" spans="2:25" s="88" customFormat="1" hidden="1" outlineLevel="2" x14ac:dyDescent="0.4">
      <c r="B92" s="1771"/>
      <c r="C92" s="3815"/>
      <c r="D92" s="1895" t="s">
        <v>1669</v>
      </c>
      <c r="E92" s="1896" t="s">
        <v>3</v>
      </c>
      <c r="F92" s="1347">
        <f t="shared" si="8"/>
        <v>0.8</v>
      </c>
      <c r="G92" s="1347">
        <f t="shared" si="11"/>
        <v>185.74516764249344</v>
      </c>
      <c r="H92" s="1895"/>
      <c r="I92" s="1903" t="s">
        <v>263</v>
      </c>
      <c r="J92" s="1895"/>
      <c r="K92" s="1897"/>
      <c r="L92" s="1897"/>
      <c r="M92" s="1898" t="str">
        <f>IFERROR(INDEX('Lower Hot Cell Logistics'!$I$13:$O$19,MATCH($K92,'Lower Hot Cell Logistics'!$H$13:$H$19,0),MATCH($L92,'Lower Hot Cell Logistics'!$H$13:$H$19,0)),"N/A")</f>
        <v>N/A</v>
      </c>
      <c r="N92" s="1898" t="str">
        <f>IFERROR(VLOOKUP($J92,'Lower Hot Cell Logistics'!$H$4:$I$9,2,FALSE),"N/A")</f>
        <v>N/A</v>
      </c>
      <c r="O92" s="1903" t="str">
        <f t="shared" si="7"/>
        <v>N/A</v>
      </c>
      <c r="P92" s="1902" t="s">
        <v>1828</v>
      </c>
      <c r="Q92" s="1903">
        <f>IF($E92="Logistics",VLOOKUP($P92,'Lower Hot Cell Logistics'!$C$4:$D$69,2,FALSE),"N/A")</f>
        <v>0.8</v>
      </c>
      <c r="R92" s="3380"/>
      <c r="S92" s="1903" t="str">
        <f>IFERROR(VLOOKUP($R92,'Lower HotCell RecoveryLogistics'!$C$4:$F$110,4,FALSE),"N/A")</f>
        <v>N/A</v>
      </c>
      <c r="T92" s="632" t="str">
        <f t="shared" si="12"/>
        <v>N/A</v>
      </c>
      <c r="V92" s="2031"/>
      <c r="W92" s="2031"/>
      <c r="X92" s="2031"/>
      <c r="Y92" s="1466"/>
    </row>
    <row r="93" spans="2:25" s="88" customFormat="1" hidden="1" outlineLevel="2" x14ac:dyDescent="0.4">
      <c r="B93" s="1771"/>
      <c r="C93" s="3815"/>
      <c r="D93" s="1895" t="s">
        <v>1670</v>
      </c>
      <c r="E93" s="1896" t="s">
        <v>3</v>
      </c>
      <c r="F93" s="1347">
        <f t="shared" si="8"/>
        <v>0.53</v>
      </c>
      <c r="G93" s="1347">
        <f t="shared" si="11"/>
        <v>186.27516764249344</v>
      </c>
      <c r="H93" s="1895"/>
      <c r="I93" s="1903" t="s">
        <v>263</v>
      </c>
      <c r="J93" s="1895"/>
      <c r="K93" s="1897"/>
      <c r="L93" s="1897"/>
      <c r="M93" s="1898" t="str">
        <f>IFERROR(INDEX('Lower Hot Cell Logistics'!$I$13:$O$19,MATCH($K93,'Lower Hot Cell Logistics'!$H$13:$H$19,0),MATCH($L93,'Lower Hot Cell Logistics'!$H$13:$H$19,0)),"N/A")</f>
        <v>N/A</v>
      </c>
      <c r="N93" s="1898" t="str">
        <f>IFERROR(VLOOKUP($J93,'Lower Hot Cell Logistics'!$H$4:$I$9,2,FALSE),"N/A")</f>
        <v>N/A</v>
      </c>
      <c r="O93" s="1903" t="str">
        <f t="shared" si="7"/>
        <v>N/A</v>
      </c>
      <c r="P93" s="1902" t="s">
        <v>1558</v>
      </c>
      <c r="Q93" s="1903">
        <f>IF($E93="Logistics",VLOOKUP($P93,'Lower Hot Cell Logistics'!$C$4:$D$69,2,FALSE),"N/A")</f>
        <v>0.53</v>
      </c>
      <c r="R93" s="3380" t="s">
        <v>2085</v>
      </c>
      <c r="S93" s="1903">
        <f>IFERROR(VLOOKUP($R93,'Lower HotCell RecoveryLogistics'!$C$4:$F$110,4,FALSE),"N/A")</f>
        <v>175.91476125542079</v>
      </c>
      <c r="T93" s="632">
        <f t="shared" si="12"/>
        <v>9.8304063870726566</v>
      </c>
      <c r="V93" s="2031"/>
      <c r="W93" s="2031"/>
      <c r="X93" s="2031"/>
      <c r="Y93" s="1466"/>
    </row>
    <row r="94" spans="2:25" s="88" customFormat="1" hidden="1" outlineLevel="2" x14ac:dyDescent="0.4">
      <c r="B94" s="1771"/>
      <c r="C94" s="3815"/>
      <c r="D94" s="1895" t="s">
        <v>2084</v>
      </c>
      <c r="E94" s="1896" t="s">
        <v>251</v>
      </c>
      <c r="F94" s="1347">
        <f t="shared" si="8"/>
        <v>10.036332312998582</v>
      </c>
      <c r="G94" s="1347">
        <f t="shared" si="11"/>
        <v>196.31149995549202</v>
      </c>
      <c r="H94" s="1895" t="s">
        <v>450</v>
      </c>
      <c r="I94" s="1903">
        <v>10.036332312998582</v>
      </c>
      <c r="J94" s="1895"/>
      <c r="K94" s="1897"/>
      <c r="L94" s="1897"/>
      <c r="M94" s="1898" t="str">
        <f>IFERROR(INDEX('Lower Hot Cell Logistics'!$I$13:$O$19,MATCH($K94,'Lower Hot Cell Logistics'!$H$13:$H$19,0),MATCH($L94,'Lower Hot Cell Logistics'!$H$13:$H$19,0)),"N/A")</f>
        <v>N/A</v>
      </c>
      <c r="N94" s="1898" t="str">
        <f>IFERROR(VLOOKUP($J94,'Lower Hot Cell Logistics'!$H$4:$I$9,2,FALSE),"N/A")</f>
        <v>N/A</v>
      </c>
      <c r="O94" s="1903" t="str">
        <f t="shared" si="7"/>
        <v>N/A</v>
      </c>
      <c r="P94" s="1902"/>
      <c r="Q94" s="1903" t="str">
        <f>IF($E94="Logistics",VLOOKUP($P94,'Lower Hot Cell Logistics'!$C$4:$D$69,2,FALSE),"N/A")</f>
        <v>N/A</v>
      </c>
      <c r="R94" s="3380" t="s">
        <v>1872</v>
      </c>
      <c r="S94" s="1903">
        <f>IFERROR(VLOOKUP($R94,'Lower HotCell RecoveryLogistics'!$C$4:$F$110,4,FALSE),"N/A")</f>
        <v>107.36999999999996</v>
      </c>
      <c r="T94" s="632">
        <f t="shared" si="12"/>
        <v>78.905167642493481</v>
      </c>
      <c r="V94" s="2031"/>
      <c r="W94" s="2031"/>
      <c r="X94" s="2031"/>
      <c r="Y94" s="1466"/>
    </row>
    <row r="95" spans="2:25" s="88" customFormat="1" hidden="1" outlineLevel="2" x14ac:dyDescent="0.4">
      <c r="B95" s="1771"/>
      <c r="C95" s="3815"/>
      <c r="D95" s="1895" t="s">
        <v>1599</v>
      </c>
      <c r="E95" s="1896" t="s">
        <v>3</v>
      </c>
      <c r="F95" s="1347">
        <f t="shared" si="8"/>
        <v>0.6</v>
      </c>
      <c r="G95" s="1347">
        <f t="shared" si="11"/>
        <v>196.91149995549202</v>
      </c>
      <c r="H95" s="1895"/>
      <c r="I95" s="1903" t="s">
        <v>263</v>
      </c>
      <c r="J95" s="1895"/>
      <c r="K95" s="1897"/>
      <c r="L95" s="1897"/>
      <c r="M95" s="1898" t="str">
        <f>IFERROR(INDEX('Lower Hot Cell Logistics'!$I$13:$O$19,MATCH($K95,'Lower Hot Cell Logistics'!$H$13:$H$19,0),MATCH($L95,'Lower Hot Cell Logistics'!$H$13:$H$19,0)),"N/A")</f>
        <v>N/A</v>
      </c>
      <c r="N95" s="1898" t="str">
        <f>IFERROR(VLOOKUP($J95,'Lower Hot Cell Logistics'!$H$4:$I$9,2,FALSE),"N/A")</f>
        <v>N/A</v>
      </c>
      <c r="O95" s="1903" t="str">
        <f t="shared" si="7"/>
        <v>N/A</v>
      </c>
      <c r="P95" s="1902" t="s">
        <v>2008</v>
      </c>
      <c r="Q95" s="1903">
        <f>IF($E95="Logistics",VLOOKUP($P95,'Lower Hot Cell Logistics'!$C$4:$D$69,2,FALSE),"N/A")</f>
        <v>0.6</v>
      </c>
      <c r="R95" s="3380"/>
      <c r="S95" s="1903" t="str">
        <f>IFERROR(VLOOKUP($R95,'Lower HotCell RecoveryLogistics'!$C$4:$F$110,4,FALSE),"N/A")</f>
        <v>N/A</v>
      </c>
      <c r="T95" s="632" t="str">
        <f t="shared" si="12"/>
        <v>N/A</v>
      </c>
      <c r="V95" s="2031"/>
      <c r="W95" s="2031"/>
      <c r="X95" s="2031"/>
      <c r="Y95" s="1466"/>
    </row>
    <row r="96" spans="2:25" s="88" customFormat="1" hidden="1" outlineLevel="2" x14ac:dyDescent="0.4">
      <c r="B96" s="1771"/>
      <c r="C96" s="3815"/>
      <c r="D96" s="1895" t="s">
        <v>1252</v>
      </c>
      <c r="E96" s="1896" t="s">
        <v>3</v>
      </c>
      <c r="F96" s="1347">
        <f t="shared" si="8"/>
        <v>0.8</v>
      </c>
      <c r="G96" s="1347">
        <f t="shared" si="11"/>
        <v>197.71149995549203</v>
      </c>
      <c r="H96" s="1895"/>
      <c r="I96" s="1903" t="s">
        <v>263</v>
      </c>
      <c r="J96" s="1895"/>
      <c r="K96" s="1897"/>
      <c r="L96" s="1897"/>
      <c r="M96" s="1898" t="str">
        <f>IFERROR(INDEX('Lower Hot Cell Logistics'!$I$13:$O$19,MATCH($K96,'Lower Hot Cell Logistics'!$H$13:$H$19,0),MATCH($L96,'Lower Hot Cell Logistics'!$H$13:$H$19,0)),"N/A")</f>
        <v>N/A</v>
      </c>
      <c r="N96" s="1898" t="str">
        <f>IFERROR(VLOOKUP($J96,'Lower Hot Cell Logistics'!$H$4:$I$9,2,FALSE),"N/A")</f>
        <v>N/A</v>
      </c>
      <c r="O96" s="1903" t="str">
        <f t="shared" si="7"/>
        <v>N/A</v>
      </c>
      <c r="P96" s="1902" t="s">
        <v>1828</v>
      </c>
      <c r="Q96" s="1903">
        <f>IF($E96="Logistics",VLOOKUP($P96,'Lower Hot Cell Logistics'!$C$4:$D$69,2,FALSE),"N/A")</f>
        <v>0.8</v>
      </c>
      <c r="R96" s="3380"/>
      <c r="S96" s="1903" t="str">
        <f>IFERROR(VLOOKUP($R96,'Lower HotCell RecoveryLogistics'!$C$4:$F$110,4,FALSE),"N/A")</f>
        <v>N/A</v>
      </c>
      <c r="T96" s="632" t="str">
        <f t="shared" si="12"/>
        <v>N/A</v>
      </c>
      <c r="V96" s="2031"/>
      <c r="W96" s="2031"/>
      <c r="X96" s="2031"/>
      <c r="Y96" s="1466"/>
    </row>
    <row r="97" spans="1:29" s="88" customFormat="1" hidden="1" outlineLevel="2" x14ac:dyDescent="0.4">
      <c r="B97" s="1771"/>
      <c r="C97" s="3815"/>
      <c r="D97" s="1895" t="s">
        <v>1672</v>
      </c>
      <c r="E97" s="1896" t="s">
        <v>251</v>
      </c>
      <c r="F97" s="1347">
        <f t="shared" si="8"/>
        <v>4.66</v>
      </c>
      <c r="G97" s="1347">
        <f t="shared" si="11"/>
        <v>202.37149995549203</v>
      </c>
      <c r="H97" s="1895" t="s">
        <v>273</v>
      </c>
      <c r="I97" s="1903">
        <v>4.66</v>
      </c>
      <c r="J97" s="1895"/>
      <c r="K97" s="1897"/>
      <c r="L97" s="1897"/>
      <c r="M97" s="1898" t="str">
        <f>IFERROR(INDEX('Lower Hot Cell Logistics'!$I$13:$O$19,MATCH($K97,'Lower Hot Cell Logistics'!$H$13:$H$19,0),MATCH($L97,'Lower Hot Cell Logistics'!$H$13:$H$19,0)),"N/A")</f>
        <v>N/A</v>
      </c>
      <c r="N97" s="1898" t="str">
        <f>IFERROR(VLOOKUP($J97,'Lower Hot Cell Logistics'!$H$4:$I$9,2,FALSE),"N/A")</f>
        <v>N/A</v>
      </c>
      <c r="O97" s="1903" t="str">
        <f t="shared" si="7"/>
        <v>N/A</v>
      </c>
      <c r="P97" s="1902"/>
      <c r="Q97" s="1903" t="str">
        <f>IF($E97="Logistics",VLOOKUP($P97,'Lower Hot Cell Logistics'!$C$4:$D$69,2,FALSE),"N/A")</f>
        <v>N/A</v>
      </c>
      <c r="R97" s="3380"/>
      <c r="S97" s="1903" t="str">
        <f>IFERROR(VLOOKUP($R97,'Lower HotCell RecoveryLogistics'!$C$4:$F$110,4,FALSE),"N/A")</f>
        <v>N/A</v>
      </c>
      <c r="T97" s="632" t="str">
        <f t="shared" si="12"/>
        <v>N/A</v>
      </c>
      <c r="V97" s="2031"/>
      <c r="W97" s="2031"/>
      <c r="X97" s="2031"/>
      <c r="Y97" s="1466"/>
    </row>
    <row r="98" spans="1:29" s="88" customFormat="1" hidden="1" outlineLevel="2" x14ac:dyDescent="0.4">
      <c r="B98" s="1771"/>
      <c r="C98" s="3815"/>
      <c r="D98" s="1895" t="s">
        <v>1673</v>
      </c>
      <c r="E98" s="1896" t="s">
        <v>251</v>
      </c>
      <c r="F98" s="1347">
        <f t="shared" si="8"/>
        <v>4.66</v>
      </c>
      <c r="G98" s="1347">
        <f t="shared" si="11"/>
        <v>207.03149995549202</v>
      </c>
      <c r="H98" s="1895" t="s">
        <v>273</v>
      </c>
      <c r="I98" s="1903">
        <v>4.66</v>
      </c>
      <c r="J98" s="1895"/>
      <c r="K98" s="1897"/>
      <c r="L98" s="1897"/>
      <c r="M98" s="1898" t="str">
        <f>IFERROR(INDEX('Lower Hot Cell Logistics'!$I$13:$O$19,MATCH($K98,'Lower Hot Cell Logistics'!$H$13:$H$19,0),MATCH($L98,'Lower Hot Cell Logistics'!$H$13:$H$19,0)),"N/A")</f>
        <v>N/A</v>
      </c>
      <c r="N98" s="1898" t="str">
        <f>IFERROR(VLOOKUP($J98,'Lower Hot Cell Logistics'!$H$4:$I$9,2,FALSE),"N/A")</f>
        <v>N/A</v>
      </c>
      <c r="O98" s="1903" t="str">
        <f t="shared" si="7"/>
        <v>N/A</v>
      </c>
      <c r="P98" s="1902"/>
      <c r="Q98" s="1903" t="str">
        <f>IF($E98="Logistics",VLOOKUP($P98,'Lower Hot Cell Logistics'!$C$4:$D$69,2,FALSE),"N/A")</f>
        <v>N/A</v>
      </c>
      <c r="R98" s="3380"/>
      <c r="S98" s="1903" t="str">
        <f>IFERROR(VLOOKUP($R98,'Lower HotCell RecoveryLogistics'!$C$4:$F$110,4,FALSE),"N/A")</f>
        <v>N/A</v>
      </c>
      <c r="T98" s="632" t="str">
        <f t="shared" si="12"/>
        <v>N/A</v>
      </c>
      <c r="V98" s="2031"/>
      <c r="W98" s="2031"/>
      <c r="X98" s="2031"/>
      <c r="Y98" s="1466"/>
    </row>
    <row r="99" spans="1:29" s="88" customFormat="1" hidden="1" outlineLevel="2" x14ac:dyDescent="0.4">
      <c r="B99" s="1771"/>
      <c r="C99" s="3815"/>
      <c r="D99" s="1895" t="s">
        <v>1590</v>
      </c>
      <c r="E99" s="1896" t="s">
        <v>3</v>
      </c>
      <c r="F99" s="1347">
        <f t="shared" si="8"/>
        <v>0.6</v>
      </c>
      <c r="G99" s="1347">
        <f t="shared" si="11"/>
        <v>207.63149995549202</v>
      </c>
      <c r="H99" s="1895"/>
      <c r="I99" s="1903" t="s">
        <v>263</v>
      </c>
      <c r="J99" s="1895"/>
      <c r="K99" s="1897"/>
      <c r="L99" s="1897"/>
      <c r="M99" s="1898" t="str">
        <f>IFERROR(INDEX('Lower Hot Cell Logistics'!$I$13:$O$19,MATCH($K99,'Lower Hot Cell Logistics'!$H$13:$H$19,0),MATCH($L99,'Lower Hot Cell Logistics'!$H$13:$H$19,0)),"N/A")</f>
        <v>N/A</v>
      </c>
      <c r="N99" s="1898" t="str">
        <f>IFERROR(VLOOKUP($J99,'Lower Hot Cell Logistics'!$H$4:$I$9,2,FALSE),"N/A")</f>
        <v>N/A</v>
      </c>
      <c r="O99" s="1903" t="str">
        <f t="shared" si="7"/>
        <v>N/A</v>
      </c>
      <c r="P99" s="1902" t="s">
        <v>2008</v>
      </c>
      <c r="Q99" s="1903">
        <f>IF($E99="Logistics",VLOOKUP($P99,'Lower Hot Cell Logistics'!$C$4:$D$69,2,FALSE),"N/A")</f>
        <v>0.6</v>
      </c>
      <c r="R99" s="3380"/>
      <c r="S99" s="1903" t="str">
        <f>IFERROR(VLOOKUP($R99,'Lower HotCell RecoveryLogistics'!$C$4:$F$110,4,FALSE),"N/A")</f>
        <v>N/A</v>
      </c>
      <c r="T99" s="632" t="str">
        <f t="shared" si="12"/>
        <v>N/A</v>
      </c>
      <c r="V99" s="2031"/>
      <c r="W99" s="2031"/>
      <c r="X99" s="2031"/>
      <c r="Y99" s="1466"/>
    </row>
    <row r="100" spans="1:29" s="88" customFormat="1" hidden="1" outlineLevel="2" x14ac:dyDescent="0.4">
      <c r="B100" s="1771"/>
      <c r="C100" s="3815"/>
      <c r="D100" s="1895" t="s">
        <v>1247</v>
      </c>
      <c r="E100" s="1896" t="s">
        <v>3</v>
      </c>
      <c r="F100" s="1347">
        <f t="shared" si="8"/>
        <v>0.8</v>
      </c>
      <c r="G100" s="1347">
        <f t="shared" si="11"/>
        <v>208.43149995549203</v>
      </c>
      <c r="H100" s="1895"/>
      <c r="I100" s="1903" t="s">
        <v>263</v>
      </c>
      <c r="J100" s="1895"/>
      <c r="K100" s="1897"/>
      <c r="L100" s="1897"/>
      <c r="M100" s="1898" t="str">
        <f>IFERROR(INDEX('Lower Hot Cell Logistics'!$I$13:$O$19,MATCH($K100,'Lower Hot Cell Logistics'!$H$13:$H$19,0),MATCH($L100,'Lower Hot Cell Logistics'!$H$13:$H$19,0)),"N/A")</f>
        <v>N/A</v>
      </c>
      <c r="N100" s="1898" t="str">
        <f>IFERROR(VLOOKUP($J100,'Lower Hot Cell Logistics'!$H$4:$I$9,2,FALSE),"N/A")</f>
        <v>N/A</v>
      </c>
      <c r="O100" s="1903" t="str">
        <f t="shared" si="7"/>
        <v>N/A</v>
      </c>
      <c r="P100" s="1902" t="s">
        <v>1828</v>
      </c>
      <c r="Q100" s="1903">
        <f>IF($E100="Logistics",VLOOKUP($P100,'Lower Hot Cell Logistics'!$C$4:$D$69,2,FALSE),"N/A")</f>
        <v>0.8</v>
      </c>
      <c r="R100" s="3380"/>
      <c r="S100" s="1903" t="str">
        <f>IFERROR(VLOOKUP($R100,'Lower HotCell RecoveryLogistics'!$C$4:$F$110,4,FALSE),"N/A")</f>
        <v>N/A</v>
      </c>
      <c r="T100" s="632" t="str">
        <f t="shared" si="12"/>
        <v>N/A</v>
      </c>
      <c r="V100" s="2031"/>
      <c r="W100" s="2031"/>
      <c r="X100" s="2031"/>
      <c r="Y100" s="1466"/>
    </row>
    <row r="101" spans="1:29" s="88" customFormat="1" hidden="1" outlineLevel="2" x14ac:dyDescent="0.4">
      <c r="B101" s="1771"/>
      <c r="C101" s="3815"/>
      <c r="D101" s="1895" t="s">
        <v>121</v>
      </c>
      <c r="E101" s="1896" t="s">
        <v>3</v>
      </c>
      <c r="F101" s="1347">
        <f t="shared" si="8"/>
        <v>0.8</v>
      </c>
      <c r="G101" s="1347">
        <f t="shared" si="11"/>
        <v>209.23149995549204</v>
      </c>
      <c r="H101" s="1895"/>
      <c r="I101" s="1903" t="s">
        <v>263</v>
      </c>
      <c r="J101" s="1895"/>
      <c r="K101" s="1897"/>
      <c r="L101" s="1897"/>
      <c r="M101" s="1898" t="str">
        <f>IFERROR(INDEX('Lower Hot Cell Logistics'!$I$13:$O$19,MATCH($K101,'Lower Hot Cell Logistics'!$H$13:$H$19,0),MATCH($L101,'Lower Hot Cell Logistics'!$H$13:$H$19,0)),"N/A")</f>
        <v>N/A</v>
      </c>
      <c r="N101" s="1898" t="str">
        <f>IFERROR(VLOOKUP($J101,'Lower Hot Cell Logistics'!$H$4:$I$9,2,FALSE),"N/A")</f>
        <v>N/A</v>
      </c>
      <c r="O101" s="1903" t="str">
        <f t="shared" si="7"/>
        <v>N/A</v>
      </c>
      <c r="P101" s="1902" t="s">
        <v>1828</v>
      </c>
      <c r="Q101" s="1903">
        <f>IF($E101="Logistics",VLOOKUP($P101,'Lower Hot Cell Logistics'!$C$4:$D$69,2,FALSE),"N/A")</f>
        <v>0.8</v>
      </c>
      <c r="R101" s="3380" t="s">
        <v>2087</v>
      </c>
      <c r="S101" s="1903">
        <f>IFERROR(VLOOKUP($R101,'Lower HotCell RecoveryLogistics'!$C$4:$F$110,4,FALSE),"N/A")</f>
        <v>186.75109356841938</v>
      </c>
      <c r="T101" s="632">
        <f t="shared" si="12"/>
        <v>21.680406387072651</v>
      </c>
      <c r="V101" s="2031"/>
      <c r="W101" s="2031"/>
      <c r="X101" s="2031"/>
      <c r="Y101" s="1466"/>
    </row>
    <row r="102" spans="1:29" s="88" customFormat="1" hidden="1" outlineLevel="2" x14ac:dyDescent="0.4">
      <c r="B102" s="1771"/>
      <c r="C102" s="3815"/>
      <c r="D102" s="1895" t="s">
        <v>1596</v>
      </c>
      <c r="E102" s="1896" t="s">
        <v>3</v>
      </c>
      <c r="F102" s="1347">
        <f t="shared" si="8"/>
        <v>0.53</v>
      </c>
      <c r="G102" s="1347">
        <f t="shared" si="11"/>
        <v>209.76149995549204</v>
      </c>
      <c r="H102" s="1895"/>
      <c r="I102" s="1903" t="s">
        <v>263</v>
      </c>
      <c r="J102" s="1895"/>
      <c r="K102" s="1897"/>
      <c r="L102" s="1897"/>
      <c r="M102" s="1898" t="str">
        <f>IFERROR(INDEX('Lower Hot Cell Logistics'!$I$13:$O$19,MATCH($K102,'Lower Hot Cell Logistics'!$H$13:$H$19,0),MATCH($L102,'Lower Hot Cell Logistics'!$H$13:$H$19,0)),"N/A")</f>
        <v>N/A</v>
      </c>
      <c r="N102" s="1898" t="str">
        <f>IFERROR(VLOOKUP($J102,'Lower Hot Cell Logistics'!$H$4:$I$9,2,FALSE),"N/A")</f>
        <v>N/A</v>
      </c>
      <c r="O102" s="1903" t="str">
        <f t="shared" si="7"/>
        <v>N/A</v>
      </c>
      <c r="P102" s="1902" t="s">
        <v>1558</v>
      </c>
      <c r="Q102" s="1903">
        <f>IF($E102="Logistics",VLOOKUP($P102,'Lower Hot Cell Logistics'!$C$4:$D$69,2,FALSE),"N/A")</f>
        <v>0.53</v>
      </c>
      <c r="R102" s="3380"/>
      <c r="S102" s="1903" t="str">
        <f>IFERROR(VLOOKUP($R102,'Lower HotCell RecoveryLogistics'!$C$4:$F$110,4,FALSE),"N/A")</f>
        <v>N/A</v>
      </c>
      <c r="T102" s="632" t="str">
        <f t="shared" si="12"/>
        <v>N/A</v>
      </c>
      <c r="V102" s="2031"/>
      <c r="W102" s="2031"/>
      <c r="X102" s="2031"/>
      <c r="Y102" s="1466"/>
    </row>
    <row r="103" spans="1:29" s="88" customFormat="1" hidden="1" outlineLevel="2" x14ac:dyDescent="0.4">
      <c r="B103" s="1771"/>
      <c r="C103" s="3815"/>
      <c r="D103" s="1895" t="s">
        <v>2088</v>
      </c>
      <c r="E103" s="1896" t="s">
        <v>251</v>
      </c>
      <c r="F103" s="1347">
        <f t="shared" si="8"/>
        <v>10.036332312998582</v>
      </c>
      <c r="G103" s="1347">
        <f t="shared" si="11"/>
        <v>219.79783226849062</v>
      </c>
      <c r="H103" s="1895" t="s">
        <v>450</v>
      </c>
      <c r="I103" s="1903">
        <v>10.036332312998582</v>
      </c>
      <c r="J103" s="1895"/>
      <c r="K103" s="1897"/>
      <c r="L103" s="1897"/>
      <c r="M103" s="1898" t="str">
        <f>IFERROR(INDEX('Lower Hot Cell Logistics'!$I$13:$O$19,MATCH($K103,'Lower Hot Cell Logistics'!$H$13:$H$19,0),MATCH($L103,'Lower Hot Cell Logistics'!$H$13:$H$19,0)),"N/A")</f>
        <v>N/A</v>
      </c>
      <c r="N103" s="1898" t="str">
        <f>IFERROR(VLOOKUP($J103,'Lower Hot Cell Logistics'!$H$4:$I$9,2,FALSE),"N/A")</f>
        <v>N/A</v>
      </c>
      <c r="O103" s="1903" t="str">
        <f t="shared" si="7"/>
        <v>N/A</v>
      </c>
      <c r="P103" s="1902"/>
      <c r="Q103" s="1903" t="str">
        <f>IF($E103="Logistics",VLOOKUP($P103,'Lower Hot Cell Logistics'!$C$4:$D$69,2,FALSE),"N/A")</f>
        <v>N/A</v>
      </c>
      <c r="R103" s="3380" t="s">
        <v>1944</v>
      </c>
      <c r="S103" s="1903">
        <f>IFERROR(VLOOKUP($R103,'Lower HotCell RecoveryLogistics'!$C$4:$F$110,4,FALSE),"N/A")</f>
        <v>113.14611111111107</v>
      </c>
      <c r="T103" s="632">
        <f t="shared" si="12"/>
        <v>96.615388844380973</v>
      </c>
      <c r="V103" s="2031"/>
      <c r="W103" s="2031"/>
      <c r="X103" s="2031"/>
      <c r="Y103" s="1466"/>
    </row>
    <row r="104" spans="1:29" s="88" customFormat="1" ht="15" hidden="1" outlineLevel="2" thickBot="1" x14ac:dyDescent="0.45">
      <c r="B104" s="1771"/>
      <c r="C104" s="3816"/>
      <c r="D104" s="1869" t="s">
        <v>2089</v>
      </c>
      <c r="E104" s="1918" t="s">
        <v>3</v>
      </c>
      <c r="F104" s="1295">
        <f t="shared" si="8"/>
        <v>0.6</v>
      </c>
      <c r="G104" s="1295">
        <f t="shared" si="11"/>
        <v>220.39783226849062</v>
      </c>
      <c r="H104" s="1869"/>
      <c r="I104" s="1922" t="s">
        <v>263</v>
      </c>
      <c r="J104" s="1869"/>
      <c r="K104" s="837"/>
      <c r="L104" s="837"/>
      <c r="M104" s="842" t="str">
        <f>IFERROR(INDEX('Lower Hot Cell Logistics'!$I$13:$O$19,MATCH($K104,'Lower Hot Cell Logistics'!$H$13:$H$19,0),MATCH($L104,'Lower Hot Cell Logistics'!$H$13:$H$19,0)),"N/A")</f>
        <v>N/A</v>
      </c>
      <c r="N104" s="842" t="str">
        <f>IFERROR(VLOOKUP($J104,'Lower Hot Cell Logistics'!$H$4:$I$9,2,FALSE),"N/A")</f>
        <v>N/A</v>
      </c>
      <c r="O104" s="1922" t="str">
        <f t="shared" si="7"/>
        <v>N/A</v>
      </c>
      <c r="P104" s="1921" t="s">
        <v>2008</v>
      </c>
      <c r="Q104" s="1922">
        <f>IF($E104="Logistics",VLOOKUP($P104,'Lower Hot Cell Logistics'!$C$4:$D$69,2,FALSE),"N/A")</f>
        <v>0.6</v>
      </c>
      <c r="R104" s="3382"/>
      <c r="S104" s="1922" t="str">
        <f>IFERROR(VLOOKUP($R104,'Lower HotCell RecoveryLogistics'!$C$4:$F$110,4,FALSE),"N/A")</f>
        <v>N/A</v>
      </c>
      <c r="T104" s="591" t="str">
        <f t="shared" si="12"/>
        <v>N/A</v>
      </c>
      <c r="V104" s="2031"/>
      <c r="W104" s="2031"/>
      <c r="X104" s="2031"/>
      <c r="Y104" s="1466"/>
    </row>
    <row r="105" spans="1:29" s="8" customFormat="1" outlineLevel="1" collapsed="1" x14ac:dyDescent="0.4">
      <c r="A105"/>
      <c r="B105" s="1771"/>
      <c r="C105" s="891"/>
      <c r="D105" s="892"/>
      <c r="E105" s="1439" t="s">
        <v>11</v>
      </c>
      <c r="F105" s="1439"/>
      <c r="G105" s="894">
        <f>G104</f>
        <v>220.39783226849062</v>
      </c>
      <c r="H105" s="94"/>
      <c r="I105" s="895"/>
      <c r="J105" s="94"/>
      <c r="K105" s="94"/>
      <c r="L105" s="896"/>
      <c r="M105" s="897"/>
      <c r="N105" s="897"/>
      <c r="O105" s="894"/>
      <c r="P105" s="94"/>
      <c r="Q105" s="897"/>
      <c r="R105" s="3383"/>
      <c r="S105" s="7"/>
      <c r="T105" s="895"/>
      <c r="U105" s="895"/>
      <c r="V105" s="7"/>
      <c r="W105" s="7"/>
      <c r="X105" s="7"/>
      <c r="Y105" s="7"/>
      <c r="Z105"/>
      <c r="AA105"/>
      <c r="AB105"/>
      <c r="AC105"/>
    </row>
    <row r="106" spans="1:29" s="8" customFormat="1" outlineLevel="1" x14ac:dyDescent="0.4">
      <c r="A106"/>
      <c r="B106" s="1771"/>
      <c r="C106" s="891"/>
      <c r="D106" s="892"/>
      <c r="E106" s="898"/>
      <c r="F106" s="894"/>
      <c r="G106" s="894"/>
      <c r="H106" s="94"/>
      <c r="I106" s="895"/>
      <c r="J106" s="94"/>
      <c r="K106" s="94"/>
      <c r="L106" s="896"/>
      <c r="M106" s="897"/>
      <c r="N106" s="897"/>
      <c r="O106" s="894"/>
      <c r="P106" s="94"/>
      <c r="Q106" s="897"/>
      <c r="R106" s="3383"/>
      <c r="S106" s="7"/>
      <c r="T106" s="895"/>
      <c r="U106" s="895"/>
      <c r="V106" s="7"/>
      <c r="W106" s="7"/>
      <c r="X106" s="7"/>
      <c r="Y106" s="7"/>
      <c r="Z106"/>
      <c r="AA106"/>
      <c r="AB106"/>
      <c r="AC106"/>
    </row>
    <row r="107" spans="1:29" s="8" customFormat="1" x14ac:dyDescent="0.4">
      <c r="A107"/>
      <c r="B107" s="1783"/>
      <c r="C107" s="1784"/>
      <c r="D107" s="1784"/>
      <c r="E107" s="1925"/>
      <c r="F107" s="1784"/>
      <c r="G107" s="1784"/>
      <c r="H107" s="1926"/>
      <c r="I107" s="1796"/>
      <c r="J107" s="1784"/>
      <c r="K107" s="1784"/>
      <c r="L107" s="1924"/>
      <c r="M107" s="1784"/>
      <c r="N107" s="1784"/>
      <c r="O107" s="1784"/>
      <c r="P107" s="1784"/>
      <c r="Q107" s="1784"/>
      <c r="R107" s="3384"/>
      <c r="S107" s="1796"/>
      <c r="T107" s="1784"/>
      <c r="U107" s="1784"/>
      <c r="V107" s="1796"/>
      <c r="W107" s="1796"/>
      <c r="X107" s="1796"/>
      <c r="Y107" s="1796"/>
      <c r="Z107"/>
      <c r="AA107"/>
      <c r="AB107"/>
      <c r="AC107"/>
    </row>
    <row r="109" spans="1:29" s="8" customFormat="1" ht="15.45" x14ac:dyDescent="0.4">
      <c r="A109"/>
      <c r="B109" s="1927"/>
      <c r="C109" s="2300"/>
      <c r="D109" s="1929" t="s">
        <v>1874</v>
      </c>
      <c r="E109" s="1930"/>
      <c r="F109" s="1930"/>
      <c r="G109" s="1930"/>
      <c r="H109" s="1930"/>
      <c r="I109" s="1930"/>
      <c r="J109" s="1930"/>
      <c r="K109" s="1930"/>
      <c r="L109" s="1930"/>
      <c r="M109" s="1930"/>
      <c r="N109" s="1930"/>
      <c r="O109" s="1930"/>
      <c r="P109" s="1930"/>
      <c r="Q109" s="1930"/>
      <c r="R109" s="3385"/>
      <c r="S109" s="1930"/>
      <c r="T109" s="1930"/>
      <c r="U109" s="1930"/>
      <c r="V109" s="1930"/>
      <c r="W109" s="1930"/>
      <c r="X109" s="1930"/>
      <c r="Y109" s="1930"/>
      <c r="Z109"/>
      <c r="AA109"/>
      <c r="AB109"/>
      <c r="AC109"/>
    </row>
    <row r="110" spans="1:29" s="8" customFormat="1" outlineLevel="1" x14ac:dyDescent="0.4">
      <c r="A110"/>
      <c r="B110" s="1931"/>
      <c r="C110" s="704"/>
      <c r="D110" s="748" t="s">
        <v>1053</v>
      </c>
      <c r="E110" s="749"/>
      <c r="F110" s="704"/>
      <c r="G110" s="704"/>
      <c r="H110" s="704"/>
      <c r="I110" s="750"/>
      <c r="J110" s="704"/>
      <c r="K110" s="704"/>
      <c r="L110" s="704"/>
      <c r="M110" s="704"/>
      <c r="N110" s="704"/>
      <c r="O110" s="704"/>
      <c r="P110" s="704"/>
      <c r="Q110" s="704"/>
      <c r="R110" s="3364"/>
      <c r="S110" s="750"/>
      <c r="T110" s="704"/>
      <c r="U110" s="704"/>
      <c r="V110" s="750"/>
      <c r="W110" s="750"/>
      <c r="X110" s="750"/>
      <c r="Y110" s="750"/>
      <c r="Z110"/>
      <c r="AA110"/>
      <c r="AB110"/>
      <c r="AC110"/>
    </row>
    <row r="111" spans="1:29" s="8" customFormat="1" ht="15" outlineLevel="1" thickBot="1" x14ac:dyDescent="0.45">
      <c r="A111"/>
      <c r="B111" s="1931"/>
      <c r="C111" s="704"/>
      <c r="D111" s="704" t="s">
        <v>1034</v>
      </c>
      <c r="E111" s="749"/>
      <c r="F111" s="704"/>
      <c r="G111" s="704"/>
      <c r="H111" s="704"/>
      <c r="I111" s="750"/>
      <c r="J111" s="704"/>
      <c r="K111" s="704"/>
      <c r="L111" s="704"/>
      <c r="M111" s="704"/>
      <c r="N111" s="704"/>
      <c r="O111" s="704"/>
      <c r="P111" s="704"/>
      <c r="Q111" s="704"/>
      <c r="R111" s="3364"/>
      <c r="S111" s="750"/>
      <c r="T111" s="704"/>
      <c r="V111" s="704"/>
      <c r="W111" s="750"/>
      <c r="X111" s="750"/>
      <c r="Y111" s="750"/>
      <c r="Z111"/>
      <c r="AA111"/>
      <c r="AB111"/>
      <c r="AC111"/>
    </row>
    <row r="112" spans="1:29" s="8" customFormat="1" outlineLevel="1" x14ac:dyDescent="0.4">
      <c r="A112"/>
      <c r="B112" s="1931"/>
      <c r="C112" s="704"/>
      <c r="D112" t="s">
        <v>2690</v>
      </c>
      <c r="E112" s="749"/>
      <c r="F112" s="704"/>
      <c r="G112" s="704"/>
      <c r="H112" s="704"/>
      <c r="I112" s="750"/>
      <c r="J112" s="704"/>
      <c r="K112" s="704"/>
      <c r="L112" s="704"/>
      <c r="M112" s="704"/>
      <c r="N112" s="704"/>
      <c r="O112" s="704"/>
      <c r="P112" s="704"/>
      <c r="Q112" s="704"/>
      <c r="R112" s="3570"/>
      <c r="S112" s="3567" t="s">
        <v>23</v>
      </c>
      <c r="T112" s="3842" t="s">
        <v>2604</v>
      </c>
      <c r="U112" s="3843"/>
      <c r="V112" s="3843"/>
      <c r="W112" s="3843"/>
      <c r="X112" s="3844"/>
      <c r="Y112" s="1044"/>
      <c r="Z112"/>
      <c r="AA112"/>
      <c r="AB112"/>
      <c r="AC112"/>
    </row>
    <row r="113" spans="1:29" s="8" customFormat="1" outlineLevel="1" x14ac:dyDescent="0.4">
      <c r="A113"/>
      <c r="B113" s="1931"/>
      <c r="C113" s="704"/>
      <c r="D113" s="704" t="s">
        <v>1035</v>
      </c>
      <c r="E113" s="749"/>
      <c r="F113" s="704"/>
      <c r="G113" s="704"/>
      <c r="H113" s="704"/>
      <c r="I113" s="750"/>
      <c r="J113" s="704"/>
      <c r="K113" s="704"/>
      <c r="L113" s="704"/>
      <c r="M113" s="704"/>
      <c r="N113" s="704"/>
      <c r="O113" s="704"/>
      <c r="P113" s="704"/>
      <c r="Q113" s="704"/>
      <c r="R113" s="3543" t="s">
        <v>1055</v>
      </c>
      <c r="S113" s="1434">
        <v>1</v>
      </c>
      <c r="T113" s="1512">
        <v>1</v>
      </c>
      <c r="U113" s="916">
        <v>2</v>
      </c>
      <c r="V113" s="916">
        <v>3</v>
      </c>
      <c r="W113" s="916">
        <v>4</v>
      </c>
      <c r="X113" s="1045">
        <v>6</v>
      </c>
      <c r="Y113" s="1851"/>
      <c r="Z113"/>
      <c r="AA113"/>
      <c r="AB113"/>
      <c r="AC113"/>
    </row>
    <row r="114" spans="1:29" s="8" customFormat="1" outlineLevel="1" x14ac:dyDescent="0.4">
      <c r="A114"/>
      <c r="B114" s="1931"/>
      <c r="C114" s="704"/>
      <c r="D114" s="704" t="s">
        <v>1036</v>
      </c>
      <c r="E114" s="749"/>
      <c r="F114" s="704"/>
      <c r="G114" s="704"/>
      <c r="H114" s="704"/>
      <c r="I114" s="750"/>
      <c r="J114" s="704"/>
      <c r="K114" s="704"/>
      <c r="L114" s="704"/>
      <c r="M114" s="704"/>
      <c r="N114" s="704"/>
      <c r="O114" s="704"/>
      <c r="P114" s="704"/>
      <c r="Q114" s="704"/>
      <c r="R114" s="3140" t="s">
        <v>2665</v>
      </c>
      <c r="S114" s="1088">
        <f>connect_lower_blanket_pipework</f>
        <v>26.773271037841543</v>
      </c>
      <c r="T114" s="1415">
        <f>ROUNDUP(Tokamak_Segmts/T113,0)*connect_lower_blanket_pipework</f>
        <v>428.37233660546468</v>
      </c>
      <c r="U114" s="917">
        <f>ROUNDUP(Tokamak_Segmts/U113,0)*connect_lower_blanket_pipework</f>
        <v>214.18616830273234</v>
      </c>
      <c r="V114" s="917">
        <f>ROUNDUP(Tokamak_Segmts/V113,0)*connect_lower_blanket_pipework</f>
        <v>160.63962622704926</v>
      </c>
      <c r="W114" s="917">
        <f>ROUNDUP(Tokamak_Segmts/W113,0)*connect_lower_blanket_pipework</f>
        <v>107.09308415136617</v>
      </c>
      <c r="X114" s="1028">
        <f>ROUNDUP(Tokamak_Segmts/X113,0)*connect_lower_blanket_pipework</f>
        <v>80.319813113524631</v>
      </c>
      <c r="Y114" s="290"/>
      <c r="Z114"/>
      <c r="AA114"/>
      <c r="AB114"/>
      <c r="AC114"/>
    </row>
    <row r="115" spans="1:29" s="8" customFormat="1" ht="15" outlineLevel="1" thickBot="1" x14ac:dyDescent="0.45">
      <c r="A115"/>
      <c r="B115" s="1931"/>
      <c r="C115" s="704"/>
      <c r="D115" s="704" t="s">
        <v>1037</v>
      </c>
      <c r="E115" s="749"/>
      <c r="F115" s="704"/>
      <c r="G115" s="704"/>
      <c r="H115" s="704"/>
      <c r="I115" s="750"/>
      <c r="J115" s="704"/>
      <c r="K115" s="704"/>
      <c r="L115" s="704"/>
      <c r="M115" s="704"/>
      <c r="N115" s="704"/>
      <c r="O115" s="704"/>
      <c r="P115" s="704"/>
      <c r="Q115" s="704"/>
      <c r="R115" s="3141" t="s">
        <v>2693</v>
      </c>
      <c r="S115" s="1092">
        <f>S$114*$E$119</f>
        <v>0.29450598141625695</v>
      </c>
      <c r="T115" s="1416">
        <f t="shared" ref="T115:X115" si="13">T$114*$E$119</f>
        <v>4.7120957026601111</v>
      </c>
      <c r="U115" s="920">
        <f t="shared" si="13"/>
        <v>2.3560478513300556</v>
      </c>
      <c r="V115" s="920">
        <f t="shared" si="13"/>
        <v>1.7670358884975419</v>
      </c>
      <c r="W115" s="920">
        <f t="shared" si="13"/>
        <v>1.1780239256650278</v>
      </c>
      <c r="X115" s="1029">
        <f t="shared" si="13"/>
        <v>0.88351794424877095</v>
      </c>
      <c r="Y115" s="290"/>
      <c r="Z115"/>
      <c r="AA115"/>
      <c r="AB115"/>
      <c r="AC115"/>
    </row>
    <row r="116" spans="1:29" s="8" customFormat="1" outlineLevel="1" x14ac:dyDescent="0.4">
      <c r="A116"/>
      <c r="B116" s="1931"/>
      <c r="C116" s="704"/>
      <c r="D116" s="704" t="s">
        <v>1038</v>
      </c>
      <c r="E116" s="749"/>
      <c r="F116" s="704"/>
      <c r="G116" s="704"/>
      <c r="H116" s="704"/>
      <c r="I116" s="750"/>
      <c r="J116" s="704"/>
      <c r="K116" s="704"/>
      <c r="L116" s="704"/>
      <c r="M116" s="704"/>
      <c r="N116" s="704"/>
      <c r="O116" s="704"/>
      <c r="P116" s="704"/>
      <c r="Q116" s="704"/>
      <c r="R116" s="3571" t="s">
        <v>1048</v>
      </c>
      <c r="S116" s="1515">
        <f t="shared" ref="S116:X116" si="14">S115*(SUMIF($E127:$E165,"Operation",$F127:$F165))</f>
        <v>45.949154683617309</v>
      </c>
      <c r="T116" s="1500">
        <f t="shared" si="14"/>
        <v>735.18647493787694</v>
      </c>
      <c r="U116" s="768">
        <f t="shared" si="14"/>
        <v>367.59323746893847</v>
      </c>
      <c r="V116" s="768">
        <f t="shared" si="14"/>
        <v>275.69492810170391</v>
      </c>
      <c r="W116" s="768">
        <f t="shared" si="14"/>
        <v>183.79661873446923</v>
      </c>
      <c r="X116" s="1062">
        <f t="shared" si="14"/>
        <v>137.84746405085195</v>
      </c>
      <c r="Y116" s="290"/>
      <c r="Z116"/>
      <c r="AA116"/>
      <c r="AB116"/>
      <c r="AC116"/>
    </row>
    <row r="117" spans="1:29" s="8" customFormat="1" outlineLevel="1" x14ac:dyDescent="0.4">
      <c r="A117"/>
      <c r="B117" s="1931"/>
      <c r="C117" s="704"/>
      <c r="D117" s="704"/>
      <c r="E117" s="749"/>
      <c r="F117" s="704"/>
      <c r="G117" s="704"/>
      <c r="H117" s="704"/>
      <c r="I117" s="750"/>
      <c r="J117" s="704"/>
      <c r="K117" s="704"/>
      <c r="L117" s="704"/>
      <c r="M117" s="704"/>
      <c r="N117" s="704"/>
      <c r="O117" s="704"/>
      <c r="P117" s="704"/>
      <c r="Q117" s="704"/>
      <c r="R117" s="3543" t="s">
        <v>2658</v>
      </c>
      <c r="S117" s="1516">
        <f t="shared" ref="S117:X117" si="15">S115*(SUMIF($E127:$E165,"Movement",$F127:$F165)+(SUMIF($E127:$E165,"Logistics",$F127:$F165)))</f>
        <v>5.0802281794304331</v>
      </c>
      <c r="T117" s="1502">
        <f t="shared" si="15"/>
        <v>81.28365087088693</v>
      </c>
      <c r="U117" s="769">
        <f t="shared" si="15"/>
        <v>40.641825435443465</v>
      </c>
      <c r="V117" s="769">
        <f t="shared" si="15"/>
        <v>30.481369076582602</v>
      </c>
      <c r="W117" s="769">
        <f t="shared" si="15"/>
        <v>20.320912717721733</v>
      </c>
      <c r="X117" s="1064">
        <f t="shared" si="15"/>
        <v>15.240684538291301</v>
      </c>
      <c r="Y117" s="290"/>
      <c r="Z117"/>
      <c r="AA117"/>
      <c r="AB117"/>
      <c r="AC117"/>
    </row>
    <row r="118" spans="1:29" s="8" customFormat="1" ht="15" outlineLevel="1" thickBot="1" x14ac:dyDescent="0.45">
      <c r="A118"/>
      <c r="B118" s="1931"/>
      <c r="C118" s="704"/>
      <c r="D118" s="704"/>
      <c r="E118" s="749"/>
      <c r="F118" s="704"/>
      <c r="G118" s="704"/>
      <c r="H118" s="704"/>
      <c r="I118" s="750"/>
      <c r="J118" s="704"/>
      <c r="K118" s="704"/>
      <c r="L118" s="704"/>
      <c r="M118" s="704"/>
      <c r="N118" s="704"/>
      <c r="O118" s="704"/>
      <c r="P118" s="704"/>
      <c r="Q118" s="704"/>
      <c r="R118" s="3572" t="s">
        <v>2663</v>
      </c>
      <c r="S118" s="1112">
        <f t="shared" ref="S118:X118" si="16">S115*(-SUMIF($T127:$T165,"&lt;0"))</f>
        <v>6.9622316834916598</v>
      </c>
      <c r="T118" s="1110">
        <f t="shared" si="16"/>
        <v>111.39570693586656</v>
      </c>
      <c r="U118" s="770">
        <f t="shared" si="16"/>
        <v>55.697853467933278</v>
      </c>
      <c r="V118" s="770">
        <f t="shared" si="16"/>
        <v>41.77339010094996</v>
      </c>
      <c r="W118" s="770">
        <f t="shared" si="16"/>
        <v>27.848926733966639</v>
      </c>
      <c r="X118" s="1066">
        <f t="shared" si="16"/>
        <v>20.88669505047498</v>
      </c>
      <c r="Y118" s="290"/>
      <c r="Z118"/>
      <c r="AA118"/>
      <c r="AB118"/>
      <c r="AC118"/>
    </row>
    <row r="119" spans="1:29" s="8" customFormat="1" ht="15" outlineLevel="1" thickBot="1" x14ac:dyDescent="0.45">
      <c r="A119"/>
      <c r="B119" s="1931"/>
      <c r="C119" s="704"/>
      <c r="D119" s="748" t="s">
        <v>1056</v>
      </c>
      <c r="E119" s="709">
        <f>SUM(E120:E121)</f>
        <v>1.0999999999999999E-2</v>
      </c>
      <c r="F119" s="709"/>
      <c r="G119" s="709"/>
      <c r="H119" s="709"/>
      <c r="I119" s="919"/>
      <c r="J119" s="918"/>
      <c r="K119" s="918"/>
      <c r="L119" s="918"/>
      <c r="M119" s="918"/>
      <c r="N119" s="918"/>
      <c r="O119" s="918"/>
      <c r="P119" s="704"/>
      <c r="Q119" s="704"/>
      <c r="R119" s="3573" t="s">
        <v>2667</v>
      </c>
      <c r="S119" s="2974">
        <f t="shared" ref="S119:X119" si="17">S115*$G$166</f>
        <v>57.99161454653941</v>
      </c>
      <c r="T119" s="2994">
        <f t="shared" si="17"/>
        <v>927.86583274463055</v>
      </c>
      <c r="U119" s="694">
        <f t="shared" si="17"/>
        <v>463.93291637231528</v>
      </c>
      <c r="V119" s="694">
        <f t="shared" si="17"/>
        <v>347.94968727923651</v>
      </c>
      <c r="W119" s="694">
        <f t="shared" si="17"/>
        <v>231.96645818615764</v>
      </c>
      <c r="X119" s="2974">
        <f t="shared" si="17"/>
        <v>173.97484363961826</v>
      </c>
      <c r="Y119" s="915"/>
      <c r="Z119"/>
      <c r="AA119"/>
      <c r="AB119"/>
      <c r="AC119"/>
    </row>
    <row r="120" spans="1:29" s="8" customFormat="1" outlineLevel="1" x14ac:dyDescent="0.4">
      <c r="A120"/>
      <c r="B120" s="1932"/>
      <c r="C120" s="5"/>
      <c r="D120" s="7" t="s">
        <v>1057</v>
      </c>
      <c r="E120" s="763">
        <f>Weld_Failure_Rate</f>
        <v>1E-3</v>
      </c>
      <c r="F120" s="922"/>
      <c r="G120" s="922"/>
      <c r="H120" s="924"/>
      <c r="I120" s="290"/>
      <c r="J120" s="922"/>
      <c r="K120" s="922"/>
      <c r="L120" s="925"/>
      <c r="M120" s="922"/>
      <c r="N120" s="922"/>
      <c r="O120" s="922"/>
      <c r="P120" s="706"/>
      <c r="Q120" s="7"/>
      <c r="Y120" s="915"/>
      <c r="Z120"/>
      <c r="AA120"/>
      <c r="AB120"/>
      <c r="AC120"/>
    </row>
    <row r="121" spans="1:29" s="8" customFormat="1" outlineLevel="1" x14ac:dyDescent="0.4">
      <c r="A121"/>
      <c r="B121" s="1932"/>
      <c r="C121" s="5"/>
      <c r="D121" s="7" t="s">
        <v>1058</v>
      </c>
      <c r="E121" s="763">
        <f>SJS_welder_failure</f>
        <v>0.01</v>
      </c>
      <c r="F121" s="922"/>
      <c r="G121" s="922"/>
      <c r="H121" s="924"/>
      <c r="I121" s="290"/>
      <c r="J121" s="922"/>
      <c r="K121" s="922"/>
      <c r="L121" s="925"/>
      <c r="M121" s="922"/>
      <c r="N121" s="922"/>
      <c r="O121" s="922"/>
      <c r="P121" s="706"/>
      <c r="Q121" s="7"/>
      <c r="Y121" s="915"/>
      <c r="Z121"/>
      <c r="AA121"/>
      <c r="AB121"/>
      <c r="AC121"/>
    </row>
    <row r="122" spans="1:29" s="8" customFormat="1" outlineLevel="1" x14ac:dyDescent="0.4">
      <c r="A122"/>
      <c r="B122" s="1932"/>
      <c r="C122" s="5"/>
      <c r="D122" s="926" t="s">
        <v>1059</v>
      </c>
      <c r="E122" s="709">
        <f>E119*(1-(1-E119)^(Divertor_port_pipes_per_blanket))</f>
        <v>3.5902164100000021E-4</v>
      </c>
      <c r="F122" s="927"/>
      <c r="G122" s="927"/>
      <c r="H122" s="927"/>
      <c r="I122" s="919"/>
      <c r="J122" s="927"/>
      <c r="K122" s="927"/>
      <c r="L122" s="927"/>
      <c r="M122" s="927"/>
      <c r="N122" s="927"/>
      <c r="O122" s="927"/>
      <c r="P122" s="706"/>
      <c r="Q122" s="7"/>
      <c r="Z122"/>
      <c r="AA122"/>
      <c r="AB122"/>
      <c r="AC122"/>
    </row>
    <row r="123" spans="1:29" s="8" customFormat="1" outlineLevel="1" x14ac:dyDescent="0.4">
      <c r="A123"/>
      <c r="B123" s="1932"/>
      <c r="C123" s="5"/>
      <c r="D123" s="926"/>
      <c r="E123" s="928"/>
      <c r="F123" s="927"/>
      <c r="G123" s="927"/>
      <c r="H123" s="927"/>
      <c r="I123" s="919"/>
      <c r="J123" s="927"/>
      <c r="K123" s="927"/>
      <c r="L123" s="927"/>
      <c r="M123" s="927"/>
      <c r="N123" s="927"/>
      <c r="O123" s="927"/>
      <c r="P123" s="706"/>
      <c r="Q123" s="7"/>
      <c r="R123" s="3369"/>
      <c r="S123" s="290"/>
      <c r="T123" s="7"/>
      <c r="U123" s="7"/>
      <c r="V123" s="290"/>
      <c r="W123" s="290"/>
      <c r="X123" s="290"/>
      <c r="Y123" s="290"/>
      <c r="Z123"/>
      <c r="AA123"/>
      <c r="AB123"/>
      <c r="AC123"/>
    </row>
    <row r="124" spans="1:29" s="8" customFormat="1" ht="15.75" hidden="1" customHeight="1" outlineLevel="2" thickBot="1" x14ac:dyDescent="0.45">
      <c r="A124"/>
      <c r="B124" s="1932"/>
      <c r="C124" s="5"/>
      <c r="D124" s="926"/>
      <c r="E124" s="928"/>
      <c r="F124" s="927"/>
      <c r="G124" s="927"/>
      <c r="H124" s="927"/>
      <c r="I124" s="919"/>
      <c r="J124" s="927"/>
      <c r="K124" s="927"/>
      <c r="L124" s="927"/>
      <c r="M124" s="927"/>
      <c r="N124" s="927"/>
      <c r="O124" s="927"/>
      <c r="P124" s="706"/>
      <c r="Q124" s="7"/>
      <c r="R124" s="3369"/>
      <c r="S124" s="290"/>
      <c r="T124" s="7"/>
      <c r="U124" s="7"/>
      <c r="V124" s="290"/>
      <c r="W124" s="290"/>
      <c r="X124" s="290"/>
      <c r="Y124" s="290"/>
      <c r="Z124"/>
      <c r="AA124"/>
      <c r="AB124"/>
      <c r="AC124"/>
    </row>
    <row r="125" spans="1:29" s="8" customFormat="1" ht="15.75" hidden="1" customHeight="1" outlineLevel="2" thickBot="1" x14ac:dyDescent="0.45">
      <c r="A125"/>
      <c r="B125" s="1932"/>
      <c r="C125" s="5"/>
      <c r="D125" s="926"/>
      <c r="E125" s="701"/>
      <c r="F125" s="7"/>
      <c r="G125" s="929"/>
      <c r="H125" s="930" t="s">
        <v>18</v>
      </c>
      <c r="I125" s="931"/>
      <c r="J125" s="932" t="s">
        <v>778</v>
      </c>
      <c r="K125" s="933"/>
      <c r="L125" s="933"/>
      <c r="M125" s="933"/>
      <c r="N125" s="933"/>
      <c r="O125" s="934"/>
      <c r="P125" s="933" t="s">
        <v>3</v>
      </c>
      <c r="Q125" s="934"/>
      <c r="R125" s="3386" t="s">
        <v>779</v>
      </c>
      <c r="S125" s="3018"/>
      <c r="T125" s="3019"/>
      <c r="V125" s="938"/>
      <c r="W125" s="938"/>
      <c r="X125" s="7"/>
      <c r="Y125" s="290"/>
      <c r="Z125"/>
      <c r="AA125"/>
      <c r="AB125"/>
      <c r="AC125"/>
    </row>
    <row r="126" spans="1:29" s="8" customFormat="1" ht="30.75" hidden="1" customHeight="1" outlineLevel="2" thickBot="1" x14ac:dyDescent="0.45">
      <c r="A126"/>
      <c r="B126" s="1932"/>
      <c r="C126" s="939" t="s">
        <v>780</v>
      </c>
      <c r="D126" s="940" t="s">
        <v>1060</v>
      </c>
      <c r="E126" s="941" t="s">
        <v>782</v>
      </c>
      <c r="F126" s="942" t="s">
        <v>783</v>
      </c>
      <c r="G126" s="943" t="s">
        <v>784</v>
      </c>
      <c r="H126" s="562" t="s">
        <v>785</v>
      </c>
      <c r="I126" s="944" t="s">
        <v>783</v>
      </c>
      <c r="J126" s="562" t="s">
        <v>786</v>
      </c>
      <c r="K126" s="563" t="s">
        <v>787</v>
      </c>
      <c r="L126" s="563" t="s">
        <v>788</v>
      </c>
      <c r="M126" s="563" t="s">
        <v>789</v>
      </c>
      <c r="N126" s="563" t="s">
        <v>790</v>
      </c>
      <c r="O126" s="945" t="s">
        <v>783</v>
      </c>
      <c r="P126" s="560" t="s">
        <v>785</v>
      </c>
      <c r="Q126" s="946" t="s">
        <v>783</v>
      </c>
      <c r="R126" s="3387" t="s">
        <v>781</v>
      </c>
      <c r="S126" s="794" t="s">
        <v>791</v>
      </c>
      <c r="T126" s="789" t="s">
        <v>792</v>
      </c>
      <c r="V126" s="947"/>
      <c r="W126" s="947"/>
      <c r="X126" s="7"/>
      <c r="Y126" s="290"/>
      <c r="Z126"/>
      <c r="AA126"/>
      <c r="AB126"/>
      <c r="AC126"/>
    </row>
    <row r="127" spans="1:29" s="8" customFormat="1" ht="15" hidden="1" customHeight="1" outlineLevel="2" x14ac:dyDescent="0.4">
      <c r="A127"/>
      <c r="B127" s="1932"/>
      <c r="C127" s="3886" t="s">
        <v>1062</v>
      </c>
      <c r="D127" s="797" t="s">
        <v>1875</v>
      </c>
      <c r="E127" s="799" t="s">
        <v>251</v>
      </c>
      <c r="F127" s="456">
        <f>MAX($Q127,$O127,$I127)</f>
        <v>0</v>
      </c>
      <c r="G127" s="800">
        <f>F127</f>
        <v>0</v>
      </c>
      <c r="H127" s="797" t="s">
        <v>557</v>
      </c>
      <c r="I127" s="621">
        <v>0</v>
      </c>
      <c r="J127" s="568"/>
      <c r="K127" s="566"/>
      <c r="L127" s="801"/>
      <c r="M127" s="802" t="str">
        <f>IFERROR(INDEX('Lower Hot Cell Logistics'!$I$28:$O$34,MATCH($K127,'Lower Hot Cell Logistics'!$H$28:$H$34,0),MATCH($L127,'Lower Hot Cell Logistics'!$H$28:$H$34,0)),"N/A")</f>
        <v>N/A</v>
      </c>
      <c r="N127" s="570" t="str">
        <f>IFERROR(VLOOKUP($J127,'Lower Hot Cell Logistics'!$H$4:$I$8,2,FALSE),"N/A")</f>
        <v>N/A</v>
      </c>
      <c r="O127" s="800" t="str">
        <f t="shared" ref="O127:O165" si="18">IF(E127="Movement",IFERROR((M127/N127)/(60*60),"Error"),"N/A")</f>
        <v>N/A</v>
      </c>
      <c r="P127" s="803"/>
      <c r="Q127" s="802" t="str">
        <f>IF($E127="Logistics",VLOOKUP($P127,'Lower Hot Cell Logistics'!$C$4:$D$57,2,FALSE),"N/A")</f>
        <v>N/A</v>
      </c>
      <c r="R127" s="3398"/>
      <c r="S127" s="804" t="str">
        <f>IFERROR(VLOOKUP($R127,'Lower HotCell RecoveryLogistics'!$C$80:$F$109,4,FALSE),"N/A")</f>
        <v>N/A</v>
      </c>
      <c r="T127" s="621" t="str">
        <f>IFERROR(G127-F127-S127,"N/A")</f>
        <v>N/A</v>
      </c>
      <c r="V127" s="947"/>
      <c r="W127" s="947"/>
      <c r="X127" s="7"/>
      <c r="Y127" s="290"/>
      <c r="Z127"/>
      <c r="AA127"/>
      <c r="AB127"/>
      <c r="AC127"/>
    </row>
    <row r="128" spans="1:29" s="8" customFormat="1" ht="15.75" hidden="1" customHeight="1" outlineLevel="2" thickBot="1" x14ac:dyDescent="0.45">
      <c r="A128"/>
      <c r="B128" s="1932"/>
      <c r="C128" s="3887"/>
      <c r="D128" s="807" t="s">
        <v>1885</v>
      </c>
      <c r="E128" s="809" t="s">
        <v>251</v>
      </c>
      <c r="F128" s="471">
        <f t="shared" ref="F128:F165" si="19">MAX($Q128,$O128,$I128)</f>
        <v>12.602967059728389</v>
      </c>
      <c r="G128" s="810">
        <f t="shared" ref="G128:G165" si="20">IF(T128&lt;0,F128+G127+(-T128),F128+G127)</f>
        <v>12.602967059728389</v>
      </c>
      <c r="H128" s="807" t="s">
        <v>2282</v>
      </c>
      <c r="I128" s="811">
        <v>12.602967059728389</v>
      </c>
      <c r="J128" s="586"/>
      <c r="K128" s="584"/>
      <c r="L128" s="812"/>
      <c r="M128" s="813" t="str">
        <f>IFERROR(INDEX(#REF!,MATCH($K128,#REF!,0),MATCH($L128,#REF!,0)),"N/A")</f>
        <v>N/A</v>
      </c>
      <c r="N128" s="814" t="str">
        <f>IFERROR(VLOOKUP($J128,#REF!,2,FALSE),"N/A")</f>
        <v>N/A</v>
      </c>
      <c r="O128" s="810" t="str">
        <f t="shared" si="18"/>
        <v>N/A</v>
      </c>
      <c r="P128" s="815"/>
      <c r="Q128" s="813" t="str">
        <f>IF($E128="Logistics",VLOOKUP($P128,'Lower Hot Cell Logistics'!$C$4:$D$57,2,FALSE),"N/A")</f>
        <v>N/A</v>
      </c>
      <c r="R128" s="3400"/>
      <c r="S128" s="816" t="str">
        <f>IFERROR(VLOOKUP($R128,'Lower HotCell RecoveryLogistics'!$C$4:$F$110,4,FALSE),"N/A")</f>
        <v>N/A</v>
      </c>
      <c r="T128" s="591" t="str">
        <f>IFERROR(G127-S128,"N/A")</f>
        <v>N/A</v>
      </c>
      <c r="V128" s="290"/>
      <c r="W128" s="290"/>
      <c r="X128" s="290"/>
      <c r="Y128" s="290"/>
      <c r="Z128"/>
      <c r="AA128"/>
      <c r="AB128"/>
      <c r="AC128"/>
    </row>
    <row r="129" spans="1:29" s="8" customFormat="1" ht="15.75" hidden="1" customHeight="1" outlineLevel="2" thickBot="1" x14ac:dyDescent="0.45">
      <c r="A129"/>
      <c r="B129" s="1932"/>
      <c r="C129" s="961" t="s">
        <v>2283</v>
      </c>
      <c r="D129" s="963" t="s">
        <v>2044</v>
      </c>
      <c r="E129" s="2298" t="s">
        <v>3</v>
      </c>
      <c r="F129" s="368">
        <f t="shared" si="19"/>
        <v>0.6</v>
      </c>
      <c r="G129" s="363">
        <f t="shared" si="20"/>
        <v>13.202967059728389</v>
      </c>
      <c r="H129" s="611"/>
      <c r="I129" s="616" t="s">
        <v>263</v>
      </c>
      <c r="J129" s="611"/>
      <c r="K129" s="966"/>
      <c r="L129" s="968"/>
      <c r="M129" s="969" t="str">
        <f>IFERROR(INDEX(#REF!,MATCH($K129,#REF!,0),MATCH($L129,#REF!,0)),"N/A")</f>
        <v>N/A</v>
      </c>
      <c r="N129" s="970" t="str">
        <f>IFERROR(VLOOKUP($J129,#REF!,2,FALSE),"N/A")</f>
        <v>N/A</v>
      </c>
      <c r="O129" s="992" t="str">
        <f t="shared" si="18"/>
        <v>N/A</v>
      </c>
      <c r="P129" s="611" t="s">
        <v>2008</v>
      </c>
      <c r="Q129" s="969">
        <f>IF($E129="Logistics",VLOOKUP($P129,'Lower Hot Cell Logistics'!$C$4:$D$57,2,FALSE),"N/A")</f>
        <v>0.6</v>
      </c>
      <c r="R129" s="3574"/>
      <c r="S129" s="2299" t="str">
        <f>IFERROR(VLOOKUP($R129,'Lower HotCell RecoveryLogistics'!$C$4:$F$110,4,FALSE),"N/A")</f>
        <v>N/A</v>
      </c>
      <c r="T129" s="616" t="str">
        <f>IFERROR(G128-S129,"N/A")</f>
        <v>N/A</v>
      </c>
      <c r="V129" s="273"/>
      <c r="W129" s="273"/>
      <c r="X129" s="273"/>
      <c r="Y129" s="5"/>
      <c r="AB129"/>
      <c r="AC129"/>
    </row>
    <row r="130" spans="1:29" s="88" customFormat="1" hidden="1" outlineLevel="2" x14ac:dyDescent="0.4">
      <c r="B130" s="1932"/>
      <c r="C130" s="3787" t="s">
        <v>2284</v>
      </c>
      <c r="D130" s="1129" t="s">
        <v>1252</v>
      </c>
      <c r="E130" s="1620" t="s">
        <v>3</v>
      </c>
      <c r="F130" s="1621">
        <f t="shared" si="19"/>
        <v>0.8</v>
      </c>
      <c r="G130" s="1621">
        <f t="shared" si="20"/>
        <v>14.002967059728389</v>
      </c>
      <c r="H130" s="1129"/>
      <c r="I130" s="1575" t="s">
        <v>263</v>
      </c>
      <c r="J130" s="1129"/>
      <c r="K130" s="1619"/>
      <c r="L130" s="1619"/>
      <c r="M130" s="1623" t="str">
        <f>IFERROR(INDEX('Lower Hot Cell Logistics'!$I$13:$O$19,MATCH($K130,'Lower Hot Cell Logistics'!$H$13:$H$19,0),MATCH($L130,'Lower Hot Cell Logistics'!$H$13:$H$19,0)),"N/A")</f>
        <v>N/A</v>
      </c>
      <c r="N130" s="1623" t="str">
        <f>IFERROR(VLOOKUP($J130,'Lower Hot Cell Logistics'!$H$4:$I$9,2,FALSE),"N/A")</f>
        <v>N/A</v>
      </c>
      <c r="O130" s="1575" t="str">
        <f t="shared" si="18"/>
        <v>N/A</v>
      </c>
      <c r="P130" s="1576" t="s">
        <v>1828</v>
      </c>
      <c r="Q130" s="1575">
        <f>IF($E130="Logistics",VLOOKUP($P130,'Lower Hot Cell Logistics'!$C$4:$D$69,2,FALSE),"N/A")</f>
        <v>0.8</v>
      </c>
      <c r="R130" s="3376"/>
      <c r="S130" s="1575" t="str">
        <f>IFERROR(VLOOKUP($R130,'Lower HotCell RecoveryLogistics'!$C$4:$F$110,4,FALSE),"N/A")</f>
        <v>N/A</v>
      </c>
      <c r="T130" s="1130" t="str">
        <f>IFERROR(G129-S130,"N/A")</f>
        <v>N/A</v>
      </c>
      <c r="V130" s="2031"/>
      <c r="W130" s="2031"/>
      <c r="X130" s="1466"/>
      <c r="Y130" s="2032"/>
      <c r="Z130" s="623"/>
      <c r="AA130" s="623"/>
    </row>
    <row r="131" spans="1:29" s="88" customFormat="1" hidden="1" outlineLevel="2" x14ac:dyDescent="0.4">
      <c r="B131" s="1932"/>
      <c r="C131" s="3786"/>
      <c r="D131" s="1579" t="s">
        <v>1593</v>
      </c>
      <c r="E131" s="1611" t="s">
        <v>3</v>
      </c>
      <c r="F131" s="626">
        <f t="shared" si="19"/>
        <v>0.53</v>
      </c>
      <c r="G131" s="626">
        <f t="shared" si="20"/>
        <v>14.532967059728389</v>
      </c>
      <c r="H131" s="1579"/>
      <c r="I131" s="1183" t="s">
        <v>263</v>
      </c>
      <c r="J131" s="1579"/>
      <c r="K131" s="582"/>
      <c r="L131" s="582"/>
      <c r="M131" s="1478" t="str">
        <f>IFERROR(INDEX('Lower Hot Cell Logistics'!$I$13:$O$19,MATCH($K131,'Lower Hot Cell Logistics'!$H$13:$H$19,0),MATCH($L131,'Lower Hot Cell Logistics'!$H$13:$H$19,0)),"N/A")</f>
        <v>N/A</v>
      </c>
      <c r="N131" s="1478" t="str">
        <f>IFERROR(VLOOKUP($J131,'Lower Hot Cell Logistics'!$H$4:$I$9,2,FALSE),"N/A")</f>
        <v>N/A</v>
      </c>
      <c r="O131" s="1183" t="str">
        <f t="shared" si="18"/>
        <v>N/A</v>
      </c>
      <c r="P131" s="1578" t="s">
        <v>1558</v>
      </c>
      <c r="Q131" s="1183">
        <f>IF($E131="Logistics",VLOOKUP($P131,'Lower Hot Cell Logistics'!$C$4:$D$69,2,FALSE),"N/A")</f>
        <v>0.53</v>
      </c>
      <c r="R131" s="3377"/>
      <c r="S131" s="1183" t="str">
        <f>IFERROR(VLOOKUP($R131,'Lower HotCell RecoveryLogistics'!$C$4:$F$110,4,FALSE),"N/A")</f>
        <v>N/A</v>
      </c>
      <c r="T131" s="632" t="str">
        <f>IFERROR(#REF!-S131,"N/A")</f>
        <v>N/A</v>
      </c>
      <c r="V131" s="2031"/>
      <c r="W131" s="2031"/>
      <c r="X131" s="1466"/>
      <c r="Y131" s="2032"/>
      <c r="Z131" s="623"/>
      <c r="AA131" s="623"/>
    </row>
    <row r="132" spans="1:29" s="88" customFormat="1" hidden="1" outlineLevel="2" x14ac:dyDescent="0.4">
      <c r="B132" s="1932"/>
      <c r="C132" s="3786"/>
      <c r="D132" s="1579" t="s">
        <v>2046</v>
      </c>
      <c r="E132" s="1611" t="s">
        <v>251</v>
      </c>
      <c r="F132" s="626">
        <f t="shared" si="19"/>
        <v>12.602967059728389</v>
      </c>
      <c r="G132" s="626">
        <f t="shared" si="20"/>
        <v>27.135934119456778</v>
      </c>
      <c r="H132" s="1579" t="s">
        <v>441</v>
      </c>
      <c r="I132" s="1183">
        <v>12.602967059728389</v>
      </c>
      <c r="J132" s="1579"/>
      <c r="K132" s="582"/>
      <c r="L132" s="582"/>
      <c r="M132" s="1478" t="str">
        <f>IFERROR(INDEX('Lower Hot Cell Logistics'!$I$13:$O$19,MATCH($K132,'Lower Hot Cell Logistics'!$H$13:$H$19,0),MATCH($L132,'Lower Hot Cell Logistics'!$H$13:$H$19,0)),"N/A")</f>
        <v>N/A</v>
      </c>
      <c r="N132" s="1478" t="str">
        <f>IFERROR(VLOOKUP($J132,'Lower Hot Cell Logistics'!$H$4:$I$9,2,FALSE),"N/A")</f>
        <v>N/A</v>
      </c>
      <c r="O132" s="1183" t="str">
        <f t="shared" si="18"/>
        <v>N/A</v>
      </c>
      <c r="P132" s="1578"/>
      <c r="Q132" s="1183" t="str">
        <f>IF($E132="Logistics",VLOOKUP($P132,'Lower Hot Cell Logistics'!$C$4:$D$69,2,FALSE),"N/A")</f>
        <v>N/A</v>
      </c>
      <c r="R132" s="3377"/>
      <c r="S132" s="1183" t="str">
        <f>IFERROR(VLOOKUP($R132,'Lower HotCell RecoveryLogistics'!$C$4:$F$110,4,FALSE),"N/A")</f>
        <v>N/A</v>
      </c>
      <c r="T132" s="632" t="str">
        <f>IFERROR(#REF!-S132,"N/A")</f>
        <v>N/A</v>
      </c>
      <c r="V132" s="2031"/>
      <c r="W132" s="2031"/>
      <c r="X132" s="1466"/>
      <c r="Y132" s="2032"/>
      <c r="Z132" s="623"/>
      <c r="AA132" s="623"/>
    </row>
    <row r="133" spans="1:29" s="88" customFormat="1" ht="15" hidden="1" outlineLevel="2" thickBot="1" x14ac:dyDescent="0.45">
      <c r="B133" s="1932"/>
      <c r="C133" s="3788"/>
      <c r="D133" s="2208" t="s">
        <v>2047</v>
      </c>
      <c r="E133" s="1581" t="s">
        <v>3</v>
      </c>
      <c r="F133" s="585">
        <f t="shared" si="19"/>
        <v>0.6</v>
      </c>
      <c r="G133" s="585">
        <f t="shared" si="20"/>
        <v>27.735934119456779</v>
      </c>
      <c r="H133" s="1136"/>
      <c r="I133" s="1179" t="s">
        <v>263</v>
      </c>
      <c r="J133" s="1136"/>
      <c r="K133" s="584"/>
      <c r="L133" s="584"/>
      <c r="M133" s="814" t="str">
        <f>IFERROR(INDEX('Lower Hot Cell Logistics'!$I$13:$O$19,MATCH($K133,'Lower Hot Cell Logistics'!$H$13:$H$19,0),MATCH($L133,'Lower Hot Cell Logistics'!$H$13:$H$19,0)),"N/A")</f>
        <v>N/A</v>
      </c>
      <c r="N133" s="814" t="str">
        <f>IFERROR(VLOOKUP($J133,'Lower Hot Cell Logistics'!$H$4:$I$9,2,FALSE),"N/A")</f>
        <v>N/A</v>
      </c>
      <c r="O133" s="1179" t="str">
        <f t="shared" si="18"/>
        <v>N/A</v>
      </c>
      <c r="P133" s="1582" t="s">
        <v>2008</v>
      </c>
      <c r="Q133" s="1179">
        <f>IF($E133="Logistics",VLOOKUP($P133,'Lower Hot Cell Logistics'!$C$4:$D$69,2,FALSE),"N/A")</f>
        <v>0.6</v>
      </c>
      <c r="R133" s="3378" t="s">
        <v>2285</v>
      </c>
      <c r="S133" s="1179">
        <f>IFERROR(VLOOKUP($R133,'Lower HotCell RecoveryLogistics'!$C$4:$F$110,4,FALSE),"N/A")</f>
        <v>1.8059259259259259</v>
      </c>
      <c r="T133" s="591">
        <f t="shared" ref="T133:T165" si="21">IFERROR(G132-S133,"N/A")</f>
        <v>25.330008193530851</v>
      </c>
      <c r="V133" s="2031"/>
      <c r="W133" s="2031"/>
      <c r="X133" s="1466"/>
      <c r="Y133" s="2032"/>
      <c r="Z133" s="623"/>
      <c r="AA133" s="623"/>
    </row>
    <row r="134" spans="1:29" s="88" customFormat="1" hidden="1" outlineLevel="2" x14ac:dyDescent="0.4">
      <c r="B134" s="1932"/>
      <c r="C134" s="3814" t="s">
        <v>2049</v>
      </c>
      <c r="D134" s="1906" t="s">
        <v>1247</v>
      </c>
      <c r="E134" s="1907" t="s">
        <v>3</v>
      </c>
      <c r="F134" s="1739">
        <f t="shared" si="19"/>
        <v>0.8</v>
      </c>
      <c r="G134" s="1739">
        <f t="shared" si="20"/>
        <v>28.53593411945678</v>
      </c>
      <c r="H134" s="1906"/>
      <c r="I134" s="1917" t="s">
        <v>263</v>
      </c>
      <c r="J134" s="1906"/>
      <c r="K134" s="1911"/>
      <c r="L134" s="1911"/>
      <c r="M134" s="1912" t="str">
        <f>IFERROR(INDEX('Lower Hot Cell Logistics'!$I$13:$O$19,MATCH($K134,'Lower Hot Cell Logistics'!$H$13:$H$19,0),MATCH($L134,'Lower Hot Cell Logistics'!$H$13:$H$19,0)),"N/A")</f>
        <v>N/A</v>
      </c>
      <c r="N134" s="1912" t="str">
        <f>IFERROR(VLOOKUP($J134,'Lower Hot Cell Logistics'!$H$4:$I$9,2,FALSE),"N/A")</f>
        <v>N/A</v>
      </c>
      <c r="O134" s="1917" t="str">
        <f t="shared" si="18"/>
        <v>N/A</v>
      </c>
      <c r="P134" s="1916" t="s">
        <v>1828</v>
      </c>
      <c r="Q134" s="1917">
        <f>IF($E134="Logistics",VLOOKUP($P134,'Lower Hot Cell Logistics'!$C$4:$D$69,2,FALSE),"N/A")</f>
        <v>0.8</v>
      </c>
      <c r="R134" s="3381"/>
      <c r="S134" s="1917" t="str">
        <f>IFERROR(VLOOKUP($R134,'Lower HotCell RecoveryLogistics'!$C$4:$F$110,4,FALSE),"N/A")</f>
        <v>N/A</v>
      </c>
      <c r="T134" s="632" t="str">
        <f t="shared" si="21"/>
        <v>N/A</v>
      </c>
      <c r="V134" s="2031"/>
      <c r="W134" s="2031"/>
      <c r="X134" s="1466"/>
      <c r="Y134" s="2032"/>
      <c r="Z134" s="623"/>
      <c r="AA134" s="623"/>
    </row>
    <row r="135" spans="1:29" s="88" customFormat="1" hidden="1" outlineLevel="2" x14ac:dyDescent="0.4">
      <c r="B135" s="1932"/>
      <c r="C135" s="3815"/>
      <c r="D135" s="1895" t="s">
        <v>2050</v>
      </c>
      <c r="E135" s="1896" t="s">
        <v>251</v>
      </c>
      <c r="F135" s="1347">
        <f t="shared" si="19"/>
        <v>12.602967059728389</v>
      </c>
      <c r="G135" s="1347">
        <f t="shared" si="20"/>
        <v>41.138901179185169</v>
      </c>
      <c r="H135" s="1895" t="s">
        <v>441</v>
      </c>
      <c r="I135" s="1903">
        <v>12.602967059728389</v>
      </c>
      <c r="J135" s="1895"/>
      <c r="K135" s="1897"/>
      <c r="L135" s="1897"/>
      <c r="M135" s="1898" t="str">
        <f>IFERROR(INDEX('Lower Hot Cell Logistics'!$I$13:$O$19,MATCH($K135,'Lower Hot Cell Logistics'!$H$13:$H$19,0),MATCH($L135,'Lower Hot Cell Logistics'!$H$13:$H$19,0)),"N/A")</f>
        <v>N/A</v>
      </c>
      <c r="N135" s="1898" t="str">
        <f>IFERROR(VLOOKUP($J135,'Lower Hot Cell Logistics'!$H$4:$I$9,2,FALSE),"N/A")</f>
        <v>N/A</v>
      </c>
      <c r="O135" s="1903" t="str">
        <f t="shared" si="18"/>
        <v>N/A</v>
      </c>
      <c r="P135" s="1902"/>
      <c r="Q135" s="1903" t="str">
        <f>IF($E135="Logistics",VLOOKUP($P135,'Lower Hot Cell Logistics'!$C$4:$D$69,2,FALSE),"N/A")</f>
        <v>N/A</v>
      </c>
      <c r="R135" s="3380"/>
      <c r="S135" s="1903" t="str">
        <f>IFERROR(VLOOKUP($R135,'Lower HotCell RecoveryLogistics'!$C$4:$F$110,4,FALSE),"N/A")</f>
        <v>N/A</v>
      </c>
      <c r="T135" s="632" t="str">
        <f t="shared" si="21"/>
        <v>N/A</v>
      </c>
      <c r="V135" s="2031"/>
      <c r="W135" s="2031"/>
      <c r="X135" s="1466"/>
      <c r="Y135" s="2032"/>
      <c r="Z135" s="623"/>
      <c r="AA135" s="623"/>
    </row>
    <row r="136" spans="1:29" s="88" customFormat="1" hidden="1" outlineLevel="2" x14ac:dyDescent="0.4">
      <c r="B136" s="1932"/>
      <c r="C136" s="3815"/>
      <c r="D136" s="1895" t="s">
        <v>2051</v>
      </c>
      <c r="E136" s="1896" t="s">
        <v>3</v>
      </c>
      <c r="F136" s="1347">
        <f t="shared" si="19"/>
        <v>0.6</v>
      </c>
      <c r="G136" s="1347">
        <f t="shared" si="20"/>
        <v>41.73890117918517</v>
      </c>
      <c r="H136" s="1895"/>
      <c r="I136" s="1903" t="s">
        <v>263</v>
      </c>
      <c r="J136" s="1895"/>
      <c r="K136" s="1897"/>
      <c r="L136" s="1897"/>
      <c r="M136" s="1898" t="str">
        <f>IFERROR(INDEX('Lower Hot Cell Logistics'!$I$13:$O$19,MATCH($K136,'Lower Hot Cell Logistics'!$H$13:$H$19,0),MATCH($L136,'Lower Hot Cell Logistics'!$H$13:$H$19,0)),"N/A")</f>
        <v>N/A</v>
      </c>
      <c r="N136" s="1898" t="str">
        <f>IFERROR(VLOOKUP($J136,'Lower Hot Cell Logistics'!$H$4:$I$9,2,FALSE),"N/A")</f>
        <v>N/A</v>
      </c>
      <c r="O136" s="1903" t="str">
        <f t="shared" si="18"/>
        <v>N/A</v>
      </c>
      <c r="P136" s="1902" t="s">
        <v>2008</v>
      </c>
      <c r="Q136" s="1903">
        <f>IF($E136="Logistics",VLOOKUP($P136,'Lower Hot Cell Logistics'!$C$4:$D$69,2,FALSE),"N/A")</f>
        <v>0.6</v>
      </c>
      <c r="R136" s="3380" t="s">
        <v>2052</v>
      </c>
      <c r="S136" s="1903">
        <f>IFERROR(VLOOKUP($R136,'Lower HotCell RecoveryLogistics'!$C$4:$F$110,4,FALSE),"N/A")</f>
        <v>37.201860045382702</v>
      </c>
      <c r="T136" s="632">
        <f t="shared" si="21"/>
        <v>3.9370411338024667</v>
      </c>
      <c r="V136" s="2031"/>
      <c r="W136" s="2031"/>
      <c r="X136" s="1466"/>
      <c r="Y136" s="2032"/>
      <c r="Z136" s="623"/>
      <c r="AA136" s="623"/>
    </row>
    <row r="137" spans="1:29" s="88" customFormat="1" hidden="1" outlineLevel="2" x14ac:dyDescent="0.4">
      <c r="B137" s="1932"/>
      <c r="C137" s="3815"/>
      <c r="D137" s="1895" t="s">
        <v>1593</v>
      </c>
      <c r="E137" s="1896" t="s">
        <v>3</v>
      </c>
      <c r="F137" s="1347">
        <f t="shared" si="19"/>
        <v>0.53</v>
      </c>
      <c r="G137" s="1347">
        <f t="shared" si="20"/>
        <v>42.268901179185171</v>
      </c>
      <c r="H137" s="1895"/>
      <c r="I137" s="1903" t="s">
        <v>263</v>
      </c>
      <c r="J137" s="1895"/>
      <c r="K137" s="1897"/>
      <c r="L137" s="1897"/>
      <c r="M137" s="1898" t="str">
        <f>IFERROR(INDEX('Lower Hot Cell Logistics'!$I$13:$O$19,MATCH($K137,'Lower Hot Cell Logistics'!$H$13:$H$19,0),MATCH($L137,'Lower Hot Cell Logistics'!$H$13:$H$19,0)),"N/A")</f>
        <v>N/A</v>
      </c>
      <c r="N137" s="1898" t="str">
        <f>IFERROR(VLOOKUP($J137,'Lower Hot Cell Logistics'!$H$4:$I$9,2,FALSE),"N/A")</f>
        <v>N/A</v>
      </c>
      <c r="O137" s="1903" t="str">
        <f t="shared" si="18"/>
        <v>N/A</v>
      </c>
      <c r="P137" s="1902" t="s">
        <v>1558</v>
      </c>
      <c r="Q137" s="1903">
        <f>IF($E137="Logistics",VLOOKUP($P137,'Lower Hot Cell Logistics'!$C$4:$D$69,2,FALSE),"N/A")</f>
        <v>0.53</v>
      </c>
      <c r="R137" s="3380"/>
      <c r="S137" s="1903" t="str">
        <f>IFERROR(VLOOKUP($R137,'Lower HotCell RecoveryLogistics'!$C$4:$F$110,4,FALSE),"N/A")</f>
        <v>N/A</v>
      </c>
      <c r="T137" s="632" t="str">
        <f t="shared" si="21"/>
        <v>N/A</v>
      </c>
      <c r="V137" s="2031"/>
      <c r="W137" s="2031"/>
      <c r="X137" s="1466"/>
      <c r="Y137" s="2032"/>
      <c r="Z137" s="623"/>
      <c r="AA137" s="623"/>
    </row>
    <row r="138" spans="1:29" s="88" customFormat="1" hidden="1" outlineLevel="2" x14ac:dyDescent="0.4">
      <c r="B138" s="1932"/>
      <c r="C138" s="3815"/>
      <c r="D138" s="1895" t="s">
        <v>2053</v>
      </c>
      <c r="E138" s="1896" t="s">
        <v>251</v>
      </c>
      <c r="F138" s="1347">
        <f t="shared" si="19"/>
        <v>12.602967059728389</v>
      </c>
      <c r="G138" s="1347">
        <f t="shared" si="20"/>
        <v>54.871868238913564</v>
      </c>
      <c r="H138" s="1895" t="s">
        <v>441</v>
      </c>
      <c r="I138" s="1903">
        <v>12.602967059728389</v>
      </c>
      <c r="J138" s="1895"/>
      <c r="K138" s="1897"/>
      <c r="L138" s="1897"/>
      <c r="M138" s="1898" t="str">
        <f>IFERROR(INDEX('Lower Hot Cell Logistics'!$I$13:$O$19,MATCH($K138,'Lower Hot Cell Logistics'!$H$13:$H$19,0),MATCH($L138,'Lower Hot Cell Logistics'!$H$13:$H$19,0)),"N/A")</f>
        <v>N/A</v>
      </c>
      <c r="N138" s="1898" t="str">
        <f>IFERROR(VLOOKUP($J138,'Lower Hot Cell Logistics'!$H$4:$I$9,2,FALSE),"N/A")</f>
        <v>N/A</v>
      </c>
      <c r="O138" s="1903" t="str">
        <f t="shared" si="18"/>
        <v>N/A</v>
      </c>
      <c r="P138" s="1902"/>
      <c r="Q138" s="1903" t="str">
        <f>IF($E138="Logistics",VLOOKUP($P138,'Lower Hot Cell Logistics'!$C$4:$D$69,2,FALSE),"N/A")</f>
        <v>N/A</v>
      </c>
      <c r="R138" s="3380"/>
      <c r="S138" s="1903" t="str">
        <f>IFERROR(VLOOKUP($R138,'Lower HotCell RecoveryLogistics'!$C$4:$F$110,4,FALSE),"N/A")</f>
        <v>N/A</v>
      </c>
      <c r="T138" s="632" t="str">
        <f t="shared" si="21"/>
        <v>N/A</v>
      </c>
      <c r="V138" s="2031"/>
      <c r="W138" s="2031"/>
      <c r="X138" s="1466"/>
      <c r="Y138" s="2032"/>
      <c r="Z138" s="623"/>
      <c r="AA138" s="623"/>
    </row>
    <row r="139" spans="1:29" s="88" customFormat="1" hidden="1" outlineLevel="2" x14ac:dyDescent="0.4">
      <c r="B139" s="1932"/>
      <c r="C139" s="3815"/>
      <c r="D139" s="1895" t="s">
        <v>2054</v>
      </c>
      <c r="E139" s="1896" t="s">
        <v>3</v>
      </c>
      <c r="F139" s="1347">
        <f t="shared" si="19"/>
        <v>0.6</v>
      </c>
      <c r="G139" s="1347">
        <f t="shared" si="20"/>
        <v>55.471868238913565</v>
      </c>
      <c r="H139" s="1895"/>
      <c r="I139" s="1903" t="s">
        <v>263</v>
      </c>
      <c r="J139" s="1895"/>
      <c r="K139" s="1897"/>
      <c r="L139" s="1897"/>
      <c r="M139" s="1898" t="str">
        <f>IFERROR(INDEX('Lower Hot Cell Logistics'!$I$13:$O$19,MATCH($K139,'Lower Hot Cell Logistics'!$H$13:$H$19,0),MATCH($L139,'Lower Hot Cell Logistics'!$H$13:$H$19,0)),"N/A")</f>
        <v>N/A</v>
      </c>
      <c r="N139" s="1898" t="str">
        <f>IFERROR(VLOOKUP($J139,'Lower Hot Cell Logistics'!$H$4:$I$9,2,FALSE),"N/A")</f>
        <v>N/A</v>
      </c>
      <c r="O139" s="1903" t="str">
        <f t="shared" si="18"/>
        <v>N/A</v>
      </c>
      <c r="P139" s="1902" t="s">
        <v>2008</v>
      </c>
      <c r="Q139" s="1903">
        <f>IF($E139="Logistics",VLOOKUP($P139,'Lower Hot Cell Logistics'!$C$4:$D$69,2,FALSE),"N/A")</f>
        <v>0.6</v>
      </c>
      <c r="R139" s="3380" t="s">
        <v>2055</v>
      </c>
      <c r="S139" s="1903">
        <f>IFERROR(VLOOKUP($R139,'Lower HotCell RecoveryLogistics'!$C$4:$F$110,4,FALSE),"N/A")</f>
        <v>50.934827105111097</v>
      </c>
      <c r="T139" s="632">
        <f t="shared" si="21"/>
        <v>3.9370411338024667</v>
      </c>
      <c r="V139" s="2031"/>
      <c r="W139" s="2031"/>
      <c r="X139" s="1466"/>
      <c r="Y139" s="2032"/>
      <c r="Z139" s="623"/>
      <c r="AA139" s="623"/>
    </row>
    <row r="140" spans="1:29" s="88" customFormat="1" ht="15" hidden="1" outlineLevel="2" thickBot="1" x14ac:dyDescent="0.45">
      <c r="B140" s="1932"/>
      <c r="C140" s="3816"/>
      <c r="D140" s="1869" t="s">
        <v>1599</v>
      </c>
      <c r="E140" s="1918" t="s">
        <v>3</v>
      </c>
      <c r="F140" s="1295">
        <f t="shared" si="19"/>
        <v>0.6</v>
      </c>
      <c r="G140" s="1295">
        <f t="shared" si="20"/>
        <v>56.071868238913567</v>
      </c>
      <c r="H140" s="1869"/>
      <c r="I140" s="1922" t="s">
        <v>263</v>
      </c>
      <c r="J140" s="1869"/>
      <c r="K140" s="837"/>
      <c r="L140" s="837"/>
      <c r="M140" s="842" t="str">
        <f>IFERROR(INDEX('Lower Hot Cell Logistics'!$I$13:$O$19,MATCH($K140,'Lower Hot Cell Logistics'!$H$13:$H$19,0),MATCH($L140,'Lower Hot Cell Logistics'!$H$13:$H$19,0)),"N/A")</f>
        <v>N/A</v>
      </c>
      <c r="N140" s="842" t="str">
        <f>IFERROR(VLOOKUP($J140,'Lower Hot Cell Logistics'!$H$4:$I$9,2,FALSE),"N/A")</f>
        <v>N/A</v>
      </c>
      <c r="O140" s="1922" t="str">
        <f t="shared" si="18"/>
        <v>N/A</v>
      </c>
      <c r="P140" s="1921" t="s">
        <v>2008</v>
      </c>
      <c r="Q140" s="1922">
        <f>IF($E140="Logistics",VLOOKUP($P140,'Lower Hot Cell Logistics'!$C$4:$D$69,2,FALSE),"N/A")</f>
        <v>0.6</v>
      </c>
      <c r="R140" s="3382"/>
      <c r="S140" s="1922" t="str">
        <f>IFERROR(VLOOKUP($R140,'Lower HotCell RecoveryLogistics'!$C$4:$F$110,4,FALSE),"N/A")</f>
        <v>N/A</v>
      </c>
      <c r="T140" s="632" t="str">
        <f t="shared" si="21"/>
        <v>N/A</v>
      </c>
      <c r="V140" s="2031"/>
      <c r="W140" s="2031"/>
      <c r="X140" s="1466"/>
      <c r="Y140" s="2032"/>
      <c r="Z140" s="623"/>
      <c r="AA140" s="623"/>
    </row>
    <row r="141" spans="1:29" s="88" customFormat="1" hidden="1" outlineLevel="2" x14ac:dyDescent="0.4">
      <c r="B141" s="1932"/>
      <c r="C141" s="3787" t="s">
        <v>2056</v>
      </c>
      <c r="D141" s="1129" t="s">
        <v>2057</v>
      </c>
      <c r="E141" s="1620" t="s">
        <v>251</v>
      </c>
      <c r="F141" s="1621">
        <f t="shared" si="19"/>
        <v>7.5229670597283897</v>
      </c>
      <c r="G141" s="1621">
        <f t="shared" si="20"/>
        <v>63.594835298641954</v>
      </c>
      <c r="H141" s="1129" t="s">
        <v>442</v>
      </c>
      <c r="I141" s="1575">
        <v>7.5229670597283897</v>
      </c>
      <c r="J141" s="1129"/>
      <c r="K141" s="1619"/>
      <c r="L141" s="1619"/>
      <c r="M141" s="1623" t="str">
        <f>IFERROR(INDEX('Lower Hot Cell Logistics'!$I$13:$O$19,MATCH($K141,'Lower Hot Cell Logistics'!$H$13:$H$19,0),MATCH($L141,'Lower Hot Cell Logistics'!$H$13:$H$19,0)),"N/A")</f>
        <v>N/A</v>
      </c>
      <c r="N141" s="1623" t="str">
        <f>IFERROR(VLOOKUP($J141,'Lower Hot Cell Logistics'!$H$4:$I$9,2,FALSE),"N/A")</f>
        <v>N/A</v>
      </c>
      <c r="O141" s="1575" t="str">
        <f t="shared" si="18"/>
        <v>N/A</v>
      </c>
      <c r="P141" s="1576"/>
      <c r="Q141" s="1575" t="str">
        <f>IF($E141="Logistics",VLOOKUP($P141,'Lower Hot Cell Logistics'!$C$4:$D$69,2,FALSE),"N/A")</f>
        <v>N/A</v>
      </c>
      <c r="R141" s="3376"/>
      <c r="S141" s="1575" t="str">
        <f>IFERROR(VLOOKUP($R141,'Lower HotCell RecoveryLogistics'!$C$4:$F$110,4,FALSE),"N/A")</f>
        <v>N/A</v>
      </c>
      <c r="T141" s="1130" t="str">
        <f t="shared" si="21"/>
        <v>N/A</v>
      </c>
      <c r="V141" s="2031"/>
      <c r="W141" s="2031"/>
      <c r="X141" s="1466"/>
      <c r="Y141" s="2032"/>
      <c r="Z141" s="623"/>
      <c r="AA141" s="623"/>
    </row>
    <row r="142" spans="1:29" s="88" customFormat="1" hidden="1" outlineLevel="2" x14ac:dyDescent="0.4">
      <c r="B142" s="1932"/>
      <c r="C142" s="3786"/>
      <c r="D142" s="1579" t="s">
        <v>2058</v>
      </c>
      <c r="E142" s="1611" t="s">
        <v>3</v>
      </c>
      <c r="F142" s="626">
        <f t="shared" si="19"/>
        <v>0.6</v>
      </c>
      <c r="G142" s="626">
        <f t="shared" si="20"/>
        <v>65.537794164839482</v>
      </c>
      <c r="H142" s="1579"/>
      <c r="I142" s="1183" t="s">
        <v>263</v>
      </c>
      <c r="J142" s="1579"/>
      <c r="K142" s="582"/>
      <c r="L142" s="582"/>
      <c r="M142" s="1478" t="str">
        <f>IFERROR(INDEX('Lower Hot Cell Logistics'!$I$13:$O$19,MATCH($K142,'Lower Hot Cell Logistics'!$H$13:$H$19,0),MATCH($L142,'Lower Hot Cell Logistics'!$H$13:$H$19,0)),"N/A")</f>
        <v>N/A</v>
      </c>
      <c r="N142" s="1478" t="str">
        <f>IFERROR(VLOOKUP($J142,'Lower Hot Cell Logistics'!$H$4:$I$9,2,FALSE),"N/A")</f>
        <v>N/A</v>
      </c>
      <c r="O142" s="1183" t="str">
        <f t="shared" si="18"/>
        <v>N/A</v>
      </c>
      <c r="P142" s="1578" t="s">
        <v>2008</v>
      </c>
      <c r="Q142" s="1183">
        <f>IF($E142="Logistics",VLOOKUP($P142,'Lower Hot Cell Logistics'!$C$4:$D$69,2,FALSE),"N/A")</f>
        <v>0.6</v>
      </c>
      <c r="R142" s="3377" t="s">
        <v>2059</v>
      </c>
      <c r="S142" s="1183">
        <f>IFERROR(VLOOKUP($R142,'Lower HotCell RecoveryLogistics'!$C$4:$F$110,4,FALSE),"N/A")</f>
        <v>64.937794164839488</v>
      </c>
      <c r="T142" s="632">
        <f t="shared" si="21"/>
        <v>-1.3429588661975345</v>
      </c>
      <c r="V142" s="2031"/>
      <c r="W142" s="2031"/>
      <c r="X142" s="1466"/>
      <c r="Y142" s="2032"/>
      <c r="Z142" s="623"/>
      <c r="AA142" s="623"/>
    </row>
    <row r="143" spans="1:29" s="88" customFormat="1" hidden="1" outlineLevel="2" x14ac:dyDescent="0.4">
      <c r="B143" s="1932"/>
      <c r="C143" s="3786"/>
      <c r="D143" s="1579" t="s">
        <v>1639</v>
      </c>
      <c r="E143" s="1611" t="s">
        <v>3</v>
      </c>
      <c r="F143" s="626">
        <f t="shared" si="19"/>
        <v>0.53</v>
      </c>
      <c r="G143" s="626">
        <f t="shared" si="20"/>
        <v>66.067794164839484</v>
      </c>
      <c r="H143" s="1579"/>
      <c r="I143" s="1183" t="s">
        <v>263</v>
      </c>
      <c r="J143" s="1579"/>
      <c r="K143" s="582"/>
      <c r="L143" s="582"/>
      <c r="M143" s="1478" t="str">
        <f>IFERROR(INDEX('Lower Hot Cell Logistics'!$I$13:$O$19,MATCH($K143,'Lower Hot Cell Logistics'!$H$13:$H$19,0),MATCH($L143,'Lower Hot Cell Logistics'!$H$13:$H$19,0)),"N/A")</f>
        <v>N/A</v>
      </c>
      <c r="N143" s="1478" t="str">
        <f>IFERROR(VLOOKUP($J143,'Lower Hot Cell Logistics'!$H$4:$I$9,2,FALSE),"N/A")</f>
        <v>N/A</v>
      </c>
      <c r="O143" s="1183" t="str">
        <f t="shared" si="18"/>
        <v>N/A</v>
      </c>
      <c r="P143" s="1578" t="s">
        <v>1558</v>
      </c>
      <c r="Q143" s="1183">
        <f>IF($E143="Logistics",VLOOKUP($P143,'Lower Hot Cell Logistics'!$C$4:$D$69,2,FALSE),"N/A")</f>
        <v>0.53</v>
      </c>
      <c r="R143" s="3377"/>
      <c r="S143" s="1183" t="str">
        <f>IFERROR(VLOOKUP($R143,'Lower HotCell RecoveryLogistics'!$C$4:$F$110,4,FALSE),"N/A")</f>
        <v>N/A</v>
      </c>
      <c r="T143" s="632" t="str">
        <f t="shared" si="21"/>
        <v>N/A</v>
      </c>
      <c r="V143" s="2031"/>
      <c r="W143" s="2031"/>
      <c r="X143" s="1466"/>
      <c r="Y143" s="2032"/>
      <c r="Z143" s="623"/>
      <c r="AA143" s="623"/>
    </row>
    <row r="144" spans="1:29" s="88" customFormat="1" hidden="1" outlineLevel="2" x14ac:dyDescent="0.4">
      <c r="B144" s="1932"/>
      <c r="C144" s="3786"/>
      <c r="D144" s="1579" t="s">
        <v>2060</v>
      </c>
      <c r="E144" s="1611" t="s">
        <v>251</v>
      </c>
      <c r="F144" s="626">
        <f t="shared" si="19"/>
        <v>7.5229670597283897</v>
      </c>
      <c r="G144" s="626">
        <f t="shared" si="20"/>
        <v>73.590761224567871</v>
      </c>
      <c r="H144" s="1579" t="s">
        <v>442</v>
      </c>
      <c r="I144" s="1183">
        <v>7.5229670597283897</v>
      </c>
      <c r="J144" s="1579"/>
      <c r="K144" s="582"/>
      <c r="L144" s="582"/>
      <c r="M144" s="1478" t="str">
        <f>IFERROR(INDEX('Lower Hot Cell Logistics'!$I$13:$O$19,MATCH($K144,'Lower Hot Cell Logistics'!$H$13:$H$19,0),MATCH($L144,'Lower Hot Cell Logistics'!$H$13:$H$19,0)),"N/A")</f>
        <v>N/A</v>
      </c>
      <c r="N144" s="1478" t="str">
        <f>IFERROR(VLOOKUP($J144,'Lower Hot Cell Logistics'!$H$4:$I$9,2,FALSE),"N/A")</f>
        <v>N/A</v>
      </c>
      <c r="O144" s="1183" t="str">
        <f t="shared" si="18"/>
        <v>N/A</v>
      </c>
      <c r="P144" s="1578"/>
      <c r="Q144" s="1183" t="str">
        <f>IF($E144="Logistics",VLOOKUP($P144,'Lower Hot Cell Logistics'!$C$4:$D$69,2,FALSE),"N/A")</f>
        <v>N/A</v>
      </c>
      <c r="R144" s="3377"/>
      <c r="S144" s="1183" t="str">
        <f>IFERROR(VLOOKUP($R144,'Lower HotCell RecoveryLogistics'!$C$4:$F$110,4,FALSE),"N/A")</f>
        <v>N/A</v>
      </c>
      <c r="T144" s="632" t="str">
        <f t="shared" si="21"/>
        <v>N/A</v>
      </c>
      <c r="V144" s="2031"/>
      <c r="W144" s="2031"/>
      <c r="X144" s="1466"/>
      <c r="Y144" s="2032"/>
      <c r="Z144" s="623"/>
      <c r="AA144" s="623"/>
    </row>
    <row r="145" spans="2:27" s="88" customFormat="1" hidden="1" outlineLevel="2" x14ac:dyDescent="0.4">
      <c r="B145" s="1932"/>
      <c r="C145" s="3786"/>
      <c r="D145" s="1579" t="s">
        <v>2061</v>
      </c>
      <c r="E145" s="1611" t="s">
        <v>3</v>
      </c>
      <c r="F145" s="626">
        <f t="shared" si="19"/>
        <v>0.6</v>
      </c>
      <c r="G145" s="626">
        <f t="shared" si="20"/>
        <v>79.270761224567863</v>
      </c>
      <c r="H145" s="1579"/>
      <c r="I145" s="1183" t="s">
        <v>263</v>
      </c>
      <c r="J145" s="1579"/>
      <c r="K145" s="582"/>
      <c r="L145" s="582"/>
      <c r="M145" s="1478" t="str">
        <f>IFERROR(INDEX('Lower Hot Cell Logistics'!$I$13:$O$19,MATCH($K145,'Lower Hot Cell Logistics'!$H$13:$H$19,0),MATCH($L145,'Lower Hot Cell Logistics'!$H$13:$H$19,0)),"N/A")</f>
        <v>N/A</v>
      </c>
      <c r="N145" s="1478" t="str">
        <f>IFERROR(VLOOKUP($J145,'Lower Hot Cell Logistics'!$H$4:$I$9,2,FALSE),"N/A")</f>
        <v>N/A</v>
      </c>
      <c r="O145" s="1183" t="str">
        <f t="shared" si="18"/>
        <v>N/A</v>
      </c>
      <c r="P145" s="1578" t="s">
        <v>2008</v>
      </c>
      <c r="Q145" s="1183">
        <f>IF($E145="Logistics",VLOOKUP($P145,'Lower Hot Cell Logistics'!$C$4:$D$69,2,FALSE),"N/A")</f>
        <v>0.6</v>
      </c>
      <c r="R145" s="3377" t="s">
        <v>2289</v>
      </c>
      <c r="S145" s="1183">
        <f>IFERROR(VLOOKUP($R145,'Lower HotCell RecoveryLogistics'!$C$4:$F$110,4,FALSE),"N/A")</f>
        <v>78.670761224567869</v>
      </c>
      <c r="T145" s="632">
        <f t="shared" si="21"/>
        <v>-5.0799999999999983</v>
      </c>
      <c r="V145" s="2031"/>
      <c r="W145" s="2031"/>
      <c r="X145" s="1466"/>
      <c r="Y145" s="2032"/>
      <c r="Z145" s="623"/>
      <c r="AA145" s="623"/>
    </row>
    <row r="146" spans="2:27" s="88" customFormat="1" ht="15" hidden="1" outlineLevel="2" thickBot="1" x14ac:dyDescent="0.45">
      <c r="B146" s="1932"/>
      <c r="C146" s="3788"/>
      <c r="D146" s="1136" t="s">
        <v>2063</v>
      </c>
      <c r="E146" s="1581" t="s">
        <v>3</v>
      </c>
      <c r="F146" s="585">
        <f t="shared" si="19"/>
        <v>0.6</v>
      </c>
      <c r="G146" s="585">
        <f t="shared" si="20"/>
        <v>79.870761224567858</v>
      </c>
      <c r="H146" s="1136"/>
      <c r="I146" s="1179" t="s">
        <v>263</v>
      </c>
      <c r="J146" s="1136"/>
      <c r="K146" s="584"/>
      <c r="L146" s="584"/>
      <c r="M146" s="814" t="str">
        <f>IFERROR(INDEX('Lower Hot Cell Logistics'!$I$13:$O$19,MATCH($K146,'Lower Hot Cell Logistics'!$H$13:$H$19,0),MATCH($L146,'Lower Hot Cell Logistics'!$H$13:$H$19,0)),"N/A")</f>
        <v>N/A</v>
      </c>
      <c r="N146" s="814" t="str">
        <f>IFERROR(VLOOKUP($J146,'Lower Hot Cell Logistics'!$H$4:$I$9,2,FALSE),"N/A")</f>
        <v>N/A</v>
      </c>
      <c r="O146" s="1179" t="str">
        <f t="shared" si="18"/>
        <v>N/A</v>
      </c>
      <c r="P146" s="1582" t="s">
        <v>2008</v>
      </c>
      <c r="Q146" s="1179">
        <f>IF($E146="Logistics",VLOOKUP($P146,'Lower Hot Cell Logistics'!$C$4:$D$69,2,FALSE),"N/A")</f>
        <v>0.6</v>
      </c>
      <c r="R146" s="3378"/>
      <c r="S146" s="1179" t="str">
        <f>IFERROR(VLOOKUP($R146,'Lower HotCell RecoveryLogistics'!$C$4:$F$110,4,FALSE),"N/A")</f>
        <v>N/A</v>
      </c>
      <c r="T146" s="632" t="str">
        <f t="shared" si="21"/>
        <v>N/A</v>
      </c>
      <c r="V146" s="2031"/>
      <c r="W146" s="2031"/>
      <c r="X146" s="1466"/>
      <c r="Y146" s="2032"/>
      <c r="Z146" s="623"/>
      <c r="AA146" s="623"/>
    </row>
    <row r="147" spans="2:27" s="88" customFormat="1" hidden="1" outlineLevel="2" x14ac:dyDescent="0.4">
      <c r="B147" s="1932"/>
      <c r="C147" s="3814" t="s">
        <v>2067</v>
      </c>
      <c r="D147" s="1906" t="s">
        <v>1247</v>
      </c>
      <c r="E147" s="1907" t="s">
        <v>3</v>
      </c>
      <c r="F147" s="1739">
        <f t="shared" si="19"/>
        <v>0.8</v>
      </c>
      <c r="G147" s="1739">
        <f t="shared" si="20"/>
        <v>80.670761224567855</v>
      </c>
      <c r="H147" s="1906"/>
      <c r="I147" s="1917" t="s">
        <v>263</v>
      </c>
      <c r="J147" s="1906"/>
      <c r="K147" s="1911"/>
      <c r="L147" s="1911"/>
      <c r="M147" s="1912" t="str">
        <f>IFERROR(INDEX('Lower Hot Cell Logistics'!$I$13:$O$19,MATCH($K147,'Lower Hot Cell Logistics'!$H$13:$H$19,0),MATCH($L147,'Lower Hot Cell Logistics'!$H$13:$H$19,0)),"N/A")</f>
        <v>N/A</v>
      </c>
      <c r="N147" s="1912" t="str">
        <f>IFERROR(VLOOKUP($J147,'Lower Hot Cell Logistics'!$H$4:$I$9,2,FALSE),"N/A")</f>
        <v>N/A</v>
      </c>
      <c r="O147" s="1917" t="str">
        <f t="shared" si="18"/>
        <v>N/A</v>
      </c>
      <c r="P147" s="1916" t="s">
        <v>1828</v>
      </c>
      <c r="Q147" s="1917">
        <f>IF($E147="Logistics",VLOOKUP($P147,'Lower Hot Cell Logistics'!$C$4:$D$69,2,FALSE),"N/A")</f>
        <v>0.8</v>
      </c>
      <c r="R147" s="3381"/>
      <c r="S147" s="1917" t="str">
        <f>IFERROR(VLOOKUP($R147,'Lower HotCell RecoveryLogistics'!$C$4:$F$110,4,FALSE),"N/A")</f>
        <v>N/A</v>
      </c>
      <c r="T147" s="632" t="str">
        <f t="shared" si="21"/>
        <v>N/A</v>
      </c>
      <c r="V147" s="2031"/>
      <c r="W147" s="2031"/>
      <c r="X147" s="2031"/>
      <c r="Y147" s="1466"/>
    </row>
    <row r="148" spans="2:27" s="88" customFormat="1" hidden="1" outlineLevel="2" x14ac:dyDescent="0.4">
      <c r="B148" s="1932"/>
      <c r="C148" s="3815"/>
      <c r="D148" s="1895" t="s">
        <v>2069</v>
      </c>
      <c r="E148" s="1896" t="s">
        <v>3</v>
      </c>
      <c r="F148" s="1347">
        <f t="shared" si="19"/>
        <v>0.8</v>
      </c>
      <c r="G148" s="1347">
        <f t="shared" si="20"/>
        <v>98.082250899580188</v>
      </c>
      <c r="H148" s="1895"/>
      <c r="I148" s="1903" t="s">
        <v>263</v>
      </c>
      <c r="J148" s="1895"/>
      <c r="K148" s="1897"/>
      <c r="L148" s="1897"/>
      <c r="M148" s="1898" t="str">
        <f>IFERROR(INDEX('Lower Hot Cell Logistics'!$I$13:$O$19,MATCH($K148,'Lower Hot Cell Logistics'!$H$13:$H$19,0),MATCH($L148,'Lower Hot Cell Logistics'!$H$13:$H$19,0)),"N/A")</f>
        <v>N/A</v>
      </c>
      <c r="N148" s="1898" t="str">
        <f>IFERROR(VLOOKUP($J148,'Lower Hot Cell Logistics'!$H$4:$I$9,2,FALSE),"N/A")</f>
        <v>N/A</v>
      </c>
      <c r="O148" s="1903" t="str">
        <f t="shared" si="18"/>
        <v>N/A</v>
      </c>
      <c r="P148" s="1902" t="s">
        <v>1828</v>
      </c>
      <c r="Q148" s="1903">
        <f>IF($E148="Logistics",VLOOKUP($P148,'Lower Hot Cell Logistics'!$C$4:$D$69,2,FALSE),"N/A")</f>
        <v>0.8</v>
      </c>
      <c r="R148" s="3380" t="s">
        <v>2286</v>
      </c>
      <c r="S148" s="1903">
        <f>IFERROR(VLOOKUP($R148,'Lower HotCell RecoveryLogistics'!$C$4:$F$110,4,FALSE),"N/A")</f>
        <v>97.282250899580191</v>
      </c>
      <c r="T148" s="632">
        <f t="shared" si="21"/>
        <v>-16.611489675012336</v>
      </c>
      <c r="V148" s="2031"/>
      <c r="W148" s="2031"/>
      <c r="X148" s="2031"/>
      <c r="Y148" s="1466"/>
    </row>
    <row r="149" spans="2:27" s="88" customFormat="1" hidden="1" outlineLevel="2" x14ac:dyDescent="0.4">
      <c r="B149" s="1932"/>
      <c r="C149" s="3815"/>
      <c r="D149" s="1895" t="s">
        <v>2070</v>
      </c>
      <c r="E149" s="1896" t="s">
        <v>251</v>
      </c>
      <c r="F149" s="1347">
        <f t="shared" si="19"/>
        <v>17.622664625997164</v>
      </c>
      <c r="G149" s="1347">
        <f t="shared" si="20"/>
        <v>115.70491552557735</v>
      </c>
      <c r="H149" s="1895" t="s">
        <v>556</v>
      </c>
      <c r="I149" s="1903">
        <v>17.622664625997164</v>
      </c>
      <c r="J149" s="1895"/>
      <c r="K149" s="1897"/>
      <c r="L149" s="1897"/>
      <c r="M149" s="1898" t="str">
        <f>IFERROR(INDEX('Lower Hot Cell Logistics'!$I$13:$O$19,MATCH($K149,'Lower Hot Cell Logistics'!$H$13:$H$19,0),MATCH($L149,'Lower Hot Cell Logistics'!$H$13:$H$19,0)),"N/A")</f>
        <v>N/A</v>
      </c>
      <c r="N149" s="1898" t="str">
        <f>IFERROR(VLOOKUP($J149,'Lower Hot Cell Logistics'!$H$4:$I$9,2,FALSE),"N/A")</f>
        <v>N/A</v>
      </c>
      <c r="O149" s="1903" t="str">
        <f t="shared" si="18"/>
        <v>N/A</v>
      </c>
      <c r="P149" s="1902"/>
      <c r="Q149" s="1903" t="str">
        <f>IF($E149="Logistics",VLOOKUP($P149,'Lower Hot Cell Logistics'!$C$4:$D$69,2,FALSE),"N/A")</f>
        <v>N/A</v>
      </c>
      <c r="R149" s="3380"/>
      <c r="S149" s="1903" t="str">
        <f>IFERROR(VLOOKUP($R149,'Lower HotCell RecoveryLogistics'!$C$4:$F$110,4,FALSE),"N/A")</f>
        <v>N/A</v>
      </c>
      <c r="T149" s="632" t="str">
        <f t="shared" si="21"/>
        <v>N/A</v>
      </c>
      <c r="V149" s="2031"/>
      <c r="W149" s="2031"/>
      <c r="X149" s="2031"/>
      <c r="Y149" s="1466"/>
    </row>
    <row r="150" spans="2:27" s="88" customFormat="1" hidden="1" outlineLevel="2" x14ac:dyDescent="0.4">
      <c r="B150" s="1932"/>
      <c r="C150" s="3815"/>
      <c r="D150" s="1895" t="s">
        <v>2071</v>
      </c>
      <c r="E150" s="1896" t="s">
        <v>3</v>
      </c>
      <c r="F150" s="1347">
        <f t="shared" si="19"/>
        <v>0.53</v>
      </c>
      <c r="G150" s="1347">
        <f t="shared" si="20"/>
        <v>116.23491552557735</v>
      </c>
      <c r="H150" s="1895"/>
      <c r="I150" s="1903" t="s">
        <v>263</v>
      </c>
      <c r="J150" s="1895"/>
      <c r="K150" s="1897"/>
      <c r="L150" s="1897"/>
      <c r="M150" s="1898" t="str">
        <f>IFERROR(INDEX('Lower Hot Cell Logistics'!$I$13:$O$19,MATCH($K150,'Lower Hot Cell Logistics'!$H$13:$H$19,0),MATCH($L150,'Lower Hot Cell Logistics'!$H$13:$H$19,0)),"N/A")</f>
        <v>N/A</v>
      </c>
      <c r="N150" s="1898" t="str">
        <f>IFERROR(VLOOKUP($J150,'Lower Hot Cell Logistics'!$H$4:$I$9,2,FALSE),"N/A")</f>
        <v>N/A</v>
      </c>
      <c r="O150" s="1903" t="str">
        <f t="shared" si="18"/>
        <v>N/A</v>
      </c>
      <c r="P150" s="1902" t="s">
        <v>1558</v>
      </c>
      <c r="Q150" s="1903">
        <f>IF($E150="Logistics",VLOOKUP($P150,'Lower Hot Cell Logistics'!$C$4:$D$69,2,FALSE),"N/A")</f>
        <v>0.53</v>
      </c>
      <c r="R150" s="3380"/>
      <c r="S150" s="1903" t="str">
        <f>IFERROR(VLOOKUP($R150,'Lower HotCell RecoveryLogistics'!$C$4:$F$110,4,FALSE),"N/A")</f>
        <v>N/A</v>
      </c>
      <c r="T150" s="632" t="str">
        <f t="shared" si="21"/>
        <v>N/A</v>
      </c>
      <c r="V150" s="2031"/>
      <c r="W150" s="2031"/>
      <c r="X150" s="2031"/>
      <c r="Y150" s="1466"/>
    </row>
    <row r="151" spans="2:27" s="88" customFormat="1" hidden="1" outlineLevel="2" x14ac:dyDescent="0.4">
      <c r="B151" s="1932"/>
      <c r="C151" s="3815"/>
      <c r="D151" s="1895" t="s">
        <v>2073</v>
      </c>
      <c r="E151" s="1896" t="s">
        <v>3</v>
      </c>
      <c r="F151" s="1347">
        <f t="shared" si="19"/>
        <v>0.8</v>
      </c>
      <c r="G151" s="1347">
        <f t="shared" si="20"/>
        <v>117.03491552557735</v>
      </c>
      <c r="H151" s="1895"/>
      <c r="I151" s="1903" t="s">
        <v>263</v>
      </c>
      <c r="J151" s="1895"/>
      <c r="K151" s="1897"/>
      <c r="L151" s="1897"/>
      <c r="M151" s="1898" t="str">
        <f>IFERROR(INDEX('Lower Hot Cell Logistics'!$I$13:$O$19,MATCH($K151,'Lower Hot Cell Logistics'!$H$13:$H$19,0),MATCH($L151,'Lower Hot Cell Logistics'!$H$13:$H$19,0)),"N/A")</f>
        <v>N/A</v>
      </c>
      <c r="N151" s="1898" t="str">
        <f>IFERROR(VLOOKUP($J151,'Lower Hot Cell Logistics'!$H$4:$I$9,2,FALSE),"N/A")</f>
        <v>N/A</v>
      </c>
      <c r="O151" s="1903" t="str">
        <f t="shared" si="18"/>
        <v>N/A</v>
      </c>
      <c r="P151" s="1902" t="s">
        <v>1828</v>
      </c>
      <c r="Q151" s="1903">
        <f>IF($E151="Logistics",VLOOKUP($P151,'Lower Hot Cell Logistics'!$C$4:$D$69,2,FALSE),"N/A")</f>
        <v>0.8</v>
      </c>
      <c r="R151" s="3380" t="s">
        <v>2287</v>
      </c>
      <c r="S151" s="1903">
        <f>IFERROR(VLOOKUP($R151,'Lower HotCell RecoveryLogistics'!$C$4:$F$110,4,FALSE),"N/A")</f>
        <v>95.246695344024644</v>
      </c>
      <c r="T151" s="632">
        <f t="shared" si="21"/>
        <v>20.988220181552705</v>
      </c>
      <c r="V151" s="2031"/>
      <c r="W151" s="2031"/>
      <c r="X151" s="2031"/>
      <c r="Y151" s="1466"/>
    </row>
    <row r="152" spans="2:27" s="88" customFormat="1" hidden="1" outlineLevel="2" x14ac:dyDescent="0.4">
      <c r="B152" s="1932"/>
      <c r="C152" s="3815"/>
      <c r="D152" s="1895" t="s">
        <v>2074</v>
      </c>
      <c r="E152" s="1896" t="s">
        <v>251</v>
      </c>
      <c r="F152" s="1347">
        <f t="shared" si="19"/>
        <v>17.622664625997164</v>
      </c>
      <c r="G152" s="1347">
        <f t="shared" si="20"/>
        <v>134.65758015157451</v>
      </c>
      <c r="H152" s="1895" t="s">
        <v>556</v>
      </c>
      <c r="I152" s="1903">
        <v>17.622664625997164</v>
      </c>
      <c r="J152" s="1895"/>
      <c r="K152" s="1897"/>
      <c r="L152" s="1897"/>
      <c r="M152" s="1898" t="str">
        <f>IFERROR(INDEX('Lower Hot Cell Logistics'!$I$13:$O$19,MATCH($K152,'Lower Hot Cell Logistics'!$H$13:$H$19,0),MATCH($L152,'Lower Hot Cell Logistics'!$H$13:$H$19,0)),"N/A")</f>
        <v>N/A</v>
      </c>
      <c r="N152" s="1898" t="str">
        <f>IFERROR(VLOOKUP($J152,'Lower Hot Cell Logistics'!$H$4:$I$9,2,FALSE),"N/A")</f>
        <v>N/A</v>
      </c>
      <c r="O152" s="1903" t="str">
        <f t="shared" si="18"/>
        <v>N/A</v>
      </c>
      <c r="P152" s="1902"/>
      <c r="Q152" s="1903" t="str">
        <f>IF($E152="Logistics",VLOOKUP($P152,'Lower Hot Cell Logistics'!$C$4:$D$69,2,FALSE),"N/A")</f>
        <v>N/A</v>
      </c>
      <c r="R152" s="3380"/>
      <c r="S152" s="1903" t="str">
        <f>IFERROR(VLOOKUP($R152,'Lower HotCell RecoveryLogistics'!$C$4:$F$110,4,FALSE),"N/A")</f>
        <v>N/A</v>
      </c>
      <c r="T152" s="632" t="str">
        <f t="shared" si="21"/>
        <v>N/A</v>
      </c>
      <c r="V152" s="2031"/>
      <c r="W152" s="2031"/>
      <c r="X152" s="2031"/>
      <c r="Y152" s="1466"/>
    </row>
    <row r="153" spans="2:27" s="88" customFormat="1" hidden="1" outlineLevel="2" x14ac:dyDescent="0.4">
      <c r="B153" s="1932"/>
      <c r="C153" s="3815"/>
      <c r="D153" s="1895" t="s">
        <v>1599</v>
      </c>
      <c r="E153" s="1896" t="s">
        <v>3</v>
      </c>
      <c r="F153" s="1347">
        <f t="shared" si="19"/>
        <v>0.6</v>
      </c>
      <c r="G153" s="1347">
        <f t="shared" si="20"/>
        <v>135.2575801515745</v>
      </c>
      <c r="H153" s="1895"/>
      <c r="I153" s="1903" t="s">
        <v>263</v>
      </c>
      <c r="J153" s="1895"/>
      <c r="K153" s="1897"/>
      <c r="L153" s="1897"/>
      <c r="M153" s="1898" t="str">
        <f>IFERROR(INDEX('Lower Hot Cell Logistics'!$I$13:$O$19,MATCH($K153,'Lower Hot Cell Logistics'!$H$13:$H$19,0),MATCH($L153,'Lower Hot Cell Logistics'!$H$13:$H$19,0)),"N/A")</f>
        <v>N/A</v>
      </c>
      <c r="N153" s="1898" t="str">
        <f>IFERROR(VLOOKUP($J153,'Lower Hot Cell Logistics'!$H$4:$I$9,2,FALSE),"N/A")</f>
        <v>N/A</v>
      </c>
      <c r="O153" s="1903" t="str">
        <f t="shared" si="18"/>
        <v>N/A</v>
      </c>
      <c r="P153" s="1902" t="s">
        <v>2008</v>
      </c>
      <c r="Q153" s="1903">
        <f>IF($E153="Logistics",VLOOKUP($P153,'Lower Hot Cell Logistics'!$C$4:$D$69,2,FALSE),"N/A")</f>
        <v>0.6</v>
      </c>
      <c r="R153" s="3380"/>
      <c r="S153" s="1903" t="str">
        <f>IFERROR(VLOOKUP($R153,'Lower HotCell RecoveryLogistics'!$C$4:$F$110,4,FALSE),"N/A")</f>
        <v>N/A</v>
      </c>
      <c r="T153" s="632" t="str">
        <f t="shared" si="21"/>
        <v>N/A</v>
      </c>
      <c r="V153" s="2031"/>
      <c r="W153" s="2031"/>
      <c r="X153" s="2031"/>
      <c r="Y153" s="1466"/>
    </row>
    <row r="154" spans="2:27" s="88" customFormat="1" ht="15" hidden="1" outlineLevel="2" thickBot="1" x14ac:dyDescent="0.45">
      <c r="B154" s="1932"/>
      <c r="C154" s="3816"/>
      <c r="D154" s="1869" t="s">
        <v>1590</v>
      </c>
      <c r="E154" s="1918" t="s">
        <v>3</v>
      </c>
      <c r="F154" s="1295">
        <f t="shared" si="19"/>
        <v>0.6</v>
      </c>
      <c r="G154" s="1295">
        <f t="shared" si="20"/>
        <v>135.8575801515745</v>
      </c>
      <c r="H154" s="1869"/>
      <c r="I154" s="1922" t="s">
        <v>263</v>
      </c>
      <c r="J154" s="1869"/>
      <c r="K154" s="837"/>
      <c r="L154" s="837"/>
      <c r="M154" s="842" t="str">
        <f>IFERROR(INDEX('Lower Hot Cell Logistics'!$I$13:$O$19,MATCH($K154,'Lower Hot Cell Logistics'!$H$13:$H$19,0),MATCH($L154,'Lower Hot Cell Logistics'!$H$13:$H$19,0)),"N/A")</f>
        <v>N/A</v>
      </c>
      <c r="N154" s="842" t="str">
        <f>IFERROR(VLOOKUP($J154,'Lower Hot Cell Logistics'!$H$4:$I$9,2,FALSE),"N/A")</f>
        <v>N/A</v>
      </c>
      <c r="O154" s="1922" t="str">
        <f t="shared" si="18"/>
        <v>N/A</v>
      </c>
      <c r="P154" s="1921" t="s">
        <v>2008</v>
      </c>
      <c r="Q154" s="1922">
        <f>IF($E154="Logistics",VLOOKUP($P154,'Lower Hot Cell Logistics'!$C$4:$D$69,2,FALSE),"N/A")</f>
        <v>0.6</v>
      </c>
      <c r="R154" s="3382"/>
      <c r="S154" s="1922" t="str">
        <f>IFERROR(VLOOKUP($R154,'Lower HotCell RecoveryLogistics'!$C$4:$F$110,4,FALSE),"N/A")</f>
        <v>N/A</v>
      </c>
      <c r="T154" s="632" t="str">
        <f t="shared" si="21"/>
        <v>N/A</v>
      </c>
      <c r="V154" s="2031"/>
      <c r="W154" s="2031"/>
      <c r="X154" s="2031"/>
      <c r="Y154" s="1466"/>
    </row>
    <row r="155" spans="2:27" s="88" customFormat="1" hidden="1" outlineLevel="2" x14ac:dyDescent="0.4">
      <c r="B155" s="1932"/>
      <c r="C155" s="3786" t="s">
        <v>2075</v>
      </c>
      <c r="D155" s="2209" t="s">
        <v>2076</v>
      </c>
      <c r="E155" s="2210" t="s">
        <v>3</v>
      </c>
      <c r="F155" s="1250">
        <f t="shared" si="19"/>
        <v>0.8</v>
      </c>
      <c r="G155" s="1250">
        <f t="shared" si="20"/>
        <v>137.26350607750047</v>
      </c>
      <c r="H155" s="2209"/>
      <c r="I155" s="2211" t="s">
        <v>263</v>
      </c>
      <c r="J155" s="2209"/>
      <c r="K155" s="2212"/>
      <c r="L155" s="2212"/>
      <c r="M155" s="2213" t="str">
        <f>IFERROR(INDEX('Lower Hot Cell Logistics'!$I$13:$O$19,MATCH($K155,'Lower Hot Cell Logistics'!$H$13:$H$19,0),MATCH($L155,'Lower Hot Cell Logistics'!$H$13:$H$19,0)),"N/A")</f>
        <v>N/A</v>
      </c>
      <c r="N155" s="2213" t="str">
        <f>IFERROR(VLOOKUP($J155,'Lower Hot Cell Logistics'!$H$4:$I$9,2,FALSE),"N/A")</f>
        <v>N/A</v>
      </c>
      <c r="O155" s="2211" t="str">
        <f t="shared" si="18"/>
        <v>N/A</v>
      </c>
      <c r="P155" s="2214" t="s">
        <v>1828</v>
      </c>
      <c r="Q155" s="2211">
        <f>IF($E155="Logistics",VLOOKUP($P155,'Lower Hot Cell Logistics'!$C$4:$D$69,2,FALSE),"N/A")</f>
        <v>0.8</v>
      </c>
      <c r="R155" s="3575" t="s">
        <v>2077</v>
      </c>
      <c r="S155" s="2211">
        <f>IFERROR(VLOOKUP($R155,'Lower HotCell RecoveryLogistics'!$C$4:$F$110,4,FALSE),"N/A")</f>
        <v>136.46350607750045</v>
      </c>
      <c r="T155" s="632">
        <f t="shared" si="21"/>
        <v>-0.60592592592595906</v>
      </c>
      <c r="V155" s="2031"/>
      <c r="W155" s="2031"/>
      <c r="X155" s="2031"/>
      <c r="Y155" s="1466"/>
    </row>
    <row r="156" spans="2:27" s="88" customFormat="1" hidden="1" outlineLevel="2" x14ac:dyDescent="0.4">
      <c r="B156" s="1932"/>
      <c r="C156" s="3786"/>
      <c r="D156" s="1579" t="s">
        <v>1086</v>
      </c>
      <c r="E156" s="1611" t="s">
        <v>251</v>
      </c>
      <c r="F156" s="626">
        <f t="shared" si="19"/>
        <v>17.622664625997164</v>
      </c>
      <c r="G156" s="626">
        <f t="shared" si="20"/>
        <v>154.88617070349764</v>
      </c>
      <c r="H156" s="1579" t="s">
        <v>556</v>
      </c>
      <c r="I156" s="1183">
        <v>17.622664625997164</v>
      </c>
      <c r="J156" s="1579"/>
      <c r="K156" s="582"/>
      <c r="L156" s="582"/>
      <c r="M156" s="1478" t="str">
        <f>IFERROR(INDEX('Lower Hot Cell Logistics'!$I$13:$O$19,MATCH($K156,'Lower Hot Cell Logistics'!$H$13:$H$19,0),MATCH($L156,'Lower Hot Cell Logistics'!$H$13:$H$19,0)),"N/A")</f>
        <v>N/A</v>
      </c>
      <c r="N156" s="1478" t="str">
        <f>IFERROR(VLOOKUP($J156,'Lower Hot Cell Logistics'!$H$4:$I$9,2,FALSE),"N/A")</f>
        <v>N/A</v>
      </c>
      <c r="O156" s="1183" t="str">
        <f t="shared" si="18"/>
        <v>N/A</v>
      </c>
      <c r="P156" s="1578"/>
      <c r="Q156" s="1183" t="str">
        <f>IF($E156="Logistics",VLOOKUP($P156,'Lower Hot Cell Logistics'!$C$4:$D$69,2,FALSE),"N/A")</f>
        <v>N/A</v>
      </c>
      <c r="R156" s="3377"/>
      <c r="S156" s="1183" t="str">
        <f>IFERROR(VLOOKUP($R156,'Lower HotCell RecoveryLogistics'!$C$4:$F$110,4,FALSE),"N/A")</f>
        <v>N/A</v>
      </c>
      <c r="T156" s="632" t="str">
        <f t="shared" si="21"/>
        <v>N/A</v>
      </c>
      <c r="V156" s="2031"/>
      <c r="W156" s="2031"/>
      <c r="X156" s="2031"/>
      <c r="Y156" s="1466"/>
    </row>
    <row r="157" spans="2:27" s="88" customFormat="1" hidden="1" outlineLevel="2" x14ac:dyDescent="0.4">
      <c r="B157" s="1932"/>
      <c r="C157" s="3786"/>
      <c r="D157" s="1579" t="s">
        <v>2078</v>
      </c>
      <c r="E157" s="1611" t="s">
        <v>3</v>
      </c>
      <c r="F157" s="626">
        <f t="shared" si="19"/>
        <v>0.8</v>
      </c>
      <c r="G157" s="626">
        <f t="shared" si="20"/>
        <v>155.68617070349765</v>
      </c>
      <c r="H157" s="1579"/>
      <c r="I157" s="1183" t="s">
        <v>263</v>
      </c>
      <c r="J157" s="1579"/>
      <c r="K157" s="582"/>
      <c r="L157" s="582"/>
      <c r="M157" s="1478" t="str">
        <f>IFERROR(INDEX('Lower Hot Cell Logistics'!$I$13:$O$19,MATCH($K157,'Lower Hot Cell Logistics'!$H$13:$H$19,0),MATCH($L157,'Lower Hot Cell Logistics'!$H$13:$H$19,0)),"N/A")</f>
        <v>N/A</v>
      </c>
      <c r="N157" s="1478" t="str">
        <f>IFERROR(VLOOKUP($J157,'Lower Hot Cell Logistics'!$H$4:$I$9,2,FALSE),"N/A")</f>
        <v>N/A</v>
      </c>
      <c r="O157" s="1183" t="str">
        <f t="shared" si="18"/>
        <v>N/A</v>
      </c>
      <c r="P157" s="1578" t="s">
        <v>1828</v>
      </c>
      <c r="Q157" s="1183">
        <f>IF($E157="Logistics",VLOOKUP($P157,'Lower Hot Cell Logistics'!$C$4:$D$69,2,FALSE),"N/A")</f>
        <v>0.8</v>
      </c>
      <c r="R157" s="3377"/>
      <c r="S157" s="1183" t="str">
        <f>IFERROR(VLOOKUP($R157,'Lower HotCell RecoveryLogistics'!$C$4:$F$110,4,FALSE),"N/A")</f>
        <v>N/A</v>
      </c>
      <c r="T157" s="632" t="str">
        <f t="shared" si="21"/>
        <v>N/A</v>
      </c>
      <c r="V157" s="2031"/>
      <c r="W157" s="2031"/>
      <c r="X157" s="2031"/>
      <c r="Y157" s="1466"/>
    </row>
    <row r="158" spans="2:27" s="88" customFormat="1" hidden="1" outlineLevel="2" x14ac:dyDescent="0.4">
      <c r="B158" s="1932"/>
      <c r="C158" s="3786"/>
      <c r="D158" s="2209" t="s">
        <v>2288</v>
      </c>
      <c r="E158" s="2210" t="s">
        <v>3</v>
      </c>
      <c r="F158" s="1250">
        <f t="shared" si="19"/>
        <v>0.8</v>
      </c>
      <c r="G158" s="1250">
        <f t="shared" si="20"/>
        <v>156.48617070349766</v>
      </c>
      <c r="H158" s="2209"/>
      <c r="I158" s="2211" t="s">
        <v>263</v>
      </c>
      <c r="J158" s="2209"/>
      <c r="K158" s="2212"/>
      <c r="L158" s="2212"/>
      <c r="M158" s="2213" t="str">
        <f>IFERROR(INDEX('Lower Hot Cell Logistics'!$I$13:$O$19,MATCH($K158,'Lower Hot Cell Logistics'!$H$13:$H$19,0),MATCH($L158,'Lower Hot Cell Logistics'!$H$13:$H$19,0)),"N/A")</f>
        <v>N/A</v>
      </c>
      <c r="N158" s="2213" t="str">
        <f>IFERROR(VLOOKUP($J158,'Lower Hot Cell Logistics'!$H$4:$I$9,2,FALSE),"N/A")</f>
        <v>N/A</v>
      </c>
      <c r="O158" s="2211" t="str">
        <f t="shared" si="18"/>
        <v>N/A</v>
      </c>
      <c r="P158" s="2214" t="s">
        <v>1828</v>
      </c>
      <c r="Q158" s="2211">
        <f>IF($E158="Logistics",VLOOKUP($P158,'Lower Hot Cell Logistics'!$C$4:$D$69,2,FALSE),"N/A")</f>
        <v>0.8</v>
      </c>
      <c r="R158" s="3575" t="s">
        <v>2079</v>
      </c>
      <c r="S158" s="2211">
        <f>IFERROR(VLOOKUP($R158,'Lower HotCell RecoveryLogistics'!$C$4:$F$110,4,FALSE),"N/A")</f>
        <v>136.46350607750045</v>
      </c>
      <c r="T158" s="632">
        <f t="shared" si="21"/>
        <v>19.222664625997197</v>
      </c>
      <c r="V158" s="2031"/>
      <c r="W158" s="2031"/>
      <c r="X158" s="2031"/>
      <c r="Y158" s="1466"/>
    </row>
    <row r="159" spans="2:27" s="88" customFormat="1" ht="15" hidden="1" outlineLevel="2" thickBot="1" x14ac:dyDescent="0.45">
      <c r="B159" s="1932"/>
      <c r="C159" s="3786"/>
      <c r="D159" s="1579" t="s">
        <v>1089</v>
      </c>
      <c r="E159" s="1611" t="s">
        <v>251</v>
      </c>
      <c r="F159" s="626">
        <f t="shared" si="19"/>
        <v>17.622664625997164</v>
      </c>
      <c r="G159" s="626">
        <f t="shared" si="20"/>
        <v>174.10883532949484</v>
      </c>
      <c r="H159" s="1579" t="s">
        <v>556</v>
      </c>
      <c r="I159" s="1183">
        <v>17.622664625997164</v>
      </c>
      <c r="J159" s="1579"/>
      <c r="K159" s="582"/>
      <c r="L159" s="582"/>
      <c r="M159" s="1478" t="str">
        <f>IFERROR(INDEX('Lower Hot Cell Logistics'!$I$13:$O$19,MATCH($K159,'Lower Hot Cell Logistics'!$H$13:$H$19,0),MATCH($L159,'Lower Hot Cell Logistics'!$H$13:$H$19,0)),"N/A")</f>
        <v>N/A</v>
      </c>
      <c r="N159" s="1478" t="str">
        <f>IFERROR(VLOOKUP($J159,'Lower Hot Cell Logistics'!$H$4:$I$9,2,FALSE),"N/A")</f>
        <v>N/A</v>
      </c>
      <c r="O159" s="1183" t="str">
        <f t="shared" si="18"/>
        <v>N/A</v>
      </c>
      <c r="P159" s="1578"/>
      <c r="Q159" s="1183" t="str">
        <f>IF($E159="Logistics",VLOOKUP($P159,'Lower Hot Cell Logistics'!$C$4:$D$69,2,FALSE),"N/A")</f>
        <v>N/A</v>
      </c>
      <c r="R159" s="3377"/>
      <c r="S159" s="1183" t="str">
        <f>IFERROR(VLOOKUP($R159,'Lower HotCell RecoveryLogistics'!$C$4:$F$110,4,FALSE),"N/A")</f>
        <v>N/A</v>
      </c>
      <c r="T159" s="632" t="str">
        <f t="shared" si="21"/>
        <v>N/A</v>
      </c>
      <c r="V159" s="2031"/>
      <c r="W159" s="2031"/>
      <c r="X159" s="2031"/>
      <c r="Y159" s="1466"/>
    </row>
    <row r="160" spans="2:27" s="88" customFormat="1" ht="15" hidden="1" customHeight="1" outlineLevel="2" x14ac:dyDescent="0.4">
      <c r="B160" s="1932"/>
      <c r="C160" s="3852" t="s">
        <v>2290</v>
      </c>
      <c r="D160" s="1906" t="s">
        <v>119</v>
      </c>
      <c r="E160" s="1907" t="s">
        <v>3</v>
      </c>
      <c r="F160" s="1739">
        <f t="shared" si="19"/>
        <v>0.8</v>
      </c>
      <c r="G160" s="1739">
        <f t="shared" si="20"/>
        <v>174.90883532949485</v>
      </c>
      <c r="H160" s="1906"/>
      <c r="I160" s="1917" t="s">
        <v>263</v>
      </c>
      <c r="J160" s="1906"/>
      <c r="K160" s="1911"/>
      <c r="L160" s="1911"/>
      <c r="M160" s="1912" t="str">
        <f>IFERROR(INDEX('Lower Hot Cell Logistics'!$I$13:$O$19,MATCH($K160,'Lower Hot Cell Logistics'!$H$13:$H$19,0),MATCH($L160,'Lower Hot Cell Logistics'!$H$13:$H$19,0)),"N/A")</f>
        <v>N/A</v>
      </c>
      <c r="N160" s="1912" t="str">
        <f>IFERROR(VLOOKUP($J160,'Lower Hot Cell Logistics'!$H$4:$I$9,2,FALSE),"N/A")</f>
        <v>N/A</v>
      </c>
      <c r="O160" s="1917" t="str">
        <f t="shared" si="18"/>
        <v>N/A</v>
      </c>
      <c r="P160" s="1916" t="s">
        <v>1828</v>
      </c>
      <c r="Q160" s="1917">
        <f>IF($E160="Logistics",VLOOKUP($P160,'Lower Hot Cell Logistics'!$C$4:$D$69,2,FALSE),"N/A")</f>
        <v>0.8</v>
      </c>
      <c r="R160" s="3381" t="s">
        <v>2082</v>
      </c>
      <c r="S160" s="1917">
        <f>IFERROR(VLOOKUP($R160,'Lower HotCell RecoveryLogistics'!$C$4:$F$110,4,FALSE),"N/A")</f>
        <v>156.69209662942359</v>
      </c>
      <c r="T160" s="1130">
        <f t="shared" si="21"/>
        <v>17.416738700071249</v>
      </c>
      <c r="V160" s="2031"/>
      <c r="W160" s="2031"/>
      <c r="X160" s="2031"/>
      <c r="Y160" s="1466"/>
    </row>
    <row r="161" spans="1:29" s="88" customFormat="1" hidden="1" outlineLevel="2" x14ac:dyDescent="0.4">
      <c r="B161" s="1932"/>
      <c r="C161" s="3856"/>
      <c r="D161" s="1895" t="s">
        <v>1092</v>
      </c>
      <c r="E161" s="1896" t="s">
        <v>251</v>
      </c>
      <c r="F161" s="1347">
        <f t="shared" si="19"/>
        <v>10.036332312998582</v>
      </c>
      <c r="G161" s="1347">
        <f t="shared" si="20"/>
        <v>184.94516764249343</v>
      </c>
      <c r="H161" s="1895" t="s">
        <v>450</v>
      </c>
      <c r="I161" s="1903">
        <v>10.036332312998582</v>
      </c>
      <c r="J161" s="1895"/>
      <c r="K161" s="1897"/>
      <c r="L161" s="1897"/>
      <c r="M161" s="1898" t="str">
        <f>IFERROR(INDEX('Lower Hot Cell Logistics'!$I$13:$O$19,MATCH($K161,'Lower Hot Cell Logistics'!$H$13:$H$19,0),MATCH($L161,'Lower Hot Cell Logistics'!$H$13:$H$19,0)),"N/A")</f>
        <v>N/A</v>
      </c>
      <c r="N161" s="1898" t="str">
        <f>IFERROR(VLOOKUP($J161,'Lower Hot Cell Logistics'!$H$4:$I$9,2,FALSE),"N/A")</f>
        <v>N/A</v>
      </c>
      <c r="O161" s="1903" t="str">
        <f t="shared" si="18"/>
        <v>N/A</v>
      </c>
      <c r="P161" s="1902"/>
      <c r="Q161" s="1903" t="str">
        <f>IF($E161="Logistics",VLOOKUP($P161,'Lower Hot Cell Logistics'!$C$4:$D$69,2,FALSE),"N/A")</f>
        <v>N/A</v>
      </c>
      <c r="R161" s="3380" t="s">
        <v>1871</v>
      </c>
      <c r="S161" s="1903">
        <f>IFERROR(VLOOKUP($R161,'Lower HotCell RecoveryLogistics'!$C$4:$F$110,4,FALSE),"N/A")</f>
        <v>101.59388888888886</v>
      </c>
      <c r="T161" s="632">
        <f t="shared" si="21"/>
        <v>73.314946440605993</v>
      </c>
      <c r="V161" s="2031"/>
      <c r="W161" s="2031"/>
      <c r="X161" s="2031"/>
      <c r="Y161" s="1466"/>
    </row>
    <row r="162" spans="1:29" s="88" customFormat="1" hidden="1" outlineLevel="2" x14ac:dyDescent="0.4">
      <c r="B162" s="1932"/>
      <c r="C162" s="3856"/>
      <c r="D162" s="1895" t="s">
        <v>1669</v>
      </c>
      <c r="E162" s="1896" t="s">
        <v>3</v>
      </c>
      <c r="F162" s="1347">
        <f t="shared" si="19"/>
        <v>0.8</v>
      </c>
      <c r="G162" s="1347">
        <f t="shared" si="20"/>
        <v>185.74516764249344</v>
      </c>
      <c r="H162" s="1895"/>
      <c r="I162" s="1903" t="s">
        <v>263</v>
      </c>
      <c r="J162" s="1895"/>
      <c r="K162" s="1897"/>
      <c r="L162" s="1897"/>
      <c r="M162" s="1898" t="str">
        <f>IFERROR(INDEX('Lower Hot Cell Logistics'!$I$13:$O$19,MATCH($K162,'Lower Hot Cell Logistics'!$H$13:$H$19,0),MATCH($L162,'Lower Hot Cell Logistics'!$H$13:$H$19,0)),"N/A")</f>
        <v>N/A</v>
      </c>
      <c r="N162" s="1898" t="str">
        <f>IFERROR(VLOOKUP($J162,'Lower Hot Cell Logistics'!$H$4:$I$9,2,FALSE),"N/A")</f>
        <v>N/A</v>
      </c>
      <c r="O162" s="1903" t="str">
        <f t="shared" si="18"/>
        <v>N/A</v>
      </c>
      <c r="P162" s="1902" t="s">
        <v>1828</v>
      </c>
      <c r="Q162" s="1903">
        <f>IF($E162="Logistics",VLOOKUP($P162,'Lower Hot Cell Logistics'!$C$4:$D$69,2,FALSE),"N/A")</f>
        <v>0.8</v>
      </c>
      <c r="R162" s="3380"/>
      <c r="S162" s="1903" t="str">
        <f>IFERROR(VLOOKUP($R162,'Lower HotCell RecoveryLogistics'!$C$4:$F$110,4,FALSE),"N/A")</f>
        <v>N/A</v>
      </c>
      <c r="T162" s="632" t="str">
        <f t="shared" si="21"/>
        <v>N/A</v>
      </c>
      <c r="V162" s="2031"/>
      <c r="W162" s="2031"/>
      <c r="X162" s="2031"/>
      <c r="Y162" s="1466"/>
    </row>
    <row r="163" spans="1:29" s="88" customFormat="1" hidden="1" outlineLevel="2" x14ac:dyDescent="0.4">
      <c r="B163" s="1932"/>
      <c r="C163" s="3856"/>
      <c r="D163" s="1895" t="s">
        <v>1670</v>
      </c>
      <c r="E163" s="1896" t="s">
        <v>3</v>
      </c>
      <c r="F163" s="1347">
        <f t="shared" si="19"/>
        <v>0.53</v>
      </c>
      <c r="G163" s="1347">
        <f t="shared" si="20"/>
        <v>186.27516764249344</v>
      </c>
      <c r="H163" s="1895"/>
      <c r="I163" s="1903" t="s">
        <v>263</v>
      </c>
      <c r="J163" s="1895"/>
      <c r="K163" s="1897"/>
      <c r="L163" s="1897"/>
      <c r="M163" s="1898" t="str">
        <f>IFERROR(INDEX('Lower Hot Cell Logistics'!$I$13:$O$19,MATCH($K163,'Lower Hot Cell Logistics'!$H$13:$H$19,0),MATCH($L163,'Lower Hot Cell Logistics'!$H$13:$H$19,0)),"N/A")</f>
        <v>N/A</v>
      </c>
      <c r="N163" s="1898" t="str">
        <f>IFERROR(VLOOKUP($J163,'Lower Hot Cell Logistics'!$H$4:$I$9,2,FALSE),"N/A")</f>
        <v>N/A</v>
      </c>
      <c r="O163" s="1903" t="str">
        <f t="shared" si="18"/>
        <v>N/A</v>
      </c>
      <c r="P163" s="1902" t="s">
        <v>1558</v>
      </c>
      <c r="Q163" s="1903">
        <f>IF($E163="Logistics",VLOOKUP($P163,'Lower Hot Cell Logistics'!$C$4:$D$69,2,FALSE),"N/A")</f>
        <v>0.53</v>
      </c>
      <c r="R163" s="3380" t="s">
        <v>2085</v>
      </c>
      <c r="S163" s="1903">
        <f>IFERROR(VLOOKUP($R163,'Lower HotCell RecoveryLogistics'!$C$4:$F$110,4,FALSE),"N/A")</f>
        <v>175.91476125542079</v>
      </c>
      <c r="T163" s="632">
        <f t="shared" si="21"/>
        <v>9.8304063870726566</v>
      </c>
      <c r="V163" s="2031"/>
      <c r="W163" s="2031"/>
      <c r="X163" s="2031"/>
      <c r="Y163" s="1466"/>
    </row>
    <row r="164" spans="1:29" s="88" customFormat="1" hidden="1" outlineLevel="2" x14ac:dyDescent="0.4">
      <c r="B164" s="1932"/>
      <c r="C164" s="3856"/>
      <c r="D164" s="1895" t="s">
        <v>2084</v>
      </c>
      <c r="E164" s="1896" t="s">
        <v>251</v>
      </c>
      <c r="F164" s="1347">
        <f t="shared" si="19"/>
        <v>10.036332312998582</v>
      </c>
      <c r="G164" s="1347">
        <f t="shared" si="20"/>
        <v>196.31149995549202</v>
      </c>
      <c r="H164" s="1895" t="s">
        <v>450</v>
      </c>
      <c r="I164" s="1903">
        <v>10.036332312998582</v>
      </c>
      <c r="J164" s="1895"/>
      <c r="K164" s="1897"/>
      <c r="L164" s="1897"/>
      <c r="M164" s="1898" t="str">
        <f>IFERROR(INDEX('Lower Hot Cell Logistics'!$I$13:$O$19,MATCH($K164,'Lower Hot Cell Logistics'!$H$13:$H$19,0),MATCH($L164,'Lower Hot Cell Logistics'!$H$13:$H$19,0)),"N/A")</f>
        <v>N/A</v>
      </c>
      <c r="N164" s="1898" t="str">
        <f>IFERROR(VLOOKUP($J164,'Lower Hot Cell Logistics'!$H$4:$I$9,2,FALSE),"N/A")</f>
        <v>N/A</v>
      </c>
      <c r="O164" s="1903" t="str">
        <f t="shared" si="18"/>
        <v>N/A</v>
      </c>
      <c r="P164" s="1902"/>
      <c r="Q164" s="1903" t="str">
        <f>IF($E164="Logistics",VLOOKUP($P164,'Lower Hot Cell Logistics'!$C$4:$D$69,2,FALSE),"N/A")</f>
        <v>N/A</v>
      </c>
      <c r="R164" s="3380" t="s">
        <v>1872</v>
      </c>
      <c r="S164" s="1903">
        <f>IFERROR(VLOOKUP($R164,'Lower HotCell RecoveryLogistics'!$C$4:$F$110,4,FALSE),"N/A")</f>
        <v>107.36999999999996</v>
      </c>
      <c r="T164" s="632">
        <f t="shared" si="21"/>
        <v>78.905167642493481</v>
      </c>
      <c r="V164" s="2031"/>
      <c r="W164" s="2031"/>
      <c r="X164" s="2031"/>
      <c r="Y164" s="1466"/>
    </row>
    <row r="165" spans="1:29" s="88" customFormat="1" ht="15" hidden="1" outlineLevel="2" thickBot="1" x14ac:dyDescent="0.45">
      <c r="B165" s="1932"/>
      <c r="C165" s="3853"/>
      <c r="D165" s="1869" t="s">
        <v>1599</v>
      </c>
      <c r="E165" s="1918" t="s">
        <v>3</v>
      </c>
      <c r="F165" s="1295">
        <f t="shared" si="19"/>
        <v>0.6</v>
      </c>
      <c r="G165" s="1295">
        <f t="shared" si="20"/>
        <v>196.91149995549202</v>
      </c>
      <c r="H165" s="1869"/>
      <c r="I165" s="1922" t="s">
        <v>263</v>
      </c>
      <c r="J165" s="1869"/>
      <c r="K165" s="837"/>
      <c r="L165" s="837"/>
      <c r="M165" s="842" t="str">
        <f>IFERROR(INDEX('Lower Hot Cell Logistics'!$I$13:$O$19,MATCH($K165,'Lower Hot Cell Logistics'!$H$13:$H$19,0),MATCH($L165,'Lower Hot Cell Logistics'!$H$13:$H$19,0)),"N/A")</f>
        <v>N/A</v>
      </c>
      <c r="N165" s="842" t="str">
        <f>IFERROR(VLOOKUP($J165,'Lower Hot Cell Logistics'!$H$4:$I$9,2,FALSE),"N/A")</f>
        <v>N/A</v>
      </c>
      <c r="O165" s="1922" t="str">
        <f t="shared" si="18"/>
        <v>N/A</v>
      </c>
      <c r="P165" s="1921" t="s">
        <v>2008</v>
      </c>
      <c r="Q165" s="1922">
        <f>IF($E165="Logistics",VLOOKUP($P165,'Lower Hot Cell Logistics'!$C$4:$D$69,2,FALSE),"N/A")</f>
        <v>0.6</v>
      </c>
      <c r="R165" s="3382"/>
      <c r="S165" s="1922" t="str">
        <f>IFERROR(VLOOKUP($R165,'Lower HotCell RecoveryLogistics'!$C$4:$F$110,4,FALSE),"N/A")</f>
        <v>N/A</v>
      </c>
      <c r="T165" s="591" t="str">
        <f t="shared" si="21"/>
        <v>N/A</v>
      </c>
      <c r="V165" s="2031"/>
      <c r="W165" s="2031"/>
      <c r="X165" s="2031"/>
      <c r="Y165" s="1466"/>
    </row>
    <row r="166" spans="1:29" s="8" customFormat="1" outlineLevel="1" collapsed="1" x14ac:dyDescent="0.4">
      <c r="A166"/>
      <c r="B166" s="1932"/>
      <c r="C166" s="891"/>
      <c r="D166" s="892"/>
      <c r="E166" s="1439" t="s">
        <v>11</v>
      </c>
      <c r="F166" s="1439"/>
      <c r="G166" s="894">
        <f>G165</f>
        <v>196.91149995549202</v>
      </c>
      <c r="H166" s="94"/>
      <c r="I166" s="895"/>
      <c r="J166" s="94"/>
      <c r="K166" s="94"/>
      <c r="L166" s="896"/>
      <c r="M166" s="897"/>
      <c r="N166" s="897"/>
      <c r="O166" s="894"/>
      <c r="P166" s="94"/>
      <c r="Q166" s="897"/>
      <c r="R166" s="3383"/>
      <c r="S166" s="7"/>
      <c r="T166" s="895"/>
      <c r="U166" s="895"/>
      <c r="V166" s="7"/>
      <c r="W166" s="7"/>
      <c r="X166" s="7"/>
      <c r="Y166" s="7"/>
      <c r="Z166"/>
      <c r="AA166"/>
      <c r="AB166"/>
      <c r="AC166"/>
    </row>
    <row r="167" spans="1:29" s="8" customFormat="1" outlineLevel="1" x14ac:dyDescent="0.4">
      <c r="A167"/>
      <c r="B167" s="1932"/>
      <c r="C167" s="891"/>
      <c r="D167" s="892"/>
      <c r="E167" s="898"/>
      <c r="F167" s="894"/>
      <c r="G167" s="894"/>
      <c r="H167" s="94"/>
      <c r="I167" s="895"/>
      <c r="J167" s="94"/>
      <c r="K167" s="94"/>
      <c r="L167" s="896"/>
      <c r="M167" s="897"/>
      <c r="N167" s="897"/>
      <c r="O167" s="894"/>
      <c r="P167" s="94"/>
      <c r="Q167" s="897"/>
      <c r="R167" s="3383"/>
      <c r="S167" s="7"/>
      <c r="T167" s="895"/>
      <c r="U167" s="895"/>
      <c r="V167" s="7"/>
      <c r="W167" s="7"/>
      <c r="X167" s="7"/>
      <c r="Y167" s="7"/>
      <c r="Z167"/>
      <c r="AA167"/>
      <c r="AB167"/>
      <c r="AC167"/>
    </row>
    <row r="168" spans="1:29" s="8" customFormat="1" x14ac:dyDescent="0.4">
      <c r="A168"/>
      <c r="B168" s="1945"/>
      <c r="C168" s="1947"/>
      <c r="D168" s="1947"/>
      <c r="E168" s="1948"/>
      <c r="F168" s="1947"/>
      <c r="G168" s="1947"/>
      <c r="H168" s="1949"/>
      <c r="I168" s="1950"/>
      <c r="J168" s="1947"/>
      <c r="K168" s="1947"/>
      <c r="L168" s="1946"/>
      <c r="M168" s="1947"/>
      <c r="N168" s="1947"/>
      <c r="O168" s="1947"/>
      <c r="P168" s="1947"/>
      <c r="Q168" s="1947"/>
      <c r="R168" s="3389"/>
      <c r="S168" s="1950"/>
      <c r="T168" s="1947"/>
      <c r="U168" s="1947"/>
      <c r="V168" s="1950"/>
      <c r="W168" s="1950"/>
      <c r="X168" s="1950"/>
      <c r="Y168" s="1950"/>
      <c r="Z168"/>
      <c r="AA168"/>
      <c r="AB168"/>
      <c r="AC168"/>
    </row>
    <row r="170" spans="1:29" s="8" customFormat="1" ht="15.45" x14ac:dyDescent="0.4">
      <c r="A170"/>
      <c r="B170" s="1951"/>
      <c r="C170" s="2301"/>
      <c r="D170" s="1953" t="s">
        <v>1878</v>
      </c>
      <c r="E170" s="1954"/>
      <c r="F170" s="1954"/>
      <c r="G170" s="1954"/>
      <c r="H170" s="1954"/>
      <c r="I170" s="1954"/>
      <c r="J170" s="1954"/>
      <c r="K170" s="1954"/>
      <c r="L170" s="1954"/>
      <c r="M170" s="1954"/>
      <c r="N170" s="1954"/>
      <c r="O170" s="1954"/>
      <c r="P170" s="1954"/>
      <c r="Q170" s="1954"/>
      <c r="R170" s="3390"/>
      <c r="S170" s="1954"/>
      <c r="T170" s="1954"/>
      <c r="U170" s="1954"/>
      <c r="V170" s="1954"/>
      <c r="W170" s="1954"/>
      <c r="X170" s="1954"/>
      <c r="Y170" s="1954"/>
      <c r="Z170"/>
      <c r="AA170"/>
      <c r="AB170"/>
      <c r="AC170"/>
    </row>
    <row r="171" spans="1:29" s="8" customFormat="1" outlineLevel="1" x14ac:dyDescent="0.4">
      <c r="A171"/>
      <c r="B171" s="1955"/>
      <c r="C171" s="704"/>
      <c r="D171" s="748" t="s">
        <v>1053</v>
      </c>
      <c r="E171" s="749"/>
      <c r="F171" s="704"/>
      <c r="G171" s="704"/>
      <c r="H171" s="704"/>
      <c r="I171" s="750"/>
      <c r="J171" s="704"/>
      <c r="K171" s="704"/>
      <c r="L171" s="704"/>
      <c r="M171" s="704"/>
      <c r="N171" s="704"/>
      <c r="O171" s="704"/>
      <c r="P171" s="704"/>
      <c r="Q171" s="704"/>
      <c r="R171" s="3364"/>
      <c r="S171" s="750"/>
      <c r="T171" s="704"/>
      <c r="U171" s="704"/>
      <c r="V171" s="750"/>
      <c r="W171" s="750"/>
      <c r="X171" s="750"/>
      <c r="Y171" s="750"/>
      <c r="Z171"/>
      <c r="AA171"/>
      <c r="AB171"/>
      <c r="AC171"/>
    </row>
    <row r="172" spans="1:29" s="8" customFormat="1" ht="15" outlineLevel="1" thickBot="1" x14ac:dyDescent="0.45">
      <c r="A172"/>
      <c r="B172" s="1955"/>
      <c r="C172" s="704"/>
      <c r="D172" s="704" t="s">
        <v>1034</v>
      </c>
      <c r="E172" s="749"/>
      <c r="F172" s="704"/>
      <c r="G172" s="704"/>
      <c r="H172" s="704"/>
      <c r="I172" s="750"/>
      <c r="J172" s="704"/>
      <c r="K172" s="704"/>
      <c r="L172" s="704"/>
      <c r="M172" s="704"/>
      <c r="N172" s="704"/>
      <c r="O172" s="704"/>
      <c r="P172" s="704"/>
      <c r="Q172" s="704"/>
      <c r="R172" s="3364"/>
      <c r="S172" s="750"/>
      <c r="T172" s="704"/>
      <c r="V172" s="704"/>
      <c r="W172" s="750"/>
      <c r="X172" s="750"/>
      <c r="Y172" s="750"/>
      <c r="Z172"/>
      <c r="AA172"/>
      <c r="AB172"/>
      <c r="AC172"/>
    </row>
    <row r="173" spans="1:29" s="8" customFormat="1" outlineLevel="1" x14ac:dyDescent="0.4">
      <c r="A173"/>
      <c r="B173" s="1955"/>
      <c r="C173" s="704"/>
      <c r="D173" t="s">
        <v>2690</v>
      </c>
      <c r="E173" s="749"/>
      <c r="F173" s="704"/>
      <c r="G173" s="704"/>
      <c r="H173" s="704"/>
      <c r="I173" s="750"/>
      <c r="J173" s="704"/>
      <c r="K173" s="704"/>
      <c r="L173" s="704"/>
      <c r="M173" s="704"/>
      <c r="N173" s="704"/>
      <c r="O173" s="704"/>
      <c r="P173" s="704"/>
      <c r="Q173" s="704"/>
      <c r="R173" s="3570"/>
      <c r="S173" s="3567" t="s">
        <v>23</v>
      </c>
      <c r="T173" s="3842" t="s">
        <v>2604</v>
      </c>
      <c r="U173" s="3843"/>
      <c r="V173" s="3843"/>
      <c r="W173" s="3843"/>
      <c r="X173" s="3844"/>
      <c r="Y173" s="1044"/>
      <c r="Z173"/>
      <c r="AA173"/>
      <c r="AB173"/>
      <c r="AC173"/>
    </row>
    <row r="174" spans="1:29" s="8" customFormat="1" outlineLevel="1" x14ac:dyDescent="0.4">
      <c r="A174"/>
      <c r="B174" s="1955"/>
      <c r="C174" s="704"/>
      <c r="D174" s="704" t="s">
        <v>1035</v>
      </c>
      <c r="E174" s="749"/>
      <c r="F174" s="704"/>
      <c r="G174" s="704"/>
      <c r="H174" s="704"/>
      <c r="I174" s="750"/>
      <c r="J174" s="704"/>
      <c r="K174" s="704"/>
      <c r="L174" s="704"/>
      <c r="M174" s="704"/>
      <c r="N174" s="704"/>
      <c r="O174" s="704"/>
      <c r="P174" s="704"/>
      <c r="Q174" s="704"/>
      <c r="R174" s="3543" t="s">
        <v>1055</v>
      </c>
      <c r="S174" s="1434">
        <v>1</v>
      </c>
      <c r="T174" s="1512">
        <v>1</v>
      </c>
      <c r="U174" s="916">
        <v>2</v>
      </c>
      <c r="V174" s="916">
        <v>3</v>
      </c>
      <c r="W174" s="916">
        <v>4</v>
      </c>
      <c r="X174" s="1045">
        <v>6</v>
      </c>
      <c r="Y174" s="1851"/>
      <c r="Z174"/>
      <c r="AA174"/>
      <c r="AB174"/>
      <c r="AC174"/>
    </row>
    <row r="175" spans="1:29" s="8" customFormat="1" outlineLevel="1" x14ac:dyDescent="0.4">
      <c r="A175"/>
      <c r="B175" s="1955"/>
      <c r="C175" s="704"/>
      <c r="D175" s="704" t="s">
        <v>1036</v>
      </c>
      <c r="E175" s="749"/>
      <c r="F175" s="704"/>
      <c r="G175" s="704"/>
      <c r="H175" s="704"/>
      <c r="I175" s="750"/>
      <c r="J175" s="704"/>
      <c r="K175" s="704"/>
      <c r="L175" s="704"/>
      <c r="M175" s="704"/>
      <c r="N175" s="704"/>
      <c r="O175" s="704"/>
      <c r="P175" s="704"/>
      <c r="Q175" s="704"/>
      <c r="R175" s="3140" t="s">
        <v>2665</v>
      </c>
      <c r="S175" s="1088">
        <f>connect_lower_blanket_pipework</f>
        <v>26.773271037841543</v>
      </c>
      <c r="T175" s="1415">
        <f>ROUNDUP(Tokamak_Segmts/T174,0)*connect_lower_blanket_pipework</f>
        <v>428.37233660546468</v>
      </c>
      <c r="U175" s="917">
        <f>ROUNDUP(Tokamak_Segmts/U174,0)*connect_lower_blanket_pipework</f>
        <v>214.18616830273234</v>
      </c>
      <c r="V175" s="917">
        <f>ROUNDUP(Tokamak_Segmts/V174,0)*connect_lower_blanket_pipework</f>
        <v>160.63962622704926</v>
      </c>
      <c r="W175" s="917">
        <f>ROUNDUP(Tokamak_Segmts/W174,0)*connect_lower_blanket_pipework</f>
        <v>107.09308415136617</v>
      </c>
      <c r="X175" s="1028">
        <f>ROUNDUP(Tokamak_Segmts/X174,0)*connect_lower_blanket_pipework</f>
        <v>80.319813113524631</v>
      </c>
      <c r="Y175" s="290"/>
      <c r="Z175"/>
      <c r="AA175"/>
      <c r="AB175"/>
      <c r="AC175"/>
    </row>
    <row r="176" spans="1:29" s="8" customFormat="1" ht="15" outlineLevel="1" thickBot="1" x14ac:dyDescent="0.45">
      <c r="A176"/>
      <c r="B176" s="1955"/>
      <c r="C176" s="704"/>
      <c r="D176" s="704" t="s">
        <v>1037</v>
      </c>
      <c r="E176" s="749"/>
      <c r="F176" s="704"/>
      <c r="G176" s="704"/>
      <c r="H176" s="704"/>
      <c r="I176" s="750"/>
      <c r="J176" s="704"/>
      <c r="K176" s="704"/>
      <c r="L176" s="704"/>
      <c r="M176" s="704"/>
      <c r="N176" s="704"/>
      <c r="O176" s="704"/>
      <c r="P176" s="704"/>
      <c r="Q176" s="704"/>
      <c r="R176" s="3141" t="s">
        <v>2693</v>
      </c>
      <c r="S176" s="1092">
        <f>S$175*$E$180</f>
        <v>0.29450598141625695</v>
      </c>
      <c r="T176" s="1416">
        <f t="shared" ref="T176:X176" si="22">T$175*$E$180</f>
        <v>4.7120957026601111</v>
      </c>
      <c r="U176" s="920">
        <f t="shared" si="22"/>
        <v>2.3560478513300556</v>
      </c>
      <c r="V176" s="920">
        <f t="shared" si="22"/>
        <v>1.7670358884975419</v>
      </c>
      <c r="W176" s="920">
        <f t="shared" si="22"/>
        <v>1.1780239256650278</v>
      </c>
      <c r="X176" s="1029">
        <f t="shared" si="22"/>
        <v>0.88351794424877095</v>
      </c>
      <c r="Y176" s="290"/>
      <c r="Z176"/>
      <c r="AA176"/>
      <c r="AB176"/>
      <c r="AC176"/>
    </row>
    <row r="177" spans="1:29" s="8" customFormat="1" outlineLevel="1" x14ac:dyDescent="0.4">
      <c r="A177"/>
      <c r="B177" s="1955"/>
      <c r="C177" s="704"/>
      <c r="D177" s="704" t="s">
        <v>1038</v>
      </c>
      <c r="E177" s="749"/>
      <c r="F177" s="704"/>
      <c r="G177" s="704"/>
      <c r="H177" s="704"/>
      <c r="I177" s="750"/>
      <c r="J177" s="704"/>
      <c r="K177" s="704"/>
      <c r="L177" s="704"/>
      <c r="M177" s="704"/>
      <c r="N177" s="704"/>
      <c r="O177" s="704"/>
      <c r="P177" s="704"/>
      <c r="Q177" s="704"/>
      <c r="R177" s="3571" t="s">
        <v>1048</v>
      </c>
      <c r="S177" s="1515">
        <f t="shared" ref="S177:X177" si="23">S176*(SUMIF($E188:$E219,"Operation",$F188:$F219))</f>
        <v>39.281745603275901</v>
      </c>
      <c r="T177" s="1500">
        <f t="shared" si="23"/>
        <v>628.50792965241442</v>
      </c>
      <c r="U177" s="768">
        <f t="shared" si="23"/>
        <v>314.25396482620721</v>
      </c>
      <c r="V177" s="768">
        <f t="shared" si="23"/>
        <v>235.69047361965542</v>
      </c>
      <c r="W177" s="768">
        <f t="shared" si="23"/>
        <v>157.1269824131036</v>
      </c>
      <c r="X177" s="1062">
        <f t="shared" si="23"/>
        <v>117.84523680982771</v>
      </c>
      <c r="Y177" s="290"/>
      <c r="Z177"/>
      <c r="AA177"/>
      <c r="AB177"/>
      <c r="AC177"/>
    </row>
    <row r="178" spans="1:29" s="8" customFormat="1" outlineLevel="1" x14ac:dyDescent="0.4">
      <c r="A178"/>
      <c r="B178" s="1955"/>
      <c r="C178" s="704"/>
      <c r="D178" s="704"/>
      <c r="E178" s="749"/>
      <c r="F178" s="704"/>
      <c r="G178" s="704"/>
      <c r="H178" s="704"/>
      <c r="I178" s="750"/>
      <c r="J178" s="704"/>
      <c r="K178" s="704"/>
      <c r="L178" s="704"/>
      <c r="M178" s="704"/>
      <c r="N178" s="704"/>
      <c r="O178" s="704"/>
      <c r="P178" s="704"/>
      <c r="Q178" s="704"/>
      <c r="R178" s="3543" t="s">
        <v>2658</v>
      </c>
      <c r="S178" s="1516">
        <f t="shared" ref="S178:X178" si="24">S176*(SUMIF($E188:$E219,"Movement",$F188:$F219)+(SUMIF($E188:$E219,"Logistics",$F188:$F219)))</f>
        <v>4.1201386800134356</v>
      </c>
      <c r="T178" s="1502">
        <f t="shared" si="24"/>
        <v>65.92221888021497</v>
      </c>
      <c r="U178" s="769">
        <f t="shared" si="24"/>
        <v>32.961109440107485</v>
      </c>
      <c r="V178" s="769">
        <f t="shared" si="24"/>
        <v>24.720832080080616</v>
      </c>
      <c r="W178" s="769">
        <f t="shared" si="24"/>
        <v>16.480554720053743</v>
      </c>
      <c r="X178" s="1064">
        <f t="shared" si="24"/>
        <v>12.360416040040308</v>
      </c>
      <c r="Y178" s="290"/>
      <c r="Z178"/>
      <c r="AA178"/>
      <c r="AB178"/>
      <c r="AC178"/>
    </row>
    <row r="179" spans="1:29" s="8" customFormat="1" ht="15" outlineLevel="1" thickBot="1" x14ac:dyDescent="0.45">
      <c r="A179"/>
      <c r="B179" s="1955"/>
      <c r="C179" s="704"/>
      <c r="D179" s="704"/>
      <c r="E179" s="749"/>
      <c r="F179" s="704"/>
      <c r="G179" s="704"/>
      <c r="H179" s="704"/>
      <c r="I179" s="750"/>
      <c r="J179" s="704"/>
      <c r="K179" s="704"/>
      <c r="L179" s="704"/>
      <c r="M179" s="704"/>
      <c r="N179" s="704"/>
      <c r="O179" s="704"/>
      <c r="P179" s="704"/>
      <c r="Q179" s="704"/>
      <c r="R179" s="3572" t="s">
        <v>2663</v>
      </c>
      <c r="S179" s="1112">
        <f t="shared" ref="S179:X179" si="25">S176*(-SUMIF($T188:$T219,"&lt;0"))</f>
        <v>3.7824384879894644</v>
      </c>
      <c r="T179" s="1110">
        <f t="shared" si="25"/>
        <v>60.51901580783143</v>
      </c>
      <c r="U179" s="770">
        <f t="shared" si="25"/>
        <v>30.259507903915715</v>
      </c>
      <c r="V179" s="770">
        <f t="shared" si="25"/>
        <v>22.694630927936789</v>
      </c>
      <c r="W179" s="770">
        <f t="shared" si="25"/>
        <v>15.129753951957857</v>
      </c>
      <c r="X179" s="1066">
        <f t="shared" si="25"/>
        <v>11.347315463968394</v>
      </c>
      <c r="Y179" s="290"/>
      <c r="Z179"/>
      <c r="AA179"/>
      <c r="AB179"/>
      <c r="AC179"/>
    </row>
    <row r="180" spans="1:29" s="8" customFormat="1" ht="15" outlineLevel="1" thickBot="1" x14ac:dyDescent="0.45">
      <c r="A180"/>
      <c r="B180" s="1955"/>
      <c r="C180" s="704"/>
      <c r="D180" s="748" t="s">
        <v>1056</v>
      </c>
      <c r="E180" s="709">
        <f>SUM(E181:E182)</f>
        <v>1.0999999999999999E-2</v>
      </c>
      <c r="F180" s="709"/>
      <c r="G180" s="709"/>
      <c r="H180" s="709"/>
      <c r="I180" s="919"/>
      <c r="J180" s="918"/>
      <c r="K180" s="918"/>
      <c r="L180" s="918"/>
      <c r="M180" s="918"/>
      <c r="N180" s="918"/>
      <c r="O180" s="918"/>
      <c r="P180" s="704"/>
      <c r="Q180" s="704"/>
      <c r="R180" s="3573" t="s">
        <v>2667</v>
      </c>
      <c r="S180" s="2974">
        <f t="shared" ref="S180:X180" si="26">S176*$G$220</f>
        <v>47.184322771278808</v>
      </c>
      <c r="T180" s="2994">
        <f t="shared" si="26"/>
        <v>754.94916434046092</v>
      </c>
      <c r="U180" s="694">
        <f t="shared" si="26"/>
        <v>377.47458217023046</v>
      </c>
      <c r="V180" s="694">
        <f t="shared" si="26"/>
        <v>283.10593662767286</v>
      </c>
      <c r="W180" s="694">
        <f t="shared" si="26"/>
        <v>188.73729108511523</v>
      </c>
      <c r="X180" s="2974">
        <f t="shared" si="26"/>
        <v>141.55296831383643</v>
      </c>
      <c r="Y180" s="915"/>
      <c r="Z180"/>
      <c r="AA180"/>
      <c r="AB180"/>
      <c r="AC180"/>
    </row>
    <row r="181" spans="1:29" s="8" customFormat="1" outlineLevel="1" x14ac:dyDescent="0.4">
      <c r="A181"/>
      <c r="B181" s="1955"/>
      <c r="C181" s="5"/>
      <c r="D181" s="7" t="s">
        <v>1057</v>
      </c>
      <c r="E181" s="763">
        <f>Weld_Failure_Rate</f>
        <v>1E-3</v>
      </c>
      <c r="F181" s="922"/>
      <c r="G181" s="922"/>
      <c r="H181" s="924"/>
      <c r="I181" s="290"/>
      <c r="J181" s="922"/>
      <c r="K181" s="922"/>
      <c r="L181" s="925"/>
      <c r="M181" s="922"/>
      <c r="N181" s="922"/>
      <c r="O181" s="922"/>
      <c r="P181" s="706"/>
      <c r="Q181" s="7"/>
      <c r="Y181" s="915"/>
      <c r="Z181"/>
      <c r="AA181"/>
      <c r="AB181"/>
      <c r="AC181"/>
    </row>
    <row r="182" spans="1:29" s="8" customFormat="1" outlineLevel="1" x14ac:dyDescent="0.4">
      <c r="A182"/>
      <c r="B182" s="1955"/>
      <c r="C182" s="5"/>
      <c r="D182" s="7" t="s">
        <v>1058</v>
      </c>
      <c r="E182" s="763">
        <f>SJS_welder_failure</f>
        <v>0.01</v>
      </c>
      <c r="F182" s="922"/>
      <c r="G182" s="922"/>
      <c r="H182" s="924"/>
      <c r="I182" s="290"/>
      <c r="J182" s="922"/>
      <c r="K182" s="922"/>
      <c r="L182" s="925"/>
      <c r="M182" s="922"/>
      <c r="N182" s="922"/>
      <c r="O182" s="922"/>
      <c r="P182" s="706"/>
      <c r="Q182" s="7"/>
      <c r="Y182" s="915"/>
      <c r="Z182"/>
      <c r="AA182"/>
      <c r="AB182"/>
      <c r="AC182"/>
    </row>
    <row r="183" spans="1:29" s="8" customFormat="1" outlineLevel="1" x14ac:dyDescent="0.4">
      <c r="A183"/>
      <c r="B183" s="1955"/>
      <c r="C183" s="5"/>
      <c r="D183" s="926" t="s">
        <v>1059</v>
      </c>
      <c r="E183" s="709">
        <f>E180*(1-(1-E180)^(Divertor_port_pipes_per_blanket))</f>
        <v>3.5902164100000021E-4</v>
      </c>
      <c r="F183" s="927"/>
      <c r="G183" s="927"/>
      <c r="H183" s="927"/>
      <c r="I183" s="919"/>
      <c r="J183" s="927"/>
      <c r="K183" s="927"/>
      <c r="L183" s="927"/>
      <c r="M183" s="927"/>
      <c r="N183" s="927"/>
      <c r="O183" s="927"/>
      <c r="P183" s="706"/>
      <c r="Q183" s="7"/>
      <c r="Z183"/>
      <c r="AA183"/>
      <c r="AB183"/>
      <c r="AC183"/>
    </row>
    <row r="184" spans="1:29" s="8" customFormat="1" outlineLevel="1" x14ac:dyDescent="0.4">
      <c r="A184"/>
      <c r="B184" s="1955"/>
      <c r="C184" s="5"/>
      <c r="D184" s="926"/>
      <c r="E184" s="928"/>
      <c r="F184" s="927"/>
      <c r="G184" s="927"/>
      <c r="H184" s="927"/>
      <c r="I184" s="919"/>
      <c r="J184" s="927"/>
      <c r="K184" s="927"/>
      <c r="L184" s="927"/>
      <c r="M184" s="927"/>
      <c r="N184" s="927"/>
      <c r="O184" s="927"/>
      <c r="P184" s="706"/>
      <c r="Q184" s="7"/>
      <c r="R184" s="3369"/>
      <c r="S184" s="290"/>
      <c r="T184" s="7"/>
      <c r="U184" s="7"/>
      <c r="V184" s="290"/>
      <c r="W184" s="290"/>
      <c r="X184" s="290"/>
      <c r="Y184" s="290"/>
      <c r="Z184"/>
      <c r="AA184"/>
      <c r="AB184"/>
      <c r="AC184"/>
    </row>
    <row r="185" spans="1:29" s="8" customFormat="1" ht="15.75" hidden="1" customHeight="1" outlineLevel="2" thickBot="1" x14ac:dyDescent="0.45">
      <c r="A185"/>
      <c r="B185" s="1955"/>
      <c r="C185" s="5"/>
      <c r="D185" s="926"/>
      <c r="E185" s="928"/>
      <c r="F185" s="927"/>
      <c r="G185" s="927"/>
      <c r="H185" s="927"/>
      <c r="I185" s="919"/>
      <c r="J185" s="927"/>
      <c r="K185" s="927"/>
      <c r="L185" s="927"/>
      <c r="M185" s="927"/>
      <c r="N185" s="927"/>
      <c r="O185" s="927"/>
      <c r="P185" s="706"/>
      <c r="Q185" s="7"/>
      <c r="R185" s="3369"/>
      <c r="S185" s="290"/>
      <c r="T185" s="7"/>
      <c r="U185" s="7"/>
      <c r="V185" s="290"/>
      <c r="W185" s="290"/>
      <c r="X185" s="290"/>
      <c r="Y185" s="290"/>
      <c r="Z185"/>
      <c r="AA185"/>
      <c r="AB185"/>
      <c r="AC185"/>
    </row>
    <row r="186" spans="1:29" s="8" customFormat="1" ht="15.75" hidden="1" customHeight="1" outlineLevel="2" thickBot="1" x14ac:dyDescent="0.45">
      <c r="A186"/>
      <c r="B186" s="1955"/>
      <c r="C186" s="5"/>
      <c r="D186" s="926"/>
      <c r="E186" s="701"/>
      <c r="F186" s="7"/>
      <c r="G186" s="929"/>
      <c r="H186" s="930" t="s">
        <v>18</v>
      </c>
      <c r="I186" s="931"/>
      <c r="J186" s="932" t="s">
        <v>778</v>
      </c>
      <c r="K186" s="933"/>
      <c r="L186" s="933"/>
      <c r="M186" s="933"/>
      <c r="N186" s="933"/>
      <c r="O186" s="934"/>
      <c r="P186" s="933" t="s">
        <v>3</v>
      </c>
      <c r="Q186" s="934"/>
      <c r="R186" s="3386" t="s">
        <v>779</v>
      </c>
      <c r="S186" s="3018"/>
      <c r="T186" s="3019"/>
      <c r="V186" s="938"/>
      <c r="W186" s="938"/>
      <c r="X186" s="7"/>
      <c r="Y186" s="290"/>
      <c r="Z186"/>
      <c r="AA186"/>
      <c r="AB186"/>
      <c r="AC186"/>
    </row>
    <row r="187" spans="1:29" s="8" customFormat="1" ht="30.75" hidden="1" customHeight="1" outlineLevel="2" thickBot="1" x14ac:dyDescent="0.45">
      <c r="A187"/>
      <c r="B187" s="1955"/>
      <c r="C187" s="939" t="s">
        <v>780</v>
      </c>
      <c r="D187" s="940" t="s">
        <v>1060</v>
      </c>
      <c r="E187" s="941" t="s">
        <v>782</v>
      </c>
      <c r="F187" s="942" t="s">
        <v>783</v>
      </c>
      <c r="G187" s="943" t="s">
        <v>784</v>
      </c>
      <c r="H187" s="562" t="s">
        <v>785</v>
      </c>
      <c r="I187" s="944" t="s">
        <v>783</v>
      </c>
      <c r="J187" s="562" t="s">
        <v>786</v>
      </c>
      <c r="K187" s="563" t="s">
        <v>787</v>
      </c>
      <c r="L187" s="563" t="s">
        <v>788</v>
      </c>
      <c r="M187" s="563" t="s">
        <v>789</v>
      </c>
      <c r="N187" s="563" t="s">
        <v>790</v>
      </c>
      <c r="O187" s="945" t="s">
        <v>783</v>
      </c>
      <c r="P187" s="560" t="s">
        <v>785</v>
      </c>
      <c r="Q187" s="946" t="s">
        <v>783</v>
      </c>
      <c r="R187" s="3387" t="s">
        <v>781</v>
      </c>
      <c r="S187" s="794" t="s">
        <v>791</v>
      </c>
      <c r="T187" s="789" t="s">
        <v>792</v>
      </c>
      <c r="V187" s="947"/>
      <c r="W187" s="947"/>
      <c r="X187" s="7"/>
      <c r="Y187" s="290"/>
      <c r="Z187"/>
      <c r="AA187"/>
      <c r="AB187"/>
      <c r="AC187"/>
    </row>
    <row r="188" spans="1:29" s="8" customFormat="1" ht="15" hidden="1" customHeight="1" outlineLevel="2" x14ac:dyDescent="0.4">
      <c r="A188"/>
      <c r="B188" s="1955"/>
      <c r="C188" s="3886" t="s">
        <v>1062</v>
      </c>
      <c r="D188" s="797" t="s">
        <v>1879</v>
      </c>
      <c r="E188" s="799" t="s">
        <v>251</v>
      </c>
      <c r="F188" s="456">
        <f>MAX($Q188,$O188,$I188)</f>
        <v>0</v>
      </c>
      <c r="G188" s="800">
        <f>F188</f>
        <v>0</v>
      </c>
      <c r="H188" s="797" t="s">
        <v>557</v>
      </c>
      <c r="I188" s="621">
        <v>0</v>
      </c>
      <c r="J188" s="568"/>
      <c r="K188" s="566"/>
      <c r="L188" s="801"/>
      <c r="M188" s="802" t="str">
        <f>IFERROR(INDEX('Lower Hot Cell Logistics'!$I$28:$O$34,MATCH($K188,'Lower Hot Cell Logistics'!$H$28:$H$34,0),MATCH($L188,'Lower Hot Cell Logistics'!$H$28:$H$34,0)),"N/A")</f>
        <v>N/A</v>
      </c>
      <c r="N188" s="570" t="str">
        <f>IFERROR(VLOOKUP($J188,'Lower Hot Cell Logistics'!$H$4:$I$8,2,FALSE),"N/A")</f>
        <v>N/A</v>
      </c>
      <c r="O188" s="800" t="str">
        <f t="shared" ref="O188:O219" si="27">IF(E188="Movement",IFERROR((M188/N188)/(60*60),"Error"),"N/A")</f>
        <v>N/A</v>
      </c>
      <c r="P188" s="803"/>
      <c r="Q188" s="802" t="str">
        <f>IF($E188="Logistics",VLOOKUP($P188,'Lower Hot Cell Logistics'!$C$4:$D$57,2,FALSE),"N/A")</f>
        <v>N/A</v>
      </c>
      <c r="R188" s="3398"/>
      <c r="S188" s="804" t="str">
        <f>IFERROR(VLOOKUP($R188,'Lower HotCell RecoveryLogistics'!$C$197:$F$261,4,FALSE),"N/A")</f>
        <v>N/A</v>
      </c>
      <c r="T188" s="621" t="str">
        <f>IFERROR(G188-F188-S188,"N/A")</f>
        <v>N/A</v>
      </c>
      <c r="V188" s="947"/>
      <c r="W188" s="947"/>
      <c r="X188" s="7"/>
      <c r="Y188" s="290"/>
      <c r="Z188"/>
      <c r="AA188"/>
      <c r="AB188"/>
      <c r="AC188"/>
    </row>
    <row r="189" spans="1:29" s="8" customFormat="1" ht="15.75" hidden="1" customHeight="1" outlineLevel="2" thickBot="1" x14ac:dyDescent="0.45">
      <c r="A189"/>
      <c r="B189" s="1955"/>
      <c r="C189" s="3887"/>
      <c r="D189" s="807" t="s">
        <v>1885</v>
      </c>
      <c r="E189" s="809" t="s">
        <v>251</v>
      </c>
      <c r="F189" s="471">
        <f t="shared" ref="F189:F219" si="28">MAX($Q189,$O189,$I189)</f>
        <v>12.602967059728389</v>
      </c>
      <c r="G189" s="810">
        <f t="shared" ref="G189:G219" si="29">IF(T189&lt;0,F189+G188+(-T189),F189+G188)</f>
        <v>12.602967059728389</v>
      </c>
      <c r="H189" s="807" t="s">
        <v>2282</v>
      </c>
      <c r="I189" s="811">
        <v>12.602967059728389</v>
      </c>
      <c r="J189" s="586"/>
      <c r="K189" s="584"/>
      <c r="L189" s="812"/>
      <c r="M189" s="813" t="str">
        <f>IFERROR(INDEX(#REF!,MATCH($K189,#REF!,0),MATCH($L189,#REF!,0)),"N/A")</f>
        <v>N/A</v>
      </c>
      <c r="N189" s="814" t="str">
        <f>IFERROR(VLOOKUP($J189,#REF!,2,FALSE),"N/A")</f>
        <v>N/A</v>
      </c>
      <c r="O189" s="810" t="str">
        <f t="shared" si="27"/>
        <v>N/A</v>
      </c>
      <c r="P189" s="815"/>
      <c r="Q189" s="813" t="str">
        <f>IF($E189="Logistics",VLOOKUP($P189,'Lower Hot Cell Logistics'!$C$4:$D$57,2,FALSE),"N/A")</f>
        <v>N/A</v>
      </c>
      <c r="R189" s="3400"/>
      <c r="S189" s="816" t="str">
        <f>IFERROR(VLOOKUP($R189,'Lower HotCell RecoveryLogistics'!$C$197:$F$261,4,FALSE),"N/A")</f>
        <v>N/A</v>
      </c>
      <c r="T189" s="591" t="str">
        <f t="shared" ref="T189:T219" si="30">IFERROR(G188-S189,"N/A")</f>
        <v>N/A</v>
      </c>
      <c r="V189" s="290"/>
      <c r="W189" s="290"/>
      <c r="X189" s="290"/>
      <c r="Y189" s="290"/>
      <c r="Z189"/>
      <c r="AA189"/>
      <c r="AB189"/>
      <c r="AC189"/>
    </row>
    <row r="190" spans="1:29" s="8" customFormat="1" ht="15.75" hidden="1" customHeight="1" outlineLevel="2" thickBot="1" x14ac:dyDescent="0.45">
      <c r="A190"/>
      <c r="B190" s="1955"/>
      <c r="C190" s="961" t="s">
        <v>2283</v>
      </c>
      <c r="D190" s="963" t="s">
        <v>2047</v>
      </c>
      <c r="E190" s="2298" t="s">
        <v>3</v>
      </c>
      <c r="F190" s="368">
        <f t="shared" si="28"/>
        <v>0.6</v>
      </c>
      <c r="G190" s="363">
        <f t="shared" si="29"/>
        <v>13.202967059728389</v>
      </c>
      <c r="H190" s="611"/>
      <c r="I190" s="616" t="s">
        <v>263</v>
      </c>
      <c r="J190" s="611"/>
      <c r="K190" s="966"/>
      <c r="L190" s="968"/>
      <c r="M190" s="969" t="str">
        <f>IFERROR(INDEX(#REF!,MATCH($K190,#REF!,0),MATCH($L190,#REF!,0)),"N/A")</f>
        <v>N/A</v>
      </c>
      <c r="N190" s="970" t="str">
        <f>IFERROR(VLOOKUP($J190,#REF!,2,FALSE),"N/A")</f>
        <v>N/A</v>
      </c>
      <c r="O190" s="992" t="str">
        <f t="shared" si="27"/>
        <v>N/A</v>
      </c>
      <c r="P190" s="611" t="s">
        <v>2008</v>
      </c>
      <c r="Q190" s="969">
        <f>IF($E190="Logistics",VLOOKUP($P190,'Lower Hot Cell Logistics'!$C$4:$D$57,2,FALSE),"N/A")</f>
        <v>0.6</v>
      </c>
      <c r="R190" s="3574"/>
      <c r="S190" s="2299" t="str">
        <f>IFERROR(VLOOKUP($R190,'Lower HotCell RecoveryLogistics'!$C$197:$F$261,4,FALSE),"N/A")</f>
        <v>N/A</v>
      </c>
      <c r="T190" s="616" t="str">
        <f t="shared" si="30"/>
        <v>N/A</v>
      </c>
      <c r="V190" s="273"/>
      <c r="W190" s="273"/>
      <c r="X190" s="273"/>
      <c r="Y190" s="5"/>
      <c r="AB190"/>
      <c r="AC190"/>
    </row>
    <row r="191" spans="1:29" s="88" customFormat="1" hidden="1" outlineLevel="2" x14ac:dyDescent="0.35">
      <c r="B191" s="1955"/>
      <c r="C191" s="3814" t="s">
        <v>2049</v>
      </c>
      <c r="D191" s="1906" t="s">
        <v>1247</v>
      </c>
      <c r="E191" s="1907" t="s">
        <v>3</v>
      </c>
      <c r="F191" s="1739">
        <f t="shared" si="28"/>
        <v>0.8</v>
      </c>
      <c r="G191" s="1739">
        <f t="shared" si="29"/>
        <v>14.002967059728389</v>
      </c>
      <c r="H191" s="1906"/>
      <c r="I191" s="1917" t="s">
        <v>263</v>
      </c>
      <c r="J191" s="1906"/>
      <c r="K191" s="1911"/>
      <c r="L191" s="1911"/>
      <c r="M191" s="1912" t="str">
        <f>IFERROR(INDEX('Lower Hot Cell Logistics'!$I$13:$O$19,MATCH($K191,'Lower Hot Cell Logistics'!$H$13:$H$19,0),MATCH($L191,'Lower Hot Cell Logistics'!$H$13:$H$19,0)),"N/A")</f>
        <v>N/A</v>
      </c>
      <c r="N191" s="1912" t="str">
        <f>IFERROR(VLOOKUP($J191,'Lower Hot Cell Logistics'!$H$4:$I$9,2,FALSE),"N/A")</f>
        <v>N/A</v>
      </c>
      <c r="O191" s="1917" t="str">
        <f t="shared" si="27"/>
        <v>N/A</v>
      </c>
      <c r="P191" s="1916" t="s">
        <v>1828</v>
      </c>
      <c r="Q191" s="1917">
        <f>IF($E191="Logistics",VLOOKUP($P191,'Lower Hot Cell Logistics'!$C$4:$D$69,2,FALSE),"N/A")</f>
        <v>0.8</v>
      </c>
      <c r="R191" s="3381"/>
      <c r="S191" s="1917" t="str">
        <f>IFERROR(VLOOKUP($R191,'Lower HotCell RecoveryLogistics'!$C$197:$F$261,4,FALSE),"N/A")</f>
        <v>N/A</v>
      </c>
      <c r="T191" s="632" t="str">
        <f t="shared" si="30"/>
        <v>N/A</v>
      </c>
      <c r="V191" s="2031"/>
      <c r="W191" s="2031"/>
      <c r="X191" s="1466"/>
      <c r="Y191" s="2032"/>
      <c r="Z191" s="623"/>
      <c r="AA191" s="623"/>
    </row>
    <row r="192" spans="1:29" s="88" customFormat="1" hidden="1" outlineLevel="2" x14ac:dyDescent="0.35">
      <c r="B192" s="1955"/>
      <c r="C192" s="3815"/>
      <c r="D192" s="1895" t="s">
        <v>2050</v>
      </c>
      <c r="E192" s="1896" t="s">
        <v>251</v>
      </c>
      <c r="F192" s="1347">
        <f t="shared" si="28"/>
        <v>12.602967059728389</v>
      </c>
      <c r="G192" s="1347">
        <f t="shared" si="29"/>
        <v>26.605934119456776</v>
      </c>
      <c r="H192" s="1895" t="s">
        <v>441</v>
      </c>
      <c r="I192" s="1903">
        <v>12.602967059728389</v>
      </c>
      <c r="J192" s="1895"/>
      <c r="K192" s="1897"/>
      <c r="L192" s="1897"/>
      <c r="M192" s="1898" t="str">
        <f>IFERROR(INDEX('Lower Hot Cell Logistics'!$I$13:$O$19,MATCH($K192,'Lower Hot Cell Logistics'!$H$13:$H$19,0),MATCH($L192,'Lower Hot Cell Logistics'!$H$13:$H$19,0)),"N/A")</f>
        <v>N/A</v>
      </c>
      <c r="N192" s="1898" t="str">
        <f>IFERROR(VLOOKUP($J192,'Lower Hot Cell Logistics'!$H$4:$I$9,2,FALSE),"N/A")</f>
        <v>N/A</v>
      </c>
      <c r="O192" s="1903" t="str">
        <f t="shared" si="27"/>
        <v>N/A</v>
      </c>
      <c r="P192" s="1902"/>
      <c r="Q192" s="1903" t="str">
        <f>IF($E192="Logistics",VLOOKUP($P192,'Lower Hot Cell Logistics'!$C$4:$D$69,2,FALSE),"N/A")</f>
        <v>N/A</v>
      </c>
      <c r="R192" s="3380"/>
      <c r="S192" s="1903" t="str">
        <f>IFERROR(VLOOKUP($R192,'Lower HotCell RecoveryLogistics'!$C$197:$F$261,4,FALSE),"N/A")</f>
        <v>N/A</v>
      </c>
      <c r="T192" s="632" t="str">
        <f t="shared" si="30"/>
        <v>N/A</v>
      </c>
      <c r="V192" s="2031"/>
      <c r="W192" s="2031"/>
      <c r="X192" s="1466"/>
      <c r="Y192" s="2032"/>
      <c r="Z192" s="623"/>
      <c r="AA192" s="623"/>
    </row>
    <row r="193" spans="2:27" s="88" customFormat="1" hidden="1" outlineLevel="2" x14ac:dyDescent="0.35">
      <c r="B193" s="1955"/>
      <c r="C193" s="3815"/>
      <c r="D193" s="1895" t="s">
        <v>2051</v>
      </c>
      <c r="E193" s="1896" t="s">
        <v>3</v>
      </c>
      <c r="F193" s="1347">
        <f t="shared" si="28"/>
        <v>0.6</v>
      </c>
      <c r="G193" s="1347">
        <f t="shared" si="29"/>
        <v>27.205934119456778</v>
      </c>
      <c r="H193" s="1895"/>
      <c r="I193" s="1903" t="s">
        <v>263</v>
      </c>
      <c r="J193" s="1895"/>
      <c r="K193" s="1897"/>
      <c r="L193" s="1897"/>
      <c r="M193" s="1898" t="str">
        <f>IFERROR(INDEX('Lower Hot Cell Logistics'!$I$13:$O$19,MATCH($K193,'Lower Hot Cell Logistics'!$H$13:$H$19,0),MATCH($L193,'Lower Hot Cell Logistics'!$H$13:$H$19,0)),"N/A")</f>
        <v>N/A</v>
      </c>
      <c r="N193" s="1898" t="str">
        <f>IFERROR(VLOOKUP($J193,'Lower Hot Cell Logistics'!$H$4:$I$9,2,FALSE),"N/A")</f>
        <v>N/A</v>
      </c>
      <c r="O193" s="1903" t="str">
        <f t="shared" si="27"/>
        <v>N/A</v>
      </c>
      <c r="P193" s="1902" t="s">
        <v>2008</v>
      </c>
      <c r="Q193" s="1903">
        <f>IF($E193="Logistics",VLOOKUP($P193,'Lower Hot Cell Logistics'!$C$4:$D$69,2,FALSE),"N/A")</f>
        <v>0.6</v>
      </c>
      <c r="R193" s="3380" t="s">
        <v>2285</v>
      </c>
      <c r="S193" s="1903">
        <f>IFERROR(VLOOKUP($R193,'Lower HotCell RecoveryLogistics'!$C$197:$F$261,4,FALSE),"N/A")</f>
        <v>1.8059259259259259</v>
      </c>
      <c r="T193" s="632">
        <f t="shared" si="30"/>
        <v>24.80000819353085</v>
      </c>
      <c r="V193" s="2031"/>
      <c r="W193" s="2031"/>
      <c r="X193" s="1466"/>
      <c r="Y193" s="2032"/>
      <c r="Z193" s="623"/>
      <c r="AA193" s="623"/>
    </row>
    <row r="194" spans="2:27" s="88" customFormat="1" hidden="1" outlineLevel="2" x14ac:dyDescent="0.35">
      <c r="B194" s="1955"/>
      <c r="C194" s="3815"/>
      <c r="D194" s="1895" t="s">
        <v>1593</v>
      </c>
      <c r="E194" s="1896" t="s">
        <v>3</v>
      </c>
      <c r="F194" s="1347">
        <f t="shared" si="28"/>
        <v>0.53</v>
      </c>
      <c r="G194" s="1347">
        <f t="shared" si="29"/>
        <v>27.735934119456779</v>
      </c>
      <c r="H194" s="1895"/>
      <c r="I194" s="1903" t="s">
        <v>263</v>
      </c>
      <c r="J194" s="1895"/>
      <c r="K194" s="1897"/>
      <c r="L194" s="1897"/>
      <c r="M194" s="1898" t="str">
        <f>IFERROR(INDEX('Lower Hot Cell Logistics'!$I$13:$O$19,MATCH($K194,'Lower Hot Cell Logistics'!$H$13:$H$19,0),MATCH($L194,'Lower Hot Cell Logistics'!$H$13:$H$19,0)),"N/A")</f>
        <v>N/A</v>
      </c>
      <c r="N194" s="1898" t="str">
        <f>IFERROR(VLOOKUP($J194,'Lower Hot Cell Logistics'!$H$4:$I$9,2,FALSE),"N/A")</f>
        <v>N/A</v>
      </c>
      <c r="O194" s="1903" t="str">
        <f t="shared" si="27"/>
        <v>N/A</v>
      </c>
      <c r="P194" s="1902" t="s">
        <v>1558</v>
      </c>
      <c r="Q194" s="1903">
        <f>IF($E194="Logistics",VLOOKUP($P194,'Lower Hot Cell Logistics'!$C$4:$D$69,2,FALSE),"N/A")</f>
        <v>0.53</v>
      </c>
      <c r="R194" s="3380"/>
      <c r="S194" s="1903" t="str">
        <f>IFERROR(VLOOKUP($R194,'Lower HotCell RecoveryLogistics'!$C$197:$F$261,4,FALSE),"N/A")</f>
        <v>N/A</v>
      </c>
      <c r="T194" s="632" t="str">
        <f t="shared" si="30"/>
        <v>N/A</v>
      </c>
      <c r="V194" s="2031"/>
      <c r="W194" s="2031"/>
      <c r="X194" s="1466"/>
      <c r="Y194" s="2032"/>
      <c r="Z194" s="623"/>
      <c r="AA194" s="623"/>
    </row>
    <row r="195" spans="2:27" s="88" customFormat="1" hidden="1" outlineLevel="2" x14ac:dyDescent="0.35">
      <c r="B195" s="1955"/>
      <c r="C195" s="3815"/>
      <c r="D195" s="1895" t="s">
        <v>2053</v>
      </c>
      <c r="E195" s="1896" t="s">
        <v>251</v>
      </c>
      <c r="F195" s="1347">
        <f t="shared" si="28"/>
        <v>12.602967059728389</v>
      </c>
      <c r="G195" s="1347">
        <f t="shared" si="29"/>
        <v>40.338901179185171</v>
      </c>
      <c r="H195" s="1895" t="s">
        <v>441</v>
      </c>
      <c r="I195" s="1903">
        <v>12.602967059728389</v>
      </c>
      <c r="J195" s="1895"/>
      <c r="K195" s="1897"/>
      <c r="L195" s="1897"/>
      <c r="M195" s="1898" t="str">
        <f>IFERROR(INDEX('Lower Hot Cell Logistics'!$I$13:$O$19,MATCH($K195,'Lower Hot Cell Logistics'!$H$13:$H$19,0),MATCH($L195,'Lower Hot Cell Logistics'!$H$13:$H$19,0)),"N/A")</f>
        <v>N/A</v>
      </c>
      <c r="N195" s="1898" t="str">
        <f>IFERROR(VLOOKUP($J195,'Lower Hot Cell Logistics'!$H$4:$I$9,2,FALSE),"N/A")</f>
        <v>N/A</v>
      </c>
      <c r="O195" s="1903" t="str">
        <f t="shared" si="27"/>
        <v>N/A</v>
      </c>
      <c r="P195" s="1902"/>
      <c r="Q195" s="1903" t="str">
        <f>IF($E195="Logistics",VLOOKUP($P195,'Lower Hot Cell Logistics'!$C$4:$D$69,2,FALSE),"N/A")</f>
        <v>N/A</v>
      </c>
      <c r="R195" s="3380"/>
      <c r="S195" s="1903" t="str">
        <f>IFERROR(VLOOKUP($R195,'Lower HotCell RecoveryLogistics'!$C$197:$F$261,4,FALSE),"N/A")</f>
        <v>N/A</v>
      </c>
      <c r="T195" s="632" t="str">
        <f t="shared" si="30"/>
        <v>N/A</v>
      </c>
      <c r="V195" s="2031"/>
      <c r="W195" s="2031"/>
      <c r="X195" s="1466"/>
      <c r="Y195" s="2032"/>
      <c r="Z195" s="623"/>
      <c r="AA195" s="623"/>
    </row>
    <row r="196" spans="2:27" s="88" customFormat="1" hidden="1" outlineLevel="2" x14ac:dyDescent="0.35">
      <c r="B196" s="1955"/>
      <c r="C196" s="3815"/>
      <c r="D196" s="1895" t="s">
        <v>2054</v>
      </c>
      <c r="E196" s="1896" t="s">
        <v>3</v>
      </c>
      <c r="F196" s="1347">
        <f t="shared" si="28"/>
        <v>0.6</v>
      </c>
      <c r="G196" s="1347">
        <f t="shared" si="29"/>
        <v>51.534827105111098</v>
      </c>
      <c r="H196" s="1895"/>
      <c r="I196" s="1903" t="s">
        <v>263</v>
      </c>
      <c r="J196" s="1895"/>
      <c r="K196" s="1897"/>
      <c r="L196" s="1897"/>
      <c r="M196" s="1898" t="str">
        <f>IFERROR(INDEX('Lower Hot Cell Logistics'!$I$13:$O$19,MATCH($K196,'Lower Hot Cell Logistics'!$H$13:$H$19,0),MATCH($L196,'Lower Hot Cell Logistics'!$H$13:$H$19,0)),"N/A")</f>
        <v>N/A</v>
      </c>
      <c r="N196" s="1898" t="str">
        <f>IFERROR(VLOOKUP($J196,'Lower Hot Cell Logistics'!$H$4:$I$9,2,FALSE),"N/A")</f>
        <v>N/A</v>
      </c>
      <c r="O196" s="1903" t="str">
        <f t="shared" si="27"/>
        <v>N/A</v>
      </c>
      <c r="P196" s="1902" t="s">
        <v>2008</v>
      </c>
      <c r="Q196" s="1903">
        <f>IF($E196="Logistics",VLOOKUP($P196,'Lower Hot Cell Logistics'!$C$4:$D$69,2,FALSE),"N/A")</f>
        <v>0.6</v>
      </c>
      <c r="R196" s="3380" t="s">
        <v>2055</v>
      </c>
      <c r="S196" s="1903">
        <f>IFERROR(VLOOKUP($R196,'Lower HotCell RecoveryLogistics'!$C$197:$F$261,4,FALSE),"N/A")</f>
        <v>50.934827105111097</v>
      </c>
      <c r="T196" s="632">
        <f t="shared" si="30"/>
        <v>-10.595925925925926</v>
      </c>
      <c r="V196" s="2031"/>
      <c r="W196" s="2031"/>
      <c r="X196" s="1466"/>
      <c r="Y196" s="2032"/>
      <c r="Z196" s="623"/>
      <c r="AA196" s="623"/>
    </row>
    <row r="197" spans="2:27" s="88" customFormat="1" ht="15" hidden="1" outlineLevel="2" thickBot="1" x14ac:dyDescent="0.4">
      <c r="B197" s="1955"/>
      <c r="C197" s="3816"/>
      <c r="D197" s="1869" t="s">
        <v>1599</v>
      </c>
      <c r="E197" s="1918" t="s">
        <v>3</v>
      </c>
      <c r="F197" s="1295">
        <f t="shared" si="28"/>
        <v>0.6</v>
      </c>
      <c r="G197" s="1295">
        <f t="shared" si="29"/>
        <v>52.1348271051111</v>
      </c>
      <c r="H197" s="1869"/>
      <c r="I197" s="1922" t="s">
        <v>263</v>
      </c>
      <c r="J197" s="1869"/>
      <c r="K197" s="837"/>
      <c r="L197" s="837"/>
      <c r="M197" s="842" t="str">
        <f>IFERROR(INDEX('Lower Hot Cell Logistics'!$I$13:$O$19,MATCH($K197,'Lower Hot Cell Logistics'!$H$13:$H$19,0),MATCH($L197,'Lower Hot Cell Logistics'!$H$13:$H$19,0)),"N/A")</f>
        <v>N/A</v>
      </c>
      <c r="N197" s="842" t="str">
        <f>IFERROR(VLOOKUP($J197,'Lower Hot Cell Logistics'!$H$4:$I$9,2,FALSE),"N/A")</f>
        <v>N/A</v>
      </c>
      <c r="O197" s="1922" t="str">
        <f t="shared" si="27"/>
        <v>N/A</v>
      </c>
      <c r="P197" s="1921" t="s">
        <v>2008</v>
      </c>
      <c r="Q197" s="1922">
        <f>IF($E197="Logistics",VLOOKUP($P197,'Lower Hot Cell Logistics'!$C$4:$D$69,2,FALSE),"N/A")</f>
        <v>0.6</v>
      </c>
      <c r="R197" s="3382"/>
      <c r="S197" s="1922" t="str">
        <f>IFERROR(VLOOKUP($R197,'Lower HotCell RecoveryLogistics'!$C$197:$F$261,4,FALSE),"N/A")</f>
        <v>N/A</v>
      </c>
      <c r="T197" s="632" t="str">
        <f t="shared" si="30"/>
        <v>N/A</v>
      </c>
      <c r="V197" s="2031"/>
      <c r="W197" s="2031"/>
      <c r="X197" s="1466"/>
      <c r="Y197" s="2032"/>
      <c r="Z197" s="623"/>
      <c r="AA197" s="623"/>
    </row>
    <row r="198" spans="2:27" s="88" customFormat="1" hidden="1" outlineLevel="2" x14ac:dyDescent="0.35">
      <c r="B198" s="1955"/>
      <c r="C198" s="3787" t="s">
        <v>2056</v>
      </c>
      <c r="D198" s="1129" t="s">
        <v>2057</v>
      </c>
      <c r="E198" s="1620" t="s">
        <v>251</v>
      </c>
      <c r="F198" s="1621">
        <f t="shared" si="28"/>
        <v>7.5229670597283897</v>
      </c>
      <c r="G198" s="1621">
        <f t="shared" si="29"/>
        <v>59.657794164839487</v>
      </c>
      <c r="H198" s="1129" t="s">
        <v>442</v>
      </c>
      <c r="I198" s="1575">
        <v>7.5229670597283897</v>
      </c>
      <c r="J198" s="1129"/>
      <c r="K198" s="1619"/>
      <c r="L198" s="1619"/>
      <c r="M198" s="1623" t="str">
        <f>IFERROR(INDEX('Lower Hot Cell Logistics'!$I$13:$O$19,MATCH($K198,'Lower Hot Cell Logistics'!$H$13:$H$19,0),MATCH($L198,'Lower Hot Cell Logistics'!$H$13:$H$19,0)),"N/A")</f>
        <v>N/A</v>
      </c>
      <c r="N198" s="1623" t="str">
        <f>IFERROR(VLOOKUP($J198,'Lower Hot Cell Logistics'!$H$4:$I$9,2,FALSE),"N/A")</f>
        <v>N/A</v>
      </c>
      <c r="O198" s="1575" t="str">
        <f t="shared" si="27"/>
        <v>N/A</v>
      </c>
      <c r="P198" s="1576"/>
      <c r="Q198" s="1575" t="str">
        <f>IF($E198="Logistics",VLOOKUP($P198,'Lower Hot Cell Logistics'!$C$4:$D$69,2,FALSE),"N/A")</f>
        <v>N/A</v>
      </c>
      <c r="R198" s="3376"/>
      <c r="S198" s="1575" t="str">
        <f>IFERROR(VLOOKUP($R198,'Lower HotCell RecoveryLogistics'!$C$197:$F$261,4,FALSE),"N/A")</f>
        <v>N/A</v>
      </c>
      <c r="T198" s="1130" t="str">
        <f t="shared" si="30"/>
        <v>N/A</v>
      </c>
      <c r="V198" s="2031"/>
      <c r="W198" s="2031"/>
      <c r="X198" s="1466"/>
      <c r="Y198" s="2032"/>
      <c r="Z198" s="623"/>
      <c r="AA198" s="623"/>
    </row>
    <row r="199" spans="2:27" s="88" customFormat="1" hidden="1" outlineLevel="2" x14ac:dyDescent="0.35">
      <c r="B199" s="1955"/>
      <c r="C199" s="3786"/>
      <c r="D199" s="1579" t="s">
        <v>2058</v>
      </c>
      <c r="E199" s="1611" t="s">
        <v>3</v>
      </c>
      <c r="F199" s="626">
        <f t="shared" si="28"/>
        <v>0.6</v>
      </c>
      <c r="G199" s="626">
        <f t="shared" si="29"/>
        <v>60.257794164839488</v>
      </c>
      <c r="H199" s="1579"/>
      <c r="I199" s="1183" t="s">
        <v>263</v>
      </c>
      <c r="J199" s="1579"/>
      <c r="K199" s="582"/>
      <c r="L199" s="582"/>
      <c r="M199" s="1478" t="str">
        <f>IFERROR(INDEX('Lower Hot Cell Logistics'!$I$13:$O$19,MATCH($K199,'Lower Hot Cell Logistics'!$H$13:$H$19,0),MATCH($L199,'Lower Hot Cell Logistics'!$H$13:$H$19,0)),"N/A")</f>
        <v>N/A</v>
      </c>
      <c r="N199" s="1478" t="str">
        <f>IFERROR(VLOOKUP($J199,'Lower Hot Cell Logistics'!$H$4:$I$9,2,FALSE),"N/A")</f>
        <v>N/A</v>
      </c>
      <c r="O199" s="1183" t="str">
        <f t="shared" si="27"/>
        <v>N/A</v>
      </c>
      <c r="P199" s="1578" t="s">
        <v>2008</v>
      </c>
      <c r="Q199" s="1183">
        <f>IF($E199="Logistics",VLOOKUP($P199,'Lower Hot Cell Logistics'!$C$4:$D$69,2,FALSE),"N/A")</f>
        <v>0.6</v>
      </c>
      <c r="R199" s="3377" t="s">
        <v>2059</v>
      </c>
      <c r="S199" s="1183">
        <f>IFERROR(VLOOKUP($R199,'Lower HotCell RecoveryLogistics'!$C$197:$F$261,4,FALSE),"N/A")</f>
        <v>53.340753031037025</v>
      </c>
      <c r="T199" s="632">
        <f t="shared" si="30"/>
        <v>6.3170411338024621</v>
      </c>
      <c r="V199" s="2031"/>
      <c r="W199" s="2031"/>
      <c r="X199" s="1466"/>
      <c r="Y199" s="2032"/>
      <c r="Z199" s="623"/>
      <c r="AA199" s="623"/>
    </row>
    <row r="200" spans="2:27" s="88" customFormat="1" hidden="1" outlineLevel="2" x14ac:dyDescent="0.35">
      <c r="B200" s="1955"/>
      <c r="C200" s="3786"/>
      <c r="D200" s="1579" t="s">
        <v>1639</v>
      </c>
      <c r="E200" s="1611" t="s">
        <v>3</v>
      </c>
      <c r="F200" s="626">
        <f t="shared" si="28"/>
        <v>0.53</v>
      </c>
      <c r="G200" s="626">
        <f t="shared" si="29"/>
        <v>60.787794164839489</v>
      </c>
      <c r="H200" s="1579"/>
      <c r="I200" s="1183" t="s">
        <v>263</v>
      </c>
      <c r="J200" s="1579"/>
      <c r="K200" s="582"/>
      <c r="L200" s="582"/>
      <c r="M200" s="1478" t="str">
        <f>IFERROR(INDEX('Lower Hot Cell Logistics'!$I$13:$O$19,MATCH($K200,'Lower Hot Cell Logistics'!$H$13:$H$19,0),MATCH($L200,'Lower Hot Cell Logistics'!$H$13:$H$19,0)),"N/A")</f>
        <v>N/A</v>
      </c>
      <c r="N200" s="1478" t="str">
        <f>IFERROR(VLOOKUP($J200,'Lower Hot Cell Logistics'!$H$4:$I$9,2,FALSE),"N/A")</f>
        <v>N/A</v>
      </c>
      <c r="O200" s="1183" t="str">
        <f t="shared" si="27"/>
        <v>N/A</v>
      </c>
      <c r="P200" s="1578" t="s">
        <v>1558</v>
      </c>
      <c r="Q200" s="1183">
        <f>IF($E200="Logistics",VLOOKUP($P200,'Lower Hot Cell Logistics'!$C$4:$D$69,2,FALSE),"N/A")</f>
        <v>0.53</v>
      </c>
      <c r="R200" s="3377"/>
      <c r="S200" s="1183" t="str">
        <f>IFERROR(VLOOKUP($R200,'Lower HotCell RecoveryLogistics'!$C$197:$F$261,4,FALSE),"N/A")</f>
        <v>N/A</v>
      </c>
      <c r="T200" s="632" t="str">
        <f t="shared" si="30"/>
        <v>N/A</v>
      </c>
      <c r="V200" s="2031"/>
      <c r="W200" s="2031"/>
      <c r="X200" s="1466"/>
      <c r="Y200" s="2032"/>
      <c r="Z200" s="623"/>
      <c r="AA200" s="623"/>
    </row>
    <row r="201" spans="2:27" s="88" customFormat="1" hidden="1" outlineLevel="2" x14ac:dyDescent="0.35">
      <c r="B201" s="1955"/>
      <c r="C201" s="3786"/>
      <c r="D201" s="1579" t="s">
        <v>2060</v>
      </c>
      <c r="E201" s="1611" t="s">
        <v>251</v>
      </c>
      <c r="F201" s="626">
        <f t="shared" si="28"/>
        <v>7.5229670597283897</v>
      </c>
      <c r="G201" s="626">
        <f t="shared" si="29"/>
        <v>68.310761224567884</v>
      </c>
      <c r="H201" s="1579" t="s">
        <v>442</v>
      </c>
      <c r="I201" s="1183">
        <v>7.5229670597283897</v>
      </c>
      <c r="J201" s="1579"/>
      <c r="K201" s="582"/>
      <c r="L201" s="582"/>
      <c r="M201" s="1478" t="str">
        <f>IFERROR(INDEX('Lower Hot Cell Logistics'!$I$13:$O$19,MATCH($K201,'Lower Hot Cell Logistics'!$H$13:$H$19,0),MATCH($L201,'Lower Hot Cell Logistics'!$H$13:$H$19,0)),"N/A")</f>
        <v>N/A</v>
      </c>
      <c r="N201" s="1478" t="str">
        <f>IFERROR(VLOOKUP($J201,'Lower Hot Cell Logistics'!$H$4:$I$9,2,FALSE),"N/A")</f>
        <v>N/A</v>
      </c>
      <c r="O201" s="1183" t="str">
        <f t="shared" si="27"/>
        <v>N/A</v>
      </c>
      <c r="P201" s="1578"/>
      <c r="Q201" s="1183" t="str">
        <f>IF($E201="Logistics",VLOOKUP($P201,'Lower Hot Cell Logistics'!$C$4:$D$69,2,FALSE),"N/A")</f>
        <v>N/A</v>
      </c>
      <c r="R201" s="3377"/>
      <c r="S201" s="1183" t="str">
        <f>IFERROR(VLOOKUP($R201,'Lower HotCell RecoveryLogistics'!$C$197:$F$261,4,FALSE),"N/A")</f>
        <v>N/A</v>
      </c>
      <c r="T201" s="632" t="str">
        <f t="shared" si="30"/>
        <v>N/A</v>
      </c>
      <c r="V201" s="2031"/>
      <c r="W201" s="2031"/>
      <c r="X201" s="1466"/>
      <c r="Y201" s="2032"/>
      <c r="Z201" s="623"/>
      <c r="AA201" s="623"/>
    </row>
    <row r="202" spans="2:27" s="88" customFormat="1" hidden="1" outlineLevel="2" x14ac:dyDescent="0.35">
      <c r="B202" s="1955"/>
      <c r="C202" s="3786"/>
      <c r="D202" s="1579" t="s">
        <v>2061</v>
      </c>
      <c r="E202" s="1611" t="s">
        <v>3</v>
      </c>
      <c r="F202" s="626">
        <f t="shared" si="28"/>
        <v>0.6</v>
      </c>
      <c r="G202" s="626">
        <f t="shared" si="29"/>
        <v>68.910761224567878</v>
      </c>
      <c r="H202" s="1579"/>
      <c r="I202" s="1183" t="s">
        <v>263</v>
      </c>
      <c r="J202" s="1579"/>
      <c r="K202" s="582"/>
      <c r="L202" s="582"/>
      <c r="M202" s="1478" t="str">
        <f>IFERROR(INDEX('Lower Hot Cell Logistics'!$I$13:$O$19,MATCH($K202,'Lower Hot Cell Logistics'!$H$13:$H$19,0),MATCH($L202,'Lower Hot Cell Logistics'!$H$13:$H$19,0)),"N/A")</f>
        <v>N/A</v>
      </c>
      <c r="N202" s="1478" t="str">
        <f>IFERROR(VLOOKUP($J202,'Lower Hot Cell Logistics'!$H$4:$I$9,2,FALSE),"N/A")</f>
        <v>N/A</v>
      </c>
      <c r="O202" s="1183" t="str">
        <f t="shared" si="27"/>
        <v>N/A</v>
      </c>
      <c r="P202" s="1578" t="s">
        <v>2008</v>
      </c>
      <c r="Q202" s="1183">
        <f>IF($E202="Logistics",VLOOKUP($P202,'Lower Hot Cell Logistics'!$C$4:$D$69,2,FALSE),"N/A")</f>
        <v>0.6</v>
      </c>
      <c r="R202" s="3377" t="s">
        <v>2289</v>
      </c>
      <c r="S202" s="1183">
        <f>IFERROR(VLOOKUP($R202,'Lower HotCell RecoveryLogistics'!$C$197:$F$261,4,FALSE),"N/A")</f>
        <v>53.340753031037025</v>
      </c>
      <c r="T202" s="632">
        <f t="shared" si="30"/>
        <v>14.970008193530859</v>
      </c>
      <c r="V202" s="2031"/>
      <c r="W202" s="2031"/>
      <c r="X202" s="1466"/>
      <c r="Y202" s="2032"/>
      <c r="Z202" s="623"/>
      <c r="AA202" s="623"/>
    </row>
    <row r="203" spans="2:27" s="88" customFormat="1" ht="15" hidden="1" outlineLevel="2" thickBot="1" x14ac:dyDescent="0.4">
      <c r="B203" s="1955"/>
      <c r="C203" s="3788"/>
      <c r="D203" s="1136" t="s">
        <v>2063</v>
      </c>
      <c r="E203" s="1581" t="s">
        <v>3</v>
      </c>
      <c r="F203" s="585">
        <f t="shared" si="28"/>
        <v>0.6</v>
      </c>
      <c r="G203" s="585">
        <f t="shared" si="29"/>
        <v>69.510761224567872</v>
      </c>
      <c r="H203" s="1136"/>
      <c r="I203" s="1179" t="s">
        <v>263</v>
      </c>
      <c r="J203" s="1136"/>
      <c r="K203" s="584"/>
      <c r="L203" s="584"/>
      <c r="M203" s="814" t="str">
        <f>IFERROR(INDEX('Lower Hot Cell Logistics'!$I$13:$O$19,MATCH($K203,'Lower Hot Cell Logistics'!$H$13:$H$19,0),MATCH($L203,'Lower Hot Cell Logistics'!$H$13:$H$19,0)),"N/A")</f>
        <v>N/A</v>
      </c>
      <c r="N203" s="814" t="str">
        <f>IFERROR(VLOOKUP($J203,'Lower Hot Cell Logistics'!$H$4:$I$9,2,FALSE),"N/A")</f>
        <v>N/A</v>
      </c>
      <c r="O203" s="1179" t="str">
        <f t="shared" si="27"/>
        <v>N/A</v>
      </c>
      <c r="P203" s="1582" t="s">
        <v>2008</v>
      </c>
      <c r="Q203" s="1179">
        <f>IF($E203="Logistics",VLOOKUP($P203,'Lower Hot Cell Logistics'!$C$4:$D$69,2,FALSE),"N/A")</f>
        <v>0.6</v>
      </c>
      <c r="R203" s="3378"/>
      <c r="S203" s="1179" t="str">
        <f>IFERROR(VLOOKUP($R203,'Lower HotCell RecoveryLogistics'!$C$197:$F$261,4,FALSE),"N/A")</f>
        <v>N/A</v>
      </c>
      <c r="T203" s="632" t="str">
        <f t="shared" si="30"/>
        <v>N/A</v>
      </c>
      <c r="V203" s="2031"/>
      <c r="W203" s="2031"/>
      <c r="X203" s="1466"/>
      <c r="Y203" s="2032"/>
      <c r="Z203" s="623"/>
      <c r="AA203" s="623"/>
    </row>
    <row r="204" spans="2:27" s="88" customFormat="1" hidden="1" outlineLevel="2" x14ac:dyDescent="0.35">
      <c r="B204" s="1955"/>
      <c r="C204" s="3814" t="s">
        <v>2067</v>
      </c>
      <c r="D204" s="1906" t="s">
        <v>1247</v>
      </c>
      <c r="E204" s="1907" t="s">
        <v>3</v>
      </c>
      <c r="F204" s="1739">
        <f t="shared" si="28"/>
        <v>0.8</v>
      </c>
      <c r="G204" s="1739">
        <f t="shared" si="29"/>
        <v>70.310761224567869</v>
      </c>
      <c r="H204" s="1906"/>
      <c r="I204" s="1917" t="s">
        <v>263</v>
      </c>
      <c r="J204" s="1906"/>
      <c r="K204" s="1911"/>
      <c r="L204" s="1911"/>
      <c r="M204" s="1912" t="str">
        <f>IFERROR(INDEX('Lower Hot Cell Logistics'!$I$13:$O$19,MATCH($K204,'Lower Hot Cell Logistics'!$H$13:$H$19,0),MATCH($L204,'Lower Hot Cell Logistics'!$H$13:$H$19,0)),"N/A")</f>
        <v>N/A</v>
      </c>
      <c r="N204" s="1912" t="str">
        <f>IFERROR(VLOOKUP($J204,'Lower Hot Cell Logistics'!$H$4:$I$9,2,FALSE),"N/A")</f>
        <v>N/A</v>
      </c>
      <c r="O204" s="1917" t="str">
        <f t="shared" si="27"/>
        <v>N/A</v>
      </c>
      <c r="P204" s="1916" t="s">
        <v>1828</v>
      </c>
      <c r="Q204" s="1917">
        <f>IF($E204="Logistics",VLOOKUP($P204,'Lower Hot Cell Logistics'!$C$4:$D$69,2,FALSE),"N/A")</f>
        <v>0.8</v>
      </c>
      <c r="R204" s="3381"/>
      <c r="S204" s="1917" t="str">
        <f>IFERROR(VLOOKUP($R204,'Lower HotCell RecoveryLogistics'!$C$197:$F$261,4,FALSE),"N/A")</f>
        <v>N/A</v>
      </c>
      <c r="T204" s="632" t="str">
        <f t="shared" si="30"/>
        <v>N/A</v>
      </c>
      <c r="V204" s="2031"/>
      <c r="W204" s="2031"/>
      <c r="X204" s="2031"/>
      <c r="Y204" s="1466"/>
    </row>
    <row r="205" spans="2:27" s="88" customFormat="1" hidden="1" outlineLevel="2" x14ac:dyDescent="0.35">
      <c r="B205" s="1955"/>
      <c r="C205" s="3815"/>
      <c r="D205" s="1895" t="s">
        <v>2069</v>
      </c>
      <c r="E205" s="1896" t="s">
        <v>3</v>
      </c>
      <c r="F205" s="1347">
        <f t="shared" si="28"/>
        <v>0.8</v>
      </c>
      <c r="G205" s="1347">
        <f t="shared" si="29"/>
        <v>72.752242706049358</v>
      </c>
      <c r="H205" s="1895"/>
      <c r="I205" s="1903" t="s">
        <v>263</v>
      </c>
      <c r="J205" s="1895"/>
      <c r="K205" s="1897"/>
      <c r="L205" s="1897"/>
      <c r="M205" s="1898" t="str">
        <f>IFERROR(INDEX('Lower Hot Cell Logistics'!$I$13:$O$19,MATCH($K205,'Lower Hot Cell Logistics'!$H$13:$H$19,0),MATCH($L205,'Lower Hot Cell Logistics'!$H$13:$H$19,0)),"N/A")</f>
        <v>N/A</v>
      </c>
      <c r="N205" s="1898" t="str">
        <f>IFERROR(VLOOKUP($J205,'Lower Hot Cell Logistics'!$H$4:$I$9,2,FALSE),"N/A")</f>
        <v>N/A</v>
      </c>
      <c r="O205" s="1903" t="str">
        <f t="shared" si="27"/>
        <v>N/A</v>
      </c>
      <c r="P205" s="1902" t="s">
        <v>1828</v>
      </c>
      <c r="Q205" s="1903">
        <f>IF($E205="Logistics",VLOOKUP($P205,'Lower Hot Cell Logistics'!$C$4:$D$69,2,FALSE),"N/A")</f>
        <v>0.8</v>
      </c>
      <c r="R205" s="3380" t="s">
        <v>2286</v>
      </c>
      <c r="S205" s="1903">
        <f>IFERROR(VLOOKUP($R205,'Lower HotCell RecoveryLogistics'!$C$197:$F$261,4,FALSE),"N/A")</f>
        <v>71.952242706049361</v>
      </c>
      <c r="T205" s="632">
        <f t="shared" si="30"/>
        <v>-1.6414814814814918</v>
      </c>
      <c r="V205" s="2031"/>
      <c r="W205" s="2031"/>
      <c r="X205" s="2031"/>
      <c r="Y205" s="1466"/>
    </row>
    <row r="206" spans="2:27" s="88" customFormat="1" hidden="1" outlineLevel="2" x14ac:dyDescent="0.35">
      <c r="B206" s="1955"/>
      <c r="C206" s="3815"/>
      <c r="D206" s="1895" t="s">
        <v>2070</v>
      </c>
      <c r="E206" s="1896" t="s">
        <v>251</v>
      </c>
      <c r="F206" s="1347">
        <f t="shared" si="28"/>
        <v>17.622664625997164</v>
      </c>
      <c r="G206" s="1347">
        <f t="shared" si="29"/>
        <v>90.374907332046519</v>
      </c>
      <c r="H206" s="1895" t="s">
        <v>556</v>
      </c>
      <c r="I206" s="1903">
        <v>17.622664625997164</v>
      </c>
      <c r="J206" s="1895"/>
      <c r="K206" s="1897"/>
      <c r="L206" s="1897"/>
      <c r="M206" s="1898" t="str">
        <f>IFERROR(INDEX('Lower Hot Cell Logistics'!$I$13:$O$19,MATCH($K206,'Lower Hot Cell Logistics'!$H$13:$H$19,0),MATCH($L206,'Lower Hot Cell Logistics'!$H$13:$H$19,0)),"N/A")</f>
        <v>N/A</v>
      </c>
      <c r="N206" s="1898" t="str">
        <f>IFERROR(VLOOKUP($J206,'Lower Hot Cell Logistics'!$H$4:$I$9,2,FALSE),"N/A")</f>
        <v>N/A</v>
      </c>
      <c r="O206" s="1903" t="str">
        <f t="shared" si="27"/>
        <v>N/A</v>
      </c>
      <c r="P206" s="1902"/>
      <c r="Q206" s="1903" t="str">
        <f>IF($E206="Logistics",VLOOKUP($P206,'Lower Hot Cell Logistics'!$C$4:$D$69,2,FALSE),"N/A")</f>
        <v>N/A</v>
      </c>
      <c r="R206" s="3380"/>
      <c r="S206" s="1903" t="str">
        <f>IFERROR(VLOOKUP($R206,'Lower HotCell RecoveryLogistics'!$C$197:$F$261,4,FALSE),"N/A")</f>
        <v>N/A</v>
      </c>
      <c r="T206" s="632" t="str">
        <f t="shared" si="30"/>
        <v>N/A</v>
      </c>
      <c r="V206" s="2031"/>
      <c r="W206" s="2031"/>
      <c r="X206" s="2031"/>
      <c r="Y206" s="1466"/>
    </row>
    <row r="207" spans="2:27" s="88" customFormat="1" hidden="1" outlineLevel="2" x14ac:dyDescent="0.35">
      <c r="B207" s="1955"/>
      <c r="C207" s="3815"/>
      <c r="D207" s="1895" t="s">
        <v>2071</v>
      </c>
      <c r="E207" s="1896" t="s">
        <v>3</v>
      </c>
      <c r="F207" s="1347">
        <f t="shared" si="28"/>
        <v>0.53</v>
      </c>
      <c r="G207" s="1347">
        <f t="shared" si="29"/>
        <v>90.90490733204652</v>
      </c>
      <c r="H207" s="1895"/>
      <c r="I207" s="1903" t="s">
        <v>263</v>
      </c>
      <c r="J207" s="1895"/>
      <c r="K207" s="1897"/>
      <c r="L207" s="1897"/>
      <c r="M207" s="1898" t="str">
        <f>IFERROR(INDEX('Lower Hot Cell Logistics'!$I$13:$O$19,MATCH($K207,'Lower Hot Cell Logistics'!$H$13:$H$19,0),MATCH($L207,'Lower Hot Cell Logistics'!$H$13:$H$19,0)),"N/A")</f>
        <v>N/A</v>
      </c>
      <c r="N207" s="1898" t="str">
        <f>IFERROR(VLOOKUP($J207,'Lower Hot Cell Logistics'!$H$4:$I$9,2,FALSE),"N/A")</f>
        <v>N/A</v>
      </c>
      <c r="O207" s="1903" t="str">
        <f t="shared" si="27"/>
        <v>N/A</v>
      </c>
      <c r="P207" s="1902" t="s">
        <v>1558</v>
      </c>
      <c r="Q207" s="1903">
        <f>IF($E207="Logistics",VLOOKUP($P207,'Lower Hot Cell Logistics'!$C$4:$D$69,2,FALSE),"N/A")</f>
        <v>0.53</v>
      </c>
      <c r="R207" s="3380"/>
      <c r="S207" s="1903" t="str">
        <f>IFERROR(VLOOKUP($R207,'Lower HotCell RecoveryLogistics'!$C$197:$F$261,4,FALSE),"N/A")</f>
        <v>N/A</v>
      </c>
      <c r="T207" s="632" t="str">
        <f t="shared" si="30"/>
        <v>N/A</v>
      </c>
      <c r="V207" s="2031"/>
      <c r="W207" s="2031"/>
      <c r="X207" s="2031"/>
      <c r="Y207" s="1466"/>
    </row>
    <row r="208" spans="2:27" s="88" customFormat="1" hidden="1" outlineLevel="2" x14ac:dyDescent="0.35">
      <c r="B208" s="1955"/>
      <c r="C208" s="3815"/>
      <c r="D208" s="1895" t="s">
        <v>2073</v>
      </c>
      <c r="E208" s="1896" t="s">
        <v>3</v>
      </c>
      <c r="F208" s="1347">
        <f t="shared" si="28"/>
        <v>0.8</v>
      </c>
      <c r="G208" s="1347">
        <f t="shared" si="29"/>
        <v>91.704907332046517</v>
      </c>
      <c r="H208" s="1895"/>
      <c r="I208" s="1903" t="s">
        <v>263</v>
      </c>
      <c r="J208" s="1895"/>
      <c r="K208" s="1897"/>
      <c r="L208" s="1897"/>
      <c r="M208" s="1898" t="str">
        <f>IFERROR(INDEX('Lower Hot Cell Logistics'!$I$13:$O$19,MATCH($K208,'Lower Hot Cell Logistics'!$H$13:$H$19,0),MATCH($L208,'Lower Hot Cell Logistics'!$H$13:$H$19,0)),"N/A")</f>
        <v>N/A</v>
      </c>
      <c r="N208" s="1898" t="str">
        <f>IFERROR(VLOOKUP($J208,'Lower Hot Cell Logistics'!$H$4:$I$9,2,FALSE),"N/A")</f>
        <v>N/A</v>
      </c>
      <c r="O208" s="1903" t="str">
        <f t="shared" si="27"/>
        <v>N/A</v>
      </c>
      <c r="P208" s="1902" t="s">
        <v>1828</v>
      </c>
      <c r="Q208" s="1903">
        <f>IF($E208="Logistics",VLOOKUP($P208,'Lower Hot Cell Logistics'!$C$4:$D$69,2,FALSE),"N/A")</f>
        <v>0.8</v>
      </c>
      <c r="R208" s="3380" t="s">
        <v>2287</v>
      </c>
      <c r="S208" s="1903">
        <f>IFERROR(VLOOKUP($R208,'Lower HotCell RecoveryLogistics'!$C$197:$F$261,4,FALSE),"N/A")</f>
        <v>69.916687150493814</v>
      </c>
      <c r="T208" s="632">
        <f t="shared" si="30"/>
        <v>20.988220181552705</v>
      </c>
      <c r="V208" s="2031"/>
      <c r="W208" s="2031"/>
      <c r="X208" s="2031"/>
      <c r="Y208" s="1466"/>
    </row>
    <row r="209" spans="1:29" s="88" customFormat="1" hidden="1" outlineLevel="2" x14ac:dyDescent="0.35">
      <c r="B209" s="1955"/>
      <c r="C209" s="3815"/>
      <c r="D209" s="1895" t="s">
        <v>2074</v>
      </c>
      <c r="E209" s="1896" t="s">
        <v>251</v>
      </c>
      <c r="F209" s="1347">
        <f t="shared" si="28"/>
        <v>17.622664625997164</v>
      </c>
      <c r="G209" s="1347">
        <f t="shared" si="29"/>
        <v>109.32757195804368</v>
      </c>
      <c r="H209" s="1895" t="s">
        <v>556</v>
      </c>
      <c r="I209" s="1903">
        <v>17.622664625997164</v>
      </c>
      <c r="J209" s="1895"/>
      <c r="K209" s="1897"/>
      <c r="L209" s="1897"/>
      <c r="M209" s="1898" t="str">
        <f>IFERROR(INDEX('Lower Hot Cell Logistics'!$I$13:$O$19,MATCH($K209,'Lower Hot Cell Logistics'!$H$13:$H$19,0),MATCH($L209,'Lower Hot Cell Logistics'!$H$13:$H$19,0)),"N/A")</f>
        <v>N/A</v>
      </c>
      <c r="N209" s="1898" t="str">
        <f>IFERROR(VLOOKUP($J209,'Lower Hot Cell Logistics'!$H$4:$I$9,2,FALSE),"N/A")</f>
        <v>N/A</v>
      </c>
      <c r="O209" s="1903" t="str">
        <f t="shared" si="27"/>
        <v>N/A</v>
      </c>
      <c r="P209" s="1902"/>
      <c r="Q209" s="1903" t="str">
        <f>IF($E209="Logistics",VLOOKUP($P209,'Lower Hot Cell Logistics'!$C$4:$D$69,2,FALSE),"N/A")</f>
        <v>N/A</v>
      </c>
      <c r="R209" s="3380"/>
      <c r="S209" s="1903" t="str">
        <f>IFERROR(VLOOKUP($R209,'Lower HotCell RecoveryLogistics'!$C$197:$F$261,4,FALSE),"N/A")</f>
        <v>N/A</v>
      </c>
      <c r="T209" s="632" t="str">
        <f t="shared" si="30"/>
        <v>N/A</v>
      </c>
      <c r="V209" s="2031"/>
      <c r="W209" s="2031"/>
      <c r="X209" s="2031"/>
      <c r="Y209" s="1466"/>
    </row>
    <row r="210" spans="1:29" s="88" customFormat="1" hidden="1" outlineLevel="2" x14ac:dyDescent="0.35">
      <c r="B210" s="1955"/>
      <c r="C210" s="3815"/>
      <c r="D210" s="1895" t="s">
        <v>1599</v>
      </c>
      <c r="E210" s="1896" t="s">
        <v>3</v>
      </c>
      <c r="F210" s="1347">
        <f t="shared" si="28"/>
        <v>0.6</v>
      </c>
      <c r="G210" s="1347">
        <f t="shared" si="29"/>
        <v>109.92757195804367</v>
      </c>
      <c r="H210" s="1895"/>
      <c r="I210" s="1903" t="s">
        <v>263</v>
      </c>
      <c r="J210" s="1895"/>
      <c r="K210" s="1897"/>
      <c r="L210" s="1897"/>
      <c r="M210" s="1898" t="str">
        <f>IFERROR(INDEX('Lower Hot Cell Logistics'!$I$13:$O$19,MATCH($K210,'Lower Hot Cell Logistics'!$H$13:$H$19,0),MATCH($L210,'Lower Hot Cell Logistics'!$H$13:$H$19,0)),"N/A")</f>
        <v>N/A</v>
      </c>
      <c r="N210" s="1898" t="str">
        <f>IFERROR(VLOOKUP($J210,'Lower Hot Cell Logistics'!$H$4:$I$9,2,FALSE),"N/A")</f>
        <v>N/A</v>
      </c>
      <c r="O210" s="1903" t="str">
        <f t="shared" si="27"/>
        <v>N/A</v>
      </c>
      <c r="P210" s="1902" t="s">
        <v>2008</v>
      </c>
      <c r="Q210" s="1903">
        <f>IF($E210="Logistics",VLOOKUP($P210,'Lower Hot Cell Logistics'!$C$4:$D$69,2,FALSE),"N/A")</f>
        <v>0.6</v>
      </c>
      <c r="R210" s="3380"/>
      <c r="S210" s="1903" t="str">
        <f>IFERROR(VLOOKUP($R210,'Lower HotCell RecoveryLogistics'!$C$197:$F$261,4,FALSE),"N/A")</f>
        <v>N/A</v>
      </c>
      <c r="T210" s="632" t="str">
        <f t="shared" si="30"/>
        <v>N/A</v>
      </c>
      <c r="V210" s="2031"/>
      <c r="W210" s="2031"/>
      <c r="X210" s="2031"/>
      <c r="Y210" s="1466"/>
    </row>
    <row r="211" spans="1:29" s="88" customFormat="1" ht="15" hidden="1" outlineLevel="2" thickBot="1" x14ac:dyDescent="0.4">
      <c r="B211" s="1955"/>
      <c r="C211" s="3816"/>
      <c r="D211" s="1869" t="s">
        <v>1590</v>
      </c>
      <c r="E211" s="1918" t="s">
        <v>3</v>
      </c>
      <c r="F211" s="1295">
        <f t="shared" si="28"/>
        <v>0.6</v>
      </c>
      <c r="G211" s="1295">
        <f t="shared" si="29"/>
        <v>110.52757195804367</v>
      </c>
      <c r="H211" s="1869"/>
      <c r="I211" s="1922" t="s">
        <v>263</v>
      </c>
      <c r="J211" s="1869"/>
      <c r="K211" s="837"/>
      <c r="L211" s="837"/>
      <c r="M211" s="842" t="str">
        <f>IFERROR(INDEX('Lower Hot Cell Logistics'!$I$13:$O$19,MATCH($K211,'Lower Hot Cell Logistics'!$H$13:$H$19,0),MATCH($L211,'Lower Hot Cell Logistics'!$H$13:$H$19,0)),"N/A")</f>
        <v>N/A</v>
      </c>
      <c r="N211" s="842" t="str">
        <f>IFERROR(VLOOKUP($J211,'Lower Hot Cell Logistics'!$H$4:$I$9,2,FALSE),"N/A")</f>
        <v>N/A</v>
      </c>
      <c r="O211" s="1922" t="str">
        <f t="shared" si="27"/>
        <v>N/A</v>
      </c>
      <c r="P211" s="1921" t="s">
        <v>2008</v>
      </c>
      <c r="Q211" s="1922">
        <f>IF($E211="Logistics",VLOOKUP($P211,'Lower Hot Cell Logistics'!$C$4:$D$69,2,FALSE),"N/A")</f>
        <v>0.6</v>
      </c>
      <c r="R211" s="3382"/>
      <c r="S211" s="1922" t="str">
        <f>IFERROR(VLOOKUP($R211,'Lower HotCell RecoveryLogistics'!$C$197:$F$261,4,FALSE),"N/A")</f>
        <v>N/A</v>
      </c>
      <c r="T211" s="632" t="str">
        <f t="shared" si="30"/>
        <v>N/A</v>
      </c>
      <c r="V211" s="2031"/>
      <c r="W211" s="2031"/>
      <c r="X211" s="2031"/>
      <c r="Y211" s="1466"/>
    </row>
    <row r="212" spans="1:29" s="88" customFormat="1" hidden="1" outlineLevel="2" x14ac:dyDescent="0.35">
      <c r="B212" s="1955"/>
      <c r="C212" s="3786" t="s">
        <v>2075</v>
      </c>
      <c r="D212" s="2209" t="s">
        <v>2076</v>
      </c>
      <c r="E212" s="2210" t="s">
        <v>3</v>
      </c>
      <c r="F212" s="1250">
        <f t="shared" si="28"/>
        <v>0.8</v>
      </c>
      <c r="G212" s="1250">
        <f t="shared" si="29"/>
        <v>111.93349788396959</v>
      </c>
      <c r="H212" s="2209"/>
      <c r="I212" s="2211" t="s">
        <v>263</v>
      </c>
      <c r="J212" s="2209"/>
      <c r="K212" s="2212"/>
      <c r="L212" s="2212"/>
      <c r="M212" s="2213" t="str">
        <f>IFERROR(INDEX('Lower Hot Cell Logistics'!$I$13:$O$19,MATCH($K212,'Lower Hot Cell Logistics'!$H$13:$H$19,0),MATCH($L212,'Lower Hot Cell Logistics'!$H$13:$H$19,0)),"N/A")</f>
        <v>N/A</v>
      </c>
      <c r="N212" s="2213" t="str">
        <f>IFERROR(VLOOKUP($J212,'Lower Hot Cell Logistics'!$H$4:$I$9,2,FALSE),"N/A")</f>
        <v>N/A</v>
      </c>
      <c r="O212" s="2211" t="str">
        <f t="shared" si="27"/>
        <v>N/A</v>
      </c>
      <c r="P212" s="2214" t="s">
        <v>1828</v>
      </c>
      <c r="Q212" s="2211">
        <f>IF($E212="Logistics",VLOOKUP($P212,'Lower Hot Cell Logistics'!$C$4:$D$69,2,FALSE),"N/A")</f>
        <v>0.8</v>
      </c>
      <c r="R212" s="3575" t="s">
        <v>2077</v>
      </c>
      <c r="S212" s="2211">
        <f>IFERROR(VLOOKUP($R212,'Lower HotCell RecoveryLogistics'!$C$197:$F$261,4,FALSE),"N/A")</f>
        <v>111.1334978839696</v>
      </c>
      <c r="T212" s="632">
        <f t="shared" si="30"/>
        <v>-0.60592592592593064</v>
      </c>
      <c r="V212" s="2031"/>
      <c r="W212" s="2031"/>
      <c r="X212" s="2031"/>
      <c r="Y212" s="1466"/>
    </row>
    <row r="213" spans="1:29" s="88" customFormat="1" hidden="1" outlineLevel="2" x14ac:dyDescent="0.35">
      <c r="B213" s="1955"/>
      <c r="C213" s="3786"/>
      <c r="D213" s="1579" t="s">
        <v>1086</v>
      </c>
      <c r="E213" s="1611" t="s">
        <v>251</v>
      </c>
      <c r="F213" s="626">
        <f t="shared" si="28"/>
        <v>17.622664625997164</v>
      </c>
      <c r="G213" s="626">
        <f t="shared" si="29"/>
        <v>129.55616250996675</v>
      </c>
      <c r="H213" s="1579" t="s">
        <v>556</v>
      </c>
      <c r="I213" s="1183">
        <v>17.622664625997164</v>
      </c>
      <c r="J213" s="1579"/>
      <c r="K213" s="582"/>
      <c r="L213" s="582"/>
      <c r="M213" s="1478" t="str">
        <f>IFERROR(INDEX('Lower Hot Cell Logistics'!$I$13:$O$19,MATCH($K213,'Lower Hot Cell Logistics'!$H$13:$H$19,0),MATCH($L213,'Lower Hot Cell Logistics'!$H$13:$H$19,0)),"N/A")</f>
        <v>N/A</v>
      </c>
      <c r="N213" s="1478" t="str">
        <f>IFERROR(VLOOKUP($J213,'Lower Hot Cell Logistics'!$H$4:$I$9,2,FALSE),"N/A")</f>
        <v>N/A</v>
      </c>
      <c r="O213" s="1183" t="str">
        <f t="shared" si="27"/>
        <v>N/A</v>
      </c>
      <c r="P213" s="1578"/>
      <c r="Q213" s="1183" t="str">
        <f>IF($E213="Logistics",VLOOKUP($P213,'Lower Hot Cell Logistics'!$C$4:$D$69,2,FALSE),"N/A")</f>
        <v>N/A</v>
      </c>
      <c r="R213" s="3377"/>
      <c r="S213" s="1183" t="str">
        <f>IFERROR(VLOOKUP($R213,'Lower HotCell RecoveryLogistics'!$C$197:$F$261,4,FALSE),"N/A")</f>
        <v>N/A</v>
      </c>
      <c r="T213" s="632" t="str">
        <f t="shared" si="30"/>
        <v>N/A</v>
      </c>
      <c r="V213" s="2031"/>
      <c r="W213" s="2031"/>
      <c r="X213" s="2031"/>
      <c r="Y213" s="1466"/>
    </row>
    <row r="214" spans="1:29" s="88" customFormat="1" hidden="1" outlineLevel="2" x14ac:dyDescent="0.35">
      <c r="B214" s="1955"/>
      <c r="C214" s="3786"/>
      <c r="D214" s="1579" t="s">
        <v>2078</v>
      </c>
      <c r="E214" s="1611" t="s">
        <v>3</v>
      </c>
      <c r="F214" s="626">
        <f t="shared" si="28"/>
        <v>0.8</v>
      </c>
      <c r="G214" s="626">
        <f t="shared" si="29"/>
        <v>130.35616250996677</v>
      </c>
      <c r="H214" s="1579"/>
      <c r="I214" s="1183" t="s">
        <v>263</v>
      </c>
      <c r="J214" s="1579"/>
      <c r="K214" s="582"/>
      <c r="L214" s="582"/>
      <c r="M214" s="1478" t="str">
        <f>IFERROR(INDEX('Lower Hot Cell Logistics'!$I$13:$O$19,MATCH($K214,'Lower Hot Cell Logistics'!$H$13:$H$19,0),MATCH($L214,'Lower Hot Cell Logistics'!$H$13:$H$19,0)),"N/A")</f>
        <v>N/A</v>
      </c>
      <c r="N214" s="1478" t="str">
        <f>IFERROR(VLOOKUP($J214,'Lower Hot Cell Logistics'!$H$4:$I$9,2,FALSE),"N/A")</f>
        <v>N/A</v>
      </c>
      <c r="O214" s="1183" t="str">
        <f t="shared" si="27"/>
        <v>N/A</v>
      </c>
      <c r="P214" s="1578" t="s">
        <v>1828</v>
      </c>
      <c r="Q214" s="1183">
        <f>IF($E214="Logistics",VLOOKUP($P214,'Lower Hot Cell Logistics'!$C$4:$D$69,2,FALSE),"N/A")</f>
        <v>0.8</v>
      </c>
      <c r="R214" s="3377"/>
      <c r="S214" s="1183" t="str">
        <f>IFERROR(VLOOKUP($R214,'Lower HotCell RecoveryLogistics'!$C$197:$F$261,4,FALSE),"N/A")</f>
        <v>N/A</v>
      </c>
      <c r="T214" s="632" t="str">
        <f t="shared" si="30"/>
        <v>N/A</v>
      </c>
      <c r="V214" s="2031"/>
      <c r="W214" s="2031"/>
      <c r="X214" s="2031"/>
      <c r="Y214" s="1466"/>
    </row>
    <row r="215" spans="1:29" s="88" customFormat="1" hidden="1" outlineLevel="2" x14ac:dyDescent="0.35">
      <c r="B215" s="1955"/>
      <c r="C215" s="3786"/>
      <c r="D215" s="2209" t="s">
        <v>2288</v>
      </c>
      <c r="E215" s="2210" t="s">
        <v>3</v>
      </c>
      <c r="F215" s="1250">
        <f t="shared" si="28"/>
        <v>0.8</v>
      </c>
      <c r="G215" s="1250">
        <f t="shared" si="29"/>
        <v>131.15616250996678</v>
      </c>
      <c r="H215" s="2209"/>
      <c r="I215" s="2211" t="s">
        <v>263</v>
      </c>
      <c r="J215" s="2209"/>
      <c r="K215" s="2212"/>
      <c r="L215" s="2212"/>
      <c r="M215" s="2213" t="str">
        <f>IFERROR(INDEX('Lower Hot Cell Logistics'!$I$13:$O$19,MATCH($K215,'Lower Hot Cell Logistics'!$H$13:$H$19,0),MATCH($L215,'Lower Hot Cell Logistics'!$H$13:$H$19,0)),"N/A")</f>
        <v>N/A</v>
      </c>
      <c r="N215" s="2213" t="str">
        <f>IFERROR(VLOOKUP($J215,'Lower Hot Cell Logistics'!$H$4:$I$9,2,FALSE),"N/A")</f>
        <v>N/A</v>
      </c>
      <c r="O215" s="2211" t="str">
        <f t="shared" si="27"/>
        <v>N/A</v>
      </c>
      <c r="P215" s="2214" t="s">
        <v>1828</v>
      </c>
      <c r="Q215" s="2211">
        <f>IF($E215="Logistics",VLOOKUP($P215,'Lower Hot Cell Logistics'!$C$4:$D$69,2,FALSE),"N/A")</f>
        <v>0.8</v>
      </c>
      <c r="R215" s="3575" t="s">
        <v>2079</v>
      </c>
      <c r="S215" s="2211">
        <f>IFERROR(VLOOKUP($R215,'Lower HotCell RecoveryLogistics'!$C$197:$F$261,4,FALSE),"N/A")</f>
        <v>111.1334978839696</v>
      </c>
      <c r="T215" s="632">
        <f t="shared" si="30"/>
        <v>19.222664625997169</v>
      </c>
      <c r="V215" s="2031"/>
      <c r="W215" s="2031"/>
      <c r="X215" s="2031"/>
      <c r="Y215" s="1466"/>
    </row>
    <row r="216" spans="1:29" s="88" customFormat="1" ht="15" hidden="1" outlineLevel="2" thickBot="1" x14ac:dyDescent="0.4">
      <c r="B216" s="1955"/>
      <c r="C216" s="3786"/>
      <c r="D216" s="1579" t="s">
        <v>1089</v>
      </c>
      <c r="E216" s="1611" t="s">
        <v>251</v>
      </c>
      <c r="F216" s="626">
        <f t="shared" si="28"/>
        <v>17.622664625997164</v>
      </c>
      <c r="G216" s="626">
        <f t="shared" si="29"/>
        <v>148.77882713596395</v>
      </c>
      <c r="H216" s="1579" t="s">
        <v>556</v>
      </c>
      <c r="I216" s="1183">
        <v>17.622664625997164</v>
      </c>
      <c r="J216" s="1579"/>
      <c r="K216" s="582"/>
      <c r="L216" s="582"/>
      <c r="M216" s="1478" t="str">
        <f>IFERROR(INDEX('Lower Hot Cell Logistics'!$I$13:$O$19,MATCH($K216,'Lower Hot Cell Logistics'!$H$13:$H$19,0),MATCH($L216,'Lower Hot Cell Logistics'!$H$13:$H$19,0)),"N/A")</f>
        <v>N/A</v>
      </c>
      <c r="N216" s="1478" t="str">
        <f>IFERROR(VLOOKUP($J216,'Lower Hot Cell Logistics'!$H$4:$I$9,2,FALSE),"N/A")</f>
        <v>N/A</v>
      </c>
      <c r="O216" s="1183" t="str">
        <f t="shared" si="27"/>
        <v>N/A</v>
      </c>
      <c r="P216" s="1578"/>
      <c r="Q216" s="1183" t="str">
        <f>IF($E216="Logistics",VLOOKUP($P216,'Lower Hot Cell Logistics'!$C$4:$D$69,2,FALSE),"N/A")</f>
        <v>N/A</v>
      </c>
      <c r="R216" s="3377"/>
      <c r="S216" s="1183" t="str">
        <f>IFERROR(VLOOKUP($R216,'Lower HotCell RecoveryLogistics'!$C$197:$F$261,4,FALSE),"N/A")</f>
        <v>N/A</v>
      </c>
      <c r="T216" s="632" t="str">
        <f t="shared" si="30"/>
        <v>N/A</v>
      </c>
      <c r="V216" s="2031"/>
      <c r="W216" s="2031"/>
      <c r="X216" s="2031"/>
      <c r="Y216" s="1466"/>
    </row>
    <row r="217" spans="1:29" s="88" customFormat="1" ht="15" hidden="1" customHeight="1" outlineLevel="2" x14ac:dyDescent="0.35">
      <c r="B217" s="1955"/>
      <c r="C217" s="3852" t="s">
        <v>2291</v>
      </c>
      <c r="D217" s="1906" t="s">
        <v>119</v>
      </c>
      <c r="E217" s="1907" t="s">
        <v>3</v>
      </c>
      <c r="F217" s="1739">
        <f t="shared" si="28"/>
        <v>0.8</v>
      </c>
      <c r="G217" s="1739">
        <f t="shared" si="29"/>
        <v>149.57882713596396</v>
      </c>
      <c r="H217" s="1906"/>
      <c r="I217" s="1917" t="s">
        <v>263</v>
      </c>
      <c r="J217" s="1906"/>
      <c r="K217" s="1911"/>
      <c r="L217" s="1911"/>
      <c r="M217" s="1912" t="str">
        <f>IFERROR(INDEX('Lower Hot Cell Logistics'!$I$13:$O$19,MATCH($K217,'Lower Hot Cell Logistics'!$H$13:$H$19,0),MATCH($L217,'Lower Hot Cell Logistics'!$H$13:$H$19,0)),"N/A")</f>
        <v>N/A</v>
      </c>
      <c r="N217" s="1912" t="str">
        <f>IFERROR(VLOOKUP($J217,'Lower Hot Cell Logistics'!$H$4:$I$9,2,FALSE),"N/A")</f>
        <v>N/A</v>
      </c>
      <c r="O217" s="1917" t="str">
        <f t="shared" si="27"/>
        <v>N/A</v>
      </c>
      <c r="P217" s="1916" t="s">
        <v>1828</v>
      </c>
      <c r="Q217" s="1917">
        <f>IF($E217="Logistics",VLOOKUP($P217,'Lower Hot Cell Logistics'!$C$4:$D$69,2,FALSE),"N/A")</f>
        <v>0.8</v>
      </c>
      <c r="R217" s="3381" t="s">
        <v>2082</v>
      </c>
      <c r="S217" s="1917">
        <f>IFERROR(VLOOKUP($R217,'Lower HotCell RecoveryLogistics'!$C$197:$F$261,4,FALSE),"N/A")</f>
        <v>131.3620884358927</v>
      </c>
      <c r="T217" s="1130">
        <f t="shared" si="30"/>
        <v>17.416738700071249</v>
      </c>
      <c r="V217" s="2031"/>
      <c r="W217" s="2031"/>
      <c r="X217" s="2031"/>
      <c r="Y217" s="1466"/>
    </row>
    <row r="218" spans="1:29" s="88" customFormat="1" hidden="1" outlineLevel="2" x14ac:dyDescent="0.35">
      <c r="B218" s="1955"/>
      <c r="C218" s="3856"/>
      <c r="D218" s="1895" t="s">
        <v>1092</v>
      </c>
      <c r="E218" s="1896" t="s">
        <v>251</v>
      </c>
      <c r="F218" s="1347">
        <f t="shared" si="28"/>
        <v>10.036332312998582</v>
      </c>
      <c r="G218" s="1347">
        <f t="shared" si="29"/>
        <v>159.61515944896254</v>
      </c>
      <c r="H218" s="1895" t="s">
        <v>450</v>
      </c>
      <c r="I218" s="1903">
        <v>10.036332312998582</v>
      </c>
      <c r="J218" s="1895"/>
      <c r="K218" s="1897"/>
      <c r="L218" s="1897"/>
      <c r="M218" s="1898" t="str">
        <f>IFERROR(INDEX('Lower Hot Cell Logistics'!$I$13:$O$19,MATCH($K218,'Lower Hot Cell Logistics'!$H$13:$H$19,0),MATCH($L218,'Lower Hot Cell Logistics'!$H$13:$H$19,0)),"N/A")</f>
        <v>N/A</v>
      </c>
      <c r="N218" s="1898" t="str">
        <f>IFERROR(VLOOKUP($J218,'Lower Hot Cell Logistics'!$H$4:$I$9,2,FALSE),"N/A")</f>
        <v>N/A</v>
      </c>
      <c r="O218" s="1903" t="str">
        <f t="shared" si="27"/>
        <v>N/A</v>
      </c>
      <c r="P218" s="1902"/>
      <c r="Q218" s="1903" t="str">
        <f>IF($E218="Logistics",VLOOKUP($P218,'Lower Hot Cell Logistics'!$C$4:$D$69,2,FALSE),"N/A")</f>
        <v>N/A</v>
      </c>
      <c r="R218" s="3380" t="s">
        <v>1871</v>
      </c>
      <c r="S218" s="1903">
        <f>IFERROR(VLOOKUP($R218,'Lower HotCell RecoveryLogistics'!$C$197:$F$261,4,FALSE),"N/A")</f>
        <v>125.69078293608484</v>
      </c>
      <c r="T218" s="632">
        <f t="shared" si="30"/>
        <v>23.888044199879118</v>
      </c>
      <c r="V218" s="2031"/>
      <c r="W218" s="2031"/>
      <c r="X218" s="2031"/>
      <c r="Y218" s="1466"/>
    </row>
    <row r="219" spans="1:29" s="88" customFormat="1" ht="15" hidden="1" outlineLevel="2" thickBot="1" x14ac:dyDescent="0.4">
      <c r="B219" s="1955"/>
      <c r="C219" s="3853"/>
      <c r="D219" s="1869" t="s">
        <v>1599</v>
      </c>
      <c r="E219" s="1918" t="s">
        <v>3</v>
      </c>
      <c r="F219" s="1295">
        <f t="shared" si="28"/>
        <v>0.6</v>
      </c>
      <c r="G219" s="1295">
        <f t="shared" si="29"/>
        <v>160.21515944896254</v>
      </c>
      <c r="H219" s="1869"/>
      <c r="I219" s="1922" t="s">
        <v>263</v>
      </c>
      <c r="J219" s="1869"/>
      <c r="K219" s="837"/>
      <c r="L219" s="837"/>
      <c r="M219" s="842" t="str">
        <f>IFERROR(INDEX('Lower Hot Cell Logistics'!$I$13:$O$19,MATCH($K219,'Lower Hot Cell Logistics'!$H$13:$H$19,0),MATCH($L219,'Lower Hot Cell Logistics'!$H$13:$H$19,0)),"N/A")</f>
        <v>N/A</v>
      </c>
      <c r="N219" s="842" t="str">
        <f>IFERROR(VLOOKUP($J219,'Lower Hot Cell Logistics'!$H$4:$I$9,2,FALSE),"N/A")</f>
        <v>N/A</v>
      </c>
      <c r="O219" s="1922" t="str">
        <f t="shared" si="27"/>
        <v>N/A</v>
      </c>
      <c r="P219" s="1921" t="s">
        <v>2008</v>
      </c>
      <c r="Q219" s="1922">
        <f>IF($E219="Logistics",VLOOKUP($P219,'Lower Hot Cell Logistics'!$C$4:$D$69,2,FALSE),"N/A")</f>
        <v>0.6</v>
      </c>
      <c r="R219" s="3382"/>
      <c r="S219" s="1922" t="str">
        <f>IFERROR(VLOOKUP($R219,'Lower HotCell RecoveryLogistics'!$C$197:$F$261,4,FALSE),"N/A")</f>
        <v>N/A</v>
      </c>
      <c r="T219" s="591" t="str">
        <f t="shared" si="30"/>
        <v>N/A</v>
      </c>
      <c r="V219" s="2031"/>
      <c r="W219" s="2031"/>
      <c r="X219" s="2031"/>
      <c r="Y219" s="1466"/>
    </row>
    <row r="220" spans="1:29" s="8" customFormat="1" outlineLevel="1" collapsed="1" x14ac:dyDescent="0.4">
      <c r="A220"/>
      <c r="B220" s="1955"/>
      <c r="C220" s="891"/>
      <c r="D220" s="892"/>
      <c r="E220" s="1439" t="s">
        <v>11</v>
      </c>
      <c r="F220" s="1439"/>
      <c r="G220" s="894">
        <f>G219</f>
        <v>160.21515944896254</v>
      </c>
      <c r="H220" s="94"/>
      <c r="I220" s="895"/>
      <c r="J220" s="94"/>
      <c r="K220" s="94"/>
      <c r="L220" s="896"/>
      <c r="M220" s="897"/>
      <c r="N220" s="897"/>
      <c r="O220" s="894"/>
      <c r="P220" s="94"/>
      <c r="Q220" s="897"/>
      <c r="R220" s="3383"/>
      <c r="S220" s="7"/>
      <c r="T220" s="895"/>
      <c r="U220" s="895"/>
      <c r="V220" s="7"/>
      <c r="W220" s="7"/>
      <c r="X220" s="7"/>
      <c r="Y220" s="7"/>
      <c r="Z220"/>
      <c r="AA220"/>
      <c r="AB220"/>
      <c r="AC220"/>
    </row>
    <row r="221" spans="1:29" s="8" customFormat="1" outlineLevel="1" x14ac:dyDescent="0.4">
      <c r="A221"/>
      <c r="B221" s="1956"/>
      <c r="C221" s="891"/>
      <c r="D221" s="892"/>
      <c r="E221" s="898"/>
      <c r="F221" s="894"/>
      <c r="G221" s="894"/>
      <c r="H221" s="94"/>
      <c r="I221" s="895"/>
      <c r="J221" s="94"/>
      <c r="K221" s="94"/>
      <c r="L221" s="896"/>
      <c r="M221" s="897"/>
      <c r="N221" s="897"/>
      <c r="O221" s="894"/>
      <c r="P221" s="94"/>
      <c r="Q221" s="897"/>
      <c r="R221" s="3383"/>
      <c r="S221" s="7"/>
      <c r="T221" s="895"/>
      <c r="U221" s="895"/>
      <c r="V221" s="7"/>
      <c r="W221" s="7"/>
      <c r="X221" s="7"/>
      <c r="Y221" s="7"/>
      <c r="Z221"/>
      <c r="AA221"/>
      <c r="AB221"/>
      <c r="AC221"/>
    </row>
    <row r="222" spans="1:29" s="8" customFormat="1" x14ac:dyDescent="0.4">
      <c r="A222"/>
      <c r="B222" s="1969"/>
      <c r="C222" s="1971"/>
      <c r="D222" s="1971"/>
      <c r="E222" s="1972"/>
      <c r="F222" s="1971"/>
      <c r="G222" s="1971"/>
      <c r="H222" s="1973"/>
      <c r="I222" s="1974"/>
      <c r="J222" s="1971"/>
      <c r="K222" s="1971"/>
      <c r="L222" s="1970"/>
      <c r="M222" s="1971"/>
      <c r="N222" s="1971"/>
      <c r="O222" s="1971"/>
      <c r="P222" s="1971"/>
      <c r="Q222" s="1971"/>
      <c r="R222" s="3394"/>
      <c r="S222" s="1974"/>
      <c r="T222" s="1971"/>
      <c r="U222" s="1971"/>
      <c r="V222" s="1974"/>
      <c r="W222" s="1974"/>
      <c r="X222" s="1974"/>
      <c r="Y222" s="1974"/>
      <c r="Z222"/>
      <c r="AA222"/>
      <c r="AB222"/>
      <c r="AC222"/>
    </row>
    <row r="224" spans="1:29" s="8" customFormat="1" ht="15.45" x14ac:dyDescent="0.4">
      <c r="A224"/>
      <c r="B224" s="1995"/>
      <c r="C224" s="2302"/>
      <c r="D224" s="1997" t="s">
        <v>1895</v>
      </c>
      <c r="E224" s="1998"/>
      <c r="F224" s="1998"/>
      <c r="G224" s="1998"/>
      <c r="H224" s="1998"/>
      <c r="I224" s="1998"/>
      <c r="J224" s="1998"/>
      <c r="K224" s="1998"/>
      <c r="L224" s="1998"/>
      <c r="M224" s="1998"/>
      <c r="N224" s="1998"/>
      <c r="O224" s="1998"/>
      <c r="P224" s="1998"/>
      <c r="Q224" s="1998"/>
      <c r="R224" s="3404"/>
      <c r="S224" s="1998"/>
      <c r="T224" s="1998"/>
      <c r="U224" s="1998"/>
      <c r="V224" s="1998"/>
      <c r="W224" s="1998"/>
      <c r="X224" s="1998"/>
      <c r="Y224" s="1998"/>
      <c r="Z224"/>
      <c r="AA224"/>
      <c r="AB224"/>
      <c r="AC224"/>
    </row>
    <row r="225" spans="1:29" s="8" customFormat="1" outlineLevel="1" x14ac:dyDescent="0.4">
      <c r="A225"/>
      <c r="B225" s="1999"/>
      <c r="C225" s="704"/>
      <c r="D225" s="748" t="s">
        <v>1053</v>
      </c>
      <c r="E225" s="749"/>
      <c r="F225" s="704"/>
      <c r="G225" s="704"/>
      <c r="H225" s="704"/>
      <c r="I225" s="750"/>
      <c r="J225" s="704"/>
      <c r="K225" s="704"/>
      <c r="L225" s="704"/>
      <c r="M225" s="704"/>
      <c r="N225" s="704"/>
      <c r="O225" s="704"/>
      <c r="P225" s="704"/>
      <c r="Q225" s="704"/>
      <c r="R225" s="3364"/>
      <c r="S225" s="750"/>
      <c r="T225" s="704"/>
      <c r="U225" s="704"/>
      <c r="V225" s="750"/>
      <c r="W225" s="750"/>
      <c r="X225" s="750"/>
      <c r="Y225" s="750"/>
      <c r="Z225"/>
      <c r="AA225"/>
      <c r="AB225"/>
      <c r="AC225"/>
    </row>
    <row r="226" spans="1:29" s="8" customFormat="1" ht="15" outlineLevel="1" thickBot="1" x14ac:dyDescent="0.45">
      <c r="A226"/>
      <c r="B226" s="1999"/>
      <c r="C226" s="704"/>
      <c r="D226" s="704" t="s">
        <v>1034</v>
      </c>
      <c r="E226" s="749"/>
      <c r="F226" s="704"/>
      <c r="G226" s="704"/>
      <c r="H226" s="704"/>
      <c r="I226" s="750"/>
      <c r="J226" s="704"/>
      <c r="K226" s="704"/>
      <c r="L226" s="704"/>
      <c r="M226" s="704"/>
      <c r="N226" s="704"/>
      <c r="O226" s="704"/>
      <c r="P226" s="704"/>
      <c r="Q226" s="704"/>
      <c r="R226" s="3364"/>
      <c r="S226" s="750"/>
      <c r="T226" s="704"/>
      <c r="V226" s="704"/>
      <c r="W226" s="750"/>
      <c r="X226" s="750"/>
      <c r="Y226" s="750"/>
      <c r="Z226"/>
      <c r="AA226"/>
      <c r="AB226"/>
      <c r="AC226"/>
    </row>
    <row r="227" spans="1:29" s="8" customFormat="1" outlineLevel="1" x14ac:dyDescent="0.4">
      <c r="A227"/>
      <c r="B227" s="1999"/>
      <c r="C227" s="704"/>
      <c r="D227" t="s">
        <v>2690</v>
      </c>
      <c r="E227" s="749"/>
      <c r="F227" s="704"/>
      <c r="G227" s="704"/>
      <c r="H227" s="704"/>
      <c r="I227" s="750"/>
      <c r="J227" s="704"/>
      <c r="K227" s="704"/>
      <c r="L227" s="704"/>
      <c r="M227" s="704"/>
      <c r="N227" s="704"/>
      <c r="O227" s="704"/>
      <c r="P227" s="704"/>
      <c r="Q227" s="704"/>
      <c r="R227" s="3570"/>
      <c r="S227" s="3582" t="s">
        <v>23</v>
      </c>
      <c r="T227" s="3842" t="s">
        <v>2604</v>
      </c>
      <c r="U227" s="3843"/>
      <c r="V227" s="3843"/>
      <c r="W227" s="3843"/>
      <c r="X227" s="3844"/>
      <c r="Y227" s="1044"/>
      <c r="Z227"/>
      <c r="AA227"/>
      <c r="AB227"/>
      <c r="AC227"/>
    </row>
    <row r="228" spans="1:29" s="8" customFormat="1" outlineLevel="1" x14ac:dyDescent="0.4">
      <c r="A228"/>
      <c r="B228" s="1999"/>
      <c r="C228" s="704"/>
      <c r="D228" s="704" t="s">
        <v>1035</v>
      </c>
      <c r="E228" s="749"/>
      <c r="F228" s="704"/>
      <c r="G228" s="704"/>
      <c r="H228" s="704"/>
      <c r="I228" s="750"/>
      <c r="J228" s="704"/>
      <c r="K228" s="704"/>
      <c r="L228" s="704"/>
      <c r="M228" s="704"/>
      <c r="N228" s="704"/>
      <c r="O228" s="704"/>
      <c r="P228" s="704"/>
      <c r="Q228" s="704"/>
      <c r="R228" s="3543" t="s">
        <v>1055</v>
      </c>
      <c r="S228" s="1513">
        <v>1</v>
      </c>
      <c r="T228" s="1512">
        <v>1</v>
      </c>
      <c r="U228" s="916">
        <v>2</v>
      </c>
      <c r="V228" s="916">
        <v>3</v>
      </c>
      <c r="W228" s="916">
        <v>4</v>
      </c>
      <c r="X228" s="1045">
        <v>6</v>
      </c>
      <c r="Y228" s="1851"/>
      <c r="Z228"/>
      <c r="AA228"/>
      <c r="AB228"/>
      <c r="AC228"/>
    </row>
    <row r="229" spans="1:29" s="8" customFormat="1" outlineLevel="1" x14ac:dyDescent="0.4">
      <c r="A229"/>
      <c r="B229" s="1999"/>
      <c r="C229" s="704"/>
      <c r="D229" s="704" t="s">
        <v>1036</v>
      </c>
      <c r="E229" s="749"/>
      <c r="F229" s="704"/>
      <c r="G229" s="704"/>
      <c r="H229" s="704"/>
      <c r="I229" s="750"/>
      <c r="J229" s="704"/>
      <c r="K229" s="704"/>
      <c r="L229" s="704"/>
      <c r="M229" s="704"/>
      <c r="N229" s="704"/>
      <c r="O229" s="704"/>
      <c r="P229" s="704"/>
      <c r="Q229" s="704"/>
      <c r="R229" s="3140" t="s">
        <v>2665</v>
      </c>
      <c r="S229" s="290">
        <f>connect_inner_pipwork</f>
        <v>53.784637313778319</v>
      </c>
      <c r="T229" s="1415">
        <f>ROUNDUP(Tokamak_Segmts/T228,0)*connect_inner_pipwork</f>
        <v>860.5541970204531</v>
      </c>
      <c r="U229" s="917">
        <f>ROUNDUP(Tokamak_Segmts/U228,0)*connect_inner_pipwork</f>
        <v>430.27709851022655</v>
      </c>
      <c r="V229" s="917">
        <f>ROUNDUP(Tokamak_Segmts/V228,0)*connect_inner_pipwork</f>
        <v>322.70782388266991</v>
      </c>
      <c r="W229" s="917">
        <f>ROUNDUP(Tokamak_Segmts/W228,0)*connect_inner_pipwork</f>
        <v>215.13854925511328</v>
      </c>
      <c r="X229" s="1028">
        <f>ROUNDUP(Tokamak_Segmts/X228,0)*connect_inner_pipwork</f>
        <v>161.35391194133496</v>
      </c>
      <c r="Y229" s="290"/>
      <c r="Z229"/>
      <c r="AA229"/>
      <c r="AB229"/>
      <c r="AC229"/>
    </row>
    <row r="230" spans="1:29" s="8" customFormat="1" ht="15" outlineLevel="1" thickBot="1" x14ac:dyDescent="0.45">
      <c r="A230"/>
      <c r="B230" s="1999"/>
      <c r="C230" s="704"/>
      <c r="D230" s="704" t="s">
        <v>1037</v>
      </c>
      <c r="E230" s="749"/>
      <c r="F230" s="704"/>
      <c r="G230" s="704"/>
      <c r="H230" s="704"/>
      <c r="I230" s="750"/>
      <c r="J230" s="704"/>
      <c r="K230" s="704"/>
      <c r="L230" s="704"/>
      <c r="M230" s="704"/>
      <c r="N230" s="704"/>
      <c r="O230" s="704"/>
      <c r="P230" s="704"/>
      <c r="Q230" s="704"/>
      <c r="R230" s="3141" t="s">
        <v>2693</v>
      </c>
      <c r="S230" s="1138">
        <f>S$229*$E$234</f>
        <v>0.59163101045156152</v>
      </c>
      <c r="T230" s="1416">
        <f t="shared" ref="T230:X230" si="31">T$229*$E$234</f>
        <v>9.4660961672249844</v>
      </c>
      <c r="U230" s="920">
        <f t="shared" si="31"/>
        <v>4.7330480836124922</v>
      </c>
      <c r="V230" s="920">
        <f t="shared" si="31"/>
        <v>3.5497860627093689</v>
      </c>
      <c r="W230" s="920">
        <f t="shared" si="31"/>
        <v>2.3665240418062461</v>
      </c>
      <c r="X230" s="1029">
        <f t="shared" si="31"/>
        <v>1.7748930313546845</v>
      </c>
      <c r="Y230" s="290"/>
      <c r="Z230"/>
      <c r="AA230"/>
      <c r="AB230"/>
      <c r="AC230"/>
    </row>
    <row r="231" spans="1:29" s="8" customFormat="1" outlineLevel="1" x14ac:dyDescent="0.4">
      <c r="A231"/>
      <c r="B231" s="1999"/>
      <c r="C231" s="704"/>
      <c r="D231" s="704" t="s">
        <v>1038</v>
      </c>
      <c r="E231" s="749"/>
      <c r="F231" s="704"/>
      <c r="G231" s="704"/>
      <c r="H231" s="704"/>
      <c r="I231" s="750"/>
      <c r="J231" s="704"/>
      <c r="K231" s="704"/>
      <c r="L231" s="704"/>
      <c r="M231" s="704"/>
      <c r="N231" s="704"/>
      <c r="O231" s="704"/>
      <c r="P231" s="704"/>
      <c r="Q231" s="704"/>
      <c r="R231" s="3571" t="s">
        <v>1048</v>
      </c>
      <c r="S231" s="3583">
        <f t="shared" ref="S231:X231" si="32">S230*(SUMIF($E$242:$E$254,"Operation",$F$242:$F$254))</f>
        <v>35.764842031525085</v>
      </c>
      <c r="T231" s="1500">
        <f t="shared" si="32"/>
        <v>572.23747250440135</v>
      </c>
      <c r="U231" s="768">
        <f t="shared" si="32"/>
        <v>286.11873625220068</v>
      </c>
      <c r="V231" s="768">
        <f t="shared" si="32"/>
        <v>214.58905218915052</v>
      </c>
      <c r="W231" s="768">
        <f t="shared" si="32"/>
        <v>143.05936812610034</v>
      </c>
      <c r="X231" s="1062">
        <f t="shared" si="32"/>
        <v>107.29452609457526</v>
      </c>
      <c r="Y231" s="290"/>
      <c r="Z231"/>
      <c r="AA231"/>
      <c r="AB231"/>
      <c r="AC231"/>
    </row>
    <row r="232" spans="1:29" s="8" customFormat="1" outlineLevel="1" x14ac:dyDescent="0.4">
      <c r="A232"/>
      <c r="B232" s="1999"/>
      <c r="C232" s="704"/>
      <c r="D232" s="704"/>
      <c r="E232" s="749"/>
      <c r="F232" s="704"/>
      <c r="G232" s="704"/>
      <c r="H232" s="704"/>
      <c r="I232" s="750"/>
      <c r="J232" s="704"/>
      <c r="K232" s="704"/>
      <c r="L232" s="704"/>
      <c r="M232" s="704"/>
      <c r="N232" s="704"/>
      <c r="O232" s="704"/>
      <c r="P232" s="704"/>
      <c r="Q232" s="704"/>
      <c r="R232" s="3543" t="s">
        <v>2658</v>
      </c>
      <c r="S232" s="1020">
        <f t="shared" ref="S232:X232" si="33">S230*(SUMIF($E$242:$E$254,"Movement",$F$242:$F$254)+(SUMIF($E$242:$E$254,"Logistics",$F$242:$F$254)))</f>
        <v>3.1533932857068225</v>
      </c>
      <c r="T232" s="1502">
        <f t="shared" si="33"/>
        <v>50.454292571309161</v>
      </c>
      <c r="U232" s="769">
        <f t="shared" si="33"/>
        <v>25.22714628565458</v>
      </c>
      <c r="V232" s="769">
        <f t="shared" si="33"/>
        <v>18.920359714240934</v>
      </c>
      <c r="W232" s="769">
        <f t="shared" si="33"/>
        <v>12.61357314282729</v>
      </c>
      <c r="X232" s="1064">
        <f t="shared" si="33"/>
        <v>9.4601798571204672</v>
      </c>
      <c r="Y232" s="290"/>
      <c r="Z232"/>
      <c r="AA232"/>
      <c r="AB232"/>
      <c r="AC232"/>
    </row>
    <row r="233" spans="1:29" s="8" customFormat="1" ht="15" outlineLevel="1" thickBot="1" x14ac:dyDescent="0.45">
      <c r="A233"/>
      <c r="B233" s="1999"/>
      <c r="C233" s="704"/>
      <c r="D233" s="704"/>
      <c r="E233" s="749"/>
      <c r="F233" s="704"/>
      <c r="G233" s="704"/>
      <c r="H233" s="704"/>
      <c r="I233" s="750"/>
      <c r="J233" s="704"/>
      <c r="K233" s="704"/>
      <c r="L233" s="704"/>
      <c r="M233" s="704"/>
      <c r="N233" s="704"/>
      <c r="O233" s="704"/>
      <c r="P233" s="704"/>
      <c r="Q233" s="704"/>
      <c r="R233" s="3572" t="s">
        <v>2663</v>
      </c>
      <c r="S233" s="1766">
        <f t="shared" ref="S233:X233" si="34">S230*(-SUMIF($T$242:$T$254,"&lt;0"))</f>
        <v>47.08436927157954</v>
      </c>
      <c r="T233" s="1110">
        <f t="shared" si="34"/>
        <v>753.34990834527264</v>
      </c>
      <c r="U233" s="770">
        <f t="shared" si="34"/>
        <v>376.67495417263632</v>
      </c>
      <c r="V233" s="770">
        <f t="shared" si="34"/>
        <v>282.50621562947725</v>
      </c>
      <c r="W233" s="770">
        <f t="shared" si="34"/>
        <v>188.33747708631816</v>
      </c>
      <c r="X233" s="1066">
        <f t="shared" si="34"/>
        <v>141.25310781473863</v>
      </c>
      <c r="Y233" s="290"/>
      <c r="Z233"/>
      <c r="AA233"/>
      <c r="AB233"/>
      <c r="AC233"/>
    </row>
    <row r="234" spans="1:29" s="8" customFormat="1" ht="15" outlineLevel="1" thickBot="1" x14ac:dyDescent="0.45">
      <c r="A234"/>
      <c r="B234" s="1999"/>
      <c r="C234" s="704"/>
      <c r="D234" s="748" t="s">
        <v>1056</v>
      </c>
      <c r="E234" s="709">
        <f>SUM(E235:E236)</f>
        <v>1.0999999999999999E-2</v>
      </c>
      <c r="F234" s="709"/>
      <c r="G234" s="709"/>
      <c r="H234" s="709"/>
      <c r="I234" s="919"/>
      <c r="J234" s="918"/>
      <c r="K234" s="918"/>
      <c r="L234" s="918"/>
      <c r="M234" s="918"/>
      <c r="N234" s="918"/>
      <c r="O234" s="918"/>
      <c r="P234" s="704"/>
      <c r="Q234" s="704"/>
      <c r="R234" s="3573" t="s">
        <v>2667</v>
      </c>
      <c r="S234" s="694">
        <f t="shared" ref="S234:X234" si="35">S230*$G$255</f>
        <v>86.002604588811437</v>
      </c>
      <c r="T234" s="2994">
        <f t="shared" si="35"/>
        <v>1376.041673420983</v>
      </c>
      <c r="U234" s="694">
        <f t="shared" si="35"/>
        <v>688.02083671049149</v>
      </c>
      <c r="V234" s="694">
        <f t="shared" si="35"/>
        <v>516.01562753286862</v>
      </c>
      <c r="W234" s="694">
        <f t="shared" si="35"/>
        <v>344.01041835524575</v>
      </c>
      <c r="X234" s="2974">
        <f t="shared" si="35"/>
        <v>258.00781376643431</v>
      </c>
      <c r="Y234" s="915"/>
      <c r="Z234"/>
      <c r="AA234"/>
      <c r="AB234"/>
      <c r="AC234"/>
    </row>
    <row r="235" spans="1:29" s="8" customFormat="1" outlineLevel="1" x14ac:dyDescent="0.4">
      <c r="A235"/>
      <c r="B235" s="2000"/>
      <c r="C235" s="5"/>
      <c r="D235" s="7" t="s">
        <v>1057</v>
      </c>
      <c r="E235" s="763">
        <f>Weld_Failure_Rate</f>
        <v>1E-3</v>
      </c>
      <c r="F235" s="922"/>
      <c r="G235" s="922"/>
      <c r="H235" s="924"/>
      <c r="I235" s="290"/>
      <c r="J235" s="922"/>
      <c r="K235" s="922"/>
      <c r="L235" s="925"/>
      <c r="M235" s="922"/>
      <c r="N235" s="922"/>
      <c r="O235" s="922"/>
      <c r="P235" s="706"/>
      <c r="Q235" s="7"/>
      <c r="Y235" s="915"/>
      <c r="Z235"/>
      <c r="AA235"/>
      <c r="AB235"/>
      <c r="AC235"/>
    </row>
    <row r="236" spans="1:29" s="8" customFormat="1" outlineLevel="1" x14ac:dyDescent="0.4">
      <c r="A236"/>
      <c r="B236" s="2000"/>
      <c r="C236" s="5"/>
      <c r="D236" s="7" t="s">
        <v>1058</v>
      </c>
      <c r="E236" s="763">
        <f>SJS_welder_failure</f>
        <v>0.01</v>
      </c>
      <c r="F236" s="922"/>
      <c r="G236" s="922"/>
      <c r="H236" s="924"/>
      <c r="I236" s="290"/>
      <c r="J236" s="922"/>
      <c r="K236" s="922"/>
      <c r="L236" s="925"/>
      <c r="M236" s="922"/>
      <c r="N236" s="922"/>
      <c r="O236" s="922"/>
      <c r="P236" s="706"/>
      <c r="Q236" s="7"/>
      <c r="Y236" s="915"/>
      <c r="Z236"/>
      <c r="AA236"/>
      <c r="AB236"/>
      <c r="AC236"/>
    </row>
    <row r="237" spans="1:29" s="8" customFormat="1" outlineLevel="1" x14ac:dyDescent="0.4">
      <c r="A237"/>
      <c r="B237" s="2000"/>
      <c r="C237" s="5"/>
      <c r="D237" s="926" t="s">
        <v>1059</v>
      </c>
      <c r="E237" s="709">
        <f>E234*(1-(1-E234)^(Divertor_port_pipes_per_blanket))</f>
        <v>3.5902164100000021E-4</v>
      </c>
      <c r="F237" s="927"/>
      <c r="G237" s="927"/>
      <c r="H237" s="927"/>
      <c r="I237" s="919"/>
      <c r="J237" s="927"/>
      <c r="K237" s="927"/>
      <c r="L237" s="927"/>
      <c r="M237" s="927"/>
      <c r="N237" s="927"/>
      <c r="O237" s="927"/>
      <c r="P237" s="706"/>
      <c r="Q237" s="7"/>
      <c r="Z237"/>
      <c r="AA237"/>
      <c r="AB237"/>
      <c r="AC237"/>
    </row>
    <row r="238" spans="1:29" s="8" customFormat="1" ht="15" outlineLevel="1" thickBot="1" x14ac:dyDescent="0.45">
      <c r="A238"/>
      <c r="B238" s="2000"/>
      <c r="C238" s="5"/>
      <c r="D238" s="926"/>
      <c r="E238" s="928"/>
      <c r="F238" s="927"/>
      <c r="G238" s="927"/>
      <c r="H238" s="927"/>
      <c r="I238" s="919"/>
      <c r="J238" s="927"/>
      <c r="K238" s="927"/>
      <c r="L238" s="927"/>
      <c r="M238" s="927"/>
      <c r="N238" s="927"/>
      <c r="O238" s="927"/>
      <c r="P238" s="706"/>
      <c r="Q238" s="7"/>
      <c r="R238" s="3369"/>
      <c r="S238" s="290"/>
      <c r="T238" s="7"/>
      <c r="U238" s="7"/>
      <c r="V238" s="290"/>
      <c r="W238" s="290"/>
      <c r="X238" s="290"/>
      <c r="Y238" s="290"/>
      <c r="Z238"/>
      <c r="AA238"/>
      <c r="AB238"/>
      <c r="AC238"/>
    </row>
    <row r="239" spans="1:29" s="8" customFormat="1" ht="15.75" hidden="1" customHeight="1" outlineLevel="2" thickBot="1" x14ac:dyDescent="0.45">
      <c r="A239"/>
      <c r="B239" s="2000"/>
      <c r="C239" s="5"/>
      <c r="D239" s="926"/>
      <c r="E239" s="928"/>
      <c r="F239" s="927"/>
      <c r="G239" s="927"/>
      <c r="H239" s="927"/>
      <c r="I239" s="919"/>
      <c r="J239" s="927"/>
      <c r="K239" s="927"/>
      <c r="L239" s="927"/>
      <c r="M239" s="927"/>
      <c r="N239" s="927"/>
      <c r="O239" s="927"/>
      <c r="P239" s="706"/>
      <c r="Q239" s="7"/>
      <c r="R239" s="3369"/>
      <c r="S239" s="290"/>
      <c r="T239" s="7"/>
      <c r="U239" s="7"/>
      <c r="V239" s="290"/>
      <c r="W239" s="290"/>
      <c r="X239" s="290"/>
      <c r="Y239" s="290"/>
      <c r="Z239"/>
      <c r="AA239"/>
      <c r="AB239"/>
      <c r="AC239"/>
    </row>
    <row r="240" spans="1:29" s="8" customFormat="1" ht="15.75" hidden="1" customHeight="1" outlineLevel="2" thickBot="1" x14ac:dyDescent="0.45">
      <c r="A240"/>
      <c r="B240" s="2000"/>
      <c r="C240" s="5"/>
      <c r="D240" s="926"/>
      <c r="E240" s="701"/>
      <c r="F240" s="7"/>
      <c r="G240" s="929"/>
      <c r="H240" s="930" t="s">
        <v>18</v>
      </c>
      <c r="I240" s="931"/>
      <c r="J240" s="932" t="s">
        <v>778</v>
      </c>
      <c r="K240" s="933"/>
      <c r="L240" s="933"/>
      <c r="M240" s="933"/>
      <c r="N240" s="933"/>
      <c r="O240" s="934"/>
      <c r="P240" s="933" t="s">
        <v>3</v>
      </c>
      <c r="Q240" s="934"/>
      <c r="R240" s="3386" t="s">
        <v>779</v>
      </c>
      <c r="S240" s="3018"/>
      <c r="T240" s="3019"/>
      <c r="V240" s="938"/>
      <c r="W240" s="938"/>
      <c r="X240" s="7"/>
      <c r="Y240" s="290"/>
      <c r="Z240"/>
      <c r="AA240"/>
      <c r="AB240"/>
      <c r="AC240"/>
    </row>
    <row r="241" spans="1:29" s="8" customFormat="1" ht="30.75" hidden="1" customHeight="1" outlineLevel="2" thickBot="1" x14ac:dyDescent="0.45">
      <c r="A241"/>
      <c r="B241" s="2000"/>
      <c r="C241" s="939" t="s">
        <v>780</v>
      </c>
      <c r="D241" s="940" t="s">
        <v>1060</v>
      </c>
      <c r="E241" s="941" t="s">
        <v>782</v>
      </c>
      <c r="F241" s="942" t="s">
        <v>783</v>
      </c>
      <c r="G241" s="943" t="s">
        <v>784</v>
      </c>
      <c r="H241" s="562" t="s">
        <v>785</v>
      </c>
      <c r="I241" s="944" t="s">
        <v>783</v>
      </c>
      <c r="J241" s="562" t="s">
        <v>786</v>
      </c>
      <c r="K241" s="563" t="s">
        <v>787</v>
      </c>
      <c r="L241" s="563" t="s">
        <v>788</v>
      </c>
      <c r="M241" s="563" t="s">
        <v>789</v>
      </c>
      <c r="N241" s="563" t="s">
        <v>790</v>
      </c>
      <c r="O241" s="945" t="s">
        <v>783</v>
      </c>
      <c r="P241" s="560" t="s">
        <v>785</v>
      </c>
      <c r="Q241" s="946" t="s">
        <v>783</v>
      </c>
      <c r="R241" s="3387" t="s">
        <v>781</v>
      </c>
      <c r="S241" s="794" t="s">
        <v>791</v>
      </c>
      <c r="T241" s="789" t="s">
        <v>792</v>
      </c>
      <c r="V241" s="947"/>
      <c r="W241" s="947"/>
      <c r="X241" s="7"/>
      <c r="Y241" s="290"/>
      <c r="Z241"/>
      <c r="AA241"/>
      <c r="AB241"/>
      <c r="AC241"/>
    </row>
    <row r="242" spans="1:29" s="8" customFormat="1" ht="15" hidden="1" customHeight="1" outlineLevel="2" x14ac:dyDescent="0.4">
      <c r="A242"/>
      <c r="B242" s="2000"/>
      <c r="C242" s="3886" t="s">
        <v>1062</v>
      </c>
      <c r="D242" s="797" t="s">
        <v>2292</v>
      </c>
      <c r="E242" s="799" t="s">
        <v>251</v>
      </c>
      <c r="F242" s="456">
        <f t="shared" ref="F242:F254" si="36">MAX($Q242,$O242,$I242)</f>
        <v>0</v>
      </c>
      <c r="G242" s="800">
        <f>F242</f>
        <v>0</v>
      </c>
      <c r="H242" s="797" t="s">
        <v>557</v>
      </c>
      <c r="I242" s="621">
        <v>0</v>
      </c>
      <c r="J242" s="568"/>
      <c r="K242" s="566"/>
      <c r="L242" s="801"/>
      <c r="M242" s="802" t="str">
        <f>IFERROR(INDEX('Lower Hot Cell Logistics'!$I$28:$O$34,MATCH($K242,'Lower Hot Cell Logistics'!$H$28:$H$34,0),MATCH($L242,'Lower Hot Cell Logistics'!$H$28:$H$34,0)),"N/A")</f>
        <v>N/A</v>
      </c>
      <c r="N242" s="570" t="str">
        <f>IFERROR(VLOOKUP($J242,'Lower Hot Cell Logistics'!$H$4:$I$8,2,FALSE),"N/A")</f>
        <v>N/A</v>
      </c>
      <c r="O242" s="800" t="str">
        <f t="shared" ref="O242:O254" si="37">IF(E242="Movement",IFERROR((M242/N242)/(60*60),"Error"),"N/A")</f>
        <v>N/A</v>
      </c>
      <c r="P242" s="803"/>
      <c r="Q242" s="802" t="str">
        <f>IF($E242="Logistics",VLOOKUP($P242,'Lower Hot Cell Logistics'!$C$4:$D$57,2,FALSE),"N/A")</f>
        <v>N/A</v>
      </c>
      <c r="R242" s="3398"/>
      <c r="S242" s="804" t="str">
        <f>IFERROR(VLOOKUP($R242,'Lower HotCell RecoveryLogistics'!$C$359:$F$392,4,FALSE),"N/A")</f>
        <v>N/A</v>
      </c>
      <c r="T242" s="621" t="str">
        <f>IFERROR(G242-F242-S242,"N/A")</f>
        <v>N/A</v>
      </c>
      <c r="V242" s="947"/>
      <c r="W242" s="947"/>
      <c r="X242" s="7"/>
      <c r="Y242" s="290"/>
      <c r="Z242"/>
      <c r="AA242"/>
      <c r="AB242"/>
      <c r="AC242"/>
    </row>
    <row r="243" spans="1:29" s="8" customFormat="1" ht="15.75" hidden="1" customHeight="1" outlineLevel="2" thickBot="1" x14ac:dyDescent="0.45">
      <c r="A243"/>
      <c r="B243" s="2000"/>
      <c r="C243" s="3887"/>
      <c r="D243" s="807" t="s">
        <v>1885</v>
      </c>
      <c r="E243" s="809" t="s">
        <v>251</v>
      </c>
      <c r="F243" s="471">
        <f t="shared" si="36"/>
        <v>12.602967059728389</v>
      </c>
      <c r="G243" s="810">
        <f t="shared" ref="G243:G254" si="38">IF(T243&lt;0,F243+G242+(-T243),F243+G242)</f>
        <v>12.602967059728389</v>
      </c>
      <c r="H243" s="584" t="s">
        <v>441</v>
      </c>
      <c r="I243" s="811">
        <v>12.602967059728389</v>
      </c>
      <c r="J243" s="586"/>
      <c r="K243" s="584"/>
      <c r="L243" s="812"/>
      <c r="M243" s="813" t="str">
        <f>IFERROR(INDEX(#REF!,MATCH($K243,#REF!,0),MATCH($L243,#REF!,0)),"N/A")</f>
        <v>N/A</v>
      </c>
      <c r="N243" s="814" t="str">
        <f>IFERROR(VLOOKUP($J243,#REF!,2,FALSE),"N/A")</f>
        <v>N/A</v>
      </c>
      <c r="O243" s="810" t="str">
        <f t="shared" si="37"/>
        <v>N/A</v>
      </c>
      <c r="P243" s="815"/>
      <c r="Q243" s="813" t="str">
        <f>IF($E243="Logistics",VLOOKUP($P243,'Lower Hot Cell Logistics'!$C$4:$D$57,2,FALSE),"N/A")</f>
        <v>N/A</v>
      </c>
      <c r="R243" s="3400"/>
      <c r="S243" s="816" t="str">
        <f>IFERROR(VLOOKUP($R243,'Lower HotCell RecoveryLogistics'!$C$359:$F$392,4,FALSE),"N/A")</f>
        <v>N/A</v>
      </c>
      <c r="T243" s="591" t="str">
        <f>IFERROR(G242-S243,"N/A")</f>
        <v>N/A</v>
      </c>
      <c r="V243" s="290"/>
      <c r="W243" s="290"/>
      <c r="X243" s="290"/>
      <c r="Y243" s="290"/>
      <c r="Z243"/>
      <c r="AA243"/>
      <c r="AB243"/>
      <c r="AC243"/>
    </row>
    <row r="244" spans="1:29" s="8" customFormat="1" ht="15" hidden="1" customHeight="1" outlineLevel="2" thickBot="1" x14ac:dyDescent="0.45">
      <c r="A244"/>
      <c r="B244" s="2000"/>
      <c r="C244" s="2303" t="s">
        <v>1864</v>
      </c>
      <c r="D244" s="2304" t="s">
        <v>2293</v>
      </c>
      <c r="E244" s="2305" t="s">
        <v>3</v>
      </c>
      <c r="F244" s="2306">
        <f t="shared" si="36"/>
        <v>0.6</v>
      </c>
      <c r="G244" s="2307">
        <f t="shared" si="38"/>
        <v>13.202967059728389</v>
      </c>
      <c r="H244" s="2308"/>
      <c r="I244" s="2309" t="s">
        <v>263</v>
      </c>
      <c r="J244" s="2310"/>
      <c r="K244" s="2311"/>
      <c r="L244" s="2312"/>
      <c r="M244" s="2313" t="str">
        <f>IFERROR(INDEX(#REF!,MATCH($K244,#REF!,0),MATCH($L244,#REF!,0)),"N/A")</f>
        <v>N/A</v>
      </c>
      <c r="N244" s="2314" t="str">
        <f>IFERROR(VLOOKUP($J244,#REF!,2,FALSE),"N/A")</f>
        <v>N/A</v>
      </c>
      <c r="O244" s="2307" t="str">
        <f t="shared" si="37"/>
        <v>N/A</v>
      </c>
      <c r="P244" s="2308" t="s">
        <v>2008</v>
      </c>
      <c r="Q244" s="2313">
        <f>IF($E244="Logistics",VLOOKUP($P244,'Lower Hot Cell Logistics'!$C$4:$D$57,2,FALSE),"N/A")</f>
        <v>0.6</v>
      </c>
      <c r="R244" s="3576"/>
      <c r="S244" s="2315" t="str">
        <f>IFERROR(VLOOKUP($R244,'Lower HotCell RecoveryLogistics'!$C$359:$F$392,4,FALSE),"N/A")</f>
        <v>N/A</v>
      </c>
      <c r="T244" s="2309" t="str">
        <f>IFERROR(G243-S244,"N/A")</f>
        <v>N/A</v>
      </c>
      <c r="V244" s="290"/>
      <c r="W244" s="290"/>
      <c r="X244" s="290"/>
      <c r="Y244" s="7"/>
      <c r="Z244"/>
      <c r="AA244"/>
      <c r="AB244"/>
      <c r="AC244"/>
    </row>
    <row r="245" spans="1:29" s="8" customFormat="1" hidden="1" outlineLevel="2" x14ac:dyDescent="0.4">
      <c r="A245"/>
      <c r="B245" s="2000"/>
      <c r="C245" s="3786" t="s">
        <v>2294</v>
      </c>
      <c r="D245" s="1638" t="s">
        <v>1639</v>
      </c>
      <c r="E245" s="1639" t="s">
        <v>3</v>
      </c>
      <c r="F245" s="1640">
        <f t="shared" si="36"/>
        <v>0.53</v>
      </c>
      <c r="G245" s="1640">
        <f t="shared" si="38"/>
        <v>13.732967059728388</v>
      </c>
      <c r="H245" s="1638"/>
      <c r="I245" s="1641" t="s">
        <v>263</v>
      </c>
      <c r="J245" s="1638"/>
      <c r="K245" s="1642"/>
      <c r="L245" s="1642"/>
      <c r="M245" s="1643" t="str">
        <f>IFERROR(INDEX('Lower Hot Cell Logistics'!$I$13:$O$19,MATCH($I245,'Lower Hot Cell Logistics'!$H$13:$H$19,0),MATCH($J245,'Lower Hot Cell Logistics'!$H$13:$H$19,0)),"N/A")</f>
        <v>N/A</v>
      </c>
      <c r="N245" s="1643" t="str">
        <f>IFERROR(VLOOKUP($H245,'Lower Hot Cell Logistics'!$H$4:$I$9,2,FALSE),"N/A")</f>
        <v>N/A</v>
      </c>
      <c r="O245" s="1641" t="str">
        <f t="shared" si="37"/>
        <v>N/A</v>
      </c>
      <c r="P245" s="1644" t="s">
        <v>1558</v>
      </c>
      <c r="Q245" s="1641">
        <f>IF($E245="Logistics",VLOOKUP($P245,'Lower Hot Cell Logistics'!$C$4:$D$57,2,FALSE),"N/A")</f>
        <v>0.53</v>
      </c>
      <c r="R245" s="3388"/>
      <c r="S245" s="1641" t="str">
        <f>IFERROR(VLOOKUP($R245,'Lower HotCell RecoveryLogistics'!$C$359:$F$392,4,FALSE),"N/A")</f>
        <v>N/A</v>
      </c>
      <c r="T245" s="1476" t="str">
        <f>IFERROR(#REF!-F245-S245,"N/A")</f>
        <v>N/A</v>
      </c>
      <c r="V245" s="290"/>
      <c r="W245" s="290"/>
      <c r="X245" s="290"/>
      <c r="Y245" s="7"/>
      <c r="Z245"/>
      <c r="AA245"/>
      <c r="AB245"/>
      <c r="AC245"/>
    </row>
    <row r="246" spans="1:29" s="8" customFormat="1" ht="15.75" hidden="1" customHeight="1" outlineLevel="2" x14ac:dyDescent="0.4">
      <c r="A246"/>
      <c r="B246" s="2000"/>
      <c r="C246" s="3786"/>
      <c r="D246" s="1579" t="s">
        <v>2295</v>
      </c>
      <c r="E246" s="1611" t="s">
        <v>251</v>
      </c>
      <c r="F246" s="626">
        <f t="shared" si="36"/>
        <v>12.602967059728389</v>
      </c>
      <c r="G246" s="626">
        <f t="shared" si="38"/>
        <v>26.335934119456777</v>
      </c>
      <c r="H246" s="1579" t="s">
        <v>441</v>
      </c>
      <c r="I246" s="1183">
        <v>12.602967059728389</v>
      </c>
      <c r="J246" s="1579"/>
      <c r="K246" s="582"/>
      <c r="L246" s="582"/>
      <c r="M246" s="1478" t="str">
        <f>IFERROR(INDEX('Lower Hot Cell Logistics'!$I$13:$O$19,MATCH($I246,'Lower Hot Cell Logistics'!$H$13:$H$19,0),MATCH($J246,'Lower Hot Cell Logistics'!$H$13:$H$19,0)),"N/A")</f>
        <v>N/A</v>
      </c>
      <c r="N246" s="1478" t="str">
        <f>IFERROR(VLOOKUP($H246,'Lower Hot Cell Logistics'!$H$4:$I$9,2,FALSE),"N/A")</f>
        <v>N/A</v>
      </c>
      <c r="O246" s="1183" t="str">
        <f t="shared" si="37"/>
        <v>N/A</v>
      </c>
      <c r="P246" s="1578" t="s">
        <v>1828</v>
      </c>
      <c r="Q246" s="1183" t="str">
        <f>IF($E246="Logistics",VLOOKUP($P246,'Lower Hot Cell Logistics'!$C$4:$D$57,2,FALSE),"N/A")</f>
        <v>N/A</v>
      </c>
      <c r="R246" s="3377"/>
      <c r="S246" s="1183" t="str">
        <f>IFERROR(VLOOKUP($R246,'Lower HotCell RecoveryLogistics'!$C$359:$F$392,4,FALSE),"N/A")</f>
        <v>N/A</v>
      </c>
      <c r="T246" s="632" t="str">
        <f t="shared" ref="T246:T254" si="39">IFERROR(G245-F246-S246,"N/A")</f>
        <v>N/A</v>
      </c>
      <c r="V246" s="290"/>
      <c r="W246" s="290"/>
      <c r="X246" s="290"/>
      <c r="Y246" s="7"/>
      <c r="Z246"/>
      <c r="AA246"/>
      <c r="AB246"/>
      <c r="AC246"/>
    </row>
    <row r="247" spans="1:29" s="8" customFormat="1" ht="15.75" hidden="1" customHeight="1" outlineLevel="2" x14ac:dyDescent="0.4">
      <c r="A247"/>
      <c r="B247" s="2000"/>
      <c r="C247" s="3786"/>
      <c r="D247" s="1579" t="s">
        <v>2296</v>
      </c>
      <c r="E247" s="1611" t="s">
        <v>3</v>
      </c>
      <c r="F247" s="626">
        <f t="shared" si="36"/>
        <v>0.6</v>
      </c>
      <c r="G247" s="626">
        <f t="shared" si="38"/>
        <v>26.935934119456778</v>
      </c>
      <c r="H247" s="1579"/>
      <c r="I247" s="1183" t="s">
        <v>263</v>
      </c>
      <c r="J247" s="1579"/>
      <c r="K247" s="582"/>
      <c r="L247" s="582"/>
      <c r="M247" s="1478" t="str">
        <f>IFERROR(INDEX('Lower Hot Cell Logistics'!$I$13:$O$19,MATCH($I247,'Lower Hot Cell Logistics'!$H$13:$H$19,0),MATCH($J247,'Lower Hot Cell Logistics'!$H$13:$H$19,0)),"N/A")</f>
        <v>N/A</v>
      </c>
      <c r="N247" s="1478" t="str">
        <f>IFERROR(VLOOKUP($H247,'Lower Hot Cell Logistics'!$H$4:$I$9,2,FALSE),"N/A")</f>
        <v>N/A</v>
      </c>
      <c r="O247" s="1183" t="str">
        <f t="shared" si="37"/>
        <v>N/A</v>
      </c>
      <c r="P247" s="1578" t="s">
        <v>2008</v>
      </c>
      <c r="Q247" s="1183">
        <f>IF($E247="Logistics",VLOOKUP($P247,'Lower Hot Cell Logistics'!$C$4:$D$57,2,FALSE),"N/A")</f>
        <v>0.6</v>
      </c>
      <c r="R247" s="3377" t="s">
        <v>2297</v>
      </c>
      <c r="S247" s="1183">
        <f>IFERROR(VLOOKUP($R247,'Lower HotCell RecoveryLogistics'!$C$359:$F$392,4,FALSE),"N/A")</f>
        <v>1.8059259259259259</v>
      </c>
      <c r="T247" s="632">
        <f t="shared" si="39"/>
        <v>23.930008193530849</v>
      </c>
      <c r="V247" s="290"/>
      <c r="W247" s="290"/>
      <c r="X247" s="290"/>
      <c r="Y247" s="7"/>
      <c r="Z247"/>
      <c r="AA247"/>
      <c r="AB247"/>
      <c r="AC247"/>
    </row>
    <row r="248" spans="1:29" s="8" customFormat="1" ht="15.75" hidden="1" customHeight="1" outlineLevel="2" thickBot="1" x14ac:dyDescent="0.45">
      <c r="A248"/>
      <c r="B248" s="2000"/>
      <c r="C248" s="3788"/>
      <c r="D248" s="1136" t="s">
        <v>2089</v>
      </c>
      <c r="E248" s="1581" t="s">
        <v>3</v>
      </c>
      <c r="F248" s="585">
        <f t="shared" si="36"/>
        <v>0.6</v>
      </c>
      <c r="G248" s="585">
        <f t="shared" si="38"/>
        <v>27.53593411945678</v>
      </c>
      <c r="H248" s="1136"/>
      <c r="I248" s="1179" t="s">
        <v>263</v>
      </c>
      <c r="J248" s="1136"/>
      <c r="K248" s="584"/>
      <c r="L248" s="584"/>
      <c r="M248" s="814" t="str">
        <f>IFERROR(INDEX('Lower Hot Cell Logistics'!$I$13:$O$19,MATCH($I248,'Lower Hot Cell Logistics'!$H$13:$H$19,0),MATCH($J248,'Lower Hot Cell Logistics'!$H$13:$H$19,0)),"N/A")</f>
        <v>N/A</v>
      </c>
      <c r="N248" s="814" t="str">
        <f>IFERROR(VLOOKUP($H248,'Lower Hot Cell Logistics'!$H$4:$I$9,2,FALSE),"N/A")</f>
        <v>N/A</v>
      </c>
      <c r="O248" s="1179" t="str">
        <f t="shared" si="37"/>
        <v>N/A</v>
      </c>
      <c r="P248" s="1582" t="s">
        <v>2008</v>
      </c>
      <c r="Q248" s="1179">
        <f>IF($E248="Logistics",VLOOKUP($P248,'Lower Hot Cell Logistics'!$C$4:$D$57,2,FALSE),"N/A")</f>
        <v>0.6</v>
      </c>
      <c r="R248" s="3378"/>
      <c r="S248" s="1179" t="str">
        <f>IFERROR(VLOOKUP($R248,'Lower HotCell RecoveryLogistics'!$C$359:$F$392,4,FALSE),"N/A")</f>
        <v>N/A</v>
      </c>
      <c r="T248" s="591" t="str">
        <f t="shared" si="39"/>
        <v>N/A</v>
      </c>
      <c r="V248" s="290"/>
      <c r="W248" s="290"/>
      <c r="X248" s="290"/>
      <c r="Y248" s="7"/>
      <c r="Z248"/>
      <c r="AA248"/>
      <c r="AB248"/>
      <c r="AC248"/>
    </row>
    <row r="249" spans="1:29" s="8" customFormat="1" ht="15" hidden="1" customHeight="1" outlineLevel="2" x14ac:dyDescent="0.4">
      <c r="A249"/>
      <c r="B249" s="2000"/>
      <c r="C249" s="3888" t="s">
        <v>2298</v>
      </c>
      <c r="D249" s="819" t="s">
        <v>1247</v>
      </c>
      <c r="E249" s="820" t="s">
        <v>3</v>
      </c>
      <c r="F249" s="511">
        <f t="shared" si="36"/>
        <v>0.8</v>
      </c>
      <c r="G249" s="822">
        <f t="shared" si="38"/>
        <v>28.33593411945678</v>
      </c>
      <c r="H249" s="823"/>
      <c r="I249" s="824" t="s">
        <v>263</v>
      </c>
      <c r="J249" s="825"/>
      <c r="K249" s="823"/>
      <c r="L249" s="826"/>
      <c r="M249" s="827" t="str">
        <f>IFERROR(INDEX(#REF!,MATCH($K249,#REF!,0),MATCH($L249,#REF!,0)),"N/A")</f>
        <v>N/A</v>
      </c>
      <c r="N249" s="828" t="str">
        <f>IFERROR(VLOOKUP($J249,#REF!,2,FALSE),"N/A")</f>
        <v>N/A</v>
      </c>
      <c r="O249" s="822" t="str">
        <f t="shared" si="37"/>
        <v>N/A</v>
      </c>
      <c r="P249" s="829" t="s">
        <v>1828</v>
      </c>
      <c r="Q249" s="827">
        <f>IF($E249="Logistics",VLOOKUP($P249,'Lower Hot Cell Logistics'!$C$4:$D$57,2,FALSE),"N/A")</f>
        <v>0.8</v>
      </c>
      <c r="R249" s="3396"/>
      <c r="S249" s="830" t="str">
        <f>IFERROR(VLOOKUP($R249,'Lower HotCell RecoveryLogistics'!$C$359:$F$392,4,FALSE),"N/A")</f>
        <v>N/A</v>
      </c>
      <c r="T249" s="824" t="str">
        <f t="shared" si="39"/>
        <v>N/A</v>
      </c>
      <c r="V249" s="290"/>
      <c r="W249" s="290"/>
      <c r="X249" s="290"/>
      <c r="Y249" s="7"/>
      <c r="Z249"/>
      <c r="AA249"/>
      <c r="AB249"/>
      <c r="AC249"/>
    </row>
    <row r="250" spans="1:29" s="8" customFormat="1" ht="15" hidden="1" customHeight="1" outlineLevel="2" x14ac:dyDescent="0.4">
      <c r="A250"/>
      <c r="B250" s="2000"/>
      <c r="C250" s="3773"/>
      <c r="D250" s="2316" t="s">
        <v>2299</v>
      </c>
      <c r="E250" s="858" t="s">
        <v>3</v>
      </c>
      <c r="F250" s="474">
        <f t="shared" si="36"/>
        <v>0.8</v>
      </c>
      <c r="G250" s="859">
        <f t="shared" si="38"/>
        <v>31.577415600938256</v>
      </c>
      <c r="H250" s="2068"/>
      <c r="I250" s="861" t="s">
        <v>263</v>
      </c>
      <c r="J250" s="1364"/>
      <c r="K250" s="2068"/>
      <c r="L250" s="2317"/>
      <c r="M250" s="2318" t="str">
        <f>IFERROR(INDEX(#REF!,MATCH($K250,#REF!,0),MATCH($L250,#REF!,0)),"N/A")</f>
        <v>N/A</v>
      </c>
      <c r="N250" s="2232" t="str">
        <f>IFERROR(VLOOKUP($J250,#REF!,2,FALSE),"N/A")</f>
        <v>N/A</v>
      </c>
      <c r="O250" s="859" t="str">
        <f t="shared" si="37"/>
        <v>N/A</v>
      </c>
      <c r="P250" s="866" t="s">
        <v>1828</v>
      </c>
      <c r="Q250" s="2318">
        <f>IF($E250="Logistics",VLOOKUP($P250,'Lower Hot Cell Logistics'!$C$4:$D$57,2,FALSE),"N/A")</f>
        <v>0.8</v>
      </c>
      <c r="R250" s="3577" t="s">
        <v>2286</v>
      </c>
      <c r="S250" s="867">
        <f>IFERROR(VLOOKUP($R250,'Lower HotCell RecoveryLogistics'!$C$359:$F$392,4,FALSE),"N/A")</f>
        <v>29.977415600938254</v>
      </c>
      <c r="T250" s="861">
        <f t="shared" si="39"/>
        <v>-2.4414814814814747</v>
      </c>
      <c r="V250" s="290"/>
      <c r="W250" s="290"/>
      <c r="X250" s="290"/>
      <c r="Y250" s="7"/>
      <c r="Z250"/>
      <c r="AA250"/>
      <c r="AB250"/>
      <c r="AC250"/>
    </row>
    <row r="251" spans="1:29" s="8" customFormat="1" ht="15" hidden="1" customHeight="1" outlineLevel="2" x14ac:dyDescent="0.4">
      <c r="A251"/>
      <c r="B251" s="2000"/>
      <c r="C251" s="3773"/>
      <c r="D251" s="2316" t="s">
        <v>2210</v>
      </c>
      <c r="E251" s="858" t="s">
        <v>251</v>
      </c>
      <c r="F251" s="474">
        <f t="shared" si="36"/>
        <v>17.622664625997164</v>
      </c>
      <c r="G251" s="859">
        <f t="shared" si="38"/>
        <v>126.34261046864347</v>
      </c>
      <c r="H251" s="2068" t="s">
        <v>556</v>
      </c>
      <c r="I251" s="861">
        <v>17.622664625997164</v>
      </c>
      <c r="J251" s="1364"/>
      <c r="K251" s="2068"/>
      <c r="L251" s="2317"/>
      <c r="M251" s="2318" t="str">
        <f>IFERROR(INDEX(#REF!,MATCH($K251,#REF!,0),MATCH($L251,#REF!,0)),"N/A")</f>
        <v>N/A</v>
      </c>
      <c r="N251" s="2232" t="str">
        <f>IFERROR(VLOOKUP($J251,#REF!,2,FALSE),"N/A")</f>
        <v>N/A</v>
      </c>
      <c r="O251" s="859" t="str">
        <f t="shared" si="37"/>
        <v>N/A</v>
      </c>
      <c r="P251" s="866"/>
      <c r="Q251" s="2318" t="str">
        <f>IF($E251="Logistics",VLOOKUP($P251,'Lower Hot Cell Logistics'!$C$4:$D$57,2,FALSE),"N/A")</f>
        <v>N/A</v>
      </c>
      <c r="R251" s="3577" t="s">
        <v>1881</v>
      </c>
      <c r="S251" s="867">
        <f>IFERROR(VLOOKUP($R251,'Lower HotCell RecoveryLogistics'!$C$359:$F$392,4,FALSE),"N/A")</f>
        <v>91.097281216649151</v>
      </c>
      <c r="T251" s="861">
        <f t="shared" si="39"/>
        <v>-77.142530241708059</v>
      </c>
      <c r="V251" s="290"/>
      <c r="W251" s="290"/>
      <c r="X251" s="290"/>
      <c r="Y251" s="7"/>
      <c r="Z251"/>
      <c r="AA251"/>
      <c r="AB251"/>
      <c r="AC251"/>
    </row>
    <row r="252" spans="1:29" s="8" customFormat="1" ht="15" hidden="1" customHeight="1" outlineLevel="2" x14ac:dyDescent="0.4">
      <c r="A252"/>
      <c r="B252" s="2000"/>
      <c r="C252" s="3773"/>
      <c r="D252" s="2316" t="s">
        <v>2300</v>
      </c>
      <c r="E252" s="858" t="s">
        <v>3</v>
      </c>
      <c r="F252" s="474">
        <f t="shared" si="36"/>
        <v>0.8</v>
      </c>
      <c r="G252" s="859">
        <f t="shared" si="38"/>
        <v>127.14261046864347</v>
      </c>
      <c r="H252" s="2068"/>
      <c r="I252" s="861" t="s">
        <v>263</v>
      </c>
      <c r="J252" s="1364"/>
      <c r="K252" s="2068"/>
      <c r="L252" s="2317"/>
      <c r="M252" s="2318" t="str">
        <f>IFERROR(INDEX(#REF!,MATCH($K252,#REF!,0),MATCH($L252,#REF!,0)),"N/A")</f>
        <v>N/A</v>
      </c>
      <c r="N252" s="2232" t="str">
        <f>IFERROR(VLOOKUP($J252,#REF!,2,FALSE),"N/A")</f>
        <v>N/A</v>
      </c>
      <c r="O252" s="859" t="str">
        <f t="shared" si="37"/>
        <v>N/A</v>
      </c>
      <c r="P252" s="866" t="s">
        <v>1828</v>
      </c>
      <c r="Q252" s="2318">
        <f>IF($E252="Logistics",VLOOKUP($P252,'Lower Hot Cell Logistics'!$C$4:$D$57,2,FALSE),"N/A")</f>
        <v>0.8</v>
      </c>
      <c r="R252" s="3577" t="s">
        <v>2691</v>
      </c>
      <c r="S252" s="867" t="str">
        <f>IFERROR(VLOOKUP($R252,'Lower HotCell RecoveryLogistics'!$C$359:$F$392,4,FALSE),"N/A")</f>
        <v>N/A</v>
      </c>
      <c r="T252" s="861" t="str">
        <f t="shared" si="39"/>
        <v>N/A</v>
      </c>
      <c r="V252" s="290"/>
      <c r="W252" s="290"/>
      <c r="X252" s="290"/>
      <c r="Y252" s="7"/>
      <c r="Z252"/>
      <c r="AA252"/>
      <c r="AB252"/>
      <c r="AC252"/>
    </row>
    <row r="253" spans="1:29" s="8" customFormat="1" ht="15" hidden="1" customHeight="1" outlineLevel="2" x14ac:dyDescent="0.4">
      <c r="A253"/>
      <c r="B253" s="2000"/>
      <c r="C253" s="3773"/>
      <c r="D253" s="2316" t="s">
        <v>2302</v>
      </c>
      <c r="E253" s="858" t="s">
        <v>251</v>
      </c>
      <c r="F253" s="474">
        <f t="shared" si="36"/>
        <v>17.622664625997164</v>
      </c>
      <c r="G253" s="859">
        <f t="shared" si="38"/>
        <v>144.76527509464063</v>
      </c>
      <c r="H253" s="2068" t="s">
        <v>556</v>
      </c>
      <c r="I253" s="861">
        <v>17.622664625997164</v>
      </c>
      <c r="J253" s="1364"/>
      <c r="K253" s="2068"/>
      <c r="L253" s="2317"/>
      <c r="M253" s="2318" t="str">
        <f>IFERROR(INDEX(#REF!,MATCH($K253,#REF!,0),MATCH($L253,#REF!,0)),"N/A")</f>
        <v>N/A</v>
      </c>
      <c r="N253" s="2232" t="str">
        <f>IFERROR(VLOOKUP($J253,#REF!,2,FALSE),"N/A")</f>
        <v>N/A</v>
      </c>
      <c r="O253" s="859" t="str">
        <f t="shared" si="37"/>
        <v>N/A</v>
      </c>
      <c r="P253" s="866"/>
      <c r="Q253" s="2318" t="str">
        <f>IF($E253="Logistics",VLOOKUP($P253,'Lower Hot Cell Logistics'!$C$4:$D$57,2,FALSE),"N/A")</f>
        <v>N/A</v>
      </c>
      <c r="R253" s="3577" t="s">
        <v>1880</v>
      </c>
      <c r="S253" s="867">
        <f>IFERROR(VLOOKUP($R253,'Lower HotCell RecoveryLogistics'!$C$359:$F$392,4,FALSE),"N/A")</f>
        <v>56.503779497213472</v>
      </c>
      <c r="T253" s="861">
        <f t="shared" si="39"/>
        <v>53.016166345432836</v>
      </c>
      <c r="V253" s="290"/>
      <c r="W253" s="290"/>
      <c r="X253" s="290"/>
      <c r="Y253" s="7"/>
      <c r="Z253"/>
      <c r="AA253"/>
      <c r="AB253"/>
      <c r="AC253"/>
    </row>
    <row r="254" spans="1:29" s="8" customFormat="1" ht="15" hidden="1" customHeight="1" outlineLevel="2" thickBot="1" x14ac:dyDescent="0.45">
      <c r="A254"/>
      <c r="B254" s="2000"/>
      <c r="C254" s="3889"/>
      <c r="D254" s="837" t="s">
        <v>2089</v>
      </c>
      <c r="E254" s="834" t="s">
        <v>3</v>
      </c>
      <c r="F254" s="869">
        <f t="shared" si="36"/>
        <v>0.6</v>
      </c>
      <c r="G254" s="836">
        <f t="shared" si="38"/>
        <v>145.36527509464062</v>
      </c>
      <c r="H254" s="2102"/>
      <c r="I254" s="838" t="s">
        <v>263</v>
      </c>
      <c r="J254" s="2319"/>
      <c r="K254" s="2102"/>
      <c r="L254" s="2320"/>
      <c r="M254" s="2321" t="str">
        <f>IFERROR(INDEX(#REF!,MATCH($K254,#REF!,0),MATCH($L254,#REF!,0)),"N/A")</f>
        <v>N/A</v>
      </c>
      <c r="N254" s="2103" t="str">
        <f>IFERROR(VLOOKUP($J254,#REF!,2,FALSE),"N/A")</f>
        <v>N/A</v>
      </c>
      <c r="O254" s="836" t="str">
        <f t="shared" si="37"/>
        <v>N/A</v>
      </c>
      <c r="P254" s="843" t="s">
        <v>2008</v>
      </c>
      <c r="Q254" s="2321">
        <f>IF($E254="Logistics",VLOOKUP($P254,'Lower Hot Cell Logistics'!$C$4:$D$57,2,FALSE),"N/A")</f>
        <v>0.6</v>
      </c>
      <c r="R254" s="3578"/>
      <c r="S254" s="844" t="str">
        <f>IFERROR(VLOOKUP($R254,'Lower HotCell RecoveryLogistics'!$C$359:$F$392,4,FALSE),"N/A")</f>
        <v>N/A</v>
      </c>
      <c r="T254" s="838" t="str">
        <f t="shared" si="39"/>
        <v>N/A</v>
      </c>
      <c r="V254" s="290"/>
      <c r="W254" s="290"/>
      <c r="X254" s="290"/>
      <c r="Y254" s="7"/>
      <c r="Z254"/>
      <c r="AA254"/>
      <c r="AB254"/>
      <c r="AC254"/>
    </row>
    <row r="255" spans="1:29" s="8" customFormat="1" outlineLevel="1" collapsed="1" x14ac:dyDescent="0.4">
      <c r="A255"/>
      <c r="B255" s="2000"/>
      <c r="C255" s="891"/>
      <c r="D255" s="892"/>
      <c r="E255" s="893" t="s">
        <v>11</v>
      </c>
      <c r="F255" s="893"/>
      <c r="G255" s="894">
        <f>IF(U255&lt;0,F255+G254+(-U255),F255+G254)</f>
        <v>145.36527509464062</v>
      </c>
      <c r="H255" s="94"/>
      <c r="I255" s="895"/>
      <c r="J255" s="94"/>
      <c r="K255" s="94"/>
      <c r="L255" s="896"/>
      <c r="M255" s="897"/>
      <c r="N255" s="897"/>
      <c r="O255" s="894"/>
      <c r="P255" s="94"/>
      <c r="Q255" s="897"/>
      <c r="R255" s="3383"/>
      <c r="S255" s="7"/>
      <c r="T255" s="895"/>
      <c r="U255" s="895"/>
      <c r="V255" s="7"/>
      <c r="W255" s="7"/>
      <c r="X255" s="7"/>
      <c r="Y255" s="7"/>
      <c r="Z255"/>
      <c r="AA255"/>
      <c r="AB255"/>
      <c r="AC255"/>
    </row>
    <row r="256" spans="1:29" s="8" customFormat="1" outlineLevel="1" x14ac:dyDescent="0.4">
      <c r="A256"/>
      <c r="B256" s="2000"/>
      <c r="C256" s="891"/>
      <c r="D256" s="892"/>
      <c r="E256" s="898"/>
      <c r="F256" s="894"/>
      <c r="G256" s="894"/>
      <c r="H256" s="94"/>
      <c r="I256" s="895"/>
      <c r="J256" s="94"/>
      <c r="K256" s="94"/>
      <c r="L256" s="896"/>
      <c r="M256" s="897"/>
      <c r="N256" s="897"/>
      <c r="O256" s="894"/>
      <c r="P256" s="94"/>
      <c r="Q256" s="897"/>
      <c r="R256" s="3383"/>
      <c r="S256" s="7"/>
      <c r="T256" s="895"/>
      <c r="U256" s="895"/>
      <c r="V256" s="7"/>
      <c r="W256" s="7"/>
      <c r="X256" s="7"/>
      <c r="Y256" s="7"/>
      <c r="Z256"/>
      <c r="AA256"/>
      <c r="AB256"/>
      <c r="AC256"/>
    </row>
    <row r="257" spans="1:29" s="8" customFormat="1" x14ac:dyDescent="0.4">
      <c r="A257"/>
      <c r="B257" s="2011"/>
      <c r="C257" s="2013"/>
      <c r="D257" s="2013"/>
      <c r="E257" s="2014"/>
      <c r="F257" s="2013"/>
      <c r="G257" s="2013"/>
      <c r="H257" s="2015"/>
      <c r="I257" s="2016"/>
      <c r="J257" s="2013"/>
      <c r="K257" s="2013"/>
      <c r="L257" s="2012"/>
      <c r="M257" s="2013"/>
      <c r="N257" s="2013"/>
      <c r="O257" s="2013"/>
      <c r="P257" s="2013"/>
      <c r="Q257" s="2013"/>
      <c r="R257" s="3406"/>
      <c r="S257" s="2016"/>
      <c r="T257" s="2013"/>
      <c r="U257" s="2013"/>
      <c r="V257" s="2016"/>
      <c r="W257" s="2016"/>
      <c r="X257" s="2016"/>
      <c r="Y257" s="2016"/>
      <c r="Z257"/>
      <c r="AA257"/>
      <c r="AB257"/>
      <c r="AC257"/>
    </row>
    <row r="259" spans="1:29" s="8" customFormat="1" ht="15.45" x14ac:dyDescent="0.4">
      <c r="A259"/>
      <c r="B259" s="1975"/>
      <c r="C259" s="2322"/>
      <c r="D259" s="1977" t="s">
        <v>1883</v>
      </c>
      <c r="E259" s="1978"/>
      <c r="F259" s="1978"/>
      <c r="G259" s="1978"/>
      <c r="H259" s="1978"/>
      <c r="I259" s="1978"/>
      <c r="J259" s="1978"/>
      <c r="K259" s="1978"/>
      <c r="L259" s="1978"/>
      <c r="M259" s="1978"/>
      <c r="N259" s="1978"/>
      <c r="O259" s="1978"/>
      <c r="P259" s="1978"/>
      <c r="Q259" s="1978"/>
      <c r="R259" s="3395"/>
      <c r="S259" s="1978"/>
      <c r="T259" s="1978"/>
      <c r="U259" s="1978"/>
      <c r="V259" s="1978"/>
      <c r="W259" s="1978"/>
      <c r="X259" s="1978"/>
      <c r="Y259" s="1978"/>
      <c r="Z259"/>
      <c r="AA259"/>
      <c r="AB259"/>
      <c r="AC259"/>
    </row>
    <row r="260" spans="1:29" s="8" customFormat="1" outlineLevel="1" x14ac:dyDescent="0.4">
      <c r="A260"/>
      <c r="B260" s="1979"/>
      <c r="C260" s="704"/>
      <c r="D260" s="748" t="s">
        <v>1053</v>
      </c>
      <c r="E260" s="749"/>
      <c r="F260" s="704"/>
      <c r="G260" s="704"/>
      <c r="H260" s="704"/>
      <c r="I260" s="750"/>
      <c r="J260" s="704"/>
      <c r="K260" s="704"/>
      <c r="L260" s="704"/>
      <c r="M260" s="704"/>
      <c r="N260" s="704"/>
      <c r="O260" s="704"/>
      <c r="P260" s="704"/>
      <c r="Q260" s="704"/>
      <c r="R260" s="3364"/>
      <c r="S260" s="750"/>
      <c r="T260" s="704"/>
      <c r="U260" s="704"/>
      <c r="V260" s="750"/>
      <c r="W260" s="750"/>
      <c r="X260" s="750"/>
      <c r="Y260" s="750"/>
      <c r="Z260"/>
      <c r="AA260"/>
      <c r="AB260"/>
      <c r="AC260"/>
    </row>
    <row r="261" spans="1:29" s="8" customFormat="1" ht="15" outlineLevel="1" thickBot="1" x14ac:dyDescent="0.45">
      <c r="A261"/>
      <c r="B261" s="1979"/>
      <c r="C261" s="704"/>
      <c r="D261" s="704" t="s">
        <v>1034</v>
      </c>
      <c r="E261" s="749"/>
      <c r="F261" s="704"/>
      <c r="G261" s="704"/>
      <c r="H261" s="704"/>
      <c r="I261" s="750"/>
      <c r="J261" s="704"/>
      <c r="K261" s="704"/>
      <c r="L261" s="704"/>
      <c r="M261" s="704"/>
      <c r="N261" s="704"/>
      <c r="O261" s="704"/>
      <c r="P261" s="704"/>
      <c r="Q261" s="704"/>
      <c r="R261" s="3364"/>
      <c r="S261" s="750"/>
      <c r="T261" s="704"/>
      <c r="V261" s="704"/>
      <c r="W261" s="750"/>
      <c r="X261" s="750"/>
      <c r="Y261" s="750"/>
      <c r="Z261"/>
      <c r="AA261"/>
      <c r="AB261"/>
      <c r="AC261"/>
    </row>
    <row r="262" spans="1:29" s="8" customFormat="1" outlineLevel="1" x14ac:dyDescent="0.4">
      <c r="A262"/>
      <c r="B262" s="1979"/>
      <c r="C262" s="704"/>
      <c r="D262" t="s">
        <v>2690</v>
      </c>
      <c r="E262" s="749"/>
      <c r="F262" s="704"/>
      <c r="G262" s="704"/>
      <c r="H262" s="704"/>
      <c r="I262" s="750"/>
      <c r="J262" s="704"/>
      <c r="K262" s="704"/>
      <c r="L262" s="704"/>
      <c r="M262" s="704"/>
      <c r="N262" s="704"/>
      <c r="O262" s="704"/>
      <c r="P262" s="704"/>
      <c r="Q262" s="704"/>
      <c r="R262" s="3570" t="s">
        <v>1101</v>
      </c>
      <c r="S262" s="3582" t="s">
        <v>23</v>
      </c>
      <c r="T262" s="3842" t="s">
        <v>2604</v>
      </c>
      <c r="U262" s="3843"/>
      <c r="V262" s="3843"/>
      <c r="W262" s="3843"/>
      <c r="X262" s="3844"/>
      <c r="Y262" s="1044"/>
      <c r="Z262"/>
      <c r="AA262"/>
      <c r="AB262"/>
      <c r="AC262"/>
    </row>
    <row r="263" spans="1:29" s="8" customFormat="1" outlineLevel="1" x14ac:dyDescent="0.4">
      <c r="A263"/>
      <c r="B263" s="1979"/>
      <c r="C263" s="704"/>
      <c r="D263" s="704" t="s">
        <v>1035</v>
      </c>
      <c r="E263" s="749"/>
      <c r="F263" s="704"/>
      <c r="G263" s="704"/>
      <c r="H263" s="704"/>
      <c r="I263" s="750"/>
      <c r="J263" s="704"/>
      <c r="K263" s="704"/>
      <c r="L263" s="704"/>
      <c r="M263" s="704"/>
      <c r="N263" s="704"/>
      <c r="O263" s="704"/>
      <c r="P263" s="704"/>
      <c r="Q263" s="704"/>
      <c r="R263" s="3543" t="s">
        <v>1055</v>
      </c>
      <c r="S263" s="1513">
        <v>1</v>
      </c>
      <c r="T263" s="1512">
        <v>1</v>
      </c>
      <c r="U263" s="916">
        <v>2</v>
      </c>
      <c r="V263" s="916">
        <v>3</v>
      </c>
      <c r="W263" s="916">
        <v>4</v>
      </c>
      <c r="X263" s="1045">
        <v>6</v>
      </c>
      <c r="Y263" s="1851"/>
      <c r="Z263"/>
      <c r="AA263"/>
      <c r="AB263"/>
      <c r="AC263"/>
    </row>
    <row r="264" spans="1:29" s="8" customFormat="1" outlineLevel="1" x14ac:dyDescent="0.4">
      <c r="A264"/>
      <c r="B264" s="1979"/>
      <c r="C264" s="704"/>
      <c r="D264" s="704" t="s">
        <v>1036</v>
      </c>
      <c r="E264" s="749"/>
      <c r="F264" s="704"/>
      <c r="G264" s="704"/>
      <c r="H264" s="704"/>
      <c r="I264" s="750"/>
      <c r="J264" s="704"/>
      <c r="K264" s="704"/>
      <c r="L264" s="704"/>
      <c r="M264" s="704"/>
      <c r="N264" s="704"/>
      <c r="O264" s="704"/>
      <c r="P264" s="704"/>
      <c r="Q264" s="704"/>
      <c r="R264" s="3140" t="s">
        <v>2665</v>
      </c>
      <c r="S264" s="290">
        <f>connect_lower_blanket_pipework</f>
        <v>26.773271037841543</v>
      </c>
      <c r="T264" s="1415">
        <f>ROUNDUP(Tokamak_Segmts/T263,0)*connect_lower_blanket_pipework</f>
        <v>428.37233660546468</v>
      </c>
      <c r="U264" s="917">
        <f>ROUNDUP(Tokamak_Segmts/U263,0)*connect_lower_blanket_pipework</f>
        <v>214.18616830273234</v>
      </c>
      <c r="V264" s="917">
        <f>ROUNDUP(Tokamak_Segmts/V263,0)*connect_lower_blanket_pipework</f>
        <v>160.63962622704926</v>
      </c>
      <c r="W264" s="917">
        <f>ROUNDUP(Tokamak_Segmts/W263,0)*connect_lower_blanket_pipework</f>
        <v>107.09308415136617</v>
      </c>
      <c r="X264" s="1028">
        <f>ROUNDUP(Tokamak_Segmts/X263,0)*connect_lower_blanket_pipework</f>
        <v>80.319813113524631</v>
      </c>
      <c r="Y264" s="290"/>
      <c r="Z264"/>
      <c r="AA264"/>
      <c r="AB264"/>
      <c r="AC264"/>
    </row>
    <row r="265" spans="1:29" s="8" customFormat="1" ht="15" outlineLevel="1" thickBot="1" x14ac:dyDescent="0.45">
      <c r="A265"/>
      <c r="B265" s="1979"/>
      <c r="C265" s="704"/>
      <c r="D265" s="704" t="s">
        <v>1037</v>
      </c>
      <c r="E265" s="749"/>
      <c r="F265" s="704"/>
      <c r="G265" s="704"/>
      <c r="H265" s="704"/>
      <c r="I265" s="750"/>
      <c r="J265" s="704"/>
      <c r="K265" s="704"/>
      <c r="L265" s="704"/>
      <c r="M265" s="704"/>
      <c r="N265" s="704"/>
      <c r="O265" s="704"/>
      <c r="P265" s="704"/>
      <c r="Q265" s="704"/>
      <c r="R265" s="3141" t="s">
        <v>2693</v>
      </c>
      <c r="S265" s="1138">
        <f>S$264*$E$269</f>
        <v>0.29450598141625695</v>
      </c>
      <c r="T265" s="1416">
        <f t="shared" ref="T265:X265" si="40">T$264*$E$269</f>
        <v>4.7120957026601111</v>
      </c>
      <c r="U265" s="920">
        <f t="shared" si="40"/>
        <v>2.3560478513300556</v>
      </c>
      <c r="V265" s="920">
        <f t="shared" si="40"/>
        <v>1.7670358884975419</v>
      </c>
      <c r="W265" s="920">
        <f t="shared" si="40"/>
        <v>1.1780239256650278</v>
      </c>
      <c r="X265" s="1029">
        <f t="shared" si="40"/>
        <v>0.88351794424877095</v>
      </c>
      <c r="Y265" s="290"/>
      <c r="Z265"/>
      <c r="AA265"/>
      <c r="AB265"/>
      <c r="AC265"/>
    </row>
    <row r="266" spans="1:29" s="8" customFormat="1" outlineLevel="1" x14ac:dyDescent="0.4">
      <c r="A266"/>
      <c r="B266" s="1979"/>
      <c r="C266" s="704"/>
      <c r="D266" s="704" t="s">
        <v>1038</v>
      </c>
      <c r="E266" s="749"/>
      <c r="F266" s="704"/>
      <c r="G266" s="704"/>
      <c r="H266" s="704"/>
      <c r="I266" s="750"/>
      <c r="J266" s="704"/>
      <c r="K266" s="704"/>
      <c r="L266" s="704"/>
      <c r="M266" s="704"/>
      <c r="N266" s="704"/>
      <c r="O266" s="704"/>
      <c r="P266" s="704"/>
      <c r="Q266" s="704"/>
      <c r="R266" s="3571" t="s">
        <v>1048</v>
      </c>
      <c r="S266" s="3583">
        <f t="shared" ref="S266:X266" si="41">S265*(SUMIF($E$277:$E$302,"Operation",$F$277:$F$302))</f>
        <v>31.138076807744646</v>
      </c>
      <c r="T266" s="1500">
        <f t="shared" si="41"/>
        <v>498.20922892391434</v>
      </c>
      <c r="U266" s="768">
        <f t="shared" si="41"/>
        <v>249.10461446195717</v>
      </c>
      <c r="V266" s="768">
        <f t="shared" si="41"/>
        <v>186.82846084646789</v>
      </c>
      <c r="W266" s="768">
        <f t="shared" si="41"/>
        <v>124.55230723097858</v>
      </c>
      <c r="X266" s="1062">
        <f t="shared" si="41"/>
        <v>93.414230423233946</v>
      </c>
      <c r="Y266" s="290"/>
      <c r="Z266"/>
      <c r="AA266"/>
      <c r="AB266"/>
      <c r="AC266"/>
    </row>
    <row r="267" spans="1:29" s="8" customFormat="1" outlineLevel="1" x14ac:dyDescent="0.4">
      <c r="A267"/>
      <c r="B267" s="1979"/>
      <c r="C267" s="704"/>
      <c r="D267" s="704"/>
      <c r="E267" s="749"/>
      <c r="F267" s="704"/>
      <c r="G267" s="704"/>
      <c r="H267" s="704"/>
      <c r="I267" s="750"/>
      <c r="J267" s="704"/>
      <c r="K267" s="704"/>
      <c r="L267" s="704"/>
      <c r="M267" s="704"/>
      <c r="N267" s="704"/>
      <c r="O267" s="704"/>
      <c r="P267" s="704"/>
      <c r="Q267" s="704"/>
      <c r="R267" s="3543" t="s">
        <v>2658</v>
      </c>
      <c r="S267" s="1020">
        <f t="shared" ref="S267:X267" si="42">S265*(SUMIF($E$277:$E$302,"Movement",$F$277:$F$302)+(SUMIF($E$277:$E$302,"Logistics",$F$277:$F$302)))</f>
        <v>3.375038547030305</v>
      </c>
      <c r="T267" s="1502">
        <f t="shared" si="42"/>
        <v>54.000616752484881</v>
      </c>
      <c r="U267" s="769">
        <f t="shared" si="42"/>
        <v>27.00030837624244</v>
      </c>
      <c r="V267" s="769">
        <f t="shared" si="42"/>
        <v>20.250231282181833</v>
      </c>
      <c r="W267" s="769">
        <f t="shared" si="42"/>
        <v>13.50015418812122</v>
      </c>
      <c r="X267" s="1064">
        <f t="shared" si="42"/>
        <v>10.125115641090916</v>
      </c>
      <c r="Y267" s="290"/>
      <c r="Z267"/>
      <c r="AA267"/>
      <c r="AB267"/>
      <c r="AC267"/>
    </row>
    <row r="268" spans="1:29" s="8" customFormat="1" ht="15" outlineLevel="1" thickBot="1" x14ac:dyDescent="0.45">
      <c r="A268"/>
      <c r="B268" s="1979"/>
      <c r="C268" s="704"/>
      <c r="D268" s="704"/>
      <c r="E268" s="749"/>
      <c r="F268" s="704"/>
      <c r="G268" s="704"/>
      <c r="H268" s="704"/>
      <c r="I268" s="750"/>
      <c r="J268" s="704"/>
      <c r="K268" s="704"/>
      <c r="L268" s="704"/>
      <c r="M268" s="704"/>
      <c r="N268" s="704"/>
      <c r="O268" s="704"/>
      <c r="P268" s="704"/>
      <c r="Q268" s="704"/>
      <c r="R268" s="3572" t="s">
        <v>2663</v>
      </c>
      <c r="S268" s="1766">
        <f t="shared" ref="S268:X268" si="43">S265*(-SUMIF($T$277:$T$302,"&lt;0"))</f>
        <v>15.092865390383812</v>
      </c>
      <c r="T268" s="1110">
        <f t="shared" si="43"/>
        <v>241.48584624614099</v>
      </c>
      <c r="U268" s="770">
        <f t="shared" si="43"/>
        <v>120.7429231230705</v>
      </c>
      <c r="V268" s="770">
        <f t="shared" si="43"/>
        <v>90.557192342302884</v>
      </c>
      <c r="W268" s="770">
        <f t="shared" si="43"/>
        <v>60.371461561535249</v>
      </c>
      <c r="X268" s="1066">
        <f t="shared" si="43"/>
        <v>45.278596171151442</v>
      </c>
      <c r="Y268" s="290"/>
      <c r="Z268"/>
      <c r="AA268"/>
      <c r="AB268"/>
      <c r="AC268"/>
    </row>
    <row r="269" spans="1:29" s="8" customFormat="1" ht="15" outlineLevel="1" thickBot="1" x14ac:dyDescent="0.45">
      <c r="A269"/>
      <c r="B269" s="1979"/>
      <c r="C269" s="704"/>
      <c r="D269" s="748" t="s">
        <v>1056</v>
      </c>
      <c r="E269" s="709">
        <f>SUM(E270:E271)</f>
        <v>1.0999999999999999E-2</v>
      </c>
      <c r="F269" s="709"/>
      <c r="G269" s="709"/>
      <c r="H269" s="709"/>
      <c r="I269" s="919"/>
      <c r="J269" s="918"/>
      <c r="K269" s="918"/>
      <c r="L269" s="918"/>
      <c r="M269" s="918"/>
      <c r="N269" s="918"/>
      <c r="O269" s="918"/>
      <c r="P269" s="704"/>
      <c r="Q269" s="704"/>
      <c r="R269" s="3573" t="s">
        <v>2667</v>
      </c>
      <c r="S269" s="694">
        <f t="shared" ref="S269:X269" si="44">S265*$G$303</f>
        <v>49.605980745158767</v>
      </c>
      <c r="T269" s="2994">
        <f t="shared" si="44"/>
        <v>793.69569192254028</v>
      </c>
      <c r="U269" s="694">
        <f t="shared" si="44"/>
        <v>396.84784596127014</v>
      </c>
      <c r="V269" s="694">
        <f t="shared" si="44"/>
        <v>297.63588447095265</v>
      </c>
      <c r="W269" s="694">
        <f t="shared" si="44"/>
        <v>198.42392298063507</v>
      </c>
      <c r="X269" s="2974">
        <f t="shared" si="44"/>
        <v>148.81794223547632</v>
      </c>
      <c r="Y269" s="915"/>
      <c r="Z269"/>
      <c r="AA269"/>
      <c r="AB269"/>
      <c r="AC269"/>
    </row>
    <row r="270" spans="1:29" s="8" customFormat="1" outlineLevel="1" x14ac:dyDescent="0.4">
      <c r="A270"/>
      <c r="B270" s="1980"/>
      <c r="C270" s="5"/>
      <c r="D270" s="7" t="s">
        <v>1057</v>
      </c>
      <c r="E270" s="763">
        <f>Weld_Failure_Rate</f>
        <v>1E-3</v>
      </c>
      <c r="F270" s="922"/>
      <c r="G270" s="922"/>
      <c r="H270" s="924"/>
      <c r="I270" s="290"/>
      <c r="J270" s="922"/>
      <c r="K270" s="922"/>
      <c r="L270" s="925"/>
      <c r="M270" s="922"/>
      <c r="N270" s="922"/>
      <c r="O270" s="922"/>
      <c r="P270" s="706"/>
      <c r="Q270" s="7"/>
      <c r="Y270" s="915"/>
      <c r="Z270"/>
      <c r="AA270"/>
      <c r="AB270"/>
      <c r="AC270"/>
    </row>
    <row r="271" spans="1:29" s="8" customFormat="1" outlineLevel="1" x14ac:dyDescent="0.4">
      <c r="A271"/>
      <c r="B271" s="1980"/>
      <c r="C271" s="5"/>
      <c r="D271" s="7" t="s">
        <v>1058</v>
      </c>
      <c r="E271" s="763">
        <f>SJS_welder_failure</f>
        <v>0.01</v>
      </c>
      <c r="F271" s="922"/>
      <c r="G271" s="922"/>
      <c r="H271" s="924"/>
      <c r="I271" s="290"/>
      <c r="J271" s="922"/>
      <c r="K271" s="922"/>
      <c r="L271" s="925"/>
      <c r="M271" s="922"/>
      <c r="N271" s="922"/>
      <c r="O271" s="922"/>
      <c r="P271" s="706"/>
      <c r="Q271" s="7"/>
      <c r="Y271" s="915"/>
      <c r="Z271"/>
      <c r="AA271"/>
      <c r="AB271"/>
      <c r="AC271"/>
    </row>
    <row r="272" spans="1:29" s="8" customFormat="1" outlineLevel="1" x14ac:dyDescent="0.4">
      <c r="A272"/>
      <c r="B272" s="1980"/>
      <c r="C272" s="5"/>
      <c r="D272" s="926" t="s">
        <v>1059</v>
      </c>
      <c r="E272" s="709">
        <f>E269*(1-(1-E269)^(Divertor_port_pipes_per_blanket))</f>
        <v>3.5902164100000021E-4</v>
      </c>
      <c r="F272" s="927"/>
      <c r="G272" s="927"/>
      <c r="H272" s="927"/>
      <c r="I272" s="919"/>
      <c r="J272" s="927"/>
      <c r="K272" s="927"/>
      <c r="L272" s="927"/>
      <c r="M272" s="927"/>
      <c r="N272" s="927"/>
      <c r="O272" s="927"/>
      <c r="P272" s="706"/>
      <c r="Q272" s="7"/>
      <c r="Z272"/>
      <c r="AA272"/>
      <c r="AB272"/>
      <c r="AC272"/>
    </row>
    <row r="273" spans="1:29" s="8" customFormat="1" outlineLevel="1" x14ac:dyDescent="0.4">
      <c r="A273"/>
      <c r="B273" s="1980"/>
      <c r="C273" s="5"/>
      <c r="D273" s="926"/>
      <c r="E273" s="928"/>
      <c r="F273" s="927"/>
      <c r="G273" s="927"/>
      <c r="H273" s="927"/>
      <c r="I273" s="919"/>
      <c r="J273" s="927"/>
      <c r="K273" s="927"/>
      <c r="L273" s="927"/>
      <c r="M273" s="927"/>
      <c r="N273" s="927"/>
      <c r="O273" s="927"/>
      <c r="P273" s="706"/>
      <c r="Q273" s="7"/>
      <c r="R273" s="3369"/>
      <c r="S273" s="290"/>
      <c r="T273" s="7"/>
      <c r="U273" s="7"/>
      <c r="V273" s="290"/>
      <c r="W273" s="290"/>
      <c r="X273" s="290"/>
      <c r="Y273" s="290"/>
      <c r="Z273"/>
      <c r="AA273"/>
      <c r="AB273"/>
      <c r="AC273"/>
    </row>
    <row r="274" spans="1:29" s="8" customFormat="1" ht="15.75" hidden="1" customHeight="1" outlineLevel="2" thickBot="1" x14ac:dyDescent="0.45">
      <c r="A274"/>
      <c r="B274" s="1980"/>
      <c r="C274" s="5"/>
      <c r="D274" s="926"/>
      <c r="E274" s="928"/>
      <c r="F274" s="927"/>
      <c r="G274" s="927"/>
      <c r="H274" s="927"/>
      <c r="I274" s="919"/>
      <c r="J274" s="927"/>
      <c r="K274" s="927"/>
      <c r="L274" s="927"/>
      <c r="M274" s="927"/>
      <c r="N274" s="927"/>
      <c r="O274" s="927"/>
      <c r="P274" s="706"/>
      <c r="Q274" s="7"/>
      <c r="R274" s="3369"/>
      <c r="S274" s="290"/>
      <c r="T274" s="7"/>
      <c r="U274" s="7"/>
      <c r="V274" s="290"/>
      <c r="W274" s="290"/>
      <c r="X274" s="290"/>
      <c r="Y274" s="290"/>
      <c r="Z274"/>
      <c r="AA274"/>
      <c r="AB274"/>
      <c r="AC274"/>
    </row>
    <row r="275" spans="1:29" s="8" customFormat="1" ht="15.75" hidden="1" customHeight="1" outlineLevel="2" thickBot="1" x14ac:dyDescent="0.45">
      <c r="A275"/>
      <c r="B275" s="1980"/>
      <c r="C275" s="5"/>
      <c r="D275" s="926"/>
      <c r="E275" s="701"/>
      <c r="F275" s="7"/>
      <c r="G275" s="929"/>
      <c r="H275" s="930" t="s">
        <v>18</v>
      </c>
      <c r="I275" s="931"/>
      <c r="J275" s="932" t="s">
        <v>778</v>
      </c>
      <c r="K275" s="933"/>
      <c r="L275" s="933"/>
      <c r="M275" s="933"/>
      <c r="N275" s="933"/>
      <c r="O275" s="934"/>
      <c r="P275" s="933" t="s">
        <v>3</v>
      </c>
      <c r="Q275" s="934"/>
      <c r="R275" s="3386" t="s">
        <v>779</v>
      </c>
      <c r="S275" s="3018"/>
      <c r="T275" s="3019"/>
      <c r="V275" s="938"/>
      <c r="W275" s="938"/>
      <c r="X275" s="7"/>
      <c r="Y275" s="290"/>
      <c r="Z275"/>
      <c r="AA275"/>
      <c r="AB275"/>
      <c r="AC275"/>
    </row>
    <row r="276" spans="1:29" s="8" customFormat="1" ht="30.75" hidden="1" customHeight="1" outlineLevel="2" thickBot="1" x14ac:dyDescent="0.45">
      <c r="A276"/>
      <c r="B276" s="1980"/>
      <c r="C276" s="939" t="s">
        <v>780</v>
      </c>
      <c r="D276" s="940" t="s">
        <v>1060</v>
      </c>
      <c r="E276" s="941" t="s">
        <v>782</v>
      </c>
      <c r="F276" s="942" t="s">
        <v>783</v>
      </c>
      <c r="G276" s="943" t="s">
        <v>784</v>
      </c>
      <c r="H276" s="562" t="s">
        <v>785</v>
      </c>
      <c r="I276" s="944" t="s">
        <v>783</v>
      </c>
      <c r="J276" s="562" t="s">
        <v>786</v>
      </c>
      <c r="K276" s="563" t="s">
        <v>787</v>
      </c>
      <c r="L276" s="563" t="s">
        <v>788</v>
      </c>
      <c r="M276" s="563" t="s">
        <v>789</v>
      </c>
      <c r="N276" s="563" t="s">
        <v>790</v>
      </c>
      <c r="O276" s="945" t="s">
        <v>783</v>
      </c>
      <c r="P276" s="560" t="s">
        <v>785</v>
      </c>
      <c r="Q276" s="946" t="s">
        <v>783</v>
      </c>
      <c r="R276" s="3387" t="s">
        <v>781</v>
      </c>
      <c r="S276" s="794" t="s">
        <v>791</v>
      </c>
      <c r="T276" s="789" t="s">
        <v>792</v>
      </c>
      <c r="V276" s="947"/>
      <c r="W276" s="947"/>
      <c r="X276" s="7"/>
      <c r="Y276" s="290"/>
      <c r="Z276"/>
      <c r="AA276"/>
      <c r="AB276"/>
      <c r="AC276"/>
    </row>
    <row r="277" spans="1:29" s="8" customFormat="1" ht="15" hidden="1" customHeight="1" outlineLevel="2" x14ac:dyDescent="0.4">
      <c r="A277"/>
      <c r="B277" s="1980"/>
      <c r="C277" s="3886" t="s">
        <v>1062</v>
      </c>
      <c r="D277" s="797" t="s">
        <v>2303</v>
      </c>
      <c r="E277" s="799" t="s">
        <v>251</v>
      </c>
      <c r="F277" s="456">
        <f t="shared" ref="F277:F302" si="45">MAX($Q277,$O277,$I277)</f>
        <v>0</v>
      </c>
      <c r="G277" s="800">
        <v>0</v>
      </c>
      <c r="H277" s="797" t="s">
        <v>557</v>
      </c>
      <c r="I277" s="621">
        <v>0</v>
      </c>
      <c r="J277" s="568"/>
      <c r="K277" s="566"/>
      <c r="L277" s="801"/>
      <c r="M277" s="802" t="str">
        <f>IFERROR(INDEX('Lower Hot Cell Logistics'!$I$28:$O$34,MATCH($K277,'Lower Hot Cell Logistics'!$H$28:$H$34,0),MATCH($L277,'Lower Hot Cell Logistics'!$H$28:$H$34,0)),"N/A")</f>
        <v>N/A</v>
      </c>
      <c r="N277" s="570" t="str">
        <f>IFERROR(VLOOKUP($J277,'Lower Hot Cell Logistics'!$H$4:$I$8,2,FALSE),"N/A")</f>
        <v>N/A</v>
      </c>
      <c r="O277" s="800" t="str">
        <f t="shared" ref="O277:O302" si="46">IF(E277="Movement",IFERROR((M277/N277)/(60*60),"Error"),"N/A")</f>
        <v>N/A</v>
      </c>
      <c r="P277" s="803"/>
      <c r="Q277" s="802" t="str">
        <f>IF($E277="Logistics",VLOOKUP($P277,'Lower Hot Cell Logistics'!$C$4:$D$57,2,FALSE),"N/A")</f>
        <v>N/A</v>
      </c>
      <c r="R277" s="3398"/>
      <c r="S277" s="804" t="str">
        <f>IFERROR(VLOOKUP($R277,'Lower HotCell RecoveryLogistics'!$C$265:$F$313,4,FALSE),"N/A")</f>
        <v>N/A</v>
      </c>
      <c r="T277" s="621" t="str">
        <f t="shared" ref="T277:T302" si="47">IFERROR(G276-F277-S277,"N/A")</f>
        <v>N/A</v>
      </c>
      <c r="V277" s="947"/>
      <c r="W277" s="947"/>
      <c r="X277" s="7"/>
      <c r="Y277" s="290"/>
      <c r="Z277"/>
      <c r="AA277"/>
      <c r="AB277"/>
      <c r="AC277"/>
    </row>
    <row r="278" spans="1:29" s="8" customFormat="1" ht="15.75" hidden="1" customHeight="1" outlineLevel="2" thickBot="1" x14ac:dyDescent="0.45">
      <c r="A278"/>
      <c r="B278" s="1980"/>
      <c r="C278" s="3887"/>
      <c r="D278" s="807" t="s">
        <v>1885</v>
      </c>
      <c r="E278" s="809" t="s">
        <v>251</v>
      </c>
      <c r="F278" s="471">
        <f t="shared" si="45"/>
        <v>12.602967059728389</v>
      </c>
      <c r="G278" s="810">
        <f t="shared" ref="G278:G302" si="48">IF(T278&lt;0,F278+G277+(-T278),F278+G277)</f>
        <v>12.602967059728389</v>
      </c>
      <c r="H278" s="584" t="s">
        <v>441</v>
      </c>
      <c r="I278" s="811">
        <v>12.602967059728389</v>
      </c>
      <c r="J278" s="586"/>
      <c r="K278" s="584"/>
      <c r="L278" s="812"/>
      <c r="M278" s="813" t="str">
        <f>IFERROR(INDEX(#REF!,MATCH($K278,#REF!,0),MATCH($L278,#REF!,0)),"N/A")</f>
        <v>N/A</v>
      </c>
      <c r="N278" s="814" t="str">
        <f>IFERROR(VLOOKUP($J278,#REF!,2,FALSE),"N/A")</f>
        <v>N/A</v>
      </c>
      <c r="O278" s="810" t="str">
        <f t="shared" si="46"/>
        <v>N/A</v>
      </c>
      <c r="P278" s="815"/>
      <c r="Q278" s="813" t="str">
        <f>IF($E278="Logistics",VLOOKUP($P278,'Lower Hot Cell Logistics'!$C$4:$D$57,2,FALSE),"N/A")</f>
        <v>N/A</v>
      </c>
      <c r="R278" s="3400"/>
      <c r="S278" s="816" t="str">
        <f>IFERROR(VLOOKUP($R278,'Lower HotCell RecoveryLogistics'!$C$265:$F$313,4,FALSE),"N/A")</f>
        <v>N/A</v>
      </c>
      <c r="T278" s="591" t="str">
        <f t="shared" si="47"/>
        <v>N/A</v>
      </c>
      <c r="V278" s="290"/>
      <c r="W278" s="290"/>
      <c r="X278" s="290"/>
      <c r="Y278" s="290"/>
      <c r="Z278"/>
      <c r="AA278"/>
      <c r="AB278"/>
      <c r="AC278"/>
    </row>
    <row r="279" spans="1:29" s="8" customFormat="1" ht="15" hidden="1" customHeight="1" outlineLevel="2" thickBot="1" x14ac:dyDescent="0.45">
      <c r="A279"/>
      <c r="B279" s="1980"/>
      <c r="C279" s="2303" t="s">
        <v>2304</v>
      </c>
      <c r="D279" s="2304" t="s">
        <v>2051</v>
      </c>
      <c r="E279" s="2305" t="s">
        <v>3</v>
      </c>
      <c r="F279" s="2306">
        <f t="shared" si="45"/>
        <v>0.6</v>
      </c>
      <c r="G279" s="2307">
        <f t="shared" si="48"/>
        <v>13.202967059728389</v>
      </c>
      <c r="H279" s="2308"/>
      <c r="I279" s="2309" t="s">
        <v>263</v>
      </c>
      <c r="J279" s="2310"/>
      <c r="K279" s="2311"/>
      <c r="L279" s="2312"/>
      <c r="M279" s="2313" t="str">
        <f>IFERROR(INDEX(#REF!,MATCH($K279,#REF!,0),MATCH($L279,#REF!,0)),"N/A")</f>
        <v>N/A</v>
      </c>
      <c r="N279" s="2314" t="str">
        <f>IFERROR(VLOOKUP($J279,#REF!,2,FALSE),"N/A")</f>
        <v>N/A</v>
      </c>
      <c r="O279" s="2307" t="str">
        <f t="shared" si="46"/>
        <v>N/A</v>
      </c>
      <c r="P279" s="2308" t="s">
        <v>2008</v>
      </c>
      <c r="Q279" s="2313">
        <f>IF($E279="Logistics",VLOOKUP($P279,'Lower Hot Cell Logistics'!$C$4:$D$57,2,FALSE),"N/A")</f>
        <v>0.6</v>
      </c>
      <c r="R279" s="3576"/>
      <c r="S279" s="2315" t="str">
        <f>IFERROR(VLOOKUP($R279,'Lower HotCell RecoveryLogistics'!$C$265:$F$313,4,FALSE),"N/A")</f>
        <v>N/A</v>
      </c>
      <c r="T279" s="2309" t="str">
        <f t="shared" si="47"/>
        <v>N/A</v>
      </c>
      <c r="V279" s="290"/>
      <c r="W279" s="290"/>
      <c r="X279" s="290"/>
      <c r="Y279" s="7"/>
      <c r="Z279"/>
      <c r="AA279"/>
      <c r="AB279"/>
      <c r="AC279"/>
    </row>
    <row r="280" spans="1:29" s="88" customFormat="1" hidden="1" outlineLevel="2" x14ac:dyDescent="0.4">
      <c r="B280" s="1980"/>
      <c r="C280" s="3773" t="s">
        <v>1074</v>
      </c>
      <c r="D280" s="1883" t="s">
        <v>1593</v>
      </c>
      <c r="E280" s="1884" t="s">
        <v>3</v>
      </c>
      <c r="F280" s="1885">
        <f t="shared" si="45"/>
        <v>0.53</v>
      </c>
      <c r="G280" s="1885">
        <f t="shared" si="48"/>
        <v>13.732967059728388</v>
      </c>
      <c r="H280" s="1883"/>
      <c r="I280" s="1894" t="s">
        <v>263</v>
      </c>
      <c r="J280" s="1883"/>
      <c r="K280" s="1889"/>
      <c r="L280" s="1889"/>
      <c r="M280" s="1890" t="str">
        <f>IFERROR(INDEX('Lower Hot Cell Logistics'!$I$13:$O$19,MATCH($K280,'Lower Hot Cell Logistics'!$H$13:$H$19,0),MATCH($L280,'Lower Hot Cell Logistics'!$H$13:$H$19,0)),"N/A")</f>
        <v>N/A</v>
      </c>
      <c r="N280" s="1890" t="str">
        <f>IFERROR(VLOOKUP($J280,'Lower Hot Cell Logistics'!$H$4:$I$9,2,FALSE),"N/A")</f>
        <v>N/A</v>
      </c>
      <c r="O280" s="1894" t="str">
        <f t="shared" si="46"/>
        <v>N/A</v>
      </c>
      <c r="P280" s="1893" t="s">
        <v>1558</v>
      </c>
      <c r="Q280" s="1894">
        <f>IF($E280="Logistics",VLOOKUP($P280,'Lower Hot Cell Logistics'!$C$4:$D$69,2,FALSE),"N/A")</f>
        <v>0.53</v>
      </c>
      <c r="R280" s="3379"/>
      <c r="S280" s="1894" t="str">
        <f>IFERROR(VLOOKUP($R280,'Lower HotCell RecoveryLogistics'!$C$265:$F$313,4,FALSE),"N/A")</f>
        <v>N/A</v>
      </c>
      <c r="T280" s="1476" t="str">
        <f t="shared" si="47"/>
        <v>N/A</v>
      </c>
      <c r="V280" s="2031"/>
      <c r="W280" s="2031"/>
      <c r="X280" s="1466"/>
      <c r="Y280" s="2032"/>
      <c r="Z280" s="623"/>
      <c r="AA280" s="623"/>
    </row>
    <row r="281" spans="1:29" s="88" customFormat="1" hidden="1" outlineLevel="2" x14ac:dyDescent="0.4">
      <c r="B281" s="1980"/>
      <c r="C281" s="3773"/>
      <c r="D281" s="1895" t="s">
        <v>2053</v>
      </c>
      <c r="E281" s="1896" t="s">
        <v>251</v>
      </c>
      <c r="F281" s="1347">
        <f t="shared" si="45"/>
        <v>12.602967059728389</v>
      </c>
      <c r="G281" s="1347">
        <f t="shared" si="48"/>
        <v>27.011860045382704</v>
      </c>
      <c r="H281" s="1895" t="s">
        <v>441</v>
      </c>
      <c r="I281" s="1903">
        <v>12.602967059728389</v>
      </c>
      <c r="J281" s="1895"/>
      <c r="K281" s="1897"/>
      <c r="L281" s="1897"/>
      <c r="M281" s="1898" t="str">
        <f>IFERROR(INDEX('Lower Hot Cell Logistics'!$I$13:$O$19,MATCH($K281,'Lower Hot Cell Logistics'!$H$13:$H$19,0),MATCH($L281,'Lower Hot Cell Logistics'!$H$13:$H$19,0)),"N/A")</f>
        <v>N/A</v>
      </c>
      <c r="N281" s="1898" t="str">
        <f>IFERROR(VLOOKUP($J281,'Lower Hot Cell Logistics'!$H$4:$I$9,2,FALSE),"N/A")</f>
        <v>N/A</v>
      </c>
      <c r="O281" s="1903" t="str">
        <f t="shared" si="46"/>
        <v>N/A</v>
      </c>
      <c r="P281" s="1902"/>
      <c r="Q281" s="1903" t="str">
        <f>IF($E281="Logistics",VLOOKUP($P281,'Lower Hot Cell Logistics'!$C$4:$D$69,2,FALSE),"N/A")</f>
        <v>N/A</v>
      </c>
      <c r="R281" s="3380" t="s">
        <v>2305</v>
      </c>
      <c r="S281" s="1903">
        <f>IFERROR(VLOOKUP($R281,'Lower HotCell RecoveryLogistics'!$C$265:$F$313,4,FALSE),"N/A")</f>
        <v>1.8059259259259259</v>
      </c>
      <c r="T281" s="632">
        <f t="shared" si="47"/>
        <v>-0.67592592592592693</v>
      </c>
      <c r="V281" s="2031"/>
      <c r="W281" s="2031"/>
      <c r="X281" s="1466"/>
      <c r="Y281" s="2032"/>
      <c r="Z281" s="623"/>
      <c r="AA281" s="623"/>
    </row>
    <row r="282" spans="1:29" s="88" customFormat="1" hidden="1" outlineLevel="2" x14ac:dyDescent="0.4">
      <c r="B282" s="1980"/>
      <c r="C282" s="3773"/>
      <c r="D282" s="1895" t="s">
        <v>2054</v>
      </c>
      <c r="E282" s="1896" t="s">
        <v>3</v>
      </c>
      <c r="F282" s="1347">
        <f t="shared" si="45"/>
        <v>0.6</v>
      </c>
      <c r="G282" s="1347">
        <f t="shared" si="48"/>
        <v>27.611860045382706</v>
      </c>
      <c r="H282" s="1895"/>
      <c r="I282" s="1903" t="s">
        <v>263</v>
      </c>
      <c r="J282" s="1895"/>
      <c r="K282" s="1897"/>
      <c r="L282" s="1897"/>
      <c r="M282" s="1898" t="str">
        <f>IFERROR(INDEX('Lower Hot Cell Logistics'!$I$13:$O$19,MATCH($K282,'Lower Hot Cell Logistics'!$H$13:$H$19,0),MATCH($L282,'Lower Hot Cell Logistics'!$H$13:$H$19,0)),"N/A")</f>
        <v>N/A</v>
      </c>
      <c r="N282" s="1898" t="str">
        <f>IFERROR(VLOOKUP($J282,'Lower Hot Cell Logistics'!$H$4:$I$9,2,FALSE),"N/A")</f>
        <v>N/A</v>
      </c>
      <c r="O282" s="1903" t="str">
        <f t="shared" si="46"/>
        <v>N/A</v>
      </c>
      <c r="P282" s="1902" t="s">
        <v>2008</v>
      </c>
      <c r="Q282" s="1903">
        <f>IF($E282="Logistics",VLOOKUP($P282,'Lower Hot Cell Logistics'!$C$4:$D$69,2,FALSE),"N/A")</f>
        <v>0.6</v>
      </c>
      <c r="R282" s="3380"/>
      <c r="S282" s="1903" t="str">
        <f>IFERROR(VLOOKUP($R282,'Lower HotCell RecoveryLogistics'!$C$265:$F$313,4,FALSE),"N/A")</f>
        <v>N/A</v>
      </c>
      <c r="T282" s="632" t="str">
        <f t="shared" si="47"/>
        <v>N/A</v>
      </c>
      <c r="V282" s="2031"/>
      <c r="W282" s="2031"/>
      <c r="X282" s="1466"/>
      <c r="Y282" s="2032"/>
      <c r="Z282" s="623"/>
      <c r="AA282" s="623"/>
    </row>
    <row r="283" spans="1:29" s="88" customFormat="1" ht="15" hidden="1" outlineLevel="2" thickBot="1" x14ac:dyDescent="0.45">
      <c r="B283" s="1980"/>
      <c r="C283" s="3889"/>
      <c r="D283" s="1869" t="s">
        <v>2089</v>
      </c>
      <c r="E283" s="1918" t="s">
        <v>3</v>
      </c>
      <c r="F283" s="1295">
        <f t="shared" si="45"/>
        <v>0.6</v>
      </c>
      <c r="G283" s="1295">
        <f t="shared" si="48"/>
        <v>28.211860045382707</v>
      </c>
      <c r="H283" s="1869"/>
      <c r="I283" s="1922" t="s">
        <v>263</v>
      </c>
      <c r="J283" s="1869"/>
      <c r="K283" s="837"/>
      <c r="L283" s="837"/>
      <c r="M283" s="842" t="str">
        <f>IFERROR(INDEX('Lower Hot Cell Logistics'!$I$13:$O$19,MATCH($K283,'Lower Hot Cell Logistics'!$H$13:$H$19,0),MATCH($L283,'Lower Hot Cell Logistics'!$H$13:$H$19,0)),"N/A")</f>
        <v>N/A</v>
      </c>
      <c r="N283" s="842" t="str">
        <f>IFERROR(VLOOKUP($J283,'Lower Hot Cell Logistics'!$H$4:$I$9,2,FALSE),"N/A")</f>
        <v>N/A</v>
      </c>
      <c r="O283" s="1922" t="str">
        <f t="shared" si="46"/>
        <v>N/A</v>
      </c>
      <c r="P283" s="1921" t="s">
        <v>2008</v>
      </c>
      <c r="Q283" s="1922">
        <f>IF($E283="Logistics",VLOOKUP($P283,'Lower Hot Cell Logistics'!$C$4:$D$69,2,FALSE),"N/A")</f>
        <v>0.6</v>
      </c>
      <c r="R283" s="3380"/>
      <c r="S283" s="1922" t="str">
        <f>IFERROR(VLOOKUP($R283,'Lower HotCell RecoveryLogistics'!$C$265:$F$313,4,FALSE),"N/A")</f>
        <v>N/A</v>
      </c>
      <c r="T283" s="632" t="str">
        <f t="shared" si="47"/>
        <v>N/A</v>
      </c>
      <c r="V283" s="2031"/>
      <c r="W283" s="2031"/>
      <c r="X283" s="1466"/>
      <c r="Y283" s="2032"/>
      <c r="Z283" s="623"/>
      <c r="AA283" s="623"/>
    </row>
    <row r="284" spans="1:29" s="8" customFormat="1" ht="15.75" hidden="1" customHeight="1" outlineLevel="2" x14ac:dyDescent="0.4">
      <c r="A284"/>
      <c r="B284" s="1980"/>
      <c r="C284" s="3787" t="s">
        <v>2306</v>
      </c>
      <c r="D284" s="1129" t="s">
        <v>1247</v>
      </c>
      <c r="E284" s="1620" t="s">
        <v>3</v>
      </c>
      <c r="F284" s="1621">
        <f t="shared" si="45"/>
        <v>0.8</v>
      </c>
      <c r="G284" s="1621">
        <f t="shared" si="48"/>
        <v>29.011860045382708</v>
      </c>
      <c r="H284" s="1129"/>
      <c r="I284" s="1575" t="s">
        <v>263</v>
      </c>
      <c r="J284" s="1129"/>
      <c r="K284" s="1619"/>
      <c r="L284" s="1619"/>
      <c r="M284" s="1623" t="str">
        <f>IFERROR(INDEX('Lower Hot Cell Logistics'!$I$13:$O$19,MATCH($I284,'Lower Hot Cell Logistics'!$H$13:$H$19,0),MATCH($J284,'Lower Hot Cell Logistics'!$H$13:$H$19,0)),"N/A")</f>
        <v>N/A</v>
      </c>
      <c r="N284" s="1623" t="str">
        <f>IFERROR(VLOOKUP($H284,'Lower Hot Cell Logistics'!$H$4:$I$9,2,FALSE),"N/A")</f>
        <v>N/A</v>
      </c>
      <c r="O284" s="1575" t="str">
        <f t="shared" si="46"/>
        <v>N/A</v>
      </c>
      <c r="P284" s="1576" t="s">
        <v>1828</v>
      </c>
      <c r="Q284" s="1575">
        <f>IF($E284="Logistics",VLOOKUP($P284,'Lower Hot Cell Logistics'!$C$4:$D$57,2,FALSE),"N/A")</f>
        <v>0.8</v>
      </c>
      <c r="R284" s="3376"/>
      <c r="S284" s="1575" t="str">
        <f>IFERROR(VLOOKUP($R284,'Lower HotCell RecoveryLogistics'!$C$265:$F$313,4,FALSE),"N/A")</f>
        <v>N/A</v>
      </c>
      <c r="T284" s="1130" t="str">
        <f t="shared" si="47"/>
        <v>N/A</v>
      </c>
      <c r="V284" s="290"/>
      <c r="W284" s="290"/>
      <c r="X284" s="290"/>
      <c r="Y284" s="7"/>
      <c r="Z284"/>
      <c r="AA284"/>
      <c r="AB284"/>
      <c r="AC284"/>
    </row>
    <row r="285" spans="1:29" s="8" customFormat="1" ht="15.75" hidden="1" customHeight="1" outlineLevel="2" x14ac:dyDescent="0.4">
      <c r="A285"/>
      <c r="B285" s="1980"/>
      <c r="C285" s="3786"/>
      <c r="D285" s="1579" t="s">
        <v>2307</v>
      </c>
      <c r="E285" s="1611" t="s">
        <v>251</v>
      </c>
      <c r="F285" s="626">
        <f t="shared" si="45"/>
        <v>12.602967059728389</v>
      </c>
      <c r="G285" s="626">
        <f t="shared" si="48"/>
        <v>41.614827105111097</v>
      </c>
      <c r="H285" s="1579" t="s">
        <v>441</v>
      </c>
      <c r="I285" s="1183">
        <v>12.602967059728389</v>
      </c>
      <c r="J285" s="1579"/>
      <c r="K285" s="582"/>
      <c r="L285" s="582"/>
      <c r="M285" s="1478" t="str">
        <f>IFERROR(INDEX('Lower Hot Cell Logistics'!$I$13:$O$19,MATCH($I285,'Lower Hot Cell Logistics'!$H$13:$H$19,0),MATCH($J285,'Lower Hot Cell Logistics'!$H$13:$H$19,0)),"N/A")</f>
        <v>N/A</v>
      </c>
      <c r="N285" s="1478" t="str">
        <f>IFERROR(VLOOKUP($H285,'Lower Hot Cell Logistics'!$H$4:$I$9,2,FALSE),"N/A")</f>
        <v>N/A</v>
      </c>
      <c r="O285" s="1183" t="str">
        <f t="shared" si="46"/>
        <v>N/A</v>
      </c>
      <c r="P285" s="1578" t="s">
        <v>1828</v>
      </c>
      <c r="Q285" s="1183" t="str">
        <f>IF($E285="Logistics",VLOOKUP($P285,'Lower Hot Cell Logistics'!$C$4:$D$57,2,FALSE),"N/A")</f>
        <v>N/A</v>
      </c>
      <c r="R285" s="3579"/>
      <c r="S285" s="1183" t="str">
        <f>IFERROR(VLOOKUP($R285,'Lower HotCell RecoveryLogistics'!$C$265:$F$313,4,FALSE),"N/A")</f>
        <v>N/A</v>
      </c>
      <c r="T285" s="632" t="str">
        <f t="shared" si="47"/>
        <v>N/A</v>
      </c>
      <c r="V285" s="290"/>
      <c r="W285" s="290"/>
      <c r="X285" s="290"/>
      <c r="Y285" s="7"/>
      <c r="Z285"/>
      <c r="AA285"/>
      <c r="AB285"/>
      <c r="AC285"/>
    </row>
    <row r="286" spans="1:29" s="8" customFormat="1" ht="15.75" hidden="1" customHeight="1" outlineLevel="2" x14ac:dyDescent="0.4">
      <c r="A286"/>
      <c r="B286" s="1980"/>
      <c r="C286" s="3786"/>
      <c r="D286" s="1579" t="s">
        <v>2308</v>
      </c>
      <c r="E286" s="1611" t="s">
        <v>3</v>
      </c>
      <c r="F286" s="626">
        <f t="shared" si="45"/>
        <v>0.6</v>
      </c>
      <c r="G286" s="626">
        <f t="shared" si="48"/>
        <v>42.214827105111098</v>
      </c>
      <c r="H286" s="1579"/>
      <c r="I286" s="1183" t="s">
        <v>263</v>
      </c>
      <c r="J286" s="1579"/>
      <c r="K286" s="582"/>
      <c r="L286" s="582"/>
      <c r="M286" s="1478" t="str">
        <f>IFERROR(INDEX('Lower Hot Cell Logistics'!$I$13:$O$19,MATCH($I286,'Lower Hot Cell Logistics'!$H$13:$H$19,0),MATCH($J286,'Lower Hot Cell Logistics'!$H$13:$H$19,0)),"N/A")</f>
        <v>N/A</v>
      </c>
      <c r="N286" s="1478" t="str">
        <f>IFERROR(VLOOKUP($H286,'Lower Hot Cell Logistics'!$H$4:$I$9,2,FALSE),"N/A")</f>
        <v>N/A</v>
      </c>
      <c r="O286" s="1183" t="str">
        <f t="shared" si="46"/>
        <v>N/A</v>
      </c>
      <c r="P286" s="1578" t="s">
        <v>2008</v>
      </c>
      <c r="Q286" s="1183">
        <f>IF($E286="Logistics",VLOOKUP($P286,'Lower Hot Cell Logistics'!$C$4:$D$57,2,FALSE),"N/A")</f>
        <v>0.6</v>
      </c>
      <c r="R286" s="3388" t="s">
        <v>2059</v>
      </c>
      <c r="S286" s="1183">
        <f>IFERROR(VLOOKUP($R286,'Lower HotCell RecoveryLogistics'!$C$265:$F$313,4,FALSE),"N/A")</f>
        <v>15.008892985654315</v>
      </c>
      <c r="T286" s="632">
        <f t="shared" si="47"/>
        <v>26.005934119456782</v>
      </c>
      <c r="V286" s="290"/>
      <c r="W286" s="290"/>
      <c r="X286" s="290"/>
      <c r="Y286" s="7"/>
      <c r="Z286"/>
      <c r="AA286"/>
      <c r="AB286"/>
      <c r="AC286"/>
    </row>
    <row r="287" spans="1:29" s="8" customFormat="1" hidden="1" outlineLevel="2" x14ac:dyDescent="0.4">
      <c r="A287"/>
      <c r="B287" s="1980"/>
      <c r="C287" s="3786"/>
      <c r="D287" s="1579" t="s">
        <v>1639</v>
      </c>
      <c r="E287" s="1611" t="s">
        <v>3</v>
      </c>
      <c r="F287" s="626">
        <f t="shared" si="45"/>
        <v>0.53</v>
      </c>
      <c r="G287" s="626">
        <f t="shared" si="48"/>
        <v>42.744827105111099</v>
      </c>
      <c r="H287" s="1579"/>
      <c r="I287" s="1183" t="s">
        <v>263</v>
      </c>
      <c r="J287" s="1579"/>
      <c r="K287" s="582"/>
      <c r="L287" s="582"/>
      <c r="M287" s="1478" t="str">
        <f>IFERROR(INDEX('Lower Hot Cell Logistics'!$I$13:$O$19,MATCH($I287,'Lower Hot Cell Logistics'!$H$13:$H$19,0),MATCH($J287,'Lower Hot Cell Logistics'!$H$13:$H$19,0)),"N/A")</f>
        <v>N/A</v>
      </c>
      <c r="N287" s="1478" t="str">
        <f>IFERROR(VLOOKUP($H287,'Lower Hot Cell Logistics'!$H$4:$I$9,2,FALSE),"N/A")</f>
        <v>N/A</v>
      </c>
      <c r="O287" s="1183" t="str">
        <f t="shared" si="46"/>
        <v>N/A</v>
      </c>
      <c r="P287" s="1578" t="s">
        <v>1558</v>
      </c>
      <c r="Q287" s="1183">
        <f>IF($E287="Logistics",VLOOKUP($P287,'Lower Hot Cell Logistics'!$C$4:$D$57,2,FALSE),"N/A")</f>
        <v>0.53</v>
      </c>
      <c r="R287" s="3377"/>
      <c r="S287" s="1183" t="str">
        <f>IFERROR(VLOOKUP($R287,'Lower HotCell RecoveryLogistics'!$C$265:$F$313,4,FALSE),"N/A")</f>
        <v>N/A</v>
      </c>
      <c r="T287" s="632" t="str">
        <f t="shared" si="47"/>
        <v>N/A</v>
      </c>
      <c r="V287" s="290"/>
      <c r="W287" s="290"/>
      <c r="X287" s="290"/>
      <c r="Y287" s="7"/>
      <c r="Z287"/>
      <c r="AA287"/>
      <c r="AB287"/>
      <c r="AC287"/>
    </row>
    <row r="288" spans="1:29" s="8" customFormat="1" ht="15.75" hidden="1" customHeight="1" outlineLevel="2" x14ac:dyDescent="0.4">
      <c r="A288"/>
      <c r="B288" s="1980"/>
      <c r="C288" s="3786"/>
      <c r="D288" s="1579" t="s">
        <v>2295</v>
      </c>
      <c r="E288" s="1611" t="s">
        <v>251</v>
      </c>
      <c r="F288" s="626">
        <f t="shared" si="45"/>
        <v>12.602967059728389</v>
      </c>
      <c r="G288" s="626">
        <f t="shared" si="48"/>
        <v>55.347794164839485</v>
      </c>
      <c r="H288" s="1579" t="s">
        <v>441</v>
      </c>
      <c r="I288" s="1183">
        <v>12.602967059728389</v>
      </c>
      <c r="J288" s="1579"/>
      <c r="K288" s="582"/>
      <c r="L288" s="582"/>
      <c r="M288" s="1478" t="str">
        <f>IFERROR(INDEX('Lower Hot Cell Logistics'!$I$13:$O$19,MATCH($I288,'Lower Hot Cell Logistics'!$H$13:$H$19,0),MATCH($J288,'Lower Hot Cell Logistics'!$H$13:$H$19,0)),"N/A")</f>
        <v>N/A</v>
      </c>
      <c r="N288" s="1478" t="str">
        <f>IFERROR(VLOOKUP($H288,'Lower Hot Cell Logistics'!$H$4:$I$9,2,FALSE),"N/A")</f>
        <v>N/A</v>
      </c>
      <c r="O288" s="1183" t="str">
        <f t="shared" si="46"/>
        <v>N/A</v>
      </c>
      <c r="P288" s="1578" t="s">
        <v>1828</v>
      </c>
      <c r="Q288" s="1183" t="str">
        <f>IF($E288="Logistics",VLOOKUP($P288,'Lower Hot Cell Logistics'!$C$4:$D$57,2,FALSE),"N/A")</f>
        <v>N/A</v>
      </c>
      <c r="R288" s="3377"/>
      <c r="S288" s="1183" t="str">
        <f>IFERROR(VLOOKUP($R288,'Lower HotCell RecoveryLogistics'!$C$265:$F$313,4,FALSE),"N/A")</f>
        <v>N/A</v>
      </c>
      <c r="T288" s="632" t="str">
        <f t="shared" si="47"/>
        <v>N/A</v>
      </c>
      <c r="V288" s="290"/>
      <c r="W288" s="290"/>
      <c r="X288" s="290"/>
      <c r="Y288" s="7"/>
      <c r="Z288"/>
      <c r="AA288"/>
      <c r="AB288"/>
      <c r="AC288"/>
    </row>
    <row r="289" spans="1:29" s="8" customFormat="1" ht="15.75" hidden="1" customHeight="1" outlineLevel="2" x14ac:dyDescent="0.4">
      <c r="A289"/>
      <c r="B289" s="1980"/>
      <c r="C289" s="3786"/>
      <c r="D289" s="1579" t="s">
        <v>2296</v>
      </c>
      <c r="E289" s="1611" t="s">
        <v>3</v>
      </c>
      <c r="F289" s="626">
        <f t="shared" si="45"/>
        <v>0.6</v>
      </c>
      <c r="G289" s="626">
        <f t="shared" si="48"/>
        <v>55.947794164839486</v>
      </c>
      <c r="H289" s="1579"/>
      <c r="I289" s="1183" t="s">
        <v>263</v>
      </c>
      <c r="J289" s="1579"/>
      <c r="K289" s="582"/>
      <c r="L289" s="582"/>
      <c r="M289" s="1478" t="str">
        <f>IFERROR(INDEX('Lower Hot Cell Logistics'!$I$13:$O$19,MATCH($I289,'Lower Hot Cell Logistics'!$H$13:$H$19,0),MATCH($J289,'Lower Hot Cell Logistics'!$H$13:$H$19,0)),"N/A")</f>
        <v>N/A</v>
      </c>
      <c r="N289" s="1478" t="str">
        <f>IFERROR(VLOOKUP($H289,'Lower Hot Cell Logistics'!$H$4:$I$9,2,FALSE),"N/A")</f>
        <v>N/A</v>
      </c>
      <c r="O289" s="1183" t="str">
        <f t="shared" si="46"/>
        <v>N/A</v>
      </c>
      <c r="P289" s="1578" t="s">
        <v>2008</v>
      </c>
      <c r="Q289" s="1183">
        <f>IF($E289="Logistics",VLOOKUP($P289,'Lower Hot Cell Logistics'!$C$4:$D$57,2,FALSE),"N/A")</f>
        <v>0.6</v>
      </c>
      <c r="R289" s="3377" t="s">
        <v>2289</v>
      </c>
      <c r="S289" s="1183">
        <f>IFERROR(VLOOKUP($R289,'Lower HotCell RecoveryLogistics'!$C$265:$F$313,4,FALSE),"N/A")</f>
        <v>29.417785971308628</v>
      </c>
      <c r="T289" s="632">
        <f t="shared" si="47"/>
        <v>25.330008193530855</v>
      </c>
      <c r="V289" s="290"/>
      <c r="W289" s="290"/>
      <c r="X289" s="290"/>
      <c r="Y289" s="7"/>
      <c r="Z289"/>
      <c r="AA289"/>
      <c r="AB289"/>
      <c r="AC289"/>
    </row>
    <row r="290" spans="1:29" s="8" customFormat="1" ht="15.75" hidden="1" customHeight="1" outlineLevel="2" thickBot="1" x14ac:dyDescent="0.45">
      <c r="A290"/>
      <c r="B290" s="1980"/>
      <c r="C290" s="3788"/>
      <c r="D290" s="1136" t="s">
        <v>2089</v>
      </c>
      <c r="E290" s="1581" t="s">
        <v>3</v>
      </c>
      <c r="F290" s="585">
        <f t="shared" si="45"/>
        <v>0.6</v>
      </c>
      <c r="G290" s="585">
        <f t="shared" si="48"/>
        <v>56.547794164839488</v>
      </c>
      <c r="H290" s="1136"/>
      <c r="I290" s="1179" t="s">
        <v>263</v>
      </c>
      <c r="J290" s="1136"/>
      <c r="K290" s="584"/>
      <c r="L290" s="584"/>
      <c r="M290" s="814" t="str">
        <f>IFERROR(INDEX('Lower Hot Cell Logistics'!$I$13:$O$19,MATCH($I290,'Lower Hot Cell Logistics'!$H$13:$H$19,0),MATCH($J290,'Lower Hot Cell Logistics'!$H$13:$H$19,0)),"N/A")</f>
        <v>N/A</v>
      </c>
      <c r="N290" s="814" t="str">
        <f>IFERROR(VLOOKUP($H290,'Lower Hot Cell Logistics'!$H$4:$I$9,2,FALSE),"N/A")</f>
        <v>N/A</v>
      </c>
      <c r="O290" s="1179" t="str">
        <f t="shared" si="46"/>
        <v>N/A</v>
      </c>
      <c r="P290" s="1582" t="s">
        <v>2008</v>
      </c>
      <c r="Q290" s="1179">
        <f>IF($E290="Logistics",VLOOKUP($P290,'Lower Hot Cell Logistics'!$C$4:$D$57,2,FALSE),"N/A")</f>
        <v>0.6</v>
      </c>
      <c r="R290" s="3378"/>
      <c r="S290" s="1179" t="str">
        <f>IFERROR(VLOOKUP($R290,'Lower HotCell RecoveryLogistics'!$C$265:$F$313,4,FALSE),"N/A")</f>
        <v>N/A</v>
      </c>
      <c r="T290" s="591" t="str">
        <f t="shared" si="47"/>
        <v>N/A</v>
      </c>
      <c r="V290" s="290"/>
      <c r="W290" s="290"/>
      <c r="X290" s="290"/>
      <c r="Y290" s="7"/>
      <c r="Z290"/>
      <c r="AA290"/>
      <c r="AB290"/>
      <c r="AC290"/>
    </row>
    <row r="291" spans="1:29" s="8" customFormat="1" ht="15" hidden="1" customHeight="1" outlineLevel="2" x14ac:dyDescent="0.4">
      <c r="A291"/>
      <c r="B291" s="1980"/>
      <c r="C291" s="3886" t="s">
        <v>2298</v>
      </c>
      <c r="D291" s="798" t="s">
        <v>1247</v>
      </c>
      <c r="E291" s="799" t="s">
        <v>3</v>
      </c>
      <c r="F291" s="326">
        <f t="shared" si="45"/>
        <v>0.8</v>
      </c>
      <c r="G291" s="800">
        <f t="shared" si="48"/>
        <v>57.347794164839485</v>
      </c>
      <c r="H291" s="566"/>
      <c r="I291" s="621" t="s">
        <v>263</v>
      </c>
      <c r="J291" s="568"/>
      <c r="K291" s="566"/>
      <c r="L291" s="801"/>
      <c r="M291" s="802" t="str">
        <f>IFERROR(INDEX(#REF!,MATCH($K291,#REF!,0),MATCH($L291,#REF!,0)),"N/A")</f>
        <v>N/A</v>
      </c>
      <c r="N291" s="570" t="str">
        <f>IFERROR(VLOOKUP($J291,#REF!,2,FALSE),"N/A")</f>
        <v>N/A</v>
      </c>
      <c r="O291" s="800" t="str">
        <f t="shared" si="46"/>
        <v>N/A</v>
      </c>
      <c r="P291" s="803" t="s">
        <v>1828</v>
      </c>
      <c r="Q291" s="802">
        <f>IF($E291="Logistics",VLOOKUP($P291,'Lower Hot Cell Logistics'!$C$4:$D$57,2,FALSE),"N/A")</f>
        <v>0.8</v>
      </c>
      <c r="R291" s="3398"/>
      <c r="S291" s="804" t="str">
        <f>IFERROR(VLOOKUP($R291,'Lower HotCell RecoveryLogistics'!$C$265:$F$313,4,FALSE),"N/A")</f>
        <v>N/A</v>
      </c>
      <c r="T291" s="621" t="str">
        <f t="shared" si="47"/>
        <v>N/A</v>
      </c>
      <c r="V291" s="290"/>
      <c r="W291" s="290"/>
      <c r="X291" s="290"/>
      <c r="Y291" s="7"/>
      <c r="Z291"/>
      <c r="AA291"/>
      <c r="AB291"/>
      <c r="AC291"/>
    </row>
    <row r="292" spans="1:29" s="8" customFormat="1" ht="15" hidden="1" customHeight="1" outlineLevel="2" x14ac:dyDescent="0.4">
      <c r="A292"/>
      <c r="B292" s="1980"/>
      <c r="C292" s="3890"/>
      <c r="D292" s="1781" t="s">
        <v>2299</v>
      </c>
      <c r="E292" s="848" t="s">
        <v>3</v>
      </c>
      <c r="F292" s="459">
        <f t="shared" si="45"/>
        <v>0.8</v>
      </c>
      <c r="G292" s="849">
        <f t="shared" si="48"/>
        <v>58.147794164839482</v>
      </c>
      <c r="H292" s="880"/>
      <c r="I292" s="850" t="s">
        <v>263</v>
      </c>
      <c r="J292" s="879"/>
      <c r="K292" s="880"/>
      <c r="L292" s="881"/>
      <c r="M292" s="1460" t="str">
        <f>IFERROR(INDEX(#REF!,MATCH($K292,#REF!,0),MATCH($L292,#REF!,0)),"N/A")</f>
        <v>N/A</v>
      </c>
      <c r="N292" s="1459" t="str">
        <f>IFERROR(VLOOKUP($J292,#REF!,2,FALSE),"N/A")</f>
        <v>N/A</v>
      </c>
      <c r="O292" s="849" t="str">
        <f t="shared" si="46"/>
        <v>N/A</v>
      </c>
      <c r="P292" s="854" t="s">
        <v>1828</v>
      </c>
      <c r="Q292" s="1460">
        <f>IF($E292="Logistics",VLOOKUP($P292,'Lower Hot Cell Logistics'!$C$4:$D$57,2,FALSE),"N/A")</f>
        <v>0.8</v>
      </c>
      <c r="R292" s="3401" t="s">
        <v>2286</v>
      </c>
      <c r="S292" s="855">
        <f>IFERROR(VLOOKUP($R292,'Lower HotCell RecoveryLogistics'!$C$265:$F$313,4,FALSE),"N/A")</f>
        <v>45.256308586592581</v>
      </c>
      <c r="T292" s="850">
        <f t="shared" si="47"/>
        <v>11.291485578246906</v>
      </c>
      <c r="V292" s="290"/>
      <c r="W292" s="290"/>
      <c r="X292" s="290"/>
      <c r="Y292" s="7"/>
      <c r="Z292"/>
      <c r="AA292"/>
      <c r="AB292"/>
      <c r="AC292"/>
    </row>
    <row r="293" spans="1:29" s="8" customFormat="1" ht="15" hidden="1" customHeight="1" outlineLevel="2" x14ac:dyDescent="0.4">
      <c r="A293"/>
      <c r="B293" s="1980"/>
      <c r="C293" s="3890"/>
      <c r="D293" s="1781" t="s">
        <v>2210</v>
      </c>
      <c r="E293" s="848" t="s">
        <v>251</v>
      </c>
      <c r="F293" s="459">
        <f t="shared" si="45"/>
        <v>17.622664625997164</v>
      </c>
      <c r="G293" s="849">
        <f t="shared" si="48"/>
        <v>126.34261046864347</v>
      </c>
      <c r="H293" s="880" t="s">
        <v>556</v>
      </c>
      <c r="I293" s="850">
        <v>17.622664625997164</v>
      </c>
      <c r="J293" s="879"/>
      <c r="K293" s="880"/>
      <c r="L293" s="881"/>
      <c r="M293" s="1460" t="str">
        <f>IFERROR(INDEX(#REF!,MATCH($K293,#REF!,0),MATCH($L293,#REF!,0)),"N/A")</f>
        <v>N/A</v>
      </c>
      <c r="N293" s="1459" t="str">
        <f>IFERROR(VLOOKUP($J293,#REF!,2,FALSE),"N/A")</f>
        <v>N/A</v>
      </c>
      <c r="O293" s="849" t="str">
        <f t="shared" si="46"/>
        <v>N/A</v>
      </c>
      <c r="P293" s="854"/>
      <c r="Q293" s="1460" t="str">
        <f>IF($E293="Logistics",VLOOKUP($P293,'Lower Hot Cell Logistics'!$C$4:$D$57,2,FALSE),"N/A")</f>
        <v>N/A</v>
      </c>
      <c r="R293" s="3401" t="s">
        <v>1881</v>
      </c>
      <c r="S293" s="855">
        <f>IFERROR(VLOOKUP($R293,'Lower HotCell RecoveryLogistics'!$C$265:$F$313,4,FALSE),"N/A")</f>
        <v>91.097281216649151</v>
      </c>
      <c r="T293" s="850">
        <f t="shared" si="47"/>
        <v>-50.572151677806829</v>
      </c>
      <c r="V293" s="290"/>
      <c r="W293" s="290"/>
      <c r="X293" s="290"/>
      <c r="Y293" s="7"/>
      <c r="Z293"/>
      <c r="AA293"/>
      <c r="AB293"/>
      <c r="AC293"/>
    </row>
    <row r="294" spans="1:29" s="8" customFormat="1" ht="15" hidden="1" customHeight="1" outlineLevel="2" x14ac:dyDescent="0.4">
      <c r="A294"/>
      <c r="B294" s="1980"/>
      <c r="C294" s="3890"/>
      <c r="D294" s="1781" t="s">
        <v>2300</v>
      </c>
      <c r="E294" s="848" t="s">
        <v>3</v>
      </c>
      <c r="F294" s="459">
        <f t="shared" si="45"/>
        <v>0.8</v>
      </c>
      <c r="G294" s="849">
        <f t="shared" si="48"/>
        <v>127.14261046864347</v>
      </c>
      <c r="H294" s="880"/>
      <c r="I294" s="850" t="s">
        <v>263</v>
      </c>
      <c r="J294" s="879"/>
      <c r="K294" s="880"/>
      <c r="L294" s="881"/>
      <c r="M294" s="1460" t="str">
        <f>IFERROR(INDEX(#REF!,MATCH($K294,#REF!,0),MATCH($L294,#REF!,0)),"N/A")</f>
        <v>N/A</v>
      </c>
      <c r="N294" s="1459" t="str">
        <f>IFERROR(VLOOKUP($J294,#REF!,2,FALSE),"N/A")</f>
        <v>N/A</v>
      </c>
      <c r="O294" s="849" t="str">
        <f t="shared" si="46"/>
        <v>N/A</v>
      </c>
      <c r="P294" s="854" t="s">
        <v>1828</v>
      </c>
      <c r="Q294" s="1460">
        <f>IF($E294="Logistics",VLOOKUP($P294,'Lower Hot Cell Logistics'!$C$4:$D$57,2,FALSE),"N/A")</f>
        <v>0.8</v>
      </c>
      <c r="R294" s="3401" t="s">
        <v>2287</v>
      </c>
      <c r="S294" s="855">
        <f>IFERROR(VLOOKUP($R294,'Lower HotCell RecoveryLogistics'!$C$265:$F$313,4,FALSE),"N/A")</f>
        <v>57.55372009076541</v>
      </c>
      <c r="T294" s="850">
        <f t="shared" si="47"/>
        <v>67.988890377878064</v>
      </c>
      <c r="V294" s="290"/>
      <c r="W294" s="290"/>
      <c r="X294" s="290"/>
      <c r="Y294" s="7"/>
      <c r="Z294"/>
      <c r="AA294"/>
      <c r="AB294"/>
      <c r="AC294"/>
    </row>
    <row r="295" spans="1:29" s="8" customFormat="1" ht="15" hidden="1" customHeight="1" outlineLevel="2" x14ac:dyDescent="0.4">
      <c r="A295"/>
      <c r="B295" s="1980"/>
      <c r="C295" s="3890"/>
      <c r="D295" s="1781" t="s">
        <v>2302</v>
      </c>
      <c r="E295" s="848" t="s">
        <v>251</v>
      </c>
      <c r="F295" s="459">
        <f t="shared" si="45"/>
        <v>17.622664625997164</v>
      </c>
      <c r="G295" s="849">
        <f t="shared" si="48"/>
        <v>144.76527509464063</v>
      </c>
      <c r="H295" s="880" t="s">
        <v>556</v>
      </c>
      <c r="I295" s="850">
        <v>17.622664625997164</v>
      </c>
      <c r="J295" s="879"/>
      <c r="K295" s="880"/>
      <c r="L295" s="881"/>
      <c r="M295" s="1460" t="str">
        <f>IFERROR(INDEX(#REF!,MATCH($K295,#REF!,0),MATCH($L295,#REF!,0)),"N/A")</f>
        <v>N/A</v>
      </c>
      <c r="N295" s="1459" t="str">
        <f>IFERROR(VLOOKUP($J295,#REF!,2,FALSE),"N/A")</f>
        <v>N/A</v>
      </c>
      <c r="O295" s="849" t="str">
        <f t="shared" si="46"/>
        <v>N/A</v>
      </c>
      <c r="P295" s="854"/>
      <c r="Q295" s="1460" t="str">
        <f>IF($E295="Logistics",VLOOKUP($P295,'Lower Hot Cell Logistics'!$C$4:$D$57,2,FALSE),"N/A")</f>
        <v>N/A</v>
      </c>
      <c r="R295" s="3401" t="s">
        <v>1880</v>
      </c>
      <c r="S295" s="855">
        <f>IFERROR(VLOOKUP($R295,'Lower HotCell RecoveryLogistics'!$C$265:$F$313,4,FALSE),"N/A")</f>
        <v>86.19783677220471</v>
      </c>
      <c r="T295" s="850">
        <f t="shared" si="47"/>
        <v>23.322109070441599</v>
      </c>
      <c r="V295" s="290"/>
      <c r="W295" s="290"/>
      <c r="X295" s="290"/>
      <c r="Y295" s="7"/>
      <c r="Z295"/>
      <c r="AA295"/>
      <c r="AB295"/>
      <c r="AC295"/>
    </row>
    <row r="296" spans="1:29" s="8" customFormat="1" ht="15" hidden="1" customHeight="1" outlineLevel="2" thickBot="1" x14ac:dyDescent="0.45">
      <c r="A296"/>
      <c r="B296" s="1980"/>
      <c r="C296" s="3887"/>
      <c r="D296" s="584" t="s">
        <v>2089</v>
      </c>
      <c r="E296" s="809" t="s">
        <v>3</v>
      </c>
      <c r="F296" s="467">
        <f t="shared" si="45"/>
        <v>0.6</v>
      </c>
      <c r="G296" s="810">
        <f t="shared" si="48"/>
        <v>145.36527509464062</v>
      </c>
      <c r="H296" s="1983"/>
      <c r="I296" s="811" t="s">
        <v>263</v>
      </c>
      <c r="J296" s="1984"/>
      <c r="K296" s="1983"/>
      <c r="L296" s="1985"/>
      <c r="M296" s="1986" t="str">
        <f>IFERROR(INDEX(#REF!,MATCH($K296,#REF!,0),MATCH($L296,#REF!,0)),"N/A")</f>
        <v>N/A</v>
      </c>
      <c r="N296" s="1987" t="str">
        <f>IFERROR(VLOOKUP($J296,#REF!,2,FALSE),"N/A")</f>
        <v>N/A</v>
      </c>
      <c r="O296" s="810" t="str">
        <f t="shared" si="46"/>
        <v>N/A</v>
      </c>
      <c r="P296" s="815" t="s">
        <v>2008</v>
      </c>
      <c r="Q296" s="1986">
        <f>IF($E296="Logistics",VLOOKUP($P296,'Lower Hot Cell Logistics'!$C$4:$D$57,2,FALSE),"N/A")</f>
        <v>0.6</v>
      </c>
      <c r="R296" s="3402"/>
      <c r="S296" s="816" t="str">
        <f>IFERROR(VLOOKUP($R296,'Lower HotCell RecoveryLogistics'!$C$265:$F$313,4,FALSE),"N/A")</f>
        <v>N/A</v>
      </c>
      <c r="T296" s="811" t="str">
        <f t="shared" si="47"/>
        <v>N/A</v>
      </c>
      <c r="V296" s="290"/>
      <c r="W296" s="290"/>
      <c r="X296" s="290"/>
      <c r="Y296" s="7"/>
      <c r="Z296"/>
      <c r="AA296"/>
      <c r="AB296"/>
      <c r="AC296"/>
    </row>
    <row r="297" spans="1:29" s="8" customFormat="1" ht="15.75" hidden="1" customHeight="1" outlineLevel="2" x14ac:dyDescent="0.4">
      <c r="A297"/>
      <c r="B297" s="1980"/>
      <c r="C297" s="3814" t="s">
        <v>2309</v>
      </c>
      <c r="D297" s="1906" t="s">
        <v>1247</v>
      </c>
      <c r="E297" s="1907" t="s">
        <v>3</v>
      </c>
      <c r="F297" s="1739">
        <f t="shared" si="45"/>
        <v>0.8</v>
      </c>
      <c r="G297" s="1739">
        <f t="shared" si="48"/>
        <v>146.16527509464063</v>
      </c>
      <c r="H297" s="1906"/>
      <c r="I297" s="1917" t="s">
        <v>263</v>
      </c>
      <c r="J297" s="1906"/>
      <c r="K297" s="1911"/>
      <c r="L297" s="1911"/>
      <c r="M297" s="1912" t="str">
        <f>IFERROR(INDEX('Lower Hot Cell Logistics'!$I$13:$O$19,MATCH($I297,'Lower Hot Cell Logistics'!$H$13:$H$19,0),MATCH($J297,'Lower Hot Cell Logistics'!$H$13:$H$19,0)),"N/A")</f>
        <v>N/A</v>
      </c>
      <c r="N297" s="1912" t="str">
        <f>IFERROR(VLOOKUP($H297,'Lower Hot Cell Logistics'!$H$4:$I$9,2,FALSE),"N/A")</f>
        <v>N/A</v>
      </c>
      <c r="O297" s="1917" t="str">
        <f t="shared" si="46"/>
        <v>N/A</v>
      </c>
      <c r="P297" s="1916" t="s">
        <v>1828</v>
      </c>
      <c r="Q297" s="1917">
        <f>IF($E297="Logistics",VLOOKUP($P297,'Lower Hot Cell Logistics'!$C$4:$D$57,2,FALSE),"N/A")</f>
        <v>0.8</v>
      </c>
      <c r="R297" s="3381"/>
      <c r="S297" s="1917" t="str">
        <f>IFERROR(VLOOKUP($R297,'Lower HotCell RecoveryLogistics'!$C$265:$F$313,4,FALSE),"N/A")</f>
        <v>N/A</v>
      </c>
      <c r="T297" s="1910" t="str">
        <f t="shared" si="47"/>
        <v>N/A</v>
      </c>
      <c r="V297" s="290"/>
      <c r="W297" s="290"/>
      <c r="X297" s="290"/>
      <c r="Y297" s="7"/>
      <c r="Z297"/>
      <c r="AA297"/>
      <c r="AB297"/>
      <c r="AC297"/>
    </row>
    <row r="298" spans="1:29" s="8" customFormat="1" ht="15" hidden="1" customHeight="1" outlineLevel="2" x14ac:dyDescent="0.4">
      <c r="A298"/>
      <c r="B298" s="1980"/>
      <c r="C298" s="3815"/>
      <c r="D298" s="857" t="s">
        <v>2310</v>
      </c>
      <c r="E298" s="2323" t="s">
        <v>3</v>
      </c>
      <c r="F298" s="483">
        <f>MAX($Q298,$O298,$I298)</f>
        <v>0.8</v>
      </c>
      <c r="G298" s="2324">
        <f t="shared" si="48"/>
        <v>146.96527509464065</v>
      </c>
      <c r="H298" s="860"/>
      <c r="I298" s="1332" t="s">
        <v>263</v>
      </c>
      <c r="J298" s="862"/>
      <c r="K298" s="860"/>
      <c r="L298" s="863"/>
      <c r="M298" s="864" t="str">
        <f>IFERROR(INDEX(#REF!,MATCH($K298,#REF!,0),MATCH($L298,#REF!,0)),"N/A")</f>
        <v>N/A</v>
      </c>
      <c r="N298" s="865" t="str">
        <f>IFERROR(VLOOKUP($J298,#REF!,2,FALSE),"N/A")</f>
        <v>N/A</v>
      </c>
      <c r="O298" s="2324" t="str">
        <f>IF(E298="Movement",IFERROR((M298/N298)/(60*60),"Error"),"N/A")</f>
        <v>N/A</v>
      </c>
      <c r="P298" s="2041" t="s">
        <v>1828</v>
      </c>
      <c r="Q298" s="864">
        <f>IF($E298="Logistics",VLOOKUP($P298,'Lower Hot Cell Logistics'!$C$4:$D$57,2,FALSE),"N/A")</f>
        <v>0.8</v>
      </c>
      <c r="R298" s="3380" t="s">
        <v>2077</v>
      </c>
      <c r="S298" s="2325">
        <f>IFERROR(VLOOKUP($R298,'Lower HotCell RecoveryLogistics'!$C$265:$F$313,4,FALSE),"N/A")</f>
        <v>128.14853639456939</v>
      </c>
      <c r="T298" s="1353">
        <f t="shared" si="47"/>
        <v>17.216738700071232</v>
      </c>
      <c r="V298" s="290"/>
      <c r="W298" s="290"/>
      <c r="X298" s="290"/>
      <c r="Y298" s="7"/>
      <c r="Z298"/>
      <c r="AA298"/>
      <c r="AB298"/>
      <c r="AC298"/>
    </row>
    <row r="299" spans="1:29" s="8" customFormat="1" ht="15.75" hidden="1" customHeight="1" outlineLevel="2" x14ac:dyDescent="0.4">
      <c r="A299"/>
      <c r="B299" s="1980"/>
      <c r="C299" s="3815"/>
      <c r="D299" s="1895" t="s">
        <v>1086</v>
      </c>
      <c r="E299" s="1896" t="s">
        <v>251</v>
      </c>
      <c r="F299" s="1347">
        <f t="shared" si="45"/>
        <v>10.036332312998582</v>
      </c>
      <c r="G299" s="1347">
        <f t="shared" si="48"/>
        <v>157.00160740763923</v>
      </c>
      <c r="H299" s="1895" t="s">
        <v>450</v>
      </c>
      <c r="I299" s="1903">
        <v>10.036332312998582</v>
      </c>
      <c r="J299" s="1895"/>
      <c r="K299" s="1897"/>
      <c r="L299" s="1897"/>
      <c r="M299" s="1898" t="str">
        <f>IFERROR(INDEX('Lower Hot Cell Logistics'!$I$13:$O$19,MATCH($I299,'Lower Hot Cell Logistics'!$H$13:$H$19,0),MATCH($J299,'Lower Hot Cell Logistics'!$H$13:$H$19,0)),"N/A")</f>
        <v>N/A</v>
      </c>
      <c r="N299" s="1898" t="str">
        <f>IFERROR(VLOOKUP($H299,'Lower Hot Cell Logistics'!$H$4:$I$9,2,FALSE),"N/A")</f>
        <v>N/A</v>
      </c>
      <c r="O299" s="1903" t="str">
        <f t="shared" si="46"/>
        <v>N/A</v>
      </c>
      <c r="P299" s="1902" t="s">
        <v>2008</v>
      </c>
      <c r="Q299" s="1903" t="str">
        <f>IF($E299="Logistics",VLOOKUP($P299,'Lower Hot Cell Logistics'!$C$4:$D$57,2,FALSE),"N/A")</f>
        <v>N/A</v>
      </c>
      <c r="R299" s="3380"/>
      <c r="S299" s="1903" t="str">
        <f>IFERROR(VLOOKUP($R299,'Lower HotCell RecoveryLogistics'!$C$265:$F$313,4,FALSE),"N/A")</f>
        <v>N/A</v>
      </c>
      <c r="T299" s="1332" t="str">
        <f t="shared" si="47"/>
        <v>N/A</v>
      </c>
      <c r="V299" s="290"/>
      <c r="W299" s="290"/>
      <c r="X299" s="290"/>
      <c r="Y299" s="7"/>
      <c r="Z299"/>
      <c r="AA299"/>
      <c r="AB299"/>
      <c r="AC299"/>
    </row>
    <row r="300" spans="1:29" s="8" customFormat="1" ht="15.75" hidden="1" customHeight="1" outlineLevel="2" x14ac:dyDescent="0.4">
      <c r="A300"/>
      <c r="B300" s="1980"/>
      <c r="C300" s="3815"/>
      <c r="D300" s="1895" t="s">
        <v>2311</v>
      </c>
      <c r="E300" s="1896" t="s">
        <v>3</v>
      </c>
      <c r="F300" s="1347">
        <f t="shared" si="45"/>
        <v>0.8</v>
      </c>
      <c r="G300" s="1347">
        <f t="shared" si="48"/>
        <v>157.80160740763924</v>
      </c>
      <c r="H300" s="1895"/>
      <c r="I300" s="1903" t="s">
        <v>263</v>
      </c>
      <c r="J300" s="1895"/>
      <c r="K300" s="1897"/>
      <c r="L300" s="1897"/>
      <c r="M300" s="1898" t="str">
        <f>IFERROR(INDEX('Lower Hot Cell Logistics'!$I$13:$O$19,MATCH($I300,'Lower Hot Cell Logistics'!$H$13:$H$19,0),MATCH($J300,'Lower Hot Cell Logistics'!$H$13:$H$19,0)),"N/A")</f>
        <v>N/A</v>
      </c>
      <c r="N300" s="1898" t="str">
        <f>IFERROR(VLOOKUP($H300,'Lower Hot Cell Logistics'!$H$4:$I$9,2,FALSE),"N/A")</f>
        <v>N/A</v>
      </c>
      <c r="O300" s="1903" t="str">
        <f t="shared" si="46"/>
        <v>N/A</v>
      </c>
      <c r="P300" s="1902" t="s">
        <v>1828</v>
      </c>
      <c r="Q300" s="1903">
        <f>IF($E300="Logistics",VLOOKUP($P300,'Lower Hot Cell Logistics'!$C$4:$D$57,2,FALSE),"N/A")</f>
        <v>0.8</v>
      </c>
      <c r="R300" s="3380"/>
      <c r="S300" s="1903" t="str">
        <f>IFERROR(VLOOKUP($R300,'Lower HotCell RecoveryLogistics'!$C$265:$F$313,4,FALSE),"N/A")</f>
        <v>N/A</v>
      </c>
      <c r="T300" s="1353" t="str">
        <f t="shared" si="47"/>
        <v>N/A</v>
      </c>
      <c r="V300" s="290"/>
      <c r="W300" s="290"/>
      <c r="X300" s="290"/>
      <c r="Y300" s="7"/>
      <c r="Z300"/>
      <c r="AA300"/>
      <c r="AB300"/>
      <c r="AC300"/>
    </row>
    <row r="301" spans="1:29" s="8" customFormat="1" ht="15.75" hidden="1" customHeight="1" outlineLevel="2" x14ac:dyDescent="0.4">
      <c r="A301"/>
      <c r="B301" s="1980"/>
      <c r="C301" s="3815"/>
      <c r="D301" s="1895" t="s">
        <v>2312</v>
      </c>
      <c r="E301" s="1896" t="s">
        <v>251</v>
      </c>
      <c r="F301" s="1347">
        <f t="shared" si="45"/>
        <v>10.036332312998582</v>
      </c>
      <c r="G301" s="1347">
        <f t="shared" si="48"/>
        <v>167.83793972063782</v>
      </c>
      <c r="H301" s="1895" t="s">
        <v>450</v>
      </c>
      <c r="I301" s="1903">
        <v>10.036332312998582</v>
      </c>
      <c r="J301" s="1895"/>
      <c r="K301" s="1897"/>
      <c r="L301" s="1897"/>
      <c r="M301" s="1898" t="str">
        <f>IFERROR(INDEX('Lower Hot Cell Logistics'!$I$13:$O$19,MATCH($I301,'Lower Hot Cell Logistics'!$H$13:$H$19,0),MATCH($J301,'Lower Hot Cell Logistics'!$H$13:$H$19,0)),"N/A")</f>
        <v>N/A</v>
      </c>
      <c r="N301" s="1898" t="str">
        <f>IFERROR(VLOOKUP($H301,'Lower Hot Cell Logistics'!$H$4:$I$9,2,FALSE),"N/A")</f>
        <v>N/A</v>
      </c>
      <c r="O301" s="1903" t="str">
        <f t="shared" si="46"/>
        <v>N/A</v>
      </c>
      <c r="P301" s="1902"/>
      <c r="Q301" s="1903" t="str">
        <f>IF($E301="Logistics",VLOOKUP($P301,'Lower Hot Cell Logistics'!$C$4:$D$57,2,FALSE),"N/A")</f>
        <v>N/A</v>
      </c>
      <c r="R301" s="3380" t="s">
        <v>2079</v>
      </c>
      <c r="S301" s="1903">
        <f>IFERROR(VLOOKUP($R301,'Lower HotCell RecoveryLogistics'!$C$265:$F$313,4,FALSE),"N/A")</f>
        <v>146.57120102056658</v>
      </c>
      <c r="T301" s="1353">
        <f t="shared" si="47"/>
        <v>1.1940740740740807</v>
      </c>
      <c r="V301" s="290"/>
      <c r="W301" s="290"/>
      <c r="X301" s="290"/>
      <c r="Y301" s="7"/>
      <c r="Z301"/>
      <c r="AA301"/>
      <c r="AB301"/>
      <c r="AC301"/>
    </row>
    <row r="302" spans="1:29" s="8" customFormat="1" ht="15.75" hidden="1" customHeight="1" outlineLevel="2" thickBot="1" x14ac:dyDescent="0.45">
      <c r="A302"/>
      <c r="B302" s="1980"/>
      <c r="C302" s="3816"/>
      <c r="D302" s="1869" t="s">
        <v>1599</v>
      </c>
      <c r="E302" s="1918" t="s">
        <v>3</v>
      </c>
      <c r="F302" s="1295">
        <f t="shared" si="45"/>
        <v>0.6</v>
      </c>
      <c r="G302" s="1295">
        <f t="shared" si="48"/>
        <v>168.43793972063781</v>
      </c>
      <c r="H302" s="1869"/>
      <c r="I302" s="1922" t="s">
        <v>263</v>
      </c>
      <c r="J302" s="1869"/>
      <c r="K302" s="837"/>
      <c r="L302" s="837"/>
      <c r="M302" s="842" t="str">
        <f>IFERROR(INDEX('Lower Hot Cell Logistics'!$I$13:$O$19,MATCH($I302,'Lower Hot Cell Logistics'!$H$13:$H$19,0),MATCH($J302,'Lower Hot Cell Logistics'!$H$13:$H$19,0)),"N/A")</f>
        <v>N/A</v>
      </c>
      <c r="N302" s="842" t="str">
        <f>IFERROR(VLOOKUP($H302,'Lower Hot Cell Logistics'!$H$4:$I$9,2,FALSE),"N/A")</f>
        <v>N/A</v>
      </c>
      <c r="O302" s="1922" t="str">
        <f t="shared" si="46"/>
        <v>N/A</v>
      </c>
      <c r="P302" s="1921" t="s">
        <v>2008</v>
      </c>
      <c r="Q302" s="1922">
        <f>IF($E302="Logistics",VLOOKUP($P302,'Lower Hot Cell Logistics'!$C$4:$D$57,2,FALSE),"N/A")</f>
        <v>0.6</v>
      </c>
      <c r="R302" s="3382"/>
      <c r="S302" s="1922" t="str">
        <f>IFERROR(VLOOKUP($R302,'Lower HotCell RecoveryLogistics'!$C$265:$F$313,4,FALSE),"N/A")</f>
        <v>N/A</v>
      </c>
      <c r="T302" s="1345" t="str">
        <f t="shared" si="47"/>
        <v>N/A</v>
      </c>
      <c r="V302" s="290"/>
      <c r="W302" s="290"/>
      <c r="X302" s="290"/>
      <c r="Y302" s="7"/>
      <c r="Z302"/>
      <c r="AA302"/>
      <c r="AB302"/>
      <c r="AC302"/>
    </row>
    <row r="303" spans="1:29" s="8" customFormat="1" outlineLevel="1" collapsed="1" x14ac:dyDescent="0.4">
      <c r="A303"/>
      <c r="B303" s="1980"/>
      <c r="C303" s="891"/>
      <c r="D303" s="892"/>
      <c r="E303" s="1439" t="s">
        <v>11</v>
      </c>
      <c r="F303" s="1439"/>
      <c r="G303" s="894">
        <f>G302</f>
        <v>168.43793972063781</v>
      </c>
      <c r="H303" s="94"/>
      <c r="I303" s="895"/>
      <c r="J303" s="94"/>
      <c r="K303" s="94"/>
      <c r="L303" s="896"/>
      <c r="M303" s="897"/>
      <c r="N303" s="897"/>
      <c r="O303" s="894"/>
      <c r="P303" s="94"/>
      <c r="Q303" s="897"/>
      <c r="R303" s="3383"/>
      <c r="S303" s="7"/>
      <c r="T303" s="895"/>
      <c r="U303" s="895"/>
      <c r="V303" s="7"/>
      <c r="W303" s="7"/>
      <c r="X303" s="7"/>
      <c r="Y303" s="7"/>
      <c r="Z303"/>
      <c r="AA303"/>
      <c r="AB303"/>
      <c r="AC303"/>
    </row>
    <row r="304" spans="1:29" s="8" customFormat="1" outlineLevel="1" x14ac:dyDescent="0.4">
      <c r="A304"/>
      <c r="B304" s="1980"/>
      <c r="C304" s="891"/>
      <c r="D304" s="892"/>
      <c r="E304" s="898"/>
      <c r="F304" s="894"/>
      <c r="G304" s="894"/>
      <c r="H304" s="94"/>
      <c r="I304" s="895"/>
      <c r="J304" s="94"/>
      <c r="K304" s="94"/>
      <c r="L304" s="896"/>
      <c r="M304" s="897"/>
      <c r="N304" s="897"/>
      <c r="O304" s="894"/>
      <c r="P304" s="94"/>
      <c r="Q304" s="897"/>
      <c r="R304" s="3383"/>
      <c r="S304" s="7"/>
      <c r="T304" s="895"/>
      <c r="U304" s="895"/>
      <c r="V304" s="7"/>
      <c r="W304" s="7"/>
      <c r="X304" s="7"/>
      <c r="Y304" s="7"/>
      <c r="Z304"/>
      <c r="AA304"/>
      <c r="AB304"/>
      <c r="AC304"/>
    </row>
    <row r="305" spans="1:29" s="8" customFormat="1" x14ac:dyDescent="0.4">
      <c r="A305"/>
      <c r="B305" s="1989"/>
      <c r="C305" s="1991"/>
      <c r="D305" s="1991"/>
      <c r="E305" s="1992"/>
      <c r="F305" s="1991"/>
      <c r="G305" s="1991"/>
      <c r="H305" s="1993"/>
      <c r="I305" s="1994"/>
      <c r="J305" s="1991"/>
      <c r="K305" s="1991"/>
      <c r="L305" s="1990"/>
      <c r="M305" s="1991"/>
      <c r="N305" s="1991"/>
      <c r="O305" s="1991"/>
      <c r="P305" s="1991"/>
      <c r="Q305" s="1991"/>
      <c r="R305" s="3403"/>
      <c r="S305" s="1994"/>
      <c r="T305" s="1991"/>
      <c r="U305" s="1991"/>
      <c r="V305" s="1994"/>
      <c r="W305" s="1994"/>
      <c r="X305" s="1994"/>
      <c r="Y305" s="1994"/>
      <c r="Z305"/>
      <c r="AA305"/>
      <c r="AB305"/>
      <c r="AC305"/>
    </row>
    <row r="307" spans="1:29" s="8" customFormat="1" ht="15.45" x14ac:dyDescent="0.4">
      <c r="A307"/>
      <c r="B307" s="1995"/>
      <c r="C307" s="2302"/>
      <c r="D307" s="1997" t="s">
        <v>1900</v>
      </c>
      <c r="E307" s="1998"/>
      <c r="F307" s="1998"/>
      <c r="G307" s="1998"/>
      <c r="H307" s="1998"/>
      <c r="I307" s="1998"/>
      <c r="J307" s="1998"/>
      <c r="K307" s="1998"/>
      <c r="L307" s="1998"/>
      <c r="M307" s="1998"/>
      <c r="N307" s="1998"/>
      <c r="O307" s="1998"/>
      <c r="P307" s="1998"/>
      <c r="Q307" s="1998"/>
      <c r="R307" s="3404"/>
      <c r="S307" s="1998"/>
      <c r="T307" s="1998"/>
      <c r="U307" s="1998"/>
      <c r="V307" s="1998"/>
      <c r="W307" s="1998"/>
      <c r="X307" s="1998"/>
      <c r="Y307" s="1998"/>
      <c r="Z307"/>
      <c r="AA307"/>
      <c r="AB307"/>
      <c r="AC307"/>
    </row>
    <row r="308" spans="1:29" s="8" customFormat="1" outlineLevel="1" x14ac:dyDescent="0.4">
      <c r="A308"/>
      <c r="B308" s="1999"/>
      <c r="C308" s="704"/>
      <c r="D308" s="748" t="s">
        <v>1053</v>
      </c>
      <c r="E308" s="749"/>
      <c r="F308" s="704"/>
      <c r="G308" s="704"/>
      <c r="H308" s="704"/>
      <c r="I308" s="750"/>
      <c r="J308" s="704"/>
      <c r="K308" s="704"/>
      <c r="L308" s="704"/>
      <c r="M308" s="704"/>
      <c r="N308" s="704"/>
      <c r="O308" s="704"/>
      <c r="P308" s="704"/>
      <c r="Q308" s="704"/>
      <c r="R308" s="3364"/>
      <c r="S308" s="750"/>
      <c r="T308" s="704"/>
      <c r="U308" s="704"/>
      <c r="V308" s="750"/>
      <c r="W308" s="750"/>
      <c r="X308" s="750"/>
      <c r="Y308" s="750"/>
      <c r="Z308"/>
      <c r="AA308"/>
      <c r="AB308"/>
      <c r="AC308"/>
    </row>
    <row r="309" spans="1:29" s="8" customFormat="1" ht="15" outlineLevel="1" thickBot="1" x14ac:dyDescent="0.45">
      <c r="A309"/>
      <c r="B309" s="1999"/>
      <c r="C309" s="704"/>
      <c r="D309" s="704" t="s">
        <v>1034</v>
      </c>
      <c r="E309" s="749"/>
      <c r="F309" s="704"/>
      <c r="G309" s="704"/>
      <c r="H309" s="704"/>
      <c r="I309" s="750"/>
      <c r="J309" s="704"/>
      <c r="K309" s="704"/>
      <c r="L309" s="704"/>
      <c r="M309" s="704"/>
      <c r="N309" s="704"/>
      <c r="O309" s="704"/>
      <c r="P309" s="704"/>
      <c r="Q309" s="704"/>
      <c r="R309" s="3364"/>
      <c r="S309" s="750"/>
      <c r="T309" s="704"/>
      <c r="V309" s="704"/>
      <c r="W309" s="750"/>
      <c r="X309" s="750"/>
      <c r="Y309" s="750"/>
      <c r="Z309"/>
      <c r="AA309"/>
      <c r="AB309"/>
      <c r="AC309"/>
    </row>
    <row r="310" spans="1:29" s="8" customFormat="1" outlineLevel="1" x14ac:dyDescent="0.4">
      <c r="A310"/>
      <c r="B310" s="1999"/>
      <c r="C310" s="704"/>
      <c r="D310" t="s">
        <v>2690</v>
      </c>
      <c r="E310" s="749"/>
      <c r="F310" s="704"/>
      <c r="G310" s="704"/>
      <c r="H310" s="704"/>
      <c r="I310" s="750"/>
      <c r="J310" s="704"/>
      <c r="K310" s="704"/>
      <c r="L310" s="704"/>
      <c r="M310" s="704"/>
      <c r="N310" s="704"/>
      <c r="O310" s="704"/>
      <c r="P310" s="704"/>
      <c r="Q310" s="704"/>
      <c r="R310" s="3570"/>
      <c r="S310" s="3582" t="s">
        <v>23</v>
      </c>
      <c r="T310" s="3842" t="s">
        <v>2604</v>
      </c>
      <c r="U310" s="3843"/>
      <c r="V310" s="3843"/>
      <c r="W310" s="3843"/>
      <c r="X310" s="3844"/>
      <c r="Y310" s="1044"/>
      <c r="Z310"/>
      <c r="AA310"/>
      <c r="AB310"/>
      <c r="AC310"/>
    </row>
    <row r="311" spans="1:29" s="8" customFormat="1" outlineLevel="1" x14ac:dyDescent="0.4">
      <c r="A311"/>
      <c r="B311" s="1999"/>
      <c r="C311" s="704"/>
      <c r="D311" s="704" t="s">
        <v>1035</v>
      </c>
      <c r="E311" s="749"/>
      <c r="F311" s="704"/>
      <c r="G311" s="704"/>
      <c r="H311" s="704"/>
      <c r="I311" s="750"/>
      <c r="J311" s="704"/>
      <c r="K311" s="704"/>
      <c r="L311" s="704"/>
      <c r="M311" s="704"/>
      <c r="N311" s="704"/>
      <c r="O311" s="704"/>
      <c r="P311" s="704"/>
      <c r="Q311" s="704"/>
      <c r="R311" s="3543" t="s">
        <v>1055</v>
      </c>
      <c r="S311" s="1513">
        <v>1</v>
      </c>
      <c r="T311" s="1512">
        <v>1</v>
      </c>
      <c r="U311" s="916">
        <v>2</v>
      </c>
      <c r="V311" s="916">
        <v>3</v>
      </c>
      <c r="W311" s="916">
        <v>4</v>
      </c>
      <c r="X311" s="1045">
        <v>6</v>
      </c>
      <c r="Y311" s="1851"/>
      <c r="Z311"/>
      <c r="AA311"/>
      <c r="AB311"/>
      <c r="AC311"/>
    </row>
    <row r="312" spans="1:29" s="8" customFormat="1" outlineLevel="1" x14ac:dyDescent="0.4">
      <c r="A312"/>
      <c r="B312" s="1999"/>
      <c r="C312" s="704"/>
      <c r="D312" s="704" t="s">
        <v>1036</v>
      </c>
      <c r="E312" s="749"/>
      <c r="F312" s="704"/>
      <c r="G312" s="704"/>
      <c r="H312" s="704"/>
      <c r="I312" s="750"/>
      <c r="J312" s="704"/>
      <c r="K312" s="704"/>
      <c r="L312" s="704"/>
      <c r="M312" s="704"/>
      <c r="N312" s="704"/>
      <c r="O312" s="704"/>
      <c r="P312" s="704"/>
      <c r="Q312" s="704"/>
      <c r="R312" s="3140" t="s">
        <v>2665</v>
      </c>
      <c r="S312" s="290">
        <f>connect_inner_pipwork</f>
        <v>53.784637313778319</v>
      </c>
      <c r="T312" s="1415">
        <f>ROUNDUP(Tokamak_Segmts/T311,0)*connect_inner_pipwork</f>
        <v>860.5541970204531</v>
      </c>
      <c r="U312" s="917">
        <f>ROUNDUP(Tokamak_Segmts/U311,0)*connect_inner_pipwork</f>
        <v>430.27709851022655</v>
      </c>
      <c r="V312" s="917">
        <f>ROUNDUP(Tokamak_Segmts/V311,0)*connect_inner_pipwork</f>
        <v>322.70782388266991</v>
      </c>
      <c r="W312" s="917">
        <f>ROUNDUP(Tokamak_Segmts/W311,0)*connect_inner_pipwork</f>
        <v>215.13854925511328</v>
      </c>
      <c r="X312" s="1028">
        <f>ROUNDUP(Tokamak_Segmts/X311,0)*connect_inner_pipwork</f>
        <v>161.35391194133496</v>
      </c>
      <c r="Y312" s="290"/>
      <c r="Z312"/>
      <c r="AA312"/>
      <c r="AB312"/>
      <c r="AC312"/>
    </row>
    <row r="313" spans="1:29" s="8" customFormat="1" ht="15" outlineLevel="1" thickBot="1" x14ac:dyDescent="0.45">
      <c r="A313"/>
      <c r="B313" s="1999"/>
      <c r="C313" s="704"/>
      <c r="D313" s="704" t="s">
        <v>1037</v>
      </c>
      <c r="E313" s="749"/>
      <c r="F313" s="704"/>
      <c r="G313" s="704"/>
      <c r="H313" s="704"/>
      <c r="I313" s="750"/>
      <c r="J313" s="704"/>
      <c r="K313" s="704"/>
      <c r="L313" s="704"/>
      <c r="M313" s="704"/>
      <c r="N313" s="704"/>
      <c r="O313" s="704"/>
      <c r="P313" s="704"/>
      <c r="Q313" s="704"/>
      <c r="R313" s="3141" t="s">
        <v>2693</v>
      </c>
      <c r="S313" s="1138">
        <f>S$312*$E$317</f>
        <v>0.59163101045156152</v>
      </c>
      <c r="T313" s="1416">
        <f t="shared" ref="T313:X313" si="49">T$312*$E$317</f>
        <v>9.4660961672249844</v>
      </c>
      <c r="U313" s="920">
        <f t="shared" si="49"/>
        <v>4.7330480836124922</v>
      </c>
      <c r="V313" s="920">
        <f t="shared" si="49"/>
        <v>3.5497860627093689</v>
      </c>
      <c r="W313" s="920">
        <f t="shared" si="49"/>
        <v>2.3665240418062461</v>
      </c>
      <c r="X313" s="1029">
        <f t="shared" si="49"/>
        <v>1.7748930313546845</v>
      </c>
      <c r="Y313" s="290"/>
      <c r="Z313"/>
      <c r="AA313"/>
      <c r="AB313"/>
      <c r="AC313"/>
    </row>
    <row r="314" spans="1:29" s="8" customFormat="1" outlineLevel="1" x14ac:dyDescent="0.4">
      <c r="A314"/>
      <c r="B314" s="1999"/>
      <c r="C314" s="704"/>
      <c r="D314" s="704" t="s">
        <v>1038</v>
      </c>
      <c r="E314" s="749"/>
      <c r="F314" s="704"/>
      <c r="G314" s="704"/>
      <c r="H314" s="704"/>
      <c r="I314" s="750"/>
      <c r="J314" s="704"/>
      <c r="K314" s="704"/>
      <c r="L314" s="704"/>
      <c r="M314" s="704"/>
      <c r="N314" s="704"/>
      <c r="O314" s="704"/>
      <c r="P314" s="704"/>
      <c r="Q314" s="704"/>
      <c r="R314" s="3571" t="s">
        <v>1048</v>
      </c>
      <c r="S314" s="3583">
        <f t="shared" ref="S314:X314" si="50">S313*(SUMIF($E$325:$E$331,"Operation",$F$325:$F$331))</f>
        <v>17.882421015762542</v>
      </c>
      <c r="T314" s="1500">
        <f t="shared" si="50"/>
        <v>286.11873625220068</v>
      </c>
      <c r="U314" s="768">
        <f t="shared" si="50"/>
        <v>143.05936812610034</v>
      </c>
      <c r="V314" s="768">
        <f t="shared" si="50"/>
        <v>107.29452609457526</v>
      </c>
      <c r="W314" s="768">
        <f t="shared" si="50"/>
        <v>71.529684063050169</v>
      </c>
      <c r="X314" s="1062">
        <f t="shared" si="50"/>
        <v>53.64726304728763</v>
      </c>
      <c r="Y314" s="290"/>
      <c r="Z314"/>
      <c r="AA314"/>
      <c r="AB314"/>
      <c r="AC314"/>
    </row>
    <row r="315" spans="1:29" s="8" customFormat="1" outlineLevel="1" x14ac:dyDescent="0.4">
      <c r="A315"/>
      <c r="B315" s="1999"/>
      <c r="C315" s="704"/>
      <c r="D315" s="704"/>
      <c r="E315" s="749"/>
      <c r="F315" s="704"/>
      <c r="G315" s="704"/>
      <c r="H315" s="704"/>
      <c r="I315" s="750"/>
      <c r="J315" s="704"/>
      <c r="K315" s="704"/>
      <c r="L315" s="704"/>
      <c r="M315" s="704"/>
      <c r="N315" s="704"/>
      <c r="O315" s="704"/>
      <c r="P315" s="704"/>
      <c r="Q315" s="704"/>
      <c r="R315" s="3543" t="s">
        <v>2658</v>
      </c>
      <c r="S315" s="1020">
        <f t="shared" ref="S315:X315" si="51">S313*(SUMIF($E$325:$E$331,"Movement",$F$325:$F$331)+(SUMIF($E$325:$E$331,"Logistics",$F$325:$F$331)))</f>
        <v>1.6565668292643725</v>
      </c>
      <c r="T315" s="1502">
        <f t="shared" si="51"/>
        <v>26.50506926822996</v>
      </c>
      <c r="U315" s="769">
        <f t="shared" si="51"/>
        <v>13.25253463411498</v>
      </c>
      <c r="V315" s="769">
        <f t="shared" si="51"/>
        <v>9.9394009755862331</v>
      </c>
      <c r="W315" s="769">
        <f t="shared" si="51"/>
        <v>6.6262673170574899</v>
      </c>
      <c r="X315" s="1064">
        <f t="shared" si="51"/>
        <v>4.9697004877931166</v>
      </c>
      <c r="Y315" s="290"/>
      <c r="Z315"/>
      <c r="AA315"/>
      <c r="AB315"/>
      <c r="AC315"/>
    </row>
    <row r="316" spans="1:29" s="8" customFormat="1" ht="15" outlineLevel="1" thickBot="1" x14ac:dyDescent="0.45">
      <c r="A316"/>
      <c r="B316" s="1999"/>
      <c r="C316" s="704"/>
      <c r="D316" s="704"/>
      <c r="E316" s="749"/>
      <c r="F316" s="704"/>
      <c r="G316" s="704"/>
      <c r="H316" s="704"/>
      <c r="I316" s="750"/>
      <c r="J316" s="704"/>
      <c r="K316" s="704"/>
      <c r="L316" s="704"/>
      <c r="M316" s="704"/>
      <c r="N316" s="704"/>
      <c r="O316" s="704"/>
      <c r="P316" s="704"/>
      <c r="Q316" s="704"/>
      <c r="R316" s="3572" t="s">
        <v>2663</v>
      </c>
      <c r="S316" s="1766">
        <f t="shared" ref="S316:X316" si="52">S313*(-SUMIF($T$325:$T$331,"&lt;0"))</f>
        <v>35.097608678568037</v>
      </c>
      <c r="T316" s="1110">
        <f t="shared" si="52"/>
        <v>561.56173885708859</v>
      </c>
      <c r="U316" s="770">
        <f t="shared" si="52"/>
        <v>280.78086942854429</v>
      </c>
      <c r="V316" s="770">
        <f t="shared" si="52"/>
        <v>210.58565207140819</v>
      </c>
      <c r="W316" s="770">
        <f t="shared" si="52"/>
        <v>140.39043471427215</v>
      </c>
      <c r="X316" s="1066">
        <f t="shared" si="52"/>
        <v>105.2928260357041</v>
      </c>
      <c r="Y316" s="290"/>
      <c r="Z316"/>
      <c r="AA316"/>
      <c r="AB316"/>
      <c r="AC316"/>
    </row>
    <row r="317" spans="1:29" s="8" customFormat="1" ht="15" outlineLevel="1" thickBot="1" x14ac:dyDescent="0.45">
      <c r="A317"/>
      <c r="B317" s="1999"/>
      <c r="C317" s="704"/>
      <c r="D317" s="748" t="s">
        <v>1056</v>
      </c>
      <c r="E317" s="709">
        <f>SUM(E318:E319)</f>
        <v>1.0999999999999999E-2</v>
      </c>
      <c r="F317" s="709"/>
      <c r="G317" s="709"/>
      <c r="H317" s="709"/>
      <c r="I317" s="919"/>
      <c r="J317" s="918"/>
      <c r="K317" s="918"/>
      <c r="L317" s="918"/>
      <c r="M317" s="918"/>
      <c r="N317" s="918"/>
      <c r="O317" s="918"/>
      <c r="P317" s="704"/>
      <c r="Q317" s="704"/>
      <c r="R317" s="3573" t="s">
        <v>2667</v>
      </c>
      <c r="S317" s="694">
        <f t="shared" ref="S317:X317" si="53">S313*$G$332</f>
        <v>54.636596523594953</v>
      </c>
      <c r="T317" s="2994">
        <f t="shared" si="53"/>
        <v>874.18554437751925</v>
      </c>
      <c r="U317" s="694">
        <f t="shared" si="53"/>
        <v>437.09277218875962</v>
      </c>
      <c r="V317" s="694">
        <f t="shared" si="53"/>
        <v>327.8195791415697</v>
      </c>
      <c r="W317" s="694">
        <f t="shared" si="53"/>
        <v>218.54638609437981</v>
      </c>
      <c r="X317" s="2974">
        <f t="shared" si="53"/>
        <v>163.90978957078485</v>
      </c>
      <c r="Y317" s="915"/>
      <c r="Z317"/>
      <c r="AA317"/>
      <c r="AB317"/>
      <c r="AC317"/>
    </row>
    <row r="318" spans="1:29" s="8" customFormat="1" outlineLevel="1" x14ac:dyDescent="0.4">
      <c r="A318"/>
      <c r="B318" s="2000"/>
      <c r="C318" s="5"/>
      <c r="D318" s="7" t="s">
        <v>1057</v>
      </c>
      <c r="E318" s="763">
        <f>Weld_Failure_Rate</f>
        <v>1E-3</v>
      </c>
      <c r="F318" s="922"/>
      <c r="G318" s="922"/>
      <c r="H318" s="924"/>
      <c r="I318" s="290"/>
      <c r="J318" s="922"/>
      <c r="K318" s="922"/>
      <c r="L318" s="925"/>
      <c r="M318" s="922"/>
      <c r="N318" s="922"/>
      <c r="O318" s="922"/>
      <c r="P318" s="706"/>
      <c r="Q318" s="7"/>
      <c r="Y318" s="915"/>
      <c r="Z318"/>
      <c r="AA318"/>
      <c r="AB318"/>
      <c r="AC318"/>
    </row>
    <row r="319" spans="1:29" s="8" customFormat="1" outlineLevel="1" x14ac:dyDescent="0.4">
      <c r="A319"/>
      <c r="B319" s="2000"/>
      <c r="C319" s="5"/>
      <c r="D319" s="7" t="s">
        <v>1058</v>
      </c>
      <c r="E319" s="763">
        <f>SJS_welder_failure</f>
        <v>0.01</v>
      </c>
      <c r="F319" s="922"/>
      <c r="G319" s="922"/>
      <c r="H319" s="924"/>
      <c r="I319" s="290"/>
      <c r="J319" s="922"/>
      <c r="K319" s="922"/>
      <c r="L319" s="925"/>
      <c r="M319" s="922"/>
      <c r="N319" s="922"/>
      <c r="O319" s="922"/>
      <c r="P319" s="706"/>
      <c r="Q319" s="7"/>
      <c r="Y319" s="915"/>
      <c r="Z319"/>
      <c r="AA319"/>
      <c r="AB319"/>
      <c r="AC319"/>
    </row>
    <row r="320" spans="1:29" s="8" customFormat="1" outlineLevel="1" x14ac:dyDescent="0.4">
      <c r="A320"/>
      <c r="B320" s="2000"/>
      <c r="C320" s="5"/>
      <c r="D320" s="926" t="s">
        <v>1059</v>
      </c>
      <c r="E320" s="709">
        <f>E317*(1-(1-E317)^(Divertor_port_pipes_per_blanket))</f>
        <v>3.5902164100000021E-4</v>
      </c>
      <c r="F320" s="927"/>
      <c r="G320" s="927"/>
      <c r="H320" s="927"/>
      <c r="I320" s="919"/>
      <c r="J320" s="927"/>
      <c r="K320" s="927"/>
      <c r="L320" s="927"/>
      <c r="M320" s="927"/>
      <c r="N320" s="927"/>
      <c r="O320" s="927"/>
      <c r="P320" s="706"/>
      <c r="Q320" s="7"/>
      <c r="Z320"/>
      <c r="AA320"/>
      <c r="AB320"/>
      <c r="AC320"/>
    </row>
    <row r="321" spans="1:29" s="8" customFormat="1" outlineLevel="1" x14ac:dyDescent="0.4">
      <c r="A321"/>
      <c r="B321" s="2000"/>
      <c r="C321" s="5"/>
      <c r="D321" s="926"/>
      <c r="E321" s="928"/>
      <c r="F321" s="927"/>
      <c r="G321" s="927"/>
      <c r="H321" s="927"/>
      <c r="I321" s="919"/>
      <c r="J321" s="927"/>
      <c r="K321" s="927"/>
      <c r="L321" s="927"/>
      <c r="M321" s="927"/>
      <c r="N321" s="927"/>
      <c r="O321" s="927"/>
      <c r="P321" s="706"/>
      <c r="Q321" s="7"/>
      <c r="R321" s="3369"/>
      <c r="S321" s="290"/>
      <c r="T321" s="7"/>
      <c r="U321" s="7"/>
      <c r="V321" s="290"/>
      <c r="W321" s="290"/>
      <c r="X321" s="290"/>
      <c r="Y321" s="290"/>
      <c r="Z321"/>
      <c r="AA321"/>
      <c r="AB321"/>
      <c r="AC321"/>
    </row>
    <row r="322" spans="1:29" s="8" customFormat="1" ht="15.75" hidden="1" customHeight="1" outlineLevel="2" thickBot="1" x14ac:dyDescent="0.45">
      <c r="A322"/>
      <c r="B322" s="2000"/>
      <c r="C322" s="5"/>
      <c r="D322" s="926"/>
      <c r="E322" s="928"/>
      <c r="F322" s="927"/>
      <c r="G322" s="927"/>
      <c r="H322" s="927"/>
      <c r="I322" s="919"/>
      <c r="J322" s="927"/>
      <c r="K322" s="927"/>
      <c r="L322" s="927"/>
      <c r="M322" s="927"/>
      <c r="N322" s="927"/>
      <c r="O322" s="927"/>
      <c r="P322" s="706"/>
      <c r="Q322" s="7"/>
      <c r="R322" s="3369"/>
      <c r="S322" s="290"/>
      <c r="T322" s="7"/>
      <c r="U322" s="7"/>
      <c r="V322" s="290"/>
      <c r="W322" s="290"/>
      <c r="X322" s="290"/>
      <c r="Y322" s="290"/>
      <c r="Z322"/>
      <c r="AA322"/>
      <c r="AB322"/>
      <c r="AC322"/>
    </row>
    <row r="323" spans="1:29" s="8" customFormat="1" ht="15.75" hidden="1" customHeight="1" outlineLevel="2" thickBot="1" x14ac:dyDescent="0.45">
      <c r="A323"/>
      <c r="B323" s="2000"/>
      <c r="C323" s="5"/>
      <c r="D323" s="926"/>
      <c r="E323" s="701"/>
      <c r="F323" s="7"/>
      <c r="G323" s="929"/>
      <c r="H323" s="930" t="s">
        <v>18</v>
      </c>
      <c r="I323" s="931"/>
      <c r="J323" s="932" t="s">
        <v>778</v>
      </c>
      <c r="K323" s="933"/>
      <c r="L323" s="933"/>
      <c r="M323" s="933"/>
      <c r="N323" s="933"/>
      <c r="O323" s="934"/>
      <c r="P323" s="933" t="s">
        <v>3</v>
      </c>
      <c r="Q323" s="934"/>
      <c r="R323" s="3386" t="s">
        <v>779</v>
      </c>
      <c r="S323" s="3018"/>
      <c r="T323" s="3019"/>
      <c r="V323" s="938"/>
      <c r="W323" s="938"/>
      <c r="X323" s="7"/>
      <c r="Y323" s="290"/>
      <c r="Z323"/>
      <c r="AA323"/>
      <c r="AB323"/>
      <c r="AC323"/>
    </row>
    <row r="324" spans="1:29" s="8" customFormat="1" ht="30.75" hidden="1" customHeight="1" outlineLevel="2" thickBot="1" x14ac:dyDescent="0.45">
      <c r="A324"/>
      <c r="B324" s="2000"/>
      <c r="C324" s="939" t="s">
        <v>780</v>
      </c>
      <c r="D324" s="940" t="s">
        <v>1060</v>
      </c>
      <c r="E324" s="941" t="s">
        <v>782</v>
      </c>
      <c r="F324" s="942" t="s">
        <v>783</v>
      </c>
      <c r="G324" s="943" t="s">
        <v>784</v>
      </c>
      <c r="H324" s="562" t="s">
        <v>785</v>
      </c>
      <c r="I324" s="944" t="s">
        <v>783</v>
      </c>
      <c r="J324" s="562" t="s">
        <v>786</v>
      </c>
      <c r="K324" s="563" t="s">
        <v>787</v>
      </c>
      <c r="L324" s="563" t="s">
        <v>788</v>
      </c>
      <c r="M324" s="563" t="s">
        <v>789</v>
      </c>
      <c r="N324" s="563" t="s">
        <v>790</v>
      </c>
      <c r="O324" s="945" t="s">
        <v>783</v>
      </c>
      <c r="P324" s="560" t="s">
        <v>785</v>
      </c>
      <c r="Q324" s="946" t="s">
        <v>783</v>
      </c>
      <c r="R324" s="3387" t="s">
        <v>781</v>
      </c>
      <c r="S324" s="794" t="s">
        <v>791</v>
      </c>
      <c r="T324" s="789" t="s">
        <v>792</v>
      </c>
      <c r="V324" s="947"/>
      <c r="W324" s="947"/>
      <c r="X324" s="7"/>
      <c r="Y324" s="290"/>
      <c r="Z324"/>
      <c r="AA324"/>
      <c r="AB324"/>
      <c r="AC324"/>
    </row>
    <row r="325" spans="1:29" s="8" customFormat="1" ht="15" hidden="1" customHeight="1" outlineLevel="2" x14ac:dyDescent="0.4">
      <c r="A325"/>
      <c r="B325" s="2000"/>
      <c r="C325" s="3886" t="s">
        <v>1062</v>
      </c>
      <c r="D325" s="797" t="s">
        <v>2313</v>
      </c>
      <c r="E325" s="799" t="s">
        <v>251</v>
      </c>
      <c r="F325" s="456">
        <f t="shared" ref="F325:F331" si="54">MAX($Q325,$O325,$I325)</f>
        <v>0</v>
      </c>
      <c r="G325" s="800">
        <f>F325</f>
        <v>0</v>
      </c>
      <c r="H325" s="797" t="s">
        <v>557</v>
      </c>
      <c r="I325" s="621">
        <v>0</v>
      </c>
      <c r="J325" s="568"/>
      <c r="K325" s="566"/>
      <c r="L325" s="801"/>
      <c r="M325" s="802" t="str">
        <f>IFERROR(INDEX('Lower Hot Cell Logistics'!$I$28:$O$34,MATCH($K325,'Lower Hot Cell Logistics'!$H$28:$H$34,0),MATCH($L325,'Lower Hot Cell Logistics'!$H$28:$H$34,0)),"N/A")</f>
        <v>N/A</v>
      </c>
      <c r="N325" s="570" t="str">
        <f>IFERROR(VLOOKUP($J325,'Lower Hot Cell Logistics'!$H$4:$I$8,2,FALSE),"N/A")</f>
        <v>N/A</v>
      </c>
      <c r="O325" s="800" t="str">
        <f t="shared" ref="O325:O331" si="55">IF(E325="Movement",IFERROR((M325/N325)/(60*60),"Error"),"N/A")</f>
        <v>N/A</v>
      </c>
      <c r="P325" s="803"/>
      <c r="Q325" s="802" t="str">
        <f>IF($E325="Logistics",VLOOKUP($P325,'Lower Hot Cell Logistics'!$C$4:$D$57,2,FALSE),"N/A")</f>
        <v>N/A</v>
      </c>
      <c r="R325" s="3398"/>
      <c r="S325" s="804" t="str">
        <f>IFERROR(VLOOKUP($R325,'Lower HotCell RecoveryLogistics'!$C$396:$F$406,4,FALSE),"N/A")</f>
        <v>N/A</v>
      </c>
      <c r="T325" s="621" t="str">
        <f>IFERROR(G325-F325-S325,"N/A")</f>
        <v>N/A</v>
      </c>
      <c r="V325" s="947"/>
      <c r="W325" s="947"/>
      <c r="X325" s="7"/>
      <c r="Y325" s="290"/>
      <c r="Z325"/>
      <c r="AA325"/>
      <c r="AB325"/>
      <c r="AC325"/>
    </row>
    <row r="326" spans="1:29" s="8" customFormat="1" ht="15.75" hidden="1" customHeight="1" outlineLevel="2" thickBot="1" x14ac:dyDescent="0.45">
      <c r="A326"/>
      <c r="B326" s="2000"/>
      <c r="C326" s="3887"/>
      <c r="D326" s="807" t="s">
        <v>1885</v>
      </c>
      <c r="E326" s="809" t="s">
        <v>251</v>
      </c>
      <c r="F326" s="471">
        <f t="shared" si="54"/>
        <v>12.602967059728389</v>
      </c>
      <c r="G326" s="810">
        <f t="shared" ref="G326:G331" si="56">IF(T326&lt;0,F326+G325+(-T326),F326+G325)</f>
        <v>12.602967059728389</v>
      </c>
      <c r="H326" s="584" t="s">
        <v>441</v>
      </c>
      <c r="I326" s="811">
        <v>12.602967059728389</v>
      </c>
      <c r="J326" s="586"/>
      <c r="K326" s="584"/>
      <c r="L326" s="812"/>
      <c r="M326" s="813" t="str">
        <f>IFERROR(INDEX(#REF!,MATCH($K326,#REF!,0),MATCH($L326,#REF!,0)),"N/A")</f>
        <v>N/A</v>
      </c>
      <c r="N326" s="814" t="str">
        <f>IFERROR(VLOOKUP($J326,#REF!,2,FALSE),"N/A")</f>
        <v>N/A</v>
      </c>
      <c r="O326" s="810" t="str">
        <f t="shared" si="55"/>
        <v>N/A</v>
      </c>
      <c r="P326" s="815"/>
      <c r="Q326" s="813" t="str">
        <f>IF($E326="Logistics",VLOOKUP($P326,'Lower Hot Cell Logistics'!$C$4:$D$57,2,FALSE),"N/A")</f>
        <v>N/A</v>
      </c>
      <c r="R326" s="3400"/>
      <c r="S326" s="816" t="str">
        <f>IFERROR(VLOOKUP($R326,'Lower HotCell RecoveryLogistics'!$C$396:$F$406,4,FALSE),"N/A")</f>
        <v>N/A</v>
      </c>
      <c r="T326" s="591" t="str">
        <f>IFERROR(G325-S326,"N/A")</f>
        <v>N/A</v>
      </c>
      <c r="V326" s="290"/>
      <c r="W326" s="290"/>
      <c r="X326" s="290"/>
      <c r="Y326" s="290"/>
      <c r="Z326"/>
      <c r="AA326"/>
      <c r="AB326"/>
      <c r="AC326"/>
    </row>
    <row r="327" spans="1:29" s="8" customFormat="1" ht="15" hidden="1" customHeight="1" outlineLevel="2" thickBot="1" x14ac:dyDescent="0.45">
      <c r="A327"/>
      <c r="B327" s="2000"/>
      <c r="C327" s="2326" t="s">
        <v>1864</v>
      </c>
      <c r="D327" s="2327" t="s">
        <v>2314</v>
      </c>
      <c r="E327" s="1862" t="s">
        <v>3</v>
      </c>
      <c r="F327" s="2023">
        <f t="shared" si="54"/>
        <v>0.6</v>
      </c>
      <c r="G327" s="2005">
        <f t="shared" si="56"/>
        <v>13.202967059728389</v>
      </c>
      <c r="H327" s="1906"/>
      <c r="I327" s="1910" t="s">
        <v>263</v>
      </c>
      <c r="J327" s="1909"/>
      <c r="K327" s="1911"/>
      <c r="L327" s="2328"/>
      <c r="M327" s="2216" t="str">
        <f>IFERROR(INDEX(#REF!,MATCH($K327,#REF!,0),MATCH($L327,#REF!,0)),"N/A")</f>
        <v>N/A</v>
      </c>
      <c r="N327" s="1912" t="str">
        <f>IFERROR(VLOOKUP($J327,#REF!,2,FALSE),"N/A")</f>
        <v>N/A</v>
      </c>
      <c r="O327" s="2005" t="str">
        <f t="shared" si="55"/>
        <v>N/A</v>
      </c>
      <c r="P327" s="1906" t="s">
        <v>2008</v>
      </c>
      <c r="Q327" s="2216">
        <f>IF($E327="Logistics",VLOOKUP($P327,'Lower Hot Cell Logistics'!$C$4:$D$57,2,FALSE),"N/A")</f>
        <v>0.6</v>
      </c>
      <c r="R327" s="3580"/>
      <c r="S327" s="2329" t="str">
        <f>IFERROR(VLOOKUP($R327,'Lower HotCell RecoveryLogistics'!$C$396:$F$406,4,FALSE),"N/A")</f>
        <v>N/A</v>
      </c>
      <c r="T327" s="1910" t="str">
        <f>IFERROR(G326-S327,"N/A")</f>
        <v>N/A</v>
      </c>
      <c r="V327" s="290"/>
      <c r="W327" s="290"/>
      <c r="X327" s="290"/>
      <c r="Y327" s="7"/>
      <c r="Z327"/>
      <c r="AA327"/>
      <c r="AB327"/>
      <c r="AC327"/>
    </row>
    <row r="328" spans="1:29" s="8" customFormat="1" ht="15" hidden="1" customHeight="1" outlineLevel="2" x14ac:dyDescent="0.4">
      <c r="A328"/>
      <c r="B328" s="2000"/>
      <c r="C328" s="3886" t="s">
        <v>2315</v>
      </c>
      <c r="D328" s="798" t="s">
        <v>1247</v>
      </c>
      <c r="E328" s="799" t="s">
        <v>3</v>
      </c>
      <c r="F328" s="326">
        <f t="shared" si="54"/>
        <v>0.8</v>
      </c>
      <c r="G328" s="800">
        <f t="shared" si="56"/>
        <v>14.002967059728389</v>
      </c>
      <c r="H328" s="566"/>
      <c r="I328" s="621" t="s">
        <v>263</v>
      </c>
      <c r="J328" s="568"/>
      <c r="K328" s="566"/>
      <c r="L328" s="801"/>
      <c r="M328" s="802" t="str">
        <f>IFERROR(INDEX(#REF!,MATCH($K328,#REF!,0),MATCH($L328,#REF!,0)),"N/A")</f>
        <v>N/A</v>
      </c>
      <c r="N328" s="570" t="str">
        <f>IFERROR(VLOOKUP($J328,#REF!,2,FALSE),"N/A")</f>
        <v>N/A</v>
      </c>
      <c r="O328" s="800" t="str">
        <f t="shared" si="55"/>
        <v>N/A</v>
      </c>
      <c r="P328" s="803" t="s">
        <v>1828</v>
      </c>
      <c r="Q328" s="802">
        <f>IF($E328="Logistics",VLOOKUP($P328,'Lower Hot Cell Logistics'!$C$4:$D$57,2,FALSE),"N/A")</f>
        <v>0.8</v>
      </c>
      <c r="R328" s="3398"/>
      <c r="S328" s="804" t="str">
        <f>IFERROR(VLOOKUP($R328,'Lower HotCell RecoveryLogistics'!$C$396:$F$406,4,FALSE),"N/A")</f>
        <v>N/A</v>
      </c>
      <c r="T328" s="621" t="str">
        <f>IFERROR(#REF!-S328,"N/A")</f>
        <v>N/A</v>
      </c>
      <c r="V328" s="290"/>
      <c r="W328" s="290"/>
      <c r="X328" s="290"/>
      <c r="Y328" s="7"/>
      <c r="Z328"/>
      <c r="AA328"/>
      <c r="AB328"/>
      <c r="AC328"/>
    </row>
    <row r="329" spans="1:29" s="8" customFormat="1" ht="15" hidden="1" customHeight="1" outlineLevel="2" x14ac:dyDescent="0.4">
      <c r="A329"/>
      <c r="B329" s="2000"/>
      <c r="C329" s="3890"/>
      <c r="D329" s="1781" t="s">
        <v>2299</v>
      </c>
      <c r="E329" s="848" t="s">
        <v>3</v>
      </c>
      <c r="F329" s="459">
        <f t="shared" si="54"/>
        <v>0.8</v>
      </c>
      <c r="G329" s="849">
        <f t="shared" si="56"/>
        <v>14.80296705972839</v>
      </c>
      <c r="H329" s="880"/>
      <c r="I329" s="850" t="s">
        <v>263</v>
      </c>
      <c r="J329" s="879"/>
      <c r="K329" s="880"/>
      <c r="L329" s="881"/>
      <c r="M329" s="1460" t="str">
        <f>IFERROR(INDEX(#REF!,MATCH($K329,#REF!,0),MATCH($L329,#REF!,0)),"N/A")</f>
        <v>N/A</v>
      </c>
      <c r="N329" s="1459" t="str">
        <f>IFERROR(VLOOKUP($J329,#REF!,2,FALSE),"N/A")</f>
        <v>N/A</v>
      </c>
      <c r="O329" s="849" t="str">
        <f t="shared" si="55"/>
        <v>N/A</v>
      </c>
      <c r="P329" s="854" t="s">
        <v>1828</v>
      </c>
      <c r="Q329" s="1460">
        <f>IF($E329="Logistics",VLOOKUP($P329,'Lower Hot Cell Logistics'!$C$4:$D$57,2,FALSE),"N/A")</f>
        <v>0.8</v>
      </c>
      <c r="R329" s="3401" t="s">
        <v>2316</v>
      </c>
      <c r="S329" s="855">
        <f>IFERROR(VLOOKUP($R329,'Lower HotCell RecoveryLogistics'!$C$396:$F$406,4,FALSE),"N/A")</f>
        <v>1.8059259259259259</v>
      </c>
      <c r="T329" s="850">
        <f>IFERROR(G328-F329-S329,"N/A")</f>
        <v>11.397041133802462</v>
      </c>
      <c r="V329" s="290"/>
      <c r="W329" s="290"/>
      <c r="X329" s="290"/>
      <c r="Y329" s="7"/>
      <c r="Z329"/>
      <c r="AA329"/>
      <c r="AB329"/>
      <c r="AC329"/>
    </row>
    <row r="330" spans="1:29" s="8" customFormat="1" ht="15" hidden="1" customHeight="1" outlineLevel="2" x14ac:dyDescent="0.4">
      <c r="A330"/>
      <c r="B330" s="2000"/>
      <c r="C330" s="3890"/>
      <c r="D330" s="1781" t="s">
        <v>2210</v>
      </c>
      <c r="E330" s="848" t="s">
        <v>251</v>
      </c>
      <c r="F330" s="459">
        <f t="shared" si="54"/>
        <v>17.622664625997164</v>
      </c>
      <c r="G330" s="849">
        <f t="shared" si="56"/>
        <v>91.749108749207807</v>
      </c>
      <c r="H330" s="880" t="s">
        <v>556</v>
      </c>
      <c r="I330" s="850">
        <v>17.622664625997164</v>
      </c>
      <c r="J330" s="879"/>
      <c r="K330" s="880"/>
      <c r="L330" s="881"/>
      <c r="M330" s="1460" t="str">
        <f>IFERROR(INDEX(#REF!,MATCH($K330,#REF!,0),MATCH($L330,#REF!,0)),"N/A")</f>
        <v>N/A</v>
      </c>
      <c r="N330" s="1459" t="str">
        <f>IFERROR(VLOOKUP($J330,#REF!,2,FALSE),"N/A")</f>
        <v>N/A</v>
      </c>
      <c r="O330" s="849" t="str">
        <f t="shared" si="55"/>
        <v>N/A</v>
      </c>
      <c r="P330" s="854"/>
      <c r="Q330" s="1460" t="str">
        <f>IF($E330="Logistics",VLOOKUP($P330,'Lower Hot Cell Logistics'!$C$4:$D$57,2,FALSE),"N/A")</f>
        <v>N/A</v>
      </c>
      <c r="R330" s="3401" t="s">
        <v>1880</v>
      </c>
      <c r="S330" s="855">
        <f>IFERROR(VLOOKUP($R330,'Lower HotCell RecoveryLogistics'!$C$396:$F$406,4,FALSE),"N/A")</f>
        <v>56.503779497213472</v>
      </c>
      <c r="T330" s="850">
        <f>IFERROR(G329-F330-S330,"N/A")</f>
        <v>-59.323477063482244</v>
      </c>
      <c r="V330" s="290"/>
      <c r="W330" s="290"/>
      <c r="X330" s="290"/>
      <c r="Y330" s="7"/>
      <c r="Z330"/>
      <c r="AA330"/>
      <c r="AB330"/>
      <c r="AC330"/>
    </row>
    <row r="331" spans="1:29" s="8" customFormat="1" ht="15" hidden="1" customHeight="1" outlineLevel="2" thickBot="1" x14ac:dyDescent="0.45">
      <c r="A331"/>
      <c r="B331" s="2000"/>
      <c r="C331" s="3887"/>
      <c r="D331" s="808" t="s">
        <v>1590</v>
      </c>
      <c r="E331" s="809" t="s">
        <v>3</v>
      </c>
      <c r="F331" s="467">
        <f t="shared" si="54"/>
        <v>0.6</v>
      </c>
      <c r="G331" s="810">
        <f t="shared" si="56"/>
        <v>92.349108749207801</v>
      </c>
      <c r="H331" s="1983"/>
      <c r="I331" s="811" t="s">
        <v>263</v>
      </c>
      <c r="J331" s="1984"/>
      <c r="K331" s="1983"/>
      <c r="L331" s="1985"/>
      <c r="M331" s="1986" t="str">
        <f>IFERROR(INDEX(#REF!,MATCH($K331,#REF!,0),MATCH($L331,#REF!,0)),"N/A")</f>
        <v>N/A</v>
      </c>
      <c r="N331" s="1987" t="str">
        <f>IFERROR(VLOOKUP($J331,#REF!,2,FALSE),"N/A")</f>
        <v>N/A</v>
      </c>
      <c r="O331" s="810" t="str">
        <f t="shared" si="55"/>
        <v>N/A</v>
      </c>
      <c r="P331" s="815" t="s">
        <v>2008</v>
      </c>
      <c r="Q331" s="1986">
        <f>IF($E331="Logistics",VLOOKUP($P331,'Lower Hot Cell Logistics'!$C$4:$D$57,2,FALSE),"N/A")</f>
        <v>0.6</v>
      </c>
      <c r="R331" s="3402"/>
      <c r="S331" s="816" t="str">
        <f>IFERROR(VLOOKUP($R331,'Lower HotCell RecoveryLogistics'!$C$396:$F$406,4,FALSE),"N/A")</f>
        <v>N/A</v>
      </c>
      <c r="T331" s="811" t="str">
        <f>IFERROR(#REF!-S331,"N/A")</f>
        <v>N/A</v>
      </c>
      <c r="V331" s="290"/>
      <c r="W331" s="290"/>
      <c r="X331" s="290"/>
      <c r="Y331" s="7"/>
      <c r="Z331"/>
      <c r="AA331"/>
      <c r="AB331"/>
      <c r="AC331"/>
    </row>
    <row r="332" spans="1:29" s="8" customFormat="1" outlineLevel="1" collapsed="1" x14ac:dyDescent="0.4">
      <c r="A332"/>
      <c r="B332" s="2000"/>
      <c r="C332" s="891"/>
      <c r="D332" s="892"/>
      <c r="E332" s="1439" t="s">
        <v>11</v>
      </c>
      <c r="F332" s="1439"/>
      <c r="G332" s="894">
        <f>G331</f>
        <v>92.349108749207801</v>
      </c>
      <c r="H332" s="94"/>
      <c r="I332" s="895"/>
      <c r="J332" s="94"/>
      <c r="K332" s="94"/>
      <c r="L332" s="896"/>
      <c r="M332" s="897"/>
      <c r="N332" s="897"/>
      <c r="O332" s="894"/>
      <c r="P332" s="94"/>
      <c r="Q332" s="897"/>
      <c r="R332" s="3383"/>
      <c r="S332" s="7"/>
      <c r="T332" s="895"/>
      <c r="U332" s="895"/>
      <c r="V332" s="7"/>
      <c r="W332" s="7"/>
      <c r="X332" s="7"/>
      <c r="Y332" s="7"/>
      <c r="Z332"/>
      <c r="AA332"/>
      <c r="AB332"/>
      <c r="AC332"/>
    </row>
    <row r="333" spans="1:29" s="8" customFormat="1" outlineLevel="1" x14ac:dyDescent="0.4">
      <c r="A333"/>
      <c r="B333" s="2000"/>
      <c r="C333" s="891"/>
      <c r="D333" s="892"/>
      <c r="E333" s="898"/>
      <c r="F333" s="894"/>
      <c r="G333" s="894"/>
      <c r="H333" s="94"/>
      <c r="I333" s="895"/>
      <c r="J333" s="94"/>
      <c r="K333" s="94"/>
      <c r="L333" s="896"/>
      <c r="M333" s="897"/>
      <c r="N333" s="897"/>
      <c r="O333" s="894"/>
      <c r="P333" s="94"/>
      <c r="Q333" s="897"/>
      <c r="R333" s="3383"/>
      <c r="S333" s="7"/>
      <c r="T333" s="895"/>
      <c r="U333" s="895"/>
      <c r="V333" s="7"/>
      <c r="W333" s="7"/>
      <c r="X333" s="7"/>
      <c r="Y333" s="7"/>
      <c r="Z333"/>
      <c r="AA333"/>
      <c r="AB333"/>
      <c r="AC333"/>
    </row>
    <row r="334" spans="1:29" s="8" customFormat="1" x14ac:dyDescent="0.4">
      <c r="A334"/>
      <c r="B334" s="2011"/>
      <c r="C334" s="2013"/>
      <c r="D334" s="2013"/>
      <c r="E334" s="2014"/>
      <c r="F334" s="2013"/>
      <c r="G334" s="2013"/>
      <c r="H334" s="2015"/>
      <c r="I334" s="2016"/>
      <c r="J334" s="2013"/>
      <c r="K334" s="2013"/>
      <c r="L334" s="2012"/>
      <c r="M334" s="2013"/>
      <c r="N334" s="2013"/>
      <c r="O334" s="2013"/>
      <c r="P334" s="2013"/>
      <c r="Q334" s="2013"/>
      <c r="R334" s="3406"/>
      <c r="S334" s="2016"/>
      <c r="T334" s="2013"/>
      <c r="U334" s="2013"/>
      <c r="V334" s="2016"/>
      <c r="W334" s="2016"/>
      <c r="X334" s="2016"/>
      <c r="Y334" s="2016"/>
      <c r="Z334"/>
      <c r="AA334"/>
      <c r="AB334"/>
      <c r="AC334"/>
    </row>
    <row r="336" spans="1:29" s="8" customFormat="1" ht="15.45" x14ac:dyDescent="0.4">
      <c r="A336"/>
      <c r="B336" s="2017"/>
      <c r="C336" s="2330"/>
      <c r="D336" s="2019" t="s">
        <v>1904</v>
      </c>
      <c r="E336" s="2020"/>
      <c r="F336" s="2020"/>
      <c r="G336" s="2020"/>
      <c r="H336" s="2020"/>
      <c r="I336" s="2020"/>
      <c r="J336" s="2020"/>
      <c r="K336" s="2020"/>
      <c r="L336" s="2020"/>
      <c r="M336" s="2020"/>
      <c r="N336" s="2020"/>
      <c r="O336" s="2020"/>
      <c r="P336" s="2020"/>
      <c r="Q336" s="2020"/>
      <c r="R336" s="3407"/>
      <c r="S336" s="2020"/>
      <c r="T336" s="2020"/>
      <c r="U336" s="2020"/>
      <c r="V336" s="2020"/>
      <c r="W336" s="2020"/>
      <c r="X336" s="2020"/>
      <c r="Y336" s="2020"/>
      <c r="Z336"/>
      <c r="AA336"/>
      <c r="AB336"/>
      <c r="AC336"/>
    </row>
    <row r="337" spans="1:29" s="8" customFormat="1" outlineLevel="1" x14ac:dyDescent="0.4">
      <c r="A337"/>
      <c r="B337" s="2021"/>
      <c r="C337" s="704"/>
      <c r="D337" s="748" t="s">
        <v>1053</v>
      </c>
      <c r="E337" s="749"/>
      <c r="F337" s="704"/>
      <c r="G337" s="704"/>
      <c r="H337" s="704"/>
      <c r="I337" s="750"/>
      <c r="J337" s="704"/>
      <c r="K337" s="704"/>
      <c r="L337" s="704"/>
      <c r="M337" s="704"/>
      <c r="N337" s="704"/>
      <c r="O337" s="704"/>
      <c r="P337" s="704"/>
      <c r="Q337" s="704"/>
      <c r="R337" s="3364"/>
      <c r="S337" s="750"/>
      <c r="T337" s="704"/>
      <c r="U337" s="704"/>
      <c r="V337" s="750"/>
      <c r="W337" s="750"/>
      <c r="X337" s="750"/>
      <c r="Y337" s="750"/>
      <c r="Z337"/>
      <c r="AA337"/>
      <c r="AB337"/>
      <c r="AC337"/>
    </row>
    <row r="338" spans="1:29" s="8" customFormat="1" ht="15" outlineLevel="1" thickBot="1" x14ac:dyDescent="0.45">
      <c r="A338"/>
      <c r="B338" s="2021"/>
      <c r="C338" s="704"/>
      <c r="D338" s="704" t="s">
        <v>1034</v>
      </c>
      <c r="E338" s="749"/>
      <c r="F338" s="704"/>
      <c r="G338" s="704"/>
      <c r="H338" s="704"/>
      <c r="I338" s="750"/>
      <c r="J338" s="704"/>
      <c r="K338" s="704"/>
      <c r="L338" s="704"/>
      <c r="M338" s="704"/>
      <c r="N338" s="704"/>
      <c r="O338" s="704"/>
      <c r="P338" s="704"/>
      <c r="Q338" s="704"/>
      <c r="R338" s="3364"/>
      <c r="S338" s="750"/>
      <c r="T338" s="704"/>
      <c r="V338" s="704"/>
      <c r="W338" s="750"/>
      <c r="X338" s="750"/>
      <c r="Y338" s="750"/>
      <c r="Z338"/>
      <c r="AA338"/>
      <c r="AB338"/>
      <c r="AC338"/>
    </row>
    <row r="339" spans="1:29" s="8" customFormat="1" outlineLevel="1" x14ac:dyDescent="0.4">
      <c r="A339"/>
      <c r="B339" s="2021"/>
      <c r="C339" s="704"/>
      <c r="D339" t="s">
        <v>2690</v>
      </c>
      <c r="E339" s="749"/>
      <c r="F339" s="704"/>
      <c r="G339" s="704"/>
      <c r="H339" s="704"/>
      <c r="I339" s="750"/>
      <c r="J339" s="704"/>
      <c r="K339" s="704"/>
      <c r="L339" s="704"/>
      <c r="M339" s="704"/>
      <c r="N339" s="704"/>
      <c r="O339" s="704"/>
      <c r="P339" s="704"/>
      <c r="Q339" s="704"/>
      <c r="R339" s="3570"/>
      <c r="S339" s="3582" t="s">
        <v>23</v>
      </c>
      <c r="T339" s="3842" t="s">
        <v>2604</v>
      </c>
      <c r="U339" s="3843"/>
      <c r="V339" s="3843"/>
      <c r="W339" s="3843"/>
      <c r="X339" s="3844"/>
      <c r="Y339" s="1044"/>
      <c r="Z339"/>
      <c r="AA339"/>
      <c r="AB339"/>
      <c r="AC339"/>
    </row>
    <row r="340" spans="1:29" s="8" customFormat="1" outlineLevel="1" x14ac:dyDescent="0.4">
      <c r="A340"/>
      <c r="B340" s="2021"/>
      <c r="C340" s="704"/>
      <c r="D340" s="704" t="s">
        <v>1035</v>
      </c>
      <c r="E340" s="749"/>
      <c r="F340" s="704"/>
      <c r="G340" s="704"/>
      <c r="H340" s="704"/>
      <c r="I340" s="750"/>
      <c r="J340" s="704"/>
      <c r="K340" s="704"/>
      <c r="L340" s="704"/>
      <c r="M340" s="704"/>
      <c r="N340" s="704"/>
      <c r="O340" s="704"/>
      <c r="P340" s="704"/>
      <c r="Q340" s="704"/>
      <c r="R340" s="3543" t="s">
        <v>1055</v>
      </c>
      <c r="S340" s="1513">
        <v>1</v>
      </c>
      <c r="T340" s="1512">
        <v>1</v>
      </c>
      <c r="U340" s="916">
        <v>2</v>
      </c>
      <c r="V340" s="916">
        <v>3</v>
      </c>
      <c r="W340" s="916">
        <v>4</v>
      </c>
      <c r="X340" s="1045">
        <v>6</v>
      </c>
      <c r="Y340" s="1851"/>
      <c r="Z340"/>
      <c r="AA340"/>
      <c r="AB340"/>
      <c r="AC340"/>
    </row>
    <row r="341" spans="1:29" s="8" customFormat="1" outlineLevel="1" x14ac:dyDescent="0.4">
      <c r="A341"/>
      <c r="B341" s="2021"/>
      <c r="C341" s="704"/>
      <c r="D341" s="704" t="s">
        <v>1036</v>
      </c>
      <c r="E341" s="749"/>
      <c r="F341" s="704"/>
      <c r="G341" s="704"/>
      <c r="H341" s="704"/>
      <c r="I341" s="750"/>
      <c r="J341" s="704"/>
      <c r="K341" s="704"/>
      <c r="L341" s="704"/>
      <c r="M341" s="704"/>
      <c r="N341" s="704"/>
      <c r="O341" s="704"/>
      <c r="P341" s="704"/>
      <c r="Q341" s="704"/>
      <c r="R341" s="3140" t="s">
        <v>2665</v>
      </c>
      <c r="S341" s="290">
        <f>connect_lower_blanket_pipework</f>
        <v>26.773271037841543</v>
      </c>
      <c r="T341" s="1415">
        <f>ROUNDUP(Tokamak_Segmts/T340,0)*connect_lower_blanket_pipework</f>
        <v>428.37233660546468</v>
      </c>
      <c r="U341" s="917">
        <f>ROUNDUP(Tokamak_Segmts/U340,0)*connect_lower_blanket_pipework</f>
        <v>214.18616830273234</v>
      </c>
      <c r="V341" s="917">
        <f>ROUNDUP(Tokamak_Segmts/V340,0)*connect_lower_blanket_pipework</f>
        <v>160.63962622704926</v>
      </c>
      <c r="W341" s="917">
        <f>ROUNDUP(Tokamak_Segmts/W340,0)*connect_lower_blanket_pipework</f>
        <v>107.09308415136617</v>
      </c>
      <c r="X341" s="1028">
        <f>ROUNDUP(Tokamak_Segmts/X340,0)*connect_lower_blanket_pipework</f>
        <v>80.319813113524631</v>
      </c>
      <c r="Y341" s="290"/>
      <c r="Z341"/>
      <c r="AA341"/>
      <c r="AB341"/>
      <c r="AC341"/>
    </row>
    <row r="342" spans="1:29" s="8" customFormat="1" ht="15" outlineLevel="1" thickBot="1" x14ac:dyDescent="0.45">
      <c r="A342"/>
      <c r="B342" s="2021"/>
      <c r="C342" s="704"/>
      <c r="D342" s="704" t="s">
        <v>1037</v>
      </c>
      <c r="E342" s="749"/>
      <c r="F342" s="704"/>
      <c r="G342" s="704"/>
      <c r="H342" s="704"/>
      <c r="I342" s="750"/>
      <c r="J342" s="704"/>
      <c r="K342" s="704"/>
      <c r="L342" s="704"/>
      <c r="M342" s="704"/>
      <c r="N342" s="704"/>
      <c r="O342" s="704"/>
      <c r="P342" s="704"/>
      <c r="Q342" s="704"/>
      <c r="R342" s="3141" t="s">
        <v>2693</v>
      </c>
      <c r="S342" s="1138">
        <f>S$341*$E$346</f>
        <v>0.29450598141625695</v>
      </c>
      <c r="T342" s="1416">
        <f t="shared" ref="T342:X342" si="57">T$341*$E$346</f>
        <v>4.7120957026601111</v>
      </c>
      <c r="U342" s="920">
        <f t="shared" si="57"/>
        <v>2.3560478513300556</v>
      </c>
      <c r="V342" s="920">
        <f t="shared" si="57"/>
        <v>1.7670358884975419</v>
      </c>
      <c r="W342" s="920">
        <f t="shared" si="57"/>
        <v>1.1780239256650278</v>
      </c>
      <c r="X342" s="1029">
        <f t="shared" si="57"/>
        <v>0.88351794424877095</v>
      </c>
      <c r="Y342" s="290"/>
      <c r="Z342"/>
      <c r="AA342"/>
      <c r="AB342"/>
      <c r="AC342"/>
    </row>
    <row r="343" spans="1:29" s="8" customFormat="1" outlineLevel="1" x14ac:dyDescent="0.4">
      <c r="A343"/>
      <c r="B343" s="2021"/>
      <c r="C343" s="704"/>
      <c r="D343" s="704" t="s">
        <v>1038</v>
      </c>
      <c r="E343" s="749"/>
      <c r="F343" s="704"/>
      <c r="G343" s="704"/>
      <c r="H343" s="704"/>
      <c r="I343" s="750"/>
      <c r="J343" s="704"/>
      <c r="K343" s="704"/>
      <c r="L343" s="704"/>
      <c r="M343" s="704"/>
      <c r="N343" s="704"/>
      <c r="O343" s="704"/>
      <c r="P343" s="704"/>
      <c r="Q343" s="704"/>
      <c r="R343" s="3571" t="s">
        <v>1048</v>
      </c>
      <c r="S343" s="3583">
        <f t="shared" ref="S343:X343" si="58">S342*(SUMIF($E$354:$E$373,"Operation",$F$354:$F$373))</f>
        <v>24.470667727403239</v>
      </c>
      <c r="T343" s="1500">
        <f t="shared" si="58"/>
        <v>391.53068363845182</v>
      </c>
      <c r="U343" s="768">
        <f t="shared" si="58"/>
        <v>195.76534181922591</v>
      </c>
      <c r="V343" s="768">
        <f t="shared" si="58"/>
        <v>146.82400636441946</v>
      </c>
      <c r="W343" s="768">
        <f t="shared" si="58"/>
        <v>97.882670909612955</v>
      </c>
      <c r="X343" s="1062">
        <f t="shared" si="58"/>
        <v>73.41200318220973</v>
      </c>
      <c r="Y343" s="290"/>
      <c r="Z343"/>
      <c r="AA343"/>
      <c r="AB343"/>
      <c r="AC343"/>
    </row>
    <row r="344" spans="1:29" s="8" customFormat="1" outlineLevel="1" x14ac:dyDescent="0.4">
      <c r="A344"/>
      <c r="B344" s="2021"/>
      <c r="C344" s="704"/>
      <c r="D344" s="704"/>
      <c r="E344" s="749"/>
      <c r="F344" s="704"/>
      <c r="G344" s="704"/>
      <c r="H344" s="704"/>
      <c r="I344" s="750"/>
      <c r="J344" s="704"/>
      <c r="K344" s="704"/>
      <c r="L344" s="704"/>
      <c r="M344" s="704"/>
      <c r="N344" s="704"/>
      <c r="O344" s="704"/>
      <c r="P344" s="704"/>
      <c r="Q344" s="704"/>
      <c r="R344" s="3543" t="s">
        <v>2658</v>
      </c>
      <c r="S344" s="1020">
        <f t="shared" ref="S344:X344" si="59">S342*(SUMIF($E$354:$E$373,"Movement",$F$354:$F$373)+(SUMIF($E$354:$E$373,"Logistics",$F$354:$F$373)))</f>
        <v>2.9538949936050569</v>
      </c>
      <c r="T344" s="1502">
        <f t="shared" si="59"/>
        <v>47.262319897680911</v>
      </c>
      <c r="U344" s="769">
        <f t="shared" si="59"/>
        <v>23.631159948840455</v>
      </c>
      <c r="V344" s="769">
        <f t="shared" si="59"/>
        <v>17.723369961630343</v>
      </c>
      <c r="W344" s="769">
        <f t="shared" si="59"/>
        <v>11.815579974420228</v>
      </c>
      <c r="X344" s="1064">
        <f t="shared" si="59"/>
        <v>8.8616849808151716</v>
      </c>
      <c r="Y344" s="290"/>
      <c r="Z344"/>
      <c r="AA344"/>
      <c r="AB344"/>
      <c r="AC344"/>
    </row>
    <row r="345" spans="1:29" s="8" customFormat="1" ht="15" outlineLevel="1" thickBot="1" x14ac:dyDescent="0.45">
      <c r="A345"/>
      <c r="B345" s="2021"/>
      <c r="C345" s="704"/>
      <c r="D345" s="704"/>
      <c r="E345" s="749"/>
      <c r="F345" s="704"/>
      <c r="G345" s="704"/>
      <c r="H345" s="704"/>
      <c r="I345" s="750"/>
      <c r="J345" s="704"/>
      <c r="K345" s="704"/>
      <c r="L345" s="704"/>
      <c r="M345" s="704"/>
      <c r="N345" s="704"/>
      <c r="O345" s="704"/>
      <c r="P345" s="704"/>
      <c r="Q345" s="704"/>
      <c r="R345" s="3572" t="s">
        <v>2663</v>
      </c>
      <c r="S345" s="1766">
        <f t="shared" ref="S345:X345" si="60">S342*(-SUMIF($T$354:$T$373,"&lt;0"))</f>
        <v>8.4940358877245377</v>
      </c>
      <c r="T345" s="1110">
        <f t="shared" si="60"/>
        <v>135.9045742035926</v>
      </c>
      <c r="U345" s="770">
        <f t="shared" si="60"/>
        <v>67.952287101796301</v>
      </c>
      <c r="V345" s="770">
        <f t="shared" si="60"/>
        <v>50.96421532634723</v>
      </c>
      <c r="W345" s="770">
        <f t="shared" si="60"/>
        <v>33.976143550898151</v>
      </c>
      <c r="X345" s="1066">
        <f t="shared" si="60"/>
        <v>25.482107663173615</v>
      </c>
      <c r="Y345" s="290"/>
      <c r="Z345"/>
      <c r="AA345"/>
      <c r="AB345"/>
      <c r="AC345"/>
    </row>
    <row r="346" spans="1:29" s="8" customFormat="1" ht="15" outlineLevel="1" thickBot="1" x14ac:dyDescent="0.45">
      <c r="A346"/>
      <c r="B346" s="2021"/>
      <c r="C346" s="704"/>
      <c r="D346" s="748" t="s">
        <v>1056</v>
      </c>
      <c r="E346" s="709">
        <f>SUM(E347:E348)</f>
        <v>1.0999999999999999E-2</v>
      </c>
      <c r="F346" s="709"/>
      <c r="G346" s="709"/>
      <c r="H346" s="709"/>
      <c r="I346" s="919"/>
      <c r="J346" s="918"/>
      <c r="K346" s="918"/>
      <c r="L346" s="918"/>
      <c r="M346" s="918"/>
      <c r="N346" s="918"/>
      <c r="O346" s="918"/>
      <c r="P346" s="704"/>
      <c r="Q346" s="704"/>
      <c r="R346" s="3573" t="s">
        <v>2667</v>
      </c>
      <c r="S346" s="694">
        <f t="shared" ref="S346:X346" si="61">S342*$G$374</f>
        <v>35.918598608732829</v>
      </c>
      <c r="T346" s="2994">
        <f t="shared" si="61"/>
        <v>574.69757773972526</v>
      </c>
      <c r="U346" s="694">
        <f t="shared" si="61"/>
        <v>287.34878886986263</v>
      </c>
      <c r="V346" s="694">
        <f t="shared" si="61"/>
        <v>215.51159165239699</v>
      </c>
      <c r="W346" s="694">
        <f t="shared" si="61"/>
        <v>143.67439443493132</v>
      </c>
      <c r="X346" s="2974">
        <f t="shared" si="61"/>
        <v>107.75579582619849</v>
      </c>
      <c r="Y346" s="915"/>
      <c r="Z346"/>
      <c r="AA346"/>
      <c r="AB346"/>
      <c r="AC346"/>
    </row>
    <row r="347" spans="1:29" s="8" customFormat="1" outlineLevel="1" x14ac:dyDescent="0.4">
      <c r="A347"/>
      <c r="B347" s="2022"/>
      <c r="C347" s="5"/>
      <c r="D347" s="7" t="s">
        <v>1057</v>
      </c>
      <c r="E347" s="763">
        <f>Weld_Failure_Rate</f>
        <v>1E-3</v>
      </c>
      <c r="F347" s="922"/>
      <c r="G347" s="922"/>
      <c r="H347" s="924"/>
      <c r="I347" s="290"/>
      <c r="J347" s="922"/>
      <c r="K347" s="922"/>
      <c r="L347" s="925"/>
      <c r="M347" s="922"/>
      <c r="N347" s="922"/>
      <c r="O347" s="922"/>
      <c r="P347" s="706"/>
      <c r="Q347" s="7"/>
      <c r="Y347" s="915"/>
      <c r="Z347"/>
      <c r="AA347"/>
      <c r="AB347"/>
      <c r="AC347"/>
    </row>
    <row r="348" spans="1:29" s="8" customFormat="1" outlineLevel="1" x14ac:dyDescent="0.4">
      <c r="A348"/>
      <c r="B348" s="2022"/>
      <c r="C348" s="5"/>
      <c r="D348" s="7" t="s">
        <v>1058</v>
      </c>
      <c r="E348" s="763">
        <f>SJS_welder_failure</f>
        <v>0.01</v>
      </c>
      <c r="F348" s="922"/>
      <c r="G348" s="922"/>
      <c r="H348" s="924"/>
      <c r="I348" s="290"/>
      <c r="J348" s="922"/>
      <c r="K348" s="922"/>
      <c r="L348" s="925"/>
      <c r="M348" s="922"/>
      <c r="N348" s="922"/>
      <c r="O348" s="922"/>
      <c r="P348" s="706"/>
      <c r="Q348" s="7"/>
      <c r="Y348" s="915"/>
      <c r="Z348"/>
      <c r="AA348"/>
      <c r="AB348"/>
      <c r="AC348"/>
    </row>
    <row r="349" spans="1:29" s="8" customFormat="1" outlineLevel="1" x14ac:dyDescent="0.4">
      <c r="A349"/>
      <c r="B349" s="2022"/>
      <c r="C349" s="5"/>
      <c r="D349" s="926" t="s">
        <v>1059</v>
      </c>
      <c r="E349" s="709">
        <f>E346*(1-(1-E346)^(Divertor_port_pipes_per_blanket))</f>
        <v>3.5902164100000021E-4</v>
      </c>
      <c r="F349" s="927"/>
      <c r="G349" s="927"/>
      <c r="H349" s="927"/>
      <c r="I349" s="919"/>
      <c r="J349" s="927"/>
      <c r="K349" s="927"/>
      <c r="L349" s="927"/>
      <c r="M349" s="927"/>
      <c r="N349" s="927"/>
      <c r="O349" s="927"/>
      <c r="P349" s="706"/>
      <c r="Q349" s="7"/>
      <c r="Z349"/>
      <c r="AA349"/>
      <c r="AB349"/>
      <c r="AC349"/>
    </row>
    <row r="350" spans="1:29" s="8" customFormat="1" outlineLevel="1" x14ac:dyDescent="0.4">
      <c r="A350"/>
      <c r="B350" s="2022"/>
      <c r="C350" s="5"/>
      <c r="D350" s="926"/>
      <c r="E350" s="928"/>
      <c r="F350" s="927"/>
      <c r="G350" s="927"/>
      <c r="H350" s="927"/>
      <c r="I350" s="919"/>
      <c r="J350" s="927"/>
      <c r="K350" s="927"/>
      <c r="L350" s="927"/>
      <c r="M350" s="927"/>
      <c r="N350" s="927"/>
      <c r="O350" s="927"/>
      <c r="P350" s="706"/>
      <c r="Q350" s="7"/>
      <c r="R350" s="3369"/>
      <c r="S350" s="290"/>
      <c r="T350" s="7"/>
      <c r="U350" s="7"/>
      <c r="V350" s="290"/>
      <c r="W350" s="290"/>
      <c r="X350" s="290"/>
      <c r="Y350" s="290"/>
      <c r="Z350"/>
      <c r="AA350"/>
      <c r="AB350"/>
      <c r="AC350"/>
    </row>
    <row r="351" spans="1:29" s="8" customFormat="1" ht="15.75" hidden="1" customHeight="1" outlineLevel="2" thickBot="1" x14ac:dyDescent="0.45">
      <c r="A351"/>
      <c r="B351" s="2022"/>
      <c r="C351" s="5"/>
      <c r="D351" s="926"/>
      <c r="E351" s="928"/>
      <c r="F351" s="927"/>
      <c r="G351" s="927"/>
      <c r="H351" s="927"/>
      <c r="I351" s="919"/>
      <c r="J351" s="927"/>
      <c r="K351" s="927"/>
      <c r="L351" s="927"/>
      <c r="M351" s="927"/>
      <c r="N351" s="927"/>
      <c r="O351" s="927"/>
      <c r="P351" s="706"/>
      <c r="Q351" s="7"/>
      <c r="R351" s="3369"/>
      <c r="S351" s="290"/>
      <c r="T351" s="7"/>
      <c r="U351" s="7"/>
      <c r="V351" s="290"/>
      <c r="W351" s="290"/>
      <c r="X351" s="290"/>
      <c r="Y351" s="290"/>
      <c r="Z351"/>
      <c r="AA351"/>
      <c r="AB351"/>
      <c r="AC351"/>
    </row>
    <row r="352" spans="1:29" s="8" customFormat="1" ht="15.75" hidden="1" customHeight="1" outlineLevel="2" thickBot="1" x14ac:dyDescent="0.45">
      <c r="A352"/>
      <c r="B352" s="2022"/>
      <c r="C352" s="5"/>
      <c r="D352" s="926"/>
      <c r="E352" s="701"/>
      <c r="F352" s="7"/>
      <c r="G352" s="929"/>
      <c r="H352" s="930" t="s">
        <v>18</v>
      </c>
      <c r="I352" s="931"/>
      <c r="J352" s="932" t="s">
        <v>778</v>
      </c>
      <c r="K352" s="933"/>
      <c r="L352" s="933"/>
      <c r="M352" s="933"/>
      <c r="N352" s="933"/>
      <c r="O352" s="934"/>
      <c r="P352" s="933" t="s">
        <v>3</v>
      </c>
      <c r="Q352" s="934"/>
      <c r="R352" s="3386" t="s">
        <v>779</v>
      </c>
      <c r="S352" s="3018"/>
      <c r="T352" s="3019"/>
      <c r="V352" s="938"/>
      <c r="W352" s="938"/>
      <c r="X352" s="7"/>
      <c r="Y352" s="290"/>
      <c r="Z352"/>
      <c r="AA352"/>
      <c r="AB352"/>
      <c r="AC352"/>
    </row>
    <row r="353" spans="1:29" s="8" customFormat="1" ht="30.75" hidden="1" customHeight="1" outlineLevel="2" thickBot="1" x14ac:dyDescent="0.45">
      <c r="A353"/>
      <c r="B353" s="2022"/>
      <c r="C353" s="939" t="s">
        <v>780</v>
      </c>
      <c r="D353" s="940" t="s">
        <v>1060</v>
      </c>
      <c r="E353" s="941" t="s">
        <v>782</v>
      </c>
      <c r="F353" s="942" t="s">
        <v>783</v>
      </c>
      <c r="G353" s="943" t="s">
        <v>784</v>
      </c>
      <c r="H353" s="562" t="s">
        <v>785</v>
      </c>
      <c r="I353" s="944" t="s">
        <v>783</v>
      </c>
      <c r="J353" s="562" t="s">
        <v>786</v>
      </c>
      <c r="K353" s="563" t="s">
        <v>787</v>
      </c>
      <c r="L353" s="563" t="s">
        <v>788</v>
      </c>
      <c r="M353" s="563" t="s">
        <v>789</v>
      </c>
      <c r="N353" s="563" t="s">
        <v>790</v>
      </c>
      <c r="O353" s="945" t="s">
        <v>783</v>
      </c>
      <c r="P353" s="560" t="s">
        <v>785</v>
      </c>
      <c r="Q353" s="946" t="s">
        <v>783</v>
      </c>
      <c r="R353" s="3387" t="s">
        <v>781</v>
      </c>
      <c r="S353" s="794" t="s">
        <v>791</v>
      </c>
      <c r="T353" s="789" t="s">
        <v>792</v>
      </c>
      <c r="V353" s="947"/>
      <c r="W353" s="947"/>
      <c r="X353" s="7"/>
      <c r="Y353" s="290"/>
      <c r="Z353"/>
      <c r="AA353"/>
      <c r="AB353"/>
      <c r="AC353"/>
    </row>
    <row r="354" spans="1:29" s="8" customFormat="1" ht="15" hidden="1" customHeight="1" outlineLevel="2" x14ac:dyDescent="0.4">
      <c r="A354"/>
      <c r="B354" s="2022"/>
      <c r="C354" s="3886" t="s">
        <v>1062</v>
      </c>
      <c r="D354" s="797" t="s">
        <v>2317</v>
      </c>
      <c r="E354" s="799" t="s">
        <v>251</v>
      </c>
      <c r="F354" s="456">
        <f>MAX($Q354,$O354,$I354)</f>
        <v>0</v>
      </c>
      <c r="G354" s="800">
        <f>F354</f>
        <v>0</v>
      </c>
      <c r="H354" s="797" t="s">
        <v>557</v>
      </c>
      <c r="I354" s="621">
        <v>0</v>
      </c>
      <c r="J354" s="568"/>
      <c r="K354" s="566"/>
      <c r="L354" s="801"/>
      <c r="M354" s="802" t="str">
        <f>IFERROR(INDEX('Lower Hot Cell Logistics'!$I$28:$O$34,MATCH($K354,'Lower Hot Cell Logistics'!$H$28:$H$34,0),MATCH($L354,'Lower Hot Cell Logistics'!$H$28:$H$34,0)),"N/A")</f>
        <v>N/A</v>
      </c>
      <c r="N354" s="570" t="str">
        <f>IFERROR(VLOOKUP($J354,'Lower Hot Cell Logistics'!$H$4:$I$8,2,FALSE),"N/A")</f>
        <v>N/A</v>
      </c>
      <c r="O354" s="800" t="str">
        <f t="shared" ref="O354:O373" si="62">IF(E354="Movement",IFERROR((M354/N354)/(60*60),"Error"),"N/A")</f>
        <v>N/A</v>
      </c>
      <c r="P354" s="803"/>
      <c r="Q354" s="802" t="str">
        <f>IF($E354="Logistics",VLOOKUP($P354,'Lower Hot Cell Logistics'!$C$4:$D$57,2,FALSE),"N/A")</f>
        <v>N/A</v>
      </c>
      <c r="R354" s="3398"/>
      <c r="S354" s="804" t="str">
        <f>IFERROR(VLOOKUP($R354,'Lower HotCell RecoveryLogistics'!$C$317:$F$355,4,FALSE),"N/A")</f>
        <v>N/A</v>
      </c>
      <c r="T354" s="621" t="str">
        <f>IFERROR(G354-F354-S354,"N/A")</f>
        <v>N/A</v>
      </c>
      <c r="V354" s="947"/>
      <c r="W354" s="947"/>
      <c r="X354" s="7"/>
      <c r="Y354" s="290"/>
      <c r="Z354"/>
      <c r="AA354"/>
      <c r="AB354"/>
      <c r="AC354"/>
    </row>
    <row r="355" spans="1:29" s="8" customFormat="1" ht="15.75" hidden="1" customHeight="1" outlineLevel="2" thickBot="1" x14ac:dyDescent="0.45">
      <c r="A355"/>
      <c r="B355" s="2022"/>
      <c r="C355" s="3887"/>
      <c r="D355" s="807" t="s">
        <v>1885</v>
      </c>
      <c r="E355" s="809" t="s">
        <v>251</v>
      </c>
      <c r="F355" s="471">
        <f t="shared" ref="F355:F373" si="63">MAX($Q355,$O355,$I355)</f>
        <v>12.602967059728389</v>
      </c>
      <c r="G355" s="810">
        <f t="shared" ref="G355:G373" si="64">IF(T355&lt;0,F355+G354+(-T355),F355+G354)</f>
        <v>12.602967059728389</v>
      </c>
      <c r="H355" s="584" t="s">
        <v>441</v>
      </c>
      <c r="I355" s="811">
        <v>12.602967059728389</v>
      </c>
      <c r="J355" s="586"/>
      <c r="K355" s="584"/>
      <c r="L355" s="812"/>
      <c r="M355" s="813" t="str">
        <f>IFERROR(INDEX(#REF!,MATCH($K355,#REF!,0),MATCH($L355,#REF!,0)),"N/A")</f>
        <v>N/A</v>
      </c>
      <c r="N355" s="814" t="str">
        <f>IFERROR(VLOOKUP($J355,#REF!,2,FALSE),"N/A")</f>
        <v>N/A</v>
      </c>
      <c r="O355" s="810" t="str">
        <f t="shared" si="62"/>
        <v>N/A</v>
      </c>
      <c r="P355" s="815"/>
      <c r="Q355" s="813" t="str">
        <f>IF($E355="Logistics",VLOOKUP($P355,'Lower Hot Cell Logistics'!$C$4:$D$57,2,FALSE),"N/A")</f>
        <v>N/A</v>
      </c>
      <c r="R355" s="3400"/>
      <c r="S355" s="816" t="str">
        <f>IFERROR(VLOOKUP($R355,'Lower HotCell RecoveryLogistics'!$C$317:$F$355,4,FALSE),"N/A")</f>
        <v>N/A</v>
      </c>
      <c r="T355" s="591" t="str">
        <f>IFERROR(G354-S355,"N/A")</f>
        <v>N/A</v>
      </c>
      <c r="V355" s="290"/>
      <c r="W355" s="290"/>
      <c r="X355" s="290"/>
      <c r="Y355" s="290"/>
      <c r="Z355"/>
      <c r="AA355"/>
      <c r="AB355"/>
      <c r="AC355"/>
    </row>
    <row r="356" spans="1:29" s="8" customFormat="1" ht="15" hidden="1" customHeight="1" outlineLevel="2" thickBot="1" x14ac:dyDescent="0.45">
      <c r="A356"/>
      <c r="B356" s="2022"/>
      <c r="C356" s="2326" t="s">
        <v>1864</v>
      </c>
      <c r="D356" s="818" t="s">
        <v>2192</v>
      </c>
      <c r="E356" s="1862" t="s">
        <v>3</v>
      </c>
      <c r="F356" s="821">
        <f t="shared" si="63"/>
        <v>0.6</v>
      </c>
      <c r="G356" s="2005">
        <f t="shared" si="64"/>
        <v>13.202967059728389</v>
      </c>
      <c r="H356" s="829"/>
      <c r="I356" s="824" t="s">
        <v>263</v>
      </c>
      <c r="J356" s="825"/>
      <c r="K356" s="823"/>
      <c r="L356" s="826"/>
      <c r="M356" s="827" t="str">
        <f>IFERROR(INDEX(#REF!,MATCH($K356,#REF!,0),MATCH($L356,#REF!,0)),"N/A")</f>
        <v>N/A</v>
      </c>
      <c r="N356" s="828" t="str">
        <f>IFERROR(VLOOKUP($J356,#REF!,2,FALSE),"N/A")</f>
        <v>N/A</v>
      </c>
      <c r="O356" s="822" t="str">
        <f t="shared" si="62"/>
        <v>N/A</v>
      </c>
      <c r="P356" s="1906" t="s">
        <v>2008</v>
      </c>
      <c r="Q356" s="827">
        <f>IF($E356="Logistics",VLOOKUP($P356,'Lower Hot Cell Logistics'!$C$4:$D$57,2,FALSE),"N/A")</f>
        <v>0.6</v>
      </c>
      <c r="R356" s="3396"/>
      <c r="S356" s="830" t="str">
        <f>IFERROR(VLOOKUP($R356,'Lower HotCell RecoveryLogistics'!$C$317:$F$355,4,FALSE),"N/A")</f>
        <v>N/A</v>
      </c>
      <c r="T356" s="824" t="str">
        <f>IFERROR(G355-S356,"N/A")</f>
        <v>N/A</v>
      </c>
      <c r="V356" s="290"/>
      <c r="W356" s="290"/>
      <c r="X356" s="290"/>
      <c r="Y356" s="7"/>
      <c r="Z356"/>
      <c r="AA356"/>
      <c r="AB356"/>
      <c r="AC356"/>
    </row>
    <row r="357" spans="1:29" s="8" customFormat="1" ht="15.75" hidden="1" customHeight="1" outlineLevel="2" x14ac:dyDescent="0.4">
      <c r="A357"/>
      <c r="B357" s="2022"/>
      <c r="C357" s="3787" t="s">
        <v>1635</v>
      </c>
      <c r="D357" s="1129" t="s">
        <v>1247</v>
      </c>
      <c r="E357" s="1620" t="s">
        <v>3</v>
      </c>
      <c r="F357" s="1621">
        <f t="shared" si="63"/>
        <v>1.9</v>
      </c>
      <c r="G357" s="1621">
        <f t="shared" si="64"/>
        <v>15.102967059728389</v>
      </c>
      <c r="H357" s="1129"/>
      <c r="I357" s="1575" t="s">
        <v>263</v>
      </c>
      <c r="J357" s="1129"/>
      <c r="K357" s="1619"/>
      <c r="L357" s="1619"/>
      <c r="M357" s="1623" t="str">
        <f>IFERROR(INDEX('Lower Hot Cell Logistics'!$I$13:$O$19,MATCH($I357,'Lower Hot Cell Logistics'!$H$13:$H$19,0),MATCH($J357,'Lower Hot Cell Logistics'!$H$13:$H$19,0)),"N/A")</f>
        <v>N/A</v>
      </c>
      <c r="N357" s="1623" t="str">
        <f>IFERROR(VLOOKUP($H357,'Lower Hot Cell Logistics'!$H$4:$I$9,2,FALSE),"N/A")</f>
        <v>N/A</v>
      </c>
      <c r="O357" s="1575" t="str">
        <f t="shared" si="62"/>
        <v>N/A</v>
      </c>
      <c r="P357" s="1576" t="s">
        <v>1541</v>
      </c>
      <c r="Q357" s="1575">
        <f>IF($E357="Logistics",VLOOKUP($P357,'Lower Hot Cell Logistics'!$C$4:$D$57,2,FALSE),"N/A")</f>
        <v>1.9</v>
      </c>
      <c r="R357" s="3376"/>
      <c r="S357" s="1575" t="str">
        <f>IFERROR(VLOOKUP($R357,'Lower HotCell RecoveryLogistics'!$C$317:$F$355,4,FALSE),"N/A")</f>
        <v>N/A</v>
      </c>
      <c r="T357" s="1130" t="str">
        <f>IFERROR(#REF!-S357,"N/A")</f>
        <v>N/A</v>
      </c>
      <c r="V357" s="290"/>
      <c r="W357" s="290"/>
      <c r="X357" s="290"/>
      <c r="Y357" s="7"/>
      <c r="Z357"/>
      <c r="AA357"/>
      <c r="AB357"/>
      <c r="AC357"/>
    </row>
    <row r="358" spans="1:29" s="8" customFormat="1" ht="15.75" hidden="1" customHeight="1" outlineLevel="2" x14ac:dyDescent="0.4">
      <c r="A358"/>
      <c r="B358" s="2022"/>
      <c r="C358" s="3786"/>
      <c r="D358" s="1579" t="s">
        <v>2307</v>
      </c>
      <c r="E358" s="1611" t="s">
        <v>251</v>
      </c>
      <c r="F358" s="626">
        <f t="shared" si="63"/>
        <v>12.602967059728389</v>
      </c>
      <c r="G358" s="626">
        <f t="shared" si="64"/>
        <v>27.705934119456778</v>
      </c>
      <c r="H358" s="1579" t="s">
        <v>441</v>
      </c>
      <c r="I358" s="1183">
        <v>12.602967059728389</v>
      </c>
      <c r="J358" s="1579"/>
      <c r="K358" s="582"/>
      <c r="L358" s="582"/>
      <c r="M358" s="1478" t="str">
        <f>IFERROR(INDEX('Lower Hot Cell Logistics'!$I$13:$O$19,MATCH($I358,'Lower Hot Cell Logistics'!$H$13:$H$19,0),MATCH($J358,'Lower Hot Cell Logistics'!$H$13:$H$19,0)),"N/A")</f>
        <v>N/A</v>
      </c>
      <c r="N358" s="1478" t="str">
        <f>IFERROR(VLOOKUP($H358,'Lower Hot Cell Logistics'!$H$4:$I$9,2,FALSE),"N/A")</f>
        <v>N/A</v>
      </c>
      <c r="O358" s="1183" t="str">
        <f t="shared" si="62"/>
        <v>N/A</v>
      </c>
      <c r="P358" s="1578" t="s">
        <v>1828</v>
      </c>
      <c r="Q358" s="1183" t="str">
        <f>IF($E358="Logistics",VLOOKUP($P358,'Lower Hot Cell Logistics'!$C$4:$D$57,2,FALSE),"N/A")</f>
        <v>N/A</v>
      </c>
      <c r="R358" s="3377" t="s">
        <v>2318</v>
      </c>
      <c r="S358" s="1183">
        <f>IFERROR(VLOOKUP($R358,'Lower HotCell RecoveryLogistics'!$C$317:$F$355,4,FALSE),"N/A")</f>
        <v>1.8059259259259259</v>
      </c>
      <c r="T358" s="632">
        <f t="shared" ref="T358:T372" si="65">IFERROR(G357-S358,"N/A")</f>
        <v>13.297041133802463</v>
      </c>
      <c r="V358" s="290"/>
      <c r="W358" s="290"/>
      <c r="X358" s="290"/>
      <c r="Y358" s="7"/>
      <c r="Z358"/>
      <c r="AA358"/>
      <c r="AB358"/>
      <c r="AC358"/>
    </row>
    <row r="359" spans="1:29" s="8" customFormat="1" ht="15.75" hidden="1" customHeight="1" outlineLevel="2" x14ac:dyDescent="0.4">
      <c r="A359"/>
      <c r="B359" s="2022"/>
      <c r="C359" s="3786"/>
      <c r="D359" s="1579" t="s">
        <v>2308</v>
      </c>
      <c r="E359" s="1611" t="s">
        <v>3</v>
      </c>
      <c r="F359" s="626">
        <f t="shared" si="63"/>
        <v>0.6</v>
      </c>
      <c r="G359" s="626">
        <f t="shared" si="64"/>
        <v>28.305934119456779</v>
      </c>
      <c r="H359" s="1579"/>
      <c r="I359" s="1183" t="s">
        <v>263</v>
      </c>
      <c r="J359" s="1579"/>
      <c r="K359" s="582"/>
      <c r="L359" s="582"/>
      <c r="M359" s="1478" t="str">
        <f>IFERROR(INDEX('Lower Hot Cell Logistics'!$I$13:$O$19,MATCH($I359,'Lower Hot Cell Logistics'!$H$13:$H$19,0),MATCH($J359,'Lower Hot Cell Logistics'!$H$13:$H$19,0)),"N/A")</f>
        <v>N/A</v>
      </c>
      <c r="N359" s="1478" t="str">
        <f>IFERROR(VLOOKUP($H359,'Lower Hot Cell Logistics'!$H$4:$I$9,2,FALSE),"N/A")</f>
        <v>N/A</v>
      </c>
      <c r="O359" s="1183" t="str">
        <f t="shared" si="62"/>
        <v>N/A</v>
      </c>
      <c r="P359" s="1578" t="s">
        <v>2008</v>
      </c>
      <c r="Q359" s="1183">
        <f>IF($E359="Logistics",VLOOKUP($P359,'Lower Hot Cell Logistics'!$C$4:$D$57,2,FALSE),"N/A")</f>
        <v>0.6</v>
      </c>
      <c r="R359" s="3377"/>
      <c r="S359" s="1183" t="str">
        <f>IFERROR(VLOOKUP($R359,'Lower HotCell RecoveryLogistics'!$C$317:$F$355,4,FALSE),"N/A")</f>
        <v>N/A</v>
      </c>
      <c r="T359" s="632" t="str">
        <f t="shared" si="65"/>
        <v>N/A</v>
      </c>
      <c r="V359" s="290"/>
      <c r="W359" s="290"/>
      <c r="X359" s="290"/>
      <c r="Y359" s="7"/>
      <c r="Z359"/>
      <c r="AA359"/>
      <c r="AB359"/>
      <c r="AC359"/>
    </row>
    <row r="360" spans="1:29" s="8" customFormat="1" ht="15.75" hidden="1" customHeight="1" outlineLevel="2" x14ac:dyDescent="0.4">
      <c r="A360"/>
      <c r="B360" s="2022"/>
      <c r="C360" s="3786"/>
      <c r="D360" s="1579" t="s">
        <v>1639</v>
      </c>
      <c r="E360" s="1611" t="s">
        <v>3</v>
      </c>
      <c r="F360" s="626">
        <f t="shared" si="63"/>
        <v>0.6</v>
      </c>
      <c r="G360" s="626">
        <f t="shared" si="64"/>
        <v>28.905934119456781</v>
      </c>
      <c r="H360" s="1579"/>
      <c r="I360" s="1183" t="s">
        <v>263</v>
      </c>
      <c r="J360" s="1579"/>
      <c r="K360" s="582"/>
      <c r="L360" s="582"/>
      <c r="M360" s="1478" t="str">
        <f>IFERROR(INDEX('Lower Hot Cell Logistics'!$I$13:$O$19,MATCH($I360,'Lower Hot Cell Logistics'!$H$13:$H$19,0),MATCH($J360,'Lower Hot Cell Logistics'!$H$13:$H$19,0)),"N/A")</f>
        <v>N/A</v>
      </c>
      <c r="N360" s="1478" t="str">
        <f>IFERROR(VLOOKUP($H360,'Lower Hot Cell Logistics'!$H$4:$I$9,2,FALSE),"N/A")</f>
        <v>N/A</v>
      </c>
      <c r="O360" s="1183" t="str">
        <f t="shared" si="62"/>
        <v>N/A</v>
      </c>
      <c r="P360" s="1578" t="s">
        <v>2008</v>
      </c>
      <c r="Q360" s="1183">
        <f>IF($E360="Logistics",VLOOKUP($P360,'Lower Hot Cell Logistics'!$C$4:$D$57,2,FALSE),"N/A")</f>
        <v>0.6</v>
      </c>
      <c r="R360" s="3377"/>
      <c r="S360" s="1183" t="str">
        <f>IFERROR(VLOOKUP($R360,'Lower HotCell RecoveryLogistics'!$C$317:$F$355,4,FALSE),"N/A")</f>
        <v>N/A</v>
      </c>
      <c r="T360" s="632" t="str">
        <f t="shared" si="65"/>
        <v>N/A</v>
      </c>
      <c r="V360" s="290"/>
      <c r="W360" s="290"/>
      <c r="X360" s="290"/>
      <c r="Y360" s="7"/>
      <c r="Z360"/>
      <c r="AA360"/>
      <c r="AB360"/>
      <c r="AC360"/>
    </row>
    <row r="361" spans="1:29" s="8" customFormat="1" ht="15.75" hidden="1" customHeight="1" outlineLevel="2" x14ac:dyDescent="0.4">
      <c r="A361"/>
      <c r="B361" s="2022"/>
      <c r="C361" s="3786"/>
      <c r="D361" s="1579" t="s">
        <v>2061</v>
      </c>
      <c r="E361" s="1611" t="s">
        <v>3</v>
      </c>
      <c r="F361" s="626">
        <f t="shared" si="63"/>
        <v>0.53</v>
      </c>
      <c r="G361" s="626">
        <f t="shared" si="64"/>
        <v>29.435934119456782</v>
      </c>
      <c r="H361" s="1579"/>
      <c r="I361" s="1183" t="s">
        <v>263</v>
      </c>
      <c r="J361" s="1579"/>
      <c r="K361" s="582"/>
      <c r="L361" s="582"/>
      <c r="M361" s="1478" t="str">
        <f>IFERROR(INDEX('Lower Hot Cell Logistics'!$I$13:$O$19,MATCH($I361,'Lower Hot Cell Logistics'!$H$13:$H$19,0),MATCH($J361,'Lower Hot Cell Logistics'!$H$13:$H$19,0)),"N/A")</f>
        <v>N/A</v>
      </c>
      <c r="N361" s="1478" t="str">
        <f>IFERROR(VLOOKUP($H361,'Lower Hot Cell Logistics'!$H$4:$I$9,2,FALSE),"N/A")</f>
        <v>N/A</v>
      </c>
      <c r="O361" s="1183" t="str">
        <f t="shared" si="62"/>
        <v>N/A</v>
      </c>
      <c r="P361" s="1578" t="s">
        <v>1558</v>
      </c>
      <c r="Q361" s="1183">
        <f>IF($E361="Logistics",VLOOKUP($P361,'Lower Hot Cell Logistics'!$C$4:$D$57,2,FALSE),"N/A")</f>
        <v>0.53</v>
      </c>
      <c r="R361" s="3377"/>
      <c r="S361" s="1183" t="str">
        <f>IFERROR(VLOOKUP($R361,'Lower HotCell RecoveryLogistics'!$C$317:$F$355,4,FALSE),"N/A")</f>
        <v>N/A</v>
      </c>
      <c r="T361" s="632" t="str">
        <f t="shared" si="65"/>
        <v>N/A</v>
      </c>
      <c r="V361" s="290"/>
      <c r="W361" s="290"/>
      <c r="X361" s="290"/>
      <c r="Y361" s="7"/>
      <c r="Z361"/>
      <c r="AA361"/>
      <c r="AB361"/>
      <c r="AC361"/>
    </row>
    <row r="362" spans="1:29" s="8" customFormat="1" ht="15.75" hidden="1" customHeight="1" outlineLevel="2" x14ac:dyDescent="0.4">
      <c r="A362"/>
      <c r="B362" s="2022"/>
      <c r="C362" s="3786"/>
      <c r="D362" s="1579" t="s">
        <v>2319</v>
      </c>
      <c r="E362" s="1611" t="s">
        <v>251</v>
      </c>
      <c r="F362" s="626">
        <f t="shared" si="63"/>
        <v>12.602967059728389</v>
      </c>
      <c r="G362" s="626">
        <f t="shared" si="64"/>
        <v>42.038901179185174</v>
      </c>
      <c r="H362" s="1579" t="s">
        <v>441</v>
      </c>
      <c r="I362" s="1183">
        <v>12.602967059728389</v>
      </c>
      <c r="J362" s="1579"/>
      <c r="K362" s="582"/>
      <c r="L362" s="582"/>
      <c r="M362" s="1478" t="str">
        <f>IFERROR(INDEX('Lower Hot Cell Logistics'!$I$13:$O$19,MATCH($I362,'Lower Hot Cell Logistics'!$H$13:$H$19,0),MATCH($J362,'Lower Hot Cell Logistics'!$H$13:$H$19,0)),"N/A")</f>
        <v>N/A</v>
      </c>
      <c r="N362" s="1478" t="str">
        <f>IFERROR(VLOOKUP($H362,'Lower Hot Cell Logistics'!$H$4:$I$9,2,FALSE),"N/A")</f>
        <v>N/A</v>
      </c>
      <c r="O362" s="1183" t="str">
        <f t="shared" si="62"/>
        <v>N/A</v>
      </c>
      <c r="P362" s="1578"/>
      <c r="Q362" s="1183" t="str">
        <f>IF($E362="Logistics",VLOOKUP($P362,'Lower Hot Cell Logistics'!$C$4:$D$57,2,FALSE),"N/A")</f>
        <v>N/A</v>
      </c>
      <c r="R362" s="3377" t="s">
        <v>2062</v>
      </c>
      <c r="S362" s="1183">
        <f>IFERROR(VLOOKUP($R362,'Lower HotCell RecoveryLogistics'!$C$317:$F$355,4,FALSE),"N/A")</f>
        <v>15.008892985654315</v>
      </c>
      <c r="T362" s="632">
        <f t="shared" si="65"/>
        <v>14.427041133802467</v>
      </c>
      <c r="V362" s="290"/>
      <c r="W362" s="290"/>
      <c r="X362" s="290"/>
      <c r="Y362" s="7"/>
      <c r="Z362"/>
      <c r="AA362"/>
      <c r="AB362"/>
      <c r="AC362"/>
    </row>
    <row r="363" spans="1:29" s="8" customFormat="1" ht="15.75" hidden="1" customHeight="1" outlineLevel="2" thickBot="1" x14ac:dyDescent="0.45">
      <c r="A363"/>
      <c r="B363" s="2022"/>
      <c r="C363" s="3786"/>
      <c r="D363" s="1136" t="s">
        <v>2089</v>
      </c>
      <c r="E363" s="1611" t="s">
        <v>3</v>
      </c>
      <c r="F363" s="626">
        <f t="shared" si="63"/>
        <v>0.6</v>
      </c>
      <c r="G363" s="626">
        <f t="shared" si="64"/>
        <v>42.638901179185176</v>
      </c>
      <c r="H363" s="1579"/>
      <c r="I363" s="1183" t="s">
        <v>263</v>
      </c>
      <c r="J363" s="1579"/>
      <c r="K363" s="582"/>
      <c r="L363" s="582"/>
      <c r="M363" s="1478" t="str">
        <f>IFERROR(INDEX('Lower Hot Cell Logistics'!$I$13:$O$19,MATCH($I363,'Lower Hot Cell Logistics'!$H$13:$H$19,0),MATCH($J363,'Lower Hot Cell Logistics'!$H$13:$H$19,0)),"N/A")</f>
        <v>N/A</v>
      </c>
      <c r="N363" s="1478" t="str">
        <f>IFERROR(VLOOKUP($H363,'Lower Hot Cell Logistics'!$H$4:$I$9,2,FALSE),"N/A")</f>
        <v>N/A</v>
      </c>
      <c r="O363" s="1183" t="str">
        <f t="shared" si="62"/>
        <v>N/A</v>
      </c>
      <c r="P363" s="1578" t="s">
        <v>2008</v>
      </c>
      <c r="Q363" s="1183">
        <f>IF($E363="Logistics",VLOOKUP($P363,'Lower Hot Cell Logistics'!$C$4:$D$57,2,FALSE),"N/A")</f>
        <v>0.6</v>
      </c>
      <c r="R363" s="3377"/>
      <c r="S363" s="1183" t="str">
        <f>IFERROR(VLOOKUP($R363,'Lower HotCell RecoveryLogistics'!$C$317:$F$355,4,FALSE),"N/A")</f>
        <v>N/A</v>
      </c>
      <c r="T363" s="632" t="str">
        <f t="shared" si="65"/>
        <v>N/A</v>
      </c>
      <c r="V363" s="290"/>
      <c r="W363" s="290"/>
      <c r="X363" s="290"/>
      <c r="Y363" s="7"/>
      <c r="Z363"/>
      <c r="AA363"/>
      <c r="AB363"/>
      <c r="AC363"/>
    </row>
    <row r="364" spans="1:29" s="8" customFormat="1" ht="15" hidden="1" customHeight="1" outlineLevel="2" x14ac:dyDescent="0.4">
      <c r="A364"/>
      <c r="B364" s="2022"/>
      <c r="C364" s="3886" t="s">
        <v>2320</v>
      </c>
      <c r="D364" s="798" t="s">
        <v>1247</v>
      </c>
      <c r="E364" s="799" t="s">
        <v>3</v>
      </c>
      <c r="F364" s="326">
        <f t="shared" si="63"/>
        <v>0.8</v>
      </c>
      <c r="G364" s="800">
        <f t="shared" si="64"/>
        <v>43.438901179185173</v>
      </c>
      <c r="H364" s="566"/>
      <c r="I364" s="621" t="s">
        <v>263</v>
      </c>
      <c r="J364" s="568"/>
      <c r="K364" s="566"/>
      <c r="L364" s="801"/>
      <c r="M364" s="802" t="str">
        <f>IFERROR(INDEX(#REF!,MATCH($K364,#REF!,0),MATCH($L364,#REF!,0)),"N/A")</f>
        <v>N/A</v>
      </c>
      <c r="N364" s="570" t="str">
        <f>IFERROR(VLOOKUP($J364,#REF!,2,FALSE),"N/A")</f>
        <v>N/A</v>
      </c>
      <c r="O364" s="800" t="str">
        <f t="shared" si="62"/>
        <v>N/A</v>
      </c>
      <c r="P364" s="803" t="s">
        <v>1828</v>
      </c>
      <c r="Q364" s="802">
        <f>IF($E364="Logistics",VLOOKUP($P364,'Lower Hot Cell Logistics'!$C$4:$D$57,2,FALSE),"N/A")</f>
        <v>0.8</v>
      </c>
      <c r="R364" s="3398"/>
      <c r="S364" s="804" t="str">
        <f>IFERROR(VLOOKUP($R364,'Lower HotCell RecoveryLogistics'!$C$317:$F$355,4,FALSE),"N/A")</f>
        <v>N/A</v>
      </c>
      <c r="T364" s="621" t="str">
        <f t="shared" si="65"/>
        <v>N/A</v>
      </c>
      <c r="V364" s="290"/>
      <c r="W364" s="290"/>
      <c r="X364" s="290"/>
      <c r="Y364" s="7"/>
      <c r="Z364"/>
      <c r="AA364"/>
      <c r="AB364"/>
      <c r="AC364"/>
    </row>
    <row r="365" spans="1:29" s="8" customFormat="1" ht="15" hidden="1" customHeight="1" outlineLevel="2" x14ac:dyDescent="0.4">
      <c r="A365"/>
      <c r="B365" s="2022"/>
      <c r="C365" s="3890"/>
      <c r="D365" s="1781" t="s">
        <v>2299</v>
      </c>
      <c r="E365" s="848" t="s">
        <v>3</v>
      </c>
      <c r="F365" s="459">
        <f t="shared" si="63"/>
        <v>0.8</v>
      </c>
      <c r="G365" s="849">
        <f t="shared" si="64"/>
        <v>44.23890117918517</v>
      </c>
      <c r="H365" s="880"/>
      <c r="I365" s="850" t="s">
        <v>263</v>
      </c>
      <c r="J365" s="879"/>
      <c r="K365" s="880"/>
      <c r="L365" s="881"/>
      <c r="M365" s="1460" t="str">
        <f>IFERROR(INDEX(#REF!,MATCH($K365,#REF!,0),MATCH($L365,#REF!,0)),"N/A")</f>
        <v>N/A</v>
      </c>
      <c r="N365" s="1459" t="str">
        <f>IFERROR(VLOOKUP($J365,#REF!,2,FALSE),"N/A")</f>
        <v>N/A</v>
      </c>
      <c r="O365" s="849" t="str">
        <f t="shared" si="62"/>
        <v>N/A</v>
      </c>
      <c r="P365" s="854" t="s">
        <v>1828</v>
      </c>
      <c r="Q365" s="1460">
        <f>IF($E365="Logistics",VLOOKUP($P365,'Lower Hot Cell Logistics'!$C$4:$D$57,2,FALSE),"N/A")</f>
        <v>0.8</v>
      </c>
      <c r="R365" s="3401" t="s">
        <v>2286</v>
      </c>
      <c r="S365" s="855">
        <f>IFERROR(VLOOKUP($R365,'Lower HotCell RecoveryLogistics'!$C$317:$F$355,4,FALSE),"N/A")</f>
        <v>32.477415600938258</v>
      </c>
      <c r="T365" s="850">
        <f t="shared" si="65"/>
        <v>10.961485578246915</v>
      </c>
      <c r="V365" s="290"/>
      <c r="W365" s="290"/>
      <c r="X365" s="290"/>
      <c r="Y365" s="7"/>
      <c r="Z365"/>
      <c r="AA365"/>
      <c r="AB365"/>
      <c r="AC365"/>
    </row>
    <row r="366" spans="1:29" s="8" customFormat="1" ht="15" hidden="1" customHeight="1" outlineLevel="2" x14ac:dyDescent="0.4">
      <c r="A366"/>
      <c r="B366" s="2022"/>
      <c r="C366" s="3890"/>
      <c r="D366" s="1781" t="s">
        <v>2210</v>
      </c>
      <c r="E366" s="848" t="s">
        <v>251</v>
      </c>
      <c r="F366" s="459">
        <f t="shared" si="63"/>
        <v>17.622664625997164</v>
      </c>
      <c r="G366" s="849">
        <f t="shared" si="64"/>
        <v>74.126444123210632</v>
      </c>
      <c r="H366" s="880" t="s">
        <v>556</v>
      </c>
      <c r="I366" s="850">
        <v>17.622664625997164</v>
      </c>
      <c r="J366" s="879"/>
      <c r="K366" s="880"/>
      <c r="L366" s="881"/>
      <c r="M366" s="1460" t="str">
        <f>IFERROR(INDEX(#REF!,MATCH($K366,#REF!,0),MATCH($L366,#REF!,0)),"N/A")</f>
        <v>N/A</v>
      </c>
      <c r="N366" s="1459" t="str">
        <f>IFERROR(VLOOKUP($J366,#REF!,2,FALSE),"N/A")</f>
        <v>N/A</v>
      </c>
      <c r="O366" s="849" t="str">
        <f t="shared" si="62"/>
        <v>N/A</v>
      </c>
      <c r="P366" s="854"/>
      <c r="Q366" s="1460" t="str">
        <f>IF($E366="Logistics",VLOOKUP($P366,'Lower Hot Cell Logistics'!$C$4:$D$57,2,FALSE),"N/A")</f>
        <v>N/A</v>
      </c>
      <c r="R366" s="3401" t="s">
        <v>1880</v>
      </c>
      <c r="S366" s="855">
        <f>IFERROR(VLOOKUP($R366,'Lower HotCell RecoveryLogistics'!$C$317:$F$355,4,FALSE),"N/A")</f>
        <v>56.503779497213472</v>
      </c>
      <c r="T366" s="850">
        <f t="shared" si="65"/>
        <v>-12.264878318028302</v>
      </c>
      <c r="V366" s="290"/>
      <c r="W366" s="290"/>
      <c r="X366" s="290"/>
      <c r="Y366" s="7"/>
      <c r="Z366"/>
      <c r="AA366"/>
      <c r="AB366"/>
      <c r="AC366"/>
    </row>
    <row r="367" spans="1:29" s="8" customFormat="1" ht="15" hidden="1" customHeight="1" outlineLevel="2" x14ac:dyDescent="0.4">
      <c r="A367"/>
      <c r="B367" s="2022"/>
      <c r="C367" s="3890"/>
      <c r="D367" s="1781" t="s">
        <v>2300</v>
      </c>
      <c r="E367" s="848" t="s">
        <v>3</v>
      </c>
      <c r="F367" s="459">
        <f t="shared" si="63"/>
        <v>0.8</v>
      </c>
      <c r="G367" s="849">
        <f t="shared" si="64"/>
        <v>76.53237004913656</v>
      </c>
      <c r="H367" s="880"/>
      <c r="I367" s="850" t="s">
        <v>263</v>
      </c>
      <c r="J367" s="879"/>
      <c r="K367" s="880"/>
      <c r="L367" s="881"/>
      <c r="M367" s="1460" t="str">
        <f>IFERROR(INDEX(#REF!,MATCH($K367,#REF!,0),MATCH($L367,#REF!,0)),"N/A")</f>
        <v>N/A</v>
      </c>
      <c r="N367" s="1459" t="str">
        <f>IFERROR(VLOOKUP($J367,#REF!,2,FALSE),"N/A")</f>
        <v>N/A</v>
      </c>
      <c r="O367" s="849" t="str">
        <f t="shared" si="62"/>
        <v>N/A</v>
      </c>
      <c r="P367" s="854" t="s">
        <v>1828</v>
      </c>
      <c r="Q367" s="1460">
        <f>IF($E367="Logistics",VLOOKUP($P367,'Lower Hot Cell Logistics'!$C$4:$D$57,2,FALSE),"N/A")</f>
        <v>0.8</v>
      </c>
      <c r="R367" s="3401" t="s">
        <v>2287</v>
      </c>
      <c r="S367" s="855">
        <f>IFERROR(VLOOKUP($R367,'Lower HotCell RecoveryLogistics'!$C$317:$F$355,4,FALSE),"N/A")</f>
        <v>75.732370049136563</v>
      </c>
      <c r="T367" s="850">
        <f t="shared" si="65"/>
        <v>-1.6059259259259306</v>
      </c>
      <c r="V367" s="290"/>
      <c r="W367" s="290"/>
      <c r="X367" s="290"/>
      <c r="Y367" s="7"/>
      <c r="Z367"/>
      <c r="AA367"/>
      <c r="AB367"/>
      <c r="AC367"/>
    </row>
    <row r="368" spans="1:29" s="8" customFormat="1" ht="15" hidden="1" customHeight="1" outlineLevel="2" x14ac:dyDescent="0.4">
      <c r="A368"/>
      <c r="B368" s="2022"/>
      <c r="C368" s="3890"/>
      <c r="D368" s="1781" t="s">
        <v>2302</v>
      </c>
      <c r="E368" s="848" t="s">
        <v>251</v>
      </c>
      <c r="F368" s="459">
        <f t="shared" si="63"/>
        <v>17.622664625997164</v>
      </c>
      <c r="G368" s="849">
        <f t="shared" si="64"/>
        <v>108.71994584264631</v>
      </c>
      <c r="H368" s="880" t="s">
        <v>556</v>
      </c>
      <c r="I368" s="850">
        <v>17.622664625997164</v>
      </c>
      <c r="J368" s="879"/>
      <c r="K368" s="880"/>
      <c r="L368" s="881"/>
      <c r="M368" s="1460" t="str">
        <f>IFERROR(INDEX(#REF!,MATCH($K368,#REF!,0),MATCH($L368,#REF!,0)),"N/A")</f>
        <v>N/A</v>
      </c>
      <c r="N368" s="1459" t="str">
        <f>IFERROR(VLOOKUP($J368,#REF!,2,FALSE),"N/A")</f>
        <v>N/A</v>
      </c>
      <c r="O368" s="849" t="str">
        <f t="shared" si="62"/>
        <v>N/A</v>
      </c>
      <c r="P368" s="854"/>
      <c r="Q368" s="1460" t="str">
        <f>IF($E368="Logistics",VLOOKUP($P368,'Lower Hot Cell Logistics'!$C$4:$D$57,2,FALSE),"N/A")</f>
        <v>N/A</v>
      </c>
      <c r="R368" s="3401" t="s">
        <v>1881</v>
      </c>
      <c r="S368" s="855">
        <f>IFERROR(VLOOKUP($R368,'Lower HotCell RecoveryLogistics'!$C$317:$F$355,4,FALSE),"N/A")</f>
        <v>91.097281216649151</v>
      </c>
      <c r="T368" s="850">
        <f t="shared" si="65"/>
        <v>-14.564911167512591</v>
      </c>
      <c r="V368" s="290"/>
      <c r="W368" s="290"/>
      <c r="X368" s="290"/>
      <c r="Y368" s="7"/>
      <c r="Z368"/>
      <c r="AA368"/>
      <c r="AB368"/>
      <c r="AC368"/>
    </row>
    <row r="369" spans="1:29" s="8" customFormat="1" ht="15" hidden="1" customHeight="1" outlineLevel="2" thickBot="1" x14ac:dyDescent="0.45">
      <c r="A369"/>
      <c r="B369" s="2022"/>
      <c r="C369" s="3890"/>
      <c r="D369" s="584" t="s">
        <v>2089</v>
      </c>
      <c r="E369" s="848" t="s">
        <v>3</v>
      </c>
      <c r="F369" s="459">
        <f t="shared" si="63"/>
        <v>0.6</v>
      </c>
      <c r="G369" s="849">
        <f t="shared" si="64"/>
        <v>109.31994584264631</v>
      </c>
      <c r="H369" s="880"/>
      <c r="I369" s="850" t="s">
        <v>263</v>
      </c>
      <c r="J369" s="879"/>
      <c r="K369" s="880"/>
      <c r="L369" s="881"/>
      <c r="M369" s="1460" t="str">
        <f>IFERROR(INDEX(#REF!,MATCH($K369,#REF!,0),MATCH($L369,#REF!,0)),"N/A")</f>
        <v>N/A</v>
      </c>
      <c r="N369" s="1459" t="str">
        <f>IFERROR(VLOOKUP($J369,#REF!,2,FALSE),"N/A")</f>
        <v>N/A</v>
      </c>
      <c r="O369" s="849" t="str">
        <f t="shared" si="62"/>
        <v>N/A</v>
      </c>
      <c r="P369" s="854" t="s">
        <v>2008</v>
      </c>
      <c r="Q369" s="1460">
        <f>IF($E369="Logistics",VLOOKUP($P369,'Lower Hot Cell Logistics'!$C$4:$D$57,2,FALSE),"N/A")</f>
        <v>0.6</v>
      </c>
      <c r="R369" s="3401"/>
      <c r="S369" s="855" t="str">
        <f>IFERROR(VLOOKUP($R369,'Lower HotCell RecoveryLogistics'!$C$317:$F$355,4,FALSE),"N/A")</f>
        <v>N/A</v>
      </c>
      <c r="T369" s="850" t="str">
        <f t="shared" si="65"/>
        <v>N/A</v>
      </c>
      <c r="V369" s="290"/>
      <c r="W369" s="290"/>
      <c r="X369" s="290"/>
      <c r="Y369" s="7"/>
      <c r="Z369"/>
      <c r="AA369"/>
      <c r="AB369"/>
      <c r="AC369"/>
    </row>
    <row r="370" spans="1:29" s="8" customFormat="1" ht="15.75" hidden="1" customHeight="1" outlineLevel="2" x14ac:dyDescent="0.4">
      <c r="A370"/>
      <c r="B370" s="2022"/>
      <c r="C370" s="3814" t="s">
        <v>2321</v>
      </c>
      <c r="D370" s="1906" t="s">
        <v>1247</v>
      </c>
      <c r="E370" s="1907" t="s">
        <v>3</v>
      </c>
      <c r="F370" s="1739">
        <f t="shared" si="63"/>
        <v>0.8</v>
      </c>
      <c r="G370" s="1739">
        <f t="shared" si="64"/>
        <v>110.1199458426463</v>
      </c>
      <c r="H370" s="1906"/>
      <c r="I370" s="1917" t="s">
        <v>263</v>
      </c>
      <c r="J370" s="1906"/>
      <c r="K370" s="1911"/>
      <c r="L370" s="1911"/>
      <c r="M370" s="1912" t="str">
        <f>IFERROR(INDEX('Lower Hot Cell Logistics'!$I$13:$O$19,MATCH($I370,'Lower Hot Cell Logistics'!$H$13:$H$19,0),MATCH($J370,'Lower Hot Cell Logistics'!$H$13:$H$19,0)),"N/A")</f>
        <v>N/A</v>
      </c>
      <c r="N370" s="1912" t="str">
        <f>IFERROR(VLOOKUP($H370,'Lower Hot Cell Logistics'!$H$4:$I$9,2,FALSE),"N/A")</f>
        <v>N/A</v>
      </c>
      <c r="O370" s="1917" t="str">
        <f t="shared" si="62"/>
        <v>N/A</v>
      </c>
      <c r="P370" s="1916" t="s">
        <v>1828</v>
      </c>
      <c r="Q370" s="1917">
        <f>IF($E370="Logistics",VLOOKUP($P370,'Lower Hot Cell Logistics'!$C$4:$D$57,2,FALSE),"N/A")</f>
        <v>0.8</v>
      </c>
      <c r="R370" s="3381"/>
      <c r="S370" s="1917" t="str">
        <f>IFERROR(VLOOKUP($R370,'Lower HotCell RecoveryLogistics'!$C$317:$F$355,4,FALSE),"N/A")</f>
        <v>N/A</v>
      </c>
      <c r="T370" s="1910" t="str">
        <f t="shared" si="65"/>
        <v>N/A</v>
      </c>
      <c r="V370" s="290"/>
      <c r="W370" s="290"/>
      <c r="X370" s="290"/>
      <c r="Y370" s="7"/>
      <c r="Z370"/>
      <c r="AA370"/>
      <c r="AB370"/>
      <c r="AC370"/>
    </row>
    <row r="371" spans="1:29" s="8" customFormat="1" ht="15" hidden="1" customHeight="1" outlineLevel="2" x14ac:dyDescent="0.4">
      <c r="A371"/>
      <c r="B371" s="2022"/>
      <c r="C371" s="3815"/>
      <c r="D371" s="857" t="s">
        <v>2310</v>
      </c>
      <c r="E371" s="2323" t="s">
        <v>3</v>
      </c>
      <c r="F371" s="483">
        <f>MAX($Q371,$O371,$I371)</f>
        <v>0.8</v>
      </c>
      <c r="G371" s="2324">
        <f t="shared" si="64"/>
        <v>111.32587176857223</v>
      </c>
      <c r="H371" s="860"/>
      <c r="I371" s="1332" t="s">
        <v>263</v>
      </c>
      <c r="J371" s="862"/>
      <c r="K371" s="860"/>
      <c r="L371" s="863"/>
      <c r="M371" s="864" t="str">
        <f>IFERROR(INDEX(#REF!,MATCH($K371,#REF!,0),MATCH($L371,#REF!,0)),"N/A")</f>
        <v>N/A</v>
      </c>
      <c r="N371" s="865" t="str">
        <f>IFERROR(VLOOKUP($J371,#REF!,2,FALSE),"N/A")</f>
        <v>N/A</v>
      </c>
      <c r="O371" s="2324" t="str">
        <f>IF(E371="Movement",IFERROR((M371/N371)/(60*60),"Error"),"N/A")</f>
        <v>N/A</v>
      </c>
      <c r="P371" s="2041" t="s">
        <v>1828</v>
      </c>
      <c r="Q371" s="864">
        <f>IF($E371="Logistics",VLOOKUP($P371,'Lower Hot Cell Logistics'!$C$4:$D$57,2,FALSE),"N/A")</f>
        <v>0.8</v>
      </c>
      <c r="R371" s="3581" t="s">
        <v>2077</v>
      </c>
      <c r="S371" s="2325">
        <f>IFERROR(VLOOKUP($R371,'Lower HotCell RecoveryLogistics'!$C$317:$F$355,4,FALSE),"N/A")</f>
        <v>110.52587176857223</v>
      </c>
      <c r="T371" s="1332">
        <f t="shared" si="65"/>
        <v>-0.4059259259259278</v>
      </c>
      <c r="V371" s="290"/>
      <c r="W371" s="290"/>
      <c r="X371" s="290"/>
      <c r="Y371" s="7"/>
      <c r="Z371"/>
      <c r="AA371"/>
      <c r="AB371"/>
      <c r="AC371"/>
    </row>
    <row r="372" spans="1:29" s="8" customFormat="1" ht="15.75" hidden="1" customHeight="1" outlineLevel="2" x14ac:dyDescent="0.4">
      <c r="A372"/>
      <c r="B372" s="2022"/>
      <c r="C372" s="3815"/>
      <c r="D372" s="1895" t="s">
        <v>1086</v>
      </c>
      <c r="E372" s="1896" t="s">
        <v>251</v>
      </c>
      <c r="F372" s="1347">
        <f t="shared" si="63"/>
        <v>10.036332312998582</v>
      </c>
      <c r="G372" s="1347">
        <f t="shared" si="64"/>
        <v>121.36220408157081</v>
      </c>
      <c r="H372" s="1895" t="s">
        <v>450</v>
      </c>
      <c r="I372" s="1903">
        <v>10.036332312998582</v>
      </c>
      <c r="J372" s="1895"/>
      <c r="K372" s="1897"/>
      <c r="L372" s="1897"/>
      <c r="M372" s="1898" t="str">
        <f>IFERROR(INDEX('Lower Hot Cell Logistics'!$I$13:$O$19,MATCH($I372,'Lower Hot Cell Logistics'!$H$13:$H$19,0),MATCH($J372,'Lower Hot Cell Logistics'!$H$13:$H$19,0)),"N/A")</f>
        <v>N/A</v>
      </c>
      <c r="N372" s="1898" t="str">
        <f>IFERROR(VLOOKUP($H372,'Lower Hot Cell Logistics'!$H$4:$I$9,2,FALSE),"N/A")</f>
        <v>N/A</v>
      </c>
      <c r="O372" s="1903" t="str">
        <f t="shared" si="62"/>
        <v>N/A</v>
      </c>
      <c r="P372" s="1902" t="s">
        <v>2008</v>
      </c>
      <c r="Q372" s="1903" t="str">
        <f>IF($E372="Logistics",VLOOKUP($P372,'Lower Hot Cell Logistics'!$C$4:$D$57,2,FALSE),"N/A")</f>
        <v>N/A</v>
      </c>
      <c r="R372" s="3380"/>
      <c r="S372" s="1903" t="str">
        <f>IFERROR(VLOOKUP($R372,'Lower HotCell RecoveryLogistics'!$C$317:$F$355,4,FALSE),"N/A")</f>
        <v>N/A</v>
      </c>
      <c r="T372" s="1353" t="str">
        <f t="shared" si="65"/>
        <v>N/A</v>
      </c>
      <c r="V372" s="290"/>
      <c r="W372" s="290"/>
      <c r="X372" s="290"/>
      <c r="Y372" s="7"/>
      <c r="Z372"/>
      <c r="AA372"/>
      <c r="AB372"/>
      <c r="AC372"/>
    </row>
    <row r="373" spans="1:29" s="8" customFormat="1" ht="15.75" hidden="1" customHeight="1" outlineLevel="2" thickBot="1" x14ac:dyDescent="0.45">
      <c r="A373"/>
      <c r="B373" s="2022"/>
      <c r="C373" s="3816"/>
      <c r="D373" s="1869" t="s">
        <v>1599</v>
      </c>
      <c r="E373" s="1918" t="s">
        <v>3</v>
      </c>
      <c r="F373" s="1295">
        <f t="shared" si="63"/>
        <v>0.6</v>
      </c>
      <c r="G373" s="1295">
        <f t="shared" si="64"/>
        <v>121.9622040815708</v>
      </c>
      <c r="H373" s="1869"/>
      <c r="I373" s="1922" t="s">
        <v>263</v>
      </c>
      <c r="J373" s="1869"/>
      <c r="K373" s="837"/>
      <c r="L373" s="837"/>
      <c r="M373" s="842" t="str">
        <f>IFERROR(INDEX('Lower Hot Cell Logistics'!$I$13:$O$19,MATCH($I373,'Lower Hot Cell Logistics'!$H$13:$H$19,0),MATCH($J373,'Lower Hot Cell Logistics'!$H$13:$H$19,0)),"N/A")</f>
        <v>N/A</v>
      </c>
      <c r="N373" s="842" t="str">
        <f>IFERROR(VLOOKUP($H373,'Lower Hot Cell Logistics'!$H$4:$I$9,2,FALSE),"N/A")</f>
        <v>N/A</v>
      </c>
      <c r="O373" s="1922" t="str">
        <f t="shared" si="62"/>
        <v>N/A</v>
      </c>
      <c r="P373" s="1921" t="s">
        <v>2008</v>
      </c>
      <c r="Q373" s="1922">
        <f>IF($E373="Logistics",VLOOKUP($P373,'Lower Hot Cell Logistics'!$C$4:$D$57,2,FALSE),"N/A")</f>
        <v>0.6</v>
      </c>
      <c r="R373" s="3382"/>
      <c r="S373" s="1922" t="str">
        <f>IFERROR(VLOOKUP($R373,'Lower HotCell RecoveryLogistics'!$C$317:$F$355,4,FALSE),"N/A")</f>
        <v>N/A</v>
      </c>
      <c r="T373" s="1345" t="str">
        <f>IFERROR(#REF!-S373,"N/A")</f>
        <v>N/A</v>
      </c>
      <c r="V373" s="290"/>
      <c r="W373" s="290"/>
      <c r="X373" s="290"/>
      <c r="Y373" s="7"/>
      <c r="Z373"/>
      <c r="AA373"/>
      <c r="AB373"/>
      <c r="AC373"/>
    </row>
    <row r="374" spans="1:29" s="8" customFormat="1" outlineLevel="1" collapsed="1" x14ac:dyDescent="0.4">
      <c r="A374"/>
      <c r="B374" s="2022"/>
      <c r="C374" s="891"/>
      <c r="D374" s="892"/>
      <c r="E374" s="1439" t="s">
        <v>1903</v>
      </c>
      <c r="F374" s="1439"/>
      <c r="G374" s="894">
        <f>G373</f>
        <v>121.9622040815708</v>
      </c>
      <c r="H374" s="94"/>
      <c r="I374" s="895"/>
      <c r="J374" s="94"/>
      <c r="K374" s="94"/>
      <c r="L374" s="896"/>
      <c r="M374" s="897"/>
      <c r="N374" s="897"/>
      <c r="O374" s="894"/>
      <c r="P374" s="94"/>
      <c r="Q374" s="897"/>
      <c r="R374" s="3383"/>
      <c r="S374" s="7"/>
      <c r="T374" s="895"/>
      <c r="U374" s="895"/>
      <c r="V374" s="7"/>
      <c r="W374" s="7"/>
      <c r="X374" s="7"/>
      <c r="Y374" s="7"/>
      <c r="Z374"/>
      <c r="AA374"/>
      <c r="AB374"/>
      <c r="AC374"/>
    </row>
    <row r="375" spans="1:29" s="8" customFormat="1" outlineLevel="1" x14ac:dyDescent="0.4">
      <c r="A375"/>
      <c r="B375" s="2022"/>
      <c r="C375" s="891"/>
      <c r="D375" s="892"/>
      <c r="E375" s="898"/>
      <c r="F375" s="894"/>
      <c r="G375" s="894"/>
      <c r="H375" s="94"/>
      <c r="I375" s="895"/>
      <c r="J375" s="94"/>
      <c r="K375" s="94"/>
      <c r="L375" s="896"/>
      <c r="M375" s="897"/>
      <c r="N375" s="897"/>
      <c r="O375" s="894"/>
      <c r="P375" s="94"/>
      <c r="Q375" s="897"/>
      <c r="R375" s="3383"/>
      <c r="S375" s="7"/>
      <c r="T375" s="895"/>
      <c r="U375" s="895"/>
      <c r="V375" s="7"/>
      <c r="W375" s="7"/>
      <c r="X375" s="7"/>
      <c r="Y375" s="7"/>
      <c r="Z375"/>
      <c r="AA375"/>
      <c r="AB375"/>
      <c r="AC375"/>
    </row>
    <row r="376" spans="1:29" s="8" customFormat="1" x14ac:dyDescent="0.4">
      <c r="A376"/>
      <c r="B376" s="2024"/>
      <c r="C376" s="2026"/>
      <c r="D376" s="2026"/>
      <c r="E376" s="2027"/>
      <c r="F376" s="2026"/>
      <c r="G376" s="2026"/>
      <c r="H376" s="2028"/>
      <c r="I376" s="2029"/>
      <c r="J376" s="2026"/>
      <c r="K376" s="2026"/>
      <c r="L376" s="2025"/>
      <c r="M376" s="2026"/>
      <c r="N376" s="2026"/>
      <c r="O376" s="2026"/>
      <c r="P376" s="2026"/>
      <c r="Q376" s="2026"/>
      <c r="R376" s="3408"/>
      <c r="S376" s="2029"/>
      <c r="T376" s="2026"/>
      <c r="U376" s="2026"/>
      <c r="V376" s="2029"/>
      <c r="W376" s="2029"/>
      <c r="X376" s="2029"/>
      <c r="Y376" s="2029"/>
      <c r="Z376"/>
      <c r="AA376"/>
      <c r="AB376"/>
      <c r="AC376"/>
    </row>
    <row r="378" spans="1:29" s="8" customFormat="1" ht="15.45" x14ac:dyDescent="0.4">
      <c r="A378"/>
      <c r="B378" s="2033"/>
      <c r="C378" s="2331"/>
      <c r="D378" s="2035" t="s">
        <v>1906</v>
      </c>
      <c r="E378" s="2036"/>
      <c r="F378" s="2036"/>
      <c r="G378" s="2036"/>
      <c r="H378" s="2036"/>
      <c r="I378" s="2036"/>
      <c r="J378" s="2036"/>
      <c r="K378" s="2036"/>
      <c r="L378" s="2036"/>
      <c r="M378" s="2036"/>
      <c r="N378" s="2036"/>
      <c r="O378" s="2036"/>
      <c r="P378" s="2036"/>
      <c r="Q378" s="2036"/>
      <c r="R378" s="3409"/>
      <c r="S378" s="2036"/>
      <c r="T378" s="2036"/>
      <c r="U378" s="2036"/>
      <c r="V378" s="2036"/>
      <c r="W378" s="2036"/>
      <c r="X378" s="2036"/>
      <c r="Y378" s="2036"/>
      <c r="Z378"/>
      <c r="AA378"/>
      <c r="AB378"/>
      <c r="AC378"/>
    </row>
    <row r="379" spans="1:29" s="8" customFormat="1" outlineLevel="1" x14ac:dyDescent="0.4">
      <c r="A379"/>
      <c r="B379" s="2037"/>
      <c r="C379" s="704"/>
      <c r="D379" s="748" t="s">
        <v>1053</v>
      </c>
      <c r="E379" s="749"/>
      <c r="F379" s="704"/>
      <c r="G379" s="704"/>
      <c r="H379" s="704"/>
      <c r="I379" s="750"/>
      <c r="J379" s="704"/>
      <c r="K379" s="704"/>
      <c r="L379" s="704"/>
      <c r="M379" s="704"/>
      <c r="N379" s="704"/>
      <c r="O379" s="704"/>
      <c r="P379" s="704"/>
      <c r="Q379" s="704"/>
      <c r="R379" s="3364"/>
      <c r="S379" s="750"/>
      <c r="T379" s="704"/>
      <c r="U379" s="704"/>
      <c r="V379" s="750"/>
      <c r="W379" s="750"/>
      <c r="X379" s="750"/>
      <c r="Y379" s="750"/>
      <c r="Z379"/>
      <c r="AA379"/>
      <c r="AB379"/>
      <c r="AC379"/>
    </row>
    <row r="380" spans="1:29" s="8" customFormat="1" ht="15" outlineLevel="1" thickBot="1" x14ac:dyDescent="0.45">
      <c r="A380"/>
      <c r="B380" s="2037"/>
      <c r="C380" s="704"/>
      <c r="D380" s="704" t="s">
        <v>1034</v>
      </c>
      <c r="E380" s="749"/>
      <c r="F380" s="704"/>
      <c r="G380" s="704"/>
      <c r="H380" s="704"/>
      <c r="I380" s="750"/>
      <c r="J380" s="704"/>
      <c r="K380" s="704"/>
      <c r="L380" s="704"/>
      <c r="M380" s="704"/>
      <c r="N380" s="704"/>
      <c r="O380" s="704"/>
      <c r="P380" s="704"/>
      <c r="Q380" s="704"/>
      <c r="R380" s="3364"/>
      <c r="S380" s="750"/>
      <c r="T380" s="704"/>
      <c r="V380" s="704"/>
      <c r="W380" s="750"/>
      <c r="X380" s="750"/>
      <c r="Y380" s="750"/>
      <c r="Z380"/>
      <c r="AA380"/>
      <c r="AB380"/>
      <c r="AC380"/>
    </row>
    <row r="381" spans="1:29" s="8" customFormat="1" outlineLevel="1" x14ac:dyDescent="0.4">
      <c r="A381"/>
      <c r="B381" s="2037"/>
      <c r="C381" s="704"/>
      <c r="D381" t="s">
        <v>2690</v>
      </c>
      <c r="E381" s="749"/>
      <c r="F381" s="704"/>
      <c r="G381" s="704"/>
      <c r="H381" s="704"/>
      <c r="I381" s="750"/>
      <c r="J381" s="704"/>
      <c r="K381" s="704"/>
      <c r="L381" s="704"/>
      <c r="M381" s="704"/>
      <c r="N381" s="704"/>
      <c r="O381" s="704"/>
      <c r="P381" s="704"/>
      <c r="Q381" s="704"/>
      <c r="R381" s="3570"/>
      <c r="S381" s="1514" t="s">
        <v>23</v>
      </c>
      <c r="T381" s="3842" t="s">
        <v>2604</v>
      </c>
      <c r="U381" s="3843"/>
      <c r="V381" s="3843"/>
      <c r="W381" s="3843"/>
      <c r="X381" s="3844"/>
      <c r="Y381" s="1044"/>
      <c r="Z381"/>
      <c r="AA381"/>
      <c r="AB381"/>
      <c r="AC381"/>
    </row>
    <row r="382" spans="1:29" s="8" customFormat="1" outlineLevel="1" x14ac:dyDescent="0.4">
      <c r="A382"/>
      <c r="B382" s="2037"/>
      <c r="C382" s="704"/>
      <c r="D382" s="704" t="s">
        <v>1035</v>
      </c>
      <c r="E382" s="749"/>
      <c r="F382" s="704"/>
      <c r="G382" s="704"/>
      <c r="H382" s="704"/>
      <c r="I382" s="750"/>
      <c r="J382" s="704"/>
      <c r="K382" s="704"/>
      <c r="L382" s="704"/>
      <c r="M382" s="704"/>
      <c r="N382" s="704"/>
      <c r="O382" s="704"/>
      <c r="P382" s="704"/>
      <c r="Q382" s="704"/>
      <c r="R382" s="3543" t="s">
        <v>1055</v>
      </c>
      <c r="S382" s="916">
        <v>1</v>
      </c>
      <c r="T382" s="1512">
        <v>1</v>
      </c>
      <c r="U382" s="916">
        <v>2</v>
      </c>
      <c r="V382" s="916">
        <v>3</v>
      </c>
      <c r="W382" s="916">
        <v>4</v>
      </c>
      <c r="X382" s="1045">
        <v>6</v>
      </c>
      <c r="Y382" s="1851"/>
      <c r="Z382"/>
      <c r="AA382"/>
      <c r="AB382"/>
      <c r="AC382"/>
    </row>
    <row r="383" spans="1:29" s="8" customFormat="1" outlineLevel="1" x14ac:dyDescent="0.4">
      <c r="A383"/>
      <c r="B383" s="2037"/>
      <c r="C383" s="704"/>
      <c r="D383" s="704" t="s">
        <v>1036</v>
      </c>
      <c r="E383" s="749"/>
      <c r="F383" s="704"/>
      <c r="G383" s="704"/>
      <c r="H383" s="704"/>
      <c r="I383" s="750"/>
      <c r="J383" s="704"/>
      <c r="K383" s="704"/>
      <c r="L383" s="704"/>
      <c r="M383" s="704"/>
      <c r="N383" s="704"/>
      <c r="O383" s="704"/>
      <c r="P383" s="704"/>
      <c r="Q383" s="704"/>
      <c r="R383" s="3140" t="s">
        <v>2665</v>
      </c>
      <c r="S383" s="917">
        <f>connect_divertor_piepwork</f>
        <v>16.965057309144747</v>
      </c>
      <c r="T383" s="1415">
        <f>ROUNDUP(Tokamak_Segmts/T382,0)*connect_divertor_piepwork</f>
        <v>271.44091694631595</v>
      </c>
      <c r="U383" s="917">
        <f>ROUNDUP(Tokamak_Segmts/U382,0)*connect_divertor_piepwork</f>
        <v>135.72045847315798</v>
      </c>
      <c r="V383" s="917">
        <f>ROUNDUP(Tokamak_Segmts/V382,0)*connect_divertor_piepwork</f>
        <v>101.79034385486848</v>
      </c>
      <c r="W383" s="917">
        <f>ROUNDUP(Tokamak_Segmts/W382,0)*connect_divertor_piepwork</f>
        <v>67.860229236578988</v>
      </c>
      <c r="X383" s="1028">
        <f>ROUNDUP(Tokamak_Segmts/X382,0)*connect_divertor_piepwork</f>
        <v>50.895171927434241</v>
      </c>
      <c r="Y383" s="290"/>
      <c r="Z383"/>
      <c r="AA383"/>
      <c r="AB383"/>
      <c r="AC383"/>
    </row>
    <row r="384" spans="1:29" s="8" customFormat="1" ht="15" outlineLevel="1" thickBot="1" x14ac:dyDescent="0.45">
      <c r="A384"/>
      <c r="B384" s="2037"/>
      <c r="C384" s="704"/>
      <c r="D384" s="704" t="s">
        <v>1037</v>
      </c>
      <c r="E384" s="749"/>
      <c r="F384" s="704"/>
      <c r="G384" s="704"/>
      <c r="H384" s="704"/>
      <c r="I384" s="750"/>
      <c r="J384" s="704"/>
      <c r="K384" s="704"/>
      <c r="L384" s="704"/>
      <c r="M384" s="704"/>
      <c r="N384" s="704"/>
      <c r="O384" s="704"/>
      <c r="P384" s="704"/>
      <c r="Q384" s="704"/>
      <c r="R384" s="3141" t="s">
        <v>2666</v>
      </c>
      <c r="S384" s="920">
        <f>S$383*$E$388</f>
        <v>0.1866156304005922</v>
      </c>
      <c r="T384" s="1416">
        <f t="shared" ref="T384:X384" si="66">T$383*$E$388</f>
        <v>2.9858500864094752</v>
      </c>
      <c r="U384" s="920">
        <f t="shared" si="66"/>
        <v>1.4929250432047376</v>
      </c>
      <c r="V384" s="920">
        <f t="shared" si="66"/>
        <v>1.1196937824035533</v>
      </c>
      <c r="W384" s="920">
        <f t="shared" si="66"/>
        <v>0.74646252160236881</v>
      </c>
      <c r="X384" s="1029">
        <f t="shared" si="66"/>
        <v>0.55984689120177666</v>
      </c>
      <c r="Y384" s="290"/>
      <c r="Z384"/>
      <c r="AA384"/>
      <c r="AB384"/>
      <c r="AC384"/>
    </row>
    <row r="385" spans="1:29" s="8" customFormat="1" outlineLevel="1" x14ac:dyDescent="0.4">
      <c r="A385"/>
      <c r="B385" s="2037"/>
      <c r="C385" s="704"/>
      <c r="D385" s="704" t="s">
        <v>1038</v>
      </c>
      <c r="E385" s="749"/>
      <c r="F385" s="704"/>
      <c r="G385" s="704"/>
      <c r="H385" s="704"/>
      <c r="I385" s="750"/>
      <c r="J385" s="704"/>
      <c r="K385" s="704"/>
      <c r="L385" s="704"/>
      <c r="M385" s="704"/>
      <c r="N385" s="704"/>
      <c r="O385" s="704"/>
      <c r="P385" s="704"/>
      <c r="Q385" s="704"/>
      <c r="R385" s="3571" t="s">
        <v>1048</v>
      </c>
      <c r="S385" s="1063">
        <f t="shared" ref="S385:X385" si="67">S384*(SUMIF($E$396:$E$434,"Operation",$F$396:$F$434))</f>
        <v>14.088611686898238</v>
      </c>
      <c r="T385" s="1500">
        <f t="shared" si="67"/>
        <v>225.41778699037181</v>
      </c>
      <c r="U385" s="768">
        <f t="shared" si="67"/>
        <v>112.7088934951859</v>
      </c>
      <c r="V385" s="768">
        <f t="shared" si="67"/>
        <v>84.531670121389439</v>
      </c>
      <c r="W385" s="768">
        <f t="shared" si="67"/>
        <v>56.354446747592952</v>
      </c>
      <c r="X385" s="1062">
        <f t="shared" si="67"/>
        <v>42.26583506069472</v>
      </c>
      <c r="Y385" s="290"/>
      <c r="Z385"/>
      <c r="AA385"/>
      <c r="AB385"/>
      <c r="AC385"/>
    </row>
    <row r="386" spans="1:29" s="8" customFormat="1" outlineLevel="1" x14ac:dyDescent="0.4">
      <c r="A386"/>
      <c r="B386" s="2037"/>
      <c r="C386" s="704"/>
      <c r="D386" s="704"/>
      <c r="E386" s="749"/>
      <c r="F386" s="704"/>
      <c r="G386" s="704"/>
      <c r="H386" s="704"/>
      <c r="I386" s="750"/>
      <c r="J386" s="704"/>
      <c r="K386" s="704"/>
      <c r="L386" s="704"/>
      <c r="M386" s="704"/>
      <c r="N386" s="704"/>
      <c r="O386" s="704"/>
      <c r="P386" s="704"/>
      <c r="Q386" s="704"/>
      <c r="R386" s="3543" t="s">
        <v>2658</v>
      </c>
      <c r="S386" s="1065">
        <f t="shared" ref="S386:X386" si="68">S384*(SUMIF($E$396:$E$434,"Movement",$F$396:$F$434)+(SUMIF($E$396:$E$434,"Logistics",$F$396:$F$434)))</f>
        <v>2.9522592729373693</v>
      </c>
      <c r="T386" s="1502">
        <f t="shared" si="68"/>
        <v>47.236148366997909</v>
      </c>
      <c r="U386" s="769">
        <f t="shared" si="68"/>
        <v>23.618074183498955</v>
      </c>
      <c r="V386" s="769">
        <f t="shared" si="68"/>
        <v>17.713555637624218</v>
      </c>
      <c r="W386" s="769">
        <f t="shared" si="68"/>
        <v>11.809037091749477</v>
      </c>
      <c r="X386" s="1064">
        <f t="shared" si="68"/>
        <v>8.8567778188121089</v>
      </c>
      <c r="Y386" s="290"/>
      <c r="Z386"/>
      <c r="AA386"/>
      <c r="AB386"/>
      <c r="AC386"/>
    </row>
    <row r="387" spans="1:29" s="8" customFormat="1" ht="15" outlineLevel="1" thickBot="1" x14ac:dyDescent="0.45">
      <c r="A387"/>
      <c r="B387" s="2037"/>
      <c r="C387" s="704"/>
      <c r="D387" s="704"/>
      <c r="E387" s="749"/>
      <c r="F387" s="704"/>
      <c r="G387" s="704"/>
      <c r="H387" s="704"/>
      <c r="I387" s="750"/>
      <c r="J387" s="704"/>
      <c r="K387" s="704"/>
      <c r="L387" s="704"/>
      <c r="M387" s="704"/>
      <c r="N387" s="704"/>
      <c r="O387" s="704"/>
      <c r="P387" s="704"/>
      <c r="Q387" s="704"/>
      <c r="R387" s="3572" t="s">
        <v>2663</v>
      </c>
      <c r="S387" s="1067">
        <f t="shared" ref="S387:X387" si="69">S384*(-SUMIF($T$396:$T$434,"&lt;0"))</f>
        <v>0.27183676828353137</v>
      </c>
      <c r="T387" s="1110">
        <f t="shared" si="69"/>
        <v>4.3493882925365019</v>
      </c>
      <c r="U387" s="770">
        <f t="shared" si="69"/>
        <v>2.174694146268251</v>
      </c>
      <c r="V387" s="770">
        <f t="shared" si="69"/>
        <v>1.6310206097011883</v>
      </c>
      <c r="W387" s="770">
        <f t="shared" si="69"/>
        <v>1.0873470731341255</v>
      </c>
      <c r="X387" s="1066">
        <f t="shared" si="69"/>
        <v>0.81551030485059417</v>
      </c>
      <c r="Y387" s="290"/>
      <c r="Z387"/>
      <c r="AA387"/>
      <c r="AB387"/>
      <c r="AC387"/>
    </row>
    <row r="388" spans="1:29" s="8" customFormat="1" ht="15" outlineLevel="1" thickBot="1" x14ac:dyDescent="0.45">
      <c r="A388"/>
      <c r="B388" s="2037"/>
      <c r="C388" s="704"/>
      <c r="D388" s="748" t="s">
        <v>1056</v>
      </c>
      <c r="E388" s="709">
        <f>SUM(E389:E390)</f>
        <v>1.0999999999999999E-2</v>
      </c>
      <c r="F388" s="709"/>
      <c r="G388" s="709"/>
      <c r="H388" s="709"/>
      <c r="I388" s="919"/>
      <c r="J388" s="918"/>
      <c r="K388" s="918"/>
      <c r="L388" s="918"/>
      <c r="M388" s="918"/>
      <c r="N388" s="918"/>
      <c r="O388" s="918"/>
      <c r="P388" s="704"/>
      <c r="Q388" s="704"/>
      <c r="R388" s="3573" t="s">
        <v>2667</v>
      </c>
      <c r="S388" s="694">
        <f t="shared" ref="S388:X388" si="70">S384*$G$435</f>
        <v>17.312707728119136</v>
      </c>
      <c r="T388" s="2994">
        <f t="shared" si="70"/>
        <v>277.00332364990618</v>
      </c>
      <c r="U388" s="694">
        <f t="shared" si="70"/>
        <v>138.50166182495309</v>
      </c>
      <c r="V388" s="694">
        <f t="shared" si="70"/>
        <v>103.87624636871483</v>
      </c>
      <c r="W388" s="694">
        <f t="shared" si="70"/>
        <v>69.250830912476545</v>
      </c>
      <c r="X388" s="2974">
        <f t="shared" si="70"/>
        <v>51.938123184357416</v>
      </c>
      <c r="Y388" s="915"/>
      <c r="Z388"/>
      <c r="AA388"/>
      <c r="AB388"/>
      <c r="AC388"/>
    </row>
    <row r="389" spans="1:29" s="8" customFormat="1" outlineLevel="1" x14ac:dyDescent="0.4">
      <c r="A389"/>
      <c r="B389" s="2038"/>
      <c r="C389" s="5"/>
      <c r="D389" s="7" t="s">
        <v>1057</v>
      </c>
      <c r="E389" s="763">
        <f>Weld_Failure_Rate</f>
        <v>1E-3</v>
      </c>
      <c r="F389" s="922"/>
      <c r="G389" s="922"/>
      <c r="H389" s="924"/>
      <c r="I389" s="290"/>
      <c r="J389" s="922"/>
      <c r="K389" s="922"/>
      <c r="L389" s="925"/>
      <c r="M389" s="922"/>
      <c r="N389" s="922"/>
      <c r="O389" s="922"/>
      <c r="P389" s="706"/>
      <c r="Q389" s="7"/>
      <c r="Y389" s="915"/>
      <c r="Z389"/>
      <c r="AA389"/>
      <c r="AB389"/>
      <c r="AC389"/>
    </row>
    <row r="390" spans="1:29" s="8" customFormat="1" outlineLevel="1" x14ac:dyDescent="0.4">
      <c r="A390"/>
      <c r="B390" s="2038"/>
      <c r="C390" s="5"/>
      <c r="D390" s="7" t="s">
        <v>1058</v>
      </c>
      <c r="E390" s="763">
        <f>SJS_welder_failure</f>
        <v>0.01</v>
      </c>
      <c r="F390" s="922"/>
      <c r="G390" s="922"/>
      <c r="H390" s="924"/>
      <c r="I390" s="290"/>
      <c r="J390" s="922"/>
      <c r="K390" s="922"/>
      <c r="L390" s="925"/>
      <c r="M390" s="922"/>
      <c r="N390" s="922"/>
      <c r="O390" s="922"/>
      <c r="P390" s="706"/>
      <c r="Q390" s="7"/>
      <c r="Y390" s="915"/>
      <c r="Z390"/>
      <c r="AA390"/>
      <c r="AB390"/>
      <c r="AC390"/>
    </row>
    <row r="391" spans="1:29" s="8" customFormat="1" outlineLevel="1" x14ac:dyDescent="0.4">
      <c r="A391"/>
      <c r="B391" s="2038"/>
      <c r="C391" s="5"/>
      <c r="D391" s="926" t="s">
        <v>1059</v>
      </c>
      <c r="E391" s="709">
        <f>E388*(1-(1-E388)^(pipes_per_cassette))</f>
        <v>4.7607240294899916E-4</v>
      </c>
      <c r="F391" s="927"/>
      <c r="G391" s="927"/>
      <c r="H391" s="927"/>
      <c r="I391" s="919"/>
      <c r="J391" s="927"/>
      <c r="K391" s="927"/>
      <c r="L391" s="927"/>
      <c r="M391" s="927"/>
      <c r="N391" s="927"/>
      <c r="O391" s="927"/>
      <c r="P391" s="706"/>
      <c r="Q391" s="7"/>
      <c r="Z391"/>
      <c r="AA391"/>
      <c r="AB391"/>
      <c r="AC391"/>
    </row>
    <row r="392" spans="1:29" s="8" customFormat="1" outlineLevel="1" x14ac:dyDescent="0.4">
      <c r="A392"/>
      <c r="B392" s="2038"/>
      <c r="C392" s="5"/>
      <c r="D392" s="926"/>
      <c r="E392" s="928"/>
      <c r="F392" s="927"/>
      <c r="G392" s="927"/>
      <c r="H392" s="927"/>
      <c r="I392" s="919"/>
      <c r="J392" s="927"/>
      <c r="K392" s="927"/>
      <c r="L392" s="927"/>
      <c r="M392" s="927"/>
      <c r="N392" s="927"/>
      <c r="O392" s="927"/>
      <c r="P392" s="706"/>
      <c r="Q392" s="7"/>
      <c r="R392" s="3369"/>
      <c r="S392" s="290"/>
      <c r="T392" s="7"/>
      <c r="U392" s="7"/>
      <c r="V392" s="290"/>
      <c r="W392" s="290"/>
      <c r="X392" s="290"/>
      <c r="Y392" s="290"/>
      <c r="Z392"/>
      <c r="AA392"/>
      <c r="AB392"/>
      <c r="AC392"/>
    </row>
    <row r="393" spans="1:29" s="8" customFormat="1" ht="15.75" hidden="1" customHeight="1" outlineLevel="2" thickBot="1" x14ac:dyDescent="0.45">
      <c r="A393"/>
      <c r="B393" s="2038"/>
      <c r="C393" s="5"/>
      <c r="D393" s="926"/>
      <c r="E393" s="928"/>
      <c r="F393" s="927"/>
      <c r="G393" s="927"/>
      <c r="H393" s="927"/>
      <c r="I393" s="919"/>
      <c r="J393" s="927"/>
      <c r="K393" s="927"/>
      <c r="L393" s="927"/>
      <c r="M393" s="927"/>
      <c r="N393" s="927"/>
      <c r="O393" s="927"/>
      <c r="P393" s="706"/>
      <c r="Q393" s="7"/>
      <c r="R393" s="3369"/>
      <c r="S393" s="290"/>
      <c r="T393" s="7"/>
      <c r="U393" s="7"/>
      <c r="V393" s="290"/>
      <c r="W393" s="290"/>
      <c r="X393" s="290"/>
      <c r="Y393" s="290"/>
      <c r="Z393"/>
      <c r="AA393"/>
      <c r="AB393"/>
      <c r="AC393"/>
    </row>
    <row r="394" spans="1:29" s="8" customFormat="1" ht="15.75" hidden="1" customHeight="1" outlineLevel="2" thickBot="1" x14ac:dyDescent="0.45">
      <c r="A394"/>
      <c r="B394" s="2038"/>
      <c r="C394" s="5"/>
      <c r="D394" s="926"/>
      <c r="E394" s="701"/>
      <c r="F394" s="7"/>
      <c r="G394" s="929"/>
      <c r="H394" s="930" t="s">
        <v>18</v>
      </c>
      <c r="I394" s="931"/>
      <c r="J394" s="932" t="s">
        <v>778</v>
      </c>
      <c r="K394" s="933"/>
      <c r="L394" s="933"/>
      <c r="M394" s="933"/>
      <c r="N394" s="933"/>
      <c r="O394" s="934"/>
      <c r="P394" s="933" t="s">
        <v>3</v>
      </c>
      <c r="Q394" s="934"/>
      <c r="R394" s="3386" t="s">
        <v>779</v>
      </c>
      <c r="S394" s="3018"/>
      <c r="T394" s="3019"/>
      <c r="V394" s="938"/>
      <c r="W394" s="938"/>
      <c r="X394" s="7"/>
      <c r="Y394" s="290"/>
      <c r="Z394"/>
      <c r="AA394"/>
      <c r="AB394"/>
      <c r="AC394"/>
    </row>
    <row r="395" spans="1:29" s="8" customFormat="1" ht="30.75" hidden="1" customHeight="1" outlineLevel="2" thickBot="1" x14ac:dyDescent="0.45">
      <c r="A395"/>
      <c r="B395" s="2038"/>
      <c r="C395" s="939" t="s">
        <v>780</v>
      </c>
      <c r="D395" s="940" t="s">
        <v>1060</v>
      </c>
      <c r="E395" s="941" t="s">
        <v>782</v>
      </c>
      <c r="F395" s="942" t="s">
        <v>783</v>
      </c>
      <c r="G395" s="943" t="s">
        <v>784</v>
      </c>
      <c r="H395" s="562" t="s">
        <v>785</v>
      </c>
      <c r="I395" s="944" t="s">
        <v>783</v>
      </c>
      <c r="J395" s="562" t="s">
        <v>786</v>
      </c>
      <c r="K395" s="563" t="s">
        <v>787</v>
      </c>
      <c r="L395" s="563" t="s">
        <v>788</v>
      </c>
      <c r="M395" s="563" t="s">
        <v>789</v>
      </c>
      <c r="N395" s="563" t="s">
        <v>790</v>
      </c>
      <c r="O395" s="945" t="s">
        <v>783</v>
      </c>
      <c r="P395" s="560" t="s">
        <v>785</v>
      </c>
      <c r="Q395" s="946" t="s">
        <v>783</v>
      </c>
      <c r="R395" s="3387" t="s">
        <v>781</v>
      </c>
      <c r="S395" s="794" t="s">
        <v>791</v>
      </c>
      <c r="T395" s="789" t="s">
        <v>792</v>
      </c>
      <c r="V395" s="947"/>
      <c r="W395" s="947"/>
      <c r="X395" s="7"/>
      <c r="Y395" s="290"/>
      <c r="Z395"/>
      <c r="AA395"/>
      <c r="AB395"/>
      <c r="AC395"/>
    </row>
    <row r="396" spans="1:29" s="8" customFormat="1" ht="15" hidden="1" customHeight="1" outlineLevel="2" x14ac:dyDescent="0.4">
      <c r="A396"/>
      <c r="B396" s="2038"/>
      <c r="C396" s="3886" t="s">
        <v>1062</v>
      </c>
      <c r="D396" s="797" t="s">
        <v>1907</v>
      </c>
      <c r="E396" s="799" t="s">
        <v>251</v>
      </c>
      <c r="F396" s="456">
        <f>MAX($Q396,$O396,$I396)</f>
        <v>0</v>
      </c>
      <c r="G396" s="800">
        <f>F396</f>
        <v>0</v>
      </c>
      <c r="H396" s="797" t="s">
        <v>557</v>
      </c>
      <c r="I396" s="621">
        <v>0</v>
      </c>
      <c r="J396" s="568"/>
      <c r="K396" s="566"/>
      <c r="L396" s="801"/>
      <c r="M396" s="802" t="str">
        <f>IFERROR(INDEX('Lower Hot Cell Logistics'!$I$28:$O$34,MATCH($K396,'Lower Hot Cell Logistics'!$H$28:$H$34,0),MATCH($L396,'Lower Hot Cell Logistics'!$H$28:$H$34,0)),"N/A")</f>
        <v>N/A</v>
      </c>
      <c r="N396" s="570" t="str">
        <f>IFERROR(VLOOKUP($J396,'Lower Hot Cell Logistics'!$H$4:$I$8,2,FALSE),"N/A")</f>
        <v>N/A</v>
      </c>
      <c r="O396" s="800" t="str">
        <f t="shared" ref="O396:O411" si="71">IF(E396="Movement",IFERROR((M396/N396)/(60*60),"Error"),"N/A")</f>
        <v>N/A</v>
      </c>
      <c r="P396" s="803"/>
      <c r="Q396" s="802" t="str">
        <f>IF($E396="Logistics",VLOOKUP($P396,'Lower Hot Cell Logistics'!$C$4:$D$57,2,FALSE),"N/A")</f>
        <v>N/A</v>
      </c>
      <c r="R396" s="3398"/>
      <c r="S396" s="804" t="str">
        <f>IFERROR(VLOOKUP($R396,'Lower HotCell RecoveryLogistics'!$C$410:$F$486,4,FALSE),"N/A")</f>
        <v>N/A</v>
      </c>
      <c r="T396" s="1332" t="str">
        <f t="shared" ref="T396:T434" si="72">IFERROR(G395-S396,"N/A")</f>
        <v>N/A</v>
      </c>
      <c r="V396" s="947"/>
      <c r="W396" s="947"/>
      <c r="X396" s="7"/>
      <c r="Y396" s="290"/>
      <c r="Z396"/>
      <c r="AA396"/>
      <c r="AB396"/>
      <c r="AC396"/>
    </row>
    <row r="397" spans="1:29" s="8" customFormat="1" ht="15" hidden="1" customHeight="1" outlineLevel="2" x14ac:dyDescent="0.4">
      <c r="A397"/>
      <c r="B397" s="2038"/>
      <c r="C397" s="3890"/>
      <c r="D397" s="2001" t="s">
        <v>1885</v>
      </c>
      <c r="E397" s="2002" t="s">
        <v>251</v>
      </c>
      <c r="F397" s="335">
        <f t="shared" ref="F397:F434" si="73">MAX($Q397,$O397,$I397)</f>
        <v>12.602967059728389</v>
      </c>
      <c r="G397" s="2003">
        <f>IF(T397&lt;0,F397+G396+(-T397),F397+G396)</f>
        <v>12.602967059728389</v>
      </c>
      <c r="H397" s="1579" t="s">
        <v>1908</v>
      </c>
      <c r="I397" s="1476">
        <v>12.602967059728389</v>
      </c>
      <c r="J397" s="627"/>
      <c r="K397" s="582"/>
      <c r="L397" s="1962"/>
      <c r="M397" s="1479" t="str">
        <f>IFERROR(INDEX(#REF!,MATCH($K397,#REF!,0),MATCH($L397,#REF!,0)),"N/A")</f>
        <v>N/A</v>
      </c>
      <c r="N397" s="1478" t="str">
        <f>IFERROR(VLOOKUP($J397,#REF!,2,FALSE),"N/A")</f>
        <v>N/A</v>
      </c>
      <c r="O397" s="2003" t="str">
        <f t="shared" si="71"/>
        <v>N/A</v>
      </c>
      <c r="P397" s="1638"/>
      <c r="Q397" s="1479" t="str">
        <f>IF($E397="Logistics",VLOOKUP($P397,'Lower Hot Cell Logistics'!$C$4:$D$57,2,FALSE),"N/A")</f>
        <v>N/A</v>
      </c>
      <c r="R397" s="3399"/>
      <c r="S397" s="2004" t="str">
        <f>IFERROR(VLOOKUP($R397,'Lower HotCell RecoveryLogistics'!$C$410:$F$486,4,FALSE),"N/A")</f>
        <v>N/A</v>
      </c>
      <c r="T397" s="1332" t="str">
        <f t="shared" si="72"/>
        <v>N/A</v>
      </c>
      <c r="V397" s="273"/>
      <c r="W397" s="273"/>
      <c r="X397" s="273"/>
      <c r="Y397" s="273"/>
      <c r="Z397"/>
      <c r="AA397"/>
      <c r="AB397"/>
      <c r="AC397"/>
    </row>
    <row r="398" spans="1:29" s="8" customFormat="1" ht="15" hidden="1" customHeight="1" outlineLevel="2" thickBot="1" x14ac:dyDescent="0.45">
      <c r="A398"/>
      <c r="B398" s="2038"/>
      <c r="C398" s="3887"/>
      <c r="D398" s="808" t="s">
        <v>2322</v>
      </c>
      <c r="E398" s="1966" t="s">
        <v>3</v>
      </c>
      <c r="F398" s="471">
        <f t="shared" si="73"/>
        <v>0.6</v>
      </c>
      <c r="G398" s="887">
        <f t="shared" ref="G398:G434" si="74">IF(T398&lt;0,F398+G397+(-T398),F398+G397)</f>
        <v>13.202967059728389</v>
      </c>
      <c r="H398" s="584"/>
      <c r="I398" s="591" t="s">
        <v>263</v>
      </c>
      <c r="J398" s="586"/>
      <c r="K398" s="584"/>
      <c r="L398" s="812"/>
      <c r="M398" s="813" t="str">
        <f>IFERROR(INDEX(#REF!,MATCH($K398,#REF!,0),MATCH($L398,#REF!,0)),"N/A")</f>
        <v>N/A</v>
      </c>
      <c r="N398" s="814" t="str">
        <f>IFERROR(VLOOKUP($J398,#REF!,2,FALSE),"N/A")</f>
        <v>N/A</v>
      </c>
      <c r="O398" s="887" t="str">
        <f t="shared" si="71"/>
        <v>N/A</v>
      </c>
      <c r="P398" s="1136" t="s">
        <v>2008</v>
      </c>
      <c r="Q398" s="813">
        <f>IF($E398="Logistics",VLOOKUP($P398,'Lower Hot Cell Logistics'!$C$4:$D$57,2,FALSE),"N/A")</f>
        <v>0.6</v>
      </c>
      <c r="R398" s="3400"/>
      <c r="S398" s="1968" t="str">
        <f>IFERROR(VLOOKUP($R398,'Lower HotCell RecoveryLogistics'!$C$410:$F$486,4,FALSE),"N/A")</f>
        <v>N/A</v>
      </c>
      <c r="T398" s="1332" t="str">
        <f t="shared" si="72"/>
        <v>N/A</v>
      </c>
      <c r="V398" s="273"/>
      <c r="W398" s="273"/>
      <c r="X398" s="273"/>
      <c r="Y398" s="5"/>
      <c r="Z398"/>
      <c r="AA398"/>
      <c r="AB398"/>
      <c r="AC398"/>
    </row>
    <row r="399" spans="1:29" s="88" customFormat="1" hidden="1" outlineLevel="2" x14ac:dyDescent="0.4">
      <c r="B399" s="2038"/>
      <c r="C399" s="3786" t="s">
        <v>2323</v>
      </c>
      <c r="D399" s="1579" t="s">
        <v>1593</v>
      </c>
      <c r="E399" s="1611" t="s">
        <v>3</v>
      </c>
      <c r="F399" s="626">
        <f>MAX($Q399,$O399,$I399)</f>
        <v>0.53</v>
      </c>
      <c r="G399" s="626">
        <f t="shared" si="74"/>
        <v>13.732967059728388</v>
      </c>
      <c r="H399" s="1579"/>
      <c r="I399" s="1183" t="s">
        <v>263</v>
      </c>
      <c r="J399" s="1579"/>
      <c r="K399" s="582"/>
      <c r="L399" s="2194"/>
      <c r="M399" s="1479" t="str">
        <f>IFERROR(INDEX('Lower Hot Cell Logistics'!$I$13:$O$19,MATCH($K399,'Lower Hot Cell Logistics'!$H$13:$H$19,0),MATCH($L399,'Lower Hot Cell Logistics'!$H$13:$H$19,0)),"N/A")</f>
        <v>N/A</v>
      </c>
      <c r="N399" s="1478" t="str">
        <f>IFERROR(VLOOKUP($J399,'Lower Hot Cell Logistics'!$H$4:$I$9,2,FALSE),"N/A")</f>
        <v>N/A</v>
      </c>
      <c r="O399" s="1183" t="str">
        <f t="shared" si="71"/>
        <v>N/A</v>
      </c>
      <c r="P399" s="1578" t="s">
        <v>1558</v>
      </c>
      <c r="Q399" s="1183">
        <f>IF($E399="Logistics",VLOOKUP($P399,'Lower Hot Cell Logistics'!$C$4:$D$69,2,FALSE),"N/A")</f>
        <v>0.53</v>
      </c>
      <c r="R399" s="3377"/>
      <c r="S399" s="1183" t="str">
        <f>IFERROR(VLOOKUP($R399,'Lower HotCell RecoveryLogistics'!$C$410:$F$486,4,FALSE),"N/A")</f>
        <v>N/A</v>
      </c>
      <c r="T399" s="1332" t="str">
        <f t="shared" si="72"/>
        <v>N/A</v>
      </c>
      <c r="V399" s="2031"/>
      <c r="W399" s="2031"/>
      <c r="X399" s="2031"/>
      <c r="Y399" s="1466"/>
    </row>
    <row r="400" spans="1:29" s="88" customFormat="1" hidden="1" outlineLevel="2" x14ac:dyDescent="0.4">
      <c r="B400" s="2038"/>
      <c r="C400" s="3786"/>
      <c r="D400" s="1579" t="s">
        <v>1594</v>
      </c>
      <c r="E400" s="1611" t="s">
        <v>251</v>
      </c>
      <c r="F400" s="626">
        <f>MAX($Q400,$O400,$I400)</f>
        <v>12.602967059728389</v>
      </c>
      <c r="G400" s="626">
        <f t="shared" si="74"/>
        <v>26.335934119456777</v>
      </c>
      <c r="H400" s="1579" t="s">
        <v>440</v>
      </c>
      <c r="I400" s="1183">
        <v>12.602967059728389</v>
      </c>
      <c r="J400" s="1579"/>
      <c r="K400" s="582"/>
      <c r="L400" s="2194"/>
      <c r="M400" s="1479" t="str">
        <f>IFERROR(INDEX('Lower Hot Cell Logistics'!$I$13:$O$19,MATCH($K400,'Lower Hot Cell Logistics'!$H$13:$H$19,0),MATCH($L400,'Lower Hot Cell Logistics'!$H$13:$H$19,0)),"N/A")</f>
        <v>N/A</v>
      </c>
      <c r="N400" s="1478" t="str">
        <f>IFERROR(VLOOKUP($J400,'Lower Hot Cell Logistics'!$H$4:$I$9,2,FALSE),"N/A")</f>
        <v>N/A</v>
      </c>
      <c r="O400" s="1183" t="str">
        <f t="shared" si="71"/>
        <v>N/A</v>
      </c>
      <c r="P400" s="1578"/>
      <c r="Q400" s="1183" t="str">
        <f>IF($E400="Logistics",VLOOKUP($P400,'Lower Hot Cell Logistics'!$C$4:$D$69,2,FALSE),"N/A")</f>
        <v>N/A</v>
      </c>
      <c r="R400" s="3377" t="s">
        <v>2324</v>
      </c>
      <c r="S400" s="1183">
        <f>IFERROR(VLOOKUP($R400,'Lower HotCell RecoveryLogistics'!$C$410:$F$486,4,FALSE),"N/A")</f>
        <v>3.365925925925926</v>
      </c>
      <c r="T400" s="1332">
        <f t="shared" si="72"/>
        <v>10.367041133802463</v>
      </c>
      <c r="V400" s="2031"/>
      <c r="W400" s="2031"/>
      <c r="X400" s="2031"/>
      <c r="Y400" s="1466"/>
    </row>
    <row r="401" spans="1:29" s="88" customFormat="1" hidden="1" outlineLevel="2" x14ac:dyDescent="0.4">
      <c r="B401" s="2038"/>
      <c r="C401" s="3786"/>
      <c r="D401" s="1579" t="s">
        <v>1596</v>
      </c>
      <c r="E401" s="1611" t="s">
        <v>3</v>
      </c>
      <c r="F401" s="626">
        <f>MAX($Q401,$O401,$I401)</f>
        <v>0.53</v>
      </c>
      <c r="G401" s="626">
        <f t="shared" si="74"/>
        <v>26.865934119456778</v>
      </c>
      <c r="H401" s="1579"/>
      <c r="I401" s="1183" t="s">
        <v>263</v>
      </c>
      <c r="J401" s="1579"/>
      <c r="K401" s="582"/>
      <c r="L401" s="2194"/>
      <c r="M401" s="1479" t="str">
        <f>IFERROR(INDEX('Lower Hot Cell Logistics'!$I$13:$O$19,MATCH($K401,'Lower Hot Cell Logistics'!$H$13:$H$19,0),MATCH($L401,'Lower Hot Cell Logistics'!$H$13:$H$19,0)),"N/A")</f>
        <v>N/A</v>
      </c>
      <c r="N401" s="1478" t="str">
        <f>IFERROR(VLOOKUP($J401,'Lower Hot Cell Logistics'!$H$4:$I$9,2,FALSE),"N/A")</f>
        <v>N/A</v>
      </c>
      <c r="O401" s="1183" t="str">
        <f t="shared" si="71"/>
        <v>N/A</v>
      </c>
      <c r="P401" s="1578" t="s">
        <v>1558</v>
      </c>
      <c r="Q401" s="1183">
        <f>IF($E401="Logistics",VLOOKUP($P401,'Lower Hot Cell Logistics'!$C$4:$D$69,2,FALSE),"N/A")</f>
        <v>0.53</v>
      </c>
      <c r="R401" s="3377"/>
      <c r="S401" s="1183" t="str">
        <f>IFERROR(VLOOKUP($R401,'Lower HotCell RecoveryLogistics'!$C$410:$F$486,4,FALSE),"N/A")</f>
        <v>N/A</v>
      </c>
      <c r="T401" s="1332" t="str">
        <f t="shared" si="72"/>
        <v>N/A</v>
      </c>
      <c r="V401" s="2031"/>
      <c r="W401" s="2031"/>
      <c r="X401" s="2031"/>
      <c r="Y401" s="1466"/>
    </row>
    <row r="402" spans="1:29" s="88" customFormat="1" hidden="1" outlineLevel="2" x14ac:dyDescent="0.4">
      <c r="B402" s="2038"/>
      <c r="C402" s="3786"/>
      <c r="D402" s="1579" t="s">
        <v>1597</v>
      </c>
      <c r="E402" s="1611" t="s">
        <v>251</v>
      </c>
      <c r="F402" s="626">
        <f>MAX($Q402,$O402,$I402)</f>
        <v>12.602967059728389</v>
      </c>
      <c r="G402" s="626">
        <f t="shared" si="74"/>
        <v>39.468901179185167</v>
      </c>
      <c r="H402" s="1579" t="s">
        <v>440</v>
      </c>
      <c r="I402" s="1183">
        <v>12.602967059728389</v>
      </c>
      <c r="J402" s="1579"/>
      <c r="K402" s="582"/>
      <c r="L402" s="2194"/>
      <c r="M402" s="1479" t="str">
        <f>IFERROR(INDEX('Lower Hot Cell Logistics'!$I$13:$O$19,MATCH($K402,'Lower Hot Cell Logistics'!$H$13:$H$19,0),MATCH($L402,'Lower Hot Cell Logistics'!$H$13:$H$19,0)),"N/A")</f>
        <v>N/A</v>
      </c>
      <c r="N402" s="1478" t="str">
        <f>IFERROR(VLOOKUP($J402,'Lower Hot Cell Logistics'!$H$4:$I$9,2,FALSE),"N/A")</f>
        <v>N/A</v>
      </c>
      <c r="O402" s="1183" t="str">
        <f t="shared" si="71"/>
        <v>N/A</v>
      </c>
      <c r="P402" s="1578"/>
      <c r="Q402" s="1183" t="str">
        <f>IF($E402="Logistics",VLOOKUP($P402,'Lower Hot Cell Logistics'!$C$4:$D$69,2,FALSE),"N/A")</f>
        <v>N/A</v>
      </c>
      <c r="R402" s="3377"/>
      <c r="S402" s="1183" t="str">
        <f>IFERROR(VLOOKUP($R402,'Lower HotCell RecoveryLogistics'!$C$410:$F$486,4,FALSE),"N/A")</f>
        <v>N/A</v>
      </c>
      <c r="T402" s="1332" t="str">
        <f t="shared" si="72"/>
        <v>N/A</v>
      </c>
      <c r="V402" s="2031"/>
      <c r="W402" s="2031"/>
      <c r="X402" s="2031"/>
      <c r="Y402" s="1466"/>
    </row>
    <row r="403" spans="1:29" s="88" customFormat="1" ht="15" hidden="1" outlineLevel="2" thickBot="1" x14ac:dyDescent="0.45">
      <c r="B403" s="2038"/>
      <c r="C403" s="3788"/>
      <c r="D403" s="1136" t="s">
        <v>2030</v>
      </c>
      <c r="E403" s="1581" t="s">
        <v>3</v>
      </c>
      <c r="F403" s="585">
        <f>MAX($Q403,$O403,$I403)</f>
        <v>0.6</v>
      </c>
      <c r="G403" s="585">
        <f t="shared" si="74"/>
        <v>40.068901179185168</v>
      </c>
      <c r="H403" s="1136"/>
      <c r="I403" s="1179" t="s">
        <v>263</v>
      </c>
      <c r="J403" s="1136"/>
      <c r="K403" s="584"/>
      <c r="L403" s="1633"/>
      <c r="M403" s="813" t="str">
        <f>IFERROR(INDEX('Lower Hot Cell Logistics'!$I$13:$O$19,MATCH($K403,'Lower Hot Cell Logistics'!$H$13:$H$19,0),MATCH($L403,'Lower Hot Cell Logistics'!$H$13:$H$19,0)),"N/A")</f>
        <v>N/A</v>
      </c>
      <c r="N403" s="814" t="str">
        <f>IFERROR(VLOOKUP($J403,'Lower Hot Cell Logistics'!$H$4:$I$9,2,FALSE),"N/A")</f>
        <v>N/A</v>
      </c>
      <c r="O403" s="1179" t="str">
        <f t="shared" si="71"/>
        <v>N/A</v>
      </c>
      <c r="P403" s="1582" t="s">
        <v>2008</v>
      </c>
      <c r="Q403" s="1179">
        <f>IF($E403="Logistics",VLOOKUP($P403,'Lower Hot Cell Logistics'!$C$4:$D$69,2,FALSE),"N/A")</f>
        <v>0.6</v>
      </c>
      <c r="R403" s="3378" t="s">
        <v>2325</v>
      </c>
      <c r="S403" s="1179">
        <f>IFERROR(VLOOKUP($R403,'Lower HotCell RecoveryLogistics'!$C$410:$F$486,4,FALSE),"N/A")</f>
        <v>15.471855948617279</v>
      </c>
      <c r="T403" s="1332">
        <f t="shared" si="72"/>
        <v>23.997045230567888</v>
      </c>
      <c r="V403" s="2031"/>
      <c r="W403" s="2031"/>
      <c r="X403" s="2031"/>
      <c r="Y403" s="1466"/>
    </row>
    <row r="404" spans="1:29" s="8" customFormat="1" ht="29.15" hidden="1" outlineLevel="2" x14ac:dyDescent="0.4">
      <c r="A404"/>
      <c r="B404" s="2038"/>
      <c r="C404" s="3814" t="s">
        <v>1601</v>
      </c>
      <c r="D404" s="823" t="s">
        <v>1603</v>
      </c>
      <c r="E404" s="823" t="s">
        <v>3</v>
      </c>
      <c r="F404" s="1291">
        <f t="shared" si="73"/>
        <v>0.8</v>
      </c>
      <c r="G404" s="1739">
        <f t="shared" si="74"/>
        <v>40.868901179185166</v>
      </c>
      <c r="H404" s="829"/>
      <c r="I404" s="1575" t="s">
        <v>263</v>
      </c>
      <c r="J404" s="1129"/>
      <c r="K404" s="1619"/>
      <c r="L404" s="1619"/>
      <c r="M404" s="1623" t="str">
        <f>IFERROR(INDEX(#REF!,MATCH($K404,#REF!,0),MATCH($L404,#REF!,0)),"N/A")</f>
        <v>N/A</v>
      </c>
      <c r="N404" s="1623" t="str">
        <f>IFERROR(VLOOKUP($J404,#REF!,2,FALSE),"N/A")</f>
        <v>N/A</v>
      </c>
      <c r="O404" s="1575" t="str">
        <f t="shared" si="71"/>
        <v>N/A</v>
      </c>
      <c r="P404" s="2039" t="s">
        <v>1828</v>
      </c>
      <c r="Q404" s="2040">
        <f>IF($E404="Logistics",VLOOKUP($P404,'Lower Hot Cell Logistics'!$C$4:$D$57,2,FALSE),"N/A")</f>
        <v>0.8</v>
      </c>
      <c r="R404" s="3413" t="s">
        <v>2326</v>
      </c>
      <c r="S404" s="2040">
        <f>IFERROR(VLOOKUP($R404,'Lower HotCell RecoveryLogistics'!$C$410:$F$486,4,FALSE),"N/A")</f>
        <v>29.757415600938256</v>
      </c>
      <c r="T404" s="1332">
        <f t="shared" si="72"/>
        <v>10.311485578246913</v>
      </c>
      <c r="V404" s="273"/>
      <c r="W404" s="273"/>
      <c r="X404" s="273"/>
      <c r="Y404" s="5"/>
      <c r="Z404"/>
      <c r="AA404"/>
      <c r="AB404"/>
      <c r="AC404"/>
    </row>
    <row r="405" spans="1:29" s="8" customFormat="1" ht="15" hidden="1" customHeight="1" outlineLevel="2" x14ac:dyDescent="0.4">
      <c r="A405"/>
      <c r="B405" s="2038"/>
      <c r="C405" s="3815"/>
      <c r="D405" s="860" t="s">
        <v>1604</v>
      </c>
      <c r="E405" s="860" t="s">
        <v>251</v>
      </c>
      <c r="F405" s="1363">
        <f t="shared" si="73"/>
        <v>4.0999999999999996</v>
      </c>
      <c r="G405" s="1347">
        <f t="shared" si="74"/>
        <v>44.968901179185167</v>
      </c>
      <c r="H405" s="2041" t="s">
        <v>1604</v>
      </c>
      <c r="I405" s="1183">
        <v>4.0999999999999996</v>
      </c>
      <c r="J405" s="1579"/>
      <c r="K405" s="582"/>
      <c r="L405" s="582"/>
      <c r="M405" s="1478" t="str">
        <f>IFERROR(INDEX(#REF!,MATCH($K405,#REF!,0),MATCH($L405,#REF!,0)),"N/A")</f>
        <v>N/A</v>
      </c>
      <c r="N405" s="1478" t="str">
        <f>IFERROR(VLOOKUP($J405,#REF!,2,FALSE),"N/A")</f>
        <v>N/A</v>
      </c>
      <c r="O405" s="1183" t="str">
        <f t="shared" si="71"/>
        <v>N/A</v>
      </c>
      <c r="P405" s="1725"/>
      <c r="Q405" s="2042" t="str">
        <f>IF($E405="Logistics",VLOOKUP($P405,'Lower Hot Cell Logistics'!$C$4:$D$57,2,FALSE),"N/A")</f>
        <v>N/A</v>
      </c>
      <c r="R405" s="3414"/>
      <c r="S405" s="2042" t="str">
        <f>IFERROR(VLOOKUP($R405,'Lower HotCell RecoveryLogistics'!$C$410:$F$486,4,FALSE),"N/A")</f>
        <v>N/A</v>
      </c>
      <c r="T405" s="1332" t="str">
        <f t="shared" si="72"/>
        <v>N/A</v>
      </c>
      <c r="V405" s="273"/>
      <c r="W405" s="273"/>
      <c r="X405" s="273"/>
      <c r="Y405" s="5"/>
      <c r="Z405"/>
      <c r="AA405"/>
      <c r="AB405"/>
      <c r="AC405"/>
    </row>
    <row r="406" spans="1:29" s="8" customFormat="1" ht="15" hidden="1" customHeight="1" outlineLevel="2" x14ac:dyDescent="0.4">
      <c r="A406"/>
      <c r="B406" s="2038"/>
      <c r="C406" s="3815"/>
      <c r="D406" s="860" t="s">
        <v>1605</v>
      </c>
      <c r="E406" s="860" t="s">
        <v>3</v>
      </c>
      <c r="F406" s="1363">
        <f t="shared" si="73"/>
        <v>0.6</v>
      </c>
      <c r="G406" s="1347">
        <f t="shared" si="74"/>
        <v>45.568901179185168</v>
      </c>
      <c r="H406" s="2041"/>
      <c r="I406" s="1183" t="s">
        <v>263</v>
      </c>
      <c r="J406" s="1579"/>
      <c r="K406" s="582"/>
      <c r="L406" s="582"/>
      <c r="M406" s="1478" t="str">
        <f>IFERROR(INDEX(#REF!,MATCH($K406,#REF!,0),MATCH($L406,#REF!,0)),"N/A")</f>
        <v>N/A</v>
      </c>
      <c r="N406" s="1478" t="str">
        <f>IFERROR(VLOOKUP($J406,#REF!,2,FALSE),"N/A")</f>
        <v>N/A</v>
      </c>
      <c r="O406" s="1183" t="str">
        <f t="shared" si="71"/>
        <v>N/A</v>
      </c>
      <c r="P406" s="1725" t="s">
        <v>2008</v>
      </c>
      <c r="Q406" s="2042">
        <f>IF($E406="Logistics",VLOOKUP($P406,'Lower Hot Cell Logistics'!$C$4:$D$57,2,FALSE),"N/A")</f>
        <v>0.6</v>
      </c>
      <c r="R406" s="3414"/>
      <c r="S406" s="2042" t="str">
        <f>IFERROR(VLOOKUP($R406,'Lower HotCell RecoveryLogistics'!$C$410:$F$486,4,FALSE),"N/A")</f>
        <v>N/A</v>
      </c>
      <c r="T406" s="1332" t="str">
        <f t="shared" si="72"/>
        <v>N/A</v>
      </c>
      <c r="V406" s="273"/>
      <c r="W406" s="273"/>
      <c r="X406" s="273"/>
      <c r="Y406" s="5"/>
      <c r="Z406"/>
      <c r="AA406"/>
      <c r="AB406"/>
      <c r="AC406"/>
    </row>
    <row r="407" spans="1:29" s="8" customFormat="1" ht="15" hidden="1" customHeight="1" outlineLevel="2" x14ac:dyDescent="0.4">
      <c r="A407"/>
      <c r="B407" s="2038"/>
      <c r="C407" s="3815"/>
      <c r="D407" s="860" t="s">
        <v>1606</v>
      </c>
      <c r="E407" s="860" t="s">
        <v>3</v>
      </c>
      <c r="F407" s="1363">
        <f t="shared" si="73"/>
        <v>0.8</v>
      </c>
      <c r="G407" s="1347">
        <f t="shared" si="74"/>
        <v>46.368901179185166</v>
      </c>
      <c r="H407" s="2041"/>
      <c r="I407" s="1183" t="s">
        <v>263</v>
      </c>
      <c r="J407" s="1579"/>
      <c r="K407" s="582"/>
      <c r="L407" s="582"/>
      <c r="M407" s="1478" t="str">
        <f>IFERROR(INDEX(#REF!,MATCH($K407,#REF!,0),MATCH($L407,#REF!,0)),"N/A")</f>
        <v>N/A</v>
      </c>
      <c r="N407" s="1478" t="str">
        <f>IFERROR(VLOOKUP($J407,#REF!,2,FALSE),"N/A")</f>
        <v>N/A</v>
      </c>
      <c r="O407" s="1183" t="str">
        <f t="shared" si="71"/>
        <v>N/A</v>
      </c>
      <c r="P407" s="1725" t="s">
        <v>1828</v>
      </c>
      <c r="Q407" s="2042">
        <f>IF($E407="Logistics",VLOOKUP($P407,'Lower Hot Cell Logistics'!$C$4:$D$57,2,FALSE),"N/A")</f>
        <v>0.8</v>
      </c>
      <c r="R407" s="3414"/>
      <c r="S407" s="2042" t="str">
        <f>IFERROR(VLOOKUP($R407,'Lower HotCell RecoveryLogistics'!$C$410:$F$486,4,FALSE),"N/A")</f>
        <v>N/A</v>
      </c>
      <c r="T407" s="1332" t="str">
        <f t="shared" si="72"/>
        <v>N/A</v>
      </c>
      <c r="V407" s="273"/>
      <c r="W407" s="273"/>
      <c r="X407" s="273"/>
      <c r="Y407" s="5"/>
      <c r="Z407"/>
      <c r="AA407"/>
      <c r="AB407"/>
      <c r="AC407"/>
    </row>
    <row r="408" spans="1:29" s="8" customFormat="1" ht="15" hidden="1" customHeight="1" outlineLevel="2" x14ac:dyDescent="0.4">
      <c r="A408"/>
      <c r="B408" s="2038"/>
      <c r="C408" s="3815"/>
      <c r="D408" s="860" t="s">
        <v>2327</v>
      </c>
      <c r="E408" s="860" t="s">
        <v>251</v>
      </c>
      <c r="F408" s="1363">
        <f t="shared" si="73"/>
        <v>5.1999999999999993</v>
      </c>
      <c r="G408" s="1347">
        <f t="shared" si="74"/>
        <v>51.568901179185161</v>
      </c>
      <c r="H408" s="2041" t="s">
        <v>270</v>
      </c>
      <c r="I408" s="1183">
        <v>5.1999999999999993</v>
      </c>
      <c r="J408" s="1579"/>
      <c r="K408" s="582"/>
      <c r="L408" s="582"/>
      <c r="M408" s="1478" t="str">
        <f>IFERROR(INDEX(#REF!,MATCH($K408,#REF!,0),MATCH($L408,#REF!,0)),"N/A")</f>
        <v>N/A</v>
      </c>
      <c r="N408" s="1478" t="str">
        <f>IFERROR(VLOOKUP($J408,#REF!,2,FALSE),"N/A")</f>
        <v>N/A</v>
      </c>
      <c r="O408" s="1183" t="str">
        <f t="shared" si="71"/>
        <v>N/A</v>
      </c>
      <c r="P408" s="1725"/>
      <c r="Q408" s="2042" t="str">
        <f>IF($E408="Logistics",VLOOKUP($P408,'Lower Hot Cell Logistics'!$C$4:$D$57,2,FALSE),"N/A")</f>
        <v>N/A</v>
      </c>
      <c r="R408" s="3414"/>
      <c r="S408" s="2042" t="str">
        <f>IFERROR(VLOOKUP($R408,'Lower HotCell RecoveryLogistics'!$C$410:$F$486,4,FALSE),"N/A")</f>
        <v>N/A</v>
      </c>
      <c r="T408" s="1332" t="str">
        <f t="shared" si="72"/>
        <v>N/A</v>
      </c>
      <c r="V408" s="273"/>
      <c r="W408" s="273"/>
      <c r="X408" s="273"/>
      <c r="Y408" s="5"/>
      <c r="Z408"/>
      <c r="AA408"/>
      <c r="AB408"/>
      <c r="AC408"/>
    </row>
    <row r="409" spans="1:29" s="8" customFormat="1" ht="15" hidden="1" customHeight="1" outlineLevel="2" thickBot="1" x14ac:dyDescent="0.45">
      <c r="A409"/>
      <c r="B409" s="2038"/>
      <c r="C409" s="3816"/>
      <c r="D409" s="837" t="s">
        <v>1575</v>
      </c>
      <c r="E409" s="837" t="s">
        <v>3</v>
      </c>
      <c r="F409" s="2043">
        <f t="shared" si="73"/>
        <v>0.6</v>
      </c>
      <c r="G409" s="1295">
        <f t="shared" si="74"/>
        <v>52.168901179185163</v>
      </c>
      <c r="H409" s="1869"/>
      <c r="I409" s="1179" t="s">
        <v>263</v>
      </c>
      <c r="J409" s="1136"/>
      <c r="K409" s="584"/>
      <c r="L409" s="584"/>
      <c r="M409" s="814" t="str">
        <f>IFERROR(INDEX(#REF!,MATCH($K409,#REF!,0),MATCH($L409,#REF!,0)),"N/A")</f>
        <v>N/A</v>
      </c>
      <c r="N409" s="814" t="str">
        <f>IFERROR(VLOOKUP($J409,#REF!,2,FALSE),"N/A")</f>
        <v>N/A</v>
      </c>
      <c r="O409" s="1179" t="str">
        <f t="shared" si="71"/>
        <v>N/A</v>
      </c>
      <c r="P409" s="1921" t="s">
        <v>2008</v>
      </c>
      <c r="Q409" s="1922">
        <f>IF($E409="Logistics",VLOOKUP($P409,'Lower Hot Cell Logistics'!$C$4:$D$57,2,FALSE),"N/A")</f>
        <v>0.6</v>
      </c>
      <c r="R409" s="3382"/>
      <c r="S409" s="1922" t="str">
        <f>IFERROR(VLOOKUP($R409,'Lower HotCell RecoveryLogistics'!$C$410:$F$486,4,FALSE),"N/A")</f>
        <v>N/A</v>
      </c>
      <c r="T409" s="1332" t="str">
        <f t="shared" si="72"/>
        <v>N/A</v>
      </c>
      <c r="V409" s="273"/>
      <c r="W409" s="273"/>
      <c r="X409" s="273"/>
      <c r="Y409" s="5"/>
      <c r="Z409"/>
      <c r="AA409"/>
      <c r="AB409"/>
      <c r="AC409"/>
    </row>
    <row r="410" spans="1:29" s="88" customFormat="1" ht="29.15" hidden="1" outlineLevel="2" x14ac:dyDescent="0.4">
      <c r="B410" s="2038"/>
      <c r="C410" s="3787" t="s">
        <v>1609</v>
      </c>
      <c r="D410" s="566" t="s">
        <v>1606</v>
      </c>
      <c r="E410" s="566" t="s">
        <v>3</v>
      </c>
      <c r="F410" s="567">
        <f t="shared" si="73"/>
        <v>0.8</v>
      </c>
      <c r="G410" s="1621">
        <f t="shared" si="74"/>
        <v>52.96890117918516</v>
      </c>
      <c r="H410" s="803"/>
      <c r="I410" s="1175" t="s">
        <v>263</v>
      </c>
      <c r="J410" s="803"/>
      <c r="K410" s="566"/>
      <c r="L410" s="2205"/>
      <c r="M410" s="802" t="str">
        <f>IFERROR(INDEX('Lower Hot Cell Logistics'!$I$13:$O$19,MATCH($K410,'Lower Hot Cell Logistics'!$H$13:$H$19,0),MATCH($L410,'Lower Hot Cell Logistics'!$H$13:$H$19,0)),"N/A")</f>
        <v>N/A</v>
      </c>
      <c r="N410" s="570" t="str">
        <f>IFERROR(VLOOKUP($J410,'Lower Hot Cell Logistics'!$H$4:$I$9,2,FALSE),"N/A")</f>
        <v>N/A</v>
      </c>
      <c r="O410" s="1175" t="str">
        <f t="shared" si="71"/>
        <v>N/A</v>
      </c>
      <c r="P410" s="1664" t="s">
        <v>1828</v>
      </c>
      <c r="Q410" s="1175">
        <f>IF($E410="Logistics",VLOOKUP($P410,'Lower Hot Cell Logistics'!$C$4:$D$69,2,FALSE),"N/A")</f>
        <v>0.8</v>
      </c>
      <c r="R410" s="3415" t="s">
        <v>2328</v>
      </c>
      <c r="S410" s="1175">
        <f>IFERROR(VLOOKUP($R410,'Lower HotCell RecoveryLogistics'!$C$410:$F$486,4,FALSE),"N/A")</f>
        <v>29.757415600938256</v>
      </c>
      <c r="T410" s="1332">
        <f t="shared" si="72"/>
        <v>22.411485578246907</v>
      </c>
      <c r="V410" s="2031"/>
      <c r="W410" s="2031"/>
      <c r="X410" s="2031"/>
      <c r="Y410" s="1466"/>
    </row>
    <row r="411" spans="1:29" s="88" customFormat="1" hidden="1" outlineLevel="2" x14ac:dyDescent="0.4">
      <c r="B411" s="2038"/>
      <c r="C411" s="3786"/>
      <c r="D411" s="573" t="s">
        <v>1611</v>
      </c>
      <c r="E411" s="573" t="s">
        <v>251</v>
      </c>
      <c r="F411" s="1276">
        <f t="shared" si="73"/>
        <v>1</v>
      </c>
      <c r="G411" s="626">
        <f t="shared" si="74"/>
        <v>53.96890117918516</v>
      </c>
      <c r="H411" s="1131" t="s">
        <v>271</v>
      </c>
      <c r="I411" s="1176">
        <v>1</v>
      </c>
      <c r="J411" s="1131"/>
      <c r="K411" s="573"/>
      <c r="L411" s="1631"/>
      <c r="M411" s="852" t="str">
        <f>IFERROR(INDEX('Lower Hot Cell Logistics'!$I$13:$O$19,MATCH($K411,'Lower Hot Cell Logistics'!$H$13:$H$19,0),MATCH($L411,'Lower Hot Cell Logistics'!$H$13:$H$19,0)),"N/A")</f>
        <v>N/A</v>
      </c>
      <c r="N411" s="853" t="str">
        <f>IFERROR(VLOOKUP($J411,'Lower Hot Cell Logistics'!$H$4:$I$9,2,FALSE),"N/A")</f>
        <v>N/A</v>
      </c>
      <c r="O411" s="1176" t="str">
        <f t="shared" si="71"/>
        <v>N/A</v>
      </c>
      <c r="P411" s="1580"/>
      <c r="Q411" s="1176" t="str">
        <f>IF($E411="Logistics",VLOOKUP($P411,'Lower Hot Cell Logistics'!$C$4:$D$69,2,FALSE),"N/A")</f>
        <v>N/A</v>
      </c>
      <c r="R411" s="3412"/>
      <c r="S411" s="1176" t="str">
        <f>IFERROR(VLOOKUP($R411,'Lower HotCell RecoveryLogistics'!$C$410:$F$486,4,FALSE),"N/A")</f>
        <v>N/A</v>
      </c>
      <c r="T411" s="1332" t="str">
        <f t="shared" si="72"/>
        <v>N/A</v>
      </c>
      <c r="V411" s="2031"/>
      <c r="W411" s="2031"/>
      <c r="X411" s="2031"/>
      <c r="Y411" s="1466"/>
    </row>
    <row r="412" spans="1:29" s="88" customFormat="1" ht="15" hidden="1" outlineLevel="2" thickBot="1" x14ac:dyDescent="0.45">
      <c r="B412" s="2038"/>
      <c r="C412" s="3788"/>
      <c r="D412" s="584" t="s">
        <v>2035</v>
      </c>
      <c r="E412" s="584" t="s">
        <v>3</v>
      </c>
      <c r="F412" s="1632">
        <f t="shared" si="73"/>
        <v>0.38</v>
      </c>
      <c r="G412" s="585">
        <f t="shared" si="74"/>
        <v>54.348901179185162</v>
      </c>
      <c r="H412" s="1136"/>
      <c r="I412" s="1179" t="s">
        <v>263</v>
      </c>
      <c r="J412" s="1136"/>
      <c r="K412" s="584"/>
      <c r="L412" s="1633"/>
      <c r="M412" s="813" t="s">
        <v>263</v>
      </c>
      <c r="N412" s="814" t="s">
        <v>263</v>
      </c>
      <c r="O412" s="1179" t="s">
        <v>263</v>
      </c>
      <c r="P412" s="1582" t="s">
        <v>2008</v>
      </c>
      <c r="Q412" s="1179">
        <v>0.38</v>
      </c>
      <c r="R412" s="3378"/>
      <c r="S412" s="1179" t="str">
        <f>IFERROR(VLOOKUP($R412,'Lower HotCell RecoveryLogistics'!$C$410:$F$486,4,FALSE),"N/A")</f>
        <v>N/A</v>
      </c>
      <c r="T412" s="1332" t="str">
        <f t="shared" si="72"/>
        <v>N/A</v>
      </c>
      <c r="V412" s="2031"/>
      <c r="W412" s="2031"/>
      <c r="X412" s="2031"/>
      <c r="Y412" s="1466"/>
    </row>
    <row r="413" spans="1:29" s="88" customFormat="1" ht="15" hidden="1" customHeight="1" outlineLevel="2" x14ac:dyDescent="0.4">
      <c r="B413" s="2038"/>
      <c r="C413" s="3814" t="s">
        <v>1613</v>
      </c>
      <c r="D413" s="823" t="s">
        <v>1606</v>
      </c>
      <c r="E413" s="823" t="s">
        <v>3</v>
      </c>
      <c r="F413" s="1291">
        <f t="shared" si="73"/>
        <v>0.8</v>
      </c>
      <c r="G413" s="1739">
        <f t="shared" si="74"/>
        <v>55.14890117918516</v>
      </c>
      <c r="H413" s="829"/>
      <c r="I413" s="2040" t="s">
        <v>263</v>
      </c>
      <c r="J413" s="829"/>
      <c r="K413" s="823"/>
      <c r="L413" s="2191"/>
      <c r="M413" s="827" t="str">
        <f>IFERROR(INDEX('Lower Hot Cell Logistics'!$I$13:$O$19,MATCH($K413,'Lower Hot Cell Logistics'!$H$13:$H$19,0),MATCH($L413,'Lower Hot Cell Logistics'!$H$13:$H$19,0)),"N/A")</f>
        <v>N/A</v>
      </c>
      <c r="N413" s="828" t="str">
        <f>IFERROR(VLOOKUP($J413,'Lower Hot Cell Logistics'!$H$4:$I$9,2,FALSE),"N/A")</f>
        <v>N/A</v>
      </c>
      <c r="O413" s="2040" t="str">
        <f>IF(E413="Movement",IFERROR((M413/N413)/(60*60),"Error"),"N/A")</f>
        <v>N/A</v>
      </c>
      <c r="P413" s="2039" t="s">
        <v>1828</v>
      </c>
      <c r="Q413" s="2040">
        <f>IF($E413="Logistics",VLOOKUP($P413,'Lower Hot Cell Logistics'!$C$4:$D$69,2,FALSE),"N/A")</f>
        <v>0.8</v>
      </c>
      <c r="R413" s="3413" t="s">
        <v>2329</v>
      </c>
      <c r="S413" s="2040">
        <f>IFERROR(VLOOKUP($R413,'Lower HotCell RecoveryLogistics'!$C$410:$F$486,4,FALSE),"N/A")</f>
        <v>53.83779006807405</v>
      </c>
      <c r="T413" s="1332">
        <f t="shared" si="72"/>
        <v>0.51111111111111285</v>
      </c>
      <c r="V413" s="2031"/>
      <c r="W413" s="2031"/>
      <c r="X413" s="2031"/>
      <c r="Y413" s="1466"/>
    </row>
    <row r="414" spans="1:29" s="88" customFormat="1" hidden="1" outlineLevel="2" x14ac:dyDescent="0.4">
      <c r="B414" s="2038"/>
      <c r="C414" s="3815"/>
      <c r="D414" s="860" t="s">
        <v>1615</v>
      </c>
      <c r="E414" s="860" t="s">
        <v>251</v>
      </c>
      <c r="F414" s="1363">
        <f t="shared" si="73"/>
        <v>1</v>
      </c>
      <c r="G414" s="1347">
        <f t="shared" si="74"/>
        <v>56.14890117918516</v>
      </c>
      <c r="H414" s="2041" t="s">
        <v>271</v>
      </c>
      <c r="I414" s="2042">
        <v>1</v>
      </c>
      <c r="J414" s="2041"/>
      <c r="K414" s="860"/>
      <c r="L414" s="2192"/>
      <c r="M414" s="864" t="str">
        <f>IFERROR(INDEX('Lower Hot Cell Logistics'!$I$13:$O$19,MATCH($K414,'Lower Hot Cell Logistics'!$H$13:$H$19,0),MATCH($L414,'Lower Hot Cell Logistics'!$H$13:$H$19,0)),"N/A")</f>
        <v>N/A</v>
      </c>
      <c r="N414" s="865" t="str">
        <f>IFERROR(VLOOKUP($J414,'Lower Hot Cell Logistics'!$H$4:$I$9,2,FALSE),"N/A")</f>
        <v>N/A</v>
      </c>
      <c r="O414" s="2042" t="str">
        <f>IF(E414="Movement",IFERROR((M414/N414)/(60*60),"Error"),"N/A")</f>
        <v>N/A</v>
      </c>
      <c r="P414" s="1725"/>
      <c r="Q414" s="2042" t="str">
        <f>IF($E414="Logistics",VLOOKUP($P414,'Lower Hot Cell Logistics'!$C$4:$D$69,2,FALSE),"N/A")</f>
        <v>N/A</v>
      </c>
      <c r="R414" s="3414"/>
      <c r="S414" s="2042" t="str">
        <f>IFERROR(VLOOKUP($R414,'Lower HotCell RecoveryLogistics'!$C$410:$F$486,4,FALSE),"N/A")</f>
        <v>N/A</v>
      </c>
      <c r="T414" s="1332" t="str">
        <f t="shared" si="72"/>
        <v>N/A</v>
      </c>
      <c r="V414" s="2031"/>
      <c r="W414" s="2031"/>
      <c r="X414" s="2031"/>
      <c r="Y414" s="1466"/>
    </row>
    <row r="415" spans="1:29" s="88" customFormat="1" ht="15" hidden="1" outlineLevel="2" thickBot="1" x14ac:dyDescent="0.45">
      <c r="B415" s="2038"/>
      <c r="C415" s="3816"/>
      <c r="D415" s="837" t="s">
        <v>2036</v>
      </c>
      <c r="E415" s="837" t="s">
        <v>3</v>
      </c>
      <c r="F415" s="2043">
        <f t="shared" si="73"/>
        <v>0.38</v>
      </c>
      <c r="G415" s="1295">
        <f t="shared" si="74"/>
        <v>56.528901179185162</v>
      </c>
      <c r="H415" s="1869"/>
      <c r="I415" s="1922" t="s">
        <v>263</v>
      </c>
      <c r="J415" s="1869"/>
      <c r="K415" s="837"/>
      <c r="L415" s="2204"/>
      <c r="M415" s="841" t="s">
        <v>263</v>
      </c>
      <c r="N415" s="842" t="s">
        <v>263</v>
      </c>
      <c r="O415" s="1922" t="s">
        <v>263</v>
      </c>
      <c r="P415" s="1921" t="s">
        <v>2008</v>
      </c>
      <c r="Q415" s="1922">
        <v>0.38</v>
      </c>
      <c r="R415" s="3382"/>
      <c r="S415" s="1922" t="str">
        <f>IFERROR(VLOOKUP($R415,'Lower HotCell RecoveryLogistics'!$C$410:$F$486,4,FALSE),"N/A")</f>
        <v>N/A</v>
      </c>
      <c r="T415" s="1332" t="str">
        <f t="shared" si="72"/>
        <v>N/A</v>
      </c>
      <c r="V415" s="2031"/>
      <c r="W415" s="2031"/>
      <c r="X415" s="2031"/>
      <c r="Y415" s="1466"/>
    </row>
    <row r="416" spans="1:29" s="88" customFormat="1" hidden="1" outlineLevel="2" x14ac:dyDescent="0.4">
      <c r="B416" s="2038"/>
      <c r="C416" s="3787" t="s">
        <v>1678</v>
      </c>
      <c r="D416" s="566" t="s">
        <v>1606</v>
      </c>
      <c r="E416" s="566" t="s">
        <v>3</v>
      </c>
      <c r="F416" s="1621">
        <f t="shared" si="73"/>
        <v>0.8</v>
      </c>
      <c r="G416" s="1621">
        <f t="shared" si="74"/>
        <v>58.144086364370345</v>
      </c>
      <c r="H416" s="803"/>
      <c r="I416" s="1175" t="s">
        <v>263</v>
      </c>
      <c r="J416" s="803"/>
      <c r="K416" s="566"/>
      <c r="L416" s="566"/>
      <c r="M416" s="570" t="str">
        <f>IFERROR(INDEX('Lower Hot Cell Logistics'!$I$13:$O$19,MATCH($K416,'Lower Hot Cell Logistics'!$H$13:$H$19,0),MATCH($L416,'Lower Hot Cell Logistics'!$H$13:$H$19,0)),"N/A")</f>
        <v>N/A</v>
      </c>
      <c r="N416" s="570" t="str">
        <f>IFERROR(VLOOKUP($J416,'Lower Hot Cell Logistics'!$H$4:$I$9,2,FALSE),"N/A")</f>
        <v>N/A</v>
      </c>
      <c r="O416" s="1175" t="str">
        <f>IF(E416="Movement",IFERROR((M416/N416)/(60*60),"Error"),"N/A")</f>
        <v>N/A</v>
      </c>
      <c r="P416" s="1664" t="s">
        <v>1828</v>
      </c>
      <c r="Q416" s="1175">
        <f>IF($E416="Logistics",VLOOKUP($P416,'Lower Hot Cell Logistics'!$C$4:$D$69,2,FALSE),"N/A")</f>
        <v>0.8</v>
      </c>
      <c r="R416" s="3415" t="s">
        <v>2330</v>
      </c>
      <c r="S416" s="1175">
        <f>IFERROR(VLOOKUP($R416,'Lower HotCell RecoveryLogistics'!$C$410:$F$486,4,FALSE),"N/A")</f>
        <v>57.344086364370348</v>
      </c>
      <c r="T416" s="1332">
        <f t="shared" si="72"/>
        <v>-0.8151851851851859</v>
      </c>
      <c r="V416" s="2031"/>
      <c r="W416" s="2031"/>
      <c r="X416" s="2031"/>
      <c r="Y416" s="1466"/>
    </row>
    <row r="417" spans="2:25" s="88" customFormat="1" hidden="1" outlineLevel="2" x14ac:dyDescent="0.4">
      <c r="B417" s="2038"/>
      <c r="C417" s="3786"/>
      <c r="D417" s="573" t="s">
        <v>1681</v>
      </c>
      <c r="E417" s="573" t="s">
        <v>251</v>
      </c>
      <c r="F417" s="626">
        <f t="shared" si="73"/>
        <v>1</v>
      </c>
      <c r="G417" s="626">
        <f t="shared" si="74"/>
        <v>59.144086364370345</v>
      </c>
      <c r="H417" s="1131" t="s">
        <v>274</v>
      </c>
      <c r="I417" s="1176">
        <v>1</v>
      </c>
      <c r="J417" s="1131"/>
      <c r="K417" s="573"/>
      <c r="L417" s="573"/>
      <c r="M417" s="853" t="str">
        <f>IFERROR(INDEX('Lower Hot Cell Logistics'!$I$13:$O$19,MATCH($K417,'Lower Hot Cell Logistics'!$H$13:$H$19,0),MATCH($L417,'Lower Hot Cell Logistics'!$H$13:$H$19,0)),"N/A")</f>
        <v>N/A</v>
      </c>
      <c r="N417" s="853" t="str">
        <f>IFERROR(VLOOKUP($J417,'Lower Hot Cell Logistics'!$H$4:$I$9,2,FALSE),"N/A")</f>
        <v>N/A</v>
      </c>
      <c r="O417" s="1176" t="str">
        <f>IF(E417="Movement",IFERROR((M417/N417)/(60*60),"Error"),"N/A")</f>
        <v>N/A</v>
      </c>
      <c r="P417" s="1580"/>
      <c r="Q417" s="1176" t="str">
        <f>IF($E417="Logistics",VLOOKUP($P417,'Lower Hot Cell Logistics'!$C$4:$D$69,2,FALSE),"N/A")</f>
        <v>N/A</v>
      </c>
      <c r="R417" s="3412"/>
      <c r="S417" s="1176" t="str">
        <f>IFERROR(VLOOKUP($R417,'Lower HotCell RecoveryLogistics'!$C$410:$F$486,4,FALSE),"N/A")</f>
        <v>N/A</v>
      </c>
      <c r="T417" s="1332" t="str">
        <f t="shared" si="72"/>
        <v>N/A</v>
      </c>
      <c r="V417" s="2031"/>
      <c r="W417" s="2031"/>
      <c r="X417" s="2031"/>
      <c r="Y417" s="1466"/>
    </row>
    <row r="418" spans="2:25" s="88" customFormat="1" ht="15" hidden="1" outlineLevel="2" thickBot="1" x14ac:dyDescent="0.45">
      <c r="B418" s="2038"/>
      <c r="C418" s="3788"/>
      <c r="D418" s="584" t="s">
        <v>2092</v>
      </c>
      <c r="E418" s="584" t="s">
        <v>3</v>
      </c>
      <c r="F418" s="585">
        <f t="shared" si="73"/>
        <v>0.38</v>
      </c>
      <c r="G418" s="585">
        <f t="shared" si="74"/>
        <v>59.524086364370348</v>
      </c>
      <c r="H418" s="1136"/>
      <c r="I418" s="1179" t="s">
        <v>263</v>
      </c>
      <c r="J418" s="1136"/>
      <c r="K418" s="584"/>
      <c r="L418" s="584"/>
      <c r="M418" s="814" t="s">
        <v>263</v>
      </c>
      <c r="N418" s="814" t="s">
        <v>263</v>
      </c>
      <c r="O418" s="1179" t="s">
        <v>263</v>
      </c>
      <c r="P418" s="1582" t="s">
        <v>2008</v>
      </c>
      <c r="Q418" s="1179">
        <v>0.38</v>
      </c>
      <c r="R418" s="3378"/>
      <c r="S418" s="1179" t="str">
        <f>IFERROR(VLOOKUP($R418,'Lower HotCell RecoveryLogistics'!$C$410:$F$486,4,FALSE),"N/A")</f>
        <v>N/A</v>
      </c>
      <c r="T418" s="1332" t="str">
        <f t="shared" si="72"/>
        <v>N/A</v>
      </c>
      <c r="V418" s="2031"/>
      <c r="W418" s="2031"/>
      <c r="X418" s="2031"/>
      <c r="Y418" s="1466"/>
    </row>
    <row r="419" spans="2:25" s="88" customFormat="1" hidden="1" outlineLevel="2" x14ac:dyDescent="0.4">
      <c r="B419" s="2038"/>
      <c r="C419" s="3814" t="s">
        <v>1683</v>
      </c>
      <c r="D419" s="823" t="s">
        <v>1606</v>
      </c>
      <c r="E419" s="823" t="s">
        <v>3</v>
      </c>
      <c r="F419" s="1291">
        <f t="shared" si="73"/>
        <v>0.8</v>
      </c>
      <c r="G419" s="1739">
        <f t="shared" si="74"/>
        <v>60.324086364370345</v>
      </c>
      <c r="H419" s="829"/>
      <c r="I419" s="2040" t="s">
        <v>263</v>
      </c>
      <c r="J419" s="829"/>
      <c r="K419" s="823"/>
      <c r="L419" s="823"/>
      <c r="M419" s="828" t="str">
        <f>IFERROR(INDEX('Lower Hot Cell Logistics'!$I$13:$O$19,MATCH($K419,'Lower Hot Cell Logistics'!$H$13:$H$19,0),MATCH($L419,'Lower Hot Cell Logistics'!$H$13:$H$19,0)),"N/A")</f>
        <v>N/A</v>
      </c>
      <c r="N419" s="828" t="str">
        <f>IFERROR(VLOOKUP($J419,'Lower Hot Cell Logistics'!$H$4:$I$9,2,FALSE),"N/A")</f>
        <v>N/A</v>
      </c>
      <c r="O419" s="2040" t="str">
        <f>IF(E419="Movement",IFERROR((M419/N419)/(60*60),"Error"),"N/A")</f>
        <v>N/A</v>
      </c>
      <c r="P419" s="2039" t="s">
        <v>1828</v>
      </c>
      <c r="Q419" s="2040">
        <f>IF($E419="Logistics",VLOOKUP($P419,'Lower Hot Cell Logistics'!$C$4:$D$69,2,FALSE),"N/A")</f>
        <v>0.8</v>
      </c>
      <c r="R419" s="3413" t="s">
        <v>2331</v>
      </c>
      <c r="S419" s="2040">
        <f>IFERROR(VLOOKUP($R419,'Lower HotCell RecoveryLogistics'!$C$410:$F$486,4,FALSE),"N/A")</f>
        <v>59.524086364370348</v>
      </c>
      <c r="T419" s="1332">
        <f t="shared" si="72"/>
        <v>0</v>
      </c>
      <c r="V419" s="2031"/>
      <c r="W419" s="2031"/>
      <c r="X419" s="2031"/>
      <c r="Y419" s="1466"/>
    </row>
    <row r="420" spans="2:25" s="88" customFormat="1" hidden="1" outlineLevel="2" x14ac:dyDescent="0.4">
      <c r="B420" s="2038"/>
      <c r="C420" s="3815"/>
      <c r="D420" s="860" t="s">
        <v>1685</v>
      </c>
      <c r="E420" s="860" t="s">
        <v>251</v>
      </c>
      <c r="F420" s="1363">
        <f t="shared" si="73"/>
        <v>1</v>
      </c>
      <c r="G420" s="1347">
        <f t="shared" si="74"/>
        <v>61.324086364370345</v>
      </c>
      <c r="H420" s="2041" t="s">
        <v>274</v>
      </c>
      <c r="I420" s="2042">
        <v>1</v>
      </c>
      <c r="J420" s="2041"/>
      <c r="K420" s="860"/>
      <c r="L420" s="860"/>
      <c r="M420" s="865" t="str">
        <f>IFERROR(INDEX('Lower Hot Cell Logistics'!$I$13:$O$19,MATCH($K420,'Lower Hot Cell Logistics'!$H$13:$H$19,0),MATCH($L420,'Lower Hot Cell Logistics'!$H$13:$H$19,0)),"N/A")</f>
        <v>N/A</v>
      </c>
      <c r="N420" s="865" t="str">
        <f>IFERROR(VLOOKUP($J420,'Lower Hot Cell Logistics'!$H$4:$I$9,2,FALSE),"N/A")</f>
        <v>N/A</v>
      </c>
      <c r="O420" s="2042" t="str">
        <f>IF(E420="Movement",IFERROR((M420/N420)/(60*60),"Error"),"N/A")</f>
        <v>N/A</v>
      </c>
      <c r="P420" s="1725"/>
      <c r="Q420" s="2042" t="str">
        <f>IF($E420="Logistics",VLOOKUP($P420,'Lower Hot Cell Logistics'!$C$4:$D$69,2,FALSE),"N/A")</f>
        <v>N/A</v>
      </c>
      <c r="R420" s="3414"/>
      <c r="S420" s="2042" t="str">
        <f>IFERROR(VLOOKUP($R420,'Lower HotCell RecoveryLogistics'!$C$410:$F$486,4,FALSE),"N/A")</f>
        <v>N/A</v>
      </c>
      <c r="T420" s="1332" t="str">
        <f t="shared" si="72"/>
        <v>N/A</v>
      </c>
      <c r="V420" s="2031"/>
      <c r="W420" s="2031"/>
      <c r="X420" s="2031"/>
      <c r="Y420" s="1466"/>
    </row>
    <row r="421" spans="2:25" s="88" customFormat="1" ht="15" hidden="1" outlineLevel="2" thickBot="1" x14ac:dyDescent="0.45">
      <c r="B421" s="2038"/>
      <c r="C421" s="3816"/>
      <c r="D421" s="837" t="s">
        <v>2094</v>
      </c>
      <c r="E421" s="837" t="s">
        <v>3</v>
      </c>
      <c r="F421" s="2043">
        <f t="shared" si="73"/>
        <v>0.38</v>
      </c>
      <c r="G421" s="1295">
        <f t="shared" si="74"/>
        <v>61.704086364370347</v>
      </c>
      <c r="H421" s="1869"/>
      <c r="I421" s="1922" t="s">
        <v>263</v>
      </c>
      <c r="J421" s="1869"/>
      <c r="K421" s="837"/>
      <c r="L421" s="837"/>
      <c r="M421" s="842" t="s">
        <v>263</v>
      </c>
      <c r="N421" s="842" t="s">
        <v>263</v>
      </c>
      <c r="O421" s="1922" t="s">
        <v>263</v>
      </c>
      <c r="P421" s="1921" t="s">
        <v>2008</v>
      </c>
      <c r="Q421" s="1922">
        <v>0.38</v>
      </c>
      <c r="R421" s="3382"/>
      <c r="S421" s="1922" t="str">
        <f>IFERROR(VLOOKUP($R421,'Lower HotCell RecoveryLogistics'!$C$410:$F$486,4,FALSE),"N/A")</f>
        <v>N/A</v>
      </c>
      <c r="T421" s="1332" t="str">
        <f t="shared" si="72"/>
        <v>N/A</v>
      </c>
      <c r="V421" s="2031"/>
      <c r="W421" s="2031"/>
      <c r="X421" s="2031"/>
      <c r="Y421" s="1466"/>
    </row>
    <row r="422" spans="2:25" s="88" customFormat="1" hidden="1" outlineLevel="2" x14ac:dyDescent="0.4">
      <c r="B422" s="2038"/>
      <c r="C422" s="3787" t="s">
        <v>275</v>
      </c>
      <c r="D422" s="566" t="s">
        <v>1606</v>
      </c>
      <c r="E422" s="566" t="s">
        <v>3</v>
      </c>
      <c r="F422" s="567">
        <f t="shared" si="73"/>
        <v>0.8</v>
      </c>
      <c r="G422" s="1621">
        <f t="shared" si="74"/>
        <v>62.592975253259233</v>
      </c>
      <c r="H422" s="803"/>
      <c r="I422" s="1175" t="s">
        <v>263</v>
      </c>
      <c r="J422" s="803"/>
      <c r="K422" s="566"/>
      <c r="L422" s="566"/>
      <c r="M422" s="570" t="str">
        <f>IFERROR(INDEX('Lower Hot Cell Logistics'!$I$13:$O$19,MATCH($K422,'Lower Hot Cell Logistics'!$H$13:$H$19,0),MATCH($L422,'Lower Hot Cell Logistics'!$H$13:$H$19,0)),"N/A")</f>
        <v>N/A</v>
      </c>
      <c r="N422" s="570" t="str">
        <f>IFERROR(VLOOKUP($J422,'Lower Hot Cell Logistics'!$H$4:$I$9,2,FALSE),"N/A")</f>
        <v>N/A</v>
      </c>
      <c r="O422" s="1175" t="str">
        <f>IF(E422="Movement",IFERROR((M422/N422)/(60*60),"Error"),"N/A")</f>
        <v>N/A</v>
      </c>
      <c r="P422" s="1664" t="s">
        <v>1828</v>
      </c>
      <c r="Q422" s="1175">
        <f>IF($E422="Logistics",VLOOKUP($P422,'Lower Hot Cell Logistics'!$C$4:$D$69,2,FALSE),"N/A")</f>
        <v>0.8</v>
      </c>
      <c r="R422" s="3415" t="s">
        <v>2332</v>
      </c>
      <c r="S422" s="1175">
        <f>IFERROR(VLOOKUP($R422,'Lower HotCell RecoveryLogistics'!$C$410:$F$486,4,FALSE),"N/A")</f>
        <v>61.792975253259236</v>
      </c>
      <c r="T422" s="1332">
        <f t="shared" si="72"/>
        <v>-8.8888888888888573E-2</v>
      </c>
      <c r="V422" s="2031"/>
      <c r="W422" s="2031"/>
      <c r="X422" s="2031"/>
      <c r="Y422" s="1466"/>
    </row>
    <row r="423" spans="2:25" s="88" customFormat="1" hidden="1" outlineLevel="2" x14ac:dyDescent="0.4">
      <c r="B423" s="2038"/>
      <c r="C423" s="3786"/>
      <c r="D423" s="573" t="s">
        <v>2096</v>
      </c>
      <c r="E423" s="573" t="s">
        <v>251</v>
      </c>
      <c r="F423" s="1276">
        <f t="shared" si="73"/>
        <v>0.8</v>
      </c>
      <c r="G423" s="626">
        <f t="shared" si="74"/>
        <v>63.39297525325923</v>
      </c>
      <c r="H423" s="1131" t="s">
        <v>275</v>
      </c>
      <c r="I423" s="1176">
        <v>0.8</v>
      </c>
      <c r="J423" s="1131"/>
      <c r="K423" s="573"/>
      <c r="L423" s="573"/>
      <c r="M423" s="853" t="str">
        <f>IFERROR(INDEX('Lower Hot Cell Logistics'!$I$13:$O$19,MATCH($K423,'Lower Hot Cell Logistics'!$H$13:$H$19,0),MATCH($L423,'Lower Hot Cell Logistics'!$H$13:$H$19,0)),"N/A")</f>
        <v>N/A</v>
      </c>
      <c r="N423" s="853" t="str">
        <f>IFERROR(VLOOKUP($J423,'Lower Hot Cell Logistics'!$H$4:$I$9,2,FALSE),"N/A")</f>
        <v>N/A</v>
      </c>
      <c r="O423" s="1176" t="str">
        <f>IF(E423="Movement",IFERROR((M423/N423)/(60*60),"Error"),"N/A")</f>
        <v>N/A</v>
      </c>
      <c r="P423" s="1580"/>
      <c r="Q423" s="1176" t="str">
        <f>IF($E423="Logistics",VLOOKUP($P423,'Lower Hot Cell Logistics'!$C$4:$D$69,2,FALSE),"N/A")</f>
        <v>N/A</v>
      </c>
      <c r="R423" s="3412"/>
      <c r="S423" s="1176" t="str">
        <f>IFERROR(VLOOKUP($R423,'Lower HotCell RecoveryLogistics'!$C$410:$F$486,4,FALSE),"N/A")</f>
        <v>N/A</v>
      </c>
      <c r="T423" s="1332" t="str">
        <f t="shared" si="72"/>
        <v>N/A</v>
      </c>
      <c r="V423" s="2031"/>
      <c r="W423" s="2031"/>
      <c r="X423" s="2031"/>
      <c r="Y423" s="1466"/>
    </row>
    <row r="424" spans="2:25" s="88" customFormat="1" ht="15" hidden="1" outlineLevel="2" thickBot="1" x14ac:dyDescent="0.45">
      <c r="B424" s="2038"/>
      <c r="C424" s="3786"/>
      <c r="D424" s="582" t="s">
        <v>2097</v>
      </c>
      <c r="E424" s="582" t="s">
        <v>3</v>
      </c>
      <c r="F424" s="1640">
        <f t="shared" si="73"/>
        <v>0.38</v>
      </c>
      <c r="G424" s="626">
        <f t="shared" si="74"/>
        <v>63.772975253259233</v>
      </c>
      <c r="H424" s="1579"/>
      <c r="I424" s="1183" t="s">
        <v>263</v>
      </c>
      <c r="J424" s="1579"/>
      <c r="K424" s="582"/>
      <c r="L424" s="582"/>
      <c r="M424" s="1478" t="s">
        <v>263</v>
      </c>
      <c r="N424" s="1478" t="s">
        <v>263</v>
      </c>
      <c r="O424" s="1183" t="s">
        <v>263</v>
      </c>
      <c r="P424" s="1578" t="s">
        <v>2008</v>
      </c>
      <c r="Q424" s="1183">
        <v>0.38</v>
      </c>
      <c r="R424" s="3377"/>
      <c r="S424" s="1183" t="str">
        <f>IFERROR(VLOOKUP($R424,'Lower HotCell RecoveryLogistics'!$C$410:$F$486,4,FALSE),"N/A")</f>
        <v>N/A</v>
      </c>
      <c r="T424" s="1353" t="str">
        <f t="shared" si="72"/>
        <v>N/A</v>
      </c>
      <c r="V424" s="2031"/>
      <c r="W424" s="2031"/>
      <c r="X424" s="2031"/>
      <c r="Y424" s="1466"/>
    </row>
    <row r="425" spans="2:25" s="88" customFormat="1" hidden="1" outlineLevel="2" x14ac:dyDescent="0.4">
      <c r="B425" s="2038"/>
      <c r="C425" s="3814" t="s">
        <v>2098</v>
      </c>
      <c r="D425" s="1906" t="s">
        <v>2099</v>
      </c>
      <c r="E425" s="1907" t="s">
        <v>3</v>
      </c>
      <c r="F425" s="1739">
        <f t="shared" si="73"/>
        <v>0.8</v>
      </c>
      <c r="G425" s="1739">
        <f t="shared" si="74"/>
        <v>64.57297525325923</v>
      </c>
      <c r="H425" s="1906"/>
      <c r="I425" s="1917" t="s">
        <v>263</v>
      </c>
      <c r="J425" s="1906"/>
      <c r="K425" s="1911"/>
      <c r="L425" s="1911"/>
      <c r="M425" s="1912" t="str">
        <f>IFERROR(INDEX('Lower Hot Cell Logistics'!$I$13:$O$19,MATCH($K425,'Lower Hot Cell Logistics'!$H$13:$H$19,0),MATCH($L425,'Lower Hot Cell Logistics'!$H$13:$H$19,0)),"N/A")</f>
        <v>N/A</v>
      </c>
      <c r="N425" s="1912" t="str">
        <f>IFERROR(VLOOKUP($J425,'Lower Hot Cell Logistics'!$H$4:$I$9,2,FALSE),"N/A")</f>
        <v>N/A</v>
      </c>
      <c r="O425" s="1917" t="str">
        <f t="shared" ref="O425:O434" si="75">IF(E425="Movement",IFERROR((M425/N425)/(60*60),"Error"),"N/A")</f>
        <v>N/A</v>
      </c>
      <c r="P425" s="1916" t="s">
        <v>1828</v>
      </c>
      <c r="Q425" s="1917">
        <f>IF($E425="Logistics",VLOOKUP($P425,'Lower Hot Cell Logistics'!$C$4:$D$69,2,FALSE),"N/A")</f>
        <v>0.8</v>
      </c>
      <c r="R425" s="3381"/>
      <c r="S425" s="1917" t="str">
        <f>IFERROR(VLOOKUP($R425,'Lower HotCell RecoveryLogistics'!$C$410:$F$486,4,FALSE),"N/A")</f>
        <v>N/A</v>
      </c>
      <c r="T425" s="824" t="str">
        <f t="shared" si="72"/>
        <v>N/A</v>
      </c>
      <c r="V425" s="2031"/>
      <c r="W425" s="2031"/>
      <c r="X425" s="2031"/>
      <c r="Y425" s="1466"/>
    </row>
    <row r="426" spans="2:25" s="88" customFormat="1" ht="29.15" hidden="1" outlineLevel="2" x14ac:dyDescent="0.4">
      <c r="B426" s="2038"/>
      <c r="C426" s="3815"/>
      <c r="D426" s="1895" t="s">
        <v>2101</v>
      </c>
      <c r="E426" s="1896" t="s">
        <v>3</v>
      </c>
      <c r="F426" s="1347">
        <f t="shared" si="73"/>
        <v>0.8</v>
      </c>
      <c r="G426" s="1347">
        <f t="shared" si="74"/>
        <v>65.92556784585183</v>
      </c>
      <c r="H426" s="1895"/>
      <c r="I426" s="1903" t="s">
        <v>263</v>
      </c>
      <c r="J426" s="1895"/>
      <c r="K426" s="1897"/>
      <c r="L426" s="1897"/>
      <c r="M426" s="1898" t="str">
        <f>IFERROR(INDEX('Lower Hot Cell Logistics'!$I$13:$O$19,MATCH($K426,'Lower Hot Cell Logistics'!$H$13:$H$19,0),MATCH($L426,'Lower Hot Cell Logistics'!$H$13:$H$19,0)),"N/A")</f>
        <v>N/A</v>
      </c>
      <c r="N426" s="1898" t="str">
        <f>IFERROR(VLOOKUP($J426,'Lower Hot Cell Logistics'!$H$4:$I$9,2,FALSE),"N/A")</f>
        <v>N/A</v>
      </c>
      <c r="O426" s="1903" t="str">
        <f t="shared" si="75"/>
        <v>N/A</v>
      </c>
      <c r="P426" s="1902" t="s">
        <v>1828</v>
      </c>
      <c r="Q426" s="1903">
        <f>IF($E426="Logistics",VLOOKUP($P426,'Lower Hot Cell Logistics'!$C$4:$D$69,2,FALSE),"N/A")</f>
        <v>0.8</v>
      </c>
      <c r="R426" s="3380" t="s">
        <v>2333</v>
      </c>
      <c r="S426" s="1903">
        <f>IFERROR(VLOOKUP($R426,'Lower HotCell RecoveryLogistics'!$C$410:$F$486,4,FALSE),"N/A")</f>
        <v>65.125567845851833</v>
      </c>
      <c r="T426" s="1332">
        <f t="shared" si="72"/>
        <v>-0.55259259259260318</v>
      </c>
      <c r="V426" s="2031"/>
      <c r="W426" s="2031"/>
      <c r="X426" s="2031"/>
      <c r="Y426" s="1466"/>
    </row>
    <row r="427" spans="2:25" s="88" customFormat="1" hidden="1" outlineLevel="2" x14ac:dyDescent="0.4">
      <c r="B427" s="2038"/>
      <c r="C427" s="3815"/>
      <c r="D427" s="1895" t="s">
        <v>2334</v>
      </c>
      <c r="E427" s="1896" t="s">
        <v>251</v>
      </c>
      <c r="F427" s="1347">
        <f t="shared" si="73"/>
        <v>7.8621484536495476</v>
      </c>
      <c r="G427" s="1347">
        <f t="shared" si="74"/>
        <v>73.787716299501383</v>
      </c>
      <c r="H427" s="1895" t="s">
        <v>449</v>
      </c>
      <c r="I427" s="1903">
        <v>7.8621484536495476</v>
      </c>
      <c r="J427" s="1895"/>
      <c r="K427" s="1897"/>
      <c r="L427" s="1897"/>
      <c r="M427" s="1898" t="str">
        <f>IFERROR(INDEX('Lower Hot Cell Logistics'!$I$13:$O$19,MATCH($K427,'Lower Hot Cell Logistics'!$H$13:$H$19,0),MATCH($L427,'Lower Hot Cell Logistics'!$H$13:$H$19,0)),"N/A")</f>
        <v>N/A</v>
      </c>
      <c r="N427" s="1898" t="str">
        <f>IFERROR(VLOOKUP($J427,'Lower Hot Cell Logistics'!$H$4:$I$9,2,FALSE),"N/A")</f>
        <v>N/A</v>
      </c>
      <c r="O427" s="1903" t="str">
        <f t="shared" si="75"/>
        <v>N/A</v>
      </c>
      <c r="P427" s="1902"/>
      <c r="Q427" s="1903" t="str">
        <f>IF($E427="Logistics",VLOOKUP($P427,'Lower Hot Cell Logistics'!$C$4:$D$69,2,FALSE),"N/A")</f>
        <v>N/A</v>
      </c>
      <c r="R427" s="3380"/>
      <c r="S427" s="1903" t="str">
        <f>IFERROR(VLOOKUP($R427,'Lower HotCell RecoveryLogistics'!$C$410:$F$486,4,FALSE),"N/A")</f>
        <v>N/A</v>
      </c>
      <c r="T427" s="1332" t="str">
        <f t="shared" si="72"/>
        <v>N/A</v>
      </c>
      <c r="V427" s="2031"/>
      <c r="W427" s="2031"/>
      <c r="X427" s="2031"/>
      <c r="Y427" s="1466"/>
    </row>
    <row r="428" spans="2:25" s="88" customFormat="1" hidden="1" outlineLevel="2" x14ac:dyDescent="0.4">
      <c r="B428" s="2038"/>
      <c r="C428" s="3815"/>
      <c r="D428" s="1895" t="s">
        <v>2103</v>
      </c>
      <c r="E428" s="1896" t="s">
        <v>3</v>
      </c>
      <c r="F428" s="1347">
        <f t="shared" si="73"/>
        <v>0.8</v>
      </c>
      <c r="G428" s="1347">
        <f t="shared" si="74"/>
        <v>74.58771629950138</v>
      </c>
      <c r="H428" s="1895"/>
      <c r="I428" s="1903" t="s">
        <v>263</v>
      </c>
      <c r="J428" s="1895"/>
      <c r="K428" s="1897"/>
      <c r="L428" s="1897"/>
      <c r="M428" s="1898" t="str">
        <f>IFERROR(INDEX('Lower Hot Cell Logistics'!$I$13:$O$19,MATCH($K428,'Lower Hot Cell Logistics'!$H$13:$H$19,0),MATCH($L428,'Lower Hot Cell Logistics'!$H$13:$H$19,0)),"N/A")</f>
        <v>N/A</v>
      </c>
      <c r="N428" s="1898" t="str">
        <f>IFERROR(VLOOKUP($J428,'Lower Hot Cell Logistics'!$H$4:$I$9,2,FALSE),"N/A")</f>
        <v>N/A</v>
      </c>
      <c r="O428" s="1903" t="str">
        <f t="shared" si="75"/>
        <v>N/A</v>
      </c>
      <c r="P428" s="1902" t="s">
        <v>1828</v>
      </c>
      <c r="Q428" s="1903">
        <f>IF($E428="Logistics",VLOOKUP($P428,'Lower Hot Cell Logistics'!$C$4:$D$69,2,FALSE),"N/A")</f>
        <v>0.8</v>
      </c>
      <c r="R428" s="3380"/>
      <c r="S428" s="1903" t="str">
        <f>IFERROR(VLOOKUP($R428,'Lower HotCell RecoveryLogistics'!$C$410:$F$486,4,FALSE),"N/A")</f>
        <v>N/A</v>
      </c>
      <c r="T428" s="1332" t="str">
        <f t="shared" si="72"/>
        <v>N/A</v>
      </c>
      <c r="V428" s="2031"/>
      <c r="W428" s="2031"/>
      <c r="X428" s="2031"/>
      <c r="Y428" s="1466"/>
    </row>
    <row r="429" spans="2:25" s="88" customFormat="1" ht="29.15" hidden="1" outlineLevel="2" x14ac:dyDescent="0.4">
      <c r="B429" s="2038"/>
      <c r="C429" s="3815"/>
      <c r="D429" s="1895" t="s">
        <v>1694</v>
      </c>
      <c r="E429" s="1896" t="s">
        <v>3</v>
      </c>
      <c r="F429" s="1347">
        <f t="shared" si="73"/>
        <v>0.53</v>
      </c>
      <c r="G429" s="1347">
        <f t="shared" si="74"/>
        <v>75.117716299501382</v>
      </c>
      <c r="H429" s="1895"/>
      <c r="I429" s="1903" t="s">
        <v>263</v>
      </c>
      <c r="J429" s="1895"/>
      <c r="K429" s="1897"/>
      <c r="L429" s="1897"/>
      <c r="M429" s="1898" t="str">
        <f>IFERROR(INDEX('Lower Hot Cell Logistics'!$I$13:$O$19,MATCH($K429,'Lower Hot Cell Logistics'!$H$13:$H$19,0),MATCH($L429,'Lower Hot Cell Logistics'!$H$13:$H$19,0)),"N/A")</f>
        <v>N/A</v>
      </c>
      <c r="N429" s="1898" t="str">
        <f>IFERROR(VLOOKUP($J429,'Lower Hot Cell Logistics'!$H$4:$I$9,2,FALSE),"N/A")</f>
        <v>N/A</v>
      </c>
      <c r="O429" s="1903" t="str">
        <f t="shared" si="75"/>
        <v>N/A</v>
      </c>
      <c r="P429" s="1902" t="s">
        <v>1558</v>
      </c>
      <c r="Q429" s="1903">
        <f>IF($E429="Logistics",VLOOKUP($P429,'Lower Hot Cell Logistics'!$C$4:$D$69,2,FALSE),"N/A")</f>
        <v>0.53</v>
      </c>
      <c r="R429" s="3380" t="s">
        <v>2335</v>
      </c>
      <c r="S429" s="1903">
        <f>IFERROR(VLOOKUP($R429,'Lower HotCell RecoveryLogistics'!$C$410:$F$486,4,FALSE),"N/A")</f>
        <v>62.945567845851834</v>
      </c>
      <c r="T429" s="1332">
        <f t="shared" si="72"/>
        <v>11.642148453649547</v>
      </c>
      <c r="V429" s="2031"/>
      <c r="W429" s="2031"/>
      <c r="X429" s="2031"/>
      <c r="Y429" s="1466"/>
    </row>
    <row r="430" spans="2:25" s="88" customFormat="1" hidden="1" outlineLevel="2" x14ac:dyDescent="0.4">
      <c r="B430" s="2038"/>
      <c r="C430" s="3815"/>
      <c r="D430" s="1895" t="s">
        <v>2105</v>
      </c>
      <c r="E430" s="1896" t="s">
        <v>251</v>
      </c>
      <c r="F430" s="1347">
        <f t="shared" si="73"/>
        <v>7.8621484536495476</v>
      </c>
      <c r="G430" s="1347">
        <f t="shared" si="74"/>
        <v>82.979864753150935</v>
      </c>
      <c r="H430" s="1895" t="s">
        <v>449</v>
      </c>
      <c r="I430" s="1903">
        <v>7.8621484536495476</v>
      </c>
      <c r="J430" s="1895"/>
      <c r="K430" s="1897"/>
      <c r="L430" s="1897"/>
      <c r="M430" s="1898" t="str">
        <f>IFERROR(INDEX('Lower Hot Cell Logistics'!$I$13:$O$19,MATCH($K430,'Lower Hot Cell Logistics'!$H$13:$H$19,0),MATCH($L430,'Lower Hot Cell Logistics'!$H$13:$H$19,0)),"N/A")</f>
        <v>N/A</v>
      </c>
      <c r="N430" s="1898" t="str">
        <f>IFERROR(VLOOKUP($J430,'Lower Hot Cell Logistics'!$H$4:$I$9,2,FALSE),"N/A")</f>
        <v>N/A</v>
      </c>
      <c r="O430" s="1903" t="str">
        <f t="shared" si="75"/>
        <v>N/A</v>
      </c>
      <c r="P430" s="1902"/>
      <c r="Q430" s="1903" t="str">
        <f>IF($E430="Logistics",VLOOKUP($P430,'Lower Hot Cell Logistics'!$C$4:$D$69,2,FALSE),"N/A")</f>
        <v>N/A</v>
      </c>
      <c r="R430" s="3380"/>
      <c r="S430" s="1903" t="str">
        <f>IFERROR(VLOOKUP($R430,'Lower HotCell RecoveryLogistics'!$C$410:$F$486,4,FALSE),"N/A")</f>
        <v>N/A</v>
      </c>
      <c r="T430" s="1332" t="str">
        <f t="shared" si="72"/>
        <v>N/A</v>
      </c>
      <c r="V430" s="2031"/>
      <c r="W430" s="2031"/>
      <c r="X430" s="2031"/>
      <c r="Y430" s="1466"/>
    </row>
    <row r="431" spans="2:25" s="88" customFormat="1" hidden="1" outlineLevel="2" x14ac:dyDescent="0.4">
      <c r="B431" s="2038"/>
      <c r="C431" s="3815"/>
      <c r="D431" s="1895" t="s">
        <v>2106</v>
      </c>
      <c r="E431" s="1896" t="s">
        <v>3</v>
      </c>
      <c r="F431" s="1347">
        <f t="shared" si="73"/>
        <v>0.8</v>
      </c>
      <c r="G431" s="1347">
        <f t="shared" si="74"/>
        <v>83.779864753150932</v>
      </c>
      <c r="H431" s="1895"/>
      <c r="I431" s="1903" t="s">
        <v>263</v>
      </c>
      <c r="J431" s="1895"/>
      <c r="K431" s="1897"/>
      <c r="L431" s="1897"/>
      <c r="M431" s="1898" t="str">
        <f>IFERROR(INDEX('Lower Hot Cell Logistics'!$I$13:$O$19,MATCH($K431,'Lower Hot Cell Logistics'!$H$13:$H$19,0),MATCH($L431,'Lower Hot Cell Logistics'!$H$13:$H$19,0)),"N/A")</f>
        <v>N/A</v>
      </c>
      <c r="N431" s="1898" t="str">
        <f>IFERROR(VLOOKUP($J431,'Lower Hot Cell Logistics'!$H$4:$I$9,2,FALSE),"N/A")</f>
        <v>N/A</v>
      </c>
      <c r="O431" s="1903" t="str">
        <f t="shared" si="75"/>
        <v>N/A</v>
      </c>
      <c r="P431" s="1902" t="s">
        <v>1828</v>
      </c>
      <c r="Q431" s="1903">
        <f>IF($E431="Logistics",VLOOKUP($P431,'Lower Hot Cell Logistics'!$C$4:$D$69,2,FALSE),"N/A")</f>
        <v>0.8</v>
      </c>
      <c r="R431" s="3380"/>
      <c r="S431" s="1903" t="str">
        <f>IFERROR(VLOOKUP($R431,'Lower HotCell RecoveryLogistics'!$C$410:$F$486,4,FALSE),"N/A")</f>
        <v>N/A</v>
      </c>
      <c r="T431" s="1332" t="str">
        <f t="shared" si="72"/>
        <v>N/A</v>
      </c>
      <c r="V431" s="2031"/>
      <c r="W431" s="2031"/>
      <c r="X431" s="2031"/>
      <c r="Y431" s="1466"/>
    </row>
    <row r="432" spans="2:25" s="88" customFormat="1" hidden="1" outlineLevel="2" x14ac:dyDescent="0.4">
      <c r="B432" s="2038"/>
      <c r="C432" s="3815"/>
      <c r="D432" s="1895" t="s">
        <v>1596</v>
      </c>
      <c r="E432" s="1896" t="s">
        <v>3</v>
      </c>
      <c r="F432" s="1347">
        <f t="shared" si="73"/>
        <v>0.53</v>
      </c>
      <c r="G432" s="1347">
        <f t="shared" si="74"/>
        <v>84.309864753150933</v>
      </c>
      <c r="H432" s="1895"/>
      <c r="I432" s="1903" t="s">
        <v>263</v>
      </c>
      <c r="J432" s="1895"/>
      <c r="K432" s="1897"/>
      <c r="L432" s="1897"/>
      <c r="M432" s="1898" t="str">
        <f>IFERROR(INDEX('Lower Hot Cell Logistics'!$I$13:$O$19,MATCH($K432,'Lower Hot Cell Logistics'!$H$13:$H$19,0),MATCH($L432,'Lower Hot Cell Logistics'!$H$13:$H$19,0)),"N/A")</f>
        <v>N/A</v>
      </c>
      <c r="N432" s="1898" t="str">
        <f>IFERROR(VLOOKUP($J432,'Lower Hot Cell Logistics'!$H$4:$I$9,2,FALSE),"N/A")</f>
        <v>N/A</v>
      </c>
      <c r="O432" s="1903" t="str">
        <f t="shared" si="75"/>
        <v>N/A</v>
      </c>
      <c r="P432" s="1902" t="s">
        <v>1558</v>
      </c>
      <c r="Q432" s="1903">
        <f>IF($E432="Logistics",VLOOKUP($P432,'Lower Hot Cell Logistics'!$C$4:$D$69,2,FALSE),"N/A")</f>
        <v>0.53</v>
      </c>
      <c r="R432" s="3380" t="s">
        <v>2336</v>
      </c>
      <c r="S432" s="1903">
        <f>IFERROR(VLOOKUP($R432,'Lower HotCell RecoveryLogistics'!$C$410:$F$486,4,FALSE),"N/A")</f>
        <v>76.056605188390265</v>
      </c>
      <c r="T432" s="1332">
        <f t="shared" si="72"/>
        <v>7.7232595647606672</v>
      </c>
      <c r="V432" s="2031"/>
      <c r="W432" s="2031"/>
      <c r="X432" s="2031"/>
      <c r="Y432" s="1466"/>
    </row>
    <row r="433" spans="1:29" s="88" customFormat="1" hidden="1" outlineLevel="2" x14ac:dyDescent="0.4">
      <c r="B433" s="2038"/>
      <c r="C433" s="3815"/>
      <c r="D433" s="1895" t="s">
        <v>2108</v>
      </c>
      <c r="E433" s="1896" t="s">
        <v>251</v>
      </c>
      <c r="F433" s="1347">
        <f t="shared" si="73"/>
        <v>7.8621484536495476</v>
      </c>
      <c r="G433" s="1347">
        <f t="shared" si="74"/>
        <v>92.172013206800486</v>
      </c>
      <c r="H433" s="1895" t="s">
        <v>449</v>
      </c>
      <c r="I433" s="1903">
        <v>7.8621484536495476</v>
      </c>
      <c r="J433" s="1895"/>
      <c r="K433" s="1897"/>
      <c r="L433" s="1897"/>
      <c r="M433" s="1898" t="str">
        <f>IFERROR(INDEX('Lower Hot Cell Logistics'!$I$13:$O$19,MATCH($K433,'Lower Hot Cell Logistics'!$H$13:$H$19,0),MATCH($L433,'Lower Hot Cell Logistics'!$H$13:$H$19,0)),"N/A")</f>
        <v>N/A</v>
      </c>
      <c r="N433" s="1898" t="str">
        <f>IFERROR(VLOOKUP($J433,'Lower Hot Cell Logistics'!$H$4:$I$9,2,FALSE),"N/A")</f>
        <v>N/A</v>
      </c>
      <c r="O433" s="1903" t="str">
        <f t="shared" si="75"/>
        <v>N/A</v>
      </c>
      <c r="P433" s="1902"/>
      <c r="Q433" s="1903" t="str">
        <f>IF($E433="Logistics",VLOOKUP($P433,'Lower Hot Cell Logistics'!$C$4:$D$69,2,FALSE),"N/A")</f>
        <v>N/A</v>
      </c>
      <c r="R433" s="3380"/>
      <c r="S433" s="1903" t="str">
        <f>IFERROR(VLOOKUP($R433,'Lower HotCell RecoveryLogistics'!$C$410:$F$486,4,FALSE),"N/A")</f>
        <v>N/A</v>
      </c>
      <c r="T433" s="1332" t="str">
        <f t="shared" si="72"/>
        <v>N/A</v>
      </c>
      <c r="V433" s="2031"/>
      <c r="W433" s="2031"/>
      <c r="X433" s="2031"/>
      <c r="Y433" s="1466"/>
    </row>
    <row r="434" spans="1:29" s="88" customFormat="1" ht="15" hidden="1" outlineLevel="2" thickBot="1" x14ac:dyDescent="0.45">
      <c r="B434" s="2038"/>
      <c r="C434" s="3816"/>
      <c r="D434" s="1869" t="s">
        <v>2042</v>
      </c>
      <c r="E434" s="1918" t="s">
        <v>3</v>
      </c>
      <c r="F434" s="1295">
        <f t="shared" si="73"/>
        <v>0.6</v>
      </c>
      <c r="G434" s="1295">
        <f t="shared" si="74"/>
        <v>92.77201320680048</v>
      </c>
      <c r="H434" s="1869"/>
      <c r="I434" s="1922" t="s">
        <v>263</v>
      </c>
      <c r="J434" s="1869"/>
      <c r="K434" s="837"/>
      <c r="L434" s="837"/>
      <c r="M434" s="842" t="str">
        <f>IFERROR(INDEX('Lower Hot Cell Logistics'!$I$13:$O$19,MATCH($K434,'Lower Hot Cell Logistics'!$H$13:$H$19,0),MATCH($L434,'Lower Hot Cell Logistics'!$H$13:$H$19,0)),"N/A")</f>
        <v>N/A</v>
      </c>
      <c r="N434" s="842" t="str">
        <f>IFERROR(VLOOKUP($J434,'Lower Hot Cell Logistics'!$H$4:$I$9,2,FALSE),"N/A")</f>
        <v>N/A</v>
      </c>
      <c r="O434" s="1922" t="str">
        <f t="shared" si="75"/>
        <v>N/A</v>
      </c>
      <c r="P434" s="1921" t="s">
        <v>2008</v>
      </c>
      <c r="Q434" s="1922">
        <f>IF($E434="Logistics",VLOOKUP($P434,'Lower Hot Cell Logistics'!$C$4:$D$69,2,FALSE),"N/A")</f>
        <v>0.6</v>
      </c>
      <c r="R434" s="3382"/>
      <c r="S434" s="1922" t="str">
        <f>IFERROR(VLOOKUP($R434,'Lower HotCell RecoveryLogistics'!$C$410:$F$486,4,FALSE),"N/A")</f>
        <v>N/A</v>
      </c>
      <c r="T434" s="1345" t="str">
        <f t="shared" si="72"/>
        <v>N/A</v>
      </c>
      <c r="V434" s="2031"/>
      <c r="W434" s="2031"/>
      <c r="X434" s="2031"/>
      <c r="Y434" s="1466"/>
    </row>
    <row r="435" spans="1:29" s="8" customFormat="1" outlineLevel="1" collapsed="1" x14ac:dyDescent="0.4">
      <c r="A435"/>
      <c r="B435" s="2038"/>
      <c r="C435" s="891"/>
      <c r="D435" s="892"/>
      <c r="E435" s="1439" t="s">
        <v>11</v>
      </c>
      <c r="F435" s="1439"/>
      <c r="G435" s="894">
        <f>G434</f>
        <v>92.77201320680048</v>
      </c>
      <c r="H435" s="94"/>
      <c r="I435" s="895"/>
      <c r="J435" s="94"/>
      <c r="K435" s="94"/>
      <c r="L435" s="896"/>
      <c r="M435" s="897"/>
      <c r="N435" s="897"/>
      <c r="O435" s="894"/>
      <c r="P435" s="94"/>
      <c r="Q435" s="897"/>
      <c r="R435" s="3383"/>
      <c r="S435" s="7"/>
      <c r="T435" s="895"/>
      <c r="U435" s="895"/>
      <c r="V435" s="7"/>
      <c r="W435" s="7"/>
      <c r="X435" s="7"/>
      <c r="Y435" s="7"/>
      <c r="Z435"/>
      <c r="AA435"/>
      <c r="AB435"/>
      <c r="AC435"/>
    </row>
    <row r="436" spans="1:29" s="8" customFormat="1" outlineLevel="1" x14ac:dyDescent="0.4">
      <c r="A436"/>
      <c r="B436" s="2038"/>
      <c r="C436" s="891"/>
      <c r="D436" s="892"/>
      <c r="E436" s="898"/>
      <c r="F436" s="894"/>
      <c r="G436" s="894"/>
      <c r="H436" s="94"/>
      <c r="I436" s="895"/>
      <c r="J436" s="94"/>
      <c r="K436" s="94"/>
      <c r="L436" s="896"/>
      <c r="M436" s="897"/>
      <c r="N436" s="897"/>
      <c r="O436" s="894"/>
      <c r="P436" s="94"/>
      <c r="Q436" s="897"/>
      <c r="R436" s="3383"/>
      <c r="S436" s="7"/>
      <c r="T436" s="895"/>
      <c r="U436" s="895"/>
      <c r="V436" s="7"/>
      <c r="W436" s="7"/>
      <c r="X436" s="7"/>
      <c r="Y436" s="7"/>
      <c r="Z436"/>
      <c r="AA436"/>
      <c r="AB436"/>
      <c r="AC436"/>
    </row>
    <row r="437" spans="1:29" s="8" customFormat="1" x14ac:dyDescent="0.4">
      <c r="A437"/>
      <c r="B437" s="2071"/>
      <c r="C437" s="2073"/>
      <c r="D437" s="2073"/>
      <c r="E437" s="2074"/>
      <c r="F437" s="2073"/>
      <c r="G437" s="2073"/>
      <c r="H437" s="2075"/>
      <c r="I437" s="2076"/>
      <c r="J437" s="2073"/>
      <c r="K437" s="2073"/>
      <c r="L437" s="2072"/>
      <c r="M437" s="2073"/>
      <c r="N437" s="2073"/>
      <c r="O437" s="2073"/>
      <c r="P437" s="2073"/>
      <c r="Q437" s="2073"/>
      <c r="R437" s="3420"/>
      <c r="S437" s="2076"/>
      <c r="T437" s="2073"/>
      <c r="U437" s="2073"/>
      <c r="V437" s="2076"/>
      <c r="W437" s="2076"/>
      <c r="X437" s="2076"/>
      <c r="Y437" s="2076"/>
      <c r="Z437"/>
      <c r="AA437"/>
      <c r="AB437"/>
      <c r="AC437"/>
    </row>
    <row r="439" spans="1:29" s="8" customFormat="1" ht="15.45" x14ac:dyDescent="0.4">
      <c r="A439"/>
      <c r="B439" s="2077"/>
      <c r="C439" s="2332"/>
      <c r="D439" s="2079" t="s">
        <v>1922</v>
      </c>
      <c r="E439" s="2080"/>
      <c r="F439" s="2080"/>
      <c r="G439" s="2080"/>
      <c r="H439" s="2080"/>
      <c r="I439" s="2080"/>
      <c r="J439" s="2080"/>
      <c r="K439" s="2080"/>
      <c r="L439" s="2080"/>
      <c r="M439" s="2080"/>
      <c r="N439" s="2080"/>
      <c r="O439" s="2080"/>
      <c r="P439" s="2080"/>
      <c r="Q439" s="2080"/>
      <c r="R439" s="3421"/>
      <c r="S439" s="2080"/>
      <c r="T439" s="2080"/>
      <c r="U439" s="2080"/>
      <c r="V439" s="2080"/>
      <c r="W439" s="2080"/>
      <c r="X439" s="2080"/>
      <c r="Y439" s="2080"/>
      <c r="Z439"/>
      <c r="AA439"/>
      <c r="AB439"/>
      <c r="AC439"/>
    </row>
    <row r="440" spans="1:29" s="8" customFormat="1" outlineLevel="1" x14ac:dyDescent="0.4">
      <c r="A440"/>
      <c r="B440" s="2081"/>
      <c r="C440" s="704"/>
      <c r="D440" s="748" t="s">
        <v>1053</v>
      </c>
      <c r="E440" s="749"/>
      <c r="F440" s="704"/>
      <c r="G440" s="704"/>
      <c r="H440" s="704"/>
      <c r="I440" s="750"/>
      <c r="J440" s="704"/>
      <c r="K440" s="704"/>
      <c r="L440" s="704"/>
      <c r="M440" s="704"/>
      <c r="N440" s="704"/>
      <c r="O440" s="704"/>
      <c r="P440" s="704"/>
      <c r="Q440" s="704"/>
      <c r="R440" s="3364"/>
      <c r="S440" s="750"/>
      <c r="T440" s="704"/>
      <c r="U440" s="704"/>
      <c r="V440" s="750"/>
      <c r="W440" s="750"/>
      <c r="X440" s="750"/>
      <c r="Y440" s="750"/>
      <c r="Z440"/>
      <c r="AA440"/>
      <c r="AB440"/>
      <c r="AC440"/>
    </row>
    <row r="441" spans="1:29" s="8" customFormat="1" ht="15" outlineLevel="1" thickBot="1" x14ac:dyDescent="0.45">
      <c r="A441"/>
      <c r="B441" s="2081"/>
      <c r="C441" s="704"/>
      <c r="D441" s="704" t="s">
        <v>1034</v>
      </c>
      <c r="E441" s="749"/>
      <c r="F441" s="704"/>
      <c r="G441" s="704"/>
      <c r="H441" s="704"/>
      <c r="I441" s="750"/>
      <c r="J441" s="704"/>
      <c r="K441" s="704"/>
      <c r="L441" s="704"/>
      <c r="M441" s="704"/>
      <c r="N441" s="704"/>
      <c r="O441" s="704"/>
      <c r="P441" s="704"/>
      <c r="Q441" s="704"/>
      <c r="R441" s="3364"/>
      <c r="S441" s="750"/>
      <c r="T441" s="704"/>
      <c r="V441" s="704"/>
      <c r="W441" s="750"/>
      <c r="X441" s="750"/>
      <c r="Y441" s="750"/>
      <c r="Z441"/>
      <c r="AA441"/>
      <c r="AB441"/>
      <c r="AC441"/>
    </row>
    <row r="442" spans="1:29" s="8" customFormat="1" outlineLevel="1" x14ac:dyDescent="0.4">
      <c r="A442"/>
      <c r="B442" s="2081"/>
      <c r="C442" s="704"/>
      <c r="D442" t="s">
        <v>2690</v>
      </c>
      <c r="E442" s="749"/>
      <c r="F442" s="704"/>
      <c r="G442" s="704"/>
      <c r="H442" s="704"/>
      <c r="I442" s="750"/>
      <c r="J442" s="704"/>
      <c r="K442" s="704"/>
      <c r="L442" s="704"/>
      <c r="M442" s="704"/>
      <c r="N442" s="704"/>
      <c r="O442" s="704"/>
      <c r="P442" s="704"/>
      <c r="Q442" s="704"/>
      <c r="R442" s="3570"/>
      <c r="S442" s="3246" t="s">
        <v>23</v>
      </c>
      <c r="T442" s="3843" t="s">
        <v>2604</v>
      </c>
      <c r="U442" s="3843"/>
      <c r="V442" s="3843"/>
      <c r="W442" s="3843"/>
      <c r="X442" s="3844"/>
      <c r="Y442" s="1044"/>
      <c r="Z442"/>
      <c r="AA442"/>
      <c r="AB442"/>
      <c r="AC442"/>
    </row>
    <row r="443" spans="1:29" s="8" customFormat="1" outlineLevel="1" x14ac:dyDescent="0.4">
      <c r="A443"/>
      <c r="B443" s="2081"/>
      <c r="C443" s="704"/>
      <c r="D443" s="704" t="s">
        <v>1035</v>
      </c>
      <c r="E443" s="749"/>
      <c r="F443" s="704"/>
      <c r="G443" s="704"/>
      <c r="H443" s="704"/>
      <c r="I443" s="750"/>
      <c r="J443" s="704"/>
      <c r="K443" s="704"/>
      <c r="L443" s="704"/>
      <c r="M443" s="704"/>
      <c r="N443" s="704"/>
      <c r="O443" s="704"/>
      <c r="P443" s="704"/>
      <c r="Q443" s="704"/>
      <c r="R443" s="3543" t="s">
        <v>1055</v>
      </c>
      <c r="S443" s="1122">
        <v>1</v>
      </c>
      <c r="T443" s="1513">
        <v>1</v>
      </c>
      <c r="U443" s="916">
        <v>2</v>
      </c>
      <c r="V443" s="916">
        <v>3</v>
      </c>
      <c r="W443" s="916">
        <v>4</v>
      </c>
      <c r="X443" s="1045">
        <v>6</v>
      </c>
      <c r="Y443" s="1851"/>
      <c r="Z443"/>
      <c r="AA443"/>
      <c r="AB443"/>
      <c r="AC443"/>
    </row>
    <row r="444" spans="1:29" s="8" customFormat="1" outlineLevel="1" x14ac:dyDescent="0.4">
      <c r="A444"/>
      <c r="B444" s="2081"/>
      <c r="C444" s="704"/>
      <c r="D444" s="704" t="s">
        <v>1036</v>
      </c>
      <c r="E444" s="749"/>
      <c r="F444" s="704"/>
      <c r="G444" s="704"/>
      <c r="H444" s="704"/>
      <c r="I444" s="750"/>
      <c r="J444" s="704"/>
      <c r="K444" s="704"/>
      <c r="L444" s="704"/>
      <c r="M444" s="704"/>
      <c r="N444" s="704"/>
      <c r="O444" s="704"/>
      <c r="P444" s="704"/>
      <c r="Q444" s="704"/>
      <c r="R444" s="3140" t="s">
        <v>2665</v>
      </c>
      <c r="S444" s="1086">
        <f>connect_divertor_piepwork</f>
        <v>16.965057309144747</v>
      </c>
      <c r="T444" s="290">
        <f>ROUNDUP(Tokamak_Segmts/T443,0)*connect_divertor_piepwork</f>
        <v>271.44091694631595</v>
      </c>
      <c r="U444" s="917">
        <f>ROUNDUP(Tokamak_Segmts/U443,0)*connect_divertor_piepwork</f>
        <v>135.72045847315798</v>
      </c>
      <c r="V444" s="917">
        <f>ROUNDUP(Tokamak_Segmts/V443,0)*connect_divertor_piepwork</f>
        <v>101.79034385486848</v>
      </c>
      <c r="W444" s="917">
        <f>ROUNDUP(Tokamak_Segmts/W443,0)*connect_divertor_piepwork</f>
        <v>67.860229236578988</v>
      </c>
      <c r="X444" s="1028">
        <f>ROUNDUP(Tokamak_Segmts/X443,0)*connect_divertor_piepwork</f>
        <v>50.895171927434241</v>
      </c>
      <c r="Y444" s="290"/>
      <c r="Z444"/>
      <c r="AA444"/>
      <c r="AB444"/>
      <c r="AC444"/>
    </row>
    <row r="445" spans="1:29" s="8" customFormat="1" ht="15" outlineLevel="1" thickBot="1" x14ac:dyDescent="0.45">
      <c r="A445"/>
      <c r="B445" s="2081"/>
      <c r="C445" s="704"/>
      <c r="D445" s="704" t="s">
        <v>1037</v>
      </c>
      <c r="E445" s="749"/>
      <c r="F445" s="704"/>
      <c r="G445" s="704"/>
      <c r="H445" s="704"/>
      <c r="I445" s="750"/>
      <c r="J445" s="704"/>
      <c r="K445" s="704"/>
      <c r="L445" s="704"/>
      <c r="M445" s="704"/>
      <c r="N445" s="704"/>
      <c r="O445" s="704"/>
      <c r="P445" s="704"/>
      <c r="Q445" s="704"/>
      <c r="R445" s="3141" t="s">
        <v>2666</v>
      </c>
      <c r="S445" s="1089">
        <f>S$444*$E$449</f>
        <v>0.1866156304005922</v>
      </c>
      <c r="T445" s="1138">
        <f t="shared" ref="T445:X445" si="76">T$444*$E$449</f>
        <v>2.9858500864094752</v>
      </c>
      <c r="U445" s="920">
        <f t="shared" si="76"/>
        <v>1.4929250432047376</v>
      </c>
      <c r="V445" s="920">
        <f t="shared" si="76"/>
        <v>1.1196937824035533</v>
      </c>
      <c r="W445" s="920">
        <f t="shared" si="76"/>
        <v>0.74646252160236881</v>
      </c>
      <c r="X445" s="1029">
        <f t="shared" si="76"/>
        <v>0.55984689120177666</v>
      </c>
      <c r="Y445" s="290"/>
      <c r="Z445"/>
      <c r="AA445"/>
      <c r="AB445"/>
      <c r="AC445"/>
    </row>
    <row r="446" spans="1:29" s="8" customFormat="1" outlineLevel="1" x14ac:dyDescent="0.4">
      <c r="A446"/>
      <c r="B446" s="2081"/>
      <c r="C446" s="704"/>
      <c r="D446" s="704" t="s">
        <v>1038</v>
      </c>
      <c r="E446" s="749"/>
      <c r="F446" s="704"/>
      <c r="G446" s="704"/>
      <c r="H446" s="704"/>
      <c r="I446" s="750"/>
      <c r="J446" s="704"/>
      <c r="K446" s="704"/>
      <c r="L446" s="704"/>
      <c r="M446" s="704"/>
      <c r="N446" s="704"/>
      <c r="O446" s="704"/>
      <c r="P446" s="704"/>
      <c r="Q446" s="704"/>
      <c r="R446" s="3571" t="s">
        <v>1048</v>
      </c>
      <c r="S446" s="3016">
        <f t="shared" ref="S446:X446" si="77">S445*(SUMIF($E457:$E490,"Operation",$F457:$F490))</f>
        <v>10.269501254148276</v>
      </c>
      <c r="T446" s="1501">
        <f t="shared" si="77"/>
        <v>164.31202006637241</v>
      </c>
      <c r="U446" s="768">
        <f t="shared" si="77"/>
        <v>82.156010033186206</v>
      </c>
      <c r="V446" s="768">
        <f t="shared" si="77"/>
        <v>61.617007524889658</v>
      </c>
      <c r="W446" s="768">
        <f t="shared" si="77"/>
        <v>41.078005016593103</v>
      </c>
      <c r="X446" s="1062">
        <f t="shared" si="77"/>
        <v>30.808503762444829</v>
      </c>
      <c r="Y446" s="290"/>
      <c r="Z446"/>
      <c r="AA446"/>
      <c r="AB446"/>
      <c r="AC446"/>
    </row>
    <row r="447" spans="1:29" s="8" customFormat="1" outlineLevel="1" x14ac:dyDescent="0.4">
      <c r="A447"/>
      <c r="B447" s="2081"/>
      <c r="C447" s="704"/>
      <c r="D447" s="704"/>
      <c r="E447" s="749"/>
      <c r="F447" s="704"/>
      <c r="G447" s="704"/>
      <c r="H447" s="704"/>
      <c r="I447" s="750"/>
      <c r="J447" s="704"/>
      <c r="K447" s="704"/>
      <c r="L447" s="704"/>
      <c r="M447" s="704"/>
      <c r="N447" s="704"/>
      <c r="O447" s="704"/>
      <c r="P447" s="704"/>
      <c r="Q447" s="704"/>
      <c r="R447" s="3543" t="s">
        <v>2658</v>
      </c>
      <c r="S447" s="3017">
        <f t="shared" ref="S447:X447" si="78">S445*(SUMIF($E457:$E490,"Movement",$F457:$F490)+(SUMIF($E457:$E490,"Logistics",$F457:$F490)))</f>
        <v>2.6051542003922679</v>
      </c>
      <c r="T447" s="1503">
        <f t="shared" si="78"/>
        <v>41.682467206276286</v>
      </c>
      <c r="U447" s="769">
        <f t="shared" si="78"/>
        <v>20.841233603138143</v>
      </c>
      <c r="V447" s="769">
        <f t="shared" si="78"/>
        <v>15.630925202353609</v>
      </c>
      <c r="W447" s="769">
        <f t="shared" si="78"/>
        <v>10.420616801569071</v>
      </c>
      <c r="X447" s="1064">
        <f t="shared" si="78"/>
        <v>7.8154626011768045</v>
      </c>
      <c r="Y447" s="290"/>
      <c r="Z447"/>
      <c r="AA447"/>
      <c r="AB447"/>
      <c r="AC447"/>
    </row>
    <row r="448" spans="1:29" s="8" customFormat="1" ht="15" outlineLevel="1" thickBot="1" x14ac:dyDescent="0.45">
      <c r="A448"/>
      <c r="B448" s="2081"/>
      <c r="C448" s="704"/>
      <c r="D448" s="704"/>
      <c r="E448" s="749"/>
      <c r="F448" s="704"/>
      <c r="G448" s="704"/>
      <c r="H448" s="704"/>
      <c r="I448" s="750"/>
      <c r="J448" s="704"/>
      <c r="K448" s="704"/>
      <c r="L448" s="704"/>
      <c r="M448" s="704"/>
      <c r="N448" s="704"/>
      <c r="O448" s="704"/>
      <c r="P448" s="704"/>
      <c r="Q448" s="704"/>
      <c r="R448" s="3572" t="s">
        <v>2663</v>
      </c>
      <c r="S448" s="1109">
        <f t="shared" ref="S448:X448" si="79">S445*(-SUMIF($T457:$T490,"&lt;0"))</f>
        <v>0.27183676828353137</v>
      </c>
      <c r="T448" s="1111">
        <f t="shared" si="79"/>
        <v>4.3493882925365019</v>
      </c>
      <c r="U448" s="770">
        <f t="shared" si="79"/>
        <v>2.174694146268251</v>
      </c>
      <c r="V448" s="770">
        <f t="shared" si="79"/>
        <v>1.6310206097011883</v>
      </c>
      <c r="W448" s="770">
        <f t="shared" si="79"/>
        <v>1.0873470731341255</v>
      </c>
      <c r="X448" s="1066">
        <f t="shared" si="79"/>
        <v>0.81551030485059417</v>
      </c>
      <c r="Y448" s="290"/>
      <c r="Z448"/>
      <c r="AA448"/>
      <c r="AB448"/>
      <c r="AC448"/>
    </row>
    <row r="449" spans="1:29" s="8" customFormat="1" ht="15" outlineLevel="1" thickBot="1" x14ac:dyDescent="0.45">
      <c r="A449"/>
      <c r="B449" s="2081"/>
      <c r="C449" s="704"/>
      <c r="D449" s="748" t="s">
        <v>1056</v>
      </c>
      <c r="E449" s="709">
        <f>SUM(E450:E451)</f>
        <v>1.0999999999999999E-2</v>
      </c>
      <c r="F449" s="709"/>
      <c r="G449" s="709"/>
      <c r="H449" s="709"/>
      <c r="I449" s="919"/>
      <c r="J449" s="918"/>
      <c r="K449" s="918"/>
      <c r="L449" s="918"/>
      <c r="M449" s="918"/>
      <c r="N449" s="918"/>
      <c r="O449" s="918"/>
      <c r="P449" s="704"/>
      <c r="Q449" s="704"/>
      <c r="R449" s="3573" t="s">
        <v>2667</v>
      </c>
      <c r="S449" s="2993">
        <f t="shared" ref="S449:X449" si="80">S445*$G$491</f>
        <v>13.146492222824071</v>
      </c>
      <c r="T449" s="694">
        <f t="shared" si="80"/>
        <v>210.34387556518513</v>
      </c>
      <c r="U449" s="694">
        <f t="shared" si="80"/>
        <v>105.17193778259256</v>
      </c>
      <c r="V449" s="694">
        <f t="shared" si="80"/>
        <v>78.87895333694442</v>
      </c>
      <c r="W449" s="694">
        <f t="shared" si="80"/>
        <v>52.585968891296282</v>
      </c>
      <c r="X449" s="2974">
        <f t="shared" si="80"/>
        <v>39.43947666847221</v>
      </c>
      <c r="Y449" s="915"/>
      <c r="Z449"/>
      <c r="AA449"/>
      <c r="AB449"/>
      <c r="AC449"/>
    </row>
    <row r="450" spans="1:29" s="8" customFormat="1" outlineLevel="1" x14ac:dyDescent="0.4">
      <c r="A450"/>
      <c r="B450" s="2081"/>
      <c r="C450" s="5"/>
      <c r="D450" s="7" t="s">
        <v>1057</v>
      </c>
      <c r="E450" s="763">
        <f>Weld_Failure_Rate</f>
        <v>1E-3</v>
      </c>
      <c r="F450" s="922"/>
      <c r="G450" s="922"/>
      <c r="H450" s="924"/>
      <c r="I450" s="290"/>
      <c r="J450" s="922"/>
      <c r="K450" s="922"/>
      <c r="L450" s="925"/>
      <c r="M450" s="922"/>
      <c r="N450" s="922"/>
      <c r="O450" s="922"/>
      <c r="P450" s="706"/>
      <c r="Q450" s="7"/>
      <c r="Y450" s="915"/>
      <c r="Z450"/>
      <c r="AA450"/>
      <c r="AB450"/>
      <c r="AC450"/>
    </row>
    <row r="451" spans="1:29" s="8" customFormat="1" outlineLevel="1" x14ac:dyDescent="0.4">
      <c r="A451"/>
      <c r="B451" s="2081"/>
      <c r="C451" s="5"/>
      <c r="D451" s="7" t="s">
        <v>1058</v>
      </c>
      <c r="E451" s="763">
        <f>SJS_welder_failure</f>
        <v>0.01</v>
      </c>
      <c r="F451" s="922"/>
      <c r="G451" s="922"/>
      <c r="H451" s="924"/>
      <c r="I451" s="290"/>
      <c r="J451" s="922"/>
      <c r="K451" s="922"/>
      <c r="L451" s="925"/>
      <c r="M451" s="922"/>
      <c r="N451" s="922"/>
      <c r="O451" s="922"/>
      <c r="P451" s="706"/>
      <c r="Q451" s="7"/>
      <c r="Y451" s="915"/>
      <c r="Z451"/>
      <c r="AA451"/>
      <c r="AB451"/>
      <c r="AC451"/>
    </row>
    <row r="452" spans="1:29" s="8" customFormat="1" outlineLevel="1" x14ac:dyDescent="0.4">
      <c r="A452"/>
      <c r="B452" s="2081"/>
      <c r="C452" s="5"/>
      <c r="D452" s="926" t="s">
        <v>1059</v>
      </c>
      <c r="E452" s="709">
        <f>E449*(1-(1-E449)^(pipes_per_cassette))</f>
        <v>4.7607240294899916E-4</v>
      </c>
      <c r="F452" s="927"/>
      <c r="G452" s="927"/>
      <c r="H452" s="927"/>
      <c r="I452" s="919"/>
      <c r="J452" s="927"/>
      <c r="K452" s="927"/>
      <c r="L452" s="927"/>
      <c r="M452" s="927"/>
      <c r="N452" s="927"/>
      <c r="O452" s="927"/>
      <c r="P452" s="706"/>
      <c r="Q452" s="7"/>
      <c r="Z452"/>
      <c r="AA452"/>
      <c r="AB452"/>
      <c r="AC452"/>
    </row>
    <row r="453" spans="1:29" s="8" customFormat="1" outlineLevel="1" x14ac:dyDescent="0.4">
      <c r="A453"/>
      <c r="B453" s="2081"/>
      <c r="C453" s="5"/>
      <c r="D453" s="926"/>
      <c r="E453" s="928"/>
      <c r="F453" s="927"/>
      <c r="G453" s="927"/>
      <c r="H453" s="927"/>
      <c r="I453" s="919"/>
      <c r="J453" s="927"/>
      <c r="K453" s="927"/>
      <c r="L453" s="927"/>
      <c r="M453" s="927"/>
      <c r="N453" s="927"/>
      <c r="O453" s="927"/>
      <c r="P453" s="706"/>
      <c r="Q453" s="7"/>
      <c r="R453" s="3369"/>
      <c r="S453" s="290"/>
      <c r="T453" s="7"/>
      <c r="U453" s="7"/>
      <c r="V453" s="290"/>
      <c r="W453" s="290"/>
      <c r="X453" s="290"/>
      <c r="Y453" s="290"/>
      <c r="Z453"/>
      <c r="AA453"/>
      <c r="AB453"/>
      <c r="AC453"/>
    </row>
    <row r="454" spans="1:29" s="8" customFormat="1" ht="15.75" hidden="1" customHeight="1" outlineLevel="2" thickBot="1" x14ac:dyDescent="0.45">
      <c r="A454"/>
      <c r="B454" s="2081"/>
      <c r="C454" s="5"/>
      <c r="D454" s="926"/>
      <c r="E454" s="928"/>
      <c r="F454" s="927"/>
      <c r="G454" s="927"/>
      <c r="H454" s="927"/>
      <c r="I454" s="919"/>
      <c r="J454" s="927"/>
      <c r="K454" s="927"/>
      <c r="L454" s="927"/>
      <c r="M454" s="927"/>
      <c r="N454" s="927"/>
      <c r="O454" s="927"/>
      <c r="P454" s="706"/>
      <c r="Q454" s="7"/>
      <c r="R454" s="3369"/>
      <c r="S454" s="290"/>
      <c r="T454" s="7"/>
      <c r="U454" s="7"/>
      <c r="V454" s="290"/>
      <c r="W454" s="290"/>
      <c r="X454" s="290"/>
      <c r="Y454" s="290"/>
      <c r="Z454"/>
      <c r="AA454"/>
      <c r="AB454"/>
      <c r="AC454"/>
    </row>
    <row r="455" spans="1:29" s="8" customFormat="1" ht="15.75" hidden="1" customHeight="1" outlineLevel="2" thickBot="1" x14ac:dyDescent="0.45">
      <c r="A455"/>
      <c r="B455" s="2081"/>
      <c r="C455" s="5"/>
      <c r="D455" s="926"/>
      <c r="E455" s="701"/>
      <c r="F455" s="7"/>
      <c r="G455" s="929"/>
      <c r="H455" s="930" t="s">
        <v>18</v>
      </c>
      <c r="I455" s="931"/>
      <c r="J455" s="932" t="s">
        <v>778</v>
      </c>
      <c r="K455" s="933"/>
      <c r="L455" s="933"/>
      <c r="M455" s="933"/>
      <c r="N455" s="933"/>
      <c r="O455" s="934"/>
      <c r="P455" s="933" t="s">
        <v>3</v>
      </c>
      <c r="Q455" s="934"/>
      <c r="R455" s="3386" t="s">
        <v>779</v>
      </c>
      <c r="S455" s="3018"/>
      <c r="T455" s="3019"/>
      <c r="V455" s="938"/>
      <c r="W455" s="938"/>
      <c r="X455" s="7"/>
      <c r="Y455" s="290"/>
      <c r="Z455"/>
      <c r="AA455"/>
      <c r="AB455"/>
      <c r="AC455"/>
    </row>
    <row r="456" spans="1:29" s="8" customFormat="1" ht="30.75" hidden="1" customHeight="1" outlineLevel="2" thickBot="1" x14ac:dyDescent="0.45">
      <c r="A456"/>
      <c r="B456" s="2081"/>
      <c r="C456" s="939" t="s">
        <v>780</v>
      </c>
      <c r="D456" s="940" t="s">
        <v>1060</v>
      </c>
      <c r="E456" s="941" t="s">
        <v>782</v>
      </c>
      <c r="F456" s="942" t="s">
        <v>783</v>
      </c>
      <c r="G456" s="943" t="s">
        <v>784</v>
      </c>
      <c r="H456" s="562" t="s">
        <v>785</v>
      </c>
      <c r="I456" s="944" t="s">
        <v>783</v>
      </c>
      <c r="J456" s="562" t="s">
        <v>786</v>
      </c>
      <c r="K456" s="563" t="s">
        <v>787</v>
      </c>
      <c r="L456" s="563" t="s">
        <v>788</v>
      </c>
      <c r="M456" s="563" t="s">
        <v>789</v>
      </c>
      <c r="N456" s="563" t="s">
        <v>790</v>
      </c>
      <c r="O456" s="945" t="s">
        <v>783</v>
      </c>
      <c r="P456" s="560" t="s">
        <v>785</v>
      </c>
      <c r="Q456" s="946" t="s">
        <v>783</v>
      </c>
      <c r="R456" s="3387" t="s">
        <v>781</v>
      </c>
      <c r="S456" s="794" t="s">
        <v>791</v>
      </c>
      <c r="T456" s="789" t="s">
        <v>792</v>
      </c>
      <c r="V456" s="947"/>
      <c r="W456" s="947"/>
      <c r="X456" s="7"/>
      <c r="Y456" s="290"/>
      <c r="Z456"/>
      <c r="AA456"/>
      <c r="AB456"/>
      <c r="AC456"/>
    </row>
    <row r="457" spans="1:29" s="8" customFormat="1" ht="15" hidden="1" customHeight="1" outlineLevel="2" x14ac:dyDescent="0.4">
      <c r="A457"/>
      <c r="B457" s="2081"/>
      <c r="C457" s="3886" t="s">
        <v>1062</v>
      </c>
      <c r="D457" s="797" t="s">
        <v>1923</v>
      </c>
      <c r="E457" s="799" t="s">
        <v>251</v>
      </c>
      <c r="F457" s="456">
        <f>MAX($Q457,$O457,$I457)</f>
        <v>0</v>
      </c>
      <c r="G457" s="800">
        <f>F457</f>
        <v>0</v>
      </c>
      <c r="H457" s="797" t="s">
        <v>557</v>
      </c>
      <c r="I457" s="621">
        <v>0</v>
      </c>
      <c r="J457" s="568"/>
      <c r="K457" s="566"/>
      <c r="L457" s="801"/>
      <c r="M457" s="802" t="str">
        <f>IFERROR(INDEX('Lower Hot Cell Logistics'!$I$28:$O$34,MATCH($K457,'Lower Hot Cell Logistics'!$H$28:$H$34,0),MATCH($L457,'Lower Hot Cell Logistics'!$H$28:$H$34,0)),"N/A")</f>
        <v>N/A</v>
      </c>
      <c r="N457" s="570" t="str">
        <f>IFERROR(VLOOKUP($J457,'Lower Hot Cell Logistics'!$H$4:$I$8,2,FALSE),"N/A")</f>
        <v>N/A</v>
      </c>
      <c r="O457" s="800" t="str">
        <f t="shared" ref="O457:O470" si="81">IF(E457="Movement",IFERROR((M457/N457)/(60*60),"Error"),"N/A")</f>
        <v>N/A</v>
      </c>
      <c r="P457" s="803"/>
      <c r="Q457" s="802" t="str">
        <f>IF($E457="Logistics",VLOOKUP($P457,'Lower Hot Cell Logistics'!$C$4:$D$57,2,FALSE),"N/A")</f>
        <v>N/A</v>
      </c>
      <c r="R457" s="3398"/>
      <c r="S457" s="804" t="str">
        <f>IFERROR(VLOOKUP($R457,'Lower HotCell RecoveryLogistics'!$C$490:$F$556,4,FALSE),"N/A")</f>
        <v>N/A</v>
      </c>
      <c r="T457" s="1332" t="str">
        <f t="shared" ref="T457:T489" si="82">IFERROR(G456-S457,"N/A")</f>
        <v>N/A</v>
      </c>
      <c r="V457" s="947"/>
      <c r="W457" s="947"/>
      <c r="X457" s="7"/>
      <c r="Y457" s="290"/>
      <c r="Z457"/>
      <c r="AA457"/>
      <c r="AB457"/>
      <c r="AC457"/>
    </row>
    <row r="458" spans="1:29" s="8" customFormat="1" ht="15" hidden="1" customHeight="1" outlineLevel="2" x14ac:dyDescent="0.4">
      <c r="A458"/>
      <c r="B458" s="2081"/>
      <c r="C458" s="3890"/>
      <c r="D458" s="2001" t="s">
        <v>1885</v>
      </c>
      <c r="E458" s="2002" t="s">
        <v>251</v>
      </c>
      <c r="F458" s="335">
        <f t="shared" ref="F458:F490" si="83">MAX($Q458,$O458,$I458)</f>
        <v>12.602967059728389</v>
      </c>
      <c r="G458" s="2003">
        <f>IF(T458&lt;0,F458+G457+(-T458),F458+G457)</f>
        <v>12.602967059728389</v>
      </c>
      <c r="H458" s="1579" t="s">
        <v>1908</v>
      </c>
      <c r="I458" s="1476">
        <v>12.602967059728389</v>
      </c>
      <c r="J458" s="627"/>
      <c r="K458" s="582"/>
      <c r="L458" s="1962"/>
      <c r="M458" s="1479" t="str">
        <f>IFERROR(INDEX(#REF!,MATCH($K458,#REF!,0),MATCH($L458,#REF!,0)),"N/A")</f>
        <v>N/A</v>
      </c>
      <c r="N458" s="1478" t="str">
        <f>IFERROR(VLOOKUP($J458,#REF!,2,FALSE),"N/A")</f>
        <v>N/A</v>
      </c>
      <c r="O458" s="2003" t="str">
        <f t="shared" si="81"/>
        <v>N/A</v>
      </c>
      <c r="P458" s="1638"/>
      <c r="Q458" s="1479" t="str">
        <f>IF($E458="Logistics",VLOOKUP($P458,'Lower Hot Cell Logistics'!$C$4:$D$57,2,FALSE),"N/A")</f>
        <v>N/A</v>
      </c>
      <c r="R458" s="3399"/>
      <c r="S458" s="2004" t="str">
        <f>IFERROR(VLOOKUP($R458,'Lower HotCell RecoveryLogistics'!$C$490:$F$556,4,FALSE),"N/A")</f>
        <v>N/A</v>
      </c>
      <c r="T458" s="1332" t="str">
        <f t="shared" si="82"/>
        <v>N/A</v>
      </c>
      <c r="V458" s="273"/>
      <c r="W458" s="273"/>
      <c r="X458" s="273"/>
      <c r="Y458" s="273"/>
      <c r="Z458"/>
      <c r="AA458"/>
      <c r="AB458"/>
      <c r="AC458"/>
    </row>
    <row r="459" spans="1:29" s="8" customFormat="1" ht="15" hidden="1" customHeight="1" outlineLevel="2" thickBot="1" x14ac:dyDescent="0.45">
      <c r="A459"/>
      <c r="B459" s="2081"/>
      <c r="C459" s="3887"/>
      <c r="D459" s="808" t="s">
        <v>2337</v>
      </c>
      <c r="E459" s="1966" t="s">
        <v>3</v>
      </c>
      <c r="F459" s="471">
        <f t="shared" si="83"/>
        <v>0.6</v>
      </c>
      <c r="G459" s="887">
        <f t="shared" ref="G459:G490" si="84">IF(T459&lt;0,F459+G458+(-T459),F459+G458)</f>
        <v>13.202967059728389</v>
      </c>
      <c r="H459" s="584"/>
      <c r="I459" s="591" t="s">
        <v>263</v>
      </c>
      <c r="J459" s="586"/>
      <c r="K459" s="584"/>
      <c r="L459" s="812"/>
      <c r="M459" s="813" t="str">
        <f>IFERROR(INDEX(#REF!,MATCH($K459,#REF!,0),MATCH($L459,#REF!,0)),"N/A")</f>
        <v>N/A</v>
      </c>
      <c r="N459" s="814" t="str">
        <f>IFERROR(VLOOKUP($J459,#REF!,2,FALSE),"N/A")</f>
        <v>N/A</v>
      </c>
      <c r="O459" s="887" t="str">
        <f t="shared" si="81"/>
        <v>N/A</v>
      </c>
      <c r="P459" s="1136" t="s">
        <v>2008</v>
      </c>
      <c r="Q459" s="813">
        <f>IF($E459="Logistics",VLOOKUP($P459,'Lower Hot Cell Logistics'!$C$4:$D$57,2,FALSE),"N/A")</f>
        <v>0.6</v>
      </c>
      <c r="R459" s="3400"/>
      <c r="S459" s="1968" t="str">
        <f>IFERROR(VLOOKUP($R459,'Lower HotCell RecoveryLogistics'!$C$490:$F$556,4,FALSE),"N/A")</f>
        <v>N/A</v>
      </c>
      <c r="T459" s="1332" t="str">
        <f t="shared" si="82"/>
        <v>N/A</v>
      </c>
      <c r="V459" s="273"/>
      <c r="W459" s="273"/>
      <c r="X459" s="273"/>
      <c r="Y459" s="5"/>
      <c r="Z459"/>
      <c r="AA459"/>
      <c r="AB459"/>
      <c r="AC459"/>
    </row>
    <row r="460" spans="1:29" s="88" customFormat="1" hidden="1" outlineLevel="2" x14ac:dyDescent="0.35">
      <c r="B460" s="2081"/>
      <c r="C460" s="3786" t="s">
        <v>2338</v>
      </c>
      <c r="D460" s="1579" t="s">
        <v>1596</v>
      </c>
      <c r="E460" s="1611" t="s">
        <v>3</v>
      </c>
      <c r="F460" s="626">
        <f>MAX($Q460,$O460,$I460)</f>
        <v>0.53</v>
      </c>
      <c r="G460" s="626">
        <f t="shared" si="84"/>
        <v>13.732967059728388</v>
      </c>
      <c r="H460" s="1579"/>
      <c r="I460" s="1183" t="s">
        <v>263</v>
      </c>
      <c r="J460" s="1579"/>
      <c r="K460" s="582"/>
      <c r="L460" s="2194"/>
      <c r="M460" s="1479" t="str">
        <f>IFERROR(INDEX('Lower Hot Cell Logistics'!$I$13:$O$19,MATCH($K460,'Lower Hot Cell Logistics'!$H$13:$H$19,0),MATCH($L460,'Lower Hot Cell Logistics'!$H$13:$H$19,0)),"N/A")</f>
        <v>N/A</v>
      </c>
      <c r="N460" s="1478" t="str">
        <f>IFERROR(VLOOKUP($J460,'Lower Hot Cell Logistics'!$H$4:$I$9,2,FALSE),"N/A")</f>
        <v>N/A</v>
      </c>
      <c r="O460" s="1183" t="str">
        <f t="shared" si="81"/>
        <v>N/A</v>
      </c>
      <c r="P460" s="1578" t="s">
        <v>1558</v>
      </c>
      <c r="Q460" s="1183">
        <f>IF($E460="Logistics",VLOOKUP($P460,'Lower Hot Cell Logistics'!$C$4:$D$69,2,FALSE),"N/A")</f>
        <v>0.53</v>
      </c>
      <c r="R460" s="3377"/>
      <c r="S460" s="1183" t="str">
        <f>IFERROR(VLOOKUP($R460,'Lower HotCell RecoveryLogistics'!$C$490:$F$556,4,FALSE),"N/A")</f>
        <v>N/A</v>
      </c>
      <c r="T460" s="1332" t="str">
        <f t="shared" si="82"/>
        <v>N/A</v>
      </c>
      <c r="V460" s="2031"/>
      <c r="W460" s="2031"/>
      <c r="X460" s="2031"/>
      <c r="Y460" s="1466"/>
    </row>
    <row r="461" spans="1:29" s="88" customFormat="1" hidden="1" outlineLevel="2" x14ac:dyDescent="0.35">
      <c r="B461" s="2081"/>
      <c r="C461" s="3786"/>
      <c r="D461" s="1579" t="s">
        <v>2339</v>
      </c>
      <c r="E461" s="1611" t="s">
        <v>251</v>
      </c>
      <c r="F461" s="626">
        <f>MAX($Q461,$O461,$I461)</f>
        <v>12.602967059728389</v>
      </c>
      <c r="G461" s="626">
        <f t="shared" si="84"/>
        <v>26.335934119456777</v>
      </c>
      <c r="H461" s="1579" t="s">
        <v>440</v>
      </c>
      <c r="I461" s="1183">
        <v>12.602967059728389</v>
      </c>
      <c r="J461" s="1579"/>
      <c r="K461" s="582"/>
      <c r="L461" s="2194"/>
      <c r="M461" s="1479" t="str">
        <f>IFERROR(INDEX('Lower Hot Cell Logistics'!$I$13:$O$19,MATCH($K461,'Lower Hot Cell Logistics'!$H$13:$H$19,0),MATCH($L461,'Lower Hot Cell Logistics'!$H$13:$H$19,0)),"N/A")</f>
        <v>N/A</v>
      </c>
      <c r="N461" s="1478" t="str">
        <f>IFERROR(VLOOKUP($J461,'Lower Hot Cell Logistics'!$H$4:$I$9,2,FALSE),"N/A")</f>
        <v>N/A</v>
      </c>
      <c r="O461" s="1183" t="str">
        <f t="shared" si="81"/>
        <v>N/A</v>
      </c>
      <c r="P461" s="1578"/>
      <c r="Q461" s="1183" t="str">
        <f>IF($E461="Logistics",VLOOKUP($P461,'Lower Hot Cell Logistics'!$C$4:$D$69,2,FALSE),"N/A")</f>
        <v>N/A</v>
      </c>
      <c r="R461" s="3377" t="s">
        <v>2324</v>
      </c>
      <c r="S461" s="1183">
        <f>IFERROR(VLOOKUP($R461,'Lower HotCell RecoveryLogistics'!$C$490:$F$556,4,FALSE),"N/A")</f>
        <v>3.365925925925926</v>
      </c>
      <c r="T461" s="1332">
        <f t="shared" si="82"/>
        <v>10.367041133802463</v>
      </c>
      <c r="V461" s="2031"/>
      <c r="W461" s="2031"/>
      <c r="X461" s="2031"/>
      <c r="Y461" s="1466"/>
    </row>
    <row r="462" spans="1:29" s="88" customFormat="1" ht="15" hidden="1" outlineLevel="2" thickBot="1" x14ac:dyDescent="0.4">
      <c r="B462" s="2081"/>
      <c r="C462" s="3788"/>
      <c r="D462" s="1136" t="s">
        <v>2340</v>
      </c>
      <c r="E462" s="1581" t="s">
        <v>3</v>
      </c>
      <c r="F462" s="585">
        <f>MAX($Q462,$O462,$I462)</f>
        <v>0.6</v>
      </c>
      <c r="G462" s="585">
        <f t="shared" si="84"/>
        <v>26.935934119456778</v>
      </c>
      <c r="H462" s="1136"/>
      <c r="I462" s="1179" t="s">
        <v>263</v>
      </c>
      <c r="J462" s="1136"/>
      <c r="K462" s="584"/>
      <c r="L462" s="1633"/>
      <c r="M462" s="813" t="str">
        <f>IFERROR(INDEX('Lower Hot Cell Logistics'!$I$13:$O$19,MATCH($K462,'Lower Hot Cell Logistics'!$H$13:$H$19,0),MATCH($L462,'Lower Hot Cell Logistics'!$H$13:$H$19,0)),"N/A")</f>
        <v>N/A</v>
      </c>
      <c r="N462" s="814" t="str">
        <f>IFERROR(VLOOKUP($J462,'Lower Hot Cell Logistics'!$H$4:$I$9,2,FALSE),"N/A")</f>
        <v>N/A</v>
      </c>
      <c r="O462" s="1179" t="str">
        <f t="shared" si="81"/>
        <v>N/A</v>
      </c>
      <c r="P462" s="1582" t="s">
        <v>2008</v>
      </c>
      <c r="Q462" s="1179">
        <f>IF($E462="Logistics",VLOOKUP($P462,'Lower Hot Cell Logistics'!$C$4:$D$69,2,FALSE),"N/A")</f>
        <v>0.6</v>
      </c>
      <c r="R462" s="3378"/>
      <c r="S462" s="1179" t="str">
        <f>IFERROR(VLOOKUP($R462,'Lower HotCell RecoveryLogistics'!$C$490:$F$556,4,FALSE),"N/A")</f>
        <v>N/A</v>
      </c>
      <c r="T462" s="1332" t="str">
        <f t="shared" si="82"/>
        <v>N/A</v>
      </c>
      <c r="V462" s="2031"/>
      <c r="W462" s="2031"/>
      <c r="X462" s="2031"/>
      <c r="Y462" s="1466"/>
    </row>
    <row r="463" spans="1:29" s="8" customFormat="1" ht="29.15" hidden="1" outlineLevel="2" x14ac:dyDescent="0.4">
      <c r="A463"/>
      <c r="B463" s="2081"/>
      <c r="C463" s="3814" t="s">
        <v>1601</v>
      </c>
      <c r="D463" s="823" t="s">
        <v>1603</v>
      </c>
      <c r="E463" s="823" t="s">
        <v>3</v>
      </c>
      <c r="F463" s="1291">
        <f t="shared" si="83"/>
        <v>0.8</v>
      </c>
      <c r="G463" s="1739">
        <f t="shared" si="84"/>
        <v>27.735934119456779</v>
      </c>
      <c r="H463" s="829"/>
      <c r="I463" s="1575" t="s">
        <v>263</v>
      </c>
      <c r="J463" s="1129"/>
      <c r="K463" s="1619"/>
      <c r="L463" s="1619"/>
      <c r="M463" s="1623" t="str">
        <f>IFERROR(INDEX(#REF!,MATCH($K463,#REF!,0),MATCH($L463,#REF!,0)),"N/A")</f>
        <v>N/A</v>
      </c>
      <c r="N463" s="1623" t="str">
        <f>IFERROR(VLOOKUP($J463,#REF!,2,FALSE),"N/A")</f>
        <v>N/A</v>
      </c>
      <c r="O463" s="1575" t="str">
        <f t="shared" si="81"/>
        <v>N/A</v>
      </c>
      <c r="P463" s="2039" t="s">
        <v>1828</v>
      </c>
      <c r="Q463" s="2040">
        <f>IF($E463="Logistics",VLOOKUP($P463,'Lower Hot Cell Logistics'!$C$4:$D$57,2,FALSE),"N/A")</f>
        <v>0.8</v>
      </c>
      <c r="R463" s="3413" t="s">
        <v>2326</v>
      </c>
      <c r="S463" s="2040">
        <f>IFERROR(VLOOKUP($R463,'Lower HotCell RecoveryLogistics'!$C$490:$F$556,4,FALSE),"N/A")</f>
        <v>16.624448541209873</v>
      </c>
      <c r="T463" s="1332">
        <f t="shared" si="82"/>
        <v>10.311485578246906</v>
      </c>
      <c r="V463" s="273"/>
      <c r="W463" s="273"/>
      <c r="X463" s="273"/>
      <c r="Y463" s="5"/>
      <c r="Z463"/>
      <c r="AA463"/>
      <c r="AB463"/>
      <c r="AC463"/>
    </row>
    <row r="464" spans="1:29" s="8" customFormat="1" ht="15" hidden="1" customHeight="1" outlineLevel="2" x14ac:dyDescent="0.4">
      <c r="A464"/>
      <c r="B464" s="2081"/>
      <c r="C464" s="3815"/>
      <c r="D464" s="860" t="s">
        <v>1604</v>
      </c>
      <c r="E464" s="860" t="s">
        <v>251</v>
      </c>
      <c r="F464" s="1363">
        <f t="shared" si="83"/>
        <v>4.0999999999999996</v>
      </c>
      <c r="G464" s="1347">
        <f t="shared" si="84"/>
        <v>31.83593411945678</v>
      </c>
      <c r="H464" s="2041" t="s">
        <v>1604</v>
      </c>
      <c r="I464" s="1183">
        <v>4.0999999999999996</v>
      </c>
      <c r="J464" s="1579"/>
      <c r="K464" s="582"/>
      <c r="L464" s="582"/>
      <c r="M464" s="1478" t="str">
        <f>IFERROR(INDEX(#REF!,MATCH($K464,#REF!,0),MATCH($L464,#REF!,0)),"N/A")</f>
        <v>N/A</v>
      </c>
      <c r="N464" s="1478" t="str">
        <f>IFERROR(VLOOKUP($J464,#REF!,2,FALSE),"N/A")</f>
        <v>N/A</v>
      </c>
      <c r="O464" s="1183" t="str">
        <f t="shared" si="81"/>
        <v>N/A</v>
      </c>
      <c r="P464" s="1725"/>
      <c r="Q464" s="2042" t="str">
        <f>IF($E464="Logistics",VLOOKUP($P464,'Lower Hot Cell Logistics'!$C$4:$D$57,2,FALSE),"N/A")</f>
        <v>N/A</v>
      </c>
      <c r="R464" s="3414"/>
      <c r="S464" s="2042" t="str">
        <f>IFERROR(VLOOKUP($R464,'Lower HotCell RecoveryLogistics'!$C$490:$F$556,4,FALSE),"N/A")</f>
        <v>N/A</v>
      </c>
      <c r="T464" s="1332" t="str">
        <f t="shared" si="82"/>
        <v>N/A</v>
      </c>
      <c r="V464" s="273"/>
      <c r="W464" s="273"/>
      <c r="X464" s="273"/>
      <c r="Y464" s="5"/>
      <c r="Z464"/>
      <c r="AA464"/>
      <c r="AB464"/>
      <c r="AC464"/>
    </row>
    <row r="465" spans="1:29" s="8" customFormat="1" ht="15" hidden="1" customHeight="1" outlineLevel="2" x14ac:dyDescent="0.4">
      <c r="A465"/>
      <c r="B465" s="2081"/>
      <c r="C465" s="3815"/>
      <c r="D465" s="860" t="s">
        <v>1605</v>
      </c>
      <c r="E465" s="860" t="s">
        <v>3</v>
      </c>
      <c r="F465" s="1363">
        <f t="shared" si="83"/>
        <v>0.6</v>
      </c>
      <c r="G465" s="1347">
        <f t="shared" si="84"/>
        <v>32.435934119456782</v>
      </c>
      <c r="H465" s="2041"/>
      <c r="I465" s="1183" t="s">
        <v>263</v>
      </c>
      <c r="J465" s="1579"/>
      <c r="K465" s="582"/>
      <c r="L465" s="582"/>
      <c r="M465" s="1478" t="str">
        <f>IFERROR(INDEX(#REF!,MATCH($K465,#REF!,0),MATCH($L465,#REF!,0)),"N/A")</f>
        <v>N/A</v>
      </c>
      <c r="N465" s="1478" t="str">
        <f>IFERROR(VLOOKUP($J465,#REF!,2,FALSE),"N/A")</f>
        <v>N/A</v>
      </c>
      <c r="O465" s="1183" t="str">
        <f t="shared" si="81"/>
        <v>N/A</v>
      </c>
      <c r="P465" s="1725" t="s">
        <v>2008</v>
      </c>
      <c r="Q465" s="2042">
        <f>IF($E465="Logistics",VLOOKUP($P465,'Lower Hot Cell Logistics'!$C$4:$D$57,2,FALSE),"N/A")</f>
        <v>0.6</v>
      </c>
      <c r="R465" s="3414"/>
      <c r="S465" s="2042" t="str">
        <f>IFERROR(VLOOKUP($R465,'Lower HotCell RecoveryLogistics'!$C$490:$F$556,4,FALSE),"N/A")</f>
        <v>N/A</v>
      </c>
      <c r="T465" s="1332" t="str">
        <f t="shared" si="82"/>
        <v>N/A</v>
      </c>
      <c r="V465" s="273"/>
      <c r="W465" s="273"/>
      <c r="X465" s="273"/>
      <c r="Y465" s="5"/>
      <c r="Z465"/>
      <c r="AA465"/>
      <c r="AB465"/>
      <c r="AC465"/>
    </row>
    <row r="466" spans="1:29" s="8" customFormat="1" ht="15" hidden="1" customHeight="1" outlineLevel="2" x14ac:dyDescent="0.4">
      <c r="A466"/>
      <c r="B466" s="2081"/>
      <c r="C466" s="3815"/>
      <c r="D466" s="860" t="s">
        <v>1606</v>
      </c>
      <c r="E466" s="860" t="s">
        <v>3</v>
      </c>
      <c r="F466" s="1363">
        <f t="shared" si="83"/>
        <v>0.8</v>
      </c>
      <c r="G466" s="1347">
        <f t="shared" si="84"/>
        <v>33.235934119456779</v>
      </c>
      <c r="H466" s="2041"/>
      <c r="I466" s="1183" t="s">
        <v>263</v>
      </c>
      <c r="J466" s="1579"/>
      <c r="K466" s="582"/>
      <c r="L466" s="582"/>
      <c r="M466" s="1478" t="str">
        <f>IFERROR(INDEX(#REF!,MATCH($K466,#REF!,0),MATCH($L466,#REF!,0)),"N/A")</f>
        <v>N/A</v>
      </c>
      <c r="N466" s="1478" t="str">
        <f>IFERROR(VLOOKUP($J466,#REF!,2,FALSE),"N/A")</f>
        <v>N/A</v>
      </c>
      <c r="O466" s="1183" t="str">
        <f t="shared" si="81"/>
        <v>N/A</v>
      </c>
      <c r="P466" s="1725" t="s">
        <v>1828</v>
      </c>
      <c r="Q466" s="2042">
        <f>IF($E466="Logistics",VLOOKUP($P466,'Lower Hot Cell Logistics'!$C$4:$D$57,2,FALSE),"N/A")</f>
        <v>0.8</v>
      </c>
      <c r="R466" s="3414"/>
      <c r="S466" s="2042" t="str">
        <f>IFERROR(VLOOKUP($R466,'Lower HotCell RecoveryLogistics'!$C$490:$F$556,4,FALSE),"N/A")</f>
        <v>N/A</v>
      </c>
      <c r="T466" s="1332" t="str">
        <f t="shared" si="82"/>
        <v>N/A</v>
      </c>
      <c r="V466" s="273"/>
      <c r="W466" s="273"/>
      <c r="X466" s="273"/>
      <c r="Y466" s="5"/>
      <c r="Z466"/>
      <c r="AA466"/>
      <c r="AB466"/>
      <c r="AC466"/>
    </row>
    <row r="467" spans="1:29" s="8" customFormat="1" ht="15" hidden="1" customHeight="1" outlineLevel="2" x14ac:dyDescent="0.4">
      <c r="A467"/>
      <c r="B467" s="2081"/>
      <c r="C467" s="3815"/>
      <c r="D467" s="860" t="s">
        <v>2327</v>
      </c>
      <c r="E467" s="860" t="s">
        <v>251</v>
      </c>
      <c r="F467" s="1363">
        <f t="shared" si="83"/>
        <v>5.1999999999999993</v>
      </c>
      <c r="G467" s="1347">
        <f t="shared" si="84"/>
        <v>38.435934119456775</v>
      </c>
      <c r="H467" s="2041" t="s">
        <v>270</v>
      </c>
      <c r="I467" s="1183">
        <v>5.1999999999999993</v>
      </c>
      <c r="J467" s="1579"/>
      <c r="K467" s="582"/>
      <c r="L467" s="582"/>
      <c r="M467" s="1478" t="str">
        <f>IFERROR(INDEX(#REF!,MATCH($K467,#REF!,0),MATCH($L467,#REF!,0)),"N/A")</f>
        <v>N/A</v>
      </c>
      <c r="N467" s="1478" t="str">
        <f>IFERROR(VLOOKUP($J467,#REF!,2,FALSE),"N/A")</f>
        <v>N/A</v>
      </c>
      <c r="O467" s="1183" t="str">
        <f t="shared" si="81"/>
        <v>N/A</v>
      </c>
      <c r="P467" s="1725"/>
      <c r="Q467" s="2042" t="str">
        <f>IF($E467="Logistics",VLOOKUP($P467,'Lower Hot Cell Logistics'!$C$4:$D$57,2,FALSE),"N/A")</f>
        <v>N/A</v>
      </c>
      <c r="R467" s="3414"/>
      <c r="S467" s="2042" t="str">
        <f>IFERROR(VLOOKUP($R467,'Lower HotCell RecoveryLogistics'!$C$490:$F$556,4,FALSE),"N/A")</f>
        <v>N/A</v>
      </c>
      <c r="T467" s="1332" t="str">
        <f t="shared" si="82"/>
        <v>N/A</v>
      </c>
      <c r="V467" s="273"/>
      <c r="W467" s="273"/>
      <c r="X467" s="273"/>
      <c r="Y467" s="5"/>
      <c r="Z467"/>
      <c r="AA467"/>
      <c r="AB467"/>
      <c r="AC467"/>
    </row>
    <row r="468" spans="1:29" s="8" customFormat="1" ht="15" hidden="1" customHeight="1" outlineLevel="2" thickBot="1" x14ac:dyDescent="0.45">
      <c r="A468"/>
      <c r="B468" s="2081"/>
      <c r="C468" s="3816"/>
      <c r="D468" s="837" t="s">
        <v>1575</v>
      </c>
      <c r="E468" s="837" t="s">
        <v>3</v>
      </c>
      <c r="F468" s="2043">
        <f t="shared" si="83"/>
        <v>0.6</v>
      </c>
      <c r="G468" s="1295">
        <f t="shared" si="84"/>
        <v>39.035934119456776</v>
      </c>
      <c r="H468" s="1869"/>
      <c r="I468" s="1179" t="s">
        <v>263</v>
      </c>
      <c r="J468" s="1136"/>
      <c r="K468" s="584"/>
      <c r="L468" s="584"/>
      <c r="M468" s="814" t="str">
        <f>IFERROR(INDEX(#REF!,MATCH($K468,#REF!,0),MATCH($L468,#REF!,0)),"N/A")</f>
        <v>N/A</v>
      </c>
      <c r="N468" s="814" t="str">
        <f>IFERROR(VLOOKUP($J468,#REF!,2,FALSE),"N/A")</f>
        <v>N/A</v>
      </c>
      <c r="O468" s="1179" t="str">
        <f t="shared" si="81"/>
        <v>N/A</v>
      </c>
      <c r="P468" s="1921" t="s">
        <v>2008</v>
      </c>
      <c r="Q468" s="1922">
        <f>IF($E468="Logistics",VLOOKUP($P468,'Lower Hot Cell Logistics'!$C$4:$D$57,2,FALSE),"N/A")</f>
        <v>0.6</v>
      </c>
      <c r="R468" s="3382"/>
      <c r="S468" s="1922" t="str">
        <f>IFERROR(VLOOKUP($R468,'Lower HotCell RecoveryLogistics'!$C$490:$F$556,4,FALSE),"N/A")</f>
        <v>N/A</v>
      </c>
      <c r="T468" s="1332" t="str">
        <f t="shared" si="82"/>
        <v>N/A</v>
      </c>
      <c r="V468" s="273"/>
      <c r="W468" s="273"/>
      <c r="X468" s="273"/>
      <c r="Y468" s="5"/>
      <c r="Z468"/>
      <c r="AA468"/>
      <c r="AB468"/>
      <c r="AC468"/>
    </row>
    <row r="469" spans="1:29" s="88" customFormat="1" ht="29.15" hidden="1" outlineLevel="2" x14ac:dyDescent="0.35">
      <c r="B469" s="2081"/>
      <c r="C469" s="3787" t="s">
        <v>1609</v>
      </c>
      <c r="D469" s="566" t="s">
        <v>1606</v>
      </c>
      <c r="E469" s="566" t="s">
        <v>3</v>
      </c>
      <c r="F469" s="567">
        <f t="shared" si="83"/>
        <v>0.8</v>
      </c>
      <c r="G469" s="1621">
        <f t="shared" si="84"/>
        <v>39.835934119456773</v>
      </c>
      <c r="H469" s="803"/>
      <c r="I469" s="1175" t="s">
        <v>263</v>
      </c>
      <c r="J469" s="803"/>
      <c r="K469" s="566"/>
      <c r="L469" s="2205"/>
      <c r="M469" s="802" t="str">
        <f>IFERROR(INDEX('Lower Hot Cell Logistics'!$I$13:$O$19,MATCH($K469,'Lower Hot Cell Logistics'!$H$13:$H$19,0),MATCH($L469,'Lower Hot Cell Logistics'!$H$13:$H$19,0)),"N/A")</f>
        <v>N/A</v>
      </c>
      <c r="N469" s="570" t="str">
        <f>IFERROR(VLOOKUP($J469,'Lower Hot Cell Logistics'!$H$4:$I$9,2,FALSE),"N/A")</f>
        <v>N/A</v>
      </c>
      <c r="O469" s="1175" t="str">
        <f t="shared" si="81"/>
        <v>N/A</v>
      </c>
      <c r="P469" s="1664" t="s">
        <v>1828</v>
      </c>
      <c r="Q469" s="1175">
        <f>IF($E469="Logistics",VLOOKUP($P469,'Lower Hot Cell Logistics'!$C$4:$D$69,2,FALSE),"N/A")</f>
        <v>0.8</v>
      </c>
      <c r="R469" s="3415" t="s">
        <v>2328</v>
      </c>
      <c r="S469" s="1175">
        <f>IFERROR(VLOOKUP($R469,'Lower HotCell RecoveryLogistics'!$C$490:$F$556,4,FALSE),"N/A")</f>
        <v>30.357415600938257</v>
      </c>
      <c r="T469" s="1332">
        <f t="shared" si="82"/>
        <v>8.6785185185185192</v>
      </c>
      <c r="V469" s="2031"/>
      <c r="W469" s="2031"/>
      <c r="X469" s="2031"/>
      <c r="Y469" s="1466"/>
    </row>
    <row r="470" spans="1:29" s="88" customFormat="1" hidden="1" outlineLevel="2" x14ac:dyDescent="0.35">
      <c r="B470" s="2081"/>
      <c r="C470" s="3786"/>
      <c r="D470" s="573" t="s">
        <v>1611</v>
      </c>
      <c r="E470" s="573" t="s">
        <v>251</v>
      </c>
      <c r="F470" s="1276">
        <f t="shared" si="83"/>
        <v>1</v>
      </c>
      <c r="G470" s="626">
        <f t="shared" si="84"/>
        <v>40.835934119456773</v>
      </c>
      <c r="H470" s="1131" t="s">
        <v>271</v>
      </c>
      <c r="I470" s="1176">
        <v>1</v>
      </c>
      <c r="J470" s="1131"/>
      <c r="K470" s="573"/>
      <c r="L470" s="1631"/>
      <c r="M470" s="852" t="str">
        <f>IFERROR(INDEX('Lower Hot Cell Logistics'!$I$13:$O$19,MATCH($K470,'Lower Hot Cell Logistics'!$H$13:$H$19,0),MATCH($L470,'Lower Hot Cell Logistics'!$H$13:$H$19,0)),"N/A")</f>
        <v>N/A</v>
      </c>
      <c r="N470" s="853" t="str">
        <f>IFERROR(VLOOKUP($J470,'Lower Hot Cell Logistics'!$H$4:$I$9,2,FALSE),"N/A")</f>
        <v>N/A</v>
      </c>
      <c r="O470" s="1176" t="str">
        <f t="shared" si="81"/>
        <v>N/A</v>
      </c>
      <c r="P470" s="1580"/>
      <c r="Q470" s="1176" t="str">
        <f>IF($E470="Logistics",VLOOKUP($P470,'Lower Hot Cell Logistics'!$C$4:$D$69,2,FALSE),"N/A")</f>
        <v>N/A</v>
      </c>
      <c r="R470" s="3412"/>
      <c r="S470" s="1176" t="str">
        <f>IFERROR(VLOOKUP($R470,'Lower HotCell RecoveryLogistics'!$C$490:$F$556,4,FALSE),"N/A")</f>
        <v>N/A</v>
      </c>
      <c r="T470" s="1332" t="str">
        <f t="shared" si="82"/>
        <v>N/A</v>
      </c>
      <c r="V470" s="2031"/>
      <c r="W470" s="2031"/>
      <c r="X470" s="2031"/>
      <c r="Y470" s="1466"/>
    </row>
    <row r="471" spans="1:29" s="88" customFormat="1" ht="15" hidden="1" outlineLevel="2" thickBot="1" x14ac:dyDescent="0.4">
      <c r="B471" s="2081"/>
      <c r="C471" s="3788"/>
      <c r="D471" s="584" t="s">
        <v>2035</v>
      </c>
      <c r="E471" s="584" t="s">
        <v>3</v>
      </c>
      <c r="F471" s="1632">
        <f t="shared" si="83"/>
        <v>0.38</v>
      </c>
      <c r="G471" s="585">
        <f t="shared" si="84"/>
        <v>41.215934119456776</v>
      </c>
      <c r="H471" s="1136"/>
      <c r="I471" s="1179" t="s">
        <v>263</v>
      </c>
      <c r="J471" s="1136"/>
      <c r="K471" s="584"/>
      <c r="L471" s="1633"/>
      <c r="M471" s="813" t="s">
        <v>263</v>
      </c>
      <c r="N471" s="814" t="s">
        <v>263</v>
      </c>
      <c r="O471" s="1179" t="s">
        <v>263</v>
      </c>
      <c r="P471" s="1582" t="s">
        <v>2008</v>
      </c>
      <c r="Q471" s="1179">
        <v>0.38</v>
      </c>
      <c r="R471" s="3378"/>
      <c r="S471" s="1179" t="str">
        <f>IFERROR(VLOOKUP($R471,'Lower HotCell RecoveryLogistics'!$C$490:$F$556,4,FALSE),"N/A")</f>
        <v>N/A</v>
      </c>
      <c r="T471" s="1332" t="str">
        <f t="shared" si="82"/>
        <v>N/A</v>
      </c>
      <c r="V471" s="2031"/>
      <c r="W471" s="2031"/>
      <c r="X471" s="2031"/>
      <c r="Y471" s="1466"/>
    </row>
    <row r="472" spans="1:29" s="88" customFormat="1" ht="15" hidden="1" customHeight="1" outlineLevel="2" x14ac:dyDescent="0.35">
      <c r="B472" s="2081"/>
      <c r="C472" s="3814" t="s">
        <v>1613</v>
      </c>
      <c r="D472" s="823" t="s">
        <v>1606</v>
      </c>
      <c r="E472" s="823" t="s">
        <v>3</v>
      </c>
      <c r="F472" s="1291">
        <f t="shared" si="83"/>
        <v>0.8</v>
      </c>
      <c r="G472" s="1739">
        <f t="shared" si="84"/>
        <v>42.015934119456773</v>
      </c>
      <c r="H472" s="829"/>
      <c r="I472" s="2040" t="s">
        <v>263</v>
      </c>
      <c r="J472" s="829"/>
      <c r="K472" s="823"/>
      <c r="L472" s="2191"/>
      <c r="M472" s="827" t="str">
        <f>IFERROR(INDEX('Lower Hot Cell Logistics'!$I$13:$O$19,MATCH($K472,'Lower Hot Cell Logistics'!$H$13:$H$19,0),MATCH($L472,'Lower Hot Cell Logistics'!$H$13:$H$19,0)),"N/A")</f>
        <v>N/A</v>
      </c>
      <c r="N472" s="828" t="str">
        <f>IFERROR(VLOOKUP($J472,'Lower Hot Cell Logistics'!$H$4:$I$9,2,FALSE),"N/A")</f>
        <v>N/A</v>
      </c>
      <c r="O472" s="2040" t="str">
        <f>IF(E472="Movement",IFERROR((M472/N472)/(60*60),"Error"),"N/A")</f>
        <v>N/A</v>
      </c>
      <c r="P472" s="2039" t="s">
        <v>1828</v>
      </c>
      <c r="Q472" s="2040">
        <f>IF($E472="Logistics",VLOOKUP($P472,'Lower Hot Cell Logistics'!$C$4:$D$69,2,FALSE),"N/A")</f>
        <v>0.8</v>
      </c>
      <c r="R472" s="3413" t="s">
        <v>2329</v>
      </c>
      <c r="S472" s="2040">
        <f>IFERROR(VLOOKUP($R472,'Lower HotCell RecoveryLogistics'!$C$490:$F$556,4,FALSE),"N/A")</f>
        <v>40.704823008345663</v>
      </c>
      <c r="T472" s="1332">
        <f t="shared" si="82"/>
        <v>0.51111111111111285</v>
      </c>
      <c r="V472" s="2031"/>
      <c r="W472" s="2031"/>
      <c r="X472" s="2031"/>
      <c r="Y472" s="1466"/>
    </row>
    <row r="473" spans="1:29" s="88" customFormat="1" hidden="1" outlineLevel="2" x14ac:dyDescent="0.35">
      <c r="B473" s="2081"/>
      <c r="C473" s="3815"/>
      <c r="D473" s="860" t="s">
        <v>1615</v>
      </c>
      <c r="E473" s="860" t="s">
        <v>251</v>
      </c>
      <c r="F473" s="1363">
        <f t="shared" si="83"/>
        <v>1</v>
      </c>
      <c r="G473" s="1347">
        <f t="shared" si="84"/>
        <v>43.015934119456773</v>
      </c>
      <c r="H473" s="2041" t="s">
        <v>271</v>
      </c>
      <c r="I473" s="2042">
        <v>1</v>
      </c>
      <c r="J473" s="2041"/>
      <c r="K473" s="860"/>
      <c r="L473" s="2192"/>
      <c r="M473" s="864" t="str">
        <f>IFERROR(INDEX('Lower Hot Cell Logistics'!$I$13:$O$19,MATCH($K473,'Lower Hot Cell Logistics'!$H$13:$H$19,0),MATCH($L473,'Lower Hot Cell Logistics'!$H$13:$H$19,0)),"N/A")</f>
        <v>N/A</v>
      </c>
      <c r="N473" s="865" t="str">
        <f>IFERROR(VLOOKUP($J473,'Lower Hot Cell Logistics'!$H$4:$I$9,2,FALSE),"N/A")</f>
        <v>N/A</v>
      </c>
      <c r="O473" s="2042" t="str">
        <f>IF(E473="Movement",IFERROR((M473/N473)/(60*60),"Error"),"N/A")</f>
        <v>N/A</v>
      </c>
      <c r="P473" s="1725"/>
      <c r="Q473" s="2042" t="str">
        <f>IF($E473="Logistics",VLOOKUP($P473,'Lower Hot Cell Logistics'!$C$4:$D$69,2,FALSE),"N/A")</f>
        <v>N/A</v>
      </c>
      <c r="R473" s="3414"/>
      <c r="S473" s="2042" t="str">
        <f>IFERROR(VLOOKUP($R473,'Lower HotCell RecoveryLogistics'!$C$490:$F$556,4,FALSE),"N/A")</f>
        <v>N/A</v>
      </c>
      <c r="T473" s="1332" t="str">
        <f t="shared" si="82"/>
        <v>N/A</v>
      </c>
      <c r="V473" s="2031"/>
      <c r="W473" s="2031"/>
      <c r="X473" s="2031"/>
      <c r="Y473" s="1466"/>
    </row>
    <row r="474" spans="1:29" s="88" customFormat="1" ht="15" hidden="1" outlineLevel="2" thickBot="1" x14ac:dyDescent="0.4">
      <c r="B474" s="2081"/>
      <c r="C474" s="3816"/>
      <c r="D474" s="837" t="s">
        <v>2036</v>
      </c>
      <c r="E474" s="837" t="s">
        <v>3</v>
      </c>
      <c r="F474" s="2043">
        <f t="shared" si="83"/>
        <v>0.38</v>
      </c>
      <c r="G474" s="1295">
        <f t="shared" si="84"/>
        <v>43.395934119456776</v>
      </c>
      <c r="H474" s="1869"/>
      <c r="I474" s="1922" t="s">
        <v>263</v>
      </c>
      <c r="J474" s="1869"/>
      <c r="K474" s="837"/>
      <c r="L474" s="2204"/>
      <c r="M474" s="841" t="s">
        <v>263</v>
      </c>
      <c r="N474" s="842" t="s">
        <v>263</v>
      </c>
      <c r="O474" s="1922" t="s">
        <v>263</v>
      </c>
      <c r="P474" s="1921" t="s">
        <v>2008</v>
      </c>
      <c r="Q474" s="1922">
        <v>0.38</v>
      </c>
      <c r="R474" s="3382"/>
      <c r="S474" s="1922" t="str">
        <f>IFERROR(VLOOKUP($R474,'Lower HotCell RecoveryLogistics'!$C$490:$F$556,4,FALSE),"N/A")</f>
        <v>N/A</v>
      </c>
      <c r="T474" s="1332" t="str">
        <f t="shared" si="82"/>
        <v>N/A</v>
      </c>
      <c r="V474" s="2031"/>
      <c r="W474" s="2031"/>
      <c r="X474" s="2031"/>
      <c r="Y474" s="1466"/>
    </row>
    <row r="475" spans="1:29" s="88" customFormat="1" hidden="1" outlineLevel="2" x14ac:dyDescent="0.35">
      <c r="B475" s="2081"/>
      <c r="C475" s="3787" t="s">
        <v>1678</v>
      </c>
      <c r="D475" s="566" t="s">
        <v>1606</v>
      </c>
      <c r="E475" s="566" t="s">
        <v>3</v>
      </c>
      <c r="F475" s="1621">
        <f t="shared" si="83"/>
        <v>0.8</v>
      </c>
      <c r="G475" s="1621">
        <f t="shared" si="84"/>
        <v>45.011119304641959</v>
      </c>
      <c r="H475" s="803"/>
      <c r="I475" s="1175" t="s">
        <v>263</v>
      </c>
      <c r="J475" s="803"/>
      <c r="K475" s="566"/>
      <c r="L475" s="566"/>
      <c r="M475" s="570" t="str">
        <f>IFERROR(INDEX('Lower Hot Cell Logistics'!$I$13:$O$19,MATCH($K475,'Lower Hot Cell Logistics'!$H$13:$H$19,0),MATCH($L475,'Lower Hot Cell Logistics'!$H$13:$H$19,0)),"N/A")</f>
        <v>N/A</v>
      </c>
      <c r="N475" s="570" t="str">
        <f>IFERROR(VLOOKUP($J475,'Lower Hot Cell Logistics'!$H$4:$I$9,2,FALSE),"N/A")</f>
        <v>N/A</v>
      </c>
      <c r="O475" s="1175" t="str">
        <f>IF(E475="Movement",IFERROR((M475/N475)/(60*60),"Error"),"N/A")</f>
        <v>N/A</v>
      </c>
      <c r="P475" s="1664" t="s">
        <v>1828</v>
      </c>
      <c r="Q475" s="1175">
        <f>IF($E475="Logistics",VLOOKUP($P475,'Lower Hot Cell Logistics'!$C$4:$D$69,2,FALSE),"N/A")</f>
        <v>0.8</v>
      </c>
      <c r="R475" s="3415" t="s">
        <v>2330</v>
      </c>
      <c r="S475" s="1175">
        <f>IFERROR(VLOOKUP($R475,'Lower HotCell RecoveryLogistics'!$C$490:$F$556,4,FALSE),"N/A")</f>
        <v>44.211119304641961</v>
      </c>
      <c r="T475" s="1332">
        <f t="shared" si="82"/>
        <v>-0.8151851851851859</v>
      </c>
      <c r="V475" s="2031"/>
      <c r="W475" s="2031"/>
      <c r="X475" s="2031"/>
      <c r="Y475" s="1466"/>
    </row>
    <row r="476" spans="1:29" s="88" customFormat="1" hidden="1" outlineLevel="2" x14ac:dyDescent="0.35">
      <c r="B476" s="2081"/>
      <c r="C476" s="3786"/>
      <c r="D476" s="573" t="s">
        <v>1681</v>
      </c>
      <c r="E476" s="573" t="s">
        <v>251</v>
      </c>
      <c r="F476" s="626">
        <f t="shared" si="83"/>
        <v>1</v>
      </c>
      <c r="G476" s="626">
        <f t="shared" si="84"/>
        <v>46.011119304641959</v>
      </c>
      <c r="H476" s="1131" t="s">
        <v>274</v>
      </c>
      <c r="I476" s="1176">
        <v>1</v>
      </c>
      <c r="J476" s="1131"/>
      <c r="K476" s="573"/>
      <c r="L476" s="573"/>
      <c r="M476" s="853" t="str">
        <f>IFERROR(INDEX('Lower Hot Cell Logistics'!$I$13:$O$19,MATCH($K476,'Lower Hot Cell Logistics'!$H$13:$H$19,0),MATCH($L476,'Lower Hot Cell Logistics'!$H$13:$H$19,0)),"N/A")</f>
        <v>N/A</v>
      </c>
      <c r="N476" s="853" t="str">
        <f>IFERROR(VLOOKUP($J476,'Lower Hot Cell Logistics'!$H$4:$I$9,2,FALSE),"N/A")</f>
        <v>N/A</v>
      </c>
      <c r="O476" s="1176" t="str">
        <f>IF(E476="Movement",IFERROR((M476/N476)/(60*60),"Error"),"N/A")</f>
        <v>N/A</v>
      </c>
      <c r="P476" s="1580"/>
      <c r="Q476" s="1176" t="str">
        <f>IF($E476="Logistics",VLOOKUP($P476,'Lower Hot Cell Logistics'!$C$4:$D$69,2,FALSE),"N/A")</f>
        <v>N/A</v>
      </c>
      <c r="R476" s="3412"/>
      <c r="S476" s="1176" t="str">
        <f>IFERROR(VLOOKUP($R476,'Lower HotCell RecoveryLogistics'!$C$490:$F$556,4,FALSE),"N/A")</f>
        <v>N/A</v>
      </c>
      <c r="T476" s="1332" t="str">
        <f t="shared" si="82"/>
        <v>N/A</v>
      </c>
      <c r="V476" s="2031"/>
      <c r="W476" s="2031"/>
      <c r="X476" s="2031"/>
      <c r="Y476" s="1466"/>
    </row>
    <row r="477" spans="1:29" s="88" customFormat="1" ht="15" hidden="1" outlineLevel="2" thickBot="1" x14ac:dyDescent="0.4">
      <c r="B477" s="2081"/>
      <c r="C477" s="3788"/>
      <c r="D477" s="584" t="s">
        <v>2092</v>
      </c>
      <c r="E477" s="584" t="s">
        <v>3</v>
      </c>
      <c r="F477" s="585">
        <f t="shared" si="83"/>
        <v>0.38</v>
      </c>
      <c r="G477" s="585">
        <f t="shared" si="84"/>
        <v>46.391119304641961</v>
      </c>
      <c r="H477" s="1136"/>
      <c r="I477" s="1179" t="s">
        <v>263</v>
      </c>
      <c r="J477" s="1136"/>
      <c r="K477" s="584"/>
      <c r="L477" s="584"/>
      <c r="M477" s="814" t="s">
        <v>263</v>
      </c>
      <c r="N477" s="814" t="s">
        <v>263</v>
      </c>
      <c r="O477" s="1179" t="s">
        <v>263</v>
      </c>
      <c r="P477" s="1582" t="s">
        <v>2008</v>
      </c>
      <c r="Q477" s="1179">
        <v>0.38</v>
      </c>
      <c r="R477" s="3378"/>
      <c r="S477" s="1179" t="str">
        <f>IFERROR(VLOOKUP($R477,'Lower HotCell RecoveryLogistics'!$C$490:$F$556,4,FALSE),"N/A")</f>
        <v>N/A</v>
      </c>
      <c r="T477" s="1332" t="str">
        <f t="shared" si="82"/>
        <v>N/A</v>
      </c>
      <c r="V477" s="2031"/>
      <c r="W477" s="2031"/>
      <c r="X477" s="2031"/>
      <c r="Y477" s="1466"/>
    </row>
    <row r="478" spans="1:29" s="88" customFormat="1" hidden="1" outlineLevel="2" x14ac:dyDescent="0.35">
      <c r="B478" s="2081"/>
      <c r="C478" s="3814" t="s">
        <v>1683</v>
      </c>
      <c r="D478" s="823" t="s">
        <v>1606</v>
      </c>
      <c r="E478" s="823" t="s">
        <v>3</v>
      </c>
      <c r="F478" s="1291">
        <f t="shared" si="83"/>
        <v>0.8</v>
      </c>
      <c r="G478" s="1739">
        <f t="shared" si="84"/>
        <v>47.191119304641958</v>
      </c>
      <c r="H478" s="829"/>
      <c r="I478" s="2040" t="s">
        <v>263</v>
      </c>
      <c r="J478" s="829"/>
      <c r="K478" s="823"/>
      <c r="L478" s="823"/>
      <c r="M478" s="828" t="str">
        <f>IFERROR(INDEX('Lower Hot Cell Logistics'!$I$13:$O$19,MATCH($K478,'Lower Hot Cell Logistics'!$H$13:$H$19,0),MATCH($L478,'Lower Hot Cell Logistics'!$H$13:$H$19,0)),"N/A")</f>
        <v>N/A</v>
      </c>
      <c r="N478" s="828" t="str">
        <f>IFERROR(VLOOKUP($J478,'Lower Hot Cell Logistics'!$H$4:$I$9,2,FALSE),"N/A")</f>
        <v>N/A</v>
      </c>
      <c r="O478" s="2040" t="str">
        <f>IF(E478="Movement",IFERROR((M478/N478)/(60*60),"Error"),"N/A")</f>
        <v>N/A</v>
      </c>
      <c r="P478" s="2039" t="s">
        <v>1828</v>
      </c>
      <c r="Q478" s="2040">
        <f>IF($E478="Logistics",VLOOKUP($P478,'Lower Hot Cell Logistics'!$C$4:$D$69,2,FALSE),"N/A")</f>
        <v>0.8</v>
      </c>
      <c r="R478" s="3413" t="s">
        <v>2331</v>
      </c>
      <c r="S478" s="2040">
        <f>IFERROR(VLOOKUP($R478,'Lower HotCell RecoveryLogistics'!$C$490:$F$556,4,FALSE),"N/A")</f>
        <v>46.391119304641961</v>
      </c>
      <c r="T478" s="1332">
        <f t="shared" si="82"/>
        <v>0</v>
      </c>
      <c r="V478" s="2031"/>
      <c r="W478" s="2031"/>
      <c r="X478" s="2031"/>
      <c r="Y478" s="1466"/>
    </row>
    <row r="479" spans="1:29" s="88" customFormat="1" hidden="1" outlineLevel="2" x14ac:dyDescent="0.35">
      <c r="B479" s="2081"/>
      <c r="C479" s="3815"/>
      <c r="D479" s="860" t="s">
        <v>1685</v>
      </c>
      <c r="E479" s="860" t="s">
        <v>251</v>
      </c>
      <c r="F479" s="1363">
        <f t="shared" si="83"/>
        <v>1</v>
      </c>
      <c r="G479" s="1347">
        <f t="shared" si="84"/>
        <v>48.191119304641958</v>
      </c>
      <c r="H479" s="2041" t="s">
        <v>274</v>
      </c>
      <c r="I479" s="2042">
        <v>1</v>
      </c>
      <c r="J479" s="2041"/>
      <c r="K479" s="860"/>
      <c r="L479" s="860"/>
      <c r="M479" s="865" t="str">
        <f>IFERROR(INDEX('Lower Hot Cell Logistics'!$I$13:$O$19,MATCH($K479,'Lower Hot Cell Logistics'!$H$13:$H$19,0),MATCH($L479,'Lower Hot Cell Logistics'!$H$13:$H$19,0)),"N/A")</f>
        <v>N/A</v>
      </c>
      <c r="N479" s="865" t="str">
        <f>IFERROR(VLOOKUP($J479,'Lower Hot Cell Logistics'!$H$4:$I$9,2,FALSE),"N/A")</f>
        <v>N/A</v>
      </c>
      <c r="O479" s="2042" t="str">
        <f>IF(E479="Movement",IFERROR((M479/N479)/(60*60),"Error"),"N/A")</f>
        <v>N/A</v>
      </c>
      <c r="P479" s="1725"/>
      <c r="Q479" s="2042" t="str">
        <f>IF($E479="Logistics",VLOOKUP($P479,'Lower Hot Cell Logistics'!$C$4:$D$69,2,FALSE),"N/A")</f>
        <v>N/A</v>
      </c>
      <c r="R479" s="3414"/>
      <c r="S479" s="2042" t="str">
        <f>IFERROR(VLOOKUP($R479,'Lower HotCell RecoveryLogistics'!$C$490:$F$556,4,FALSE),"N/A")</f>
        <v>N/A</v>
      </c>
      <c r="T479" s="1332" t="str">
        <f t="shared" si="82"/>
        <v>N/A</v>
      </c>
      <c r="V479" s="2031"/>
      <c r="W479" s="2031"/>
      <c r="X479" s="2031"/>
      <c r="Y479" s="1466"/>
    </row>
    <row r="480" spans="1:29" s="88" customFormat="1" ht="15" hidden="1" outlineLevel="2" thickBot="1" x14ac:dyDescent="0.4">
      <c r="B480" s="2081"/>
      <c r="C480" s="3816"/>
      <c r="D480" s="837" t="s">
        <v>2094</v>
      </c>
      <c r="E480" s="837" t="s">
        <v>3</v>
      </c>
      <c r="F480" s="2043">
        <f t="shared" si="83"/>
        <v>0.38</v>
      </c>
      <c r="G480" s="1295">
        <f t="shared" si="84"/>
        <v>48.571119304641961</v>
      </c>
      <c r="H480" s="1869"/>
      <c r="I480" s="1922" t="s">
        <v>263</v>
      </c>
      <c r="J480" s="1869"/>
      <c r="K480" s="837"/>
      <c r="L480" s="837"/>
      <c r="M480" s="842" t="s">
        <v>263</v>
      </c>
      <c r="N480" s="842" t="s">
        <v>263</v>
      </c>
      <c r="O480" s="1922" t="s">
        <v>263</v>
      </c>
      <c r="P480" s="1921" t="s">
        <v>2008</v>
      </c>
      <c r="Q480" s="1922">
        <v>0.38</v>
      </c>
      <c r="R480" s="3382"/>
      <c r="S480" s="1922" t="str">
        <f>IFERROR(VLOOKUP($R480,'Lower HotCell RecoveryLogistics'!$C$490:$F$556,4,FALSE),"N/A")</f>
        <v>N/A</v>
      </c>
      <c r="T480" s="1332" t="str">
        <f t="shared" si="82"/>
        <v>N/A</v>
      </c>
      <c r="V480" s="2031"/>
      <c r="W480" s="2031"/>
      <c r="X480" s="2031"/>
      <c r="Y480" s="1466"/>
    </row>
    <row r="481" spans="1:29" s="88" customFormat="1" hidden="1" outlineLevel="2" x14ac:dyDescent="0.35">
      <c r="B481" s="2081"/>
      <c r="C481" s="3787" t="s">
        <v>275</v>
      </c>
      <c r="D481" s="566" t="s">
        <v>1606</v>
      </c>
      <c r="E481" s="566" t="s">
        <v>3</v>
      </c>
      <c r="F481" s="567">
        <f t="shared" si="83"/>
        <v>0.8</v>
      </c>
      <c r="G481" s="1621">
        <f t="shared" si="84"/>
        <v>49.460008193530847</v>
      </c>
      <c r="H481" s="803"/>
      <c r="I481" s="1175" t="s">
        <v>263</v>
      </c>
      <c r="J481" s="803"/>
      <c r="K481" s="566"/>
      <c r="L481" s="566"/>
      <c r="M481" s="570" t="str">
        <f>IFERROR(INDEX('Lower Hot Cell Logistics'!$I$13:$O$19,MATCH($K481,'Lower Hot Cell Logistics'!$H$13:$H$19,0),MATCH($L481,'Lower Hot Cell Logistics'!$H$13:$H$19,0)),"N/A")</f>
        <v>N/A</v>
      </c>
      <c r="N481" s="570" t="str">
        <f>IFERROR(VLOOKUP($J481,'Lower Hot Cell Logistics'!$H$4:$I$9,2,FALSE),"N/A")</f>
        <v>N/A</v>
      </c>
      <c r="O481" s="1175" t="str">
        <f>IF(E481="Movement",IFERROR((M481/N481)/(60*60),"Error"),"N/A")</f>
        <v>N/A</v>
      </c>
      <c r="P481" s="1664" t="s">
        <v>1828</v>
      </c>
      <c r="Q481" s="1175">
        <f>IF($E481="Logistics",VLOOKUP($P481,'Lower Hot Cell Logistics'!$C$4:$D$69,2,FALSE),"N/A")</f>
        <v>0.8</v>
      </c>
      <c r="R481" s="3415" t="s">
        <v>2332</v>
      </c>
      <c r="S481" s="1175">
        <f>IFERROR(VLOOKUP($R481,'Lower HotCell RecoveryLogistics'!$C$490:$F$556,4,FALSE),"N/A")</f>
        <v>48.660008193530849</v>
      </c>
      <c r="T481" s="1332">
        <f t="shared" si="82"/>
        <v>-8.8888888888888573E-2</v>
      </c>
      <c r="V481" s="2031"/>
      <c r="W481" s="2031"/>
      <c r="X481" s="2031"/>
      <c r="Y481" s="1466"/>
    </row>
    <row r="482" spans="1:29" s="88" customFormat="1" hidden="1" outlineLevel="2" x14ac:dyDescent="0.35">
      <c r="B482" s="2081"/>
      <c r="C482" s="3786"/>
      <c r="D482" s="573" t="s">
        <v>2096</v>
      </c>
      <c r="E482" s="573" t="s">
        <v>251</v>
      </c>
      <c r="F482" s="1276">
        <f t="shared" si="83"/>
        <v>0.8</v>
      </c>
      <c r="G482" s="626">
        <f t="shared" si="84"/>
        <v>50.260008193530844</v>
      </c>
      <c r="H482" s="1131" t="s">
        <v>275</v>
      </c>
      <c r="I482" s="1176">
        <v>0.8</v>
      </c>
      <c r="J482" s="1131"/>
      <c r="K482" s="573"/>
      <c r="L482" s="573"/>
      <c r="M482" s="853" t="str">
        <f>IFERROR(INDEX('Lower Hot Cell Logistics'!$I$13:$O$19,MATCH($K482,'Lower Hot Cell Logistics'!$H$13:$H$19,0),MATCH($L482,'Lower Hot Cell Logistics'!$H$13:$H$19,0)),"N/A")</f>
        <v>N/A</v>
      </c>
      <c r="N482" s="853" t="str">
        <f>IFERROR(VLOOKUP($J482,'Lower Hot Cell Logistics'!$H$4:$I$9,2,FALSE),"N/A")</f>
        <v>N/A</v>
      </c>
      <c r="O482" s="1176" t="str">
        <f>IF(E482="Movement",IFERROR((M482/N482)/(60*60),"Error"),"N/A")</f>
        <v>N/A</v>
      </c>
      <c r="P482" s="1580"/>
      <c r="Q482" s="1176" t="str">
        <f>IF($E482="Logistics",VLOOKUP($P482,'Lower Hot Cell Logistics'!$C$4:$D$69,2,FALSE),"N/A")</f>
        <v>N/A</v>
      </c>
      <c r="R482" s="3412"/>
      <c r="S482" s="1176" t="str">
        <f>IFERROR(VLOOKUP($R482,'Lower HotCell RecoveryLogistics'!$C$490:$F$556,4,FALSE),"N/A")</f>
        <v>N/A</v>
      </c>
      <c r="T482" s="1332" t="str">
        <f t="shared" si="82"/>
        <v>N/A</v>
      </c>
      <c r="V482" s="2031"/>
      <c r="W482" s="2031"/>
      <c r="X482" s="2031"/>
      <c r="Y482" s="1466"/>
    </row>
    <row r="483" spans="1:29" s="88" customFormat="1" ht="15" hidden="1" outlineLevel="2" thickBot="1" x14ac:dyDescent="0.4">
      <c r="B483" s="2081"/>
      <c r="C483" s="3786"/>
      <c r="D483" s="582" t="s">
        <v>2097</v>
      </c>
      <c r="E483" s="582" t="s">
        <v>3</v>
      </c>
      <c r="F483" s="1640">
        <f t="shared" si="83"/>
        <v>0.38</v>
      </c>
      <c r="G483" s="626">
        <f t="shared" si="84"/>
        <v>50.640008193530846</v>
      </c>
      <c r="H483" s="1579"/>
      <c r="I483" s="1183" t="s">
        <v>263</v>
      </c>
      <c r="J483" s="1579"/>
      <c r="K483" s="582"/>
      <c r="L483" s="582"/>
      <c r="M483" s="1478" t="s">
        <v>263</v>
      </c>
      <c r="N483" s="1478" t="s">
        <v>263</v>
      </c>
      <c r="O483" s="1183" t="s">
        <v>263</v>
      </c>
      <c r="P483" s="1578" t="s">
        <v>2008</v>
      </c>
      <c r="Q483" s="1183">
        <v>0.38</v>
      </c>
      <c r="R483" s="3377"/>
      <c r="S483" s="1183" t="str">
        <f>IFERROR(VLOOKUP($R483,'Lower HotCell RecoveryLogistics'!$C$490:$F$556,4,FALSE),"N/A")</f>
        <v>N/A</v>
      </c>
      <c r="T483" s="1353" t="str">
        <f t="shared" si="82"/>
        <v>N/A</v>
      </c>
      <c r="V483" s="2031"/>
      <c r="W483" s="2031"/>
      <c r="X483" s="2031"/>
      <c r="Y483" s="1466"/>
    </row>
    <row r="484" spans="1:29" s="88" customFormat="1" hidden="1" outlineLevel="2" x14ac:dyDescent="0.35">
      <c r="B484" s="2081"/>
      <c r="C484" s="3814" t="s">
        <v>2098</v>
      </c>
      <c r="D484" s="1906" t="s">
        <v>2099</v>
      </c>
      <c r="E484" s="1907" t="s">
        <v>3</v>
      </c>
      <c r="F484" s="1739">
        <f t="shared" si="83"/>
        <v>0.8</v>
      </c>
      <c r="G484" s="1739">
        <f t="shared" si="84"/>
        <v>51.440008193530844</v>
      </c>
      <c r="H484" s="1906"/>
      <c r="I484" s="1917" t="s">
        <v>263</v>
      </c>
      <c r="J484" s="1906"/>
      <c r="K484" s="1911"/>
      <c r="L484" s="1911"/>
      <c r="M484" s="1912" t="str">
        <f>IFERROR(INDEX('Lower Hot Cell Logistics'!$I$13:$O$19,MATCH($K484,'Lower Hot Cell Logistics'!$H$13:$H$19,0),MATCH($L484,'Lower Hot Cell Logistics'!$H$13:$H$19,0)),"N/A")</f>
        <v>N/A</v>
      </c>
      <c r="N484" s="1912" t="str">
        <f>IFERROR(VLOOKUP($J484,'Lower Hot Cell Logistics'!$H$4:$I$9,2,FALSE),"N/A")</f>
        <v>N/A</v>
      </c>
      <c r="O484" s="1917" t="str">
        <f t="shared" ref="O484:O490" si="85">IF(E484="Movement",IFERROR((M484/N484)/(60*60),"Error"),"N/A")</f>
        <v>N/A</v>
      </c>
      <c r="P484" s="1916" t="s">
        <v>1828</v>
      </c>
      <c r="Q484" s="1917">
        <f>IF($E484="Logistics",VLOOKUP($P484,'Lower Hot Cell Logistics'!$C$4:$D$69,2,FALSE),"N/A")</f>
        <v>0.8</v>
      </c>
      <c r="R484" s="3381"/>
      <c r="S484" s="1917" t="str">
        <f>IFERROR(VLOOKUP($R484,'Lower HotCell RecoveryLogistics'!$C$490:$F$556,4,FALSE),"N/A")</f>
        <v>N/A</v>
      </c>
      <c r="T484" s="824" t="str">
        <f t="shared" si="82"/>
        <v>N/A</v>
      </c>
      <c r="V484" s="2031"/>
      <c r="W484" s="2031"/>
      <c r="X484" s="2031"/>
      <c r="Y484" s="1466"/>
    </row>
    <row r="485" spans="1:29" s="88" customFormat="1" ht="29.15" hidden="1" outlineLevel="2" x14ac:dyDescent="0.35">
      <c r="B485" s="2081"/>
      <c r="C485" s="3815"/>
      <c r="D485" s="1895" t="s">
        <v>2101</v>
      </c>
      <c r="E485" s="1896" t="s">
        <v>3</v>
      </c>
      <c r="F485" s="1347">
        <f t="shared" si="83"/>
        <v>0.8</v>
      </c>
      <c r="G485" s="1347">
        <f t="shared" si="84"/>
        <v>52.792600786123444</v>
      </c>
      <c r="H485" s="1895"/>
      <c r="I485" s="1903" t="s">
        <v>263</v>
      </c>
      <c r="J485" s="1895"/>
      <c r="K485" s="1897"/>
      <c r="L485" s="1897"/>
      <c r="M485" s="1898" t="str">
        <f>IFERROR(INDEX('Lower Hot Cell Logistics'!$I$13:$O$19,MATCH($K485,'Lower Hot Cell Logistics'!$H$13:$H$19,0),MATCH($L485,'Lower Hot Cell Logistics'!$H$13:$H$19,0)),"N/A")</f>
        <v>N/A</v>
      </c>
      <c r="N485" s="1898" t="str">
        <f>IFERROR(VLOOKUP($J485,'Lower Hot Cell Logistics'!$H$4:$I$9,2,FALSE),"N/A")</f>
        <v>N/A</v>
      </c>
      <c r="O485" s="1903" t="str">
        <f t="shared" si="85"/>
        <v>N/A</v>
      </c>
      <c r="P485" s="1902" t="s">
        <v>1828</v>
      </c>
      <c r="Q485" s="1903">
        <f>IF($E485="Logistics",VLOOKUP($P485,'Lower Hot Cell Logistics'!$C$4:$D$69,2,FALSE),"N/A")</f>
        <v>0.8</v>
      </c>
      <c r="R485" s="3380" t="s">
        <v>2333</v>
      </c>
      <c r="S485" s="1903">
        <f>IFERROR(VLOOKUP($R485,'Lower HotCell RecoveryLogistics'!$C$490:$F$556,4,FALSE),"N/A")</f>
        <v>51.992600786123447</v>
      </c>
      <c r="T485" s="1332">
        <f t="shared" si="82"/>
        <v>-0.55259259259260318</v>
      </c>
      <c r="V485" s="2031"/>
      <c r="W485" s="2031"/>
      <c r="X485" s="2031"/>
      <c r="Y485" s="1466"/>
    </row>
    <row r="486" spans="1:29" s="88" customFormat="1" hidden="1" outlineLevel="2" x14ac:dyDescent="0.35">
      <c r="B486" s="2081"/>
      <c r="C486" s="3815"/>
      <c r="D486" s="1895" t="s">
        <v>2334</v>
      </c>
      <c r="E486" s="1896" t="s">
        <v>251</v>
      </c>
      <c r="F486" s="1347">
        <f t="shared" si="83"/>
        <v>7.8621484536495476</v>
      </c>
      <c r="G486" s="1347">
        <f t="shared" si="84"/>
        <v>60.65474923977299</v>
      </c>
      <c r="H486" s="1895" t="s">
        <v>449</v>
      </c>
      <c r="I486" s="1903">
        <v>7.8621484536495476</v>
      </c>
      <c r="J486" s="1895"/>
      <c r="K486" s="1897"/>
      <c r="L486" s="1897"/>
      <c r="M486" s="1898" t="str">
        <f>IFERROR(INDEX('Lower Hot Cell Logistics'!$I$13:$O$19,MATCH($K486,'Lower Hot Cell Logistics'!$H$13:$H$19,0),MATCH($L486,'Lower Hot Cell Logistics'!$H$13:$H$19,0)),"N/A")</f>
        <v>N/A</v>
      </c>
      <c r="N486" s="1898" t="str">
        <f>IFERROR(VLOOKUP($J486,'Lower Hot Cell Logistics'!$H$4:$I$9,2,FALSE),"N/A")</f>
        <v>N/A</v>
      </c>
      <c r="O486" s="1903" t="str">
        <f t="shared" si="85"/>
        <v>N/A</v>
      </c>
      <c r="P486" s="1902"/>
      <c r="Q486" s="1903" t="str">
        <f>IF($E486="Logistics",VLOOKUP($P486,'Lower Hot Cell Logistics'!$C$4:$D$69,2,FALSE),"N/A")</f>
        <v>N/A</v>
      </c>
      <c r="R486" s="3380"/>
      <c r="S486" s="1903" t="str">
        <f>IFERROR(VLOOKUP($R486,'Lower HotCell RecoveryLogistics'!$C$490:$F$556,4,FALSE),"N/A")</f>
        <v>N/A</v>
      </c>
      <c r="T486" s="1332" t="str">
        <f t="shared" si="82"/>
        <v>N/A</v>
      </c>
      <c r="V486" s="2031"/>
      <c r="W486" s="2031"/>
      <c r="X486" s="2031"/>
      <c r="Y486" s="1466"/>
    </row>
    <row r="487" spans="1:29" s="88" customFormat="1" hidden="1" outlineLevel="2" x14ac:dyDescent="0.35">
      <c r="B487" s="2081"/>
      <c r="C487" s="3815"/>
      <c r="D487" s="1895" t="s">
        <v>2103</v>
      </c>
      <c r="E487" s="1896" t="s">
        <v>3</v>
      </c>
      <c r="F487" s="1347">
        <f t="shared" si="83"/>
        <v>0.8</v>
      </c>
      <c r="G487" s="1347">
        <f t="shared" si="84"/>
        <v>61.454749239772987</v>
      </c>
      <c r="H487" s="1895"/>
      <c r="I487" s="1903" t="s">
        <v>263</v>
      </c>
      <c r="J487" s="1895"/>
      <c r="K487" s="1897"/>
      <c r="L487" s="1897"/>
      <c r="M487" s="1898" t="str">
        <f>IFERROR(INDEX('Lower Hot Cell Logistics'!$I$13:$O$19,MATCH($K487,'Lower Hot Cell Logistics'!$H$13:$H$19,0),MATCH($L487,'Lower Hot Cell Logistics'!$H$13:$H$19,0)),"N/A")</f>
        <v>N/A</v>
      </c>
      <c r="N487" s="1898" t="str">
        <f>IFERROR(VLOOKUP($J487,'Lower Hot Cell Logistics'!$H$4:$I$9,2,FALSE),"N/A")</f>
        <v>N/A</v>
      </c>
      <c r="O487" s="1903" t="str">
        <f t="shared" si="85"/>
        <v>N/A</v>
      </c>
      <c r="P487" s="1902" t="s">
        <v>1828</v>
      </c>
      <c r="Q487" s="1903">
        <f>IF($E487="Logistics",VLOOKUP($P487,'Lower Hot Cell Logistics'!$C$4:$D$69,2,FALSE),"N/A")</f>
        <v>0.8</v>
      </c>
      <c r="R487" s="3380"/>
      <c r="S487" s="1903" t="str">
        <f>IFERROR(VLOOKUP($R487,'Lower HotCell RecoveryLogistics'!$C$490:$F$556,4,FALSE),"N/A")</f>
        <v>N/A</v>
      </c>
      <c r="T487" s="1332" t="str">
        <f t="shared" si="82"/>
        <v>N/A</v>
      </c>
      <c r="V487" s="2031"/>
      <c r="W487" s="2031"/>
      <c r="X487" s="2031"/>
      <c r="Y487" s="1466"/>
    </row>
    <row r="488" spans="1:29" s="88" customFormat="1" ht="29.15" hidden="1" outlineLevel="2" x14ac:dyDescent="0.35">
      <c r="B488" s="2081"/>
      <c r="C488" s="3815"/>
      <c r="D488" s="1895" t="s">
        <v>1694</v>
      </c>
      <c r="E488" s="1896" t="s">
        <v>3</v>
      </c>
      <c r="F488" s="1347">
        <f t="shared" si="83"/>
        <v>0.53</v>
      </c>
      <c r="G488" s="1347">
        <f t="shared" si="84"/>
        <v>61.984749239772988</v>
      </c>
      <c r="H488" s="1895"/>
      <c r="I488" s="1903" t="s">
        <v>263</v>
      </c>
      <c r="J488" s="1895"/>
      <c r="K488" s="1897"/>
      <c r="L488" s="1897"/>
      <c r="M488" s="1898" t="str">
        <f>IFERROR(INDEX('Lower Hot Cell Logistics'!$I$13:$O$19,MATCH($K488,'Lower Hot Cell Logistics'!$H$13:$H$19,0),MATCH($L488,'Lower Hot Cell Logistics'!$H$13:$H$19,0)),"N/A")</f>
        <v>N/A</v>
      </c>
      <c r="N488" s="1898" t="str">
        <f>IFERROR(VLOOKUP($J488,'Lower Hot Cell Logistics'!$H$4:$I$9,2,FALSE),"N/A")</f>
        <v>N/A</v>
      </c>
      <c r="O488" s="1903" t="str">
        <f t="shared" si="85"/>
        <v>N/A</v>
      </c>
      <c r="P488" s="1902" t="s">
        <v>1558</v>
      </c>
      <c r="Q488" s="1903">
        <f>IF($E488="Logistics",VLOOKUP($P488,'Lower Hot Cell Logistics'!$C$4:$D$69,2,FALSE),"N/A")</f>
        <v>0.53</v>
      </c>
      <c r="R488" s="3380" t="s">
        <v>2335</v>
      </c>
      <c r="S488" s="1903">
        <f>IFERROR(VLOOKUP($R488,'Lower HotCell RecoveryLogistics'!$C$490:$F$556,4,FALSE),"N/A")</f>
        <v>49.812600786123447</v>
      </c>
      <c r="T488" s="1332">
        <f t="shared" si="82"/>
        <v>11.64214845364954</v>
      </c>
      <c r="V488" s="2031"/>
      <c r="W488" s="2031"/>
      <c r="X488" s="2031"/>
      <c r="Y488" s="1466"/>
    </row>
    <row r="489" spans="1:29" s="88" customFormat="1" hidden="1" outlineLevel="2" x14ac:dyDescent="0.35">
      <c r="B489" s="2081"/>
      <c r="C489" s="3815"/>
      <c r="D489" s="1895" t="s">
        <v>2105</v>
      </c>
      <c r="E489" s="1896" t="s">
        <v>251</v>
      </c>
      <c r="F489" s="1347">
        <f t="shared" si="83"/>
        <v>7.8621484536495476</v>
      </c>
      <c r="G489" s="1347">
        <f t="shared" si="84"/>
        <v>69.846897693422534</v>
      </c>
      <c r="H489" s="1895" t="s">
        <v>449</v>
      </c>
      <c r="I489" s="1903">
        <v>7.8621484536495476</v>
      </c>
      <c r="J489" s="1895"/>
      <c r="K489" s="1897"/>
      <c r="L489" s="1897"/>
      <c r="M489" s="1898" t="str">
        <f>IFERROR(INDEX('Lower Hot Cell Logistics'!$I$13:$O$19,MATCH($K489,'Lower Hot Cell Logistics'!$H$13:$H$19,0),MATCH($L489,'Lower Hot Cell Logistics'!$H$13:$H$19,0)),"N/A")</f>
        <v>N/A</v>
      </c>
      <c r="N489" s="1898" t="str">
        <f>IFERROR(VLOOKUP($J489,'Lower Hot Cell Logistics'!$H$4:$I$9,2,FALSE),"N/A")</f>
        <v>N/A</v>
      </c>
      <c r="O489" s="1903" t="str">
        <f t="shared" si="85"/>
        <v>N/A</v>
      </c>
      <c r="P489" s="1902"/>
      <c r="Q489" s="1903" t="str">
        <f>IF($E489="Logistics",VLOOKUP($P489,'Lower Hot Cell Logistics'!$C$4:$D$69,2,FALSE),"N/A")</f>
        <v>N/A</v>
      </c>
      <c r="R489" s="3380"/>
      <c r="S489" s="1903" t="str">
        <f>IFERROR(VLOOKUP($R489,'Lower HotCell RecoveryLogistics'!$C$490:$F$556,4,FALSE),"N/A")</f>
        <v>N/A</v>
      </c>
      <c r="T489" s="1332" t="str">
        <f t="shared" si="82"/>
        <v>N/A</v>
      </c>
      <c r="V489" s="2031"/>
      <c r="W489" s="2031"/>
      <c r="X489" s="2031"/>
      <c r="Y489" s="1466"/>
    </row>
    <row r="490" spans="1:29" s="88" customFormat="1" ht="15" hidden="1" outlineLevel="2" thickBot="1" x14ac:dyDescent="0.4">
      <c r="B490" s="2081"/>
      <c r="C490" s="3816"/>
      <c r="D490" s="1869" t="s">
        <v>2042</v>
      </c>
      <c r="E490" s="1918" t="s">
        <v>3</v>
      </c>
      <c r="F490" s="1295">
        <f t="shared" si="83"/>
        <v>0.6</v>
      </c>
      <c r="G490" s="1295">
        <f t="shared" si="84"/>
        <v>70.446897693422528</v>
      </c>
      <c r="H490" s="1869"/>
      <c r="I490" s="1922" t="s">
        <v>263</v>
      </c>
      <c r="J490" s="1869"/>
      <c r="K490" s="837"/>
      <c r="L490" s="837"/>
      <c r="M490" s="842" t="str">
        <f>IFERROR(INDEX('Lower Hot Cell Logistics'!$I$13:$O$19,MATCH($K490,'Lower Hot Cell Logistics'!$H$13:$H$19,0),MATCH($L490,'Lower Hot Cell Logistics'!$H$13:$H$19,0)),"N/A")</f>
        <v>N/A</v>
      </c>
      <c r="N490" s="842" t="str">
        <f>IFERROR(VLOOKUP($J490,'Lower Hot Cell Logistics'!$H$4:$I$9,2,FALSE),"N/A")</f>
        <v>N/A</v>
      </c>
      <c r="O490" s="1922" t="str">
        <f t="shared" si="85"/>
        <v>N/A</v>
      </c>
      <c r="P490" s="1921" t="s">
        <v>2008</v>
      </c>
      <c r="Q490" s="1922">
        <f>IF($E490="Logistics",VLOOKUP($P490,'Lower Hot Cell Logistics'!$C$4:$D$69,2,FALSE),"N/A")</f>
        <v>0.6</v>
      </c>
      <c r="R490" s="3382"/>
      <c r="S490" s="1922" t="str">
        <f>IFERROR(VLOOKUP($R490,'Lower HotCell RecoveryLogistics'!$C$490:$F$556,4,FALSE),"N/A")</f>
        <v>N/A</v>
      </c>
      <c r="T490" s="1345" t="str">
        <f>IFERROR(#REF!-S490,"N/A")</f>
        <v>N/A</v>
      </c>
      <c r="V490" s="2031"/>
      <c r="W490" s="2031"/>
      <c r="X490" s="2031"/>
      <c r="Y490" s="1466"/>
    </row>
    <row r="491" spans="1:29" s="8" customFormat="1" ht="15" customHeight="1" outlineLevel="1" collapsed="1" x14ac:dyDescent="0.4">
      <c r="A491"/>
      <c r="B491" s="2081"/>
      <c r="C491"/>
      <c r="D491" s="892"/>
      <c r="E491" s="1439" t="s">
        <v>11</v>
      </c>
      <c r="F491" s="1439"/>
      <c r="G491" s="894">
        <f>G490</f>
        <v>70.446897693422528</v>
      </c>
      <c r="H491" s="94"/>
      <c r="I491" s="895"/>
      <c r="J491" s="94"/>
      <c r="K491" s="94"/>
      <c r="L491" s="896"/>
      <c r="M491" s="897"/>
      <c r="N491" s="897"/>
      <c r="O491" s="894"/>
      <c r="P491" s="94"/>
      <c r="Q491" s="897"/>
      <c r="R491" s="3383"/>
      <c r="S491" s="177"/>
      <c r="T491" s="895"/>
      <c r="U491" s="895"/>
      <c r="V491" s="177"/>
      <c r="W491" s="177"/>
      <c r="X491" s="177"/>
      <c r="Y491" s="177"/>
      <c r="Z491"/>
      <c r="AA491"/>
      <c r="AB491"/>
      <c r="AC491"/>
    </row>
    <row r="492" spans="1:29" s="8" customFormat="1" outlineLevel="1" x14ac:dyDescent="0.4">
      <c r="A492"/>
      <c r="B492" s="2081"/>
      <c r="C492"/>
      <c r="D492" s="892"/>
      <c r="E492" s="688"/>
      <c r="F492"/>
      <c r="G492"/>
      <c r="H492" s="89"/>
      <c r="I492" s="177"/>
      <c r="J492"/>
      <c r="K492"/>
      <c r="L492" s="689"/>
      <c r="M492"/>
      <c r="N492"/>
      <c r="O492"/>
      <c r="P492"/>
      <c r="Q492"/>
      <c r="R492" s="3360"/>
      <c r="S492" s="177"/>
      <c r="T492"/>
      <c r="U492"/>
      <c r="V492" s="177"/>
      <c r="W492" s="177"/>
      <c r="X492" s="177"/>
      <c r="Y492" s="177"/>
      <c r="Z492"/>
      <c r="AA492"/>
      <c r="AB492"/>
      <c r="AC492"/>
    </row>
    <row r="493" spans="1:29" s="8" customFormat="1" x14ac:dyDescent="0.4">
      <c r="A493"/>
      <c r="B493" s="2082"/>
      <c r="C493" s="2084"/>
      <c r="D493" s="2084"/>
      <c r="E493" s="2084"/>
      <c r="F493" s="2084"/>
      <c r="G493" s="2084"/>
      <c r="H493" s="2084"/>
      <c r="I493" s="2084"/>
      <c r="J493" s="2084"/>
      <c r="K493" s="2084"/>
      <c r="L493" s="2084"/>
      <c r="M493" s="2084"/>
      <c r="N493" s="2084"/>
      <c r="O493" s="2084"/>
      <c r="P493" s="2084"/>
      <c r="Q493" s="2084"/>
      <c r="R493" s="3422"/>
      <c r="S493" s="2085"/>
      <c r="T493" s="2084"/>
      <c r="U493" s="2084"/>
      <c r="V493" s="2085"/>
      <c r="W493" s="2085"/>
      <c r="X493" s="2085"/>
      <c r="Y493" s="2085"/>
      <c r="Z493"/>
      <c r="AA493"/>
      <c r="AB493"/>
      <c r="AC493"/>
    </row>
    <row r="495" spans="1:29" s="8" customFormat="1" ht="15.45" x14ac:dyDescent="0.4">
      <c r="A495"/>
      <c r="B495" s="2077"/>
      <c r="C495" s="2332"/>
      <c r="D495" s="2079" t="s">
        <v>1929</v>
      </c>
      <c r="E495" s="2080"/>
      <c r="F495" s="2080"/>
      <c r="G495" s="2080"/>
      <c r="H495" s="2080"/>
      <c r="I495" s="2080"/>
      <c r="J495" s="2080"/>
      <c r="K495" s="2080"/>
      <c r="L495" s="2080"/>
      <c r="M495" s="2080"/>
      <c r="N495" s="2080"/>
      <c r="O495" s="2080"/>
      <c r="P495" s="2080"/>
      <c r="Q495" s="2080"/>
      <c r="R495" s="3421"/>
      <c r="S495" s="2080"/>
      <c r="T495" s="2080"/>
      <c r="U495" s="2080"/>
      <c r="V495" s="2080"/>
      <c r="W495" s="2080"/>
      <c r="X495" s="2080"/>
      <c r="Y495" s="2080"/>
      <c r="Z495"/>
      <c r="AA495"/>
      <c r="AB495"/>
      <c r="AC495"/>
    </row>
    <row r="496" spans="1:29" s="8" customFormat="1" outlineLevel="1" x14ac:dyDescent="0.4">
      <c r="A496"/>
      <c r="B496" s="2081"/>
      <c r="C496" s="704"/>
      <c r="D496" s="748" t="s">
        <v>1053</v>
      </c>
      <c r="E496" s="749"/>
      <c r="F496" s="704"/>
      <c r="G496" s="704"/>
      <c r="H496" s="704"/>
      <c r="I496" s="750"/>
      <c r="J496" s="704"/>
      <c r="K496" s="704"/>
      <c r="L496" s="704"/>
      <c r="M496" s="704"/>
      <c r="N496" s="704"/>
      <c r="O496" s="704"/>
      <c r="P496" s="704"/>
      <c r="Q496" s="704"/>
      <c r="R496" s="3364"/>
      <c r="S496" s="750"/>
      <c r="T496" s="704"/>
      <c r="U496" s="704"/>
      <c r="V496" s="750"/>
      <c r="W496" s="750"/>
      <c r="X496" s="750"/>
      <c r="Y496" s="750"/>
      <c r="Z496"/>
      <c r="AA496"/>
      <c r="AB496"/>
      <c r="AC496"/>
    </row>
    <row r="497" spans="1:29" s="8" customFormat="1" ht="15" outlineLevel="1" thickBot="1" x14ac:dyDescent="0.45">
      <c r="A497"/>
      <c r="B497" s="2081"/>
      <c r="C497" s="704"/>
      <c r="D497" s="704" t="s">
        <v>1034</v>
      </c>
      <c r="E497" s="749"/>
      <c r="F497" s="704"/>
      <c r="G497" s="704"/>
      <c r="H497" s="704"/>
      <c r="I497" s="750"/>
      <c r="J497" s="704"/>
      <c r="K497" s="704"/>
      <c r="L497" s="704"/>
      <c r="M497" s="704"/>
      <c r="N497" s="704"/>
      <c r="O497" s="704"/>
      <c r="P497" s="704"/>
      <c r="Q497" s="704"/>
      <c r="R497" s="3364"/>
      <c r="S497" s="750"/>
      <c r="T497" s="704"/>
      <c r="V497" s="704"/>
      <c r="W497" s="750"/>
      <c r="X497" s="750"/>
      <c r="Y497" s="750"/>
      <c r="Z497"/>
      <c r="AA497"/>
      <c r="AB497"/>
      <c r="AC497"/>
    </row>
    <row r="498" spans="1:29" s="8" customFormat="1" outlineLevel="1" x14ac:dyDescent="0.4">
      <c r="A498"/>
      <c r="B498" s="2081"/>
      <c r="C498" s="704"/>
      <c r="D498" t="s">
        <v>2690</v>
      </c>
      <c r="E498" s="749"/>
      <c r="F498" s="704"/>
      <c r="G498" s="704"/>
      <c r="H498" s="704"/>
      <c r="I498" s="750"/>
      <c r="J498" s="704"/>
      <c r="K498" s="704"/>
      <c r="L498" s="704"/>
      <c r="M498" s="704"/>
      <c r="N498" s="704"/>
      <c r="O498" s="704"/>
      <c r="P498" s="704"/>
      <c r="Q498" s="704"/>
      <c r="R498" s="3365"/>
      <c r="S498" s="1514" t="s">
        <v>23</v>
      </c>
      <c r="T498" s="3842" t="s">
        <v>2604</v>
      </c>
      <c r="U498" s="3843"/>
      <c r="V498" s="3843"/>
      <c r="W498" s="3843"/>
      <c r="X498" s="3844"/>
      <c r="Y498" s="1044"/>
      <c r="Z498"/>
      <c r="AA498"/>
      <c r="AB498"/>
      <c r="AC498"/>
    </row>
    <row r="499" spans="1:29" s="8" customFormat="1" outlineLevel="1" x14ac:dyDescent="0.4">
      <c r="A499"/>
      <c r="B499" s="2081"/>
      <c r="C499" s="704"/>
      <c r="D499" s="704" t="s">
        <v>1035</v>
      </c>
      <c r="E499" s="749"/>
      <c r="F499" s="704"/>
      <c r="G499" s="704"/>
      <c r="H499" s="704"/>
      <c r="I499" s="750"/>
      <c r="J499" s="704"/>
      <c r="K499" s="704"/>
      <c r="L499" s="704"/>
      <c r="M499" s="704"/>
      <c r="N499" s="704"/>
      <c r="O499" s="704"/>
      <c r="P499" s="704"/>
      <c r="Q499" s="704"/>
      <c r="R499" s="3359" t="s">
        <v>1055</v>
      </c>
      <c r="S499" s="916">
        <v>1</v>
      </c>
      <c r="T499" s="1512">
        <v>1</v>
      </c>
      <c r="U499" s="916">
        <v>2</v>
      </c>
      <c r="V499" s="916">
        <v>3</v>
      </c>
      <c r="W499" s="916">
        <v>4</v>
      </c>
      <c r="X499" s="1045">
        <v>6</v>
      </c>
      <c r="Y499" s="1851"/>
      <c r="Z499"/>
      <c r="AA499"/>
      <c r="AB499"/>
      <c r="AC499"/>
    </row>
    <row r="500" spans="1:29" s="8" customFormat="1" outlineLevel="1" x14ac:dyDescent="0.4">
      <c r="A500"/>
      <c r="B500" s="2081"/>
      <c r="C500" s="704"/>
      <c r="D500" s="704" t="s">
        <v>1036</v>
      </c>
      <c r="E500" s="749"/>
      <c r="F500" s="704"/>
      <c r="G500" s="704"/>
      <c r="H500" s="704"/>
      <c r="I500" s="750"/>
      <c r="J500" s="704"/>
      <c r="K500" s="704"/>
      <c r="L500" s="704"/>
      <c r="M500" s="704"/>
      <c r="N500" s="704"/>
      <c r="O500" s="704"/>
      <c r="P500" s="704"/>
      <c r="Q500" s="704"/>
      <c r="R500" s="3333" t="s">
        <v>2665</v>
      </c>
      <c r="S500" s="917">
        <f>connect_divertor_piepwork</f>
        <v>16.965057309144747</v>
      </c>
      <c r="T500" s="1415">
        <f>ROUNDUP(Tokamak_Segmts/T499,0)*connect_divertor_piepwork</f>
        <v>271.44091694631595</v>
      </c>
      <c r="U500" s="917">
        <f>ROUNDUP(Tokamak_Segmts/U499,0)*connect_divertor_piepwork</f>
        <v>135.72045847315798</v>
      </c>
      <c r="V500" s="917">
        <f>ROUNDUP(Tokamak_Segmts/V499,0)*connect_divertor_piepwork</f>
        <v>101.79034385486848</v>
      </c>
      <c r="W500" s="917">
        <f>ROUNDUP(Tokamak_Segmts/W499,0)*connect_divertor_piepwork</f>
        <v>67.860229236578988</v>
      </c>
      <c r="X500" s="1028">
        <f>ROUNDUP(Tokamak_Segmts/X499,0)*connect_divertor_piepwork</f>
        <v>50.895171927434241</v>
      </c>
      <c r="Y500" s="290"/>
      <c r="Z500"/>
      <c r="AA500"/>
      <c r="AB500"/>
      <c r="AC500"/>
    </row>
    <row r="501" spans="1:29" s="8" customFormat="1" ht="15" outlineLevel="1" thickBot="1" x14ac:dyDescent="0.45">
      <c r="A501"/>
      <c r="B501" s="2081"/>
      <c r="C501" s="704"/>
      <c r="D501" s="704" t="s">
        <v>1037</v>
      </c>
      <c r="E501" s="749"/>
      <c r="F501" s="704"/>
      <c r="G501" s="704"/>
      <c r="H501" s="704"/>
      <c r="I501" s="750"/>
      <c r="J501" s="704"/>
      <c r="K501" s="704"/>
      <c r="L501" s="704"/>
      <c r="M501" s="704"/>
      <c r="N501" s="704"/>
      <c r="O501" s="704"/>
      <c r="P501" s="704"/>
      <c r="Q501" s="704"/>
      <c r="R501" s="3334" t="s">
        <v>2666</v>
      </c>
      <c r="S501" s="920">
        <f>S$500*$E$505</f>
        <v>0.1866156304005922</v>
      </c>
      <c r="T501" s="1416">
        <f t="shared" ref="T501:X501" si="86">T$500*$E$505</f>
        <v>2.9858500864094752</v>
      </c>
      <c r="U501" s="920">
        <f t="shared" si="86"/>
        <v>1.4929250432047376</v>
      </c>
      <c r="V501" s="920">
        <f t="shared" si="86"/>
        <v>1.1196937824035533</v>
      </c>
      <c r="W501" s="920">
        <f t="shared" si="86"/>
        <v>0.74646252160236881</v>
      </c>
      <c r="X501" s="1029">
        <f t="shared" si="86"/>
        <v>0.55984689120177666</v>
      </c>
      <c r="Y501" s="290"/>
      <c r="Z501"/>
      <c r="AA501"/>
      <c r="AB501"/>
      <c r="AC501"/>
    </row>
    <row r="502" spans="1:29" s="8" customFormat="1" outlineLevel="1" x14ac:dyDescent="0.4">
      <c r="A502"/>
      <c r="B502" s="2081"/>
      <c r="C502" s="704"/>
      <c r="D502" s="704" t="s">
        <v>1038</v>
      </c>
      <c r="E502" s="749"/>
      <c r="F502" s="704"/>
      <c r="G502" s="704"/>
      <c r="H502" s="704"/>
      <c r="I502" s="750"/>
      <c r="J502" s="704"/>
      <c r="K502" s="704"/>
      <c r="L502" s="704"/>
      <c r="M502" s="704"/>
      <c r="N502" s="704"/>
      <c r="O502" s="704"/>
      <c r="P502" s="704"/>
      <c r="Q502" s="704"/>
      <c r="R502" s="3410" t="s">
        <v>1048</v>
      </c>
      <c r="S502" s="1063">
        <f t="shared" ref="S502:X502" si="87">S501*(SUMIF($E513:$E540,"Operation",$F513:$F540))</f>
        <v>6.4503908213983117</v>
      </c>
      <c r="T502" s="1500">
        <f t="shared" si="87"/>
        <v>103.20625314237299</v>
      </c>
      <c r="U502" s="768">
        <f t="shared" si="87"/>
        <v>51.603126571186493</v>
      </c>
      <c r="V502" s="768">
        <f t="shared" si="87"/>
        <v>38.702344928389877</v>
      </c>
      <c r="W502" s="768">
        <f t="shared" si="87"/>
        <v>25.801563285593247</v>
      </c>
      <c r="X502" s="1062">
        <f t="shared" si="87"/>
        <v>19.351172464194939</v>
      </c>
      <c r="Y502" s="290"/>
      <c r="Z502"/>
      <c r="AA502"/>
      <c r="AB502"/>
      <c r="AC502"/>
    </row>
    <row r="503" spans="1:29" s="8" customFormat="1" outlineLevel="1" x14ac:dyDescent="0.4">
      <c r="A503"/>
      <c r="B503" s="2081"/>
      <c r="C503" s="704"/>
      <c r="D503" s="704"/>
      <c r="E503" s="749"/>
      <c r="F503" s="704"/>
      <c r="G503" s="704"/>
      <c r="H503" s="704"/>
      <c r="I503" s="750"/>
      <c r="J503" s="704"/>
      <c r="K503" s="704"/>
      <c r="L503" s="704"/>
      <c r="M503" s="704"/>
      <c r="N503" s="704"/>
      <c r="O503" s="704"/>
      <c r="P503" s="704"/>
      <c r="Q503" s="704"/>
      <c r="R503" s="3359" t="s">
        <v>2658</v>
      </c>
      <c r="S503" s="1065">
        <f t="shared" ref="S503:X503" si="88">S501*(SUMIF($E513:$E540,"Movement",$F513:$F540)+(SUMIF($E513:$E540,"Logistics",$F513:$F540)))</f>
        <v>2.1460797496068107</v>
      </c>
      <c r="T503" s="1502">
        <f t="shared" si="88"/>
        <v>34.337275993708971</v>
      </c>
      <c r="U503" s="769">
        <f t="shared" si="88"/>
        <v>17.168637996854486</v>
      </c>
      <c r="V503" s="769">
        <f t="shared" si="88"/>
        <v>12.876478497640866</v>
      </c>
      <c r="W503" s="769">
        <f t="shared" si="88"/>
        <v>8.5843189984272428</v>
      </c>
      <c r="X503" s="1064">
        <f t="shared" si="88"/>
        <v>6.438239248820433</v>
      </c>
      <c r="Y503" s="290"/>
      <c r="Z503"/>
      <c r="AA503"/>
      <c r="AB503"/>
      <c r="AC503"/>
    </row>
    <row r="504" spans="1:29" s="8" customFormat="1" ht="15" outlineLevel="1" thickBot="1" x14ac:dyDescent="0.45">
      <c r="A504"/>
      <c r="B504" s="2081"/>
      <c r="C504" s="704"/>
      <c r="D504" s="704"/>
      <c r="E504" s="749"/>
      <c r="F504" s="704"/>
      <c r="G504" s="704"/>
      <c r="H504" s="704"/>
      <c r="I504" s="750"/>
      <c r="J504" s="704"/>
      <c r="K504" s="704"/>
      <c r="L504" s="704"/>
      <c r="M504" s="704"/>
      <c r="N504" s="704"/>
      <c r="O504" s="704"/>
      <c r="P504" s="704"/>
      <c r="Q504" s="704"/>
      <c r="R504" s="3411" t="s">
        <v>2663</v>
      </c>
      <c r="S504" s="1067">
        <f t="shared" ref="S504:X504" si="89">S501*(-SUMIF($T513:$T540,"&lt;0"))</f>
        <v>0.27183676828353071</v>
      </c>
      <c r="T504" s="1110">
        <f t="shared" si="89"/>
        <v>4.3493882925364913</v>
      </c>
      <c r="U504" s="770">
        <f t="shared" si="89"/>
        <v>2.1746941462682456</v>
      </c>
      <c r="V504" s="770">
        <f t="shared" si="89"/>
        <v>1.6310206097011843</v>
      </c>
      <c r="W504" s="770">
        <f t="shared" si="89"/>
        <v>1.0873470731341228</v>
      </c>
      <c r="X504" s="1066">
        <f t="shared" si="89"/>
        <v>0.81551030485059217</v>
      </c>
      <c r="Y504" s="290"/>
      <c r="Z504"/>
      <c r="AA504"/>
      <c r="AB504"/>
      <c r="AC504"/>
    </row>
    <row r="505" spans="1:29" s="8" customFormat="1" ht="15" outlineLevel="1" thickBot="1" x14ac:dyDescent="0.45">
      <c r="A505"/>
      <c r="B505" s="2081"/>
      <c r="C505" s="704"/>
      <c r="D505" s="748" t="s">
        <v>1056</v>
      </c>
      <c r="E505" s="709">
        <f>SUM(E506:E507)</f>
        <v>1.0999999999999999E-2</v>
      </c>
      <c r="F505" s="709"/>
      <c r="G505" s="709"/>
      <c r="H505" s="709"/>
      <c r="I505" s="919"/>
      <c r="J505" s="918"/>
      <c r="K505" s="918"/>
      <c r="L505" s="918"/>
      <c r="M505" s="918"/>
      <c r="N505" s="918"/>
      <c r="O505" s="918"/>
      <c r="P505" s="704"/>
      <c r="Q505" s="704"/>
      <c r="R505" s="3573" t="s">
        <v>2667</v>
      </c>
      <c r="S505" s="694">
        <f t="shared" ref="S505:X505" si="90">S501*$G$541</f>
        <v>8.868307339288652</v>
      </c>
      <c r="T505" s="2994">
        <f t="shared" si="90"/>
        <v>141.89291742861843</v>
      </c>
      <c r="U505" s="694">
        <f t="shared" si="90"/>
        <v>70.946458714309216</v>
      </c>
      <c r="V505" s="694">
        <f t="shared" si="90"/>
        <v>53.209844035731919</v>
      </c>
      <c r="W505" s="694">
        <f t="shared" si="90"/>
        <v>35.473229357154608</v>
      </c>
      <c r="X505" s="2974">
        <f t="shared" si="90"/>
        <v>26.60492201786596</v>
      </c>
      <c r="Y505" s="915"/>
      <c r="Z505"/>
      <c r="AA505"/>
      <c r="AB505"/>
      <c r="AC505"/>
    </row>
    <row r="506" spans="1:29" s="8" customFormat="1" outlineLevel="1" x14ac:dyDescent="0.4">
      <c r="A506"/>
      <c r="B506" s="2081"/>
      <c r="C506" s="5"/>
      <c r="D506" s="7" t="s">
        <v>1057</v>
      </c>
      <c r="E506" s="763">
        <f>Weld_Failure_Rate</f>
        <v>1E-3</v>
      </c>
      <c r="F506" s="922"/>
      <c r="G506" s="922"/>
      <c r="H506" s="924"/>
      <c r="I506" s="290"/>
      <c r="J506" s="922"/>
      <c r="K506" s="922"/>
      <c r="L506" s="925"/>
      <c r="M506" s="922"/>
      <c r="N506" s="922"/>
      <c r="O506" s="922"/>
      <c r="P506" s="706"/>
      <c r="Q506" s="7"/>
      <c r="Y506" s="915"/>
      <c r="Z506"/>
      <c r="AA506"/>
      <c r="AB506"/>
      <c r="AC506"/>
    </row>
    <row r="507" spans="1:29" s="8" customFormat="1" outlineLevel="1" x14ac:dyDescent="0.4">
      <c r="A507"/>
      <c r="B507" s="2081"/>
      <c r="C507" s="5"/>
      <c r="D507" s="7" t="s">
        <v>1058</v>
      </c>
      <c r="E507" s="763">
        <f>SJS_welder_failure</f>
        <v>0.01</v>
      </c>
      <c r="F507" s="922"/>
      <c r="G507" s="922"/>
      <c r="H507" s="924"/>
      <c r="I507" s="290"/>
      <c r="J507" s="922"/>
      <c r="K507" s="922"/>
      <c r="L507" s="925"/>
      <c r="M507" s="922"/>
      <c r="N507" s="922"/>
      <c r="O507" s="922"/>
      <c r="P507" s="706"/>
      <c r="Q507" s="7"/>
      <c r="Y507" s="915"/>
      <c r="Z507"/>
      <c r="AA507"/>
      <c r="AB507"/>
      <c r="AC507"/>
    </row>
    <row r="508" spans="1:29" s="8" customFormat="1" outlineLevel="1" x14ac:dyDescent="0.4">
      <c r="A508"/>
      <c r="B508" s="2081"/>
      <c r="C508" s="5"/>
      <c r="D508" s="926" t="s">
        <v>1059</v>
      </c>
      <c r="E508" s="709">
        <f>E505*(1-(1-E505)^(pipes_per_cassette))</f>
        <v>4.7607240294899916E-4</v>
      </c>
      <c r="F508" s="927"/>
      <c r="G508" s="927"/>
      <c r="H508" s="927"/>
      <c r="I508" s="919"/>
      <c r="J508" s="927"/>
      <c r="K508" s="927"/>
      <c r="L508" s="927"/>
      <c r="M508" s="927"/>
      <c r="N508" s="927"/>
      <c r="O508" s="927"/>
      <c r="P508" s="706"/>
      <c r="Q508" s="7"/>
      <c r="Z508"/>
      <c r="AA508"/>
      <c r="AB508"/>
      <c r="AC508"/>
    </row>
    <row r="509" spans="1:29" s="8" customFormat="1" outlineLevel="1" x14ac:dyDescent="0.4">
      <c r="A509"/>
      <c r="B509" s="2081"/>
      <c r="C509" s="5"/>
      <c r="D509" s="926"/>
      <c r="E509" s="928"/>
      <c r="F509" s="927"/>
      <c r="G509" s="927"/>
      <c r="H509" s="927"/>
      <c r="I509" s="919"/>
      <c r="J509" s="927"/>
      <c r="K509" s="927"/>
      <c r="L509" s="927"/>
      <c r="M509" s="927"/>
      <c r="N509" s="927"/>
      <c r="O509" s="927"/>
      <c r="P509" s="706"/>
      <c r="Q509" s="7"/>
      <c r="R509" s="3369"/>
      <c r="S509" s="290"/>
      <c r="T509" s="7"/>
      <c r="U509" s="7"/>
      <c r="V509" s="290"/>
      <c r="W509" s="290"/>
      <c r="X509" s="290"/>
      <c r="Y509" s="290"/>
      <c r="Z509"/>
      <c r="AA509"/>
      <c r="AB509"/>
      <c r="AC509"/>
    </row>
    <row r="510" spans="1:29" s="8" customFormat="1" ht="15.75" hidden="1" customHeight="1" outlineLevel="2" thickBot="1" x14ac:dyDescent="0.45">
      <c r="A510"/>
      <c r="B510" s="2081"/>
      <c r="C510" s="5"/>
      <c r="D510" s="926"/>
      <c r="E510" s="928"/>
      <c r="F510" s="927"/>
      <c r="G510" s="927"/>
      <c r="H510" s="927"/>
      <c r="I510" s="919"/>
      <c r="J510" s="927"/>
      <c r="K510" s="927"/>
      <c r="L510" s="927"/>
      <c r="M510" s="927"/>
      <c r="N510" s="927"/>
      <c r="O510" s="927"/>
      <c r="P510" s="706"/>
      <c r="Q510" s="7"/>
      <c r="R510" s="3369"/>
      <c r="S510" s="290"/>
      <c r="T510" s="7"/>
      <c r="U510" s="7"/>
      <c r="V510" s="290"/>
      <c r="W510" s="290"/>
      <c r="X510" s="290"/>
      <c r="Y510" s="290"/>
      <c r="Z510"/>
      <c r="AA510"/>
      <c r="AB510"/>
      <c r="AC510"/>
    </row>
    <row r="511" spans="1:29" s="8" customFormat="1" ht="15.75" hidden="1" customHeight="1" outlineLevel="2" thickBot="1" x14ac:dyDescent="0.45">
      <c r="A511"/>
      <c r="B511" s="2081"/>
      <c r="C511" s="5"/>
      <c r="D511" s="926"/>
      <c r="E511" s="701"/>
      <c r="F511" s="7"/>
      <c r="G511" s="929"/>
      <c r="H511" s="930" t="s">
        <v>18</v>
      </c>
      <c r="I511" s="931"/>
      <c r="J511" s="932" t="s">
        <v>778</v>
      </c>
      <c r="K511" s="933"/>
      <c r="L511" s="933"/>
      <c r="M511" s="933"/>
      <c r="N511" s="933"/>
      <c r="O511" s="934"/>
      <c r="P511" s="933" t="s">
        <v>3</v>
      </c>
      <c r="Q511" s="934"/>
      <c r="R511" s="3386" t="s">
        <v>779</v>
      </c>
      <c r="S511" s="3018"/>
      <c r="T511" s="3019"/>
      <c r="V511" s="938"/>
      <c r="W511" s="938"/>
      <c r="X511" s="7"/>
      <c r="Y511" s="290"/>
      <c r="Z511"/>
      <c r="AA511"/>
      <c r="AB511"/>
      <c r="AC511"/>
    </row>
    <row r="512" spans="1:29" s="8" customFormat="1" ht="30.75" hidden="1" customHeight="1" outlineLevel="2" thickBot="1" x14ac:dyDescent="0.45">
      <c r="A512"/>
      <c r="B512" s="2081"/>
      <c r="C512" s="939" t="s">
        <v>780</v>
      </c>
      <c r="D512" s="940" t="s">
        <v>1060</v>
      </c>
      <c r="E512" s="941" t="s">
        <v>782</v>
      </c>
      <c r="F512" s="942" t="s">
        <v>783</v>
      </c>
      <c r="G512" s="943" t="s">
        <v>784</v>
      </c>
      <c r="H512" s="562" t="s">
        <v>785</v>
      </c>
      <c r="I512" s="944" t="s">
        <v>783</v>
      </c>
      <c r="J512" s="562" t="s">
        <v>786</v>
      </c>
      <c r="K512" s="563" t="s">
        <v>787</v>
      </c>
      <c r="L512" s="563" t="s">
        <v>788</v>
      </c>
      <c r="M512" s="563" t="s">
        <v>789</v>
      </c>
      <c r="N512" s="563" t="s">
        <v>790</v>
      </c>
      <c r="O512" s="945" t="s">
        <v>783</v>
      </c>
      <c r="P512" s="560" t="s">
        <v>785</v>
      </c>
      <c r="Q512" s="946" t="s">
        <v>783</v>
      </c>
      <c r="R512" s="3387" t="s">
        <v>781</v>
      </c>
      <c r="S512" s="794" t="s">
        <v>791</v>
      </c>
      <c r="T512" s="789" t="s">
        <v>792</v>
      </c>
      <c r="V512" s="947"/>
      <c r="W512" s="947"/>
      <c r="X512" s="7"/>
      <c r="Y512" s="290"/>
      <c r="Z512"/>
      <c r="AA512"/>
      <c r="AB512"/>
      <c r="AC512"/>
    </row>
    <row r="513" spans="1:29" s="8" customFormat="1" ht="15" hidden="1" customHeight="1" outlineLevel="2" x14ac:dyDescent="0.4">
      <c r="A513"/>
      <c r="B513" s="2081"/>
      <c r="C513" s="3886" t="s">
        <v>1062</v>
      </c>
      <c r="D513" s="797" t="s">
        <v>1923</v>
      </c>
      <c r="E513" s="799" t="s">
        <v>251</v>
      </c>
      <c r="F513" s="456">
        <f>MAX($Q513,$O513,$I513)</f>
        <v>0</v>
      </c>
      <c r="G513" s="800">
        <f>F513</f>
        <v>0</v>
      </c>
      <c r="H513" s="797" t="s">
        <v>557</v>
      </c>
      <c r="I513" s="621">
        <v>0</v>
      </c>
      <c r="J513" s="568"/>
      <c r="K513" s="566"/>
      <c r="L513" s="801"/>
      <c r="M513" s="802" t="str">
        <f>IFERROR(INDEX('Lower Hot Cell Logistics'!$I$28:$O$34,MATCH($K513,'Lower Hot Cell Logistics'!$H$28:$H$34,0),MATCH($L513,'Lower Hot Cell Logistics'!$H$28:$H$34,0)),"N/A")</f>
        <v>N/A</v>
      </c>
      <c r="N513" s="570" t="str">
        <f>IFERROR(VLOOKUP($J513,'Lower Hot Cell Logistics'!$H$4:$I$8,2,FALSE),"N/A")</f>
        <v>N/A</v>
      </c>
      <c r="O513" s="800" t="str">
        <f t="shared" ref="O513:O523" si="91">IF(E513="Movement",IFERROR((M513/N513)/(60*60),"Error"),"N/A")</f>
        <v>N/A</v>
      </c>
      <c r="P513" s="803"/>
      <c r="Q513" s="802" t="str">
        <f>IF($E513="Logistics",VLOOKUP($P513,'Lower Hot Cell Logistics'!$C$4:$D$57,2,FALSE),"N/A")</f>
        <v>N/A</v>
      </c>
      <c r="R513" s="3398"/>
      <c r="S513" s="804" t="str">
        <f>IFERROR(VLOOKUP($R513,'Lower HotCell RecoveryLogistics'!$C$559:$F$607,4,FALSE),"N/A")</f>
        <v>N/A</v>
      </c>
      <c r="T513" s="1332" t="str">
        <f t="shared" ref="T513:T539" si="92">IFERROR(G512-S513,"N/A")</f>
        <v>N/A</v>
      </c>
      <c r="V513" s="947"/>
      <c r="W513" s="947"/>
      <c r="X513" s="7"/>
      <c r="Y513" s="290"/>
      <c r="Z513"/>
      <c r="AA513"/>
      <c r="AB513"/>
      <c r="AC513"/>
    </row>
    <row r="514" spans="1:29" s="8" customFormat="1" ht="15" hidden="1" customHeight="1" outlineLevel="2" x14ac:dyDescent="0.4">
      <c r="A514"/>
      <c r="B514" s="2081"/>
      <c r="C514" s="3890"/>
      <c r="D514" s="2001" t="s">
        <v>1885</v>
      </c>
      <c r="E514" s="2002" t="s">
        <v>251</v>
      </c>
      <c r="F514" s="335">
        <f t="shared" ref="F514:F536" si="93">MAX($Q514,$O514,$I514)</f>
        <v>12.602967059728389</v>
      </c>
      <c r="G514" s="2003">
        <f>IF(T514&lt;0,F514+G513+(-T514),F514+G513)</f>
        <v>12.602967059728389</v>
      </c>
      <c r="H514" s="1579" t="s">
        <v>1908</v>
      </c>
      <c r="I514" s="1476">
        <v>12.602967059728389</v>
      </c>
      <c r="J514" s="627"/>
      <c r="K514" s="582"/>
      <c r="L514" s="1962"/>
      <c r="M514" s="1479" t="str">
        <f>IFERROR(INDEX(#REF!,MATCH($K514,#REF!,0),MATCH($L514,#REF!,0)),"N/A")</f>
        <v>N/A</v>
      </c>
      <c r="N514" s="1478" t="str">
        <f>IFERROR(VLOOKUP($J514,#REF!,2,FALSE),"N/A")</f>
        <v>N/A</v>
      </c>
      <c r="O514" s="2003" t="str">
        <f t="shared" si="91"/>
        <v>N/A</v>
      </c>
      <c r="P514" s="1638"/>
      <c r="Q514" s="1479" t="str">
        <f>IF($E514="Logistics",VLOOKUP($P514,'Lower Hot Cell Logistics'!$C$4:$D$57,2,FALSE),"N/A")</f>
        <v>N/A</v>
      </c>
      <c r="R514" s="3399"/>
      <c r="S514" s="2004" t="str">
        <f>IFERROR(VLOOKUP($R514,'Lower HotCell RecoveryLogistics'!$C$559:$F$607,4,FALSE),"N/A")</f>
        <v>N/A</v>
      </c>
      <c r="T514" s="1332" t="str">
        <f t="shared" si="92"/>
        <v>N/A</v>
      </c>
      <c r="V514" s="273"/>
      <c r="W514" s="273"/>
      <c r="X514" s="273"/>
      <c r="Y514" s="273"/>
      <c r="Z514"/>
      <c r="AA514"/>
      <c r="AB514"/>
      <c r="AC514"/>
    </row>
    <row r="515" spans="1:29" s="8" customFormat="1" ht="15" hidden="1" customHeight="1" outlineLevel="2" thickBot="1" x14ac:dyDescent="0.45">
      <c r="A515"/>
      <c r="B515" s="2081"/>
      <c r="C515" s="3887"/>
      <c r="D515" s="808" t="s">
        <v>2340</v>
      </c>
      <c r="E515" s="1966" t="s">
        <v>3</v>
      </c>
      <c r="F515" s="471">
        <f t="shared" si="93"/>
        <v>0.6</v>
      </c>
      <c r="G515" s="887">
        <f t="shared" ref="G515:G540" si="94">IF(T515&lt;0,F515+G514+(-T515),F515+G514)</f>
        <v>13.202967059728389</v>
      </c>
      <c r="H515" s="584"/>
      <c r="I515" s="591" t="s">
        <v>263</v>
      </c>
      <c r="J515" s="586"/>
      <c r="K515" s="584"/>
      <c r="L515" s="812"/>
      <c r="M515" s="813" t="str">
        <f>IFERROR(INDEX(#REF!,MATCH($K515,#REF!,0),MATCH($L515,#REF!,0)),"N/A")</f>
        <v>N/A</v>
      </c>
      <c r="N515" s="814" t="str">
        <f>IFERROR(VLOOKUP($J515,#REF!,2,FALSE),"N/A")</f>
        <v>N/A</v>
      </c>
      <c r="O515" s="887" t="str">
        <f t="shared" si="91"/>
        <v>N/A</v>
      </c>
      <c r="P515" s="1136" t="s">
        <v>2008</v>
      </c>
      <c r="Q515" s="813">
        <f>IF($E515="Logistics",VLOOKUP($P515,'Lower Hot Cell Logistics'!$C$4:$D$57,2,FALSE),"N/A")</f>
        <v>0.6</v>
      </c>
      <c r="R515" s="3400"/>
      <c r="S515" s="1968" t="str">
        <f>IFERROR(VLOOKUP($R515,'Lower HotCell RecoveryLogistics'!$C$559:$F$607,4,FALSE),"N/A")</f>
        <v>N/A</v>
      </c>
      <c r="T515" s="1332" t="str">
        <f t="shared" si="92"/>
        <v>N/A</v>
      </c>
      <c r="V515" s="273"/>
      <c r="W515" s="273"/>
      <c r="X515" s="273"/>
      <c r="Y515" s="5"/>
      <c r="Z515"/>
      <c r="AA515"/>
      <c r="AB515"/>
      <c r="AC515"/>
    </row>
    <row r="516" spans="1:29" s="8" customFormat="1" hidden="1" outlineLevel="2" x14ac:dyDescent="0.4">
      <c r="A516"/>
      <c r="B516" s="2081"/>
      <c r="C516" s="3814" t="s">
        <v>1601</v>
      </c>
      <c r="D516" s="823" t="s">
        <v>1603</v>
      </c>
      <c r="E516" s="823" t="s">
        <v>3</v>
      </c>
      <c r="F516" s="1291">
        <f t="shared" si="93"/>
        <v>0.8</v>
      </c>
      <c r="G516" s="1739">
        <f t="shared" si="94"/>
        <v>14.002967059728389</v>
      </c>
      <c r="H516" s="829"/>
      <c r="I516" s="1575" t="s">
        <v>263</v>
      </c>
      <c r="J516" s="1129"/>
      <c r="K516" s="1619"/>
      <c r="L516" s="1619"/>
      <c r="M516" s="1623" t="str">
        <f>IFERROR(INDEX(#REF!,MATCH($K516,#REF!,0),MATCH($L516,#REF!,0)),"N/A")</f>
        <v>N/A</v>
      </c>
      <c r="N516" s="1623" t="str">
        <f>IFERROR(VLOOKUP($J516,#REF!,2,FALSE),"N/A")</f>
        <v>N/A</v>
      </c>
      <c r="O516" s="1575" t="str">
        <f t="shared" si="91"/>
        <v>N/A</v>
      </c>
      <c r="P516" s="2039" t="s">
        <v>1828</v>
      </c>
      <c r="Q516" s="2040">
        <f>IF($E516="Logistics",VLOOKUP($P516,'Lower Hot Cell Logistics'!$C$4:$D$57,2,FALSE),"N/A")</f>
        <v>0.8</v>
      </c>
      <c r="R516" s="3413" t="s">
        <v>2341</v>
      </c>
      <c r="S516" s="2040">
        <f>IFERROR(VLOOKUP($R516,'Lower HotCell RecoveryLogistics'!$C$559:$F$607,4,FALSE),"N/A")</f>
        <v>3.365925925925926</v>
      </c>
      <c r="T516" s="1332">
        <f t="shared" si="92"/>
        <v>9.8370411338024617</v>
      </c>
      <c r="V516" s="273"/>
      <c r="W516" s="273"/>
      <c r="X516" s="273"/>
      <c r="Y516" s="5"/>
      <c r="Z516"/>
      <c r="AA516"/>
      <c r="AB516"/>
      <c r="AC516"/>
    </row>
    <row r="517" spans="1:29" s="8" customFormat="1" ht="15" hidden="1" customHeight="1" outlineLevel="2" x14ac:dyDescent="0.4">
      <c r="A517"/>
      <c r="B517" s="2081"/>
      <c r="C517" s="3815"/>
      <c r="D517" s="860" t="s">
        <v>1604</v>
      </c>
      <c r="E517" s="860" t="s">
        <v>251</v>
      </c>
      <c r="F517" s="1363">
        <f t="shared" si="93"/>
        <v>4.0999999999999996</v>
      </c>
      <c r="G517" s="1347">
        <f t="shared" si="94"/>
        <v>18.102967059728389</v>
      </c>
      <c r="H517" s="2041" t="s">
        <v>1604</v>
      </c>
      <c r="I517" s="1183">
        <v>4.0999999999999996</v>
      </c>
      <c r="J517" s="1579"/>
      <c r="K517" s="582"/>
      <c r="L517" s="582"/>
      <c r="M517" s="1478" t="str">
        <f>IFERROR(INDEX(#REF!,MATCH($K517,#REF!,0),MATCH($L517,#REF!,0)),"N/A")</f>
        <v>N/A</v>
      </c>
      <c r="N517" s="1478" t="str">
        <f>IFERROR(VLOOKUP($J517,#REF!,2,FALSE),"N/A")</f>
        <v>N/A</v>
      </c>
      <c r="O517" s="1183" t="str">
        <f t="shared" si="91"/>
        <v>N/A</v>
      </c>
      <c r="P517" s="1725"/>
      <c r="Q517" s="2042" t="str">
        <f>IF($E517="Logistics",VLOOKUP($P517,'Lower Hot Cell Logistics'!$C$4:$D$57,2,FALSE),"N/A")</f>
        <v>N/A</v>
      </c>
      <c r="R517" s="3414"/>
      <c r="S517" s="2042" t="str">
        <f>IFERROR(VLOOKUP($R517,'Lower HotCell RecoveryLogistics'!$C$559:$F$607,4,FALSE),"N/A")</f>
        <v>N/A</v>
      </c>
      <c r="T517" s="1332" t="str">
        <f t="shared" si="92"/>
        <v>N/A</v>
      </c>
      <c r="V517" s="273"/>
      <c r="W517" s="273"/>
      <c r="X517" s="273"/>
      <c r="Y517" s="5"/>
      <c r="Z517"/>
      <c r="AA517"/>
      <c r="AB517"/>
      <c r="AC517"/>
    </row>
    <row r="518" spans="1:29" s="8" customFormat="1" ht="15" hidden="1" customHeight="1" outlineLevel="2" x14ac:dyDescent="0.4">
      <c r="A518"/>
      <c r="B518" s="2081"/>
      <c r="C518" s="3815"/>
      <c r="D518" s="860" t="s">
        <v>1605</v>
      </c>
      <c r="E518" s="860" t="s">
        <v>3</v>
      </c>
      <c r="F518" s="1363">
        <f t="shared" si="93"/>
        <v>0.6</v>
      </c>
      <c r="G518" s="1347">
        <f t="shared" si="94"/>
        <v>18.70296705972839</v>
      </c>
      <c r="H518" s="2041"/>
      <c r="I518" s="1183" t="s">
        <v>263</v>
      </c>
      <c r="J518" s="1579"/>
      <c r="K518" s="582"/>
      <c r="L518" s="582"/>
      <c r="M518" s="1478" t="str">
        <f>IFERROR(INDEX(#REF!,MATCH($K518,#REF!,0),MATCH($L518,#REF!,0)),"N/A")</f>
        <v>N/A</v>
      </c>
      <c r="N518" s="1478" t="str">
        <f>IFERROR(VLOOKUP($J518,#REF!,2,FALSE),"N/A")</f>
        <v>N/A</v>
      </c>
      <c r="O518" s="1183" t="str">
        <f t="shared" si="91"/>
        <v>N/A</v>
      </c>
      <c r="P518" s="1725" t="s">
        <v>2008</v>
      </c>
      <c r="Q518" s="2042">
        <f>IF($E518="Logistics",VLOOKUP($P518,'Lower Hot Cell Logistics'!$C$4:$D$57,2,FALSE),"N/A")</f>
        <v>0.6</v>
      </c>
      <c r="R518" s="3414"/>
      <c r="S518" s="2042" t="str">
        <f>IFERROR(VLOOKUP($R518,'Lower HotCell RecoveryLogistics'!$C$559:$F$607,4,FALSE),"N/A")</f>
        <v>N/A</v>
      </c>
      <c r="T518" s="1332" t="str">
        <f t="shared" si="92"/>
        <v>N/A</v>
      </c>
      <c r="V518" s="273"/>
      <c r="W518" s="273"/>
      <c r="X518" s="273"/>
      <c r="Y518" s="5"/>
      <c r="Z518"/>
      <c r="AA518"/>
      <c r="AB518"/>
      <c r="AC518"/>
    </row>
    <row r="519" spans="1:29" s="8" customFormat="1" ht="15" hidden="1" customHeight="1" outlineLevel="2" x14ac:dyDescent="0.4">
      <c r="A519"/>
      <c r="B519" s="2081"/>
      <c r="C519" s="3815"/>
      <c r="D519" s="860" t="s">
        <v>1606</v>
      </c>
      <c r="E519" s="860" t="s">
        <v>3</v>
      </c>
      <c r="F519" s="1363">
        <f t="shared" si="93"/>
        <v>0.8</v>
      </c>
      <c r="G519" s="1347">
        <f t="shared" si="94"/>
        <v>19.502967059728391</v>
      </c>
      <c r="H519" s="2041"/>
      <c r="I519" s="1183" t="s">
        <v>263</v>
      </c>
      <c r="J519" s="1579"/>
      <c r="K519" s="582"/>
      <c r="L519" s="582"/>
      <c r="M519" s="1478" t="str">
        <f>IFERROR(INDEX(#REF!,MATCH($K519,#REF!,0),MATCH($L519,#REF!,0)),"N/A")</f>
        <v>N/A</v>
      </c>
      <c r="N519" s="1478" t="str">
        <f>IFERROR(VLOOKUP($J519,#REF!,2,FALSE),"N/A")</f>
        <v>N/A</v>
      </c>
      <c r="O519" s="1183" t="str">
        <f t="shared" si="91"/>
        <v>N/A</v>
      </c>
      <c r="P519" s="1725" t="s">
        <v>1828</v>
      </c>
      <c r="Q519" s="2042">
        <f>IF($E519="Logistics",VLOOKUP($P519,'Lower Hot Cell Logistics'!$C$4:$D$57,2,FALSE),"N/A")</f>
        <v>0.8</v>
      </c>
      <c r="R519" s="3414"/>
      <c r="S519" s="2042" t="str">
        <f>IFERROR(VLOOKUP($R519,'Lower HotCell RecoveryLogistics'!$C$559:$F$607,4,FALSE),"N/A")</f>
        <v>N/A</v>
      </c>
      <c r="T519" s="1332" t="str">
        <f t="shared" si="92"/>
        <v>N/A</v>
      </c>
      <c r="V519" s="273"/>
      <c r="W519" s="273"/>
      <c r="X519" s="273"/>
      <c r="Y519" s="5"/>
      <c r="Z519"/>
      <c r="AA519"/>
      <c r="AB519"/>
      <c r="AC519"/>
    </row>
    <row r="520" spans="1:29" s="8" customFormat="1" ht="15" hidden="1" customHeight="1" outlineLevel="2" x14ac:dyDescent="0.4">
      <c r="A520"/>
      <c r="B520" s="2081"/>
      <c r="C520" s="3815"/>
      <c r="D520" s="860" t="s">
        <v>2327</v>
      </c>
      <c r="E520" s="860" t="s">
        <v>251</v>
      </c>
      <c r="F520" s="1363">
        <f t="shared" si="93"/>
        <v>5.1999999999999993</v>
      </c>
      <c r="G520" s="1347">
        <f t="shared" si="94"/>
        <v>24.70296705972839</v>
      </c>
      <c r="H520" s="2041" t="s">
        <v>270</v>
      </c>
      <c r="I520" s="1183">
        <v>5.1999999999999993</v>
      </c>
      <c r="J520" s="1579"/>
      <c r="K520" s="582"/>
      <c r="L520" s="582"/>
      <c r="M520" s="1478" t="str">
        <f>IFERROR(INDEX(#REF!,MATCH($K520,#REF!,0),MATCH($L520,#REF!,0)),"N/A")</f>
        <v>N/A</v>
      </c>
      <c r="N520" s="1478" t="str">
        <f>IFERROR(VLOOKUP($J520,#REF!,2,FALSE),"N/A")</f>
        <v>N/A</v>
      </c>
      <c r="O520" s="1183" t="str">
        <f t="shared" si="91"/>
        <v>N/A</v>
      </c>
      <c r="P520" s="1725"/>
      <c r="Q520" s="2042" t="str">
        <f>IF($E520="Logistics",VLOOKUP($P520,'Lower Hot Cell Logistics'!$C$4:$D$57,2,FALSE),"N/A")</f>
        <v>N/A</v>
      </c>
      <c r="R520" s="3414"/>
      <c r="S520" s="2042" t="str">
        <f>IFERROR(VLOOKUP($R520,'Lower HotCell RecoveryLogistics'!$C$559:$F$607,4,FALSE),"N/A")</f>
        <v>N/A</v>
      </c>
      <c r="T520" s="1332" t="str">
        <f t="shared" si="92"/>
        <v>N/A</v>
      </c>
      <c r="V520" s="273"/>
      <c r="W520" s="273"/>
      <c r="X520" s="273"/>
      <c r="Y520" s="5"/>
      <c r="Z520"/>
      <c r="AA520"/>
      <c r="AB520"/>
      <c r="AC520"/>
    </row>
    <row r="521" spans="1:29" s="8" customFormat="1" ht="15" hidden="1" customHeight="1" outlineLevel="2" thickBot="1" x14ac:dyDescent="0.45">
      <c r="A521"/>
      <c r="B521" s="2081"/>
      <c r="C521" s="3816"/>
      <c r="D521" s="837" t="s">
        <v>1575</v>
      </c>
      <c r="E521" s="837" t="s">
        <v>3</v>
      </c>
      <c r="F521" s="2043">
        <f t="shared" si="93"/>
        <v>0.6</v>
      </c>
      <c r="G521" s="1295">
        <f t="shared" si="94"/>
        <v>25.302967059728392</v>
      </c>
      <c r="H521" s="1869"/>
      <c r="I521" s="1179" t="s">
        <v>263</v>
      </c>
      <c r="J521" s="1136"/>
      <c r="K521" s="584"/>
      <c r="L521" s="584"/>
      <c r="M521" s="814" t="str">
        <f>IFERROR(INDEX(#REF!,MATCH($K521,#REF!,0),MATCH($L521,#REF!,0)),"N/A")</f>
        <v>N/A</v>
      </c>
      <c r="N521" s="814" t="str">
        <f>IFERROR(VLOOKUP($J521,#REF!,2,FALSE),"N/A")</f>
        <v>N/A</v>
      </c>
      <c r="O521" s="1179" t="str">
        <f t="shared" si="91"/>
        <v>N/A</v>
      </c>
      <c r="P521" s="1921" t="s">
        <v>2008</v>
      </c>
      <c r="Q521" s="1922">
        <f>IF($E521="Logistics",VLOOKUP($P521,'Lower Hot Cell Logistics'!$C$4:$D$57,2,FALSE),"N/A")</f>
        <v>0.6</v>
      </c>
      <c r="R521" s="3382"/>
      <c r="S521" s="1922" t="str">
        <f>IFERROR(VLOOKUP($R521,'Lower HotCell RecoveryLogistics'!$C$559:$F$607,4,FALSE),"N/A")</f>
        <v>N/A</v>
      </c>
      <c r="T521" s="1332" t="str">
        <f t="shared" si="92"/>
        <v>N/A</v>
      </c>
      <c r="V521" s="273"/>
      <c r="W521" s="273"/>
      <c r="X521" s="273"/>
      <c r="Y521" s="5"/>
      <c r="Z521"/>
      <c r="AA521"/>
      <c r="AB521"/>
      <c r="AC521"/>
    </row>
    <row r="522" spans="1:29" s="88" customFormat="1" ht="29.15" hidden="1" outlineLevel="2" x14ac:dyDescent="0.35">
      <c r="B522" s="2081"/>
      <c r="C522" s="3787" t="s">
        <v>1609</v>
      </c>
      <c r="D522" s="566" t="s">
        <v>1606</v>
      </c>
      <c r="E522" s="566" t="s">
        <v>3</v>
      </c>
      <c r="F522" s="567">
        <f t="shared" si="93"/>
        <v>0.8</v>
      </c>
      <c r="G522" s="1621">
        <f t="shared" si="94"/>
        <v>26.102967059728392</v>
      </c>
      <c r="H522" s="803"/>
      <c r="I522" s="1175" t="s">
        <v>263</v>
      </c>
      <c r="J522" s="803"/>
      <c r="K522" s="566"/>
      <c r="L522" s="2205"/>
      <c r="M522" s="802" t="str">
        <f>IFERROR(INDEX('Lower Hot Cell Logistics'!$I$13:$O$19,MATCH($K522,'Lower Hot Cell Logistics'!$H$13:$H$19,0),MATCH($L522,'Lower Hot Cell Logistics'!$H$13:$H$19,0)),"N/A")</f>
        <v>N/A</v>
      </c>
      <c r="N522" s="570" t="str">
        <f>IFERROR(VLOOKUP($J522,'Lower Hot Cell Logistics'!$H$4:$I$9,2,FALSE),"N/A")</f>
        <v>N/A</v>
      </c>
      <c r="O522" s="1175" t="str">
        <f t="shared" si="91"/>
        <v>N/A</v>
      </c>
      <c r="P522" s="1664" t="s">
        <v>1828</v>
      </c>
      <c r="Q522" s="1175">
        <f>IF($E522="Logistics",VLOOKUP($P522,'Lower Hot Cell Logistics'!$C$4:$D$69,2,FALSE),"N/A")</f>
        <v>0.8</v>
      </c>
      <c r="R522" s="3415" t="s">
        <v>2328</v>
      </c>
      <c r="S522" s="1175">
        <f>IFERROR(VLOOKUP($R522,'Lower HotCell RecoveryLogistics'!$C$559:$F$607,4,FALSE),"N/A")</f>
        <v>16.624448541209873</v>
      </c>
      <c r="T522" s="1332">
        <f t="shared" si="92"/>
        <v>8.6785185185185192</v>
      </c>
      <c r="V522" s="2031"/>
      <c r="W522" s="2031"/>
      <c r="X522" s="2031"/>
      <c r="Y522" s="1466"/>
    </row>
    <row r="523" spans="1:29" s="88" customFormat="1" hidden="1" outlineLevel="2" x14ac:dyDescent="0.35">
      <c r="B523" s="2081"/>
      <c r="C523" s="3786"/>
      <c r="D523" s="573" t="s">
        <v>1611</v>
      </c>
      <c r="E523" s="573" t="s">
        <v>251</v>
      </c>
      <c r="F523" s="1276">
        <f t="shared" si="93"/>
        <v>1</v>
      </c>
      <c r="G523" s="626">
        <f t="shared" si="94"/>
        <v>27.102967059728392</v>
      </c>
      <c r="H523" s="1131" t="s">
        <v>271</v>
      </c>
      <c r="I523" s="1176">
        <v>1</v>
      </c>
      <c r="J523" s="1131"/>
      <c r="K523" s="573"/>
      <c r="L523" s="1631"/>
      <c r="M523" s="852" t="str">
        <f>IFERROR(INDEX('Lower Hot Cell Logistics'!$I$13:$O$19,MATCH($K523,'Lower Hot Cell Logistics'!$H$13:$H$19,0),MATCH($L523,'Lower Hot Cell Logistics'!$H$13:$H$19,0)),"N/A")</f>
        <v>N/A</v>
      </c>
      <c r="N523" s="853" t="str">
        <f>IFERROR(VLOOKUP($J523,'Lower Hot Cell Logistics'!$H$4:$I$9,2,FALSE),"N/A")</f>
        <v>N/A</v>
      </c>
      <c r="O523" s="1176" t="str">
        <f t="shared" si="91"/>
        <v>N/A</v>
      </c>
      <c r="P523" s="1580"/>
      <c r="Q523" s="1176" t="str">
        <f>IF($E523="Logistics",VLOOKUP($P523,'Lower Hot Cell Logistics'!$C$4:$D$69,2,FALSE),"N/A")</f>
        <v>N/A</v>
      </c>
      <c r="R523" s="3412"/>
      <c r="S523" s="1176" t="str">
        <f>IFERROR(VLOOKUP($R523,'Lower HotCell RecoveryLogistics'!$C$559:$F$607,4,FALSE),"N/A")</f>
        <v>N/A</v>
      </c>
      <c r="T523" s="1332" t="str">
        <f t="shared" si="92"/>
        <v>N/A</v>
      </c>
      <c r="V523" s="2031"/>
      <c r="W523" s="2031"/>
      <c r="X523" s="2031"/>
      <c r="Y523" s="1466"/>
    </row>
    <row r="524" spans="1:29" s="88" customFormat="1" ht="15" hidden="1" outlineLevel="2" thickBot="1" x14ac:dyDescent="0.4">
      <c r="B524" s="2081"/>
      <c r="C524" s="3788"/>
      <c r="D524" s="584" t="s">
        <v>2035</v>
      </c>
      <c r="E524" s="584" t="s">
        <v>3</v>
      </c>
      <c r="F524" s="1632">
        <f t="shared" si="93"/>
        <v>0.38</v>
      </c>
      <c r="G524" s="585">
        <f t="shared" si="94"/>
        <v>27.482967059728391</v>
      </c>
      <c r="H524" s="1136"/>
      <c r="I524" s="1179" t="s">
        <v>263</v>
      </c>
      <c r="J524" s="1136"/>
      <c r="K524" s="584"/>
      <c r="L524" s="1633"/>
      <c r="M524" s="813" t="s">
        <v>263</v>
      </c>
      <c r="N524" s="814" t="s">
        <v>263</v>
      </c>
      <c r="O524" s="1179" t="s">
        <v>263</v>
      </c>
      <c r="P524" s="1582" t="s">
        <v>2008</v>
      </c>
      <c r="Q524" s="1179">
        <v>0.38</v>
      </c>
      <c r="R524" s="3378"/>
      <c r="S524" s="1179" t="str">
        <f>IFERROR(VLOOKUP($R524,'Lower HotCell RecoveryLogistics'!$C$559:$F$607,4,FALSE),"N/A")</f>
        <v>N/A</v>
      </c>
      <c r="T524" s="1332" t="str">
        <f t="shared" si="92"/>
        <v>N/A</v>
      </c>
      <c r="V524" s="2031"/>
      <c r="W524" s="2031"/>
      <c r="X524" s="2031"/>
      <c r="Y524" s="1466"/>
    </row>
    <row r="525" spans="1:29" s="88" customFormat="1" ht="15" hidden="1" customHeight="1" outlineLevel="2" x14ac:dyDescent="0.35">
      <c r="B525" s="2081"/>
      <c r="C525" s="3814" t="s">
        <v>1613</v>
      </c>
      <c r="D525" s="823" t="s">
        <v>1606</v>
      </c>
      <c r="E525" s="823" t="s">
        <v>3</v>
      </c>
      <c r="F525" s="1291">
        <f t="shared" si="93"/>
        <v>0.8</v>
      </c>
      <c r="G525" s="1739">
        <f t="shared" si="94"/>
        <v>28.282967059728392</v>
      </c>
      <c r="H525" s="829"/>
      <c r="I525" s="2040" t="s">
        <v>263</v>
      </c>
      <c r="J525" s="829"/>
      <c r="K525" s="823"/>
      <c r="L525" s="2191"/>
      <c r="M525" s="827" t="str">
        <f>IFERROR(INDEX('Lower Hot Cell Logistics'!$I$13:$O$19,MATCH($K525,'Lower Hot Cell Logistics'!$H$13:$H$19,0),MATCH($L525,'Lower Hot Cell Logistics'!$H$13:$H$19,0)),"N/A")</f>
        <v>N/A</v>
      </c>
      <c r="N525" s="828" t="str">
        <f>IFERROR(VLOOKUP($J525,'Lower Hot Cell Logistics'!$H$4:$I$9,2,FALSE),"N/A")</f>
        <v>N/A</v>
      </c>
      <c r="O525" s="2040" t="str">
        <f>IF(E525="Movement",IFERROR((M525/N525)/(60*60),"Error"),"N/A")</f>
        <v>N/A</v>
      </c>
      <c r="P525" s="2039" t="s">
        <v>1828</v>
      </c>
      <c r="Q525" s="2040">
        <f>IF($E525="Logistics",VLOOKUP($P525,'Lower Hot Cell Logistics'!$C$4:$D$69,2,FALSE),"N/A")</f>
        <v>0.8</v>
      </c>
      <c r="R525" s="3413" t="s">
        <v>2329</v>
      </c>
      <c r="S525" s="2040">
        <f>IFERROR(VLOOKUP($R525,'Lower HotCell RecoveryLogistics'!$C$559:$F$607,4,FALSE),"N/A")</f>
        <v>26.971855948617275</v>
      </c>
      <c r="T525" s="1332">
        <f t="shared" si="92"/>
        <v>0.5111111111111164</v>
      </c>
      <c r="V525" s="2031"/>
      <c r="W525" s="2031"/>
      <c r="X525" s="2031"/>
      <c r="Y525" s="1466"/>
    </row>
    <row r="526" spans="1:29" s="88" customFormat="1" hidden="1" outlineLevel="2" x14ac:dyDescent="0.35">
      <c r="B526" s="2081"/>
      <c r="C526" s="3815"/>
      <c r="D526" s="860" t="s">
        <v>1615</v>
      </c>
      <c r="E526" s="860" t="s">
        <v>251</v>
      </c>
      <c r="F526" s="1363">
        <f t="shared" si="93"/>
        <v>1</v>
      </c>
      <c r="G526" s="1347">
        <f t="shared" si="94"/>
        <v>29.282967059728392</v>
      </c>
      <c r="H526" s="2041" t="s">
        <v>271</v>
      </c>
      <c r="I526" s="2042">
        <v>1</v>
      </c>
      <c r="J526" s="2041"/>
      <c r="K526" s="860"/>
      <c r="L526" s="2192"/>
      <c r="M526" s="864" t="str">
        <f>IFERROR(INDEX('Lower Hot Cell Logistics'!$I$13:$O$19,MATCH($K526,'Lower Hot Cell Logistics'!$H$13:$H$19,0),MATCH($L526,'Lower Hot Cell Logistics'!$H$13:$H$19,0)),"N/A")</f>
        <v>N/A</v>
      </c>
      <c r="N526" s="865" t="str">
        <f>IFERROR(VLOOKUP($J526,'Lower Hot Cell Logistics'!$H$4:$I$9,2,FALSE),"N/A")</f>
        <v>N/A</v>
      </c>
      <c r="O526" s="2042" t="str">
        <f>IF(E526="Movement",IFERROR((M526/N526)/(60*60),"Error"),"N/A")</f>
        <v>N/A</v>
      </c>
      <c r="P526" s="1725"/>
      <c r="Q526" s="2042" t="str">
        <f>IF($E526="Logistics",VLOOKUP($P526,'Lower Hot Cell Logistics'!$C$4:$D$69,2,FALSE),"N/A")</f>
        <v>N/A</v>
      </c>
      <c r="R526" s="3414"/>
      <c r="S526" s="2042" t="str">
        <f>IFERROR(VLOOKUP($R526,'Lower HotCell RecoveryLogistics'!$C$559:$F$607,4,FALSE),"N/A")</f>
        <v>N/A</v>
      </c>
      <c r="T526" s="1332" t="str">
        <f t="shared" si="92"/>
        <v>N/A</v>
      </c>
      <c r="V526" s="2031"/>
      <c r="W526" s="2031"/>
      <c r="X526" s="2031"/>
      <c r="Y526" s="1466"/>
    </row>
    <row r="527" spans="1:29" s="88" customFormat="1" ht="15" hidden="1" outlineLevel="2" thickBot="1" x14ac:dyDescent="0.4">
      <c r="B527" s="2081"/>
      <c r="C527" s="3816"/>
      <c r="D527" s="837" t="s">
        <v>2036</v>
      </c>
      <c r="E527" s="837" t="s">
        <v>3</v>
      </c>
      <c r="F527" s="2043">
        <f t="shared" si="93"/>
        <v>0.38</v>
      </c>
      <c r="G527" s="1295">
        <f t="shared" si="94"/>
        <v>29.662967059728391</v>
      </c>
      <c r="H527" s="1869"/>
      <c r="I527" s="1922" t="s">
        <v>263</v>
      </c>
      <c r="J527" s="1869"/>
      <c r="K527" s="837"/>
      <c r="L527" s="2204"/>
      <c r="M527" s="841" t="s">
        <v>263</v>
      </c>
      <c r="N527" s="842" t="s">
        <v>263</v>
      </c>
      <c r="O527" s="1922" t="s">
        <v>263</v>
      </c>
      <c r="P527" s="1921" t="s">
        <v>2008</v>
      </c>
      <c r="Q527" s="1922">
        <v>0.38</v>
      </c>
      <c r="R527" s="3382"/>
      <c r="S527" s="1922" t="str">
        <f>IFERROR(VLOOKUP($R527,'Lower HotCell RecoveryLogistics'!$C$559:$F$607,4,FALSE),"N/A")</f>
        <v>N/A</v>
      </c>
      <c r="T527" s="1332" t="str">
        <f t="shared" si="92"/>
        <v>N/A</v>
      </c>
      <c r="V527" s="2031"/>
      <c r="W527" s="2031"/>
      <c r="X527" s="2031"/>
      <c r="Y527" s="1466"/>
    </row>
    <row r="528" spans="1:29" s="88" customFormat="1" hidden="1" outlineLevel="2" x14ac:dyDescent="0.35">
      <c r="B528" s="2081"/>
      <c r="C528" s="3787" t="s">
        <v>1678</v>
      </c>
      <c r="D528" s="566" t="s">
        <v>1606</v>
      </c>
      <c r="E528" s="566" t="s">
        <v>3</v>
      </c>
      <c r="F528" s="1621">
        <f t="shared" si="93"/>
        <v>0.8</v>
      </c>
      <c r="G528" s="1621">
        <f t="shared" si="94"/>
        <v>31.278152244913574</v>
      </c>
      <c r="H528" s="803"/>
      <c r="I528" s="1175" t="s">
        <v>263</v>
      </c>
      <c r="J528" s="803"/>
      <c r="K528" s="566"/>
      <c r="L528" s="566"/>
      <c r="M528" s="570" t="str">
        <f>IFERROR(INDEX('Lower Hot Cell Logistics'!$I$13:$O$19,MATCH($K528,'Lower Hot Cell Logistics'!$H$13:$H$19,0),MATCH($L528,'Lower Hot Cell Logistics'!$H$13:$H$19,0)),"N/A")</f>
        <v>N/A</v>
      </c>
      <c r="N528" s="570" t="str">
        <f>IFERROR(VLOOKUP($J528,'Lower Hot Cell Logistics'!$H$4:$I$9,2,FALSE),"N/A")</f>
        <v>N/A</v>
      </c>
      <c r="O528" s="1175" t="str">
        <f>IF(E528="Movement",IFERROR((M528/N528)/(60*60),"Error"),"N/A")</f>
        <v>N/A</v>
      </c>
      <c r="P528" s="1664" t="s">
        <v>1828</v>
      </c>
      <c r="Q528" s="1175">
        <f>IF($E528="Logistics",VLOOKUP($P528,'Lower Hot Cell Logistics'!$C$4:$D$69,2,FALSE),"N/A")</f>
        <v>0.8</v>
      </c>
      <c r="R528" s="3415" t="s">
        <v>2330</v>
      </c>
      <c r="S528" s="1175">
        <f>IFERROR(VLOOKUP($R528,'Lower HotCell RecoveryLogistics'!$C$559:$F$607,4,FALSE),"N/A")</f>
        <v>30.478152244913574</v>
      </c>
      <c r="T528" s="1332">
        <f t="shared" si="92"/>
        <v>-0.81518518518518235</v>
      </c>
      <c r="V528" s="2031"/>
      <c r="W528" s="2031"/>
      <c r="X528" s="2031"/>
      <c r="Y528" s="1466"/>
    </row>
    <row r="529" spans="1:29" s="88" customFormat="1" hidden="1" outlineLevel="2" x14ac:dyDescent="0.35">
      <c r="B529" s="2081"/>
      <c r="C529" s="3786"/>
      <c r="D529" s="573" t="s">
        <v>1681</v>
      </c>
      <c r="E529" s="573" t="s">
        <v>251</v>
      </c>
      <c r="F529" s="626">
        <f t="shared" si="93"/>
        <v>1</v>
      </c>
      <c r="G529" s="626">
        <f t="shared" si="94"/>
        <v>32.278152244913571</v>
      </c>
      <c r="H529" s="1131" t="s">
        <v>274</v>
      </c>
      <c r="I529" s="1176">
        <v>1</v>
      </c>
      <c r="J529" s="1131"/>
      <c r="K529" s="573"/>
      <c r="L529" s="573"/>
      <c r="M529" s="853" t="str">
        <f>IFERROR(INDEX('Lower Hot Cell Logistics'!$I$13:$O$19,MATCH($K529,'Lower Hot Cell Logistics'!$H$13:$H$19,0),MATCH($L529,'Lower Hot Cell Logistics'!$H$13:$H$19,0)),"N/A")</f>
        <v>N/A</v>
      </c>
      <c r="N529" s="853" t="str">
        <f>IFERROR(VLOOKUP($J529,'Lower Hot Cell Logistics'!$H$4:$I$9,2,FALSE),"N/A")</f>
        <v>N/A</v>
      </c>
      <c r="O529" s="1176" t="str">
        <f>IF(E529="Movement",IFERROR((M529/N529)/(60*60),"Error"),"N/A")</f>
        <v>N/A</v>
      </c>
      <c r="P529" s="1580"/>
      <c r="Q529" s="1176" t="str">
        <f>IF($E529="Logistics",VLOOKUP($P529,'Lower Hot Cell Logistics'!$C$4:$D$69,2,FALSE),"N/A")</f>
        <v>N/A</v>
      </c>
      <c r="R529" s="3412"/>
      <c r="S529" s="1176" t="str">
        <f>IFERROR(VLOOKUP($R529,'Lower HotCell RecoveryLogistics'!$C$559:$F$607,4,FALSE),"N/A")</f>
        <v>N/A</v>
      </c>
      <c r="T529" s="1332" t="str">
        <f t="shared" si="92"/>
        <v>N/A</v>
      </c>
      <c r="V529" s="2031"/>
      <c r="W529" s="2031"/>
      <c r="X529" s="2031"/>
      <c r="Y529" s="1466"/>
    </row>
    <row r="530" spans="1:29" s="88" customFormat="1" ht="15" hidden="1" outlineLevel="2" thickBot="1" x14ac:dyDescent="0.4">
      <c r="B530" s="2081"/>
      <c r="C530" s="3788"/>
      <c r="D530" s="584" t="s">
        <v>2092</v>
      </c>
      <c r="E530" s="584" t="s">
        <v>3</v>
      </c>
      <c r="F530" s="585">
        <f t="shared" si="93"/>
        <v>0.38</v>
      </c>
      <c r="G530" s="585">
        <f t="shared" si="94"/>
        <v>32.658152244913573</v>
      </c>
      <c r="H530" s="1136"/>
      <c r="I530" s="1179" t="s">
        <v>263</v>
      </c>
      <c r="J530" s="1136"/>
      <c r="K530" s="584"/>
      <c r="L530" s="584"/>
      <c r="M530" s="814" t="s">
        <v>263</v>
      </c>
      <c r="N530" s="814" t="s">
        <v>263</v>
      </c>
      <c r="O530" s="1179" t="s">
        <v>263</v>
      </c>
      <c r="P530" s="1582" t="s">
        <v>2008</v>
      </c>
      <c r="Q530" s="1179">
        <v>0.38</v>
      </c>
      <c r="R530" s="3378"/>
      <c r="S530" s="1179" t="str">
        <f>IFERROR(VLOOKUP($R530,'Lower HotCell RecoveryLogistics'!$C$559:$F$607,4,FALSE),"N/A")</f>
        <v>N/A</v>
      </c>
      <c r="T530" s="1332" t="str">
        <f t="shared" si="92"/>
        <v>N/A</v>
      </c>
      <c r="V530" s="2031"/>
      <c r="W530" s="2031"/>
      <c r="X530" s="2031"/>
      <c r="Y530" s="1466"/>
    </row>
    <row r="531" spans="1:29" s="88" customFormat="1" hidden="1" outlineLevel="2" x14ac:dyDescent="0.35">
      <c r="B531" s="2081"/>
      <c r="C531" s="3814" t="s">
        <v>1683</v>
      </c>
      <c r="D531" s="823" t="s">
        <v>1606</v>
      </c>
      <c r="E531" s="823" t="s">
        <v>3</v>
      </c>
      <c r="F531" s="1291">
        <f t="shared" si="93"/>
        <v>0.8</v>
      </c>
      <c r="G531" s="1739">
        <f t="shared" si="94"/>
        <v>33.45815224491357</v>
      </c>
      <c r="H531" s="829"/>
      <c r="I531" s="2040" t="s">
        <v>263</v>
      </c>
      <c r="J531" s="829"/>
      <c r="K531" s="823"/>
      <c r="L531" s="823"/>
      <c r="M531" s="828" t="str">
        <f>IFERROR(INDEX('Lower Hot Cell Logistics'!$I$13:$O$19,MATCH($K531,'Lower Hot Cell Logistics'!$H$13:$H$19,0),MATCH($L531,'Lower Hot Cell Logistics'!$H$13:$H$19,0)),"N/A")</f>
        <v>N/A</v>
      </c>
      <c r="N531" s="828" t="str">
        <f>IFERROR(VLOOKUP($J531,'Lower Hot Cell Logistics'!$H$4:$I$9,2,FALSE),"N/A")</f>
        <v>N/A</v>
      </c>
      <c r="O531" s="2040" t="str">
        <f>IF(E531="Movement",IFERROR((M531/N531)/(60*60),"Error"),"N/A")</f>
        <v>N/A</v>
      </c>
      <c r="P531" s="2039" t="s">
        <v>1828</v>
      </c>
      <c r="Q531" s="2040">
        <f>IF($E531="Logistics",VLOOKUP($P531,'Lower Hot Cell Logistics'!$C$4:$D$69,2,FALSE),"N/A")</f>
        <v>0.8</v>
      </c>
      <c r="R531" s="3413" t="s">
        <v>2331</v>
      </c>
      <c r="S531" s="2040">
        <f>IFERROR(VLOOKUP($R531,'Lower HotCell RecoveryLogistics'!$C$559:$F$607,4,FALSE),"N/A")</f>
        <v>32.658152244913573</v>
      </c>
      <c r="T531" s="1332">
        <f t="shared" si="92"/>
        <v>0</v>
      </c>
      <c r="V531" s="2031"/>
      <c r="W531" s="2031"/>
      <c r="X531" s="2031"/>
      <c r="Y531" s="1466"/>
    </row>
    <row r="532" spans="1:29" s="88" customFormat="1" hidden="1" outlineLevel="2" x14ac:dyDescent="0.35">
      <c r="B532" s="2081"/>
      <c r="C532" s="3815"/>
      <c r="D532" s="860" t="s">
        <v>1685</v>
      </c>
      <c r="E532" s="860" t="s">
        <v>251</v>
      </c>
      <c r="F532" s="1363">
        <f t="shared" si="93"/>
        <v>1</v>
      </c>
      <c r="G532" s="1347">
        <f t="shared" si="94"/>
        <v>34.45815224491357</v>
      </c>
      <c r="H532" s="2041" t="s">
        <v>274</v>
      </c>
      <c r="I532" s="2042">
        <v>1</v>
      </c>
      <c r="J532" s="2041"/>
      <c r="K532" s="860"/>
      <c r="L532" s="860"/>
      <c r="M532" s="865" t="str">
        <f>IFERROR(INDEX('Lower Hot Cell Logistics'!$I$13:$O$19,MATCH($K532,'Lower Hot Cell Logistics'!$H$13:$H$19,0),MATCH($L532,'Lower Hot Cell Logistics'!$H$13:$H$19,0)),"N/A")</f>
        <v>N/A</v>
      </c>
      <c r="N532" s="865" t="str">
        <f>IFERROR(VLOOKUP($J532,'Lower Hot Cell Logistics'!$H$4:$I$9,2,FALSE),"N/A")</f>
        <v>N/A</v>
      </c>
      <c r="O532" s="2042" t="str">
        <f>IF(E532="Movement",IFERROR((M532/N532)/(60*60),"Error"),"N/A")</f>
        <v>N/A</v>
      </c>
      <c r="P532" s="1725"/>
      <c r="Q532" s="2042" t="str">
        <f>IF($E532="Logistics",VLOOKUP($P532,'Lower Hot Cell Logistics'!$C$4:$D$69,2,FALSE),"N/A")</f>
        <v>N/A</v>
      </c>
      <c r="R532" s="3414"/>
      <c r="S532" s="2042" t="str">
        <f>IFERROR(VLOOKUP($R532,'Lower HotCell RecoveryLogistics'!$C$559:$F$607,4,FALSE),"N/A")</f>
        <v>N/A</v>
      </c>
      <c r="T532" s="1332" t="str">
        <f t="shared" si="92"/>
        <v>N/A</v>
      </c>
      <c r="V532" s="2031"/>
      <c r="W532" s="2031"/>
      <c r="X532" s="2031"/>
      <c r="Y532" s="1466"/>
    </row>
    <row r="533" spans="1:29" s="88" customFormat="1" ht="15" hidden="1" outlineLevel="2" thickBot="1" x14ac:dyDescent="0.4">
      <c r="B533" s="2081"/>
      <c r="C533" s="3816"/>
      <c r="D533" s="837" t="s">
        <v>2094</v>
      </c>
      <c r="E533" s="837" t="s">
        <v>3</v>
      </c>
      <c r="F533" s="2043">
        <f t="shared" si="93"/>
        <v>0.38</v>
      </c>
      <c r="G533" s="1295">
        <f t="shared" si="94"/>
        <v>34.838152244913573</v>
      </c>
      <c r="H533" s="1869"/>
      <c r="I533" s="1922" t="s">
        <v>263</v>
      </c>
      <c r="J533" s="1869"/>
      <c r="K533" s="837"/>
      <c r="L533" s="837"/>
      <c r="M533" s="842" t="s">
        <v>263</v>
      </c>
      <c r="N533" s="842" t="s">
        <v>263</v>
      </c>
      <c r="O533" s="1922" t="s">
        <v>263</v>
      </c>
      <c r="P533" s="1921" t="s">
        <v>2008</v>
      </c>
      <c r="Q533" s="1922">
        <v>0.38</v>
      </c>
      <c r="R533" s="3382"/>
      <c r="S533" s="1922" t="str">
        <f>IFERROR(VLOOKUP($R533,'Lower HotCell RecoveryLogistics'!$C$559:$F$607,4,FALSE),"N/A")</f>
        <v>N/A</v>
      </c>
      <c r="T533" s="1332" t="str">
        <f t="shared" si="92"/>
        <v>N/A</v>
      </c>
      <c r="V533" s="2031"/>
      <c r="W533" s="2031"/>
      <c r="X533" s="2031"/>
      <c r="Y533" s="1466"/>
    </row>
    <row r="534" spans="1:29" s="88" customFormat="1" hidden="1" outlineLevel="2" x14ac:dyDescent="0.35">
      <c r="B534" s="2081"/>
      <c r="C534" s="3787" t="s">
        <v>275</v>
      </c>
      <c r="D534" s="566" t="s">
        <v>1606</v>
      </c>
      <c r="E534" s="566" t="s">
        <v>3</v>
      </c>
      <c r="F534" s="567">
        <f t="shared" si="93"/>
        <v>0.8</v>
      </c>
      <c r="G534" s="1621">
        <f t="shared" si="94"/>
        <v>35.727041133802459</v>
      </c>
      <c r="H534" s="803"/>
      <c r="I534" s="1175" t="s">
        <v>263</v>
      </c>
      <c r="J534" s="803"/>
      <c r="K534" s="566"/>
      <c r="L534" s="566"/>
      <c r="M534" s="570" t="str">
        <f>IFERROR(INDEX('Lower Hot Cell Logistics'!$I$13:$O$19,MATCH($K534,'Lower Hot Cell Logistics'!$H$13:$H$19,0),MATCH($L534,'Lower Hot Cell Logistics'!$H$13:$H$19,0)),"N/A")</f>
        <v>N/A</v>
      </c>
      <c r="N534" s="570" t="str">
        <f>IFERROR(VLOOKUP($J534,'Lower Hot Cell Logistics'!$H$4:$I$9,2,FALSE),"N/A")</f>
        <v>N/A</v>
      </c>
      <c r="O534" s="1175" t="str">
        <f>IF(E534="Movement",IFERROR((M534/N534)/(60*60),"Error"),"N/A")</f>
        <v>N/A</v>
      </c>
      <c r="P534" s="1664" t="s">
        <v>1828</v>
      </c>
      <c r="Q534" s="1175">
        <f>IF($E534="Logistics",VLOOKUP($P534,'Lower Hot Cell Logistics'!$C$4:$D$69,2,FALSE),"N/A")</f>
        <v>0.8</v>
      </c>
      <c r="R534" s="3415" t="s">
        <v>2332</v>
      </c>
      <c r="S534" s="1175">
        <f>IFERROR(VLOOKUP($R534,'Lower HotCell RecoveryLogistics'!$C$559:$F$607,4,FALSE),"N/A")</f>
        <v>34.927041133802462</v>
      </c>
      <c r="T534" s="1332">
        <f t="shared" si="92"/>
        <v>-8.8888888888888573E-2</v>
      </c>
      <c r="V534" s="2031"/>
      <c r="W534" s="2031"/>
      <c r="X534" s="2031"/>
      <c r="Y534" s="1466"/>
    </row>
    <row r="535" spans="1:29" s="88" customFormat="1" hidden="1" outlineLevel="2" x14ac:dyDescent="0.35">
      <c r="B535" s="2081"/>
      <c r="C535" s="3786"/>
      <c r="D535" s="573" t="s">
        <v>2096</v>
      </c>
      <c r="E535" s="573" t="s">
        <v>251</v>
      </c>
      <c r="F535" s="1276">
        <f t="shared" si="93"/>
        <v>0.8</v>
      </c>
      <c r="G535" s="626">
        <f t="shared" si="94"/>
        <v>36.527041133802456</v>
      </c>
      <c r="H535" s="1131" t="s">
        <v>275</v>
      </c>
      <c r="I535" s="1176">
        <v>0.8</v>
      </c>
      <c r="J535" s="1131"/>
      <c r="K535" s="573"/>
      <c r="L535" s="573"/>
      <c r="M535" s="853" t="str">
        <f>IFERROR(INDEX('Lower Hot Cell Logistics'!$I$13:$O$19,MATCH($K535,'Lower Hot Cell Logistics'!$H$13:$H$19,0),MATCH($L535,'Lower Hot Cell Logistics'!$H$13:$H$19,0)),"N/A")</f>
        <v>N/A</v>
      </c>
      <c r="N535" s="853" t="str">
        <f>IFERROR(VLOOKUP($J535,'Lower Hot Cell Logistics'!$H$4:$I$9,2,FALSE),"N/A")</f>
        <v>N/A</v>
      </c>
      <c r="O535" s="1176" t="str">
        <f>IF(E535="Movement",IFERROR((M535/N535)/(60*60),"Error"),"N/A")</f>
        <v>N/A</v>
      </c>
      <c r="P535" s="1580"/>
      <c r="Q535" s="1176" t="str">
        <f>IF($E535="Logistics",VLOOKUP($P535,'Lower Hot Cell Logistics'!$C$4:$D$69,2,FALSE),"N/A")</f>
        <v>N/A</v>
      </c>
      <c r="R535" s="3412"/>
      <c r="S535" s="1176" t="str">
        <f>IFERROR(VLOOKUP($R535,'Lower HotCell RecoveryLogistics'!$C$559:$F$607,4,FALSE),"N/A")</f>
        <v>N/A</v>
      </c>
      <c r="T535" s="1332" t="str">
        <f t="shared" si="92"/>
        <v>N/A</v>
      </c>
      <c r="V535" s="2031"/>
      <c r="W535" s="2031"/>
      <c r="X535" s="2031"/>
      <c r="Y535" s="1466"/>
    </row>
    <row r="536" spans="1:29" s="88" customFormat="1" ht="15" hidden="1" outlineLevel="2" thickBot="1" x14ac:dyDescent="0.4">
      <c r="B536" s="2081"/>
      <c r="C536" s="3786"/>
      <c r="D536" s="582" t="s">
        <v>2097</v>
      </c>
      <c r="E536" s="582" t="s">
        <v>3</v>
      </c>
      <c r="F536" s="1640">
        <f t="shared" si="93"/>
        <v>0.38</v>
      </c>
      <c r="G536" s="626">
        <f t="shared" si="94"/>
        <v>36.907041133802458</v>
      </c>
      <c r="H536" s="1579"/>
      <c r="I536" s="1183" t="s">
        <v>263</v>
      </c>
      <c r="J536" s="1579"/>
      <c r="K536" s="582"/>
      <c r="L536" s="582"/>
      <c r="M536" s="1478" t="s">
        <v>263</v>
      </c>
      <c r="N536" s="1478" t="s">
        <v>263</v>
      </c>
      <c r="O536" s="1183" t="s">
        <v>263</v>
      </c>
      <c r="P536" s="1578" t="s">
        <v>2008</v>
      </c>
      <c r="Q536" s="1183">
        <v>0.38</v>
      </c>
      <c r="R536" s="3377"/>
      <c r="S536" s="1183" t="str">
        <f>IFERROR(VLOOKUP($R536,'Lower HotCell RecoveryLogistics'!$C$559:$F$607,4,FALSE),"N/A")</f>
        <v>N/A</v>
      </c>
      <c r="T536" s="1353" t="str">
        <f t="shared" si="92"/>
        <v>N/A</v>
      </c>
      <c r="V536" s="2031"/>
      <c r="W536" s="2031"/>
      <c r="X536" s="2031"/>
      <c r="Y536" s="1466"/>
    </row>
    <row r="537" spans="1:29" s="88" customFormat="1" hidden="1" outlineLevel="2" x14ac:dyDescent="0.35">
      <c r="B537" s="2081"/>
      <c r="C537" s="3814" t="s">
        <v>2098</v>
      </c>
      <c r="D537" s="1906" t="s">
        <v>2099</v>
      </c>
      <c r="E537" s="1907" t="s">
        <v>3</v>
      </c>
      <c r="F537" s="1739">
        <f>MAX($Q537,$O537,$I537)</f>
        <v>0.8</v>
      </c>
      <c r="G537" s="1739">
        <f t="shared" si="94"/>
        <v>37.707041133802456</v>
      </c>
      <c r="H537" s="1906"/>
      <c r="I537" s="1917" t="s">
        <v>263</v>
      </c>
      <c r="J537" s="1906"/>
      <c r="K537" s="1911"/>
      <c r="L537" s="1911"/>
      <c r="M537" s="1912" t="str">
        <f>IFERROR(INDEX('Lower Hot Cell Logistics'!$I$13:$O$19,MATCH($K537,'Lower Hot Cell Logistics'!$H$13:$H$19,0),MATCH($L537,'Lower Hot Cell Logistics'!$H$13:$H$19,0)),"N/A")</f>
        <v>N/A</v>
      </c>
      <c r="N537" s="1912" t="str">
        <f>IFERROR(VLOOKUP($J537,'Lower Hot Cell Logistics'!$H$4:$I$9,2,FALSE),"N/A")</f>
        <v>N/A</v>
      </c>
      <c r="O537" s="1917" t="str">
        <f>IF(E537="Movement",IFERROR((M537/N537)/(60*60),"Error"),"N/A")</f>
        <v>N/A</v>
      </c>
      <c r="P537" s="1916" t="s">
        <v>1828</v>
      </c>
      <c r="Q537" s="1917">
        <f>IF($E537="Logistics",VLOOKUP($P537,'Lower Hot Cell Logistics'!$C$4:$D$69,2,FALSE),"N/A")</f>
        <v>0.8</v>
      </c>
      <c r="R537" s="3381"/>
      <c r="S537" s="1917" t="str">
        <f>IFERROR(VLOOKUP($R537,'Lower HotCell RecoveryLogistics'!$C$559:$F$607,4,FALSE),"N/A")</f>
        <v>N/A</v>
      </c>
      <c r="T537" s="824" t="str">
        <f t="shared" si="92"/>
        <v>N/A</v>
      </c>
      <c r="V537" s="2031"/>
      <c r="W537" s="2031"/>
      <c r="X537" s="2031"/>
      <c r="Y537" s="1466"/>
    </row>
    <row r="538" spans="1:29" s="88" customFormat="1" ht="29.15" hidden="1" outlineLevel="2" x14ac:dyDescent="0.35">
      <c r="B538" s="2081"/>
      <c r="C538" s="3815"/>
      <c r="D538" s="1895" t="s">
        <v>2101</v>
      </c>
      <c r="E538" s="1896" t="s">
        <v>3</v>
      </c>
      <c r="F538" s="1347">
        <f>MAX($Q538,$O538,$I538)</f>
        <v>0.8</v>
      </c>
      <c r="G538" s="1347">
        <f t="shared" si="94"/>
        <v>39.059633726395056</v>
      </c>
      <c r="H538" s="1895"/>
      <c r="I538" s="1903" t="s">
        <v>263</v>
      </c>
      <c r="J538" s="1895"/>
      <c r="K538" s="1897"/>
      <c r="L538" s="1897"/>
      <c r="M538" s="1898" t="str">
        <f>IFERROR(INDEX('Lower Hot Cell Logistics'!$I$13:$O$19,MATCH($K538,'Lower Hot Cell Logistics'!$H$13:$H$19,0),MATCH($L538,'Lower Hot Cell Logistics'!$H$13:$H$19,0)),"N/A")</f>
        <v>N/A</v>
      </c>
      <c r="N538" s="1898" t="str">
        <f>IFERROR(VLOOKUP($J538,'Lower Hot Cell Logistics'!$H$4:$I$9,2,FALSE),"N/A")</f>
        <v>N/A</v>
      </c>
      <c r="O538" s="1903" t="str">
        <f>IF(E538="Movement",IFERROR((M538/N538)/(60*60),"Error"),"N/A")</f>
        <v>N/A</v>
      </c>
      <c r="P538" s="1902" t="s">
        <v>1828</v>
      </c>
      <c r="Q538" s="1903">
        <f>IF($E538="Logistics",VLOOKUP($P538,'Lower Hot Cell Logistics'!$C$4:$D$69,2,FALSE),"N/A")</f>
        <v>0.8</v>
      </c>
      <c r="R538" s="3380" t="s">
        <v>2333</v>
      </c>
      <c r="S538" s="1903">
        <f>IFERROR(VLOOKUP($R538,'Lower HotCell RecoveryLogistics'!$C$559:$F$607,4,FALSE),"N/A")</f>
        <v>38.259633726395059</v>
      </c>
      <c r="T538" s="1332">
        <f t="shared" si="92"/>
        <v>-0.55259259259260318</v>
      </c>
      <c r="V538" s="2031"/>
      <c r="W538" s="2031"/>
      <c r="X538" s="2031"/>
      <c r="Y538" s="1466"/>
    </row>
    <row r="539" spans="1:29" s="88" customFormat="1" hidden="1" outlineLevel="2" x14ac:dyDescent="0.35">
      <c r="B539" s="2081"/>
      <c r="C539" s="3815"/>
      <c r="D539" s="1895" t="s">
        <v>2334</v>
      </c>
      <c r="E539" s="1896" t="s">
        <v>251</v>
      </c>
      <c r="F539" s="1347">
        <f>MAX($Q539,$O539,$I539)</f>
        <v>7.8621484536495476</v>
      </c>
      <c r="G539" s="1347">
        <f t="shared" si="94"/>
        <v>46.921782180044602</v>
      </c>
      <c r="H539" s="1895" t="s">
        <v>449</v>
      </c>
      <c r="I539" s="1903">
        <v>7.8621484536495476</v>
      </c>
      <c r="J539" s="1895"/>
      <c r="K539" s="1897"/>
      <c r="L539" s="1897"/>
      <c r="M539" s="1898" t="str">
        <f>IFERROR(INDEX('Lower Hot Cell Logistics'!$I$13:$O$19,MATCH($K539,'Lower Hot Cell Logistics'!$H$13:$H$19,0),MATCH($L539,'Lower Hot Cell Logistics'!$H$13:$H$19,0)),"N/A")</f>
        <v>N/A</v>
      </c>
      <c r="N539" s="1898" t="str">
        <f>IFERROR(VLOOKUP($J539,'Lower Hot Cell Logistics'!$H$4:$I$9,2,FALSE),"N/A")</f>
        <v>N/A</v>
      </c>
      <c r="O539" s="1903" t="str">
        <f>IF(E539="Movement",IFERROR((M539/N539)/(60*60),"Error"),"N/A")</f>
        <v>N/A</v>
      </c>
      <c r="P539" s="1902"/>
      <c r="Q539" s="1903" t="str">
        <f>IF($E539="Logistics",VLOOKUP($P539,'Lower Hot Cell Logistics'!$C$4:$D$69,2,FALSE),"N/A")</f>
        <v>N/A</v>
      </c>
      <c r="R539" s="3380"/>
      <c r="S539" s="1903" t="str">
        <f>IFERROR(VLOOKUP($R539,'Lower HotCell RecoveryLogistics'!$C$559:$F$607,4,FALSE),"N/A")</f>
        <v>N/A</v>
      </c>
      <c r="T539" s="1332" t="str">
        <f t="shared" si="92"/>
        <v>N/A</v>
      </c>
      <c r="V539" s="2031"/>
      <c r="W539" s="2031"/>
      <c r="X539" s="2031"/>
      <c r="Y539" s="1466"/>
    </row>
    <row r="540" spans="1:29" s="88" customFormat="1" ht="15" hidden="1" outlineLevel="2" thickBot="1" x14ac:dyDescent="0.4">
      <c r="B540" s="2081"/>
      <c r="C540" s="3816"/>
      <c r="D540" s="1869" t="s">
        <v>2042</v>
      </c>
      <c r="E540" s="1918" t="s">
        <v>3</v>
      </c>
      <c r="F540" s="1295">
        <f>MAX($Q540,$O540,$I540)</f>
        <v>0.6</v>
      </c>
      <c r="G540" s="1295">
        <f t="shared" si="94"/>
        <v>47.521782180044603</v>
      </c>
      <c r="H540" s="1869"/>
      <c r="I540" s="1922" t="s">
        <v>263</v>
      </c>
      <c r="J540" s="1869"/>
      <c r="K540" s="837"/>
      <c r="L540" s="837"/>
      <c r="M540" s="842" t="str">
        <f>IFERROR(INDEX('Lower Hot Cell Logistics'!$I$13:$O$19,MATCH($K540,'Lower Hot Cell Logistics'!$H$13:$H$19,0),MATCH($L540,'Lower Hot Cell Logistics'!$H$13:$H$19,0)),"N/A")</f>
        <v>N/A</v>
      </c>
      <c r="N540" s="842" t="str">
        <f>IFERROR(VLOOKUP($J540,'Lower Hot Cell Logistics'!$H$4:$I$9,2,FALSE),"N/A")</f>
        <v>N/A</v>
      </c>
      <c r="O540" s="1922" t="str">
        <f>IF(E540="Movement",IFERROR((M540/N540)/(60*60),"Error"),"N/A")</f>
        <v>N/A</v>
      </c>
      <c r="P540" s="1921" t="s">
        <v>2008</v>
      </c>
      <c r="Q540" s="1922">
        <f>IF($E540="Logistics",VLOOKUP($P540,'Lower Hot Cell Logistics'!$C$4:$D$69,2,FALSE),"N/A")</f>
        <v>0.6</v>
      </c>
      <c r="R540" s="3382"/>
      <c r="S540" s="1922" t="str">
        <f>IFERROR(VLOOKUP($R540,'Lower HotCell RecoveryLogistics'!$C$559:$F$607,4,FALSE),"N/A")</f>
        <v>N/A</v>
      </c>
      <c r="T540" s="1345" t="str">
        <f>IFERROR(#REF!-S540,"N/A")</f>
        <v>N/A</v>
      </c>
      <c r="V540" s="2031"/>
      <c r="W540" s="2031"/>
      <c r="X540" s="2031"/>
      <c r="Y540" s="1466"/>
    </row>
    <row r="541" spans="1:29" s="8" customFormat="1" ht="15" customHeight="1" outlineLevel="1" collapsed="1" x14ac:dyDescent="0.4">
      <c r="A541"/>
      <c r="B541" s="2081"/>
      <c r="C541"/>
      <c r="D541" s="892"/>
      <c r="E541" s="1439" t="s">
        <v>11</v>
      </c>
      <c r="F541" s="1439"/>
      <c r="G541" s="894">
        <f>G540</f>
        <v>47.521782180044603</v>
      </c>
      <c r="H541" s="94"/>
      <c r="I541" s="895"/>
      <c r="J541" s="94"/>
      <c r="K541" s="94"/>
      <c r="L541" s="896"/>
      <c r="M541" s="897"/>
      <c r="N541" s="897"/>
      <c r="O541" s="894"/>
      <c r="P541" s="94"/>
      <c r="Q541" s="897"/>
      <c r="R541" s="3383"/>
      <c r="S541" s="177"/>
      <c r="T541" s="895"/>
      <c r="U541" s="895"/>
      <c r="V541" s="177"/>
      <c r="W541" s="177"/>
      <c r="X541" s="177"/>
      <c r="Y541" s="177"/>
      <c r="Z541"/>
      <c r="AA541"/>
      <c r="AB541"/>
      <c r="AC541"/>
    </row>
    <row r="542" spans="1:29" s="8" customFormat="1" outlineLevel="1" x14ac:dyDescent="0.4">
      <c r="A542"/>
      <c r="B542" s="2081"/>
      <c r="C542"/>
      <c r="D542" s="892"/>
      <c r="E542" s="688"/>
      <c r="F542"/>
      <c r="G542"/>
      <c r="H542" s="89"/>
      <c r="I542" s="177"/>
      <c r="J542"/>
      <c r="K542"/>
      <c r="L542" s="689"/>
      <c r="M542"/>
      <c r="N542"/>
      <c r="O542"/>
      <c r="P542"/>
      <c r="Q542"/>
      <c r="R542" s="3360"/>
      <c r="S542" s="177"/>
      <c r="T542"/>
      <c r="U542"/>
      <c r="V542" s="177"/>
      <c r="W542" s="177"/>
      <c r="X542" s="177"/>
      <c r="Y542" s="177"/>
      <c r="Z542"/>
      <c r="AA542"/>
      <c r="AB542"/>
      <c r="AC542"/>
    </row>
    <row r="543" spans="1:29" s="8" customFormat="1" x14ac:dyDescent="0.4">
      <c r="A543"/>
      <c r="B543" s="2082"/>
      <c r="C543" s="2084"/>
      <c r="D543" s="2084"/>
      <c r="E543" s="2084"/>
      <c r="F543" s="2084"/>
      <c r="G543" s="2084"/>
      <c r="H543" s="2084"/>
      <c r="I543" s="2084"/>
      <c r="J543" s="2084"/>
      <c r="K543" s="2084"/>
      <c r="L543" s="2084"/>
      <c r="M543" s="2084"/>
      <c r="N543" s="2084"/>
      <c r="O543" s="2084"/>
      <c r="P543" s="2084"/>
      <c r="Q543" s="2084"/>
      <c r="R543" s="3422"/>
      <c r="S543" s="2085"/>
      <c r="T543" s="2084"/>
      <c r="U543" s="2084"/>
      <c r="V543" s="2085"/>
      <c r="W543" s="2085"/>
      <c r="X543" s="2085"/>
      <c r="Y543" s="2085"/>
      <c r="Z543"/>
      <c r="AA543"/>
      <c r="AB543"/>
      <c r="AC543"/>
    </row>
  </sheetData>
  <customSheetViews>
    <customSheetView guid="{9C0AA20B-B2A2-4A2C-B279-4A5988F4E71A}" hiddenRows="1" hiddenColumns="1" state="hidden" topLeftCell="C7">
      <selection activeCell="Q20" sqref="Q20"/>
      <pageMargins left="0.7" right="0.7" top="0.75" bottom="0.75" header="0.3" footer="0.3"/>
      <pageSetup paperSize="9" orientation="portrait" verticalDpi="0" r:id="rId1"/>
    </customSheetView>
  </customSheetViews>
  <mergeCells count="70">
    <mergeCell ref="T262:X262"/>
    <mergeCell ref="T227:X227"/>
    <mergeCell ref="T173:X173"/>
    <mergeCell ref="T112:X112"/>
    <mergeCell ref="T37:X37"/>
    <mergeCell ref="T498:X498"/>
    <mergeCell ref="T442:X442"/>
    <mergeCell ref="T381:X381"/>
    <mergeCell ref="T339:X339"/>
    <mergeCell ref="T310:X310"/>
    <mergeCell ref="C537:C540"/>
    <mergeCell ref="C475:C477"/>
    <mergeCell ref="C478:C480"/>
    <mergeCell ref="C481:C483"/>
    <mergeCell ref="C484:C490"/>
    <mergeCell ref="C513:C515"/>
    <mergeCell ref="C516:C521"/>
    <mergeCell ref="C522:C524"/>
    <mergeCell ref="C525:C527"/>
    <mergeCell ref="C528:C530"/>
    <mergeCell ref="C531:C533"/>
    <mergeCell ref="C534:C536"/>
    <mergeCell ref="C472:C474"/>
    <mergeCell ref="C404:C409"/>
    <mergeCell ref="C410:C412"/>
    <mergeCell ref="C413:C415"/>
    <mergeCell ref="C416:C418"/>
    <mergeCell ref="C419:C421"/>
    <mergeCell ref="C422:C424"/>
    <mergeCell ref="C425:C434"/>
    <mergeCell ref="C457:C459"/>
    <mergeCell ref="C460:C462"/>
    <mergeCell ref="C463:C468"/>
    <mergeCell ref="C469:C471"/>
    <mergeCell ref="C399:C403"/>
    <mergeCell ref="C280:C283"/>
    <mergeCell ref="C284:C290"/>
    <mergeCell ref="C291:C296"/>
    <mergeCell ref="C297:C302"/>
    <mergeCell ref="C325:C326"/>
    <mergeCell ref="C328:C331"/>
    <mergeCell ref="C354:C355"/>
    <mergeCell ref="C357:C363"/>
    <mergeCell ref="C364:C369"/>
    <mergeCell ref="C370:C373"/>
    <mergeCell ref="C396:C398"/>
    <mergeCell ref="C277:C278"/>
    <mergeCell ref="C155:C159"/>
    <mergeCell ref="C160:C165"/>
    <mergeCell ref="C188:C189"/>
    <mergeCell ref="C191:C197"/>
    <mergeCell ref="C198:C203"/>
    <mergeCell ref="C204:C211"/>
    <mergeCell ref="C212:C216"/>
    <mergeCell ref="C217:C219"/>
    <mergeCell ref="C242:C243"/>
    <mergeCell ref="C245:C248"/>
    <mergeCell ref="C249:C254"/>
    <mergeCell ref="C147:C154"/>
    <mergeCell ref="C52:C53"/>
    <mergeCell ref="C55:C63"/>
    <mergeCell ref="C64:C70"/>
    <mergeCell ref="C71:C76"/>
    <mergeCell ref="C77:C84"/>
    <mergeCell ref="C85:C89"/>
    <mergeCell ref="C90:C104"/>
    <mergeCell ref="C127:C128"/>
    <mergeCell ref="C130:C133"/>
    <mergeCell ref="C134:C140"/>
    <mergeCell ref="C141:C146"/>
  </mergeCells>
  <conditionalFormatting sqref="U1:U36 T51:T104 U105:U111 T125:T165 U166:U172 T186:T219 U220:U226 T240:T254 U255:U261 T275:T302 U303:U309 T323:T331 U332:U338 T352:T373 U374:U380 T394:T434 U435:U441 T455:T490 U491:U497 U541:U1048576 T511:T540 U48:U50 U38:U44 U123:U124 U113:U119 U184:U185 U174:U180 U238:U239 U228:U234 U273:U274 U263:U269 U321:U322 U311:U317 U350:U351 U340:U346 U392:U393 U382:U388 U453:U454 U443:U449 U509:U510 U499:U505">
    <cfRule type="cellIs" dxfId="3837" priority="2" stopIfTrue="1" operator="lessThan">
      <formula>0</formula>
    </cfRule>
  </conditionalFormatting>
  <conditionalFormatting sqref="E1:E1048576">
    <cfRule type="cellIs" dxfId="3836" priority="1" operator="equal">
      <formula>"Operation"</formula>
    </cfRule>
    <cfRule type="cellIs" dxfId="3835" priority="4" stopIfTrue="1" operator="equal">
      <formula>"Total"</formula>
    </cfRule>
  </conditionalFormatting>
  <conditionalFormatting sqref="I1:U36 I51:T104 I105:U111 I125:T165 I166:U172 I186:T219 I220:U226 I240:T254 I255:U261 I275:T302 I303:U309 I323:T331 I332:U338 I352:T373 I374:U380 I394:T434 I435:U441 I455:T490 I491:U497 I541:U1048576 I511:T540 I498:S498 I442:S442 I381:S381 I339:S339 I310:S310 I262:S262 I227:S227 I173:S173 I112:S112 I37:S37 I38:U42 I48:U50 I43:Q47 R41:U44 I113:U114 I123:U124 I115:Q122 R115:U119 I174:U175 I184:U185 I176:Q183 R176:U180 I228:U229 I238:U239 I230:Q237 I263:U264 I273:U274 I265:Q272 I311:U313 I321:U322 I314:Q320 I340:U341 I350:U351 I342:Q349 R230:U234 R265:U269 R313:U317 R342:U346 I382:U383 I392:U393 I384:Q391 R384:U388 I443:U444 I453:U454 I445:Q452 R445:U449 I499:U500 I509:U510 I501:Q508 R501:U505">
    <cfRule type="cellIs" dxfId="3834" priority="3" stopIfTrue="1" operator="equal">
      <formula>"N/A"</formula>
    </cfRule>
  </conditionalFormatting>
  <dataValidations disablePrompts="1" count="1">
    <dataValidation type="list" allowBlank="1" showInputMessage="1" showErrorMessage="1" sqref="AMW1:AMW1048576 ADA1:ADA1048576 TE1:TE1048576 JI1:JI1048576 WVU1:WVU1048576 WLY1:WLY1048576 WCC1:WCC1048576 VSG1:VSG1048576 VIK1:VIK1048576 UYO1:UYO1048576 UOS1:UOS1048576 UEW1:UEW1048576 TVA1:TVA1048576 TLE1:TLE1048576 TBI1:TBI1048576 SRM1:SRM1048576 SHQ1:SHQ1048576 RXU1:RXU1048576 RNY1:RNY1048576 REC1:REC1048576 QUG1:QUG1048576 QKK1:QKK1048576 QAO1:QAO1048576 PQS1:PQS1048576 PGW1:PGW1048576 OXA1:OXA1048576 ONE1:ONE1048576 ODI1:ODI1048576 NTM1:NTM1048576 NJQ1:NJQ1048576 MZU1:MZU1048576 MPY1:MPY1048576 MGC1:MGC1048576 LWG1:LWG1048576 LMK1:LMK1048576 LCO1:LCO1048576 KSS1:KSS1048576 KIW1:KIW1048576 JZA1:JZA1048576 JPE1:JPE1048576 JFI1:JFI1048576 IVM1:IVM1048576 ILQ1:ILQ1048576 IBU1:IBU1048576 HRY1:HRY1048576 HIC1:HIC1048576 GYG1:GYG1048576 GOK1:GOK1048576 GEO1:GEO1048576 FUS1:FUS1048576 FKW1:FKW1048576 FBA1:FBA1048576 ERE1:ERE1048576 EHI1:EHI1048576 DXM1:DXM1048576 DNQ1:DNQ1048576 DDU1:DDU1048576 CTY1:CTY1048576 CKC1:CKC1048576 CAG1:CAG1048576 BQK1:BQK1048576 BGO1:BGO1048576 AWS1:AWS1048576">
      <formula1>#REF!</formula1>
    </dataValidation>
  </dataValidations>
  <pageMargins left="0.7" right="0.7" top="0.75" bottom="0.75" header="0.3" footer="0.3"/>
  <pageSetup paperSize="9" orientation="portrait"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249977111117893"/>
  </sheetPr>
  <dimension ref="A1:S634"/>
  <sheetViews>
    <sheetView workbookViewId="0">
      <selection activeCell="Q20" sqref="Q20"/>
    </sheetView>
  </sheetViews>
  <sheetFormatPr defaultColWidth="9.15234375" defaultRowHeight="12.9" outlineLevelRow="1" outlineLevelCol="1" x14ac:dyDescent="0.4"/>
  <cols>
    <col min="1" max="1" width="9.15234375" style="1163" customWidth="1"/>
    <col min="2" max="2" width="44" style="1233" customWidth="1"/>
    <col min="3" max="3" width="46" style="1163" customWidth="1"/>
    <col min="4" max="4" width="12.3828125" style="1163" customWidth="1"/>
    <col min="5" max="5" width="8.3828125" style="1163" customWidth="1"/>
    <col min="6" max="6" width="11.3828125" style="1163" customWidth="1"/>
    <col min="7" max="7" width="26.15234375" style="1163" hidden="1" customWidth="1" outlineLevel="1"/>
    <col min="8" max="8" width="12.3046875" style="1568" customWidth="1" collapsed="1"/>
    <col min="9" max="9" width="31.69140625" style="1163" hidden="1" customWidth="1" outlineLevel="1"/>
    <col min="10" max="11" width="23.3046875" style="1163" hidden="1" customWidth="1" outlineLevel="1"/>
    <col min="12" max="12" width="13.3828125" style="1232" hidden="1" customWidth="1" outlineLevel="1"/>
    <col min="13" max="13" width="13.15234375" style="1232" hidden="1" customWidth="1" outlineLevel="1"/>
    <col min="14" max="14" width="10" style="1232" customWidth="1" collapsed="1"/>
    <col min="15" max="15" width="34.15234375" style="1163" hidden="1" customWidth="1" outlineLevel="1"/>
    <col min="16" max="16" width="10.3046875" style="1163" customWidth="1" collapsed="1"/>
    <col min="17" max="16384" width="9.15234375" style="1163"/>
  </cols>
  <sheetData>
    <row r="1" spans="1:19" ht="13.3" thickBot="1" x14ac:dyDescent="0.45">
      <c r="A1" s="1161"/>
      <c r="C1" s="1161"/>
      <c r="D1" s="1161"/>
      <c r="E1" s="1161"/>
      <c r="F1" s="1161"/>
      <c r="G1" s="1161"/>
      <c r="H1" s="556"/>
      <c r="I1" s="1161"/>
      <c r="J1" s="1161"/>
      <c r="K1" s="1161"/>
      <c r="L1" s="1162"/>
      <c r="M1" s="1162"/>
      <c r="N1" s="1162"/>
      <c r="O1" s="1161"/>
      <c r="P1" s="1161"/>
    </row>
    <row r="2" spans="1:19" ht="13.3" thickBot="1" x14ac:dyDescent="0.45">
      <c r="A2" s="1161"/>
      <c r="C2" s="1161"/>
      <c r="D2" s="1161"/>
      <c r="E2" s="1161"/>
      <c r="F2" s="1161"/>
      <c r="G2" s="3793" t="s">
        <v>18</v>
      </c>
      <c r="H2" s="3795"/>
      <c r="I2" s="3793" t="s">
        <v>778</v>
      </c>
      <c r="J2" s="3794"/>
      <c r="K2" s="3794"/>
      <c r="L2" s="3794"/>
      <c r="M2" s="3794"/>
      <c r="N2" s="3794"/>
      <c r="O2" s="3793" t="s">
        <v>3</v>
      </c>
      <c r="P2" s="3795"/>
    </row>
    <row r="3" spans="1:19" ht="13.3" thickBot="1" x14ac:dyDescent="0.45">
      <c r="A3" s="1161"/>
      <c r="B3" s="1301" t="s">
        <v>780</v>
      </c>
      <c r="C3" s="558" t="s">
        <v>781</v>
      </c>
      <c r="D3" s="558" t="s">
        <v>782</v>
      </c>
      <c r="E3" s="559" t="s">
        <v>783</v>
      </c>
      <c r="F3" s="559" t="s">
        <v>769</v>
      </c>
      <c r="G3" s="1127" t="s">
        <v>785</v>
      </c>
      <c r="H3" s="1517" t="s">
        <v>783</v>
      </c>
      <c r="I3" s="565" t="s">
        <v>786</v>
      </c>
      <c r="J3" s="559" t="s">
        <v>787</v>
      </c>
      <c r="K3" s="559" t="s">
        <v>788</v>
      </c>
      <c r="L3" s="1164" t="s">
        <v>789</v>
      </c>
      <c r="M3" s="1164" t="s">
        <v>790</v>
      </c>
      <c r="N3" s="1165" t="s">
        <v>783</v>
      </c>
      <c r="O3" s="565" t="s">
        <v>785</v>
      </c>
      <c r="P3" s="561" t="s">
        <v>783</v>
      </c>
    </row>
    <row r="4" spans="1:19" x14ac:dyDescent="0.4">
      <c r="A4" s="2105"/>
      <c r="B4" s="2106" t="s">
        <v>2342</v>
      </c>
      <c r="C4" s="2106"/>
      <c r="D4" s="2106"/>
      <c r="E4" s="2106"/>
      <c r="F4" s="2106"/>
      <c r="G4" s="2106"/>
      <c r="H4" s="2106"/>
      <c r="I4" s="2106"/>
      <c r="J4" s="2106"/>
      <c r="K4" s="2106"/>
      <c r="L4" s="2106"/>
      <c r="M4" s="2106"/>
      <c r="N4" s="2106"/>
      <c r="O4" s="2106"/>
      <c r="P4" s="2107"/>
    </row>
    <row r="5" spans="1:19" ht="13.3" hidden="1" outlineLevel="1" thickBot="1" x14ac:dyDescent="0.45">
      <c r="A5" s="2108"/>
      <c r="B5" s="2109"/>
      <c r="C5" s="2110"/>
      <c r="D5" s="2110"/>
      <c r="E5" s="2110"/>
      <c r="F5" s="2110"/>
      <c r="G5" s="2110"/>
      <c r="H5" s="2111"/>
      <c r="I5" s="2110"/>
      <c r="J5" s="2110"/>
      <c r="K5" s="2110"/>
      <c r="L5" s="2112"/>
      <c r="M5" s="2112"/>
      <c r="N5" s="2112"/>
      <c r="O5" s="2110"/>
      <c r="P5" s="2113"/>
    </row>
    <row r="6" spans="1:19" s="89" customFormat="1" ht="15" hidden="1" customHeight="1" outlineLevel="1" x14ac:dyDescent="0.4">
      <c r="A6" s="2108"/>
      <c r="B6" s="3814" t="s">
        <v>2048</v>
      </c>
      <c r="C6" s="617" t="s">
        <v>2041</v>
      </c>
      <c r="D6" s="1324" t="s">
        <v>907</v>
      </c>
      <c r="E6" s="1291">
        <f t="shared" ref="E6:E72" si="0">MAX($P6,$N6,$H6)</f>
        <v>0</v>
      </c>
      <c r="F6" s="1291">
        <f>IF($D6="Trigger",VLOOKUP("*"&amp;$C6&amp;"*",'Lower Hot Cell Weld Failure'!$D$52:$G$104,4,FALSE),E6+F5)</f>
        <v>13.202967059728389</v>
      </c>
      <c r="G6" s="825"/>
      <c r="H6" s="1323" t="s">
        <v>263</v>
      </c>
      <c r="I6" s="1721"/>
      <c r="J6" s="1324"/>
      <c r="K6" s="1324"/>
      <c r="L6" s="828" t="str">
        <f>IFERROR(INDEX('Lower Hot Cell Logistics'!$I$13:$O$19,MATCH($J6,'Lower Hot Cell Logistics'!$H$13:$H$19,0),MATCH($K6,'Lower Hot Cell Logistics'!$H$13:$H$19,0)),"N/A")</f>
        <v>N/A</v>
      </c>
      <c r="M6" s="827" t="str">
        <f>IFERROR(VLOOKUP($I6,'Lower Hot Cell Logistics'!$H$4:$I$8,2,FALSE),"N/A")</f>
        <v>N/A</v>
      </c>
      <c r="N6" s="2200" t="str">
        <f t="shared" ref="N6:N35" si="1">IF(D6="Movement",IFERROR((L6/M6)/(60*60),"Error"),"N/A")</f>
        <v>N/A</v>
      </c>
      <c r="O6" s="1327"/>
      <c r="P6" s="824" t="str">
        <f>IF($D6="Logistics",VLOOKUP($O6,'Lower Hot Cell Logistics'!$C$4:$D$69,2,FALSE),"N/A")</f>
        <v>N/A</v>
      </c>
      <c r="R6"/>
      <c r="S6"/>
    </row>
    <row r="7" spans="1:19" s="89" customFormat="1" ht="15" hidden="1" customHeight="1" outlineLevel="1" x14ac:dyDescent="0.4">
      <c r="A7" s="2108"/>
      <c r="B7" s="3815"/>
      <c r="C7" s="1362" t="s">
        <v>2141</v>
      </c>
      <c r="D7" s="1294" t="s">
        <v>778</v>
      </c>
      <c r="E7" s="1330">
        <f t="shared" si="0"/>
        <v>0.69444444444444442</v>
      </c>
      <c r="F7" s="1330">
        <f>IF($D7="Trigger",VLOOKUP("*"&amp;$C7&amp;"*",'Lower Hot Cell Weld Failure'!$D$52:$G$104,4,FALSE),E7+F6)</f>
        <v>13.897411504172833</v>
      </c>
      <c r="G7" s="1722"/>
      <c r="H7" s="2219" t="s">
        <v>263</v>
      </c>
      <c r="I7" s="1724" t="s">
        <v>1826</v>
      </c>
      <c r="J7" s="1294" t="s">
        <v>451</v>
      </c>
      <c r="K7" s="1294" t="s">
        <v>831</v>
      </c>
      <c r="L7" s="2042">
        <f>IFERROR(INDEX('Lower Hot Cell Logistics'!$I$13:$O$19,MATCH($J7,'Lower Hot Cell Logistics'!$H$13:$H$19,0),MATCH($K7,'Lower Hot Cell Logistics'!$H$13:$H$19,0)),"N/A")</f>
        <v>50</v>
      </c>
      <c r="M7" s="2220">
        <f>IFERROR(VLOOKUP($I7,'Lower Hot Cell Logistics'!$H$4:$I$8,2,FALSE),"N/A")</f>
        <v>0.02</v>
      </c>
      <c r="N7" s="1332">
        <f t="shared" si="1"/>
        <v>0.69444444444444442</v>
      </c>
      <c r="O7" s="1352"/>
      <c r="P7" s="1353" t="str">
        <f>IF($D7="Logistics",VLOOKUP($O7,'Lower Hot Cell Logistics'!$C$4:$D$69,2,FALSE),"N/A")</f>
        <v>N/A</v>
      </c>
      <c r="R7"/>
      <c r="S7"/>
    </row>
    <row r="8" spans="1:19" s="89" customFormat="1" ht="15" hidden="1" customHeight="1" outlineLevel="1" x14ac:dyDescent="0.4">
      <c r="A8" s="2108"/>
      <c r="B8" s="3815"/>
      <c r="C8" s="1362" t="s">
        <v>1757</v>
      </c>
      <c r="D8" s="1294" t="s">
        <v>3</v>
      </c>
      <c r="E8" s="1330">
        <f t="shared" si="0"/>
        <v>0.88000000000000012</v>
      </c>
      <c r="F8" s="1330">
        <f>IF($D8="Trigger",VLOOKUP("*"&amp;$C8&amp;"*",'Lower Hot Cell Weld Failure'!$D$52:$G$104,4,FALSE),E8+F7)</f>
        <v>14.777411504172834</v>
      </c>
      <c r="G8" s="1722"/>
      <c r="H8" s="2219" t="s">
        <v>263</v>
      </c>
      <c r="I8" s="1724"/>
      <c r="J8" s="1294"/>
      <c r="K8" s="1294"/>
      <c r="L8" s="2042" t="str">
        <f>IFERROR(INDEX('Lower Hot Cell Logistics'!$I$13:$O$19,MATCH($J8,'Lower Hot Cell Logistics'!$H$13:$H$19,0),MATCH($K8,'Lower Hot Cell Logistics'!$H$13:$H$19,0)),"N/A")</f>
        <v>N/A</v>
      </c>
      <c r="M8" s="2220" t="str">
        <f>IFERROR(VLOOKUP($I8,'Lower Hot Cell Logistics'!$H$4:$I$8,2,FALSE),"N/A")</f>
        <v>N/A</v>
      </c>
      <c r="N8" s="1332" t="str">
        <f t="shared" si="1"/>
        <v>N/A</v>
      </c>
      <c r="O8" s="1352" t="s">
        <v>2144</v>
      </c>
      <c r="P8" s="1353">
        <f>IF($D8="Logistics",VLOOKUP($O8,'Lower Hot Cell Logistics'!$C$4:$D$69,2,FALSE),"N/A")</f>
        <v>0.88000000000000012</v>
      </c>
      <c r="R8"/>
      <c r="S8"/>
    </row>
    <row r="9" spans="1:19" s="89" customFormat="1" ht="14.6" hidden="1" outlineLevel="1" x14ac:dyDescent="0.4">
      <c r="A9" s="2108"/>
      <c r="B9" s="3815"/>
      <c r="C9" s="1294" t="s">
        <v>2189</v>
      </c>
      <c r="D9" s="1294" t="s">
        <v>778</v>
      </c>
      <c r="E9" s="1292">
        <f t="shared" si="0"/>
        <v>0.23148148148148148</v>
      </c>
      <c r="F9" s="1292">
        <f>IF($D9="Trigger",VLOOKUP("*"&amp;$C9&amp;"*",'Lower Hot Cell Weld Failure'!$D$52:$G$104,4,FALSE),E9+F8)</f>
        <v>15.008892985654315</v>
      </c>
      <c r="G9" s="862"/>
      <c r="H9" s="1328" t="s">
        <v>263</v>
      </c>
      <c r="I9" s="1724" t="s">
        <v>2190</v>
      </c>
      <c r="J9" s="1294" t="s">
        <v>799</v>
      </c>
      <c r="K9" s="1294" t="s">
        <v>451</v>
      </c>
      <c r="L9" s="865">
        <f>IFERROR(INDEX('Lower Hot Cell Logistics'!$I$13:$O$19,MATCH($J9,'Lower Hot Cell Logistics'!$H$13:$H$19,0),MATCH($K9,'Lower Hot Cell Logistics'!$H$13:$H$19,0)),"N/A")</f>
        <v>50</v>
      </c>
      <c r="M9" s="865">
        <f>IFERROR(VLOOKUP($I9,'Lower Hot Cell Logistics'!$H$4:$I$8,2,FALSE),"N/A")</f>
        <v>0.06</v>
      </c>
      <c r="N9" s="2197">
        <f t="shared" si="1"/>
        <v>0.23148148148148148</v>
      </c>
      <c r="O9" s="1331"/>
      <c r="P9" s="1332" t="str">
        <f>IF($D9="Logistics",VLOOKUP($O9,'Lower Hot Cell Logistics'!$C$4:$D$69,2,FALSE),"N/A")</f>
        <v>N/A</v>
      </c>
      <c r="R9"/>
      <c r="S9"/>
    </row>
    <row r="10" spans="1:19" s="89" customFormat="1" ht="26.6" hidden="1" outlineLevel="1" thickBot="1" x14ac:dyDescent="0.45">
      <c r="A10" s="2108"/>
      <c r="B10" s="3816"/>
      <c r="C10" s="1340" t="str">
        <f>B6</f>
        <v>COB pipe module stored;  Pipe Module handling System Moved to Lower Port</v>
      </c>
      <c r="D10" s="1340" t="s">
        <v>11</v>
      </c>
      <c r="E10" s="1295">
        <f t="shared" si="0"/>
        <v>0</v>
      </c>
      <c r="F10" s="1295">
        <f>IF($D10="Trigger",VLOOKUP("*"&amp;$C10&amp;"*",'Lower Hot Cell Weld Failure'!$D$52:$G$104,4,FALSE),E10+F9)</f>
        <v>15.008892985654315</v>
      </c>
      <c r="G10" s="839"/>
      <c r="H10" s="1341" t="s">
        <v>263</v>
      </c>
      <c r="I10" s="1727"/>
      <c r="J10" s="1340"/>
      <c r="K10" s="1340"/>
      <c r="L10" s="842" t="str">
        <f>IFERROR(INDEX('Lower Hot Cell Logistics'!$I$13:$O$19,MATCH($J10,'Lower Hot Cell Logistics'!$H$13:$H$19,0),MATCH($K10,'Lower Hot Cell Logistics'!$H$13:$H$19,0)),"N/A")</f>
        <v>N/A</v>
      </c>
      <c r="M10" s="842" t="str">
        <f>IFERROR(VLOOKUP($I10,'Lower Hot Cell Logistics'!$H$4:$I$8,2,FALSE),"N/A")</f>
        <v>N/A</v>
      </c>
      <c r="N10" s="2199" t="str">
        <f t="shared" si="1"/>
        <v>N/A</v>
      </c>
      <c r="O10" s="1344"/>
      <c r="P10" s="1345" t="str">
        <f>IF($D10="Logistics",VLOOKUP($O10,'Lower Hot Cell Logistics'!$C$4:$D$69,2,FALSE),"N/A")</f>
        <v>N/A</v>
      </c>
      <c r="R10"/>
      <c r="S10"/>
    </row>
    <row r="11" spans="1:19" s="89" customFormat="1" ht="15" hidden="1" customHeight="1" outlineLevel="1" x14ac:dyDescent="0.4">
      <c r="A11" s="2108"/>
      <c r="B11" s="3787" t="s">
        <v>2285</v>
      </c>
      <c r="C11" s="617" t="s">
        <v>1862</v>
      </c>
      <c r="D11" s="617" t="s">
        <v>907</v>
      </c>
      <c r="E11" s="567">
        <f t="shared" si="0"/>
        <v>0</v>
      </c>
      <c r="F11" s="567">
        <f>IF($D11="Trigger",VLOOKUP("*"&amp;$C11&amp;"*",'Lower Hot Cell Weld Failure'!$D$52:$G$104,4,FALSE),E11+F10)</f>
        <v>0</v>
      </c>
      <c r="G11" s="568"/>
      <c r="H11" s="569" t="s">
        <v>263</v>
      </c>
      <c r="I11" s="1270"/>
      <c r="J11" s="617"/>
      <c r="K11" s="617"/>
      <c r="L11" s="570" t="str">
        <f>IFERROR(INDEX('Lower Hot Cell Logistics'!$I$13:$O$19,MATCH($J11,'Lower Hot Cell Logistics'!$H$13:$H$19,0),MATCH($K11,'Lower Hot Cell Logistics'!$H$13:$H$19,0)),"N/A")</f>
        <v>N/A</v>
      </c>
      <c r="M11" s="802" t="str">
        <f>IFERROR(VLOOKUP($I11,'Lower Hot Cell Logistics'!$H$4:$I$8,2,FALSE),"N/A")</f>
        <v>N/A</v>
      </c>
      <c r="N11" s="1182" t="str">
        <f t="shared" si="1"/>
        <v>N/A</v>
      </c>
      <c r="O11" s="620"/>
      <c r="P11" s="621" t="str">
        <f>IF($D11="Logistics",VLOOKUP($O11,'Lower Hot Cell Logistics'!$C$4:$D$69,2,FALSE),"N/A")</f>
        <v>N/A</v>
      </c>
      <c r="R11"/>
      <c r="S11"/>
    </row>
    <row r="12" spans="1:19" s="89" customFormat="1" ht="15" hidden="1" customHeight="1" outlineLevel="1" x14ac:dyDescent="0.4">
      <c r="A12" s="2108"/>
      <c r="B12" s="3786"/>
      <c r="C12" s="1275" t="s">
        <v>2141</v>
      </c>
      <c r="D12" s="572" t="s">
        <v>778</v>
      </c>
      <c r="E12" s="578">
        <f t="shared" si="0"/>
        <v>0.69444444444444442</v>
      </c>
      <c r="F12" s="578">
        <f>IF($D12="Trigger",VLOOKUP("*"&amp;$C12&amp;"*",'Lower Hot Cell Weld Failure'!$D$52:$G$104,4,FALSE),E12+F11)</f>
        <v>0.69444444444444442</v>
      </c>
      <c r="G12" s="872"/>
      <c r="H12" s="2221" t="s">
        <v>263</v>
      </c>
      <c r="I12" s="1281" t="s">
        <v>1826</v>
      </c>
      <c r="J12" s="572" t="s">
        <v>451</v>
      </c>
      <c r="K12" s="572" t="s">
        <v>831</v>
      </c>
      <c r="L12" s="1176">
        <f>IFERROR(INDEX('Lower Hot Cell Logistics'!$I$13:$O$19,MATCH($J12,'Lower Hot Cell Logistics'!$H$13:$H$19,0),MATCH($K12,'Lower Hot Cell Logistics'!$H$13:$H$19,0)),"N/A")</f>
        <v>50</v>
      </c>
      <c r="M12" s="2222">
        <f>IFERROR(VLOOKUP($I12,'Lower Hot Cell Logistics'!$H$4:$I$8,2,FALSE),"N/A")</f>
        <v>0.02</v>
      </c>
      <c r="N12" s="580">
        <f t="shared" si="1"/>
        <v>0.69444444444444442</v>
      </c>
      <c r="O12" s="631"/>
      <c r="P12" s="632" t="str">
        <f>IF($D12="Logistics",VLOOKUP($O12,'Lower Hot Cell Logistics'!$C$4:$D$69,2,FALSE),"N/A")</f>
        <v>N/A</v>
      </c>
      <c r="R12"/>
      <c r="S12"/>
    </row>
    <row r="13" spans="1:19" s="89" customFormat="1" ht="15" hidden="1" customHeight="1" outlineLevel="1" x14ac:dyDescent="0.4">
      <c r="A13" s="2108"/>
      <c r="B13" s="3786"/>
      <c r="C13" s="1275" t="s">
        <v>1757</v>
      </c>
      <c r="D13" s="572" t="s">
        <v>3</v>
      </c>
      <c r="E13" s="578">
        <f t="shared" si="0"/>
        <v>0.88000000000000012</v>
      </c>
      <c r="F13" s="578">
        <f>IF($D13="Trigger",VLOOKUP("*"&amp;$C13&amp;"*",'Lower Hot Cell Weld Failure'!$D$52:$G$104,4,FALSE),E13+F12)</f>
        <v>1.5744444444444445</v>
      </c>
      <c r="G13" s="872"/>
      <c r="H13" s="2221" t="s">
        <v>263</v>
      </c>
      <c r="I13" s="1281"/>
      <c r="J13" s="572"/>
      <c r="K13" s="572"/>
      <c r="L13" s="1176" t="str">
        <f>IFERROR(INDEX('Lower Hot Cell Logistics'!$I$13:$O$19,MATCH($J13,'Lower Hot Cell Logistics'!$H$13:$H$19,0),MATCH($K13,'Lower Hot Cell Logistics'!$H$13:$H$19,0)),"N/A")</f>
        <v>N/A</v>
      </c>
      <c r="M13" s="2222" t="str">
        <f>IFERROR(VLOOKUP($I13,'Lower Hot Cell Logistics'!$H$4:$I$8,2,FALSE),"N/A")</f>
        <v>N/A</v>
      </c>
      <c r="N13" s="580" t="str">
        <f t="shared" si="1"/>
        <v>N/A</v>
      </c>
      <c r="O13" s="631" t="s">
        <v>2144</v>
      </c>
      <c r="P13" s="632">
        <f>IF($D13="Logistics",VLOOKUP($O13,'Lower Hot Cell Logistics'!$C$4:$D$69,2,FALSE),"N/A")</f>
        <v>0.88000000000000012</v>
      </c>
      <c r="R13"/>
      <c r="S13"/>
    </row>
    <row r="14" spans="1:19" s="89" customFormat="1" ht="14.6" hidden="1" outlineLevel="1" x14ac:dyDescent="0.4">
      <c r="A14" s="2108"/>
      <c r="B14" s="3786"/>
      <c r="C14" s="572" t="s">
        <v>2189</v>
      </c>
      <c r="D14" s="572" t="s">
        <v>778</v>
      </c>
      <c r="E14" s="578">
        <f t="shared" si="0"/>
        <v>0.23148148148148148</v>
      </c>
      <c r="F14" s="578">
        <f>IF($D14="Trigger",VLOOKUP("*"&amp;$C14&amp;"*",'Lower Hot Cell Weld Failure'!$D$52:$G$104,4,FALSE),E14+F13)</f>
        <v>1.8059259259259259</v>
      </c>
      <c r="G14" s="575"/>
      <c r="H14" s="576" t="s">
        <v>263</v>
      </c>
      <c r="I14" s="1281" t="s">
        <v>2190</v>
      </c>
      <c r="J14" s="572" t="s">
        <v>799</v>
      </c>
      <c r="K14" s="572" t="s">
        <v>451</v>
      </c>
      <c r="L14" s="853">
        <f>IFERROR(INDEX('Lower Hot Cell Logistics'!$I$13:$O$19,MATCH($J14,'Lower Hot Cell Logistics'!$H$13:$H$19,0),MATCH($K14,'Lower Hot Cell Logistics'!$H$13:$H$19,0)),"N/A")</f>
        <v>50</v>
      </c>
      <c r="M14" s="853">
        <f>IFERROR(VLOOKUP($I14,'Lower Hot Cell Logistics'!$H$4:$I$8,2,FALSE),"N/A")</f>
        <v>0.06</v>
      </c>
      <c r="N14" s="1180">
        <f t="shared" si="1"/>
        <v>0.23148148148148148</v>
      </c>
      <c r="O14" s="579"/>
      <c r="P14" s="580" t="str">
        <f>IF($D14="Logistics",VLOOKUP($O14,'Lower Hot Cell Logistics'!$C$4:$D$69,2,FALSE),"N/A")</f>
        <v>N/A</v>
      </c>
      <c r="R14"/>
      <c r="S14"/>
    </row>
    <row r="15" spans="1:19" s="89" customFormat="1" ht="26.6" hidden="1" outlineLevel="1" thickBot="1" x14ac:dyDescent="0.45">
      <c r="A15" s="2108"/>
      <c r="B15" s="3788"/>
      <c r="C15" s="583" t="str">
        <f>B11</f>
        <v>Pumping handling system store; pipe module handing system collected; Pipe Module handling System Moved to Lower Port</v>
      </c>
      <c r="D15" s="583" t="s">
        <v>11</v>
      </c>
      <c r="E15" s="585">
        <f t="shared" si="0"/>
        <v>0</v>
      </c>
      <c r="F15" s="585">
        <f>IF($D15="Trigger",VLOOKUP("*"&amp;$C15&amp;"*",'Lower Hot Cell Weld Failure'!$D$52:$G$104,4,FALSE),E15+F14)</f>
        <v>1.8059259259259259</v>
      </c>
      <c r="G15" s="586"/>
      <c r="H15" s="587" t="s">
        <v>263</v>
      </c>
      <c r="I15" s="1720"/>
      <c r="J15" s="583"/>
      <c r="K15" s="583"/>
      <c r="L15" s="814" t="str">
        <f>IFERROR(INDEX('Lower Hot Cell Logistics'!$I$13:$O$19,MATCH($J15,'Lower Hot Cell Logistics'!$H$13:$H$19,0),MATCH($K15,'Lower Hot Cell Logistics'!$H$13:$H$19,0)),"N/A")</f>
        <v>N/A</v>
      </c>
      <c r="M15" s="814" t="str">
        <f>IFERROR(VLOOKUP($I15,'Lower Hot Cell Logistics'!$H$4:$I$8,2,FALSE),"N/A")</f>
        <v>N/A</v>
      </c>
      <c r="N15" s="1181" t="str">
        <f t="shared" si="1"/>
        <v>N/A</v>
      </c>
      <c r="O15" s="590"/>
      <c r="P15" s="591" t="str">
        <f>IF($D15="Logistics",VLOOKUP($O15,'Lower Hot Cell Logistics'!$C$4:$D$69,2,FALSE),"N/A")</f>
        <v>N/A</v>
      </c>
      <c r="R15"/>
      <c r="S15"/>
    </row>
    <row r="16" spans="1:19" s="89" customFormat="1" ht="15" hidden="1" customHeight="1" outlineLevel="1" x14ac:dyDescent="0.4">
      <c r="A16" s="2108"/>
      <c r="B16" s="3814" t="s">
        <v>2052</v>
      </c>
      <c r="C16" s="617" t="s">
        <v>2044</v>
      </c>
      <c r="D16" s="1324" t="s">
        <v>907</v>
      </c>
      <c r="E16" s="1291">
        <f t="shared" si="0"/>
        <v>0</v>
      </c>
      <c r="F16" s="1291">
        <f>IF($D16="Trigger",VLOOKUP("*"&amp;$C16&amp;"*",'Lower Hot Cell Weld Failure'!$D$52:$G$104,4,FALSE),E16+F15)</f>
        <v>35.395934119456776</v>
      </c>
      <c r="G16" s="825"/>
      <c r="H16" s="1323" t="s">
        <v>263</v>
      </c>
      <c r="I16" s="1721"/>
      <c r="J16" s="1324"/>
      <c r="K16" s="1324"/>
      <c r="L16" s="828" t="str">
        <f>IFERROR(INDEX('Lower Hot Cell Logistics'!$I$13:$O$19,MATCH($J16,'Lower Hot Cell Logistics'!$H$13:$H$19,0),MATCH($K16,'Lower Hot Cell Logistics'!$H$13:$H$19,0)),"N/A")</f>
        <v>N/A</v>
      </c>
      <c r="M16" s="827" t="str">
        <f>IFERROR(VLOOKUP($I16,'Lower Hot Cell Logistics'!$H$4:$I$8,2,FALSE),"N/A")</f>
        <v>N/A</v>
      </c>
      <c r="N16" s="2200" t="str">
        <f t="shared" si="1"/>
        <v>N/A</v>
      </c>
      <c r="O16" s="1327"/>
      <c r="P16" s="824" t="str">
        <f>IF($D16="Logistics",VLOOKUP($O16,'Lower Hot Cell Logistics'!$C$4:$D$69,2,FALSE),"N/A")</f>
        <v>N/A</v>
      </c>
      <c r="R16"/>
      <c r="S16"/>
    </row>
    <row r="17" spans="1:19" s="89" customFormat="1" ht="15" hidden="1" customHeight="1" outlineLevel="1" x14ac:dyDescent="0.4">
      <c r="A17" s="2108"/>
      <c r="B17" s="3815"/>
      <c r="C17" s="1362" t="s">
        <v>2141</v>
      </c>
      <c r="D17" s="1294" t="s">
        <v>778</v>
      </c>
      <c r="E17" s="1330">
        <f t="shared" si="0"/>
        <v>0.69444444444444442</v>
      </c>
      <c r="F17" s="1330">
        <f>IF($D17="Trigger",VLOOKUP("*"&amp;$C17&amp;"*",'Lower Hot Cell Weld Failure'!$D$52:$G$104,4,FALSE),E17+F16)</f>
        <v>36.090378563901218</v>
      </c>
      <c r="G17" s="1722"/>
      <c r="H17" s="2219" t="s">
        <v>263</v>
      </c>
      <c r="I17" s="1724" t="s">
        <v>1826</v>
      </c>
      <c r="J17" s="1294" t="s">
        <v>451</v>
      </c>
      <c r="K17" s="1294" t="s">
        <v>831</v>
      </c>
      <c r="L17" s="2042">
        <f>IFERROR(INDEX('Lower Hot Cell Logistics'!$I$13:$O$19,MATCH($J17,'Lower Hot Cell Logistics'!$H$13:$H$19,0),MATCH($K17,'Lower Hot Cell Logistics'!$H$13:$H$19,0)),"N/A")</f>
        <v>50</v>
      </c>
      <c r="M17" s="2220">
        <f>IFERROR(VLOOKUP($I17,'Lower Hot Cell Logistics'!$H$4:$I$8,2,FALSE),"N/A")</f>
        <v>0.02</v>
      </c>
      <c r="N17" s="1332">
        <f t="shared" si="1"/>
        <v>0.69444444444444442</v>
      </c>
      <c r="O17" s="1352"/>
      <c r="P17" s="1353" t="str">
        <f>IF($D17="Logistics",VLOOKUP($O17,'Lower Hot Cell Logistics'!$C$4:$D$69,2,FALSE),"N/A")</f>
        <v>N/A</v>
      </c>
      <c r="R17"/>
      <c r="S17"/>
    </row>
    <row r="18" spans="1:19" s="89" customFormat="1" ht="15" hidden="1" customHeight="1" outlineLevel="1" x14ac:dyDescent="0.4">
      <c r="A18" s="2108"/>
      <c r="B18" s="3815"/>
      <c r="C18" s="1362" t="s">
        <v>1757</v>
      </c>
      <c r="D18" s="1294" t="s">
        <v>3</v>
      </c>
      <c r="E18" s="1330">
        <f t="shared" si="0"/>
        <v>0.88000000000000012</v>
      </c>
      <c r="F18" s="1330">
        <f>IF($D18="Trigger",VLOOKUP("*"&amp;$C18&amp;"*",'Lower Hot Cell Weld Failure'!$D$52:$G$104,4,FALSE),E18+F17)</f>
        <v>36.970378563901221</v>
      </c>
      <c r="G18" s="1722"/>
      <c r="H18" s="2219" t="s">
        <v>263</v>
      </c>
      <c r="I18" s="1724"/>
      <c r="J18" s="1294"/>
      <c r="K18" s="1294"/>
      <c r="L18" s="2042" t="str">
        <f>IFERROR(INDEX('Lower Hot Cell Logistics'!$I$13:$O$19,MATCH($J18,'Lower Hot Cell Logistics'!$H$13:$H$19,0),MATCH($K18,'Lower Hot Cell Logistics'!$H$13:$H$19,0)),"N/A")</f>
        <v>N/A</v>
      </c>
      <c r="M18" s="2220" t="str">
        <f>IFERROR(VLOOKUP($I18,'Lower Hot Cell Logistics'!$H$4:$I$8,2,FALSE),"N/A")</f>
        <v>N/A</v>
      </c>
      <c r="N18" s="1332" t="str">
        <f t="shared" si="1"/>
        <v>N/A</v>
      </c>
      <c r="O18" s="1352" t="s">
        <v>2144</v>
      </c>
      <c r="P18" s="1353">
        <f>IF($D18="Logistics",VLOOKUP($O18,'Lower Hot Cell Logistics'!$C$4:$D$69,2,FALSE),"N/A")</f>
        <v>0.88000000000000012</v>
      </c>
      <c r="R18"/>
      <c r="S18"/>
    </row>
    <row r="19" spans="1:19" s="89" customFormat="1" ht="14.6" hidden="1" outlineLevel="1" x14ac:dyDescent="0.4">
      <c r="A19" s="2108"/>
      <c r="B19" s="3815"/>
      <c r="C19" s="1294" t="s">
        <v>2189</v>
      </c>
      <c r="D19" s="1294" t="s">
        <v>778</v>
      </c>
      <c r="E19" s="1292">
        <f t="shared" si="0"/>
        <v>0.23148148148148148</v>
      </c>
      <c r="F19" s="1292">
        <f>IF($D19="Trigger",VLOOKUP("*"&amp;$C19&amp;"*",'Lower Hot Cell Weld Failure'!$D$52:$G$104,4,FALSE),E19+F18)</f>
        <v>37.201860045382702</v>
      </c>
      <c r="G19" s="862"/>
      <c r="H19" s="1328" t="s">
        <v>263</v>
      </c>
      <c r="I19" s="1724" t="s">
        <v>2190</v>
      </c>
      <c r="J19" s="1294" t="s">
        <v>799</v>
      </c>
      <c r="K19" s="1294" t="s">
        <v>451</v>
      </c>
      <c r="L19" s="865">
        <f>IFERROR(INDEX('Lower Hot Cell Logistics'!$I$13:$O$19,MATCH($J19,'Lower Hot Cell Logistics'!$H$13:$H$19,0),MATCH($K19,'Lower Hot Cell Logistics'!$H$13:$H$19,0)),"N/A")</f>
        <v>50</v>
      </c>
      <c r="M19" s="865">
        <f>IFERROR(VLOOKUP($I19,'Lower Hot Cell Logistics'!$H$4:$I$8,2,FALSE),"N/A")</f>
        <v>0.06</v>
      </c>
      <c r="N19" s="2197">
        <f t="shared" si="1"/>
        <v>0.23148148148148148</v>
      </c>
      <c r="O19" s="1331"/>
      <c r="P19" s="1332" t="str">
        <f>IF($D19="Logistics",VLOOKUP($O19,'Lower Hot Cell Logistics'!$C$4:$D$69,2,FALSE),"N/A")</f>
        <v>N/A</v>
      </c>
      <c r="R19"/>
      <c r="S19"/>
    </row>
    <row r="20" spans="1:19" s="89" customFormat="1" ht="26.6" hidden="1" outlineLevel="1" thickBot="1" x14ac:dyDescent="0.45">
      <c r="A20" s="2108"/>
      <c r="B20" s="3816"/>
      <c r="C20" s="1340" t="str">
        <f>B16</f>
        <v>LOB pipe module stored;  Pipe Module handling System Moved to Lower Port</v>
      </c>
      <c r="D20" s="1340" t="s">
        <v>11</v>
      </c>
      <c r="E20" s="1295">
        <f t="shared" si="0"/>
        <v>0</v>
      </c>
      <c r="F20" s="1295">
        <f>IF($D20="Trigger",VLOOKUP("*"&amp;$C20&amp;"*",'Lower Hot Cell Weld Failure'!$D$52:$G$104,4,FALSE),E20+F19)</f>
        <v>37.201860045382702</v>
      </c>
      <c r="G20" s="839"/>
      <c r="H20" s="1341" t="s">
        <v>263</v>
      </c>
      <c r="I20" s="1727"/>
      <c r="J20" s="1340"/>
      <c r="K20" s="1340"/>
      <c r="L20" s="842" t="str">
        <f>IFERROR(INDEX('Lower Hot Cell Logistics'!$I$13:$O$19,MATCH($J20,'Lower Hot Cell Logistics'!$H$13:$H$19,0),MATCH($K20,'Lower Hot Cell Logistics'!$H$13:$H$19,0)),"N/A")</f>
        <v>N/A</v>
      </c>
      <c r="M20" s="842" t="str">
        <f>IFERROR(VLOOKUP($I20,'Lower Hot Cell Logistics'!$H$4:$I$8,2,FALSE),"N/A")</f>
        <v>N/A</v>
      </c>
      <c r="N20" s="2199" t="str">
        <f t="shared" si="1"/>
        <v>N/A</v>
      </c>
      <c r="O20" s="1344"/>
      <c r="P20" s="1345" t="str">
        <f>IF($D20="Logistics",VLOOKUP($O20,'Lower Hot Cell Logistics'!$C$4:$D$69,2,FALSE),"N/A")</f>
        <v>N/A</v>
      </c>
      <c r="R20"/>
      <c r="S20"/>
    </row>
    <row r="21" spans="1:19" s="89" customFormat="1" ht="15" hidden="1" customHeight="1" outlineLevel="1" x14ac:dyDescent="0.4">
      <c r="A21" s="2108"/>
      <c r="B21" s="3787" t="s">
        <v>2055</v>
      </c>
      <c r="C21" s="617" t="s">
        <v>2047</v>
      </c>
      <c r="D21" s="617" t="s">
        <v>907</v>
      </c>
      <c r="E21" s="567">
        <f t="shared" si="0"/>
        <v>0</v>
      </c>
      <c r="F21" s="567">
        <f>IF($D21="Trigger",VLOOKUP("*"&amp;$C21&amp;"*",'Lower Hot Cell Weld Failure'!$D$52:$G$104,4,FALSE),E21+F20)</f>
        <v>49.128901179185171</v>
      </c>
      <c r="G21" s="568"/>
      <c r="H21" s="569" t="s">
        <v>263</v>
      </c>
      <c r="I21" s="1270"/>
      <c r="J21" s="617"/>
      <c r="K21" s="617"/>
      <c r="L21" s="570" t="str">
        <f>IFERROR(INDEX('Lower Hot Cell Logistics'!$I$13:$O$19,MATCH($J21,'Lower Hot Cell Logistics'!$H$13:$H$19,0),MATCH($K21,'Lower Hot Cell Logistics'!$H$13:$H$19,0)),"N/A")</f>
        <v>N/A</v>
      </c>
      <c r="M21" s="802" t="str">
        <f>IFERROR(VLOOKUP($I21,'Lower Hot Cell Logistics'!$H$4:$I$8,2,FALSE),"N/A")</f>
        <v>N/A</v>
      </c>
      <c r="N21" s="1182" t="str">
        <f t="shared" si="1"/>
        <v>N/A</v>
      </c>
      <c r="O21" s="620"/>
      <c r="P21" s="621" t="str">
        <f>IF($D21="Logistics",VLOOKUP($O21,'Lower Hot Cell Logistics'!$C$4:$D$69,2,FALSE),"N/A")</f>
        <v>N/A</v>
      </c>
      <c r="R21"/>
      <c r="S21"/>
    </row>
    <row r="22" spans="1:19" s="89" customFormat="1" ht="15" hidden="1" customHeight="1" outlineLevel="1" x14ac:dyDescent="0.4">
      <c r="A22" s="2108"/>
      <c r="B22" s="3786"/>
      <c r="C22" s="1275" t="s">
        <v>2141</v>
      </c>
      <c r="D22" s="572" t="s">
        <v>778</v>
      </c>
      <c r="E22" s="578">
        <f t="shared" si="0"/>
        <v>0.69444444444444442</v>
      </c>
      <c r="F22" s="578">
        <f>IF($D22="Trigger",VLOOKUP("*"&amp;$C22&amp;"*",'Lower Hot Cell Weld Failure'!$D$52:$G$104,4,FALSE),E22+F21)</f>
        <v>49.823345623629613</v>
      </c>
      <c r="G22" s="872"/>
      <c r="H22" s="2221" t="s">
        <v>263</v>
      </c>
      <c r="I22" s="1281" t="s">
        <v>1826</v>
      </c>
      <c r="J22" s="572" t="s">
        <v>451</v>
      </c>
      <c r="K22" s="572" t="s">
        <v>831</v>
      </c>
      <c r="L22" s="1176">
        <f>IFERROR(INDEX('Lower Hot Cell Logistics'!$I$13:$O$19,MATCH($J22,'Lower Hot Cell Logistics'!$H$13:$H$19,0),MATCH($K22,'Lower Hot Cell Logistics'!$H$13:$H$19,0)),"N/A")</f>
        <v>50</v>
      </c>
      <c r="M22" s="2222">
        <f>IFERROR(VLOOKUP($I22,'Lower Hot Cell Logistics'!$H$4:$I$8,2,FALSE),"N/A")</f>
        <v>0.02</v>
      </c>
      <c r="N22" s="580">
        <f t="shared" si="1"/>
        <v>0.69444444444444442</v>
      </c>
      <c r="O22" s="631"/>
      <c r="P22" s="632" t="str">
        <f>IF($D22="Logistics",VLOOKUP($O22,'Lower Hot Cell Logistics'!$C$4:$D$69,2,FALSE),"N/A")</f>
        <v>N/A</v>
      </c>
      <c r="R22"/>
      <c r="S22"/>
    </row>
    <row r="23" spans="1:19" s="89" customFormat="1" ht="15" hidden="1" customHeight="1" outlineLevel="1" x14ac:dyDescent="0.4">
      <c r="A23" s="2108"/>
      <c r="B23" s="3786"/>
      <c r="C23" s="1275" t="s">
        <v>1757</v>
      </c>
      <c r="D23" s="572" t="s">
        <v>3</v>
      </c>
      <c r="E23" s="578">
        <f t="shared" si="0"/>
        <v>0.88000000000000012</v>
      </c>
      <c r="F23" s="578">
        <f>IF($D23="Trigger",VLOOKUP("*"&amp;$C23&amp;"*",'Lower Hot Cell Weld Failure'!$D$52:$G$104,4,FALSE),E23+F22)</f>
        <v>50.703345623629616</v>
      </c>
      <c r="G23" s="872"/>
      <c r="H23" s="2221" t="s">
        <v>263</v>
      </c>
      <c r="I23" s="1281"/>
      <c r="J23" s="572"/>
      <c r="K23" s="572"/>
      <c r="L23" s="1176" t="str">
        <f>IFERROR(INDEX('Lower Hot Cell Logistics'!$I$13:$O$19,MATCH($J23,'Lower Hot Cell Logistics'!$H$13:$H$19,0),MATCH($K23,'Lower Hot Cell Logistics'!$H$13:$H$19,0)),"N/A")</f>
        <v>N/A</v>
      </c>
      <c r="M23" s="2222" t="str">
        <f>IFERROR(VLOOKUP($I23,'Lower Hot Cell Logistics'!$H$4:$I$8,2,FALSE),"N/A")</f>
        <v>N/A</v>
      </c>
      <c r="N23" s="580" t="str">
        <f t="shared" si="1"/>
        <v>N/A</v>
      </c>
      <c r="O23" s="631" t="s">
        <v>2144</v>
      </c>
      <c r="P23" s="632">
        <f>IF($D23="Logistics",VLOOKUP($O23,'Lower Hot Cell Logistics'!$C$4:$D$69,2,FALSE),"N/A")</f>
        <v>0.88000000000000012</v>
      </c>
      <c r="R23"/>
      <c r="S23"/>
    </row>
    <row r="24" spans="1:19" s="89" customFormat="1" ht="14.6" hidden="1" outlineLevel="1" x14ac:dyDescent="0.4">
      <c r="A24" s="2108"/>
      <c r="B24" s="3786"/>
      <c r="C24" s="572" t="s">
        <v>2189</v>
      </c>
      <c r="D24" s="572" t="s">
        <v>778</v>
      </c>
      <c r="E24" s="578">
        <f t="shared" si="0"/>
        <v>0.23148148148148148</v>
      </c>
      <c r="F24" s="578">
        <f>IF($D24="Trigger",VLOOKUP("*"&amp;$C24&amp;"*",'Lower Hot Cell Weld Failure'!$D$52:$G$104,4,FALSE),E24+F23)</f>
        <v>50.934827105111097</v>
      </c>
      <c r="G24" s="575"/>
      <c r="H24" s="576" t="s">
        <v>263</v>
      </c>
      <c r="I24" s="1281" t="s">
        <v>2190</v>
      </c>
      <c r="J24" s="572" t="s">
        <v>799</v>
      </c>
      <c r="K24" s="572" t="s">
        <v>451</v>
      </c>
      <c r="L24" s="853">
        <f>IFERROR(INDEX('Lower Hot Cell Logistics'!$I$13:$O$19,MATCH($J24,'Lower Hot Cell Logistics'!$H$13:$H$19,0),MATCH($K24,'Lower Hot Cell Logistics'!$H$13:$H$19,0)),"N/A")</f>
        <v>50</v>
      </c>
      <c r="M24" s="853">
        <f>IFERROR(VLOOKUP($I24,'Lower Hot Cell Logistics'!$H$4:$I$8,2,FALSE),"N/A")</f>
        <v>0.06</v>
      </c>
      <c r="N24" s="1180">
        <f t="shared" si="1"/>
        <v>0.23148148148148148</v>
      </c>
      <c r="O24" s="579"/>
      <c r="P24" s="580" t="str">
        <f>IF($D24="Logistics",VLOOKUP($O24,'Lower Hot Cell Logistics'!$C$4:$D$69,2,FALSE),"N/A")</f>
        <v>N/A</v>
      </c>
      <c r="R24"/>
      <c r="S24"/>
    </row>
    <row r="25" spans="1:19" s="89" customFormat="1" ht="26.6" hidden="1" outlineLevel="1" thickBot="1" x14ac:dyDescent="0.45">
      <c r="A25" s="2108"/>
      <c r="B25" s="3788"/>
      <c r="C25" s="583" t="str">
        <f>B21</f>
        <v>ROB pipe module stored;  Pipe Module handling System Moved to Lower Port</v>
      </c>
      <c r="D25" s="583" t="s">
        <v>11</v>
      </c>
      <c r="E25" s="585">
        <f t="shared" si="0"/>
        <v>0</v>
      </c>
      <c r="F25" s="585">
        <f>IF($D25="Trigger",VLOOKUP("*"&amp;$C25&amp;"*",'Lower Hot Cell Weld Failure'!$D$52:$G$104,4,FALSE),E25+F24)</f>
        <v>50.934827105111097</v>
      </c>
      <c r="G25" s="586"/>
      <c r="H25" s="587" t="s">
        <v>263</v>
      </c>
      <c r="I25" s="1720"/>
      <c r="J25" s="583"/>
      <c r="K25" s="583"/>
      <c r="L25" s="814" t="str">
        <f>IFERROR(INDEX('Lower Hot Cell Logistics'!$I$13:$O$19,MATCH($J25,'Lower Hot Cell Logistics'!$H$13:$H$19,0),MATCH($K25,'Lower Hot Cell Logistics'!$H$13:$H$19,0)),"N/A")</f>
        <v>N/A</v>
      </c>
      <c r="M25" s="814" t="str">
        <f>IFERROR(VLOOKUP($I25,'Lower Hot Cell Logistics'!$H$4:$I$8,2,FALSE),"N/A")</f>
        <v>N/A</v>
      </c>
      <c r="N25" s="1181" t="str">
        <f t="shared" si="1"/>
        <v>N/A</v>
      </c>
      <c r="O25" s="590"/>
      <c r="P25" s="591" t="str">
        <f>IF($D25="Logistics",VLOOKUP($O25,'Lower Hot Cell Logistics'!$C$4:$D$69,2,FALSE),"N/A")</f>
        <v>N/A</v>
      </c>
      <c r="R25"/>
      <c r="S25"/>
    </row>
    <row r="26" spans="1:19" s="89" customFormat="1" ht="15" hidden="1" customHeight="1" outlineLevel="1" x14ac:dyDescent="0.4">
      <c r="A26" s="2108"/>
      <c r="B26" s="3814" t="s">
        <v>2059</v>
      </c>
      <c r="C26" s="617" t="s">
        <v>2191</v>
      </c>
      <c r="D26" s="1324" t="s">
        <v>907</v>
      </c>
      <c r="E26" s="1291">
        <f t="shared" si="0"/>
        <v>0</v>
      </c>
      <c r="F26" s="1291">
        <f>IF($D26="Trigger",VLOOKUP("*"&amp;$C26&amp;"*",'Lower Hot Cell Weld Failure'!$D$52:$G$104,4,FALSE),E26+F25)</f>
        <v>63.131868238913562</v>
      </c>
      <c r="G26" s="825"/>
      <c r="H26" s="1323" t="s">
        <v>263</v>
      </c>
      <c r="I26" s="1721"/>
      <c r="J26" s="1324"/>
      <c r="K26" s="1324"/>
      <c r="L26" s="828" t="str">
        <f>IFERROR(INDEX('Lower Hot Cell Logistics'!$I$13:$O$19,MATCH($J26,'Lower Hot Cell Logistics'!$H$13:$H$19,0),MATCH($K26,'Lower Hot Cell Logistics'!$H$13:$H$19,0)),"N/A")</f>
        <v>N/A</v>
      </c>
      <c r="M26" s="827" t="str">
        <f>IFERROR(VLOOKUP($I26,'Lower Hot Cell Logistics'!$H$4:$I$8,2,FALSE),"N/A")</f>
        <v>N/A</v>
      </c>
      <c r="N26" s="2200" t="str">
        <f t="shared" si="1"/>
        <v>N/A</v>
      </c>
      <c r="O26" s="1327"/>
      <c r="P26" s="824" t="str">
        <f>IF($D26="Logistics",VLOOKUP($O26,'Lower Hot Cell Logistics'!$C$4:$D$69,2,FALSE),"N/A")</f>
        <v>N/A</v>
      </c>
      <c r="R26"/>
      <c r="S26"/>
    </row>
    <row r="27" spans="1:19" s="89" customFormat="1" ht="15" hidden="1" customHeight="1" outlineLevel="1" x14ac:dyDescent="0.4">
      <c r="A27" s="2108"/>
      <c r="B27" s="3815"/>
      <c r="C27" s="1362" t="s">
        <v>2141</v>
      </c>
      <c r="D27" s="1294" t="s">
        <v>778</v>
      </c>
      <c r="E27" s="1330">
        <f t="shared" si="0"/>
        <v>0.69444444444444442</v>
      </c>
      <c r="F27" s="1330">
        <f>IF($D27="Trigger",VLOOKUP("*"&amp;$C27&amp;"*",'Lower Hot Cell Weld Failure'!$D$52:$G$104,4,FALSE),E27+F26)</f>
        <v>63.826312683358005</v>
      </c>
      <c r="G27" s="1722"/>
      <c r="H27" s="2219" t="s">
        <v>263</v>
      </c>
      <c r="I27" s="1724" t="s">
        <v>1826</v>
      </c>
      <c r="J27" s="1294" t="s">
        <v>451</v>
      </c>
      <c r="K27" s="1294" t="s">
        <v>831</v>
      </c>
      <c r="L27" s="2042">
        <f>IFERROR(INDEX('Lower Hot Cell Logistics'!$I$13:$O$19,MATCH($J27,'Lower Hot Cell Logistics'!$H$13:$H$19,0),MATCH($K27,'Lower Hot Cell Logistics'!$H$13:$H$19,0)),"N/A")</f>
        <v>50</v>
      </c>
      <c r="M27" s="2220">
        <f>IFERROR(VLOOKUP($I27,'Lower Hot Cell Logistics'!$H$4:$I$8,2,FALSE),"N/A")</f>
        <v>0.02</v>
      </c>
      <c r="N27" s="1332">
        <f t="shared" si="1"/>
        <v>0.69444444444444442</v>
      </c>
      <c r="O27" s="1352"/>
      <c r="P27" s="1353" t="str">
        <f>IF($D27="Logistics",VLOOKUP($O27,'Lower Hot Cell Logistics'!$C$4:$D$69,2,FALSE),"N/A")</f>
        <v>N/A</v>
      </c>
      <c r="R27"/>
      <c r="S27"/>
    </row>
    <row r="28" spans="1:19" s="89" customFormat="1" ht="15" hidden="1" customHeight="1" outlineLevel="1" x14ac:dyDescent="0.4">
      <c r="A28" s="2108"/>
      <c r="B28" s="3815"/>
      <c r="C28" s="1362" t="s">
        <v>1757</v>
      </c>
      <c r="D28" s="1294" t="s">
        <v>3</v>
      </c>
      <c r="E28" s="1330">
        <f t="shared" si="0"/>
        <v>0.88000000000000012</v>
      </c>
      <c r="F28" s="1330">
        <f>IF($D28="Trigger",VLOOKUP("*"&amp;$C28&amp;"*",'Lower Hot Cell Weld Failure'!$D$52:$G$104,4,FALSE),E28+F27)</f>
        <v>64.706312683358007</v>
      </c>
      <c r="G28" s="1722"/>
      <c r="H28" s="2219" t="s">
        <v>263</v>
      </c>
      <c r="I28" s="1724"/>
      <c r="J28" s="1294"/>
      <c r="K28" s="1294"/>
      <c r="L28" s="2042" t="str">
        <f>IFERROR(INDEX('Lower Hot Cell Logistics'!$I$13:$O$19,MATCH($J28,'Lower Hot Cell Logistics'!$H$13:$H$19,0),MATCH($K28,'Lower Hot Cell Logistics'!$H$13:$H$19,0)),"N/A")</f>
        <v>N/A</v>
      </c>
      <c r="M28" s="2220" t="str">
        <f>IFERROR(VLOOKUP($I28,'Lower Hot Cell Logistics'!$H$4:$I$8,2,FALSE),"N/A")</f>
        <v>N/A</v>
      </c>
      <c r="N28" s="1332" t="str">
        <f t="shared" si="1"/>
        <v>N/A</v>
      </c>
      <c r="O28" s="1352" t="s">
        <v>2144</v>
      </c>
      <c r="P28" s="1353">
        <f>IF($D28="Logistics",VLOOKUP($O28,'Lower Hot Cell Logistics'!$C$4:$D$69,2,FALSE),"N/A")</f>
        <v>0.88000000000000012</v>
      </c>
      <c r="R28"/>
      <c r="S28"/>
    </row>
    <row r="29" spans="1:19" s="89" customFormat="1" ht="14.6" hidden="1" outlineLevel="1" x14ac:dyDescent="0.4">
      <c r="A29" s="2108"/>
      <c r="B29" s="3815"/>
      <c r="C29" s="1294" t="s">
        <v>2189</v>
      </c>
      <c r="D29" s="1294" t="s">
        <v>778</v>
      </c>
      <c r="E29" s="1292">
        <f t="shared" si="0"/>
        <v>0.23148148148148148</v>
      </c>
      <c r="F29" s="1292">
        <f>IF($D29="Trigger",VLOOKUP("*"&amp;$C29&amp;"*",'Lower Hot Cell Weld Failure'!$D$52:$G$104,4,FALSE),E29+F28)</f>
        <v>64.937794164839488</v>
      </c>
      <c r="G29" s="862"/>
      <c r="H29" s="1328" t="s">
        <v>263</v>
      </c>
      <c r="I29" s="1724" t="s">
        <v>2190</v>
      </c>
      <c r="J29" s="1294" t="s">
        <v>799</v>
      </c>
      <c r="K29" s="1294" t="s">
        <v>451</v>
      </c>
      <c r="L29" s="865">
        <f>IFERROR(INDEX('Lower Hot Cell Logistics'!$I$13:$O$19,MATCH($J29,'Lower Hot Cell Logistics'!$H$13:$H$19,0),MATCH($K29,'Lower Hot Cell Logistics'!$H$13:$H$19,0)),"N/A")</f>
        <v>50</v>
      </c>
      <c r="M29" s="865">
        <f>IFERROR(VLOOKUP($I29,'Lower Hot Cell Logistics'!$H$4:$I$8,2,FALSE),"N/A")</f>
        <v>0.06</v>
      </c>
      <c r="N29" s="2197">
        <f t="shared" si="1"/>
        <v>0.23148148148148148</v>
      </c>
      <c r="O29" s="1331"/>
      <c r="P29" s="1332" t="str">
        <f>IF($D29="Logistics",VLOOKUP($O29,'Lower Hot Cell Logistics'!$C$4:$D$69,2,FALSE),"N/A")</f>
        <v>N/A</v>
      </c>
      <c r="R29"/>
      <c r="S29"/>
    </row>
    <row r="30" spans="1:19" s="89" customFormat="1" ht="26.6" hidden="1" outlineLevel="1" thickBot="1" x14ac:dyDescent="0.45">
      <c r="A30" s="2108"/>
      <c r="B30" s="3816"/>
      <c r="C30" s="1340" t="str">
        <f>B26</f>
        <v>LIB pipe module stored;  Pipe Module handling System Moved to Lower Port</v>
      </c>
      <c r="D30" s="1340" t="s">
        <v>11</v>
      </c>
      <c r="E30" s="1295">
        <f t="shared" si="0"/>
        <v>0</v>
      </c>
      <c r="F30" s="1295">
        <f>IF($D30="Trigger",VLOOKUP("*"&amp;$C30&amp;"*",'Lower Hot Cell Weld Failure'!$D$52:$G$104,4,FALSE),E30+F29)</f>
        <v>64.937794164839488</v>
      </c>
      <c r="G30" s="839"/>
      <c r="H30" s="1341" t="s">
        <v>263</v>
      </c>
      <c r="I30" s="1727"/>
      <c r="J30" s="1340"/>
      <c r="K30" s="1340"/>
      <c r="L30" s="842" t="str">
        <f>IFERROR(INDEX('Lower Hot Cell Logistics'!$I$13:$O$19,MATCH($J30,'Lower Hot Cell Logistics'!$H$13:$H$19,0),MATCH($K30,'Lower Hot Cell Logistics'!$H$13:$H$19,0)),"N/A")</f>
        <v>N/A</v>
      </c>
      <c r="M30" s="842" t="str">
        <f>IFERROR(VLOOKUP($I30,'Lower Hot Cell Logistics'!$H$4:$I$8,2,FALSE),"N/A")</f>
        <v>N/A</v>
      </c>
      <c r="N30" s="2199" t="str">
        <f t="shared" si="1"/>
        <v>N/A</v>
      </c>
      <c r="O30" s="1344"/>
      <c r="P30" s="1345" t="str">
        <f>IF($D30="Logistics",VLOOKUP($O30,'Lower Hot Cell Logistics'!$C$4:$D$69,2,FALSE),"N/A")</f>
        <v>N/A</v>
      </c>
      <c r="R30"/>
      <c r="S30"/>
    </row>
    <row r="31" spans="1:19" s="89" customFormat="1" ht="15" hidden="1" customHeight="1" outlineLevel="1" x14ac:dyDescent="0.4">
      <c r="A31" s="2108"/>
      <c r="B31" s="3787" t="s">
        <v>2289</v>
      </c>
      <c r="C31" s="617" t="s">
        <v>2192</v>
      </c>
      <c r="D31" s="617" t="s">
        <v>907</v>
      </c>
      <c r="E31" s="567">
        <f t="shared" si="0"/>
        <v>0</v>
      </c>
      <c r="F31" s="567">
        <f>IF($D31="Trigger",VLOOKUP("*"&amp;$C31&amp;"*",'Lower Hot Cell Weld Failure'!$D$52:$G$104,4,FALSE),E31+F30)</f>
        <v>76.86483529864195</v>
      </c>
      <c r="G31" s="568"/>
      <c r="H31" s="569" t="s">
        <v>263</v>
      </c>
      <c r="I31" s="1270"/>
      <c r="J31" s="617"/>
      <c r="K31" s="617"/>
      <c r="L31" s="570" t="str">
        <f>IFERROR(INDEX('Lower Hot Cell Logistics'!$I$13:$O$19,MATCH($J31,'Lower Hot Cell Logistics'!$H$13:$H$19,0),MATCH($K31,'Lower Hot Cell Logistics'!$H$13:$H$19,0)),"N/A")</f>
        <v>N/A</v>
      </c>
      <c r="M31" s="802" t="str">
        <f>IFERROR(VLOOKUP($I31,'Lower Hot Cell Logistics'!$H$4:$I$8,2,FALSE),"N/A")</f>
        <v>N/A</v>
      </c>
      <c r="N31" s="1182" t="str">
        <f t="shared" si="1"/>
        <v>N/A</v>
      </c>
      <c r="O31" s="620"/>
      <c r="P31" s="621" t="str">
        <f>IF($D31="Logistics",VLOOKUP($O31,'Lower Hot Cell Logistics'!$C$4:$D$69,2,FALSE),"N/A")</f>
        <v>N/A</v>
      </c>
      <c r="R31"/>
      <c r="S31"/>
    </row>
    <row r="32" spans="1:19" s="89" customFormat="1" ht="15" hidden="1" customHeight="1" outlineLevel="1" x14ac:dyDescent="0.4">
      <c r="A32" s="2108"/>
      <c r="B32" s="3786"/>
      <c r="C32" s="1275" t="s">
        <v>2141</v>
      </c>
      <c r="D32" s="572" t="s">
        <v>778</v>
      </c>
      <c r="E32" s="578">
        <f t="shared" si="0"/>
        <v>0.69444444444444442</v>
      </c>
      <c r="F32" s="578">
        <f>IF($D32="Trigger",VLOOKUP("*"&amp;$C32&amp;"*",'Lower Hot Cell Weld Failure'!$D$52:$G$104,4,FALSE),E32+F31)</f>
        <v>77.559279743086393</v>
      </c>
      <c r="G32" s="872"/>
      <c r="H32" s="2221" t="s">
        <v>263</v>
      </c>
      <c r="I32" s="1281" t="s">
        <v>1826</v>
      </c>
      <c r="J32" s="572" t="s">
        <v>451</v>
      </c>
      <c r="K32" s="572" t="s">
        <v>831</v>
      </c>
      <c r="L32" s="1176">
        <f>IFERROR(INDEX('Lower Hot Cell Logistics'!$I$13:$O$19,MATCH($J32,'Lower Hot Cell Logistics'!$H$13:$H$19,0),MATCH($K32,'Lower Hot Cell Logistics'!$H$13:$H$19,0)),"N/A")</f>
        <v>50</v>
      </c>
      <c r="M32" s="2222">
        <f>IFERROR(VLOOKUP($I32,'Lower Hot Cell Logistics'!$H$4:$I$8,2,FALSE),"N/A")</f>
        <v>0.02</v>
      </c>
      <c r="N32" s="580">
        <f t="shared" si="1"/>
        <v>0.69444444444444442</v>
      </c>
      <c r="O32" s="631"/>
      <c r="P32" s="632" t="str">
        <f>IF($D32="Logistics",VLOOKUP($O32,'Lower Hot Cell Logistics'!$C$4:$D$69,2,FALSE),"N/A")</f>
        <v>N/A</v>
      </c>
      <c r="R32"/>
      <c r="S32"/>
    </row>
    <row r="33" spans="1:19" s="89" customFormat="1" ht="15" hidden="1" customHeight="1" outlineLevel="1" x14ac:dyDescent="0.4">
      <c r="A33" s="2108"/>
      <c r="B33" s="3786"/>
      <c r="C33" s="1275" t="s">
        <v>1757</v>
      </c>
      <c r="D33" s="572" t="s">
        <v>3</v>
      </c>
      <c r="E33" s="578">
        <f t="shared" si="0"/>
        <v>0.88000000000000012</v>
      </c>
      <c r="F33" s="578">
        <f>IF($D33="Trigger",VLOOKUP("*"&amp;$C33&amp;"*",'Lower Hot Cell Weld Failure'!$D$52:$G$104,4,FALSE),E33+F32)</f>
        <v>78.439279743086388</v>
      </c>
      <c r="G33" s="872"/>
      <c r="H33" s="2221" t="s">
        <v>263</v>
      </c>
      <c r="I33" s="1281"/>
      <c r="J33" s="572"/>
      <c r="K33" s="572"/>
      <c r="L33" s="1176" t="str">
        <f>IFERROR(INDEX('Lower Hot Cell Logistics'!$I$13:$O$19,MATCH($J33,'Lower Hot Cell Logistics'!$H$13:$H$19,0),MATCH($K33,'Lower Hot Cell Logistics'!$H$13:$H$19,0)),"N/A")</f>
        <v>N/A</v>
      </c>
      <c r="M33" s="2222" t="str">
        <f>IFERROR(VLOOKUP($I33,'Lower Hot Cell Logistics'!$H$4:$I$8,2,FALSE),"N/A")</f>
        <v>N/A</v>
      </c>
      <c r="N33" s="580" t="str">
        <f t="shared" si="1"/>
        <v>N/A</v>
      </c>
      <c r="O33" s="631" t="s">
        <v>2144</v>
      </c>
      <c r="P33" s="632">
        <f>IF($D33="Logistics",VLOOKUP($O33,'Lower Hot Cell Logistics'!$C$4:$D$69,2,FALSE),"N/A")</f>
        <v>0.88000000000000012</v>
      </c>
      <c r="R33"/>
      <c r="S33"/>
    </row>
    <row r="34" spans="1:19" s="89" customFormat="1" ht="14.6" hidden="1" outlineLevel="1" x14ac:dyDescent="0.4">
      <c r="A34" s="2108"/>
      <c r="B34" s="3786"/>
      <c r="C34" s="572" t="s">
        <v>2189</v>
      </c>
      <c r="D34" s="572" t="s">
        <v>778</v>
      </c>
      <c r="E34" s="574">
        <f t="shared" si="0"/>
        <v>0.23148148148148148</v>
      </c>
      <c r="F34" s="574">
        <f>IF($D34="Trigger",VLOOKUP("*"&amp;$C34&amp;"*",'Lower Hot Cell Weld Failure'!$D$52:$G$104,4,FALSE),E34+F33)</f>
        <v>78.670761224567869</v>
      </c>
      <c r="G34" s="575"/>
      <c r="H34" s="576" t="s">
        <v>263</v>
      </c>
      <c r="I34" s="1281" t="s">
        <v>2190</v>
      </c>
      <c r="J34" s="572" t="s">
        <v>799</v>
      </c>
      <c r="K34" s="572" t="s">
        <v>451</v>
      </c>
      <c r="L34" s="853">
        <f>IFERROR(INDEX('Lower Hot Cell Logistics'!$I$13:$O$19,MATCH($J34,'Lower Hot Cell Logistics'!$H$13:$H$19,0),MATCH($K34,'Lower Hot Cell Logistics'!$H$13:$H$19,0)),"N/A")</f>
        <v>50</v>
      </c>
      <c r="M34" s="853">
        <f>IFERROR(VLOOKUP($I34,'Lower Hot Cell Logistics'!$H$4:$I$8,2,FALSE),"N/A")</f>
        <v>0.06</v>
      </c>
      <c r="N34" s="1180">
        <f t="shared" si="1"/>
        <v>0.23148148148148148</v>
      </c>
      <c r="O34" s="579"/>
      <c r="P34" s="580" t="str">
        <f>IF($D34="Logistics",VLOOKUP($O34,'Lower Hot Cell Logistics'!$C$4:$D$69,2,FALSE),"N/A")</f>
        <v>N/A</v>
      </c>
      <c r="R34"/>
      <c r="S34"/>
    </row>
    <row r="35" spans="1:19" s="89" customFormat="1" ht="26.6" hidden="1" outlineLevel="1" thickBot="1" x14ac:dyDescent="0.45">
      <c r="A35" s="2108"/>
      <c r="B35" s="3788"/>
      <c r="C35" s="583" t="str">
        <f>B31</f>
        <v>RIB pipe module stored;  Blanket Pipe Module handling System Stored</v>
      </c>
      <c r="D35" s="583" t="s">
        <v>11</v>
      </c>
      <c r="E35" s="585">
        <f t="shared" si="0"/>
        <v>0</v>
      </c>
      <c r="F35" s="585">
        <f>IF($D35="Trigger",VLOOKUP("*"&amp;$C35&amp;"*",'Lower Hot Cell Weld Failure'!$D$52:$G$104,4,FALSE),E35+F34)</f>
        <v>78.670761224567869</v>
      </c>
      <c r="G35" s="586"/>
      <c r="H35" s="587" t="s">
        <v>263</v>
      </c>
      <c r="I35" s="1720"/>
      <c r="J35" s="583"/>
      <c r="K35" s="583"/>
      <c r="L35" s="814" t="str">
        <f>IFERROR(INDEX('Lower Hot Cell Logistics'!$I$13:$O$19,MATCH($J35,'Lower Hot Cell Logistics'!$H$13:$H$19,0),MATCH($K35,'Lower Hot Cell Logistics'!$H$13:$H$19,0)),"N/A")</f>
        <v>N/A</v>
      </c>
      <c r="M35" s="814" t="str">
        <f>IFERROR(VLOOKUP($I35,'Lower Hot Cell Logistics'!$H$4:$I$8,2,FALSE),"N/A")</f>
        <v>N/A</v>
      </c>
      <c r="N35" s="1181" t="str">
        <f t="shared" si="1"/>
        <v>N/A</v>
      </c>
      <c r="O35" s="590"/>
      <c r="P35" s="591" t="str">
        <f>IF($D35="Logistics",VLOOKUP($O35,'Lower Hot Cell Logistics'!$C$4:$D$69,2,FALSE),"N/A")</f>
        <v>N/A</v>
      </c>
      <c r="R35"/>
      <c r="S35"/>
    </row>
    <row r="36" spans="1:19" s="89" customFormat="1" ht="15" hidden="1" customHeight="1" outlineLevel="1" x14ac:dyDescent="0.4">
      <c r="A36" s="2108"/>
      <c r="B36" s="3814" t="s">
        <v>2193</v>
      </c>
      <c r="C36" s="1324" t="s">
        <v>2063</v>
      </c>
      <c r="D36" s="1324" t="s">
        <v>907</v>
      </c>
      <c r="E36" s="1291">
        <f t="shared" si="0"/>
        <v>0</v>
      </c>
      <c r="F36" s="1291">
        <f>IF($D36="Trigger",VLOOKUP("*"&amp;$C36&amp;"*",'Lower Hot Cell Weld Failure'!$D$52:$G$104,4,FALSE),E36+F35)</f>
        <v>94.840769418098702</v>
      </c>
      <c r="G36" s="825"/>
      <c r="H36" s="1323" t="s">
        <v>263</v>
      </c>
      <c r="I36" s="1721"/>
      <c r="J36" s="1324"/>
      <c r="K36" s="1324"/>
      <c r="L36" s="828" t="str">
        <f>IFERROR(INDEX('Lower Hot Cell Logistics'!$I$13:$O$19,MATCH($J36,'Lower Hot Cell Logistics'!$H$13:$H$19,0),MATCH($K36,'Lower Hot Cell Logistics'!$H$13:$H$19,0)),"N/A")</f>
        <v>N/A</v>
      </c>
      <c r="M36" s="827" t="str">
        <f>IFERROR(VLOOKUP($I36,'Lower Hot Cell Logistics'!$H$4:$I$8,2,FALSE),"N/A")</f>
        <v>N/A</v>
      </c>
      <c r="N36" s="2200" t="str">
        <f t="shared" ref="N36:N41" si="2">IF(D36="Movement",IFERROR((L36/M36)/(60*60),"Error"),"N/A")</f>
        <v>N/A</v>
      </c>
      <c r="O36" s="1327"/>
      <c r="P36" s="824" t="str">
        <f>IF($D36="Logistics",VLOOKUP($O36,'Lower Hot Cell Logistics'!$C$4:$D$69,2,FALSE),"N/A")</f>
        <v>N/A</v>
      </c>
      <c r="R36"/>
      <c r="S36"/>
    </row>
    <row r="37" spans="1:19" s="89" customFormat="1" ht="15" hidden="1" customHeight="1" outlineLevel="1" x14ac:dyDescent="0.4">
      <c r="A37" s="2108"/>
      <c r="B37" s="3815"/>
      <c r="C37" s="1362" t="s">
        <v>2141</v>
      </c>
      <c r="D37" s="1294" t="s">
        <v>778</v>
      </c>
      <c r="E37" s="1330">
        <f t="shared" si="0"/>
        <v>0.23148148148148148</v>
      </c>
      <c r="F37" s="1330">
        <f>IF($D37="Trigger",VLOOKUP("*"&amp;$C37&amp;"*",'Lower Hot Cell Weld Failure'!$D$52:$G$104,4,FALSE),E37+F36)</f>
        <v>95.072250899580183</v>
      </c>
      <c r="G37" s="1722"/>
      <c r="H37" s="2219" t="s">
        <v>263</v>
      </c>
      <c r="I37" s="1724" t="s">
        <v>2142</v>
      </c>
      <c r="J37" s="1294" t="s">
        <v>451</v>
      </c>
      <c r="K37" s="1294" t="s">
        <v>914</v>
      </c>
      <c r="L37" s="2042">
        <f>IFERROR(INDEX('Lower Hot Cell Logistics'!$I$13:$O$19,MATCH($J37,'Lower Hot Cell Logistics'!$H$13:$H$19,0),MATCH($K37,'Lower Hot Cell Logistics'!$H$13:$H$19,0)),"N/A")</f>
        <v>50</v>
      </c>
      <c r="M37" s="2220">
        <f>IFERROR(VLOOKUP($I37,'Lower Hot Cell Logistics'!$H$4:$I$8,2,FALSE),"N/A")</f>
        <v>0.06</v>
      </c>
      <c r="N37" s="1332">
        <f t="shared" si="2"/>
        <v>0.23148148148148148</v>
      </c>
      <c r="O37" s="1352"/>
      <c r="P37" s="1353" t="str">
        <f>IF($D37="Logistics",VLOOKUP($O37,'Lower Hot Cell Logistics'!$C$4:$D$69,2,FALSE),"N/A")</f>
        <v>N/A</v>
      </c>
      <c r="R37"/>
      <c r="S37"/>
    </row>
    <row r="38" spans="1:19" s="89" customFormat="1" ht="15" hidden="1" customHeight="1" outlineLevel="1" x14ac:dyDescent="0.4">
      <c r="A38" s="2108"/>
      <c r="B38" s="3815"/>
      <c r="C38" s="1362" t="s">
        <v>1757</v>
      </c>
      <c r="D38" s="1294" t="s">
        <v>3</v>
      </c>
      <c r="E38" s="1330">
        <f t="shared" si="0"/>
        <v>0.88000000000000012</v>
      </c>
      <c r="F38" s="1330">
        <f>IF($D38="Trigger",VLOOKUP("*"&amp;$C38&amp;"*",'Lower Hot Cell Weld Failure'!$D$52:$G$104,4,FALSE),E38+F37)</f>
        <v>95.952250899580179</v>
      </c>
      <c r="G38" s="1722"/>
      <c r="H38" s="2219" t="s">
        <v>263</v>
      </c>
      <c r="I38" s="1724"/>
      <c r="J38" s="1294"/>
      <c r="K38" s="1294"/>
      <c r="L38" s="2042" t="str">
        <f>IFERROR(INDEX('Lower Hot Cell Logistics'!$I$13:$O$19,MATCH($J38,'Lower Hot Cell Logistics'!$H$13:$H$19,0),MATCH($K38,'Lower Hot Cell Logistics'!$H$13:$H$19,0)),"N/A")</f>
        <v>N/A</v>
      </c>
      <c r="M38" s="2220" t="str">
        <f>IFERROR(VLOOKUP($I38,'Lower Hot Cell Logistics'!$H$4:$I$8,2,FALSE),"N/A")</f>
        <v>N/A</v>
      </c>
      <c r="N38" s="1332" t="str">
        <f t="shared" si="2"/>
        <v>N/A</v>
      </c>
      <c r="O38" s="1352" t="s">
        <v>2144</v>
      </c>
      <c r="P38" s="1353">
        <f>IF($D38="Logistics",VLOOKUP($O38,'Lower Hot Cell Logistics'!$C$4:$D$69,2,FALSE),"N/A")</f>
        <v>0.88000000000000012</v>
      </c>
      <c r="R38"/>
      <c r="S38"/>
    </row>
    <row r="39" spans="1:19" s="89" customFormat="1" ht="15" hidden="1" customHeight="1" outlineLevel="1" x14ac:dyDescent="0.4">
      <c r="A39" s="2108"/>
      <c r="B39" s="3815"/>
      <c r="C39" s="1362" t="s">
        <v>2145</v>
      </c>
      <c r="D39" s="1294" t="s">
        <v>778</v>
      </c>
      <c r="E39" s="1330">
        <f t="shared" si="0"/>
        <v>2.7777777777777776E-2</v>
      </c>
      <c r="F39" s="1330">
        <f>IF($D39="Trigger",VLOOKUP("*"&amp;$C39&amp;"*",'Lower Hot Cell Weld Failure'!$D$52:$G$104,4,FALSE),E39+F38)</f>
        <v>95.98002867735795</v>
      </c>
      <c r="G39" s="1722"/>
      <c r="H39" s="2219" t="s">
        <v>263</v>
      </c>
      <c r="I39" s="1724" t="s">
        <v>2146</v>
      </c>
      <c r="J39" s="1294" t="s">
        <v>914</v>
      </c>
      <c r="K39" s="1294" t="s">
        <v>799</v>
      </c>
      <c r="L39" s="2042">
        <f>IFERROR(INDEX('Lower Hot Cell Logistics'!$I$13:$O$19,MATCH($J39,'Lower Hot Cell Logistics'!$H$13:$H$19,0),MATCH($K39,'Lower Hot Cell Logistics'!$H$13:$H$19,0)),"N/A")</f>
        <v>20</v>
      </c>
      <c r="M39" s="2220">
        <f>IFERROR(VLOOKUP($I39,'Lower Hot Cell Logistics'!$H$4:$I$8,2,FALSE),"N/A")</f>
        <v>0.2</v>
      </c>
      <c r="N39" s="1332">
        <f t="shared" si="2"/>
        <v>2.7777777777777776E-2</v>
      </c>
      <c r="O39" s="1352"/>
      <c r="P39" s="1353" t="str">
        <f>IF($D39="Logistics",VLOOKUP($O39,'Lower Hot Cell Logistics'!$C$4:$D$69,2,FALSE),"N/A")</f>
        <v>N/A</v>
      </c>
      <c r="R39"/>
      <c r="S39"/>
    </row>
    <row r="40" spans="1:19" s="89" customFormat="1" ht="14.6" hidden="1" outlineLevel="1" x14ac:dyDescent="0.4">
      <c r="A40" s="2108"/>
      <c r="B40" s="3815"/>
      <c r="C40" s="1294" t="s">
        <v>1755</v>
      </c>
      <c r="D40" s="1294" t="s">
        <v>3</v>
      </c>
      <c r="E40" s="1292">
        <f t="shared" si="0"/>
        <v>0.68</v>
      </c>
      <c r="F40" s="1292">
        <f>IF($D40="Trigger",VLOOKUP("*"&amp;$C40&amp;"*",'Lower Hot Cell Weld Failure'!$D$52:$G$104,4,FALSE),E40+F39)</f>
        <v>96.660028677357957</v>
      </c>
      <c r="G40" s="862"/>
      <c r="H40" s="1328" t="s">
        <v>263</v>
      </c>
      <c r="I40" s="1724"/>
      <c r="J40" s="1294"/>
      <c r="K40" s="1294"/>
      <c r="L40" s="865" t="str">
        <f>IFERROR(INDEX('Lower Hot Cell Logistics'!$I$13:$O$19,MATCH($J40,'Lower Hot Cell Logistics'!$H$13:$H$19,0),MATCH($K40,'Lower Hot Cell Logistics'!$H$13:$H$19,0)),"N/A")</f>
        <v>N/A</v>
      </c>
      <c r="M40" s="864" t="str">
        <f>IFERROR(VLOOKUP($I40,'Lower Hot Cell Logistics'!$H$4:$I$8,2,FALSE),"N/A")</f>
        <v>N/A</v>
      </c>
      <c r="N40" s="2197" t="str">
        <f t="shared" si="2"/>
        <v>N/A</v>
      </c>
      <c r="O40" s="1331" t="s">
        <v>2139</v>
      </c>
      <c r="P40" s="1332">
        <f>IF($D40="Logistics",VLOOKUP($O40,'Lower Hot Cell Logistics'!$C$4:$D$69,2,FALSE),"N/A")</f>
        <v>0.68</v>
      </c>
      <c r="R40"/>
      <c r="S40"/>
    </row>
    <row r="41" spans="1:19" s="89" customFormat="1" ht="14.6" hidden="1" outlineLevel="1" x14ac:dyDescent="0.4">
      <c r="A41" s="2108"/>
      <c r="B41" s="3815"/>
      <c r="C41" s="1294" t="s">
        <v>2343</v>
      </c>
      <c r="D41" s="1294" t="s">
        <v>778</v>
      </c>
      <c r="E41" s="1292">
        <f t="shared" si="0"/>
        <v>0.69444444444444442</v>
      </c>
      <c r="F41" s="1292">
        <f>IF($D41="Trigger",VLOOKUP("*"&amp;$C41&amp;"*",'Lower Hot Cell Weld Failure'!$D$52:$G$104,4,FALSE),E41+F40)</f>
        <v>97.3544731218024</v>
      </c>
      <c r="G41" s="862"/>
      <c r="H41" s="1328" t="s">
        <v>263</v>
      </c>
      <c r="I41" s="1724" t="s">
        <v>1826</v>
      </c>
      <c r="J41" s="1294" t="s">
        <v>799</v>
      </c>
      <c r="K41" s="1294" t="s">
        <v>451</v>
      </c>
      <c r="L41" s="865">
        <f>IFERROR(INDEX('Lower Hot Cell Logistics'!$I$13:$O$19,MATCH($J41,'Lower Hot Cell Logistics'!$H$13:$H$19,0),MATCH($K41,'Lower Hot Cell Logistics'!$H$13:$H$19,0)),"N/A")</f>
        <v>50</v>
      </c>
      <c r="M41" s="865">
        <f>IFERROR(VLOOKUP($I41,'Lower Hot Cell Logistics'!$H$4:$I$8,2,FALSE),"N/A")</f>
        <v>0.02</v>
      </c>
      <c r="N41" s="2197">
        <f t="shared" si="2"/>
        <v>0.69444444444444442</v>
      </c>
      <c r="O41" s="1331"/>
      <c r="P41" s="1332" t="str">
        <f>IF($D41="Logistics",VLOOKUP($O41,'Lower Hot Cell Logistics'!$C$4:$D$69,2,FALSE),"N/A")</f>
        <v>N/A</v>
      </c>
      <c r="R41"/>
      <c r="S41"/>
    </row>
    <row r="42" spans="1:19" s="89" customFormat="1" ht="26.6" hidden="1" outlineLevel="1" thickBot="1" x14ac:dyDescent="0.45">
      <c r="A42" s="2108"/>
      <c r="B42" s="3816"/>
      <c r="C42" s="1340" t="str">
        <f>B36</f>
        <v>LIB Inner pipe module stored;  Blanket Pipe Module handling System Stored</v>
      </c>
      <c r="D42" s="1340" t="s">
        <v>11</v>
      </c>
      <c r="E42" s="1295">
        <f t="shared" si="0"/>
        <v>0</v>
      </c>
      <c r="F42" s="1295">
        <f>IF($D42="Trigger",VLOOKUP("*"&amp;$C42&amp;"*",'Lower Hot Cell Weld Failure'!$D$52:$G$104,4,FALSE),E42+F41)</f>
        <v>97.3544731218024</v>
      </c>
      <c r="G42" s="839"/>
      <c r="H42" s="1341" t="s">
        <v>263</v>
      </c>
      <c r="I42" s="1727"/>
      <c r="J42" s="1340"/>
      <c r="K42" s="1340"/>
      <c r="L42" s="842" t="str">
        <f>IFERROR(INDEX('Lower Hot Cell Logistics'!$I$13:$O$19,MATCH($J42,'Lower Hot Cell Logistics'!$H$13:$H$19,0),MATCH($K42,'Lower Hot Cell Logistics'!$H$13:$H$19,0)),"N/A")</f>
        <v>N/A</v>
      </c>
      <c r="M42" s="842" t="str">
        <f>IFERROR(VLOOKUP($I42,'Lower Hot Cell Logistics'!$H$4:$I$8,2,FALSE),"N/A")</f>
        <v>N/A</v>
      </c>
      <c r="N42" s="2199" t="str">
        <f>IF(D42="Movement",IFERROR((L42/M42)/(60*60),"Error"),"N/A")</f>
        <v>N/A</v>
      </c>
      <c r="O42" s="1344"/>
      <c r="P42" s="1345" t="str">
        <f>IF($D42="Logistics",VLOOKUP($O42,'Lower Hot Cell Logistics'!$C$4:$D$69,2,FALSE),"N/A")</f>
        <v>N/A</v>
      </c>
      <c r="R42"/>
      <c r="S42"/>
    </row>
    <row r="43" spans="1:19" s="89" customFormat="1" ht="14.6" hidden="1" outlineLevel="1" x14ac:dyDescent="0.4">
      <c r="A43" s="2108"/>
      <c r="B43" s="3787" t="s">
        <v>2286</v>
      </c>
      <c r="C43" s="617" t="s">
        <v>2061</v>
      </c>
      <c r="D43" s="617" t="s">
        <v>907</v>
      </c>
      <c r="E43" s="567">
        <f t="shared" si="0"/>
        <v>0</v>
      </c>
      <c r="F43" s="567">
        <f>IF($D43="Trigger",VLOOKUP("*"&amp;$C43&amp;"*",'Lower Hot Cell Weld Failure'!$D$52:$G$104,4,FALSE),E43+F42)</f>
        <v>94.240769418098708</v>
      </c>
      <c r="G43" s="568"/>
      <c r="H43" s="569" t="s">
        <v>263</v>
      </c>
      <c r="I43" s="1270"/>
      <c r="J43" s="617"/>
      <c r="K43" s="617"/>
      <c r="L43" s="570" t="str">
        <f>IFERROR(INDEX('Lower Hot Cell Logistics'!$I$13:$O$19,MATCH($J43,'Lower Hot Cell Logistics'!$H$13:$H$19,0),MATCH($K43,'Lower Hot Cell Logistics'!$H$13:$H$19,0)),"N/A")</f>
        <v>N/A</v>
      </c>
      <c r="M43" s="570" t="str">
        <f>IFERROR(VLOOKUP($I43,'Lower Hot Cell Logistics'!$H$4:$I$8,2,FALSE),"N/A")</f>
        <v>N/A</v>
      </c>
      <c r="N43" s="1182" t="str">
        <f t="shared" ref="N43:N53" si="3">IF(D43="Movement",IFERROR((L43/M43)/(60*60),"Error"),"N/A")</f>
        <v>N/A</v>
      </c>
      <c r="O43" s="620"/>
      <c r="P43" s="621" t="str">
        <f>IF($D43="Logistics",VLOOKUP($O43,'Lower Hot Cell Logistics'!$C$4:$D$69,2,FALSE),"N/A")</f>
        <v>N/A</v>
      </c>
      <c r="R43"/>
      <c r="S43"/>
    </row>
    <row r="44" spans="1:19" s="89" customFormat="1" ht="14.6" hidden="1" outlineLevel="1" x14ac:dyDescent="0.4">
      <c r="A44" s="2108"/>
      <c r="B44" s="3786"/>
      <c r="C44" s="572" t="s">
        <v>2344</v>
      </c>
      <c r="D44" s="572" t="s">
        <v>778</v>
      </c>
      <c r="E44" s="574">
        <f t="shared" si="0"/>
        <v>0.69444444444444442</v>
      </c>
      <c r="F44" s="574">
        <f>IF($D44="Trigger",VLOOKUP("*"&amp;$C44&amp;"*",'Lower Hot Cell Weld Failure'!$D$52:$G$104,4,FALSE),E44+F43)</f>
        <v>94.935213862543151</v>
      </c>
      <c r="G44" s="575"/>
      <c r="H44" s="576" t="s">
        <v>263</v>
      </c>
      <c r="I44" s="1281" t="s">
        <v>1826</v>
      </c>
      <c r="J44" s="572" t="s">
        <v>451</v>
      </c>
      <c r="K44" s="572" t="s">
        <v>914</v>
      </c>
      <c r="L44" s="853">
        <f>IFERROR(INDEX('Lower Hot Cell Logistics'!$I$13:$O$19,MATCH($J44,'Lower Hot Cell Logistics'!$H$13:$H$19,0),MATCH($K44,'Lower Hot Cell Logistics'!$H$13:$H$19,0)),"N/A")</f>
        <v>50</v>
      </c>
      <c r="M44" s="853">
        <f>IFERROR(VLOOKUP($I44,'Lower Hot Cell Logistics'!$H$4:$I$8,2,FALSE),"N/A")</f>
        <v>0.02</v>
      </c>
      <c r="N44" s="1180">
        <f t="shared" si="3"/>
        <v>0.69444444444444442</v>
      </c>
      <c r="O44" s="579"/>
      <c r="P44" s="580" t="str">
        <f>IF($D44="Logistics",VLOOKUP($O44,'Lower Hot Cell Logistics'!$C$4:$D$69,2,FALSE),"N/A")</f>
        <v>N/A</v>
      </c>
      <c r="R44"/>
      <c r="S44"/>
    </row>
    <row r="45" spans="1:19" s="89" customFormat="1" ht="14.6" hidden="1" outlineLevel="1" x14ac:dyDescent="0.4">
      <c r="A45" s="2108"/>
      <c r="B45" s="3786"/>
      <c r="C45" s="572" t="s">
        <v>2345</v>
      </c>
      <c r="D45" s="572" t="s">
        <v>3</v>
      </c>
      <c r="E45" s="574">
        <f t="shared" si="0"/>
        <v>0.88000000000000012</v>
      </c>
      <c r="F45" s="574">
        <f>IF($D45="Trigger",VLOOKUP("*"&amp;$C45&amp;"*",'Lower Hot Cell Weld Failure'!$D$52:$G$104,4,FALSE),E45+F44)</f>
        <v>95.815213862543146</v>
      </c>
      <c r="G45" s="575"/>
      <c r="H45" s="576" t="s">
        <v>263</v>
      </c>
      <c r="I45" s="1281"/>
      <c r="J45" s="572"/>
      <c r="K45" s="572"/>
      <c r="L45" s="853" t="str">
        <f>IFERROR(INDEX('Lower Hot Cell Logistics'!$I$13:$O$19,MATCH($J45,'Lower Hot Cell Logistics'!$H$13:$H$19,0),MATCH($K45,'Lower Hot Cell Logistics'!$H$13:$H$19,0)),"N/A")</f>
        <v>N/A</v>
      </c>
      <c r="M45" s="853" t="str">
        <f>IFERROR(VLOOKUP($I45,'Lower Hot Cell Logistics'!$H$4:$I$8,2,FALSE),"N/A")</f>
        <v>N/A</v>
      </c>
      <c r="N45" s="1180" t="str">
        <f t="shared" si="3"/>
        <v>N/A</v>
      </c>
      <c r="O45" s="579" t="s">
        <v>2144</v>
      </c>
      <c r="P45" s="580">
        <f>IF($D45="Logistics",VLOOKUP($O45,'Lower Hot Cell Logistics'!$C$4:$D$69,2,FALSE),"N/A")</f>
        <v>0.88000000000000012</v>
      </c>
      <c r="R45"/>
      <c r="S45"/>
    </row>
    <row r="46" spans="1:19" s="89" customFormat="1" ht="14.6" hidden="1" outlineLevel="1" x14ac:dyDescent="0.4">
      <c r="A46" s="2108"/>
      <c r="B46" s="3786"/>
      <c r="C46" s="572" t="s">
        <v>2207</v>
      </c>
      <c r="D46" s="572" t="s">
        <v>778</v>
      </c>
      <c r="E46" s="574">
        <f t="shared" si="0"/>
        <v>9.2592592592592601E-2</v>
      </c>
      <c r="F46" s="574">
        <f>IF($D46="Trigger",VLOOKUP("*"&amp;$C46&amp;"*",'Lower Hot Cell Weld Failure'!$D$52:$G$104,4,FALSE),E46+F45)</f>
        <v>95.907806455135741</v>
      </c>
      <c r="G46" s="575"/>
      <c r="H46" s="576" t="s">
        <v>263</v>
      </c>
      <c r="I46" s="1281" t="s">
        <v>2142</v>
      </c>
      <c r="J46" s="572" t="s">
        <v>799</v>
      </c>
      <c r="K46" s="572" t="s">
        <v>1957</v>
      </c>
      <c r="L46" s="853">
        <f>IFERROR(INDEX('Lower Hot Cell Logistics'!$I$13:$O$19,MATCH($J46,'Lower Hot Cell Logistics'!$H$13:$H$19,0),MATCH($K46,'Lower Hot Cell Logistics'!$H$13:$H$19,0)),"N/A")</f>
        <v>20</v>
      </c>
      <c r="M46" s="853">
        <f>IFERROR(VLOOKUP($I46,'Lower Hot Cell Logistics'!$H$4:$I$8,2,FALSE),"N/A")</f>
        <v>0.06</v>
      </c>
      <c r="N46" s="1180">
        <f t="shared" si="3"/>
        <v>9.2592592592592601E-2</v>
      </c>
      <c r="O46" s="579"/>
      <c r="P46" s="580" t="str">
        <f>IF($D46="Logistics",VLOOKUP($O46,'Lower Hot Cell Logistics'!$C$4:$D$69,2,FALSE),"N/A")</f>
        <v>N/A</v>
      </c>
      <c r="R46"/>
      <c r="S46"/>
    </row>
    <row r="47" spans="1:19" s="89" customFormat="1" ht="14.6" hidden="1" outlineLevel="1" x14ac:dyDescent="0.4">
      <c r="A47" s="2108"/>
      <c r="B47" s="3786"/>
      <c r="C47" s="581" t="s">
        <v>2208</v>
      </c>
      <c r="D47" s="581" t="s">
        <v>3</v>
      </c>
      <c r="E47" s="574">
        <f t="shared" si="0"/>
        <v>0.68</v>
      </c>
      <c r="F47" s="574">
        <f>IF($D47="Trigger",VLOOKUP("*"&amp;$C47&amp;"*",'Lower Hot Cell Weld Failure'!$D$52:$G$104,4,FALSE),E47+F46)</f>
        <v>96.587806455135748</v>
      </c>
      <c r="G47" s="575"/>
      <c r="H47" s="576" t="s">
        <v>263</v>
      </c>
      <c r="I47" s="1281"/>
      <c r="J47" s="572"/>
      <c r="K47" s="572"/>
      <c r="L47" s="853" t="str">
        <f>IFERROR(INDEX('Lower Hot Cell Logistics'!$I$13:$O$19,MATCH($J47,'Lower Hot Cell Logistics'!$H$13:$H$19,0),MATCH($K47,'Lower Hot Cell Logistics'!$H$13:$H$19,0)),"N/A")</f>
        <v>N/A</v>
      </c>
      <c r="M47" s="853" t="str">
        <f>IFERROR(VLOOKUP($I47,'Lower Hot Cell Logistics'!$H$4:$I$8,2,FALSE),"N/A")</f>
        <v>N/A</v>
      </c>
      <c r="N47" s="1180" t="str">
        <f t="shared" si="3"/>
        <v>N/A</v>
      </c>
      <c r="O47" s="579" t="s">
        <v>2139</v>
      </c>
      <c r="P47" s="580">
        <f>IF($D47="Logistics",VLOOKUP($O47,'Lower Hot Cell Logistics'!$C$4:$D$69,2,FALSE),"N/A")</f>
        <v>0.68</v>
      </c>
      <c r="R47"/>
      <c r="S47"/>
    </row>
    <row r="48" spans="1:19" s="89" customFormat="1" ht="14.6" hidden="1" outlineLevel="1" x14ac:dyDescent="0.4">
      <c r="A48" s="2108"/>
      <c r="B48" s="3786"/>
      <c r="C48" s="581" t="s">
        <v>2209</v>
      </c>
      <c r="D48" s="581" t="s">
        <v>778</v>
      </c>
      <c r="E48" s="574">
        <f t="shared" si="0"/>
        <v>0.69444444444444442</v>
      </c>
      <c r="F48" s="574">
        <f>IF($D48="Trigger",VLOOKUP("*"&amp;$C48&amp;"*",'Lower Hot Cell Weld Failure'!$D$52:$G$104,4,FALSE),E48+F47)</f>
        <v>97.282250899580191</v>
      </c>
      <c r="G48" s="575"/>
      <c r="H48" s="576" t="s">
        <v>263</v>
      </c>
      <c r="I48" s="1281" t="s">
        <v>2171</v>
      </c>
      <c r="J48" s="572" t="s">
        <v>1957</v>
      </c>
      <c r="K48" s="572" t="s">
        <v>451</v>
      </c>
      <c r="L48" s="853">
        <f>IFERROR(INDEX('Lower Hot Cell Logistics'!$I$13:$O$19,MATCH($J48,'Lower Hot Cell Logistics'!$H$13:$H$19,0),MATCH($K48,'Lower Hot Cell Logistics'!$H$13:$H$19,0)),"N/A")</f>
        <v>50</v>
      </c>
      <c r="M48" s="853">
        <f>IFERROR(VLOOKUP($I48,'Lower Hot Cell Logistics'!$H$4:$I$8,2,FALSE),"N/A")</f>
        <v>0.02</v>
      </c>
      <c r="N48" s="1180">
        <f t="shared" si="3"/>
        <v>0.69444444444444442</v>
      </c>
      <c r="O48" s="579"/>
      <c r="P48" s="580" t="str">
        <f>IF($D48="Logistics",VLOOKUP($O48,'Lower Hot Cell Logistics'!$C$4:$D$69,2,FALSE),"N/A")</f>
        <v>N/A</v>
      </c>
      <c r="R48"/>
      <c r="S48"/>
    </row>
    <row r="49" spans="1:19" s="89" customFormat="1" ht="26.6" hidden="1" outlineLevel="1" thickBot="1" x14ac:dyDescent="0.45">
      <c r="A49" s="2108"/>
      <c r="B49" s="3788"/>
      <c r="C49" s="583" t="str">
        <f>B43</f>
        <v>LIB Inner pipe module stored;  Replacement RIB Inner Port Pipe Module collected; Transporter moved to port</v>
      </c>
      <c r="D49" s="583" t="s">
        <v>11</v>
      </c>
      <c r="E49" s="585">
        <f t="shared" si="0"/>
        <v>0</v>
      </c>
      <c r="F49" s="585">
        <f>IF($D49="Trigger",VLOOKUP("*"&amp;$C49&amp;"*",'Lower Hot Cell Weld Failure'!$D$52:$G$104,4,FALSE),E49+F48)</f>
        <v>97.282250899580191</v>
      </c>
      <c r="G49" s="586"/>
      <c r="H49" s="587" t="s">
        <v>263</v>
      </c>
      <c r="I49" s="1720"/>
      <c r="J49" s="583"/>
      <c r="K49" s="583"/>
      <c r="L49" s="814" t="str">
        <f>IFERROR(INDEX('Lower Hot Cell Logistics'!$I$13:$O$19,MATCH($J49,'Lower Hot Cell Logistics'!$H$13:$H$19,0),MATCH($K49,'Lower Hot Cell Logistics'!$H$13:$H$19,0)),"N/A")</f>
        <v>N/A</v>
      </c>
      <c r="M49" s="814" t="str">
        <f>IFERROR(VLOOKUP($I49,'Lower Hot Cell Logistics'!$H$4:$I$8,2,FALSE),"N/A")</f>
        <v>N/A</v>
      </c>
      <c r="N49" s="1181" t="str">
        <f t="shared" si="3"/>
        <v>N/A</v>
      </c>
      <c r="O49" s="590"/>
      <c r="P49" s="591" t="str">
        <f>IF($D49="Logistics",VLOOKUP($O49,'Lower Hot Cell Logistics'!$C$4:$D$69,2,FALSE),"N/A")</f>
        <v>N/A</v>
      </c>
      <c r="R49"/>
      <c r="S49"/>
    </row>
    <row r="50" spans="1:19" s="89" customFormat="1" ht="15" hidden="1" customHeight="1" outlineLevel="1" x14ac:dyDescent="0.4">
      <c r="A50" s="2108"/>
      <c r="B50" s="3814" t="s">
        <v>2287</v>
      </c>
      <c r="C50" s="617" t="s">
        <v>2210</v>
      </c>
      <c r="D50" s="1324" t="s">
        <v>907</v>
      </c>
      <c r="E50" s="1291">
        <f t="shared" si="0"/>
        <v>0</v>
      </c>
      <c r="F50" s="1291">
        <f>IF($D50="Trigger",VLOOKUP("*"&amp;$C50&amp;"*",'Lower Hot Cell Weld Failure'!$D$52:$G$104,4,FALSE),E50+F49)</f>
        <v>93.640769418098714</v>
      </c>
      <c r="G50" s="825"/>
      <c r="H50" s="1323" t="s">
        <v>263</v>
      </c>
      <c r="I50" s="1721"/>
      <c r="J50" s="1324"/>
      <c r="K50" s="1324"/>
      <c r="L50" s="828" t="str">
        <f>IFERROR(INDEX('Lower Hot Cell Logistics'!$I$13:$O$19,MATCH($J50,'Lower Hot Cell Logistics'!$H$13:$H$19,0),MATCH($K50,'Lower Hot Cell Logistics'!$H$13:$H$19,0)),"N/A")</f>
        <v>N/A</v>
      </c>
      <c r="M50" s="827" t="str">
        <f>IFERROR(VLOOKUP($I50,'Lower Hot Cell Logistics'!$H$4:$I$8,2,FALSE),"N/A")</f>
        <v>N/A</v>
      </c>
      <c r="N50" s="2200" t="str">
        <f t="shared" si="3"/>
        <v>N/A</v>
      </c>
      <c r="O50" s="1327"/>
      <c r="P50" s="824" t="str">
        <f>IF($D50="Logistics",VLOOKUP($O50,'Lower Hot Cell Logistics'!$C$4:$D$69,2,FALSE),"N/A")</f>
        <v>N/A</v>
      </c>
      <c r="R50"/>
      <c r="S50"/>
    </row>
    <row r="51" spans="1:19" s="89" customFormat="1" ht="15" hidden="1" customHeight="1" outlineLevel="1" x14ac:dyDescent="0.4">
      <c r="A51" s="2108"/>
      <c r="B51" s="3815"/>
      <c r="C51" s="1362" t="s">
        <v>2211</v>
      </c>
      <c r="D51" s="1294" t="s">
        <v>778</v>
      </c>
      <c r="E51" s="1330">
        <f t="shared" si="0"/>
        <v>0.23148148148148148</v>
      </c>
      <c r="F51" s="1330">
        <f>IF($D51="Trigger",VLOOKUP("*"&amp;$C51&amp;"*",'Lower Hot Cell Weld Failure'!$D$52:$G$104,4,FALSE),E51+F50)</f>
        <v>93.872250899580195</v>
      </c>
      <c r="G51" s="1722"/>
      <c r="H51" s="2219" t="s">
        <v>263</v>
      </c>
      <c r="I51" s="1724" t="s">
        <v>2142</v>
      </c>
      <c r="J51" s="1294" t="s">
        <v>451</v>
      </c>
      <c r="K51" s="1294" t="s">
        <v>1965</v>
      </c>
      <c r="L51" s="2042">
        <f>IFERROR(INDEX('Lower Hot Cell Logistics'!$I$13:$O$19,MATCH($J51,'Lower Hot Cell Logistics'!$H$13:$H$19,0),MATCH($K51,'Lower Hot Cell Logistics'!$H$13:$H$19,0)),"N/A")</f>
        <v>50</v>
      </c>
      <c r="M51" s="2220">
        <f>IFERROR(VLOOKUP($I51,'Lower Hot Cell Logistics'!$H$4:$I$8,2,FALSE),"N/A")</f>
        <v>0.06</v>
      </c>
      <c r="N51" s="1332">
        <f t="shared" si="3"/>
        <v>0.23148148148148148</v>
      </c>
      <c r="O51" s="1352"/>
      <c r="P51" s="1353" t="str">
        <f>IF($D51="Logistics",VLOOKUP($O51,'Lower Hot Cell Logistics'!$C$4:$D$69,2,FALSE),"N/A")</f>
        <v>N/A</v>
      </c>
      <c r="R51"/>
      <c r="S51"/>
    </row>
    <row r="52" spans="1:19" s="89" customFormat="1" ht="15" hidden="1" customHeight="1" outlineLevel="1" x14ac:dyDescent="0.4">
      <c r="A52" s="2108"/>
      <c r="B52" s="3815"/>
      <c r="C52" s="1362" t="s">
        <v>2212</v>
      </c>
      <c r="D52" s="1294" t="s">
        <v>3</v>
      </c>
      <c r="E52" s="1330">
        <f t="shared" si="0"/>
        <v>0.68</v>
      </c>
      <c r="F52" s="1330">
        <f>IF($D52="Trigger",VLOOKUP("*"&amp;$C52&amp;"*",'Lower Hot Cell Weld Failure'!$D$52:$G$104,4,FALSE),E52+F51)</f>
        <v>94.552250899580201</v>
      </c>
      <c r="G52" s="1722"/>
      <c r="H52" s="2219" t="s">
        <v>263</v>
      </c>
      <c r="I52" s="1724"/>
      <c r="J52" s="1294"/>
      <c r="K52" s="1294"/>
      <c r="L52" s="2042" t="str">
        <f>IFERROR(INDEX('Lower Hot Cell Logistics'!$I$13:$O$19,MATCH($J52,'Lower Hot Cell Logistics'!$H$13:$H$19,0),MATCH($K52,'Lower Hot Cell Logistics'!$H$13:$H$19,0)),"N/A")</f>
        <v>N/A</v>
      </c>
      <c r="M52" s="2220" t="str">
        <f>IFERROR(VLOOKUP($I52,'Lower Hot Cell Logistics'!$H$4:$I$8,2,FALSE),"N/A")</f>
        <v>N/A</v>
      </c>
      <c r="N52" s="1332" t="str">
        <f t="shared" si="3"/>
        <v>N/A</v>
      </c>
      <c r="O52" s="1352" t="s">
        <v>2139</v>
      </c>
      <c r="P52" s="1353">
        <f>IF($D52="Logistics",VLOOKUP($O52,'Lower Hot Cell Logistics'!$C$4:$D$69,2,FALSE),"N/A")</f>
        <v>0.68</v>
      </c>
      <c r="R52"/>
      <c r="S52"/>
    </row>
    <row r="53" spans="1:19" s="89" customFormat="1" ht="14.6" hidden="1" outlineLevel="1" x14ac:dyDescent="0.4">
      <c r="A53" s="2108"/>
      <c r="B53" s="3815"/>
      <c r="C53" s="1294" t="s">
        <v>2189</v>
      </c>
      <c r="D53" s="1294" t="s">
        <v>778</v>
      </c>
      <c r="E53" s="1292">
        <f t="shared" si="0"/>
        <v>0.69444444444444442</v>
      </c>
      <c r="F53" s="1292">
        <f>IF($D53="Trigger",VLOOKUP("*"&amp;$C53&amp;"*",'Lower Hot Cell Weld Failure'!$D$52:$G$104,4,FALSE),E53+F52)</f>
        <v>95.246695344024644</v>
      </c>
      <c r="G53" s="862"/>
      <c r="H53" s="1328" t="s">
        <v>263</v>
      </c>
      <c r="I53" s="1724" t="s">
        <v>2171</v>
      </c>
      <c r="J53" s="1294" t="s">
        <v>799</v>
      </c>
      <c r="K53" s="1294" t="s">
        <v>451</v>
      </c>
      <c r="L53" s="865">
        <f>IFERROR(INDEX('Lower Hot Cell Logistics'!$I$13:$O$19,MATCH($J53,'Lower Hot Cell Logistics'!$H$13:$H$19,0),MATCH($K53,'Lower Hot Cell Logistics'!$H$13:$H$19,0)),"N/A")</f>
        <v>50</v>
      </c>
      <c r="M53" s="865">
        <f>IFERROR(VLOOKUP($I53,'Lower Hot Cell Logistics'!$H$4:$I$8,2,FALSE),"N/A")</f>
        <v>0.02</v>
      </c>
      <c r="N53" s="2197">
        <f t="shared" si="3"/>
        <v>0.69444444444444442</v>
      </c>
      <c r="O53" s="1331"/>
      <c r="P53" s="1332" t="str">
        <f>IF($D53="Logistics",VLOOKUP($O53,'Lower Hot Cell Logistics'!$C$4:$D$69,2,FALSE),"N/A")</f>
        <v>N/A</v>
      </c>
      <c r="R53"/>
      <c r="S53"/>
    </row>
    <row r="54" spans="1:19" s="89" customFormat="1" ht="26.6" hidden="1" outlineLevel="1" thickBot="1" x14ac:dyDescent="0.45">
      <c r="A54" s="2108"/>
      <c r="B54" s="3816"/>
      <c r="C54" s="1340" t="str">
        <f>B50</f>
        <v>Inner LIB pipe module collected; Pipe Module handling System Moved to Lower Port</v>
      </c>
      <c r="D54" s="1340" t="s">
        <v>11</v>
      </c>
      <c r="E54" s="1295">
        <f t="shared" si="0"/>
        <v>0</v>
      </c>
      <c r="F54" s="1295">
        <f>IF($D54="Trigger",VLOOKUP("*"&amp;$C54&amp;"*",'Lower Hot Cell Weld Failure'!$D$52:$G$104,4,FALSE),E54+F53)</f>
        <v>95.246695344024644</v>
      </c>
      <c r="G54" s="839"/>
      <c r="H54" s="1341" t="s">
        <v>263</v>
      </c>
      <c r="I54" s="1727"/>
      <c r="J54" s="1340"/>
      <c r="K54" s="1340"/>
      <c r="L54" s="842" t="str">
        <f>IFERROR(INDEX('Lower Hot Cell Logistics'!$I$13:$O$19,MATCH($J54,'Lower Hot Cell Logistics'!$H$13:$H$19,0),MATCH($K54,'Lower Hot Cell Logistics'!$H$13:$H$19,0)),"N/A")</f>
        <v>N/A</v>
      </c>
      <c r="M54" s="842" t="str">
        <f>IFERROR(VLOOKUP($I54,'Lower Hot Cell Logistics'!$H$4:$I$8,2,FALSE),"N/A")</f>
        <v>N/A</v>
      </c>
      <c r="N54" s="2199" t="str">
        <f t="shared" ref="N54:N79" si="4">IF(D54="Movement",IFERROR((L54/M54)/(60*60),"Error"),"N/A")</f>
        <v>N/A</v>
      </c>
      <c r="O54" s="1344"/>
      <c r="P54" s="1345" t="str">
        <f>IF($D54="Logistics",VLOOKUP($O54,'Lower Hot Cell Logistics'!$C$4:$D$69,2,FALSE),"N/A")</f>
        <v>N/A</v>
      </c>
      <c r="R54"/>
      <c r="S54"/>
    </row>
    <row r="55" spans="1:19" s="89" customFormat="1" ht="15" hidden="1" customHeight="1" outlineLevel="1" x14ac:dyDescent="0.4">
      <c r="A55" s="2108"/>
      <c r="B55" s="3787" t="s">
        <v>2077</v>
      </c>
      <c r="C55" s="617" t="s">
        <v>2213</v>
      </c>
      <c r="D55" s="617" t="s">
        <v>907</v>
      </c>
      <c r="E55" s="567">
        <f t="shared" si="0"/>
        <v>0</v>
      </c>
      <c r="F55" s="567">
        <f>IF($D55="Trigger",VLOOKUP("*"&amp;$C55&amp;"*",'Lower Hot Cell Weld Failure'!$D$52:$G$104,4,FALSE),E55+F54)</f>
        <v>134.65758015157451</v>
      </c>
      <c r="G55" s="568"/>
      <c r="H55" s="569" t="s">
        <v>263</v>
      </c>
      <c r="I55" s="1270"/>
      <c r="J55" s="617"/>
      <c r="K55" s="617"/>
      <c r="L55" s="570" t="str">
        <f>IFERROR(INDEX('Lower Hot Cell Logistics'!$I$13:$O$19,MATCH($J55,'Lower Hot Cell Logistics'!$H$13:$H$19,0),MATCH($K55,'Lower Hot Cell Logistics'!$H$13:$H$19,0)),"N/A")</f>
        <v>N/A</v>
      </c>
      <c r="M55" s="802" t="str">
        <f>IFERROR(VLOOKUP($I55,'Lower Hot Cell Logistics'!$H$4:$I$8,2,FALSE),"N/A")</f>
        <v>N/A</v>
      </c>
      <c r="N55" s="1182" t="str">
        <f t="shared" si="4"/>
        <v>N/A</v>
      </c>
      <c r="O55" s="620"/>
      <c r="P55" s="621" t="str">
        <f>IF($D55="Logistics",VLOOKUP($O55,'Lower Hot Cell Logistics'!$C$4:$D$69,2,FALSE),"N/A")</f>
        <v>N/A</v>
      </c>
      <c r="R55"/>
      <c r="S55"/>
    </row>
    <row r="56" spans="1:19" s="89" customFormat="1" ht="15" hidden="1" customHeight="1" outlineLevel="1" x14ac:dyDescent="0.4">
      <c r="A56" s="2108"/>
      <c r="B56" s="3786"/>
      <c r="C56" s="1275" t="s">
        <v>2211</v>
      </c>
      <c r="D56" s="572" t="s">
        <v>778</v>
      </c>
      <c r="E56" s="578">
        <f t="shared" si="0"/>
        <v>0.23148148148148148</v>
      </c>
      <c r="F56" s="578">
        <f>IF($D56="Trigger",VLOOKUP("*"&amp;$C56&amp;"*",'Lower Hot Cell Weld Failure'!$D$52:$G$104,4,FALSE),E56+F55)</f>
        <v>134.889061633056</v>
      </c>
      <c r="G56" s="872"/>
      <c r="H56" s="2221" t="s">
        <v>263</v>
      </c>
      <c r="I56" s="1281" t="s">
        <v>2142</v>
      </c>
      <c r="J56" s="572" t="s">
        <v>451</v>
      </c>
      <c r="K56" s="572" t="s">
        <v>1965</v>
      </c>
      <c r="L56" s="1176">
        <f>IFERROR(INDEX('Lower Hot Cell Logistics'!$I$13:$O$19,MATCH($J56,'Lower Hot Cell Logistics'!$H$13:$H$19,0),MATCH($K56,'Lower Hot Cell Logistics'!$H$13:$H$19,0)),"N/A")</f>
        <v>50</v>
      </c>
      <c r="M56" s="2222">
        <f>IFERROR(VLOOKUP($I56,'Lower Hot Cell Logistics'!$H$4:$I$8,2,FALSE),"N/A")</f>
        <v>0.06</v>
      </c>
      <c r="N56" s="580">
        <f t="shared" si="4"/>
        <v>0.23148148148148148</v>
      </c>
      <c r="O56" s="631"/>
      <c r="P56" s="632" t="str">
        <f>IF($D56="Logistics",VLOOKUP($O56,'Lower Hot Cell Logistics'!$C$4:$D$69,2,FALSE),"N/A")</f>
        <v>N/A</v>
      </c>
      <c r="R56"/>
      <c r="S56"/>
    </row>
    <row r="57" spans="1:19" s="89" customFormat="1" ht="15" hidden="1" customHeight="1" outlineLevel="1" x14ac:dyDescent="0.4">
      <c r="A57" s="2108"/>
      <c r="B57" s="3786"/>
      <c r="C57" s="1275" t="s">
        <v>2212</v>
      </c>
      <c r="D57" s="572" t="s">
        <v>3</v>
      </c>
      <c r="E57" s="578">
        <f t="shared" si="0"/>
        <v>0.88000000000000012</v>
      </c>
      <c r="F57" s="578">
        <f>IF($D57="Trigger",VLOOKUP("*"&amp;$C57&amp;"*",'Lower Hot Cell Weld Failure'!$D$52:$G$104,4,FALSE),E57+F56)</f>
        <v>135.769061633056</v>
      </c>
      <c r="G57" s="872"/>
      <c r="H57" s="2221" t="s">
        <v>263</v>
      </c>
      <c r="I57" s="1281"/>
      <c r="J57" s="572"/>
      <c r="K57" s="572"/>
      <c r="L57" s="1176" t="str">
        <f>IFERROR(INDEX('Lower Hot Cell Logistics'!$I$13:$O$19,MATCH($J57,'Lower Hot Cell Logistics'!$H$13:$H$19,0),MATCH($K57,'Lower Hot Cell Logistics'!$H$13:$H$19,0)),"N/A")</f>
        <v>N/A</v>
      </c>
      <c r="M57" s="2222" t="str">
        <f>IFERROR(VLOOKUP($I57,'Lower Hot Cell Logistics'!$H$4:$I$8,2,FALSE),"N/A")</f>
        <v>N/A</v>
      </c>
      <c r="N57" s="580" t="str">
        <f t="shared" si="4"/>
        <v>N/A</v>
      </c>
      <c r="O57" s="631" t="s">
        <v>2144</v>
      </c>
      <c r="P57" s="632">
        <f>IF($D57="Logistics",VLOOKUP($O57,'Lower Hot Cell Logistics'!$C$4:$D$69,2,FALSE),"N/A")</f>
        <v>0.88000000000000012</v>
      </c>
      <c r="R57"/>
      <c r="S57"/>
    </row>
    <row r="58" spans="1:19" s="89" customFormat="1" ht="14.6" hidden="1" outlineLevel="1" x14ac:dyDescent="0.4">
      <c r="A58" s="2108"/>
      <c r="B58" s="3786"/>
      <c r="C58" s="572" t="s">
        <v>2189</v>
      </c>
      <c r="D58" s="572" t="s">
        <v>778</v>
      </c>
      <c r="E58" s="574">
        <f t="shared" si="0"/>
        <v>0.69444444444444442</v>
      </c>
      <c r="F58" s="574">
        <f>IF($D58="Trigger",VLOOKUP("*"&amp;$C58&amp;"*",'Lower Hot Cell Weld Failure'!$D$52:$G$104,4,FALSE),E58+F57)</f>
        <v>136.46350607750045</v>
      </c>
      <c r="G58" s="575"/>
      <c r="H58" s="576" t="s">
        <v>263</v>
      </c>
      <c r="I58" s="1281" t="s">
        <v>2171</v>
      </c>
      <c r="J58" s="572" t="s">
        <v>799</v>
      </c>
      <c r="K58" s="572" t="s">
        <v>451</v>
      </c>
      <c r="L58" s="853">
        <f>IFERROR(INDEX('Lower Hot Cell Logistics'!$I$13:$O$19,MATCH($J58,'Lower Hot Cell Logistics'!$H$13:$H$19,0),MATCH($K58,'Lower Hot Cell Logistics'!$H$13:$H$19,0)),"N/A")</f>
        <v>50</v>
      </c>
      <c r="M58" s="853">
        <f>IFERROR(VLOOKUP($I58,'Lower Hot Cell Logistics'!$H$4:$I$8,2,FALSE),"N/A")</f>
        <v>0.02</v>
      </c>
      <c r="N58" s="1180">
        <f t="shared" si="4"/>
        <v>0.69444444444444442</v>
      </c>
      <c r="O58" s="579"/>
      <c r="P58" s="580" t="str">
        <f>IF($D58="Logistics",VLOOKUP($O58,'Lower Hot Cell Logistics'!$C$4:$D$69,2,FALSE),"N/A")</f>
        <v>N/A</v>
      </c>
      <c r="R58"/>
      <c r="S58"/>
    </row>
    <row r="59" spans="1:19" s="89" customFormat="1" ht="26.6" hidden="1" outlineLevel="1" thickBot="1" x14ac:dyDescent="0.45">
      <c r="A59" s="2108"/>
      <c r="B59" s="3788"/>
      <c r="C59" s="583" t="str">
        <f>B55</f>
        <v>RIB pipe module collected; Pipe Module handling System Moved to Lower Port</v>
      </c>
      <c r="D59" s="583" t="s">
        <v>11</v>
      </c>
      <c r="E59" s="585">
        <f t="shared" si="0"/>
        <v>0</v>
      </c>
      <c r="F59" s="585">
        <f>IF($D59="Trigger",VLOOKUP("*"&amp;$C59&amp;"*",'Lower Hot Cell Weld Failure'!$D$52:$G$104,4,FALSE),E59+F58)</f>
        <v>136.46350607750045</v>
      </c>
      <c r="G59" s="586"/>
      <c r="H59" s="587" t="s">
        <v>263</v>
      </c>
      <c r="I59" s="1720"/>
      <c r="J59" s="583"/>
      <c r="K59" s="583"/>
      <c r="L59" s="814" t="str">
        <f>IFERROR(INDEX('Lower Hot Cell Logistics'!$I$13:$O$19,MATCH($J59,'Lower Hot Cell Logistics'!$H$13:$H$19,0),MATCH($K59,'Lower Hot Cell Logistics'!$H$13:$H$19,0)),"N/A")</f>
        <v>N/A</v>
      </c>
      <c r="M59" s="814" t="str">
        <f>IFERROR(VLOOKUP($I59,'Lower Hot Cell Logistics'!$H$4:$I$8,2,FALSE),"N/A")</f>
        <v>N/A</v>
      </c>
      <c r="N59" s="1181" t="str">
        <f t="shared" si="4"/>
        <v>N/A</v>
      </c>
      <c r="O59" s="590"/>
      <c r="P59" s="591" t="str">
        <f>IF($D59="Logistics",VLOOKUP($O59,'Lower Hot Cell Logistics'!$C$4:$D$69,2,FALSE),"N/A")</f>
        <v>N/A</v>
      </c>
      <c r="R59"/>
      <c r="S59"/>
    </row>
    <row r="60" spans="1:19" s="89" customFormat="1" ht="15" hidden="1" customHeight="1" outlineLevel="1" x14ac:dyDescent="0.4">
      <c r="A60" s="2108"/>
      <c r="B60" s="3787" t="s">
        <v>2079</v>
      </c>
      <c r="C60" s="617" t="s">
        <v>2213</v>
      </c>
      <c r="D60" s="617" t="s">
        <v>907</v>
      </c>
      <c r="E60" s="567">
        <f t="shared" si="0"/>
        <v>0</v>
      </c>
      <c r="F60" s="567">
        <f>IF($D60="Trigger",VLOOKUP("*"&amp;$C60&amp;"*",'Lower Hot Cell Weld Failure'!$D$52:$G$104,4,FALSE),E60+F59)</f>
        <v>134.65758015157451</v>
      </c>
      <c r="G60" s="568"/>
      <c r="H60" s="569" t="s">
        <v>263</v>
      </c>
      <c r="I60" s="1270"/>
      <c r="J60" s="617"/>
      <c r="K60" s="617"/>
      <c r="L60" s="570" t="str">
        <f>IFERROR(INDEX('Lower Hot Cell Logistics'!$I$13:$O$19,MATCH($J60,'Lower Hot Cell Logistics'!$H$13:$H$19,0),MATCH($K60,'Lower Hot Cell Logistics'!$H$13:$H$19,0)),"N/A")</f>
        <v>N/A</v>
      </c>
      <c r="M60" s="802" t="str">
        <f>IFERROR(VLOOKUP($I60,'Lower Hot Cell Logistics'!$H$4:$I$8,2,FALSE),"N/A")</f>
        <v>N/A</v>
      </c>
      <c r="N60" s="1182" t="str">
        <f t="shared" si="4"/>
        <v>N/A</v>
      </c>
      <c r="O60" s="620"/>
      <c r="P60" s="621" t="str">
        <f>IF($D60="Logistics",VLOOKUP($O60,'Lower Hot Cell Logistics'!$C$4:$D$69,2,FALSE),"N/A")</f>
        <v>N/A</v>
      </c>
      <c r="R60"/>
      <c r="S60"/>
    </row>
    <row r="61" spans="1:19" s="89" customFormat="1" ht="15" hidden="1" customHeight="1" outlineLevel="1" x14ac:dyDescent="0.4">
      <c r="A61" s="2108"/>
      <c r="B61" s="3786"/>
      <c r="C61" s="1275" t="s">
        <v>2211</v>
      </c>
      <c r="D61" s="572" t="s">
        <v>778</v>
      </c>
      <c r="E61" s="578">
        <f t="shared" si="0"/>
        <v>0.23148148148148148</v>
      </c>
      <c r="F61" s="578">
        <f>IF($D61="Trigger",VLOOKUP("*"&amp;$C61&amp;"*",'Lower Hot Cell Weld Failure'!$D$52:$G$104,4,FALSE),E61+F60)</f>
        <v>134.889061633056</v>
      </c>
      <c r="G61" s="872"/>
      <c r="H61" s="2221" t="s">
        <v>263</v>
      </c>
      <c r="I61" s="1281" t="s">
        <v>2142</v>
      </c>
      <c r="J61" s="572" t="s">
        <v>451</v>
      </c>
      <c r="K61" s="572" t="s">
        <v>1965</v>
      </c>
      <c r="L61" s="1176">
        <f>IFERROR(INDEX('Lower Hot Cell Logistics'!$I$13:$O$19,MATCH($J61,'Lower Hot Cell Logistics'!$H$13:$H$19,0),MATCH($K61,'Lower Hot Cell Logistics'!$H$13:$H$19,0)),"N/A")</f>
        <v>50</v>
      </c>
      <c r="M61" s="2222">
        <f>IFERROR(VLOOKUP($I61,'Lower Hot Cell Logistics'!$H$4:$I$8,2,FALSE),"N/A")</f>
        <v>0.06</v>
      </c>
      <c r="N61" s="580">
        <f t="shared" si="4"/>
        <v>0.23148148148148148</v>
      </c>
      <c r="O61" s="631"/>
      <c r="P61" s="632" t="str">
        <f>IF($D61="Logistics",VLOOKUP($O61,'Lower Hot Cell Logistics'!$C$4:$D$69,2,FALSE),"N/A")</f>
        <v>N/A</v>
      </c>
      <c r="R61"/>
      <c r="S61"/>
    </row>
    <row r="62" spans="1:19" s="89" customFormat="1" ht="15" hidden="1" customHeight="1" outlineLevel="1" x14ac:dyDescent="0.4">
      <c r="A62" s="2108"/>
      <c r="B62" s="3786"/>
      <c r="C62" s="1275" t="s">
        <v>2212</v>
      </c>
      <c r="D62" s="572" t="s">
        <v>3</v>
      </c>
      <c r="E62" s="578">
        <f t="shared" si="0"/>
        <v>0.88000000000000012</v>
      </c>
      <c r="F62" s="578">
        <f>IF($D62="Trigger",VLOOKUP("*"&amp;$C62&amp;"*",'Lower Hot Cell Weld Failure'!$D$52:$G$104,4,FALSE),E62+F61)</f>
        <v>135.769061633056</v>
      </c>
      <c r="G62" s="872"/>
      <c r="H62" s="2221" t="s">
        <v>263</v>
      </c>
      <c r="I62" s="1281"/>
      <c r="J62" s="572"/>
      <c r="K62" s="572"/>
      <c r="L62" s="1176" t="str">
        <f>IFERROR(INDEX('Lower Hot Cell Logistics'!$I$13:$O$19,MATCH($J62,'Lower Hot Cell Logistics'!$H$13:$H$19,0),MATCH($K62,'Lower Hot Cell Logistics'!$H$13:$H$19,0)),"N/A")</f>
        <v>N/A</v>
      </c>
      <c r="M62" s="2222" t="str">
        <f>IFERROR(VLOOKUP($I62,'Lower Hot Cell Logistics'!$H$4:$I$8,2,FALSE),"N/A")</f>
        <v>N/A</v>
      </c>
      <c r="N62" s="580" t="str">
        <f t="shared" si="4"/>
        <v>N/A</v>
      </c>
      <c r="O62" s="631" t="s">
        <v>2144</v>
      </c>
      <c r="P62" s="632">
        <f>IF($D62="Logistics",VLOOKUP($O62,'Lower Hot Cell Logistics'!$C$4:$D$69,2,FALSE),"N/A")</f>
        <v>0.88000000000000012</v>
      </c>
      <c r="R62"/>
      <c r="S62"/>
    </row>
    <row r="63" spans="1:19" s="89" customFormat="1" ht="14.6" hidden="1" outlineLevel="1" x14ac:dyDescent="0.4">
      <c r="A63" s="2108"/>
      <c r="B63" s="3786"/>
      <c r="C63" s="572" t="s">
        <v>2189</v>
      </c>
      <c r="D63" s="572" t="s">
        <v>778</v>
      </c>
      <c r="E63" s="574">
        <f t="shared" si="0"/>
        <v>0.69444444444444442</v>
      </c>
      <c r="F63" s="574">
        <f>IF($D63="Trigger",VLOOKUP("*"&amp;$C63&amp;"*",'Lower Hot Cell Weld Failure'!$D$52:$G$104,4,FALSE),E63+F62)</f>
        <v>136.46350607750045</v>
      </c>
      <c r="G63" s="575"/>
      <c r="H63" s="576" t="s">
        <v>263</v>
      </c>
      <c r="I63" s="1281" t="s">
        <v>2171</v>
      </c>
      <c r="J63" s="572" t="s">
        <v>799</v>
      </c>
      <c r="K63" s="572" t="s">
        <v>451</v>
      </c>
      <c r="L63" s="853">
        <f>IFERROR(INDEX('Lower Hot Cell Logistics'!$I$13:$O$19,MATCH($J63,'Lower Hot Cell Logistics'!$H$13:$H$19,0),MATCH($K63,'Lower Hot Cell Logistics'!$H$13:$H$19,0)),"N/A")</f>
        <v>50</v>
      </c>
      <c r="M63" s="853">
        <f>IFERROR(VLOOKUP($I63,'Lower Hot Cell Logistics'!$H$4:$I$8,2,FALSE),"N/A")</f>
        <v>0.02</v>
      </c>
      <c r="N63" s="1180">
        <f t="shared" si="4"/>
        <v>0.69444444444444442</v>
      </c>
      <c r="O63" s="579"/>
      <c r="P63" s="580" t="str">
        <f>IF($D63="Logistics",VLOOKUP($O63,'Lower Hot Cell Logistics'!$C$4:$D$69,2,FALSE),"N/A")</f>
        <v>N/A</v>
      </c>
      <c r="R63"/>
      <c r="S63"/>
    </row>
    <row r="64" spans="1:19" s="89" customFormat="1" ht="26.6" hidden="1" outlineLevel="1" thickBot="1" x14ac:dyDescent="0.45">
      <c r="A64" s="2108"/>
      <c r="B64" s="3788"/>
      <c r="C64" s="583" t="str">
        <f>B60</f>
        <v>LIB pipe module collected; Pipe Module handling System Moved to Lower Port</v>
      </c>
      <c r="D64" s="583" t="s">
        <v>11</v>
      </c>
      <c r="E64" s="585">
        <f t="shared" si="0"/>
        <v>0</v>
      </c>
      <c r="F64" s="585">
        <f>IF($D64="Trigger",VLOOKUP("*"&amp;$C64&amp;"*",'Lower Hot Cell Weld Failure'!$D$52:$G$104,4,FALSE),E64+F63)</f>
        <v>136.46350607750045</v>
      </c>
      <c r="G64" s="586"/>
      <c r="H64" s="587" t="s">
        <v>263</v>
      </c>
      <c r="I64" s="1720"/>
      <c r="J64" s="583"/>
      <c r="K64" s="583"/>
      <c r="L64" s="814" t="str">
        <f>IFERROR(INDEX('Lower Hot Cell Logistics'!$I$13:$O$19,MATCH($J64,'Lower Hot Cell Logistics'!$H$13:$H$19,0),MATCH($K64,'Lower Hot Cell Logistics'!$H$13:$H$19,0)),"N/A")</f>
        <v>N/A</v>
      </c>
      <c r="M64" s="814" t="str">
        <f>IFERROR(VLOOKUP($I64,'Lower Hot Cell Logistics'!$H$4:$I$8,2,FALSE),"N/A")</f>
        <v>N/A</v>
      </c>
      <c r="N64" s="1181" t="str">
        <f t="shared" si="4"/>
        <v>N/A</v>
      </c>
      <c r="O64" s="590"/>
      <c r="P64" s="591" t="str">
        <f>IF($D64="Logistics",VLOOKUP($O64,'Lower Hot Cell Logistics'!$C$4:$D$69,2,FALSE),"N/A")</f>
        <v>N/A</v>
      </c>
      <c r="R64"/>
      <c r="S64"/>
    </row>
    <row r="65" spans="1:19" s="89" customFormat="1" ht="15" hidden="1" customHeight="1" outlineLevel="1" x14ac:dyDescent="0.4">
      <c r="A65" s="2108"/>
      <c r="B65" s="3814" t="s">
        <v>2082</v>
      </c>
      <c r="C65" s="617" t="s">
        <v>2214</v>
      </c>
      <c r="D65" s="1324" t="s">
        <v>907</v>
      </c>
      <c r="E65" s="1291">
        <f t="shared" si="0"/>
        <v>0</v>
      </c>
      <c r="F65" s="1291">
        <f>IF($D65="Trigger",VLOOKUP("*"&amp;$C65&amp;"*",'Lower Hot Cell Weld Failure'!$D$52:$G$104,4,FALSE),E65+F64)</f>
        <v>154.88617070349764</v>
      </c>
      <c r="G65" s="825"/>
      <c r="H65" s="1323" t="s">
        <v>263</v>
      </c>
      <c r="I65" s="1721"/>
      <c r="J65" s="1324"/>
      <c r="K65" s="1324"/>
      <c r="L65" s="828" t="str">
        <f>IFERROR(INDEX('Lower Hot Cell Logistics'!$I$13:$O$19,MATCH($J65,'Lower Hot Cell Logistics'!$H$13:$H$19,0),MATCH($K65,'Lower Hot Cell Logistics'!$H$13:$H$19,0)),"N/A")</f>
        <v>N/A</v>
      </c>
      <c r="M65" s="827" t="str">
        <f>IFERROR(VLOOKUP($I65,'Lower Hot Cell Logistics'!$H$4:$I$8,2,FALSE),"N/A")</f>
        <v>N/A</v>
      </c>
      <c r="N65" s="2200" t="str">
        <f t="shared" si="4"/>
        <v>N/A</v>
      </c>
      <c r="O65" s="1327"/>
      <c r="P65" s="824" t="str">
        <f>IF($D65="Logistics",VLOOKUP($O65,'Lower Hot Cell Logistics'!$C$4:$D$69,2,FALSE),"N/A")</f>
        <v>N/A</v>
      </c>
      <c r="R65"/>
      <c r="S65"/>
    </row>
    <row r="66" spans="1:19" s="89" customFormat="1" ht="15" hidden="1" customHeight="1" outlineLevel="1" x14ac:dyDescent="0.4">
      <c r="A66" s="2108"/>
      <c r="B66" s="3815"/>
      <c r="C66" s="1362" t="s">
        <v>2211</v>
      </c>
      <c r="D66" s="1294" t="s">
        <v>778</v>
      </c>
      <c r="E66" s="1330">
        <f t="shared" si="0"/>
        <v>0.23148148148148148</v>
      </c>
      <c r="F66" s="1330">
        <f>IF($D66="Trigger",VLOOKUP("*"&amp;$C66&amp;"*",'Lower Hot Cell Weld Failure'!$D$52:$G$104,4,FALSE),E66+F65)</f>
        <v>155.11765218497914</v>
      </c>
      <c r="G66" s="1722"/>
      <c r="H66" s="2219" t="s">
        <v>263</v>
      </c>
      <c r="I66" s="1724" t="s">
        <v>2142</v>
      </c>
      <c r="J66" s="1294" t="s">
        <v>451</v>
      </c>
      <c r="K66" s="1294" t="s">
        <v>1965</v>
      </c>
      <c r="L66" s="2042">
        <f>IFERROR(INDEX('Lower Hot Cell Logistics'!$I$13:$O$19,MATCH($J66,'Lower Hot Cell Logistics'!$H$13:$H$19,0),MATCH($K66,'Lower Hot Cell Logistics'!$H$13:$H$19,0)),"N/A")</f>
        <v>50</v>
      </c>
      <c r="M66" s="2220">
        <f>IFERROR(VLOOKUP($I66,'Lower Hot Cell Logistics'!$H$4:$I$8,2,FALSE),"N/A")</f>
        <v>0.06</v>
      </c>
      <c r="N66" s="1332">
        <f t="shared" si="4"/>
        <v>0.23148148148148148</v>
      </c>
      <c r="O66" s="1352"/>
      <c r="P66" s="1353" t="str">
        <f>IF($D66="Logistics",VLOOKUP($O66,'Lower Hot Cell Logistics'!$C$4:$D$69,2,FALSE),"N/A")</f>
        <v>N/A</v>
      </c>
      <c r="R66"/>
      <c r="S66"/>
    </row>
    <row r="67" spans="1:19" s="89" customFormat="1" ht="15" hidden="1" customHeight="1" outlineLevel="1" x14ac:dyDescent="0.4">
      <c r="A67" s="2108"/>
      <c r="B67" s="3815"/>
      <c r="C67" s="1362" t="s">
        <v>2212</v>
      </c>
      <c r="D67" s="1294" t="s">
        <v>3</v>
      </c>
      <c r="E67" s="1330">
        <f t="shared" si="0"/>
        <v>0.88000000000000012</v>
      </c>
      <c r="F67" s="1330">
        <f>IF($D67="Trigger",VLOOKUP("*"&amp;$C67&amp;"*",'Lower Hot Cell Weld Failure'!$D$52:$G$104,4,FALSE),E67+F66)</f>
        <v>155.99765218497913</v>
      </c>
      <c r="G67" s="1722"/>
      <c r="H67" s="2219" t="s">
        <v>263</v>
      </c>
      <c r="I67" s="1724"/>
      <c r="J67" s="1294"/>
      <c r="K67" s="1294"/>
      <c r="L67" s="2042" t="str">
        <f>IFERROR(INDEX('Lower Hot Cell Logistics'!$I$13:$O$19,MATCH($J67,'Lower Hot Cell Logistics'!$H$13:$H$19,0),MATCH($K67,'Lower Hot Cell Logistics'!$H$13:$H$19,0)),"N/A")</f>
        <v>N/A</v>
      </c>
      <c r="M67" s="2220" t="str">
        <f>IFERROR(VLOOKUP($I67,'Lower Hot Cell Logistics'!$H$4:$I$8,2,FALSE),"N/A")</f>
        <v>N/A</v>
      </c>
      <c r="N67" s="1332" t="str">
        <f t="shared" si="4"/>
        <v>N/A</v>
      </c>
      <c r="O67" s="1352" t="s">
        <v>2144</v>
      </c>
      <c r="P67" s="1353">
        <f>IF($D67="Logistics",VLOOKUP($O67,'Lower Hot Cell Logistics'!$C$4:$D$69,2,FALSE),"N/A")</f>
        <v>0.88000000000000012</v>
      </c>
      <c r="R67"/>
      <c r="S67"/>
    </row>
    <row r="68" spans="1:19" s="89" customFormat="1" ht="14.6" hidden="1" outlineLevel="1" x14ac:dyDescent="0.4">
      <c r="A68" s="2108"/>
      <c r="B68" s="3815"/>
      <c r="C68" s="1294" t="s">
        <v>2189</v>
      </c>
      <c r="D68" s="1294" t="s">
        <v>778</v>
      </c>
      <c r="E68" s="1292">
        <f t="shared" si="0"/>
        <v>0.69444444444444442</v>
      </c>
      <c r="F68" s="1292">
        <f>IF($D68="Trigger",VLOOKUP("*"&amp;$C68&amp;"*",'Lower Hot Cell Weld Failure'!$D$52:$G$104,4,FALSE),E68+F67)</f>
        <v>156.69209662942359</v>
      </c>
      <c r="G68" s="862"/>
      <c r="H68" s="1328" t="s">
        <v>263</v>
      </c>
      <c r="I68" s="1724" t="s">
        <v>2171</v>
      </c>
      <c r="J68" s="1294" t="s">
        <v>799</v>
      </c>
      <c r="K68" s="1294" t="s">
        <v>451</v>
      </c>
      <c r="L68" s="865">
        <f>IFERROR(INDEX('Lower Hot Cell Logistics'!$I$13:$O$19,MATCH($J68,'Lower Hot Cell Logistics'!$H$13:$H$19,0),MATCH($K68,'Lower Hot Cell Logistics'!$H$13:$H$19,0)),"N/A")</f>
        <v>50</v>
      </c>
      <c r="M68" s="865">
        <f>IFERROR(VLOOKUP($I68,'Lower Hot Cell Logistics'!$H$4:$I$8,2,FALSE),"N/A")</f>
        <v>0.02</v>
      </c>
      <c r="N68" s="2197">
        <f t="shared" si="4"/>
        <v>0.69444444444444442</v>
      </c>
      <c r="O68" s="1331"/>
      <c r="P68" s="1332" t="str">
        <f>IF($D68="Logistics",VLOOKUP($O68,'Lower Hot Cell Logistics'!$C$4:$D$69,2,FALSE),"N/A")</f>
        <v>N/A</v>
      </c>
      <c r="R68"/>
      <c r="S68"/>
    </row>
    <row r="69" spans="1:19" s="89" customFormat="1" ht="26.6" hidden="1" outlineLevel="1" thickBot="1" x14ac:dyDescent="0.45">
      <c r="A69" s="2108"/>
      <c r="B69" s="3816"/>
      <c r="C69" s="1340" t="str">
        <f>B65</f>
        <v>ROB pipe module collected; Pipe Module handling System Moved to Lower Port</v>
      </c>
      <c r="D69" s="1340" t="s">
        <v>11</v>
      </c>
      <c r="E69" s="1295">
        <f t="shared" si="0"/>
        <v>0</v>
      </c>
      <c r="F69" s="1295">
        <f>IF($D69="Trigger",VLOOKUP("*"&amp;$C69&amp;"*",'Lower Hot Cell Weld Failure'!$D$52:$G$104,4,FALSE),E69+F68)</f>
        <v>156.69209662942359</v>
      </c>
      <c r="G69" s="839"/>
      <c r="H69" s="1341" t="s">
        <v>263</v>
      </c>
      <c r="I69" s="1727"/>
      <c r="J69" s="1340"/>
      <c r="K69" s="1340"/>
      <c r="L69" s="842" t="str">
        <f>IFERROR(INDEX('Lower Hot Cell Logistics'!$I$13:$O$19,MATCH($J69,'Lower Hot Cell Logistics'!$H$13:$H$19,0),MATCH($K69,'Lower Hot Cell Logistics'!$H$13:$H$19,0)),"N/A")</f>
        <v>N/A</v>
      </c>
      <c r="M69" s="842" t="str">
        <f>IFERROR(VLOOKUP($I69,'Lower Hot Cell Logistics'!$H$4:$I$8,2,FALSE),"N/A")</f>
        <v>N/A</v>
      </c>
      <c r="N69" s="2199" t="str">
        <f t="shared" si="4"/>
        <v>N/A</v>
      </c>
      <c r="O69" s="1344"/>
      <c r="P69" s="1345" t="str">
        <f>IF($D69="Logistics",VLOOKUP($O69,'Lower Hot Cell Logistics'!$C$4:$D$69,2,FALSE),"N/A")</f>
        <v>N/A</v>
      </c>
      <c r="R69"/>
      <c r="S69"/>
    </row>
    <row r="70" spans="1:19" s="89" customFormat="1" ht="15" hidden="1" customHeight="1" outlineLevel="1" x14ac:dyDescent="0.4">
      <c r="A70" s="2108"/>
      <c r="B70" s="3787" t="s">
        <v>2085</v>
      </c>
      <c r="C70" s="617" t="s">
        <v>1089</v>
      </c>
      <c r="D70" s="617" t="s">
        <v>907</v>
      </c>
      <c r="E70" s="567">
        <f t="shared" si="0"/>
        <v>0</v>
      </c>
      <c r="F70" s="567">
        <f>IF($D70="Trigger",VLOOKUP("*"&amp;$C70&amp;"*",'Lower Hot Cell Weld Failure'!$D$52:$G$104,4,FALSE),E70+F69)</f>
        <v>174.10883532949484</v>
      </c>
      <c r="G70" s="568"/>
      <c r="H70" s="569" t="s">
        <v>263</v>
      </c>
      <c r="I70" s="1270"/>
      <c r="J70" s="617"/>
      <c r="K70" s="617"/>
      <c r="L70" s="570" t="str">
        <f>IFERROR(INDEX('Lower Hot Cell Logistics'!$I$13:$O$19,MATCH($J70,'Lower Hot Cell Logistics'!$H$13:$H$19,0),MATCH($K70,'Lower Hot Cell Logistics'!$H$13:$H$19,0)),"N/A")</f>
        <v>N/A</v>
      </c>
      <c r="M70" s="802" t="str">
        <f>IFERROR(VLOOKUP($I70,'Lower Hot Cell Logistics'!$H$4:$I$8,2,FALSE),"N/A")</f>
        <v>N/A</v>
      </c>
      <c r="N70" s="1182" t="str">
        <f t="shared" si="4"/>
        <v>N/A</v>
      </c>
      <c r="O70" s="620"/>
      <c r="P70" s="621" t="str">
        <f>IF($D70="Logistics",VLOOKUP($O70,'Lower Hot Cell Logistics'!$C$4:$D$69,2,FALSE),"N/A")</f>
        <v>N/A</v>
      </c>
      <c r="R70"/>
      <c r="S70"/>
    </row>
    <row r="71" spans="1:19" s="89" customFormat="1" ht="15" hidden="1" customHeight="1" outlineLevel="1" x14ac:dyDescent="0.4">
      <c r="A71" s="2108"/>
      <c r="B71" s="3786"/>
      <c r="C71" s="1275" t="s">
        <v>2211</v>
      </c>
      <c r="D71" s="572" t="s">
        <v>778</v>
      </c>
      <c r="E71" s="578">
        <f t="shared" si="0"/>
        <v>0.23148148148148148</v>
      </c>
      <c r="F71" s="578">
        <f>IF($D71="Trigger",VLOOKUP("*"&amp;$C71&amp;"*",'Lower Hot Cell Weld Failure'!$D$52:$G$104,4,FALSE),E71+F70)</f>
        <v>174.34031681097633</v>
      </c>
      <c r="G71" s="872"/>
      <c r="H71" s="2221" t="s">
        <v>263</v>
      </c>
      <c r="I71" s="1281" t="s">
        <v>2142</v>
      </c>
      <c r="J71" s="572" t="s">
        <v>451</v>
      </c>
      <c r="K71" s="572" t="s">
        <v>1965</v>
      </c>
      <c r="L71" s="1176">
        <f>IFERROR(INDEX('Lower Hot Cell Logistics'!$I$13:$O$19,MATCH($J71,'Lower Hot Cell Logistics'!$H$13:$H$19,0),MATCH($K71,'Lower Hot Cell Logistics'!$H$13:$H$19,0)),"N/A")</f>
        <v>50</v>
      </c>
      <c r="M71" s="2222">
        <f>IFERROR(VLOOKUP($I71,'Lower Hot Cell Logistics'!$H$4:$I$8,2,FALSE),"N/A")</f>
        <v>0.06</v>
      </c>
      <c r="N71" s="580">
        <f t="shared" si="4"/>
        <v>0.23148148148148148</v>
      </c>
      <c r="O71" s="631"/>
      <c r="P71" s="632" t="str">
        <f>IF($D71="Logistics",VLOOKUP($O71,'Lower Hot Cell Logistics'!$C$4:$D$69,2,FALSE),"N/A")</f>
        <v>N/A</v>
      </c>
      <c r="R71"/>
      <c r="S71"/>
    </row>
    <row r="72" spans="1:19" s="89" customFormat="1" ht="15" hidden="1" customHeight="1" outlineLevel="1" x14ac:dyDescent="0.4">
      <c r="A72" s="2108"/>
      <c r="B72" s="3786"/>
      <c r="C72" s="1275" t="s">
        <v>2212</v>
      </c>
      <c r="D72" s="572" t="s">
        <v>3</v>
      </c>
      <c r="E72" s="578">
        <f t="shared" si="0"/>
        <v>0.88000000000000012</v>
      </c>
      <c r="F72" s="578">
        <f>IF($D72="Trigger",VLOOKUP("*"&amp;$C72&amp;"*",'Lower Hot Cell Weld Failure'!$D$52:$G$104,4,FALSE),E72+F71)</f>
        <v>175.22031681097633</v>
      </c>
      <c r="G72" s="872"/>
      <c r="H72" s="2221" t="s">
        <v>263</v>
      </c>
      <c r="I72" s="1281"/>
      <c r="J72" s="572"/>
      <c r="K72" s="572"/>
      <c r="L72" s="1176" t="str">
        <f>IFERROR(INDEX('Lower Hot Cell Logistics'!$I$13:$O$19,MATCH($J72,'Lower Hot Cell Logistics'!$H$13:$H$19,0),MATCH($K72,'Lower Hot Cell Logistics'!$H$13:$H$19,0)),"N/A")</f>
        <v>N/A</v>
      </c>
      <c r="M72" s="2222" t="str">
        <f>IFERROR(VLOOKUP($I72,'Lower Hot Cell Logistics'!$H$4:$I$8,2,FALSE),"N/A")</f>
        <v>N/A</v>
      </c>
      <c r="N72" s="580" t="str">
        <f t="shared" si="4"/>
        <v>N/A</v>
      </c>
      <c r="O72" s="631" t="s">
        <v>2144</v>
      </c>
      <c r="P72" s="632">
        <f>IF($D72="Logistics",VLOOKUP($O72,'Lower Hot Cell Logistics'!$C$4:$D$69,2,FALSE),"N/A")</f>
        <v>0.88000000000000012</v>
      </c>
      <c r="R72"/>
      <c r="S72"/>
    </row>
    <row r="73" spans="1:19" s="89" customFormat="1" ht="14.6" hidden="1" outlineLevel="1" x14ac:dyDescent="0.4">
      <c r="A73" s="2108"/>
      <c r="B73" s="3786"/>
      <c r="C73" s="572" t="s">
        <v>2189</v>
      </c>
      <c r="D73" s="572" t="s">
        <v>778</v>
      </c>
      <c r="E73" s="574">
        <f t="shared" ref="E73:E109" si="5">MAX($P73,$N73,$H73)</f>
        <v>0.69444444444444442</v>
      </c>
      <c r="F73" s="574">
        <f>IF($D73="Trigger",VLOOKUP("*"&amp;$C73&amp;"*",'Lower Hot Cell Weld Failure'!$D$52:$G$104,4,FALSE),E73+F72)</f>
        <v>175.91476125542079</v>
      </c>
      <c r="G73" s="575"/>
      <c r="H73" s="576" t="s">
        <v>263</v>
      </c>
      <c r="I73" s="1281" t="s">
        <v>2171</v>
      </c>
      <c r="J73" s="572" t="s">
        <v>799</v>
      </c>
      <c r="K73" s="572" t="s">
        <v>451</v>
      </c>
      <c r="L73" s="853">
        <f>IFERROR(INDEX('Lower Hot Cell Logistics'!$I$13:$O$19,MATCH($J73,'Lower Hot Cell Logistics'!$H$13:$H$19,0),MATCH($K73,'Lower Hot Cell Logistics'!$H$13:$H$19,0)),"N/A")</f>
        <v>50</v>
      </c>
      <c r="M73" s="853">
        <f>IFERROR(VLOOKUP($I73,'Lower Hot Cell Logistics'!$H$4:$I$8,2,FALSE),"N/A")</f>
        <v>0.02</v>
      </c>
      <c r="N73" s="1180">
        <f t="shared" si="4"/>
        <v>0.69444444444444442</v>
      </c>
      <c r="O73" s="579"/>
      <c r="P73" s="580" t="str">
        <f>IF($D73="Logistics",VLOOKUP($O73,'Lower Hot Cell Logistics'!$C$4:$D$69,2,FALSE),"N/A")</f>
        <v>N/A</v>
      </c>
      <c r="R73"/>
      <c r="S73"/>
    </row>
    <row r="74" spans="1:19" s="89" customFormat="1" ht="26.6" hidden="1" outlineLevel="1" thickBot="1" x14ac:dyDescent="0.45">
      <c r="A74" s="2108"/>
      <c r="B74" s="3788"/>
      <c r="C74" s="583" t="str">
        <f>B70</f>
        <v>LOB pipe module collected; Pipe Module handling System Moved to Lower Port</v>
      </c>
      <c r="D74" s="583" t="s">
        <v>11</v>
      </c>
      <c r="E74" s="585">
        <f t="shared" si="5"/>
        <v>0</v>
      </c>
      <c r="F74" s="585">
        <f>IF($D74="Trigger",VLOOKUP("*"&amp;$C74&amp;"*",'Lower Hot Cell Weld Failure'!$D$52:$G$104,4,FALSE),E74+F73)</f>
        <v>175.91476125542079</v>
      </c>
      <c r="G74" s="586"/>
      <c r="H74" s="587" t="s">
        <v>263</v>
      </c>
      <c r="I74" s="1720"/>
      <c r="J74" s="583"/>
      <c r="K74" s="583"/>
      <c r="L74" s="814" t="str">
        <f>IFERROR(INDEX('Lower Hot Cell Logistics'!$I$13:$O$19,MATCH($J74,'Lower Hot Cell Logistics'!$H$13:$H$19,0),MATCH($K74,'Lower Hot Cell Logistics'!$H$13:$H$19,0)),"N/A")</f>
        <v>N/A</v>
      </c>
      <c r="M74" s="814" t="str">
        <f>IFERROR(VLOOKUP($I74,'Lower Hot Cell Logistics'!$H$4:$I$8,2,FALSE),"N/A")</f>
        <v>N/A</v>
      </c>
      <c r="N74" s="1181" t="str">
        <f t="shared" si="4"/>
        <v>N/A</v>
      </c>
      <c r="O74" s="590"/>
      <c r="P74" s="591" t="str">
        <f>IF($D74="Logistics",VLOOKUP($O74,'Lower Hot Cell Logistics'!$C$4:$D$69,2,FALSE),"N/A")</f>
        <v>N/A</v>
      </c>
      <c r="R74"/>
      <c r="S74"/>
    </row>
    <row r="75" spans="1:19" s="89" customFormat="1" ht="15" hidden="1" customHeight="1" outlineLevel="1" x14ac:dyDescent="0.4">
      <c r="A75" s="2108"/>
      <c r="B75" s="3814" t="s">
        <v>2087</v>
      </c>
      <c r="C75" s="1324" t="s">
        <v>1092</v>
      </c>
      <c r="D75" s="1324" t="s">
        <v>907</v>
      </c>
      <c r="E75" s="1291">
        <f t="shared" si="5"/>
        <v>0</v>
      </c>
      <c r="F75" s="1291">
        <f>IF($D75="Trigger",VLOOKUP("*"&amp;$C75&amp;"*",'Lower Hot Cell Weld Failure'!$D$52:$G$104,4,FALSE),E75+F74)</f>
        <v>184.94516764249343</v>
      </c>
      <c r="G75" s="825"/>
      <c r="H75" s="1323" t="s">
        <v>263</v>
      </c>
      <c r="I75" s="1721"/>
      <c r="J75" s="1324"/>
      <c r="K75" s="1324"/>
      <c r="L75" s="828" t="str">
        <f>IFERROR(INDEX('Lower Hot Cell Logistics'!$I$13:$O$19,MATCH($J75,'Lower Hot Cell Logistics'!$H$13:$H$19,0),MATCH($K75,'Lower Hot Cell Logistics'!$H$13:$H$19,0)),"N/A")</f>
        <v>N/A</v>
      </c>
      <c r="M75" s="827" t="str">
        <f>IFERROR(VLOOKUP($I75,'Lower Hot Cell Logistics'!$H$4:$I$8,2,FALSE),"N/A")</f>
        <v>N/A</v>
      </c>
      <c r="N75" s="2200" t="str">
        <f t="shared" si="4"/>
        <v>N/A</v>
      </c>
      <c r="O75" s="1327"/>
      <c r="P75" s="824" t="str">
        <f>IF($D75="Logistics",VLOOKUP($O75,'Lower Hot Cell Logistics'!$C$4:$D$69,2,FALSE),"N/A")</f>
        <v>N/A</v>
      </c>
      <c r="R75"/>
      <c r="S75"/>
    </row>
    <row r="76" spans="1:19" s="89" customFormat="1" ht="15" hidden="1" customHeight="1" outlineLevel="1" x14ac:dyDescent="0.4">
      <c r="A76" s="2108"/>
      <c r="B76" s="3815"/>
      <c r="C76" s="1362" t="s">
        <v>2211</v>
      </c>
      <c r="D76" s="1294" t="s">
        <v>778</v>
      </c>
      <c r="E76" s="1330">
        <f t="shared" si="5"/>
        <v>0.23148148148148148</v>
      </c>
      <c r="F76" s="1330">
        <f>IF($D76="Trigger",VLOOKUP("*"&amp;$C76&amp;"*",'Lower Hot Cell Weld Failure'!$D$52:$G$104,4,FALSE),E76+F75)</f>
        <v>185.17664912397493</v>
      </c>
      <c r="G76" s="1722"/>
      <c r="H76" s="2219" t="s">
        <v>263</v>
      </c>
      <c r="I76" s="1724" t="s">
        <v>2142</v>
      </c>
      <c r="J76" s="1294" t="s">
        <v>451</v>
      </c>
      <c r="K76" s="1294" t="s">
        <v>1965</v>
      </c>
      <c r="L76" s="2042">
        <f>IFERROR(INDEX('Lower Hot Cell Logistics'!$I$13:$O$19,MATCH($J76,'Lower Hot Cell Logistics'!$H$13:$H$19,0),MATCH($K76,'Lower Hot Cell Logistics'!$H$13:$H$19,0)),"N/A")</f>
        <v>50</v>
      </c>
      <c r="M76" s="2220">
        <f>IFERROR(VLOOKUP($I76,'Lower Hot Cell Logistics'!$H$4:$I$8,2,FALSE),"N/A")</f>
        <v>0.06</v>
      </c>
      <c r="N76" s="1332">
        <f t="shared" si="4"/>
        <v>0.23148148148148148</v>
      </c>
      <c r="O76" s="1352"/>
      <c r="P76" s="1353" t="str">
        <f>IF($D76="Logistics",VLOOKUP($O76,'Lower Hot Cell Logistics'!$C$4:$D$69,2,FALSE),"N/A")</f>
        <v>N/A</v>
      </c>
      <c r="R76"/>
      <c r="S76"/>
    </row>
    <row r="77" spans="1:19" s="89" customFormat="1" ht="15" hidden="1" customHeight="1" outlineLevel="1" x14ac:dyDescent="0.4">
      <c r="A77" s="2108"/>
      <c r="B77" s="3815"/>
      <c r="C77" s="1362" t="s">
        <v>2212</v>
      </c>
      <c r="D77" s="1294" t="s">
        <v>3</v>
      </c>
      <c r="E77" s="1330">
        <f t="shared" si="5"/>
        <v>0.88000000000000012</v>
      </c>
      <c r="F77" s="1330">
        <f>IF($D77="Trigger",VLOOKUP("*"&amp;$C77&amp;"*",'Lower Hot Cell Weld Failure'!$D$52:$G$104,4,FALSE),E77+F76)</f>
        <v>186.05664912397492</v>
      </c>
      <c r="G77" s="1722"/>
      <c r="H77" s="2219" t="s">
        <v>263</v>
      </c>
      <c r="I77" s="1724"/>
      <c r="J77" s="1294"/>
      <c r="K77" s="1294"/>
      <c r="L77" s="2042" t="str">
        <f>IFERROR(INDEX('Lower Hot Cell Logistics'!$I$13:$O$19,MATCH($J77,'Lower Hot Cell Logistics'!$H$13:$H$19,0),MATCH($K77,'Lower Hot Cell Logistics'!$H$13:$H$19,0)),"N/A")</f>
        <v>N/A</v>
      </c>
      <c r="M77" s="2220" t="str">
        <f>IFERROR(VLOOKUP($I77,'Lower Hot Cell Logistics'!$H$4:$I$8,2,FALSE),"N/A")</f>
        <v>N/A</v>
      </c>
      <c r="N77" s="1332" t="str">
        <f t="shared" si="4"/>
        <v>N/A</v>
      </c>
      <c r="O77" s="1352" t="s">
        <v>2144</v>
      </c>
      <c r="P77" s="1353">
        <f>IF($D77="Logistics",VLOOKUP($O77,'Lower Hot Cell Logistics'!$C$4:$D$69,2,FALSE),"N/A")</f>
        <v>0.88000000000000012</v>
      </c>
      <c r="R77"/>
      <c r="S77"/>
    </row>
    <row r="78" spans="1:19" s="89" customFormat="1" ht="14.6" hidden="1" outlineLevel="1" x14ac:dyDescent="0.4">
      <c r="A78" s="2108"/>
      <c r="B78" s="3815"/>
      <c r="C78" s="1294" t="s">
        <v>2189</v>
      </c>
      <c r="D78" s="1294" t="s">
        <v>778</v>
      </c>
      <c r="E78" s="1292">
        <f t="shared" si="5"/>
        <v>0.69444444444444442</v>
      </c>
      <c r="F78" s="1292">
        <f>IF($D78="Trigger",VLOOKUP("*"&amp;$C78&amp;"*",'Lower Hot Cell Weld Failure'!$D$52:$G$104,4,FALSE),E78+F77)</f>
        <v>186.75109356841938</v>
      </c>
      <c r="G78" s="862"/>
      <c r="H78" s="1328" t="s">
        <v>263</v>
      </c>
      <c r="I78" s="1724" t="s">
        <v>2171</v>
      </c>
      <c r="J78" s="1294" t="s">
        <v>799</v>
      </c>
      <c r="K78" s="1294" t="s">
        <v>451</v>
      </c>
      <c r="L78" s="865">
        <f>IFERROR(INDEX('Lower Hot Cell Logistics'!$I$13:$O$19,MATCH($J78,'Lower Hot Cell Logistics'!$H$13:$H$19,0),MATCH($K78,'Lower Hot Cell Logistics'!$H$13:$H$19,0)),"N/A")</f>
        <v>50</v>
      </c>
      <c r="M78" s="865">
        <f>IFERROR(VLOOKUP($I78,'Lower Hot Cell Logistics'!$H$4:$I$8,2,FALSE),"N/A")</f>
        <v>0.02</v>
      </c>
      <c r="N78" s="2197">
        <f t="shared" si="4"/>
        <v>0.69444444444444442</v>
      </c>
      <c r="O78" s="1331"/>
      <c r="P78" s="1332" t="str">
        <f>IF($D78="Logistics",VLOOKUP($O78,'Lower Hot Cell Logistics'!$C$4:$D$69,2,FALSE),"N/A")</f>
        <v>N/A</v>
      </c>
      <c r="R78"/>
      <c r="S78"/>
    </row>
    <row r="79" spans="1:19" s="89" customFormat="1" ht="26.6" hidden="1" outlineLevel="1" thickBot="1" x14ac:dyDescent="0.45">
      <c r="A79" s="2108"/>
      <c r="B79" s="3816"/>
      <c r="C79" s="1340" t="str">
        <f>B75</f>
        <v>COB pipe module collected; Pipe Module handling System Moved to Lower Port</v>
      </c>
      <c r="D79" s="1340" t="s">
        <v>11</v>
      </c>
      <c r="E79" s="1295">
        <f t="shared" si="5"/>
        <v>0</v>
      </c>
      <c r="F79" s="1295">
        <f>IF($D79="Trigger",VLOOKUP("*"&amp;$C79&amp;"*",'Lower Hot Cell Weld Failure'!$D$52:$G$104,4,FALSE),E79+F78)</f>
        <v>186.75109356841938</v>
      </c>
      <c r="G79" s="839"/>
      <c r="H79" s="1341" t="s">
        <v>263</v>
      </c>
      <c r="I79" s="1727"/>
      <c r="J79" s="1340"/>
      <c r="K79" s="1340"/>
      <c r="L79" s="842" t="str">
        <f>IFERROR(INDEX('Lower Hot Cell Logistics'!$I$13:$O$19,MATCH($J79,'Lower Hot Cell Logistics'!$H$13:$H$19,0),MATCH($K79,'Lower Hot Cell Logistics'!$H$13:$H$19,0)),"N/A")</f>
        <v>N/A</v>
      </c>
      <c r="M79" s="842" t="str">
        <f>IFERROR(VLOOKUP($I79,'Lower Hot Cell Logistics'!$H$4:$I$8,2,FALSE),"N/A")</f>
        <v>N/A</v>
      </c>
      <c r="N79" s="2199" t="str">
        <f t="shared" si="4"/>
        <v>N/A</v>
      </c>
      <c r="O79" s="1344"/>
      <c r="P79" s="1345" t="str">
        <f>IF($D79="Logistics",VLOOKUP($O79,'Lower Hot Cell Logistics'!$C$4:$D$69,2,FALSE),"N/A")</f>
        <v>N/A</v>
      </c>
      <c r="R79"/>
      <c r="S79"/>
    </row>
    <row r="80" spans="1:19" ht="12.75" hidden="1" customHeight="1" outlineLevel="1" x14ac:dyDescent="0.4">
      <c r="A80" s="2108"/>
      <c r="B80" s="3787" t="s">
        <v>1944</v>
      </c>
      <c r="C80" s="566" t="s">
        <v>2346</v>
      </c>
      <c r="D80" s="566" t="s">
        <v>907</v>
      </c>
      <c r="E80" s="1175">
        <f t="shared" si="5"/>
        <v>0</v>
      </c>
      <c r="F80" s="621">
        <f>IF($D80="Trigger",VLOOKUP("*"&amp;$C80&amp;"*",'Lower Hot Cell Weld Failure'!$D$52:$G$540,4,FALSE),E80+#REF!)</f>
        <v>0</v>
      </c>
      <c r="G80" s="568"/>
      <c r="H80" s="569" t="str">
        <f>IF(D80="operation",VLOOKUP(G80,#REF!,5,FALSE), "N/A")</f>
        <v>N/A</v>
      </c>
      <c r="I80" s="566"/>
      <c r="J80" s="566"/>
      <c r="K80" s="566"/>
      <c r="L80" s="1175" t="str">
        <f>IFERROR(INDEX('Lower Hot Cell Logistics'!$I$13:$O$19,MATCH($J80,'Lower Hot Cell Logistics'!$H$13:$H$19,0),MATCH($K80,'Lower Hot Cell Logistics'!$H$13:$H$19,0)),"N/A")</f>
        <v>N/A</v>
      </c>
      <c r="M80" s="1175" t="str">
        <f>IFERROR(VLOOKUP($I80,'Lower Hot Cell Logistics'!$H$4:$I$8,2,FALSE),"N/A")</f>
        <v>N/A</v>
      </c>
      <c r="N80" s="1175" t="str">
        <f t="shared" ref="N80:N109" si="6">IF(D80="Movement",IFERROR((L80/M80)/(60*60),"Error"),"N/A")</f>
        <v>N/A</v>
      </c>
      <c r="O80" s="620"/>
      <c r="P80" s="621" t="str">
        <f>IF($D80="Logistics",VLOOKUP($O80,'Lower Hot Cell Logistics'!$C$4:$D$69,2,FALSE),"N/A")</f>
        <v>N/A</v>
      </c>
    </row>
    <row r="81" spans="1:16" ht="12.75" hidden="1" customHeight="1" outlineLevel="1" x14ac:dyDescent="0.4">
      <c r="A81" s="2108"/>
      <c r="B81" s="3786"/>
      <c r="C81" s="573" t="s">
        <v>1945</v>
      </c>
      <c r="D81" s="573" t="s">
        <v>251</v>
      </c>
      <c r="E81" s="1176">
        <f t="shared" si="5"/>
        <v>113.14611111111107</v>
      </c>
      <c r="F81" s="580">
        <f>IF($D81="Trigger",VLOOKUP("*"&amp;$C81&amp;"*",'Lower Hot Cell Weld Failure'!$D$52:$G$540,4,FALSE),E81+F80)</f>
        <v>113.14611111111107</v>
      </c>
      <c r="G81" s="575" t="s">
        <v>134</v>
      </c>
      <c r="H81" s="580">
        <v>113.14611111111107</v>
      </c>
      <c r="I81" s="573"/>
      <c r="J81" s="573"/>
      <c r="K81" s="573"/>
      <c r="L81" s="1176" t="str">
        <f>IFERROR(INDEX('Lower Hot Cell Logistics'!$I$13:$O$19,MATCH($J81,'Lower Hot Cell Logistics'!$H$13:$H$19,0),MATCH($K81,'Lower Hot Cell Logistics'!$H$13:$H$19,0)),"N/A")</f>
        <v>N/A</v>
      </c>
      <c r="M81" s="1176" t="str">
        <f>IFERROR(VLOOKUP($I81,'Lower Hot Cell Logistics'!$H$4:$I$8,2,FALSE),"N/A")</f>
        <v>N/A</v>
      </c>
      <c r="N81" s="1176" t="str">
        <f t="shared" si="6"/>
        <v>N/A</v>
      </c>
      <c r="O81" s="579"/>
      <c r="P81" s="580" t="str">
        <f>IF($D81="Logistics",VLOOKUP($O81,'Lower Hot Cell Logistics'!$C$4:$D$69,2,FALSE),"N/A")</f>
        <v>N/A</v>
      </c>
    </row>
    <row r="82" spans="1:16" ht="13.5" hidden="1" customHeight="1" outlineLevel="1" thickBot="1" x14ac:dyDescent="0.45">
      <c r="A82" s="2108"/>
      <c r="B82" s="3788"/>
      <c r="C82" s="584" t="str">
        <f>B80</f>
        <v>COB Blanket segment installed</v>
      </c>
      <c r="D82" s="584" t="s">
        <v>11</v>
      </c>
      <c r="E82" s="1179">
        <f t="shared" si="5"/>
        <v>0</v>
      </c>
      <c r="F82" s="591">
        <f>IF($D82="Trigger",VLOOKUP("*"&amp;$C82&amp;"*",'Lower Hot Cell Weld Failure'!$D$52:$G$540,4,FALSE),E82+F81)</f>
        <v>113.14611111111107</v>
      </c>
      <c r="G82" s="586"/>
      <c r="H82" s="587" t="str">
        <f>IF(D82="operation",VLOOKUP(G82,#REF!,5,FALSE), "N/A")</f>
        <v>N/A</v>
      </c>
      <c r="I82" s="584"/>
      <c r="J82" s="584"/>
      <c r="K82" s="584"/>
      <c r="L82" s="1179" t="str">
        <f>IFERROR(INDEX('Lower Hot Cell Logistics'!$I$13:$O$19,MATCH($J82,'Lower Hot Cell Logistics'!$H$13:$H$19,0),MATCH($K82,'Lower Hot Cell Logistics'!$H$13:$H$19,0)),"N/A")</f>
        <v>N/A</v>
      </c>
      <c r="M82" s="1179" t="str">
        <f>IFERROR(VLOOKUP($I82,'Lower Hot Cell Logistics'!$H$4:$I$8,2,FALSE),"N/A")</f>
        <v>N/A</v>
      </c>
      <c r="N82" s="1179" t="str">
        <f t="shared" si="6"/>
        <v>N/A</v>
      </c>
      <c r="O82" s="590"/>
      <c r="P82" s="591" t="str">
        <f>IF($D82="Logistics",VLOOKUP($O82,'Lower Hot Cell Logistics'!$C$4:$D$69,2,FALSE),"N/A")</f>
        <v>N/A</v>
      </c>
    </row>
    <row r="83" spans="1:16" ht="12.75" hidden="1" customHeight="1" outlineLevel="1" x14ac:dyDescent="0.4">
      <c r="A83" s="2108"/>
      <c r="B83" s="3787" t="s">
        <v>1946</v>
      </c>
      <c r="C83" s="566" t="s">
        <v>2346</v>
      </c>
      <c r="D83" s="566" t="s">
        <v>907</v>
      </c>
      <c r="E83" s="1175">
        <f t="shared" si="5"/>
        <v>0</v>
      </c>
      <c r="F83" s="621">
        <f>IF($D83="Trigger",VLOOKUP("*"&amp;$C83&amp;"*",'Lower Hot Cell Weld Failure'!$D$52:$G$540,4,FALSE),E83+F82)</f>
        <v>0</v>
      </c>
      <c r="G83" s="568"/>
      <c r="H83" s="569" t="str">
        <f>IF(D83="operation",VLOOKUP(G83,#REF!,5,FALSE), "N/A")</f>
        <v>N/A</v>
      </c>
      <c r="I83" s="566"/>
      <c r="J83" s="566"/>
      <c r="K83" s="566"/>
      <c r="L83" s="1175" t="str">
        <f>IFERROR(INDEX('Lower Hot Cell Logistics'!$I$13:$O$19,MATCH($J83,'Lower Hot Cell Logistics'!$H$13:$H$19,0),MATCH($K83,'Lower Hot Cell Logistics'!$H$13:$H$19,0)),"N/A")</f>
        <v>N/A</v>
      </c>
      <c r="M83" s="1175" t="str">
        <f>IFERROR(VLOOKUP($I83,'Lower Hot Cell Logistics'!$H$4:$I$8,2,FALSE),"N/A")</f>
        <v>N/A</v>
      </c>
      <c r="N83" s="1175" t="str">
        <f t="shared" si="6"/>
        <v>N/A</v>
      </c>
      <c r="O83" s="620"/>
      <c r="P83" s="621" t="str">
        <f>IF($D83="Logistics",VLOOKUP($O83,'Lower Hot Cell Logistics'!$C$4:$D$69,2,FALSE),"N/A")</f>
        <v>N/A</v>
      </c>
    </row>
    <row r="84" spans="1:16" ht="12.75" hidden="1" customHeight="1" outlineLevel="1" x14ac:dyDescent="0.4">
      <c r="A84" s="2108"/>
      <c r="B84" s="3786"/>
      <c r="C84" s="573" t="s">
        <v>1945</v>
      </c>
      <c r="D84" s="573" t="s">
        <v>251</v>
      </c>
      <c r="E84" s="1176">
        <f t="shared" si="5"/>
        <v>338.68182398513864</v>
      </c>
      <c r="F84" s="580">
        <f>IF($D84="Trigger",VLOOKUP("*"&amp;$C84&amp;"*",'Lower Hot Cell Weld Failure'!$D$52:$G$540,4,FALSE),E84+F83)</f>
        <v>338.68182398513864</v>
      </c>
      <c r="G84" s="575" t="s">
        <v>1097</v>
      </c>
      <c r="H84" s="580">
        <v>338.68182398513864</v>
      </c>
      <c r="I84" s="573"/>
      <c r="J84" s="573"/>
      <c r="K84" s="573"/>
      <c r="L84" s="1176" t="str">
        <f>IFERROR(INDEX('Lower Hot Cell Logistics'!$I$13:$O$19,MATCH($J84,'Lower Hot Cell Logistics'!$H$13:$H$19,0),MATCH($K84,'Lower Hot Cell Logistics'!$H$13:$H$19,0)),"N/A")</f>
        <v>N/A</v>
      </c>
      <c r="M84" s="1176" t="str">
        <f>IFERROR(VLOOKUP($I84,'Lower Hot Cell Logistics'!$H$4:$I$8,2,FALSE),"N/A")</f>
        <v>N/A</v>
      </c>
      <c r="N84" s="1176" t="str">
        <f t="shared" si="6"/>
        <v>N/A</v>
      </c>
      <c r="O84" s="579"/>
      <c r="P84" s="580" t="str">
        <f>IF($D84="Logistics",VLOOKUP($O84,'Lower Hot Cell Logistics'!$C$4:$D$69,2,FALSE),"N/A")</f>
        <v>N/A</v>
      </c>
    </row>
    <row r="85" spans="1:16" ht="13.5" hidden="1" customHeight="1" outlineLevel="1" thickBot="1" x14ac:dyDescent="0.45">
      <c r="A85" s="2108"/>
      <c r="B85" s="3788"/>
      <c r="C85" s="584" t="str">
        <f>B83</f>
        <v>COB Upper Port Pipe Module installed</v>
      </c>
      <c r="D85" s="584" t="s">
        <v>11</v>
      </c>
      <c r="E85" s="1179">
        <f t="shared" si="5"/>
        <v>0</v>
      </c>
      <c r="F85" s="591">
        <f>IF($D85="Trigger",VLOOKUP("*"&amp;$C85&amp;"*",'Lower Hot Cell Weld Failure'!$D$52:$G$540,4,FALSE),E85+F84)</f>
        <v>338.68182398513864</v>
      </c>
      <c r="G85" s="586"/>
      <c r="H85" s="587" t="str">
        <f>IF(D85="operation",VLOOKUP(G85,#REF!,5,FALSE), "N/A")</f>
        <v>N/A</v>
      </c>
      <c r="I85" s="584"/>
      <c r="J85" s="584"/>
      <c r="K85" s="584"/>
      <c r="L85" s="1179" t="str">
        <f>IFERROR(INDEX('Lower Hot Cell Logistics'!$I$13:$O$19,MATCH($J85,'Lower Hot Cell Logistics'!$H$13:$H$19,0),MATCH($K85,'Lower Hot Cell Logistics'!$H$13:$H$19,0)),"N/A")</f>
        <v>N/A</v>
      </c>
      <c r="M85" s="1179" t="str">
        <f>IFERROR(VLOOKUP($I85,'Lower Hot Cell Logistics'!$H$4:$I$8,2,FALSE),"N/A")</f>
        <v>N/A</v>
      </c>
      <c r="N85" s="1179" t="str">
        <f t="shared" si="6"/>
        <v>N/A</v>
      </c>
      <c r="O85" s="590"/>
      <c r="P85" s="591" t="str">
        <f>IF($D85="Logistics",VLOOKUP($O85,'Lower Hot Cell Logistics'!$C$4:$D$69,2,FALSE),"N/A")</f>
        <v>N/A</v>
      </c>
    </row>
    <row r="86" spans="1:16" ht="12.75" hidden="1" customHeight="1" outlineLevel="1" x14ac:dyDescent="0.4">
      <c r="A86" s="2108"/>
      <c r="B86" s="3787" t="s">
        <v>1947</v>
      </c>
      <c r="C86" s="566" t="s">
        <v>2346</v>
      </c>
      <c r="D86" s="566" t="s">
        <v>907</v>
      </c>
      <c r="E86" s="1175">
        <f t="shared" si="5"/>
        <v>0</v>
      </c>
      <c r="F86" s="621">
        <f>IF($D86="Trigger",VLOOKUP("*"&amp;$C86&amp;"*",'Lower Hot Cell Weld Failure'!$D$52:$G$540,4,FALSE),E86+F85)</f>
        <v>0</v>
      </c>
      <c r="G86" s="568"/>
      <c r="H86" s="569" t="str">
        <f>IF(D86="operation",VLOOKUP(G86,#REF!,5,FALSE), "N/A")</f>
        <v>N/A</v>
      </c>
      <c r="I86" s="566"/>
      <c r="J86" s="566"/>
      <c r="K86" s="566"/>
      <c r="L86" s="1175" t="str">
        <f>IFERROR(INDEX('Lower Hot Cell Logistics'!$I$13:$O$19,MATCH($J86,'Lower Hot Cell Logistics'!$H$13:$H$19,0),MATCH($K86,'Lower Hot Cell Logistics'!$H$13:$H$19,0)),"N/A")</f>
        <v>N/A</v>
      </c>
      <c r="M86" s="1175" t="str">
        <f>IFERROR(VLOOKUP($I86,'Lower Hot Cell Logistics'!$H$4:$I$8,2,FALSE),"N/A")</f>
        <v>N/A</v>
      </c>
      <c r="N86" s="1175" t="str">
        <f t="shared" si="6"/>
        <v>N/A</v>
      </c>
      <c r="O86" s="620"/>
      <c r="P86" s="621" t="str">
        <f>IF($D86="Logistics",VLOOKUP($O86,'Lower Hot Cell Logistics'!$C$4:$D$69,2,FALSE),"N/A")</f>
        <v>N/A</v>
      </c>
    </row>
    <row r="87" spans="1:16" ht="12.75" hidden="1" customHeight="1" outlineLevel="1" x14ac:dyDescent="0.4">
      <c r="A87" s="2108"/>
      <c r="B87" s="3786"/>
      <c r="C87" s="573" t="s">
        <v>1945</v>
      </c>
      <c r="D87" s="573" t="s">
        <v>251</v>
      </c>
      <c r="E87" s="1176">
        <f t="shared" si="5"/>
        <v>107.36999999999996</v>
      </c>
      <c r="F87" s="580">
        <f>IF($D87="Trigger",VLOOKUP("*"&amp;$C87&amp;"*",'Lower Hot Cell Weld Failure'!$D$52:$G$540,4,FALSE),E87+F86)</f>
        <v>107.36999999999996</v>
      </c>
      <c r="G87" s="575" t="s">
        <v>133</v>
      </c>
      <c r="H87" s="580">
        <v>107.36999999999996</v>
      </c>
      <c r="I87" s="573"/>
      <c r="J87" s="573"/>
      <c r="K87" s="573"/>
      <c r="L87" s="1176" t="str">
        <f>IFERROR(INDEX('Lower Hot Cell Logistics'!$I$13:$O$19,MATCH($J87,'Lower Hot Cell Logistics'!$H$13:$H$19,0),MATCH($K87,'Lower Hot Cell Logistics'!$H$13:$H$19,0)),"N/A")</f>
        <v>N/A</v>
      </c>
      <c r="M87" s="1176" t="str">
        <f>IFERROR(VLOOKUP($I87,'Lower Hot Cell Logistics'!$H$4:$I$8,2,FALSE),"N/A")</f>
        <v>N/A</v>
      </c>
      <c r="N87" s="1176" t="str">
        <f t="shared" si="6"/>
        <v>N/A</v>
      </c>
      <c r="O87" s="579"/>
      <c r="P87" s="580" t="str">
        <f>IF($D87="Logistics",VLOOKUP($O87,'Lower Hot Cell Logistics'!$C$4:$D$69,2,FALSE),"N/A")</f>
        <v>N/A</v>
      </c>
    </row>
    <row r="88" spans="1:16" ht="13.5" hidden="1" customHeight="1" outlineLevel="1" thickBot="1" x14ac:dyDescent="0.45">
      <c r="A88" s="2108"/>
      <c r="B88" s="3788"/>
      <c r="C88" s="584" t="str">
        <f>B86</f>
        <v>LOB Blanket segment installed</v>
      </c>
      <c r="D88" s="584" t="s">
        <v>11</v>
      </c>
      <c r="E88" s="1179">
        <f t="shared" si="5"/>
        <v>0</v>
      </c>
      <c r="F88" s="591">
        <f>IF($D88="Trigger",VLOOKUP("*"&amp;$C88&amp;"*",'Lower Hot Cell Weld Failure'!$D$52:$G$540,4,FALSE),E88+F87)</f>
        <v>107.36999999999996</v>
      </c>
      <c r="G88" s="586"/>
      <c r="H88" s="587" t="str">
        <f>IF(D88="operation",VLOOKUP(G88,#REF!,5,FALSE), "N/A")</f>
        <v>N/A</v>
      </c>
      <c r="I88" s="584"/>
      <c r="J88" s="584"/>
      <c r="K88" s="584"/>
      <c r="L88" s="1179" t="str">
        <f>IFERROR(INDEX('Lower Hot Cell Logistics'!$I$13:$O$19,MATCH($J88,'Lower Hot Cell Logistics'!$H$13:$H$19,0),MATCH($K88,'Lower Hot Cell Logistics'!$H$13:$H$19,0)),"N/A")</f>
        <v>N/A</v>
      </c>
      <c r="M88" s="1179" t="str">
        <f>IFERROR(VLOOKUP($I88,'Lower Hot Cell Logistics'!$H$4:$I$8,2,FALSE),"N/A")</f>
        <v>N/A</v>
      </c>
      <c r="N88" s="1179" t="str">
        <f t="shared" si="6"/>
        <v>N/A</v>
      </c>
      <c r="O88" s="590"/>
      <c r="P88" s="591" t="str">
        <f>IF($D88="Logistics",VLOOKUP($O88,'Lower Hot Cell Logistics'!$C$4:$D$69,2,FALSE),"N/A")</f>
        <v>N/A</v>
      </c>
    </row>
    <row r="89" spans="1:16" ht="12.75" hidden="1" customHeight="1" outlineLevel="1" x14ac:dyDescent="0.4">
      <c r="A89" s="2108"/>
      <c r="B89" s="3787" t="s">
        <v>1948</v>
      </c>
      <c r="C89" s="566" t="s">
        <v>2346</v>
      </c>
      <c r="D89" s="566" t="s">
        <v>907</v>
      </c>
      <c r="E89" s="1175">
        <f t="shared" si="5"/>
        <v>0</v>
      </c>
      <c r="F89" s="621">
        <f>IF($D89="Trigger",VLOOKUP("*"&amp;$C89&amp;"*",'Lower Hot Cell Weld Failure'!$D$52:$G$540,4,FALSE),E89+F88)</f>
        <v>0</v>
      </c>
      <c r="G89" s="568"/>
      <c r="H89" s="569" t="str">
        <f>IF(D89="operation",VLOOKUP(G89,#REF!,5,FALSE), "N/A")</f>
        <v>N/A</v>
      </c>
      <c r="I89" s="566"/>
      <c r="J89" s="566"/>
      <c r="K89" s="566"/>
      <c r="L89" s="1175" t="str">
        <f>IFERROR(INDEX('Lower Hot Cell Logistics'!$I$13:$O$19,MATCH($J89,'Lower Hot Cell Logistics'!$H$13:$H$19,0),MATCH($K89,'Lower Hot Cell Logistics'!$H$13:$H$19,0)),"N/A")</f>
        <v>N/A</v>
      </c>
      <c r="M89" s="1175" t="str">
        <f>IFERROR(VLOOKUP($I89,'Lower Hot Cell Logistics'!$H$4:$I$8,2,FALSE),"N/A")</f>
        <v>N/A</v>
      </c>
      <c r="N89" s="1175" t="str">
        <f t="shared" si="6"/>
        <v>N/A</v>
      </c>
      <c r="O89" s="620"/>
      <c r="P89" s="621" t="str">
        <f>IF($D89="Logistics",VLOOKUP($O89,'Lower Hot Cell Logistics'!$C$4:$D$69,2,FALSE),"N/A")</f>
        <v>N/A</v>
      </c>
    </row>
    <row r="90" spans="1:16" ht="12.75" hidden="1" customHeight="1" outlineLevel="1" x14ac:dyDescent="0.4">
      <c r="A90" s="2108"/>
      <c r="B90" s="3786"/>
      <c r="C90" s="573" t="s">
        <v>1945</v>
      </c>
      <c r="D90" s="573" t="s">
        <v>251</v>
      </c>
      <c r="E90" s="1176">
        <f t="shared" si="5"/>
        <v>283.85900687774284</v>
      </c>
      <c r="F90" s="580">
        <f>IF($D90="Trigger",VLOOKUP("*"&amp;$C90&amp;"*",'Lower Hot Cell Weld Failure'!$D$52:$G$540,4,FALSE),E90+F89)</f>
        <v>283.85900687774284</v>
      </c>
      <c r="G90" s="575" t="s">
        <v>1094</v>
      </c>
      <c r="H90" s="580">
        <v>283.85900687774284</v>
      </c>
      <c r="I90" s="573"/>
      <c r="J90" s="573"/>
      <c r="K90" s="573"/>
      <c r="L90" s="1176" t="str">
        <f>IFERROR(INDEX('Lower Hot Cell Logistics'!$I$13:$O$19,MATCH($J90,'Lower Hot Cell Logistics'!$H$13:$H$19,0),MATCH($K90,'Lower Hot Cell Logistics'!$H$13:$H$19,0)),"N/A")</f>
        <v>N/A</v>
      </c>
      <c r="M90" s="1176" t="str">
        <f>IFERROR(VLOOKUP($I90,'Lower Hot Cell Logistics'!$H$4:$I$8,2,FALSE),"N/A")</f>
        <v>N/A</v>
      </c>
      <c r="N90" s="1176" t="str">
        <f t="shared" si="6"/>
        <v>N/A</v>
      </c>
      <c r="O90" s="579"/>
      <c r="P90" s="580" t="str">
        <f>IF($D90="Logistics",VLOOKUP($O90,'Lower Hot Cell Logistics'!$C$4:$D$69,2,FALSE),"N/A")</f>
        <v>N/A</v>
      </c>
    </row>
    <row r="91" spans="1:16" ht="13.5" hidden="1" customHeight="1" outlineLevel="1" thickBot="1" x14ac:dyDescent="0.45">
      <c r="A91" s="2114"/>
      <c r="B91" s="3788"/>
      <c r="C91" s="584" t="str">
        <f>B89</f>
        <v>LOB Upper Port Pipe Module installed</v>
      </c>
      <c r="D91" s="584" t="s">
        <v>11</v>
      </c>
      <c r="E91" s="1179">
        <f t="shared" si="5"/>
        <v>0</v>
      </c>
      <c r="F91" s="591">
        <f>IF($D91="Trigger",VLOOKUP("*"&amp;$C91&amp;"*",'Lower Hot Cell Weld Failure'!$D$52:$G$540,4,FALSE),E91+F90)</f>
        <v>283.85900687774284</v>
      </c>
      <c r="G91" s="586"/>
      <c r="H91" s="587" t="str">
        <f>IF(D91="operation",VLOOKUP(G91,#REF!,5,FALSE), "N/A")</f>
        <v>N/A</v>
      </c>
      <c r="I91" s="584"/>
      <c r="J91" s="584"/>
      <c r="K91" s="584"/>
      <c r="L91" s="1179" t="str">
        <f>IFERROR(INDEX('Lower Hot Cell Logistics'!$I$13:$O$19,MATCH($J91,'Lower Hot Cell Logistics'!$H$13:$H$19,0),MATCH($K91,'Lower Hot Cell Logistics'!$H$13:$H$19,0)),"N/A")</f>
        <v>N/A</v>
      </c>
      <c r="M91" s="1179" t="str">
        <f>IFERROR(VLOOKUP($I91,'Lower Hot Cell Logistics'!$H$4:$I$8,2,FALSE),"N/A")</f>
        <v>N/A</v>
      </c>
      <c r="N91" s="1179" t="str">
        <f t="shared" si="6"/>
        <v>N/A</v>
      </c>
      <c r="O91" s="590"/>
      <c r="P91" s="591" t="str">
        <f>IF($D91="Logistics",VLOOKUP($O91,'Lower Hot Cell Logistics'!$C$4:$D$69,2,FALSE),"N/A")</f>
        <v>N/A</v>
      </c>
    </row>
    <row r="92" spans="1:16" ht="12.75" hidden="1" customHeight="1" outlineLevel="1" x14ac:dyDescent="0.4">
      <c r="A92" s="2114"/>
      <c r="B92" s="3787" t="s">
        <v>1949</v>
      </c>
      <c r="C92" s="566" t="s">
        <v>2346</v>
      </c>
      <c r="D92" s="566" t="s">
        <v>907</v>
      </c>
      <c r="E92" s="1175">
        <f t="shared" si="5"/>
        <v>0</v>
      </c>
      <c r="F92" s="621">
        <f>IF($D92="Trigger",VLOOKUP("*"&amp;$C92&amp;"*",'Lower Hot Cell Weld Failure'!$D$52:$G$540,4,FALSE),E92+F91)</f>
        <v>0</v>
      </c>
      <c r="G92" s="568"/>
      <c r="H92" s="569" t="str">
        <f>IF(D92="operation",VLOOKUP(G92,#REF!,5,FALSE), "N/A")</f>
        <v>N/A</v>
      </c>
      <c r="I92" s="566"/>
      <c r="J92" s="566"/>
      <c r="K92" s="566"/>
      <c r="L92" s="1175" t="str">
        <f>IFERROR(INDEX('Lower Hot Cell Logistics'!$I$13:$O$19,MATCH($J92,'Lower Hot Cell Logistics'!$H$13:$H$19,0),MATCH($K92,'Lower Hot Cell Logistics'!$H$13:$H$19,0)),"N/A")</f>
        <v>N/A</v>
      </c>
      <c r="M92" s="1175" t="str">
        <f>IFERROR(VLOOKUP($I92,'Lower Hot Cell Logistics'!$H$4:$I$8,2,FALSE),"N/A")</f>
        <v>N/A</v>
      </c>
      <c r="N92" s="1175" t="str">
        <f t="shared" si="6"/>
        <v>N/A</v>
      </c>
      <c r="O92" s="620"/>
      <c r="P92" s="621" t="str">
        <f>IF($D92="Logistics",VLOOKUP($O92,'Lower Hot Cell Logistics'!$C$4:$D$69,2,FALSE),"N/A")</f>
        <v>N/A</v>
      </c>
    </row>
    <row r="93" spans="1:16" ht="12.75" hidden="1" customHeight="1" outlineLevel="1" x14ac:dyDescent="0.4">
      <c r="A93" s="2114"/>
      <c r="B93" s="3786"/>
      <c r="C93" s="573" t="s">
        <v>1945</v>
      </c>
      <c r="D93" s="573" t="s">
        <v>251</v>
      </c>
      <c r="E93" s="1176">
        <f t="shared" si="5"/>
        <v>101.59388888888886</v>
      </c>
      <c r="F93" s="580">
        <f>IF($D93="Trigger",VLOOKUP("*"&amp;$C93&amp;"*",'Lower Hot Cell Weld Failure'!$D$52:$G$540,4,FALSE),E93+F92)</f>
        <v>101.59388888888886</v>
      </c>
      <c r="G93" s="575" t="s">
        <v>137</v>
      </c>
      <c r="H93" s="580">
        <v>101.59388888888886</v>
      </c>
      <c r="I93" s="573"/>
      <c r="J93" s="573"/>
      <c r="K93" s="573"/>
      <c r="L93" s="1176" t="str">
        <f>IFERROR(INDEX('Lower Hot Cell Logistics'!$I$13:$O$19,MATCH($J93,'Lower Hot Cell Logistics'!$H$13:$H$19,0),MATCH($K93,'Lower Hot Cell Logistics'!$H$13:$H$19,0)),"N/A")</f>
        <v>N/A</v>
      </c>
      <c r="M93" s="1176" t="str">
        <f>IFERROR(VLOOKUP($I93,'Lower Hot Cell Logistics'!$H$4:$I$8,2,FALSE),"N/A")</f>
        <v>N/A</v>
      </c>
      <c r="N93" s="1176" t="str">
        <f t="shared" si="6"/>
        <v>N/A</v>
      </c>
      <c r="O93" s="579"/>
      <c r="P93" s="580" t="str">
        <f>IF($D93="Logistics",VLOOKUP($O93,'Lower Hot Cell Logistics'!$C$4:$D$69,2,FALSE),"N/A")</f>
        <v>N/A</v>
      </c>
    </row>
    <row r="94" spans="1:16" ht="13.5" hidden="1" customHeight="1" outlineLevel="1" thickBot="1" x14ac:dyDescent="0.45">
      <c r="A94" s="2114"/>
      <c r="B94" s="3788"/>
      <c r="C94" s="584" t="str">
        <f>B92</f>
        <v>ROB Blanket segment installed</v>
      </c>
      <c r="D94" s="584" t="s">
        <v>11</v>
      </c>
      <c r="E94" s="1179">
        <f t="shared" si="5"/>
        <v>0</v>
      </c>
      <c r="F94" s="591">
        <f>IF($D94="Trigger",VLOOKUP("*"&amp;$C94&amp;"*",'Lower Hot Cell Weld Failure'!$D$52:$G$540,4,FALSE),E94+F93)</f>
        <v>101.59388888888886</v>
      </c>
      <c r="G94" s="586"/>
      <c r="H94" s="587" t="str">
        <f>IF(D94="operation",VLOOKUP(G94,#REF!,5,FALSE), "N/A")</f>
        <v>N/A</v>
      </c>
      <c r="I94" s="584"/>
      <c r="J94" s="584"/>
      <c r="K94" s="584"/>
      <c r="L94" s="1179" t="str">
        <f>IFERROR(INDEX('Lower Hot Cell Logistics'!$I$13:$O$19,MATCH($J94,'Lower Hot Cell Logistics'!$H$13:$H$19,0),MATCH($K94,'Lower Hot Cell Logistics'!$H$13:$H$19,0)),"N/A")</f>
        <v>N/A</v>
      </c>
      <c r="M94" s="1179" t="str">
        <f>IFERROR(VLOOKUP($I94,'Lower Hot Cell Logistics'!$H$4:$I$8,2,FALSE),"N/A")</f>
        <v>N/A</v>
      </c>
      <c r="N94" s="1179" t="str">
        <f t="shared" si="6"/>
        <v>N/A</v>
      </c>
      <c r="O94" s="590"/>
      <c r="P94" s="591" t="str">
        <f>IF($D94="Logistics",VLOOKUP($O94,'Lower Hot Cell Logistics'!$C$4:$D$69,2,FALSE),"N/A")</f>
        <v>N/A</v>
      </c>
    </row>
    <row r="95" spans="1:16" ht="12.75" hidden="1" customHeight="1" outlineLevel="1" x14ac:dyDescent="0.4">
      <c r="A95" s="2114"/>
      <c r="B95" s="3787" t="s">
        <v>1950</v>
      </c>
      <c r="C95" s="566" t="s">
        <v>2346</v>
      </c>
      <c r="D95" s="566" t="s">
        <v>907</v>
      </c>
      <c r="E95" s="1175">
        <f t="shared" si="5"/>
        <v>0</v>
      </c>
      <c r="F95" s="621">
        <f>IF($D95="Trigger",VLOOKUP("*"&amp;$C95&amp;"*",'Lower Hot Cell Weld Failure'!$D$52:$G$540,4,FALSE),E95+F94)</f>
        <v>0</v>
      </c>
      <c r="G95" s="568"/>
      <c r="H95" s="569" t="str">
        <f>IF(D95="operation",VLOOKUP(G95,#REF!,5,FALSE), "N/A")</f>
        <v>N/A</v>
      </c>
      <c r="I95" s="566"/>
      <c r="J95" s="566"/>
      <c r="K95" s="566"/>
      <c r="L95" s="1175" t="str">
        <f>IFERROR(INDEX('Lower Hot Cell Logistics'!$I$13:$O$19,MATCH($J95,'Lower Hot Cell Logistics'!$H$13:$H$19,0),MATCH($K95,'Lower Hot Cell Logistics'!$H$13:$H$19,0)),"N/A")</f>
        <v>N/A</v>
      </c>
      <c r="M95" s="1175" t="str">
        <f>IFERROR(VLOOKUP($I95,'Lower Hot Cell Logistics'!$H$4:$I$8,2,FALSE),"N/A")</f>
        <v>N/A</v>
      </c>
      <c r="N95" s="1175" t="str">
        <f t="shared" si="6"/>
        <v>N/A</v>
      </c>
      <c r="O95" s="620"/>
      <c r="P95" s="621" t="str">
        <f>IF($D95="Logistics",VLOOKUP($O95,'Lower Hot Cell Logistics'!$C$4:$D$69,2,FALSE),"N/A")</f>
        <v>N/A</v>
      </c>
    </row>
    <row r="96" spans="1:16" ht="12.75" hidden="1" customHeight="1" outlineLevel="1" x14ac:dyDescent="0.4">
      <c r="A96" s="2114"/>
      <c r="B96" s="3786"/>
      <c r="C96" s="573" t="s">
        <v>1945</v>
      </c>
      <c r="D96" s="573" t="s">
        <v>251</v>
      </c>
      <c r="E96" s="1176">
        <f t="shared" si="5"/>
        <v>229.03618977034708</v>
      </c>
      <c r="F96" s="580">
        <f>IF($D96="Trigger",VLOOKUP("*"&amp;$C96&amp;"*",'Lower Hot Cell Weld Failure'!$D$52:$G$540,4,FALSE),E96+F95)</f>
        <v>229.03618977034708</v>
      </c>
      <c r="G96" s="575" t="s">
        <v>1091</v>
      </c>
      <c r="H96" s="580">
        <v>229.03618977034708</v>
      </c>
      <c r="I96" s="573"/>
      <c r="J96" s="573"/>
      <c r="K96" s="573"/>
      <c r="L96" s="1176" t="str">
        <f>IFERROR(INDEX('Lower Hot Cell Logistics'!$I$13:$O$19,MATCH($J96,'Lower Hot Cell Logistics'!$H$13:$H$19,0),MATCH($K96,'Lower Hot Cell Logistics'!$H$13:$H$19,0)),"N/A")</f>
        <v>N/A</v>
      </c>
      <c r="M96" s="1176" t="str">
        <f>IFERROR(VLOOKUP($I96,'Lower Hot Cell Logistics'!$H$4:$I$8,2,FALSE),"N/A")</f>
        <v>N/A</v>
      </c>
      <c r="N96" s="1176" t="str">
        <f t="shared" si="6"/>
        <v>N/A</v>
      </c>
      <c r="O96" s="579"/>
      <c r="P96" s="580" t="str">
        <f>IF($D96="Logistics",VLOOKUP($O96,'Lower Hot Cell Logistics'!$C$4:$D$69,2,FALSE),"N/A")</f>
        <v>N/A</v>
      </c>
    </row>
    <row r="97" spans="1:16" ht="13.5" hidden="1" customHeight="1" outlineLevel="1" thickBot="1" x14ac:dyDescent="0.45">
      <c r="A97" s="2114"/>
      <c r="B97" s="3788"/>
      <c r="C97" s="584" t="str">
        <f>B95</f>
        <v>ROB Upper Port Pipe Module installed</v>
      </c>
      <c r="D97" s="584" t="s">
        <v>11</v>
      </c>
      <c r="E97" s="1179">
        <f t="shared" si="5"/>
        <v>0</v>
      </c>
      <c r="F97" s="591">
        <f>IF($D97="Trigger",VLOOKUP("*"&amp;$C97&amp;"*",'Lower Hot Cell Weld Failure'!$D$52:$G$540,4,FALSE),E97+F96)</f>
        <v>229.03618977034708</v>
      </c>
      <c r="G97" s="586"/>
      <c r="H97" s="587" t="str">
        <f>IF(D97="operation",VLOOKUP(G97,#REF!,5,FALSE), "N/A")</f>
        <v>N/A</v>
      </c>
      <c r="I97" s="584"/>
      <c r="J97" s="584"/>
      <c r="K97" s="584"/>
      <c r="L97" s="1179" t="str">
        <f>IFERROR(INDEX('Lower Hot Cell Logistics'!$I$13:$O$19,MATCH($J97,'Lower Hot Cell Logistics'!$H$13:$H$19,0),MATCH($K97,'Lower Hot Cell Logistics'!$H$13:$H$19,0)),"N/A")</f>
        <v>N/A</v>
      </c>
      <c r="M97" s="1179" t="str">
        <f>IFERROR(VLOOKUP($I97,'Lower Hot Cell Logistics'!$H$4:$I$8,2,FALSE),"N/A")</f>
        <v>N/A</v>
      </c>
      <c r="N97" s="1179" t="str">
        <f t="shared" si="6"/>
        <v>N/A</v>
      </c>
      <c r="O97" s="590"/>
      <c r="P97" s="591" t="str">
        <f>IF($D97="Logistics",VLOOKUP($O97,'Lower Hot Cell Logistics'!$C$4:$D$69,2,FALSE),"N/A")</f>
        <v>N/A</v>
      </c>
    </row>
    <row r="98" spans="1:16" ht="12.75" hidden="1" customHeight="1" outlineLevel="1" x14ac:dyDescent="0.4">
      <c r="A98" s="2114"/>
      <c r="B98" s="3787" t="s">
        <v>1881</v>
      </c>
      <c r="C98" s="566" t="s">
        <v>2346</v>
      </c>
      <c r="D98" s="566" t="s">
        <v>907</v>
      </c>
      <c r="E98" s="1175">
        <f t="shared" si="5"/>
        <v>0</v>
      </c>
      <c r="F98" s="621">
        <f>IF($D98="Trigger",VLOOKUP("*"&amp;$C98&amp;"*",'Lower Hot Cell Weld Failure'!$D$52:$G$540,4,FALSE),E98+F97)</f>
        <v>0</v>
      </c>
      <c r="G98" s="568"/>
      <c r="H98" s="569" t="str">
        <f>IF(D98="operation",VLOOKUP(G98,#REF!,5,FALSE), "N/A")</f>
        <v>N/A</v>
      </c>
      <c r="I98" s="566"/>
      <c r="J98" s="566"/>
      <c r="K98" s="566"/>
      <c r="L98" s="1175" t="str">
        <f>IFERROR(INDEX('Lower Hot Cell Logistics'!$I$13:$O$19,MATCH($J98,'Lower Hot Cell Logistics'!$H$13:$H$19,0),MATCH($K98,'Lower Hot Cell Logistics'!$H$13:$H$19,0)),"N/A")</f>
        <v>N/A</v>
      </c>
      <c r="M98" s="1175" t="str">
        <f>IFERROR(VLOOKUP($I98,'Lower Hot Cell Logistics'!$H$4:$I$8,2,FALSE),"N/A")</f>
        <v>N/A</v>
      </c>
      <c r="N98" s="1175" t="str">
        <f t="shared" si="6"/>
        <v>N/A</v>
      </c>
      <c r="O98" s="620"/>
      <c r="P98" s="621" t="str">
        <f>IF($D98="Logistics",VLOOKUP($O98,'Lower Hot Cell Logistics'!$C$4:$D$69,2,FALSE),"N/A")</f>
        <v>N/A</v>
      </c>
    </row>
    <row r="99" spans="1:16" ht="12.75" hidden="1" customHeight="1" outlineLevel="1" x14ac:dyDescent="0.4">
      <c r="A99" s="2114"/>
      <c r="B99" s="3786"/>
      <c r="C99" s="573" t="s">
        <v>1945</v>
      </c>
      <c r="D99" s="573" t="s">
        <v>251</v>
      </c>
      <c r="E99" s="1176">
        <f t="shared" si="5"/>
        <v>96.694444444444414</v>
      </c>
      <c r="F99" s="580">
        <f>IF($D99="Trigger",VLOOKUP("*"&amp;$C99&amp;"*",'Lower Hot Cell Weld Failure'!$D$52:$G$540,4,FALSE),E99+F98)</f>
        <v>96.694444444444414</v>
      </c>
      <c r="G99" s="575" t="s">
        <v>139</v>
      </c>
      <c r="H99" s="580">
        <v>96.694444444444414</v>
      </c>
      <c r="I99" s="573"/>
      <c r="J99" s="573"/>
      <c r="K99" s="573"/>
      <c r="L99" s="1176" t="str">
        <f>IFERROR(INDEX('Lower Hot Cell Logistics'!$I$13:$O$19,MATCH($J99,'Lower Hot Cell Logistics'!$H$13:$H$19,0),MATCH($K99,'Lower Hot Cell Logistics'!$H$13:$H$19,0)),"N/A")</f>
        <v>N/A</v>
      </c>
      <c r="M99" s="1176" t="str">
        <f>IFERROR(VLOOKUP($I99,'Lower Hot Cell Logistics'!$H$4:$I$8,2,FALSE),"N/A")</f>
        <v>N/A</v>
      </c>
      <c r="N99" s="1176" t="str">
        <f t="shared" si="6"/>
        <v>N/A</v>
      </c>
      <c r="O99" s="579"/>
      <c r="P99" s="580" t="str">
        <f>IF($D99="Logistics",VLOOKUP($O99,'Lower Hot Cell Logistics'!$C$4:$D$69,2,FALSE),"N/A")</f>
        <v>N/A</v>
      </c>
    </row>
    <row r="100" spans="1:16" ht="13.5" hidden="1" customHeight="1" outlineLevel="1" thickBot="1" x14ac:dyDescent="0.45">
      <c r="A100" s="2114"/>
      <c r="B100" s="3788"/>
      <c r="C100" s="584" t="str">
        <f>B98</f>
        <v>LIB Blanket segment installed</v>
      </c>
      <c r="D100" s="584" t="s">
        <v>11</v>
      </c>
      <c r="E100" s="1179">
        <f t="shared" si="5"/>
        <v>0</v>
      </c>
      <c r="F100" s="591">
        <f>IF($D100="Trigger",VLOOKUP("*"&amp;$C100&amp;"*",'Lower Hot Cell Weld Failure'!$D$52:$G$540,4,FALSE),E100+F99)</f>
        <v>96.694444444444414</v>
      </c>
      <c r="G100" s="586"/>
      <c r="H100" s="587" t="str">
        <f>IF(D100="operation",VLOOKUP(G100,#REF!,5,FALSE), "N/A")</f>
        <v>N/A</v>
      </c>
      <c r="I100" s="584"/>
      <c r="J100" s="584"/>
      <c r="K100" s="584"/>
      <c r="L100" s="1179" t="str">
        <f>IFERROR(INDEX('Lower Hot Cell Logistics'!$I$13:$O$19,MATCH($J100,'Lower Hot Cell Logistics'!$H$13:$H$19,0),MATCH($K100,'Lower Hot Cell Logistics'!$H$13:$H$19,0)),"N/A")</f>
        <v>N/A</v>
      </c>
      <c r="M100" s="1179" t="str">
        <f>IFERROR(VLOOKUP($I100,'Lower Hot Cell Logistics'!$H$4:$I$8,2,FALSE),"N/A")</f>
        <v>N/A</v>
      </c>
      <c r="N100" s="1179" t="str">
        <f t="shared" si="6"/>
        <v>N/A</v>
      </c>
      <c r="O100" s="590"/>
      <c r="P100" s="591" t="str">
        <f>IF($D100="Logistics",VLOOKUP($O100,'Lower Hot Cell Logistics'!$C$4:$D$69,2,FALSE),"N/A")</f>
        <v>N/A</v>
      </c>
    </row>
    <row r="101" spans="1:16" ht="12.75" hidden="1" customHeight="1" outlineLevel="1" x14ac:dyDescent="0.4">
      <c r="A101" s="2114"/>
      <c r="B101" s="3787" t="s">
        <v>1951</v>
      </c>
      <c r="C101" s="566" t="s">
        <v>2346</v>
      </c>
      <c r="D101" s="566" t="s">
        <v>907</v>
      </c>
      <c r="E101" s="1175">
        <f t="shared" si="5"/>
        <v>0</v>
      </c>
      <c r="F101" s="621">
        <f>IF($D101="Trigger",VLOOKUP("*"&amp;$C101&amp;"*",'Lower Hot Cell Weld Failure'!$D$52:$G$540,4,FALSE),E101+F100)</f>
        <v>0</v>
      </c>
      <c r="G101" s="568"/>
      <c r="H101" s="569" t="str">
        <f>IF(D101="operation",VLOOKUP(G101,#REF!,5,FALSE), "N/A")</f>
        <v>N/A</v>
      </c>
      <c r="I101" s="566"/>
      <c r="J101" s="566"/>
      <c r="K101" s="566"/>
      <c r="L101" s="1175" t="str">
        <f>IFERROR(INDEX('Lower Hot Cell Logistics'!$I$13:$O$19,MATCH($J101,'Lower Hot Cell Logistics'!$H$13:$H$19,0),MATCH($K101,'Lower Hot Cell Logistics'!$H$13:$H$19,0)),"N/A")</f>
        <v>N/A</v>
      </c>
      <c r="M101" s="1175" t="str">
        <f>IFERROR(VLOOKUP($I101,'Lower Hot Cell Logistics'!$H$4:$I$8,2,FALSE),"N/A")</f>
        <v>N/A</v>
      </c>
      <c r="N101" s="1175" t="str">
        <f t="shared" si="6"/>
        <v>N/A</v>
      </c>
      <c r="O101" s="620"/>
      <c r="P101" s="621" t="str">
        <f>IF($D101="Logistics",VLOOKUP($O101,'Lower Hot Cell Logistics'!$C$4:$D$69,2,FALSE),"N/A")</f>
        <v>N/A</v>
      </c>
    </row>
    <row r="102" spans="1:16" ht="12.75" hidden="1" customHeight="1" outlineLevel="1" x14ac:dyDescent="0.4">
      <c r="A102" s="2114"/>
      <c r="B102" s="3786"/>
      <c r="C102" s="573" t="s">
        <v>1945</v>
      </c>
      <c r="D102" s="573" t="s">
        <v>251</v>
      </c>
      <c r="E102" s="1176">
        <f t="shared" si="5"/>
        <v>174.21337266295129</v>
      </c>
      <c r="F102" s="580">
        <f>IF($D102="Trigger",VLOOKUP("*"&amp;$C102&amp;"*",'Lower Hot Cell Weld Failure'!$D$52:$G$540,4,FALSE),E102+F101)</f>
        <v>174.21337266295129</v>
      </c>
      <c r="G102" s="575" t="s">
        <v>1088</v>
      </c>
      <c r="H102" s="580">
        <v>174.21337266295129</v>
      </c>
      <c r="I102" s="573"/>
      <c r="J102" s="573"/>
      <c r="K102" s="573"/>
      <c r="L102" s="1176" t="str">
        <f>IFERROR(INDEX('Lower Hot Cell Logistics'!$I$13:$O$19,MATCH($J102,'Lower Hot Cell Logistics'!$H$13:$H$19,0),MATCH($K102,'Lower Hot Cell Logistics'!$H$13:$H$19,0)),"N/A")</f>
        <v>N/A</v>
      </c>
      <c r="M102" s="1176" t="str">
        <f>IFERROR(VLOOKUP($I102,'Lower Hot Cell Logistics'!$H$4:$I$8,2,FALSE),"N/A")</f>
        <v>N/A</v>
      </c>
      <c r="N102" s="1176" t="str">
        <f t="shared" si="6"/>
        <v>N/A</v>
      </c>
      <c r="O102" s="579"/>
      <c r="P102" s="580" t="str">
        <f>IF($D102="Logistics",VLOOKUP($O102,'Lower Hot Cell Logistics'!$C$4:$D$69,2,FALSE),"N/A")</f>
        <v>N/A</v>
      </c>
    </row>
    <row r="103" spans="1:16" ht="13.5" hidden="1" customHeight="1" outlineLevel="1" thickBot="1" x14ac:dyDescent="0.45">
      <c r="A103" s="2114"/>
      <c r="B103" s="3788"/>
      <c r="C103" s="584" t="str">
        <f>B101</f>
        <v>LIB Upper Port Pipe Module installed</v>
      </c>
      <c r="D103" s="584" t="s">
        <v>11</v>
      </c>
      <c r="E103" s="1179">
        <f t="shared" si="5"/>
        <v>0</v>
      </c>
      <c r="F103" s="591">
        <f>IF($D103="Trigger",VLOOKUP("*"&amp;$C103&amp;"*",'Lower Hot Cell Weld Failure'!$D$52:$G$540,4,FALSE),E103+F102)</f>
        <v>174.21337266295129</v>
      </c>
      <c r="G103" s="586"/>
      <c r="H103" s="587" t="str">
        <f>IF(D103="operation",VLOOKUP(G103,#REF!,5,FALSE), "N/A")</f>
        <v>N/A</v>
      </c>
      <c r="I103" s="584"/>
      <c r="J103" s="584"/>
      <c r="K103" s="584"/>
      <c r="L103" s="1179" t="str">
        <f>IFERROR(INDEX('Lower Hot Cell Logistics'!$I$13:$O$19,MATCH($J103,'Lower Hot Cell Logistics'!$H$13:$H$19,0),MATCH($K103,'Lower Hot Cell Logistics'!$H$13:$H$19,0)),"N/A")</f>
        <v>N/A</v>
      </c>
      <c r="M103" s="1179" t="str">
        <f>IFERROR(VLOOKUP($I103,'Lower Hot Cell Logistics'!$H$4:$I$8,2,FALSE),"N/A")</f>
        <v>N/A</v>
      </c>
      <c r="N103" s="1179" t="str">
        <f t="shared" si="6"/>
        <v>N/A</v>
      </c>
      <c r="O103" s="590"/>
      <c r="P103" s="591" t="str">
        <f>IF($D103="Logistics",VLOOKUP($O103,'Lower Hot Cell Logistics'!$C$4:$D$69,2,FALSE),"N/A")</f>
        <v>N/A</v>
      </c>
    </row>
    <row r="104" spans="1:16" ht="12.75" hidden="1" customHeight="1" outlineLevel="1" x14ac:dyDescent="0.4">
      <c r="A104" s="2114"/>
      <c r="B104" s="3787" t="s">
        <v>1880</v>
      </c>
      <c r="C104" s="566" t="s">
        <v>2346</v>
      </c>
      <c r="D104" s="566" t="s">
        <v>907</v>
      </c>
      <c r="E104" s="1175">
        <f t="shared" si="5"/>
        <v>0</v>
      </c>
      <c r="F104" s="621">
        <f>IF($D104="Trigger",VLOOKUP("*"&amp;$C104&amp;"*",'Lower Hot Cell Weld Failure'!$D$52:$G$540,4,FALSE),E104+F103)</f>
        <v>0</v>
      </c>
      <c r="G104" s="568"/>
      <c r="H104" s="569" t="str">
        <f>IF(D104="operation",VLOOKUP(G104,#REF!,5,FALSE), "N/A")</f>
        <v>N/A</v>
      </c>
      <c r="I104" s="566"/>
      <c r="J104" s="566"/>
      <c r="K104" s="566"/>
      <c r="L104" s="1175" t="str">
        <f>IFERROR(INDEX('Lower Hot Cell Logistics'!$I$13:$O$19,MATCH($J104,'Lower Hot Cell Logistics'!$H$13:$H$19,0),MATCH($K104,'Lower Hot Cell Logistics'!$H$13:$H$19,0)),"N/A")</f>
        <v>N/A</v>
      </c>
      <c r="M104" s="1175" t="str">
        <f>IFERROR(VLOOKUP($I104,'Lower Hot Cell Logistics'!$H$4:$I$8,2,FALSE),"N/A")</f>
        <v>N/A</v>
      </c>
      <c r="N104" s="1175" t="str">
        <f t="shared" si="6"/>
        <v>N/A</v>
      </c>
      <c r="O104" s="620"/>
      <c r="P104" s="621" t="str">
        <f>IF($D104="Logistics",VLOOKUP($O104,'Lower Hot Cell Logistics'!$C$4:$D$69,2,FALSE),"N/A")</f>
        <v>N/A</v>
      </c>
    </row>
    <row r="105" spans="1:16" ht="12.75" hidden="1" customHeight="1" outlineLevel="1" x14ac:dyDescent="0.4">
      <c r="A105" s="2114"/>
      <c r="B105" s="3786"/>
      <c r="C105" s="573" t="s">
        <v>1945</v>
      </c>
      <c r="D105" s="573" t="s">
        <v>251</v>
      </c>
      <c r="E105" s="1176">
        <f t="shared" si="5"/>
        <v>91.794999999999973</v>
      </c>
      <c r="F105" s="580">
        <f>IF($D105="Trigger",VLOOKUP("*"&amp;$C105&amp;"*",'Lower Hot Cell Weld Failure'!$D$52:$G$540,4,FALSE),E105+F104)</f>
        <v>91.794999999999973</v>
      </c>
      <c r="G105" s="575" t="s">
        <v>141</v>
      </c>
      <c r="H105" s="580">
        <v>91.794999999999973</v>
      </c>
      <c r="I105" s="573"/>
      <c r="J105" s="573"/>
      <c r="K105" s="573"/>
      <c r="L105" s="1176" t="str">
        <f>IFERROR(INDEX('Lower Hot Cell Logistics'!$I$13:$O$19,MATCH($J105,'Lower Hot Cell Logistics'!$H$13:$H$19,0),MATCH($K105,'Lower Hot Cell Logistics'!$H$13:$H$19,0)),"N/A")</f>
        <v>N/A</v>
      </c>
      <c r="M105" s="1176" t="str">
        <f>IFERROR(VLOOKUP($I105,'Lower Hot Cell Logistics'!$H$4:$I$8,2,FALSE),"N/A")</f>
        <v>N/A</v>
      </c>
      <c r="N105" s="1176" t="str">
        <f t="shared" si="6"/>
        <v>N/A</v>
      </c>
      <c r="O105" s="579"/>
      <c r="P105" s="580" t="str">
        <f>IF($D105="Logistics",VLOOKUP($O105,'Lower Hot Cell Logistics'!$C$4:$D$69,2,FALSE),"N/A")</f>
        <v>N/A</v>
      </c>
    </row>
    <row r="106" spans="1:16" ht="13.5" hidden="1" customHeight="1" outlineLevel="1" thickBot="1" x14ac:dyDescent="0.45">
      <c r="A106" s="2114"/>
      <c r="B106" s="3788"/>
      <c r="C106" s="584" t="str">
        <f>B104</f>
        <v>RIB Blanket segment installed</v>
      </c>
      <c r="D106" s="584" t="s">
        <v>11</v>
      </c>
      <c r="E106" s="1179">
        <f t="shared" si="5"/>
        <v>0</v>
      </c>
      <c r="F106" s="591">
        <f>IF($D106="Trigger",VLOOKUP("*"&amp;$C106&amp;"*",'Lower Hot Cell Weld Failure'!$D$52:$G$540,4,FALSE),E106+F105)</f>
        <v>91.794999999999973</v>
      </c>
      <c r="G106" s="586"/>
      <c r="H106" s="587" t="str">
        <f>IF(D106="operation",VLOOKUP(G106,#REF!,5,FALSE), "N/A")</f>
        <v>N/A</v>
      </c>
      <c r="I106" s="584"/>
      <c r="J106" s="584"/>
      <c r="K106" s="584"/>
      <c r="L106" s="1179" t="str">
        <f>IFERROR(INDEX('Lower Hot Cell Logistics'!$I$13:$O$19,MATCH($J106,'Lower Hot Cell Logistics'!$H$13:$H$19,0),MATCH($K106,'Lower Hot Cell Logistics'!$H$13:$H$19,0)),"N/A")</f>
        <v>N/A</v>
      </c>
      <c r="M106" s="1179" t="str">
        <f>IFERROR(VLOOKUP($I106,'Lower Hot Cell Logistics'!$H$4:$I$8,2,FALSE),"N/A")</f>
        <v>N/A</v>
      </c>
      <c r="N106" s="1179" t="str">
        <f t="shared" si="6"/>
        <v>N/A</v>
      </c>
      <c r="O106" s="590"/>
      <c r="P106" s="591" t="str">
        <f>IF($D106="Logistics",VLOOKUP($O106,'Lower Hot Cell Logistics'!$C$4:$D$69,2,FALSE),"N/A")</f>
        <v>N/A</v>
      </c>
    </row>
    <row r="107" spans="1:16" ht="12.75" hidden="1" customHeight="1" outlineLevel="1" x14ac:dyDescent="0.4">
      <c r="A107" s="2114"/>
      <c r="B107" s="3787" t="s">
        <v>1894</v>
      </c>
      <c r="C107" s="566" t="s">
        <v>2346</v>
      </c>
      <c r="D107" s="566" t="s">
        <v>907</v>
      </c>
      <c r="E107" s="1175">
        <f t="shared" si="5"/>
        <v>0</v>
      </c>
      <c r="F107" s="621">
        <f>IF($D107="Trigger",VLOOKUP("*"&amp;$C107&amp;"*",'Lower Hot Cell Weld Failure'!$D$52:$G$540,4,FALSE),E107+F106)</f>
        <v>0</v>
      </c>
      <c r="G107" s="568"/>
      <c r="H107" s="569" t="str">
        <f>IF(D107="operation",VLOOKUP(G107,#REF!,5,FALSE), "N/A")</f>
        <v>N/A</v>
      </c>
      <c r="I107" s="566"/>
      <c r="J107" s="566"/>
      <c r="K107" s="566"/>
      <c r="L107" s="1175" t="str">
        <f>IFERROR(INDEX('Lower Hot Cell Logistics'!$I$13:$O$19,MATCH($J107,'Lower Hot Cell Logistics'!$H$13:$H$19,0),MATCH($K107,'Lower Hot Cell Logistics'!$H$13:$H$19,0)),"N/A")</f>
        <v>N/A</v>
      </c>
      <c r="M107" s="1175" t="str">
        <f>IFERROR(VLOOKUP($I107,'Lower Hot Cell Logistics'!$H$4:$I$8,2,FALSE),"N/A")</f>
        <v>N/A</v>
      </c>
      <c r="N107" s="1175" t="str">
        <f t="shared" si="6"/>
        <v>N/A</v>
      </c>
      <c r="O107" s="620"/>
      <c r="P107" s="621" t="str">
        <f>IF($D107="Logistics",VLOOKUP($O107,'Lower Hot Cell Logistics'!$C$4:$D$69,2,FALSE),"N/A")</f>
        <v>N/A</v>
      </c>
    </row>
    <row r="108" spans="1:16" ht="12.75" hidden="1" customHeight="1" outlineLevel="1" x14ac:dyDescent="0.4">
      <c r="A108" s="2114"/>
      <c r="B108" s="3786"/>
      <c r="C108" s="573" t="s">
        <v>1945</v>
      </c>
      <c r="D108" s="573" t="s">
        <v>251</v>
      </c>
      <c r="E108" s="1176">
        <f t="shared" si="5"/>
        <v>119.39055555555551</v>
      </c>
      <c r="F108" s="580">
        <f>IF($D108="Trigger",VLOOKUP("*"&amp;$C108&amp;"*",'Lower Hot Cell Weld Failure'!$D$52:$G$540,4,FALSE),E108+F107)</f>
        <v>119.39055555555551</v>
      </c>
      <c r="G108" s="575" t="s">
        <v>1085</v>
      </c>
      <c r="H108" s="580">
        <v>119.39055555555551</v>
      </c>
      <c r="I108" s="573"/>
      <c r="J108" s="573"/>
      <c r="K108" s="573"/>
      <c r="L108" s="1176" t="str">
        <f>IFERROR(INDEX('Lower Hot Cell Logistics'!$I$13:$O$19,MATCH($J108,'Lower Hot Cell Logistics'!$H$13:$H$19,0),MATCH($K108,'Lower Hot Cell Logistics'!$H$13:$H$19,0)),"N/A")</f>
        <v>N/A</v>
      </c>
      <c r="M108" s="1176" t="str">
        <f>IFERROR(VLOOKUP($I108,'Lower Hot Cell Logistics'!$H$4:$I$8,2,FALSE),"N/A")</f>
        <v>N/A</v>
      </c>
      <c r="N108" s="1176" t="str">
        <f t="shared" si="6"/>
        <v>N/A</v>
      </c>
      <c r="O108" s="579"/>
      <c r="P108" s="580" t="str">
        <f>IF($D108="Logistics",VLOOKUP($O108,'Lower Hot Cell Logistics'!$C$4:$D$69,2,FALSE),"N/A")</f>
        <v>N/A</v>
      </c>
    </row>
    <row r="109" spans="1:16" ht="13.5" hidden="1" customHeight="1" outlineLevel="1" thickBot="1" x14ac:dyDescent="0.45">
      <c r="A109" s="2114"/>
      <c r="B109" s="3788"/>
      <c r="C109" s="584" t="str">
        <f>B107</f>
        <v>RIB Upper Port Pipe Module installed</v>
      </c>
      <c r="D109" s="584" t="s">
        <v>11</v>
      </c>
      <c r="E109" s="1179">
        <f t="shared" si="5"/>
        <v>0</v>
      </c>
      <c r="F109" s="591">
        <f>IF($D109="Trigger",VLOOKUP("*"&amp;$C109&amp;"*",'Lower Hot Cell Weld Failure'!$D$52:$G$540,4,FALSE),E109+F108)</f>
        <v>119.39055555555551</v>
      </c>
      <c r="G109" s="586"/>
      <c r="H109" s="587" t="str">
        <f>IF(D109="operation",VLOOKUP(G109,#REF!,5,FALSE), "N/A")</f>
        <v>N/A</v>
      </c>
      <c r="I109" s="584"/>
      <c r="J109" s="584"/>
      <c r="K109" s="584"/>
      <c r="L109" s="1179" t="str">
        <f>IFERROR(INDEX('Lower Hot Cell Logistics'!$I$13:$O$19,MATCH($J109,'Lower Hot Cell Logistics'!$H$13:$H$19,0),MATCH($K109,'Lower Hot Cell Logistics'!$H$13:$H$19,0)),"N/A")</f>
        <v>N/A</v>
      </c>
      <c r="M109" s="1179" t="str">
        <f>IFERROR(VLOOKUP($I109,'Lower Hot Cell Logistics'!$H$4:$I$8,2,FALSE),"N/A")</f>
        <v>N/A</v>
      </c>
      <c r="N109" s="1179" t="str">
        <f t="shared" si="6"/>
        <v>N/A</v>
      </c>
      <c r="O109" s="590"/>
      <c r="P109" s="591" t="str">
        <f>IF($D109="Logistics",VLOOKUP($O109,'Lower Hot Cell Logistics'!$C$4:$D$69,2,FALSE),"N/A")</f>
        <v>N/A</v>
      </c>
    </row>
    <row r="110" spans="1:16" s="2121" customFormat="1" ht="13.3" collapsed="1" thickBot="1" x14ac:dyDescent="0.45">
      <c r="A110" s="2115"/>
      <c r="B110" s="2116"/>
      <c r="C110" s="2117"/>
      <c r="D110" s="2117"/>
      <c r="E110" s="2117"/>
      <c r="F110" s="2117"/>
      <c r="G110" s="2117"/>
      <c r="H110" s="2118"/>
      <c r="I110" s="2117"/>
      <c r="J110" s="2117"/>
      <c r="K110" s="2117"/>
      <c r="L110" s="2119"/>
      <c r="M110" s="2119"/>
      <c r="N110" s="2119"/>
      <c r="O110" s="2117"/>
      <c r="P110" s="2120"/>
    </row>
    <row r="111" spans="1:16" s="2121" customFormat="1" x14ac:dyDescent="0.4">
      <c r="A111" s="1188"/>
      <c r="B111" s="1189" t="s">
        <v>2347</v>
      </c>
      <c r="C111" s="1189"/>
      <c r="D111" s="1189"/>
      <c r="E111" s="1189"/>
      <c r="F111" s="1189"/>
      <c r="G111" s="1189"/>
      <c r="H111" s="1189"/>
      <c r="I111" s="1189"/>
      <c r="J111" s="1189"/>
      <c r="K111" s="1189"/>
      <c r="L111" s="1189"/>
      <c r="M111" s="1189"/>
      <c r="N111" s="1189"/>
      <c r="O111" s="1189"/>
      <c r="P111" s="1190"/>
    </row>
    <row r="112" spans="1:16" s="2121" customFormat="1" ht="13.3" hidden="1" outlineLevel="1" thickBot="1" x14ac:dyDescent="0.45">
      <c r="A112" s="1191"/>
      <c r="B112" s="1552"/>
      <c r="C112" s="1192"/>
      <c r="D112" s="1192"/>
      <c r="E112" s="1192"/>
      <c r="F112" s="1192"/>
      <c r="G112" s="1192"/>
      <c r="H112" s="1553"/>
      <c r="I112" s="1192"/>
      <c r="J112" s="1192"/>
      <c r="K112" s="1192"/>
      <c r="L112" s="1193"/>
      <c r="M112" s="1193"/>
      <c r="N112" s="1193"/>
      <c r="O112" s="1192"/>
      <c r="P112" s="1194"/>
    </row>
    <row r="113" spans="1:19" s="89" customFormat="1" ht="15" hidden="1" customHeight="1" outlineLevel="1" x14ac:dyDescent="0.4">
      <c r="A113" s="1191"/>
      <c r="B113" s="3787" t="s">
        <v>2285</v>
      </c>
      <c r="C113" s="617" t="s">
        <v>1875</v>
      </c>
      <c r="D113" s="617" t="s">
        <v>907</v>
      </c>
      <c r="E113" s="567">
        <f t="shared" ref="E113:E193" si="7">MAX($P113,$N113,$H113)</f>
        <v>0</v>
      </c>
      <c r="F113" s="567">
        <f>IF($D113="Trigger",VLOOKUP("*"&amp;$C113&amp;"*",'Lower Hot Cell Weld Failure'!$D$127:$G$165,4,FALSE),E113+F112)</f>
        <v>0</v>
      </c>
      <c r="G113" s="568"/>
      <c r="H113" s="569" t="s">
        <v>263</v>
      </c>
      <c r="I113" s="1270"/>
      <c r="J113" s="617"/>
      <c r="K113" s="617"/>
      <c r="L113" s="570" t="str">
        <f>IFERROR(INDEX('Lower Hot Cell Logistics'!$I$13:$O$19,MATCH($J113,'Lower Hot Cell Logistics'!$H$13:$H$19,0),MATCH($K113,'Lower Hot Cell Logistics'!$H$13:$H$19,0)),"N/A")</f>
        <v>N/A</v>
      </c>
      <c r="M113" s="802" t="str">
        <f>IFERROR(VLOOKUP($I113,'Lower Hot Cell Logistics'!$H$4:$I$8,2,FALSE),"N/A")</f>
        <v>N/A</v>
      </c>
      <c r="N113" s="1182" t="str">
        <f t="shared" ref="N113:N137" si="8">IF(D113="Movement",IFERROR((L113/M113)/(60*60),"Error"),"N/A")</f>
        <v>N/A</v>
      </c>
      <c r="O113" s="620"/>
      <c r="P113" s="621" t="str">
        <f>IF($D113="Logistics",VLOOKUP($O113,'Lower Hot Cell Logistics'!$C$4:$D$69,2,FALSE),"N/A")</f>
        <v>N/A</v>
      </c>
      <c r="R113"/>
      <c r="S113"/>
    </row>
    <row r="114" spans="1:19" s="89" customFormat="1" ht="15" hidden="1" customHeight="1" outlineLevel="1" x14ac:dyDescent="0.4">
      <c r="A114" s="1191"/>
      <c r="B114" s="3786"/>
      <c r="C114" s="1275" t="s">
        <v>2141</v>
      </c>
      <c r="D114" s="572" t="s">
        <v>778</v>
      </c>
      <c r="E114" s="578">
        <f t="shared" si="7"/>
        <v>0.69444444444444442</v>
      </c>
      <c r="F114" s="578">
        <f>IF($D114="Trigger",VLOOKUP("*"&amp;$C114&amp;"*",'Lower Hot Cell Weld Failure'!$D$127:$G$165,4,FALSE),E114+F113)</f>
        <v>0.69444444444444442</v>
      </c>
      <c r="G114" s="872"/>
      <c r="H114" s="2221" t="s">
        <v>263</v>
      </c>
      <c r="I114" s="1281" t="s">
        <v>1826</v>
      </c>
      <c r="J114" s="572" t="s">
        <v>451</v>
      </c>
      <c r="K114" s="572" t="s">
        <v>831</v>
      </c>
      <c r="L114" s="1176">
        <f>IFERROR(INDEX('Lower Hot Cell Logistics'!$I$13:$O$19,MATCH($J114,'Lower Hot Cell Logistics'!$H$13:$H$19,0),MATCH($K114,'Lower Hot Cell Logistics'!$H$13:$H$19,0)),"N/A")</f>
        <v>50</v>
      </c>
      <c r="M114" s="2222">
        <f>IFERROR(VLOOKUP($I114,'Lower Hot Cell Logistics'!$H$4:$I$8,2,FALSE),"N/A")</f>
        <v>0.02</v>
      </c>
      <c r="N114" s="580">
        <f t="shared" si="8"/>
        <v>0.69444444444444442</v>
      </c>
      <c r="O114" s="631"/>
      <c r="P114" s="632" t="str">
        <f>IF($D114="Logistics",VLOOKUP($O114,'Lower Hot Cell Logistics'!$C$4:$D$69,2,FALSE),"N/A")</f>
        <v>N/A</v>
      </c>
      <c r="R114"/>
      <c r="S114"/>
    </row>
    <row r="115" spans="1:19" s="89" customFormat="1" ht="15" hidden="1" customHeight="1" outlineLevel="1" x14ac:dyDescent="0.4">
      <c r="A115" s="1191"/>
      <c r="B115" s="3786"/>
      <c r="C115" s="1275" t="s">
        <v>1757</v>
      </c>
      <c r="D115" s="572" t="s">
        <v>3</v>
      </c>
      <c r="E115" s="578">
        <f t="shared" si="7"/>
        <v>0.88000000000000012</v>
      </c>
      <c r="F115" s="578">
        <f>IF($D115="Trigger",VLOOKUP("*"&amp;$C115&amp;"*",'Lower Hot Cell Weld Failure'!$D$127:$G$165,4,FALSE),E115+F114)</f>
        <v>1.5744444444444445</v>
      </c>
      <c r="G115" s="872"/>
      <c r="H115" s="2221" t="s">
        <v>263</v>
      </c>
      <c r="I115" s="1281"/>
      <c r="J115" s="572"/>
      <c r="K115" s="572"/>
      <c r="L115" s="1176" t="str">
        <f>IFERROR(INDEX('Lower Hot Cell Logistics'!$I$13:$O$19,MATCH($J115,'Lower Hot Cell Logistics'!$H$13:$H$19,0),MATCH($K115,'Lower Hot Cell Logistics'!$H$13:$H$19,0)),"N/A")</f>
        <v>N/A</v>
      </c>
      <c r="M115" s="2222" t="str">
        <f>IFERROR(VLOOKUP($I115,'Lower Hot Cell Logistics'!$H$4:$I$8,2,FALSE),"N/A")</f>
        <v>N/A</v>
      </c>
      <c r="N115" s="580" t="str">
        <f t="shared" si="8"/>
        <v>N/A</v>
      </c>
      <c r="O115" s="631" t="s">
        <v>2144</v>
      </c>
      <c r="P115" s="632">
        <f>IF($D115="Logistics",VLOOKUP($O115,'Lower Hot Cell Logistics'!$C$4:$D$69,2,FALSE),"N/A")</f>
        <v>0.88000000000000012</v>
      </c>
      <c r="R115"/>
      <c r="S115"/>
    </row>
    <row r="116" spans="1:19" s="89" customFormat="1" ht="14.6" hidden="1" outlineLevel="1" x14ac:dyDescent="0.4">
      <c r="A116" s="1191"/>
      <c r="B116" s="3786"/>
      <c r="C116" s="572" t="s">
        <v>2189</v>
      </c>
      <c r="D116" s="572" t="s">
        <v>778</v>
      </c>
      <c r="E116" s="578">
        <f t="shared" si="7"/>
        <v>0.23148148148148148</v>
      </c>
      <c r="F116" s="578">
        <f>IF($D116="Trigger",VLOOKUP("*"&amp;$C116&amp;"*",'Lower Hot Cell Weld Failure'!$D$127:$G$165,4,FALSE),E116+F115)</f>
        <v>1.8059259259259259</v>
      </c>
      <c r="G116" s="575"/>
      <c r="H116" s="576" t="s">
        <v>263</v>
      </c>
      <c r="I116" s="1281" t="s">
        <v>2190</v>
      </c>
      <c r="J116" s="572" t="s">
        <v>799</v>
      </c>
      <c r="K116" s="572" t="s">
        <v>451</v>
      </c>
      <c r="L116" s="853">
        <f>IFERROR(INDEX('Lower Hot Cell Logistics'!$I$13:$O$19,MATCH($J116,'Lower Hot Cell Logistics'!$H$13:$H$19,0),MATCH($K116,'Lower Hot Cell Logistics'!$H$13:$H$19,0)),"N/A")</f>
        <v>50</v>
      </c>
      <c r="M116" s="853">
        <f>IFERROR(VLOOKUP($I116,'Lower Hot Cell Logistics'!$H$4:$I$8,2,FALSE),"N/A")</f>
        <v>0.06</v>
      </c>
      <c r="N116" s="1180">
        <f t="shared" si="8"/>
        <v>0.23148148148148148</v>
      </c>
      <c r="O116" s="579"/>
      <c r="P116" s="580" t="str">
        <f>IF($D116="Logistics",VLOOKUP($O116,'Lower Hot Cell Logistics'!$C$4:$D$69,2,FALSE),"N/A")</f>
        <v>N/A</v>
      </c>
      <c r="R116"/>
      <c r="S116"/>
    </row>
    <row r="117" spans="1:19" s="89" customFormat="1" ht="26.6" hidden="1" outlineLevel="1" thickBot="1" x14ac:dyDescent="0.45">
      <c r="A117" s="1191"/>
      <c r="B117" s="3788"/>
      <c r="C117" s="583" t="str">
        <f>B113</f>
        <v>Pumping handling system store; pipe module handing system collected; Pipe Module handling System Moved to Lower Port</v>
      </c>
      <c r="D117" s="583" t="s">
        <v>11</v>
      </c>
      <c r="E117" s="585">
        <f t="shared" si="7"/>
        <v>0</v>
      </c>
      <c r="F117" s="585">
        <f>IF($D117="Trigger",VLOOKUP("*"&amp;$C117&amp;"*",'Lower Hot Cell Weld Failure'!$D$127:$G$165,4,FALSE),E117+F116)</f>
        <v>1.8059259259259259</v>
      </c>
      <c r="G117" s="586"/>
      <c r="H117" s="587" t="s">
        <v>263</v>
      </c>
      <c r="I117" s="1720"/>
      <c r="J117" s="583"/>
      <c r="K117" s="583"/>
      <c r="L117" s="814" t="str">
        <f>IFERROR(INDEX('Lower Hot Cell Logistics'!$I$13:$O$19,MATCH($J117,'Lower Hot Cell Logistics'!$H$13:$H$19,0),MATCH($K117,'Lower Hot Cell Logistics'!$H$13:$H$19,0)),"N/A")</f>
        <v>N/A</v>
      </c>
      <c r="M117" s="814" t="str">
        <f>IFERROR(VLOOKUP($I117,'Lower Hot Cell Logistics'!$H$4:$I$8,2,FALSE),"N/A")</f>
        <v>N/A</v>
      </c>
      <c r="N117" s="1181" t="str">
        <f t="shared" si="8"/>
        <v>N/A</v>
      </c>
      <c r="O117" s="590"/>
      <c r="P117" s="591" t="str">
        <f>IF($D117="Logistics",VLOOKUP($O117,'Lower Hot Cell Logistics'!$C$4:$D$69,2,FALSE),"N/A")</f>
        <v>N/A</v>
      </c>
      <c r="R117"/>
      <c r="S117"/>
    </row>
    <row r="118" spans="1:19" s="89" customFormat="1" ht="15" hidden="1" customHeight="1" outlineLevel="1" x14ac:dyDescent="0.4">
      <c r="A118" s="1191"/>
      <c r="B118" s="3814" t="s">
        <v>2052</v>
      </c>
      <c r="C118" s="617" t="s">
        <v>2047</v>
      </c>
      <c r="D118" s="1324" t="s">
        <v>907</v>
      </c>
      <c r="E118" s="1291">
        <f t="shared" si="7"/>
        <v>0</v>
      </c>
      <c r="F118" s="1291">
        <f>IF($D118="Trigger",VLOOKUP("*"&amp;$C118&amp;"*",'Lower Hot Cell Weld Failure'!$D$127:$G$165,4,FALSE),E118+F117)</f>
        <v>27.735934119456779</v>
      </c>
      <c r="G118" s="825"/>
      <c r="H118" s="1323" t="s">
        <v>263</v>
      </c>
      <c r="I118" s="1721"/>
      <c r="J118" s="1324"/>
      <c r="K118" s="1324"/>
      <c r="L118" s="828" t="str">
        <f>IFERROR(INDEX('Lower Hot Cell Logistics'!$I$13:$O$19,MATCH($J118,'Lower Hot Cell Logistics'!$H$13:$H$19,0),MATCH($K118,'Lower Hot Cell Logistics'!$H$13:$H$19,0)),"N/A")</f>
        <v>N/A</v>
      </c>
      <c r="M118" s="827" t="str">
        <f>IFERROR(VLOOKUP($I118,'Lower Hot Cell Logistics'!$H$4:$I$8,2,FALSE),"N/A")</f>
        <v>N/A</v>
      </c>
      <c r="N118" s="2200" t="str">
        <f t="shared" si="8"/>
        <v>N/A</v>
      </c>
      <c r="O118" s="1327"/>
      <c r="P118" s="824" t="str">
        <f>IF($D118="Logistics",VLOOKUP($O118,'Lower Hot Cell Logistics'!$C$4:$D$69,2,FALSE),"N/A")</f>
        <v>N/A</v>
      </c>
      <c r="R118"/>
      <c r="S118"/>
    </row>
    <row r="119" spans="1:19" s="89" customFormat="1" ht="15" hidden="1" customHeight="1" outlineLevel="1" x14ac:dyDescent="0.4">
      <c r="A119" s="1191"/>
      <c r="B119" s="3815"/>
      <c r="C119" s="1362" t="s">
        <v>2141</v>
      </c>
      <c r="D119" s="1294" t="s">
        <v>778</v>
      </c>
      <c r="E119" s="1330">
        <f t="shared" si="7"/>
        <v>0.69444444444444442</v>
      </c>
      <c r="F119" s="1330">
        <f>IF($D119="Trigger",VLOOKUP("*"&amp;$C119&amp;"*",'Lower Hot Cell Weld Failure'!$D$127:$G$165,4,FALSE),E119+F118)</f>
        <v>28.430378563901222</v>
      </c>
      <c r="G119" s="1722"/>
      <c r="H119" s="2219" t="s">
        <v>263</v>
      </c>
      <c r="I119" s="1724" t="s">
        <v>1826</v>
      </c>
      <c r="J119" s="1294" t="s">
        <v>451</v>
      </c>
      <c r="K119" s="1294" t="s">
        <v>831</v>
      </c>
      <c r="L119" s="2042">
        <f>IFERROR(INDEX('Lower Hot Cell Logistics'!$I$13:$O$19,MATCH($J119,'Lower Hot Cell Logistics'!$H$13:$H$19,0),MATCH($K119,'Lower Hot Cell Logistics'!$H$13:$H$19,0)),"N/A")</f>
        <v>50</v>
      </c>
      <c r="M119" s="2220">
        <f>IFERROR(VLOOKUP($I119,'Lower Hot Cell Logistics'!$H$4:$I$8,2,FALSE),"N/A")</f>
        <v>0.02</v>
      </c>
      <c r="N119" s="1332">
        <f t="shared" si="8"/>
        <v>0.69444444444444442</v>
      </c>
      <c r="O119" s="1352"/>
      <c r="P119" s="1353" t="str">
        <f>IF($D119="Logistics",VLOOKUP($O119,'Lower Hot Cell Logistics'!$C$4:$D$69,2,FALSE),"N/A")</f>
        <v>N/A</v>
      </c>
      <c r="R119"/>
      <c r="S119"/>
    </row>
    <row r="120" spans="1:19" s="89" customFormat="1" ht="15" hidden="1" customHeight="1" outlineLevel="1" x14ac:dyDescent="0.4">
      <c r="A120" s="1191"/>
      <c r="B120" s="3815"/>
      <c r="C120" s="1362" t="s">
        <v>1757</v>
      </c>
      <c r="D120" s="1294" t="s">
        <v>3</v>
      </c>
      <c r="E120" s="1330">
        <f t="shared" si="7"/>
        <v>0.88000000000000012</v>
      </c>
      <c r="F120" s="1330">
        <f>IF($D120="Trigger",VLOOKUP("*"&amp;$C120&amp;"*",'Lower Hot Cell Weld Failure'!$D$127:$G$165,4,FALSE),E120+F119)</f>
        <v>29.310378563901221</v>
      </c>
      <c r="G120" s="1722"/>
      <c r="H120" s="2219" t="s">
        <v>263</v>
      </c>
      <c r="I120" s="1724"/>
      <c r="J120" s="1294"/>
      <c r="K120" s="1294"/>
      <c r="L120" s="2042" t="str">
        <f>IFERROR(INDEX('Lower Hot Cell Logistics'!$I$13:$O$19,MATCH($J120,'Lower Hot Cell Logistics'!$H$13:$H$19,0),MATCH($K120,'Lower Hot Cell Logistics'!$H$13:$H$19,0)),"N/A")</f>
        <v>N/A</v>
      </c>
      <c r="M120" s="2220" t="str">
        <f>IFERROR(VLOOKUP($I120,'Lower Hot Cell Logistics'!$H$4:$I$8,2,FALSE),"N/A")</f>
        <v>N/A</v>
      </c>
      <c r="N120" s="1332" t="str">
        <f t="shared" si="8"/>
        <v>N/A</v>
      </c>
      <c r="O120" s="1352" t="s">
        <v>2144</v>
      </c>
      <c r="P120" s="1353">
        <f>IF($D120="Logistics",VLOOKUP($O120,'Lower Hot Cell Logistics'!$C$4:$D$69,2,FALSE),"N/A")</f>
        <v>0.88000000000000012</v>
      </c>
      <c r="R120"/>
      <c r="S120"/>
    </row>
    <row r="121" spans="1:19" s="89" customFormat="1" ht="14.6" hidden="1" outlineLevel="1" x14ac:dyDescent="0.4">
      <c r="A121" s="1191"/>
      <c r="B121" s="3815"/>
      <c r="C121" s="1294" t="s">
        <v>2189</v>
      </c>
      <c r="D121" s="1294" t="s">
        <v>778</v>
      </c>
      <c r="E121" s="1292">
        <f t="shared" si="7"/>
        <v>0.23148148148148148</v>
      </c>
      <c r="F121" s="1292">
        <f>IF($D121="Trigger",VLOOKUP("*"&amp;$C121&amp;"*",'Lower Hot Cell Weld Failure'!$D$127:$G$165,4,FALSE),E121+F120)</f>
        <v>29.541860045382702</v>
      </c>
      <c r="G121" s="862"/>
      <c r="H121" s="1328" t="s">
        <v>263</v>
      </c>
      <c r="I121" s="1724" t="s">
        <v>2190</v>
      </c>
      <c r="J121" s="1294" t="s">
        <v>799</v>
      </c>
      <c r="K121" s="1294" t="s">
        <v>451</v>
      </c>
      <c r="L121" s="865">
        <f>IFERROR(INDEX('Lower Hot Cell Logistics'!$I$13:$O$19,MATCH($J121,'Lower Hot Cell Logistics'!$H$13:$H$19,0),MATCH($K121,'Lower Hot Cell Logistics'!$H$13:$H$19,0)),"N/A")</f>
        <v>50</v>
      </c>
      <c r="M121" s="865">
        <f>IFERROR(VLOOKUP($I121,'Lower Hot Cell Logistics'!$H$4:$I$8,2,FALSE),"N/A")</f>
        <v>0.06</v>
      </c>
      <c r="N121" s="2197">
        <f t="shared" si="8"/>
        <v>0.23148148148148148</v>
      </c>
      <c r="O121" s="1331"/>
      <c r="P121" s="1332" t="str">
        <f>IF($D121="Logistics",VLOOKUP($O121,'Lower Hot Cell Logistics'!$C$4:$D$69,2,FALSE),"N/A")</f>
        <v>N/A</v>
      </c>
      <c r="R121"/>
      <c r="S121"/>
    </row>
    <row r="122" spans="1:19" s="89" customFormat="1" ht="26.6" hidden="1" outlineLevel="1" thickBot="1" x14ac:dyDescent="0.45">
      <c r="A122" s="1191"/>
      <c r="B122" s="3816"/>
      <c r="C122" s="1340" t="str">
        <f>B118</f>
        <v>LOB pipe module stored;  Pipe Module handling System Moved to Lower Port</v>
      </c>
      <c r="D122" s="1340" t="s">
        <v>11</v>
      </c>
      <c r="E122" s="1295">
        <f t="shared" si="7"/>
        <v>0</v>
      </c>
      <c r="F122" s="1295">
        <f>IF($D122="Trigger",VLOOKUP("*"&amp;$C122&amp;"*",'Lower Hot Cell Weld Failure'!$D$127:$G$165,4,FALSE),E122+F121)</f>
        <v>29.541860045382702</v>
      </c>
      <c r="G122" s="839"/>
      <c r="H122" s="1341" t="s">
        <v>263</v>
      </c>
      <c r="I122" s="1727"/>
      <c r="J122" s="1340"/>
      <c r="K122" s="1340"/>
      <c r="L122" s="842" t="str">
        <f>IFERROR(INDEX('Lower Hot Cell Logistics'!$I$13:$O$19,MATCH($J122,'Lower Hot Cell Logistics'!$H$13:$H$19,0),MATCH($K122,'Lower Hot Cell Logistics'!$H$13:$H$19,0)),"N/A")</f>
        <v>N/A</v>
      </c>
      <c r="M122" s="842" t="str">
        <f>IFERROR(VLOOKUP($I122,'Lower Hot Cell Logistics'!$H$4:$I$8,2,FALSE),"N/A")</f>
        <v>N/A</v>
      </c>
      <c r="N122" s="2199" t="str">
        <f t="shared" si="8"/>
        <v>N/A</v>
      </c>
      <c r="O122" s="1344"/>
      <c r="P122" s="1345" t="str">
        <f>IF($D122="Logistics",VLOOKUP($O122,'Lower Hot Cell Logistics'!$C$4:$D$69,2,FALSE),"N/A")</f>
        <v>N/A</v>
      </c>
      <c r="R122"/>
      <c r="S122"/>
    </row>
    <row r="123" spans="1:19" s="89" customFormat="1" ht="15" hidden="1" customHeight="1" outlineLevel="1" x14ac:dyDescent="0.4">
      <c r="A123" s="1191"/>
      <c r="B123" s="3787" t="s">
        <v>2055</v>
      </c>
      <c r="C123" s="617" t="s">
        <v>2191</v>
      </c>
      <c r="D123" s="617" t="s">
        <v>907</v>
      </c>
      <c r="E123" s="567">
        <f t="shared" si="7"/>
        <v>0</v>
      </c>
      <c r="F123" s="567">
        <f>IF($D123="Trigger",VLOOKUP("*"&amp;$C123&amp;"*",'Lower Hot Cell Weld Failure'!$D$127:$G$165,4,FALSE),E123+F122)</f>
        <v>41.73890117918517</v>
      </c>
      <c r="G123" s="568"/>
      <c r="H123" s="569" t="s">
        <v>263</v>
      </c>
      <c r="I123" s="1270"/>
      <c r="J123" s="617"/>
      <c r="K123" s="617"/>
      <c r="L123" s="570" t="str">
        <f>IFERROR(INDEX('Lower Hot Cell Logistics'!$I$13:$O$19,MATCH($J123,'Lower Hot Cell Logistics'!$H$13:$H$19,0),MATCH($K123,'Lower Hot Cell Logistics'!$H$13:$H$19,0)),"N/A")</f>
        <v>N/A</v>
      </c>
      <c r="M123" s="802" t="str">
        <f>IFERROR(VLOOKUP($I123,'Lower Hot Cell Logistics'!$H$4:$I$8,2,FALSE),"N/A")</f>
        <v>N/A</v>
      </c>
      <c r="N123" s="1182" t="str">
        <f t="shared" si="8"/>
        <v>N/A</v>
      </c>
      <c r="O123" s="620"/>
      <c r="P123" s="621" t="str">
        <f>IF($D123="Logistics",VLOOKUP($O123,'Lower Hot Cell Logistics'!$C$4:$D$69,2,FALSE),"N/A")</f>
        <v>N/A</v>
      </c>
      <c r="R123"/>
      <c r="S123"/>
    </row>
    <row r="124" spans="1:19" s="89" customFormat="1" ht="15" hidden="1" customHeight="1" outlineLevel="1" x14ac:dyDescent="0.4">
      <c r="A124" s="1191"/>
      <c r="B124" s="3786"/>
      <c r="C124" s="1275" t="s">
        <v>2141</v>
      </c>
      <c r="D124" s="572" t="s">
        <v>778</v>
      </c>
      <c r="E124" s="578">
        <f t="shared" si="7"/>
        <v>0.69444444444444442</v>
      </c>
      <c r="F124" s="578">
        <f>IF($D124="Trigger",VLOOKUP("*"&amp;$C124&amp;"*",'Lower Hot Cell Weld Failure'!$D$127:$G$165,4,FALSE),E124+F123)</f>
        <v>42.433345623629613</v>
      </c>
      <c r="G124" s="872"/>
      <c r="H124" s="2221" t="s">
        <v>263</v>
      </c>
      <c r="I124" s="1281" t="s">
        <v>1826</v>
      </c>
      <c r="J124" s="572" t="s">
        <v>451</v>
      </c>
      <c r="K124" s="572" t="s">
        <v>831</v>
      </c>
      <c r="L124" s="1176">
        <f>IFERROR(INDEX('Lower Hot Cell Logistics'!$I$13:$O$19,MATCH($J124,'Lower Hot Cell Logistics'!$H$13:$H$19,0),MATCH($K124,'Lower Hot Cell Logistics'!$H$13:$H$19,0)),"N/A")</f>
        <v>50</v>
      </c>
      <c r="M124" s="2222">
        <f>IFERROR(VLOOKUP($I124,'Lower Hot Cell Logistics'!$H$4:$I$8,2,FALSE),"N/A")</f>
        <v>0.02</v>
      </c>
      <c r="N124" s="580">
        <f t="shared" si="8"/>
        <v>0.69444444444444442</v>
      </c>
      <c r="O124" s="631"/>
      <c r="P124" s="632" t="str">
        <f>IF($D124="Logistics",VLOOKUP($O124,'Lower Hot Cell Logistics'!$C$4:$D$69,2,FALSE),"N/A")</f>
        <v>N/A</v>
      </c>
      <c r="R124"/>
      <c r="S124"/>
    </row>
    <row r="125" spans="1:19" s="89" customFormat="1" ht="15" hidden="1" customHeight="1" outlineLevel="1" x14ac:dyDescent="0.4">
      <c r="A125" s="1191"/>
      <c r="B125" s="3786"/>
      <c r="C125" s="1275" t="s">
        <v>1757</v>
      </c>
      <c r="D125" s="572" t="s">
        <v>3</v>
      </c>
      <c r="E125" s="578">
        <f t="shared" si="7"/>
        <v>0.88000000000000012</v>
      </c>
      <c r="F125" s="578">
        <f>IF($D125="Trigger",VLOOKUP("*"&amp;$C125&amp;"*",'Lower Hot Cell Weld Failure'!$D$127:$G$165,4,FALSE),E125+F124)</f>
        <v>43.313345623629615</v>
      </c>
      <c r="G125" s="872"/>
      <c r="H125" s="2221" t="s">
        <v>263</v>
      </c>
      <c r="I125" s="1281"/>
      <c r="J125" s="572"/>
      <c r="K125" s="572"/>
      <c r="L125" s="1176" t="str">
        <f>IFERROR(INDEX('Lower Hot Cell Logistics'!$I$13:$O$19,MATCH($J125,'Lower Hot Cell Logistics'!$H$13:$H$19,0),MATCH($K125,'Lower Hot Cell Logistics'!$H$13:$H$19,0)),"N/A")</f>
        <v>N/A</v>
      </c>
      <c r="M125" s="2222" t="str">
        <f>IFERROR(VLOOKUP($I125,'Lower Hot Cell Logistics'!$H$4:$I$8,2,FALSE),"N/A")</f>
        <v>N/A</v>
      </c>
      <c r="N125" s="580" t="str">
        <f t="shared" si="8"/>
        <v>N/A</v>
      </c>
      <c r="O125" s="631" t="s">
        <v>2144</v>
      </c>
      <c r="P125" s="632">
        <f>IF($D125="Logistics",VLOOKUP($O125,'Lower Hot Cell Logistics'!$C$4:$D$69,2,FALSE),"N/A")</f>
        <v>0.88000000000000012</v>
      </c>
      <c r="R125"/>
      <c r="S125"/>
    </row>
    <row r="126" spans="1:19" s="89" customFormat="1" ht="14.6" hidden="1" outlineLevel="1" x14ac:dyDescent="0.4">
      <c r="A126" s="1191"/>
      <c r="B126" s="3786"/>
      <c r="C126" s="572" t="s">
        <v>2189</v>
      </c>
      <c r="D126" s="572" t="s">
        <v>778</v>
      </c>
      <c r="E126" s="578">
        <f t="shared" si="7"/>
        <v>0.23148148148148148</v>
      </c>
      <c r="F126" s="578">
        <f>IF($D126="Trigger",VLOOKUP("*"&amp;$C126&amp;"*",'Lower Hot Cell Weld Failure'!$D$127:$G$165,4,FALSE),E126+F125)</f>
        <v>43.544827105111096</v>
      </c>
      <c r="G126" s="575"/>
      <c r="H126" s="576" t="s">
        <v>263</v>
      </c>
      <c r="I126" s="1281" t="s">
        <v>2190</v>
      </c>
      <c r="J126" s="572" t="s">
        <v>799</v>
      </c>
      <c r="K126" s="572" t="s">
        <v>451</v>
      </c>
      <c r="L126" s="853">
        <f>IFERROR(INDEX('Lower Hot Cell Logistics'!$I$13:$O$19,MATCH($J126,'Lower Hot Cell Logistics'!$H$13:$H$19,0),MATCH($K126,'Lower Hot Cell Logistics'!$H$13:$H$19,0)),"N/A")</f>
        <v>50</v>
      </c>
      <c r="M126" s="853">
        <f>IFERROR(VLOOKUP($I126,'Lower Hot Cell Logistics'!$H$4:$I$8,2,FALSE),"N/A")</f>
        <v>0.06</v>
      </c>
      <c r="N126" s="1180">
        <f t="shared" si="8"/>
        <v>0.23148148148148148</v>
      </c>
      <c r="O126" s="579"/>
      <c r="P126" s="580" t="str">
        <f>IF($D126="Logistics",VLOOKUP($O126,'Lower Hot Cell Logistics'!$C$4:$D$69,2,FALSE),"N/A")</f>
        <v>N/A</v>
      </c>
      <c r="R126"/>
      <c r="S126"/>
    </row>
    <row r="127" spans="1:19" s="89" customFormat="1" ht="26.6" hidden="1" outlineLevel="1" thickBot="1" x14ac:dyDescent="0.45">
      <c r="A127" s="1191"/>
      <c r="B127" s="3788"/>
      <c r="C127" s="583" t="str">
        <f>B123</f>
        <v>ROB pipe module stored;  Pipe Module handling System Moved to Lower Port</v>
      </c>
      <c r="D127" s="583" t="s">
        <v>11</v>
      </c>
      <c r="E127" s="585">
        <f t="shared" si="7"/>
        <v>0</v>
      </c>
      <c r="F127" s="585">
        <f>IF($D127="Trigger",VLOOKUP("*"&amp;$C127&amp;"*",'Lower Hot Cell Weld Failure'!$D$127:$G$165,4,FALSE),E127+F126)</f>
        <v>43.544827105111096</v>
      </c>
      <c r="G127" s="586"/>
      <c r="H127" s="587" t="s">
        <v>263</v>
      </c>
      <c r="I127" s="1720"/>
      <c r="J127" s="583"/>
      <c r="K127" s="583"/>
      <c r="L127" s="814" t="str">
        <f>IFERROR(INDEX('Lower Hot Cell Logistics'!$I$13:$O$19,MATCH($J127,'Lower Hot Cell Logistics'!$H$13:$H$19,0),MATCH($K127,'Lower Hot Cell Logistics'!$H$13:$H$19,0)),"N/A")</f>
        <v>N/A</v>
      </c>
      <c r="M127" s="814" t="str">
        <f>IFERROR(VLOOKUP($I127,'Lower Hot Cell Logistics'!$H$4:$I$8,2,FALSE),"N/A")</f>
        <v>N/A</v>
      </c>
      <c r="N127" s="1181" t="str">
        <f t="shared" si="8"/>
        <v>N/A</v>
      </c>
      <c r="O127" s="590"/>
      <c r="P127" s="591" t="str">
        <f>IF($D127="Logistics",VLOOKUP($O127,'Lower Hot Cell Logistics'!$C$4:$D$69,2,FALSE),"N/A")</f>
        <v>N/A</v>
      </c>
      <c r="R127"/>
      <c r="S127"/>
    </row>
    <row r="128" spans="1:19" s="89" customFormat="1" ht="15" hidden="1" customHeight="1" outlineLevel="1" x14ac:dyDescent="0.4">
      <c r="A128" s="1191"/>
      <c r="B128" s="3814" t="s">
        <v>2059</v>
      </c>
      <c r="C128" s="617" t="s">
        <v>2192</v>
      </c>
      <c r="D128" s="1324" t="s">
        <v>907</v>
      </c>
      <c r="E128" s="1291">
        <f t="shared" si="7"/>
        <v>0</v>
      </c>
      <c r="F128" s="1291">
        <f>IF($D128="Trigger",VLOOKUP("*"&amp;$C128&amp;"*",'Lower Hot Cell Weld Failure'!$D$127:$G$165,4,FALSE),E128+F127)</f>
        <v>55.471868238913565</v>
      </c>
      <c r="G128" s="825"/>
      <c r="H128" s="1323" t="s">
        <v>263</v>
      </c>
      <c r="I128" s="1721"/>
      <c r="J128" s="1324"/>
      <c r="K128" s="1324"/>
      <c r="L128" s="828" t="str">
        <f>IFERROR(INDEX('Lower Hot Cell Logistics'!$I$13:$O$19,MATCH($J128,'Lower Hot Cell Logistics'!$H$13:$H$19,0),MATCH($K128,'Lower Hot Cell Logistics'!$H$13:$H$19,0)),"N/A")</f>
        <v>N/A</v>
      </c>
      <c r="M128" s="827" t="str">
        <f>IFERROR(VLOOKUP($I128,'Lower Hot Cell Logistics'!$H$4:$I$8,2,FALSE),"N/A")</f>
        <v>N/A</v>
      </c>
      <c r="N128" s="2200" t="str">
        <f t="shared" si="8"/>
        <v>N/A</v>
      </c>
      <c r="O128" s="1327"/>
      <c r="P128" s="824" t="str">
        <f>IF($D128="Logistics",VLOOKUP($O128,'Lower Hot Cell Logistics'!$C$4:$D$69,2,FALSE),"N/A")</f>
        <v>N/A</v>
      </c>
      <c r="R128"/>
      <c r="S128"/>
    </row>
    <row r="129" spans="1:19" s="89" customFormat="1" ht="15" hidden="1" customHeight="1" outlineLevel="1" x14ac:dyDescent="0.4">
      <c r="A129" s="1191"/>
      <c r="B129" s="3815"/>
      <c r="C129" s="1362" t="s">
        <v>2141</v>
      </c>
      <c r="D129" s="1294" t="s">
        <v>778</v>
      </c>
      <c r="E129" s="1330">
        <f t="shared" si="7"/>
        <v>0.69444444444444442</v>
      </c>
      <c r="F129" s="1330">
        <f>IF($D129="Trigger",VLOOKUP("*"&amp;$C129&amp;"*",'Lower Hot Cell Weld Failure'!$D$127:$G$165,4,FALSE),E129+F128)</f>
        <v>56.166312683358008</v>
      </c>
      <c r="G129" s="1722"/>
      <c r="H129" s="2219" t="s">
        <v>263</v>
      </c>
      <c r="I129" s="1724" t="s">
        <v>1826</v>
      </c>
      <c r="J129" s="1294" t="s">
        <v>451</v>
      </c>
      <c r="K129" s="1294" t="s">
        <v>831</v>
      </c>
      <c r="L129" s="2042">
        <f>IFERROR(INDEX('Lower Hot Cell Logistics'!$I$13:$O$19,MATCH($J129,'Lower Hot Cell Logistics'!$H$13:$H$19,0),MATCH($K129,'Lower Hot Cell Logistics'!$H$13:$H$19,0)),"N/A")</f>
        <v>50</v>
      </c>
      <c r="M129" s="2220">
        <f>IFERROR(VLOOKUP($I129,'Lower Hot Cell Logistics'!$H$4:$I$8,2,FALSE),"N/A")</f>
        <v>0.02</v>
      </c>
      <c r="N129" s="1332">
        <f t="shared" si="8"/>
        <v>0.69444444444444442</v>
      </c>
      <c r="O129" s="1352"/>
      <c r="P129" s="1353" t="str">
        <f>IF($D129="Logistics",VLOOKUP($O129,'Lower Hot Cell Logistics'!$C$4:$D$69,2,FALSE),"N/A")</f>
        <v>N/A</v>
      </c>
      <c r="R129"/>
      <c r="S129"/>
    </row>
    <row r="130" spans="1:19" s="89" customFormat="1" ht="15" hidden="1" customHeight="1" outlineLevel="1" x14ac:dyDescent="0.4">
      <c r="A130" s="1191"/>
      <c r="B130" s="3815"/>
      <c r="C130" s="1362" t="s">
        <v>1757</v>
      </c>
      <c r="D130" s="1294" t="s">
        <v>3</v>
      </c>
      <c r="E130" s="1330">
        <f t="shared" si="7"/>
        <v>0.88000000000000012</v>
      </c>
      <c r="F130" s="1330">
        <f>IF($D130="Trigger",VLOOKUP("*"&amp;$C130&amp;"*",'Lower Hot Cell Weld Failure'!$D$127:$G$165,4,FALSE),E130+F129)</f>
        <v>57.046312683358011</v>
      </c>
      <c r="G130" s="1722"/>
      <c r="H130" s="2219" t="s">
        <v>263</v>
      </c>
      <c r="I130" s="1724"/>
      <c r="J130" s="1294"/>
      <c r="K130" s="1294"/>
      <c r="L130" s="2042" t="str">
        <f>IFERROR(INDEX('Lower Hot Cell Logistics'!$I$13:$O$19,MATCH($J130,'Lower Hot Cell Logistics'!$H$13:$H$19,0),MATCH($K130,'Lower Hot Cell Logistics'!$H$13:$H$19,0)),"N/A")</f>
        <v>N/A</v>
      </c>
      <c r="M130" s="2220" t="str">
        <f>IFERROR(VLOOKUP($I130,'Lower Hot Cell Logistics'!$H$4:$I$8,2,FALSE),"N/A")</f>
        <v>N/A</v>
      </c>
      <c r="N130" s="1332" t="str">
        <f t="shared" si="8"/>
        <v>N/A</v>
      </c>
      <c r="O130" s="1352" t="s">
        <v>2144</v>
      </c>
      <c r="P130" s="1353">
        <f>IF($D130="Logistics",VLOOKUP($O130,'Lower Hot Cell Logistics'!$C$4:$D$69,2,FALSE),"N/A")</f>
        <v>0.88000000000000012</v>
      </c>
      <c r="R130"/>
      <c r="S130"/>
    </row>
    <row r="131" spans="1:19" s="89" customFormat="1" ht="14.6" hidden="1" outlineLevel="1" x14ac:dyDescent="0.4">
      <c r="A131" s="1191"/>
      <c r="B131" s="3815"/>
      <c r="C131" s="1294" t="s">
        <v>2189</v>
      </c>
      <c r="D131" s="1294" t="s">
        <v>778</v>
      </c>
      <c r="E131" s="1292">
        <f t="shared" si="7"/>
        <v>0.23148148148148148</v>
      </c>
      <c r="F131" s="1292">
        <f>IF($D131="Trigger",VLOOKUP("*"&amp;$C131&amp;"*",'Lower Hot Cell Weld Failure'!$D$127:$G$165,4,FALSE),E131+F130)</f>
        <v>57.277794164839491</v>
      </c>
      <c r="G131" s="862"/>
      <c r="H131" s="1328" t="s">
        <v>263</v>
      </c>
      <c r="I131" s="1724" t="s">
        <v>2190</v>
      </c>
      <c r="J131" s="1294" t="s">
        <v>799</v>
      </c>
      <c r="K131" s="1294" t="s">
        <v>451</v>
      </c>
      <c r="L131" s="865">
        <f>IFERROR(INDEX('Lower Hot Cell Logistics'!$I$13:$O$19,MATCH($J131,'Lower Hot Cell Logistics'!$H$13:$H$19,0),MATCH($K131,'Lower Hot Cell Logistics'!$H$13:$H$19,0)),"N/A")</f>
        <v>50</v>
      </c>
      <c r="M131" s="865">
        <f>IFERROR(VLOOKUP($I131,'Lower Hot Cell Logistics'!$H$4:$I$8,2,FALSE),"N/A")</f>
        <v>0.06</v>
      </c>
      <c r="N131" s="2197">
        <f t="shared" si="8"/>
        <v>0.23148148148148148</v>
      </c>
      <c r="O131" s="1331"/>
      <c r="P131" s="1332" t="str">
        <f>IF($D131="Logistics",VLOOKUP($O131,'Lower Hot Cell Logistics'!$C$4:$D$69,2,FALSE),"N/A")</f>
        <v>N/A</v>
      </c>
      <c r="R131"/>
      <c r="S131"/>
    </row>
    <row r="132" spans="1:19" s="89" customFormat="1" ht="26.6" hidden="1" outlineLevel="1" thickBot="1" x14ac:dyDescent="0.45">
      <c r="A132" s="1191"/>
      <c r="B132" s="3816"/>
      <c r="C132" s="1340" t="str">
        <f>B128</f>
        <v>LIB pipe module stored;  Pipe Module handling System Moved to Lower Port</v>
      </c>
      <c r="D132" s="1340" t="s">
        <v>11</v>
      </c>
      <c r="E132" s="1295">
        <f t="shared" si="7"/>
        <v>0</v>
      </c>
      <c r="F132" s="1295">
        <f>IF($D132="Trigger",VLOOKUP("*"&amp;$C132&amp;"*",'Lower Hot Cell Weld Failure'!$D$127:$G$165,4,FALSE),E132+F131)</f>
        <v>57.277794164839491</v>
      </c>
      <c r="G132" s="839"/>
      <c r="H132" s="1341" t="s">
        <v>263</v>
      </c>
      <c r="I132" s="1727"/>
      <c r="J132" s="1340"/>
      <c r="K132" s="1340"/>
      <c r="L132" s="842" t="str">
        <f>IFERROR(INDEX('Lower Hot Cell Logistics'!$I$13:$O$19,MATCH($J132,'Lower Hot Cell Logistics'!$H$13:$H$19,0),MATCH($K132,'Lower Hot Cell Logistics'!$H$13:$H$19,0)),"N/A")</f>
        <v>N/A</v>
      </c>
      <c r="M132" s="842" t="str">
        <f>IFERROR(VLOOKUP($I132,'Lower Hot Cell Logistics'!$H$4:$I$8,2,FALSE),"N/A")</f>
        <v>N/A</v>
      </c>
      <c r="N132" s="2199" t="str">
        <f t="shared" si="8"/>
        <v>N/A</v>
      </c>
      <c r="O132" s="1344"/>
      <c r="P132" s="1345" t="str">
        <f>IF($D132="Logistics",VLOOKUP($O132,'Lower Hot Cell Logistics'!$C$4:$D$69,2,FALSE),"N/A")</f>
        <v>N/A</v>
      </c>
      <c r="R132"/>
      <c r="S132"/>
    </row>
    <row r="133" spans="1:19" s="89" customFormat="1" ht="15" hidden="1" customHeight="1" outlineLevel="1" x14ac:dyDescent="0.4">
      <c r="A133" s="1191"/>
      <c r="B133" s="3787" t="s">
        <v>2289</v>
      </c>
      <c r="C133" s="617" t="s">
        <v>2192</v>
      </c>
      <c r="D133" s="617" t="s">
        <v>907</v>
      </c>
      <c r="E133" s="567">
        <f t="shared" si="7"/>
        <v>0</v>
      </c>
      <c r="F133" s="567">
        <f>IF($D133="Trigger",VLOOKUP("*"&amp;$C133&amp;"*",'Lower Hot Cell Weld Failure'!$D$127:$G$165,4,FALSE),E133+F132)</f>
        <v>55.471868238913565</v>
      </c>
      <c r="G133" s="568"/>
      <c r="H133" s="569" t="s">
        <v>263</v>
      </c>
      <c r="I133" s="1270"/>
      <c r="J133" s="617"/>
      <c r="K133" s="617"/>
      <c r="L133" s="570" t="str">
        <f>IFERROR(INDEX('Lower Hot Cell Logistics'!$I$13:$O$19,MATCH($J133,'Lower Hot Cell Logistics'!$H$13:$H$19,0),MATCH($K133,'Lower Hot Cell Logistics'!$H$13:$H$19,0)),"N/A")</f>
        <v>N/A</v>
      </c>
      <c r="M133" s="802" t="str">
        <f>IFERROR(VLOOKUP($I133,'Lower Hot Cell Logistics'!$H$4:$I$8,2,FALSE),"N/A")</f>
        <v>N/A</v>
      </c>
      <c r="N133" s="1182" t="str">
        <f t="shared" si="8"/>
        <v>N/A</v>
      </c>
      <c r="O133" s="620"/>
      <c r="P133" s="621" t="str">
        <f>IF($D133="Logistics",VLOOKUP($O133,'Lower Hot Cell Logistics'!$C$4:$D$69,2,FALSE),"N/A")</f>
        <v>N/A</v>
      </c>
      <c r="R133"/>
      <c r="S133"/>
    </row>
    <row r="134" spans="1:19" s="89" customFormat="1" ht="15" hidden="1" customHeight="1" outlineLevel="1" x14ac:dyDescent="0.4">
      <c r="A134" s="1191"/>
      <c r="B134" s="3786"/>
      <c r="C134" s="1275" t="s">
        <v>2141</v>
      </c>
      <c r="D134" s="572" t="s">
        <v>778</v>
      </c>
      <c r="E134" s="578">
        <f t="shared" si="7"/>
        <v>0.69444444444444442</v>
      </c>
      <c r="F134" s="578">
        <f>IF($D134="Trigger",VLOOKUP("*"&amp;$C134&amp;"*",'Lower Hot Cell Weld Failure'!$D$127:$G$165,4,FALSE),E134+F133)</f>
        <v>56.166312683358008</v>
      </c>
      <c r="G134" s="872"/>
      <c r="H134" s="2221" t="s">
        <v>263</v>
      </c>
      <c r="I134" s="1281" t="s">
        <v>1826</v>
      </c>
      <c r="J134" s="572" t="s">
        <v>451</v>
      </c>
      <c r="K134" s="572" t="s">
        <v>831</v>
      </c>
      <c r="L134" s="1176">
        <f>IFERROR(INDEX('Lower Hot Cell Logistics'!$I$13:$O$19,MATCH($J134,'Lower Hot Cell Logistics'!$H$13:$H$19,0),MATCH($K134,'Lower Hot Cell Logistics'!$H$13:$H$19,0)),"N/A")</f>
        <v>50</v>
      </c>
      <c r="M134" s="2222">
        <f>IFERROR(VLOOKUP($I134,'Lower Hot Cell Logistics'!$H$4:$I$8,2,FALSE),"N/A")</f>
        <v>0.02</v>
      </c>
      <c r="N134" s="580">
        <f t="shared" si="8"/>
        <v>0.69444444444444442</v>
      </c>
      <c r="O134" s="631"/>
      <c r="P134" s="632" t="str">
        <f>IF($D134="Logistics",VLOOKUP($O134,'Lower Hot Cell Logistics'!$C$4:$D$69,2,FALSE),"N/A")</f>
        <v>N/A</v>
      </c>
      <c r="R134"/>
      <c r="S134"/>
    </row>
    <row r="135" spans="1:19" s="89" customFormat="1" ht="15" hidden="1" customHeight="1" outlineLevel="1" x14ac:dyDescent="0.4">
      <c r="A135" s="1191"/>
      <c r="B135" s="3786"/>
      <c r="C135" s="1275" t="s">
        <v>1757</v>
      </c>
      <c r="D135" s="572" t="s">
        <v>3</v>
      </c>
      <c r="E135" s="578">
        <f t="shared" si="7"/>
        <v>0.88000000000000012</v>
      </c>
      <c r="F135" s="578">
        <f>IF($D135="Trigger",VLOOKUP("*"&amp;$C135&amp;"*",'Lower Hot Cell Weld Failure'!$D$127:$G$165,4,FALSE),E135+F134)</f>
        <v>57.046312683358011</v>
      </c>
      <c r="G135" s="872"/>
      <c r="H135" s="2221" t="s">
        <v>263</v>
      </c>
      <c r="I135" s="1281"/>
      <c r="J135" s="572"/>
      <c r="K135" s="572"/>
      <c r="L135" s="1176" t="str">
        <f>IFERROR(INDEX('Lower Hot Cell Logistics'!$I$13:$O$19,MATCH($J135,'Lower Hot Cell Logistics'!$H$13:$H$19,0),MATCH($K135,'Lower Hot Cell Logistics'!$H$13:$H$19,0)),"N/A")</f>
        <v>N/A</v>
      </c>
      <c r="M135" s="2222" t="str">
        <f>IFERROR(VLOOKUP($I135,'Lower Hot Cell Logistics'!$H$4:$I$8,2,FALSE),"N/A")</f>
        <v>N/A</v>
      </c>
      <c r="N135" s="580" t="str">
        <f t="shared" si="8"/>
        <v>N/A</v>
      </c>
      <c r="O135" s="631" t="s">
        <v>2144</v>
      </c>
      <c r="P135" s="632">
        <f>IF($D135="Logistics",VLOOKUP($O135,'Lower Hot Cell Logistics'!$C$4:$D$69,2,FALSE),"N/A")</f>
        <v>0.88000000000000012</v>
      </c>
      <c r="R135"/>
      <c r="S135"/>
    </row>
    <row r="136" spans="1:19" s="89" customFormat="1" ht="14.6" hidden="1" outlineLevel="1" x14ac:dyDescent="0.4">
      <c r="A136" s="1191"/>
      <c r="B136" s="3786"/>
      <c r="C136" s="572" t="s">
        <v>2189</v>
      </c>
      <c r="D136" s="572" t="s">
        <v>778</v>
      </c>
      <c r="E136" s="574">
        <f t="shared" si="7"/>
        <v>0.23148148148148148</v>
      </c>
      <c r="F136" s="574">
        <f>IF($D136="Trigger",VLOOKUP("*"&amp;$C136&amp;"*",'Lower Hot Cell Weld Failure'!$D$127:$G$165,4,FALSE),E136+F135)</f>
        <v>57.277794164839491</v>
      </c>
      <c r="G136" s="575"/>
      <c r="H136" s="576" t="s">
        <v>263</v>
      </c>
      <c r="I136" s="1281" t="s">
        <v>2190</v>
      </c>
      <c r="J136" s="572" t="s">
        <v>799</v>
      </c>
      <c r="K136" s="572" t="s">
        <v>451</v>
      </c>
      <c r="L136" s="853">
        <f>IFERROR(INDEX('Lower Hot Cell Logistics'!$I$13:$O$19,MATCH($J136,'Lower Hot Cell Logistics'!$H$13:$H$19,0),MATCH($K136,'Lower Hot Cell Logistics'!$H$13:$H$19,0)),"N/A")</f>
        <v>50</v>
      </c>
      <c r="M136" s="853">
        <f>IFERROR(VLOOKUP($I136,'Lower Hot Cell Logistics'!$H$4:$I$8,2,FALSE),"N/A")</f>
        <v>0.06</v>
      </c>
      <c r="N136" s="1180">
        <f t="shared" si="8"/>
        <v>0.23148148148148148</v>
      </c>
      <c r="O136" s="579"/>
      <c r="P136" s="580" t="str">
        <f>IF($D136="Logistics",VLOOKUP($O136,'Lower Hot Cell Logistics'!$C$4:$D$69,2,FALSE),"N/A")</f>
        <v>N/A</v>
      </c>
      <c r="R136"/>
      <c r="S136"/>
    </row>
    <row r="137" spans="1:19" s="89" customFormat="1" ht="26.6" hidden="1" outlineLevel="1" thickBot="1" x14ac:dyDescent="0.45">
      <c r="A137" s="1191"/>
      <c r="B137" s="3788"/>
      <c r="C137" s="583" t="str">
        <f>B133</f>
        <v>RIB pipe module stored;  Blanket Pipe Module handling System Stored</v>
      </c>
      <c r="D137" s="583" t="s">
        <v>11</v>
      </c>
      <c r="E137" s="585">
        <f t="shared" si="7"/>
        <v>0</v>
      </c>
      <c r="F137" s="585">
        <f>IF($D137="Trigger",VLOOKUP("*"&amp;$C137&amp;"*",'Lower Hot Cell Weld Failure'!$D$127:$G$165,4,FALSE),E137+F136)</f>
        <v>57.277794164839491</v>
      </c>
      <c r="G137" s="586"/>
      <c r="H137" s="587" t="s">
        <v>263</v>
      </c>
      <c r="I137" s="1720"/>
      <c r="J137" s="583"/>
      <c r="K137" s="583"/>
      <c r="L137" s="814" t="str">
        <f>IFERROR(INDEX('Lower Hot Cell Logistics'!$I$13:$O$19,MATCH($J137,'Lower Hot Cell Logistics'!$H$13:$H$19,0),MATCH($K137,'Lower Hot Cell Logistics'!$H$13:$H$19,0)),"N/A")</f>
        <v>N/A</v>
      </c>
      <c r="M137" s="814" t="str">
        <f>IFERROR(VLOOKUP($I137,'Lower Hot Cell Logistics'!$H$4:$I$8,2,FALSE),"N/A")</f>
        <v>N/A</v>
      </c>
      <c r="N137" s="1181" t="str">
        <f t="shared" si="8"/>
        <v>N/A</v>
      </c>
      <c r="O137" s="590"/>
      <c r="P137" s="591" t="str">
        <f>IF($D137="Logistics",VLOOKUP($O137,'Lower Hot Cell Logistics'!$C$4:$D$69,2,FALSE),"N/A")</f>
        <v>N/A</v>
      </c>
      <c r="R137"/>
      <c r="S137"/>
    </row>
    <row r="138" spans="1:19" s="89" customFormat="1" ht="14.6" hidden="1" outlineLevel="1" x14ac:dyDescent="0.4">
      <c r="A138" s="1191"/>
      <c r="B138" s="3814" t="s">
        <v>2286</v>
      </c>
      <c r="C138" s="1324" t="s">
        <v>2061</v>
      </c>
      <c r="D138" s="1324" t="s">
        <v>907</v>
      </c>
      <c r="E138" s="1291">
        <f t="shared" si="7"/>
        <v>0</v>
      </c>
      <c r="F138" s="1291">
        <f>IF($D138="Trigger",VLOOKUP("*"&amp;$C138&amp;"*",'Lower Hot Cell Weld Failure'!$D$127:$G$165,4,FALSE),E138+F137)</f>
        <v>79.270761224567863</v>
      </c>
      <c r="G138" s="825"/>
      <c r="H138" s="1323" t="s">
        <v>263</v>
      </c>
      <c r="I138" s="1721"/>
      <c r="J138" s="1324"/>
      <c r="K138" s="1324"/>
      <c r="L138" s="828" t="str">
        <f>IFERROR(INDEX('Lower Hot Cell Logistics'!$I$13:$O$19,MATCH($J138,'Lower Hot Cell Logistics'!$H$13:$H$19,0),MATCH($K138,'Lower Hot Cell Logistics'!$H$13:$H$19,0)),"N/A")</f>
        <v>N/A</v>
      </c>
      <c r="M138" s="828" t="str">
        <f>IFERROR(VLOOKUP($I138,'Lower Hot Cell Logistics'!$H$4:$I$8,2,FALSE),"N/A")</f>
        <v>N/A</v>
      </c>
      <c r="N138" s="2200" t="str">
        <f t="shared" ref="N138:N148" si="9">IF(D138="Movement",IFERROR((L138/M138)/(60*60),"Error"),"N/A")</f>
        <v>N/A</v>
      </c>
      <c r="O138" s="1327"/>
      <c r="P138" s="824" t="str">
        <f>IF($D138="Logistics",VLOOKUP($O138,'Lower Hot Cell Logistics'!$C$4:$D$69,2,FALSE),"N/A")</f>
        <v>N/A</v>
      </c>
      <c r="R138"/>
      <c r="S138"/>
    </row>
    <row r="139" spans="1:19" s="89" customFormat="1" ht="14.6" hidden="1" outlineLevel="1" x14ac:dyDescent="0.4">
      <c r="A139" s="1191"/>
      <c r="B139" s="3815"/>
      <c r="C139" s="1294" t="s">
        <v>2344</v>
      </c>
      <c r="D139" s="1294" t="s">
        <v>778</v>
      </c>
      <c r="E139" s="1292">
        <f t="shared" si="7"/>
        <v>0.69444444444444442</v>
      </c>
      <c r="F139" s="1292">
        <f>IF($D139="Trigger",VLOOKUP("*"&amp;$C139&amp;"*",'Lower Hot Cell Weld Failure'!$D$127:$G$165,4,FALSE),E139+F138)</f>
        <v>79.965205669012306</v>
      </c>
      <c r="G139" s="862"/>
      <c r="H139" s="1328" t="s">
        <v>263</v>
      </c>
      <c r="I139" s="1724" t="s">
        <v>1826</v>
      </c>
      <c r="J139" s="1294" t="s">
        <v>451</v>
      </c>
      <c r="K139" s="1294" t="s">
        <v>914</v>
      </c>
      <c r="L139" s="865">
        <f>IFERROR(INDEX('Lower Hot Cell Logistics'!$I$13:$O$19,MATCH($J139,'Lower Hot Cell Logistics'!$H$13:$H$19,0),MATCH($K139,'Lower Hot Cell Logistics'!$H$13:$H$19,0)),"N/A")</f>
        <v>50</v>
      </c>
      <c r="M139" s="865">
        <f>IFERROR(VLOOKUP($I139,'Lower Hot Cell Logistics'!$H$4:$I$8,2,FALSE),"N/A")</f>
        <v>0.02</v>
      </c>
      <c r="N139" s="2197">
        <f t="shared" si="9"/>
        <v>0.69444444444444442</v>
      </c>
      <c r="O139" s="1331"/>
      <c r="P139" s="1332" t="str">
        <f>IF($D139="Logistics",VLOOKUP($O139,'Lower Hot Cell Logistics'!$C$4:$D$69,2,FALSE),"N/A")</f>
        <v>N/A</v>
      </c>
      <c r="R139"/>
      <c r="S139"/>
    </row>
    <row r="140" spans="1:19" s="89" customFormat="1" ht="14.6" hidden="1" outlineLevel="1" x14ac:dyDescent="0.4">
      <c r="A140" s="1191"/>
      <c r="B140" s="3815"/>
      <c r="C140" s="1294" t="s">
        <v>2345</v>
      </c>
      <c r="D140" s="1294" t="s">
        <v>3</v>
      </c>
      <c r="E140" s="1292">
        <f t="shared" si="7"/>
        <v>0.88000000000000012</v>
      </c>
      <c r="F140" s="1292">
        <f>IF($D140="Trigger",VLOOKUP("*"&amp;$C140&amp;"*",'Lower Hot Cell Weld Failure'!$D$127:$G$165,4,FALSE),E140+F139)</f>
        <v>80.845205669012302</v>
      </c>
      <c r="G140" s="862"/>
      <c r="H140" s="1328" t="s">
        <v>263</v>
      </c>
      <c r="I140" s="1724"/>
      <c r="J140" s="1294"/>
      <c r="K140" s="1294"/>
      <c r="L140" s="865" t="str">
        <f>IFERROR(INDEX('Lower Hot Cell Logistics'!$I$13:$O$19,MATCH($J140,'Lower Hot Cell Logistics'!$H$13:$H$19,0),MATCH($K140,'Lower Hot Cell Logistics'!$H$13:$H$19,0)),"N/A")</f>
        <v>N/A</v>
      </c>
      <c r="M140" s="865" t="str">
        <f>IFERROR(VLOOKUP($I140,'Lower Hot Cell Logistics'!$H$4:$I$8,2,FALSE),"N/A")</f>
        <v>N/A</v>
      </c>
      <c r="N140" s="2197" t="str">
        <f t="shared" si="9"/>
        <v>N/A</v>
      </c>
      <c r="O140" s="1331" t="s">
        <v>2144</v>
      </c>
      <c r="P140" s="1332">
        <f>IF($D140="Logistics",VLOOKUP($O140,'Lower Hot Cell Logistics'!$C$4:$D$69,2,FALSE),"N/A")</f>
        <v>0.88000000000000012</v>
      </c>
      <c r="R140"/>
      <c r="S140"/>
    </row>
    <row r="141" spans="1:19" s="89" customFormat="1" ht="14.6" hidden="1" outlineLevel="1" x14ac:dyDescent="0.4">
      <c r="A141" s="1191"/>
      <c r="B141" s="3815"/>
      <c r="C141" s="1294" t="s">
        <v>2207</v>
      </c>
      <c r="D141" s="1294" t="s">
        <v>778</v>
      </c>
      <c r="E141" s="1292">
        <f t="shared" si="7"/>
        <v>9.2592592592592601E-2</v>
      </c>
      <c r="F141" s="1292">
        <f>IF($D141="Trigger",VLOOKUP("*"&amp;$C141&amp;"*",'Lower Hot Cell Weld Failure'!$D$127:$G$165,4,FALSE),E141+F140)</f>
        <v>80.937798261604897</v>
      </c>
      <c r="G141" s="862"/>
      <c r="H141" s="1328" t="s">
        <v>263</v>
      </c>
      <c r="I141" s="1724" t="s">
        <v>2142</v>
      </c>
      <c r="J141" s="1294" t="s">
        <v>799</v>
      </c>
      <c r="K141" s="1294" t="s">
        <v>1957</v>
      </c>
      <c r="L141" s="865">
        <f>IFERROR(INDEX('Lower Hot Cell Logistics'!$I$13:$O$19,MATCH($J141,'Lower Hot Cell Logistics'!$H$13:$H$19,0),MATCH($K141,'Lower Hot Cell Logistics'!$H$13:$H$19,0)),"N/A")</f>
        <v>20</v>
      </c>
      <c r="M141" s="865">
        <f>IFERROR(VLOOKUP($I141,'Lower Hot Cell Logistics'!$H$4:$I$8,2,FALSE),"N/A")</f>
        <v>0.06</v>
      </c>
      <c r="N141" s="2197">
        <f t="shared" si="9"/>
        <v>9.2592592592592601E-2</v>
      </c>
      <c r="O141" s="1331"/>
      <c r="P141" s="1332" t="str">
        <f>IF($D141="Logistics",VLOOKUP($O141,'Lower Hot Cell Logistics'!$C$4:$D$69,2,FALSE),"N/A")</f>
        <v>N/A</v>
      </c>
      <c r="R141"/>
      <c r="S141"/>
    </row>
    <row r="142" spans="1:19" s="89" customFormat="1" ht="14.6" hidden="1" outlineLevel="1" x14ac:dyDescent="0.4">
      <c r="A142" s="1191"/>
      <c r="B142" s="3815"/>
      <c r="C142" s="1346" t="s">
        <v>2208</v>
      </c>
      <c r="D142" s="1346" t="s">
        <v>3</v>
      </c>
      <c r="E142" s="1292">
        <f t="shared" si="7"/>
        <v>0.68</v>
      </c>
      <c r="F142" s="1292">
        <f>IF($D142="Trigger",VLOOKUP("*"&amp;$C142&amp;"*",'Lower Hot Cell Weld Failure'!$D$127:$G$165,4,FALSE),E142+F141)</f>
        <v>81.617798261604904</v>
      </c>
      <c r="G142" s="862"/>
      <c r="H142" s="1328" t="s">
        <v>263</v>
      </c>
      <c r="I142" s="1724"/>
      <c r="J142" s="1294"/>
      <c r="K142" s="1294"/>
      <c r="L142" s="865" t="str">
        <f>IFERROR(INDEX('Lower Hot Cell Logistics'!$I$13:$O$19,MATCH($J142,'Lower Hot Cell Logistics'!$H$13:$H$19,0),MATCH($K142,'Lower Hot Cell Logistics'!$H$13:$H$19,0)),"N/A")</f>
        <v>N/A</v>
      </c>
      <c r="M142" s="865" t="str">
        <f>IFERROR(VLOOKUP($I142,'Lower Hot Cell Logistics'!$H$4:$I$8,2,FALSE),"N/A")</f>
        <v>N/A</v>
      </c>
      <c r="N142" s="2197" t="str">
        <f t="shared" si="9"/>
        <v>N/A</v>
      </c>
      <c r="O142" s="1331" t="s">
        <v>2139</v>
      </c>
      <c r="P142" s="1332">
        <f>IF($D142="Logistics",VLOOKUP($O142,'Lower Hot Cell Logistics'!$C$4:$D$69,2,FALSE),"N/A")</f>
        <v>0.68</v>
      </c>
      <c r="R142"/>
      <c r="S142"/>
    </row>
    <row r="143" spans="1:19" s="89" customFormat="1" ht="14.6" hidden="1" outlineLevel="1" x14ac:dyDescent="0.4">
      <c r="A143" s="1191"/>
      <c r="B143" s="3815"/>
      <c r="C143" s="1346" t="s">
        <v>2209</v>
      </c>
      <c r="D143" s="1346" t="s">
        <v>778</v>
      </c>
      <c r="E143" s="1292">
        <f t="shared" si="7"/>
        <v>0.69444444444444442</v>
      </c>
      <c r="F143" s="1292">
        <f>IF($D143="Trigger",VLOOKUP("*"&amp;$C143&amp;"*",'Lower Hot Cell Weld Failure'!$D$127:$G$165,4,FALSE),E143+F142)</f>
        <v>82.312242706049346</v>
      </c>
      <c r="G143" s="862"/>
      <c r="H143" s="1328" t="s">
        <v>263</v>
      </c>
      <c r="I143" s="1724" t="s">
        <v>2171</v>
      </c>
      <c r="J143" s="1294" t="s">
        <v>1957</v>
      </c>
      <c r="K143" s="1294" t="s">
        <v>451</v>
      </c>
      <c r="L143" s="865">
        <f>IFERROR(INDEX('Lower Hot Cell Logistics'!$I$13:$O$19,MATCH($J143,'Lower Hot Cell Logistics'!$H$13:$H$19,0),MATCH($K143,'Lower Hot Cell Logistics'!$H$13:$H$19,0)),"N/A")</f>
        <v>50</v>
      </c>
      <c r="M143" s="865">
        <f>IFERROR(VLOOKUP($I143,'Lower Hot Cell Logistics'!$H$4:$I$8,2,FALSE),"N/A")</f>
        <v>0.02</v>
      </c>
      <c r="N143" s="2197">
        <f t="shared" si="9"/>
        <v>0.69444444444444442</v>
      </c>
      <c r="O143" s="1331"/>
      <c r="P143" s="1332" t="str">
        <f>IF($D143="Logistics",VLOOKUP($O143,'Lower Hot Cell Logistics'!$C$4:$D$69,2,FALSE),"N/A")</f>
        <v>N/A</v>
      </c>
      <c r="R143"/>
      <c r="S143"/>
    </row>
    <row r="144" spans="1:19" s="89" customFormat="1" ht="26.6" hidden="1" outlineLevel="1" thickBot="1" x14ac:dyDescent="0.45">
      <c r="A144" s="1191"/>
      <c r="B144" s="3816"/>
      <c r="C144" s="1340" t="str">
        <f>B138</f>
        <v>LIB Inner pipe module stored;  Replacement RIB Inner Port Pipe Module collected; Transporter moved to port</v>
      </c>
      <c r="D144" s="1340" t="s">
        <v>11</v>
      </c>
      <c r="E144" s="1295">
        <f t="shared" si="7"/>
        <v>0</v>
      </c>
      <c r="F144" s="1295">
        <f>IF($D144="Trigger",VLOOKUP("*"&amp;$C144&amp;"*",'Lower Hot Cell Weld Failure'!$D$127:$G$165,4,FALSE),E144+F143)</f>
        <v>82.312242706049346</v>
      </c>
      <c r="G144" s="839"/>
      <c r="H144" s="1341" t="s">
        <v>263</v>
      </c>
      <c r="I144" s="1727"/>
      <c r="J144" s="1340"/>
      <c r="K144" s="1340"/>
      <c r="L144" s="842" t="str">
        <f>IFERROR(INDEX('Lower Hot Cell Logistics'!$I$13:$O$19,MATCH($J144,'Lower Hot Cell Logistics'!$H$13:$H$19,0),MATCH($K144,'Lower Hot Cell Logistics'!$H$13:$H$19,0)),"N/A")</f>
        <v>N/A</v>
      </c>
      <c r="M144" s="842" t="str">
        <f>IFERROR(VLOOKUP($I144,'Lower Hot Cell Logistics'!$H$4:$I$8,2,FALSE),"N/A")</f>
        <v>N/A</v>
      </c>
      <c r="N144" s="2199" t="str">
        <f t="shared" si="9"/>
        <v>N/A</v>
      </c>
      <c r="O144" s="1344"/>
      <c r="P144" s="1345" t="str">
        <f>IF($D144="Logistics",VLOOKUP($O144,'Lower Hot Cell Logistics'!$C$4:$D$69,2,FALSE),"N/A")</f>
        <v>N/A</v>
      </c>
      <c r="R144"/>
      <c r="S144"/>
    </row>
    <row r="145" spans="1:19" s="89" customFormat="1" ht="15" hidden="1" customHeight="1" outlineLevel="1" x14ac:dyDescent="0.4">
      <c r="A145" s="1191"/>
      <c r="B145" s="3787" t="s">
        <v>2287</v>
      </c>
      <c r="C145" s="617" t="s">
        <v>2210</v>
      </c>
      <c r="D145" s="617" t="s">
        <v>907</v>
      </c>
      <c r="E145" s="567">
        <f t="shared" si="7"/>
        <v>0</v>
      </c>
      <c r="F145" s="567">
        <f>IF($D145="Trigger",VLOOKUP("*"&amp;$C145&amp;"*",'Lower Hot Cell Weld Failure'!$D$127:$G$165,4,FALSE),E145+F144)</f>
        <v>73.590761224567871</v>
      </c>
      <c r="G145" s="568"/>
      <c r="H145" s="569" t="s">
        <v>263</v>
      </c>
      <c r="I145" s="1270"/>
      <c r="J145" s="617"/>
      <c r="K145" s="617"/>
      <c r="L145" s="570" t="str">
        <f>IFERROR(INDEX('Lower Hot Cell Logistics'!$I$13:$O$19,MATCH($J145,'Lower Hot Cell Logistics'!$H$13:$H$19,0),MATCH($K145,'Lower Hot Cell Logistics'!$H$13:$H$19,0)),"N/A")</f>
        <v>N/A</v>
      </c>
      <c r="M145" s="802" t="str">
        <f>IFERROR(VLOOKUP($I145,'Lower Hot Cell Logistics'!$H$4:$I$8,2,FALSE),"N/A")</f>
        <v>N/A</v>
      </c>
      <c r="N145" s="1182" t="str">
        <f t="shared" si="9"/>
        <v>N/A</v>
      </c>
      <c r="O145" s="620"/>
      <c r="P145" s="621" t="str">
        <f>IF($D145="Logistics",VLOOKUP($O145,'Lower Hot Cell Logistics'!$C$4:$D$69,2,FALSE),"N/A")</f>
        <v>N/A</v>
      </c>
      <c r="R145"/>
      <c r="S145"/>
    </row>
    <row r="146" spans="1:19" s="89" customFormat="1" ht="15" hidden="1" customHeight="1" outlineLevel="1" x14ac:dyDescent="0.4">
      <c r="A146" s="1191"/>
      <c r="B146" s="3786"/>
      <c r="C146" s="1275" t="s">
        <v>2211</v>
      </c>
      <c r="D146" s="572" t="s">
        <v>778</v>
      </c>
      <c r="E146" s="578">
        <f t="shared" si="7"/>
        <v>0.23148148148148148</v>
      </c>
      <c r="F146" s="578">
        <f>IF($D146="Trigger",VLOOKUP("*"&amp;$C146&amp;"*",'Lower Hot Cell Weld Failure'!$D$127:$G$165,4,FALSE),E146+F145)</f>
        <v>73.822242706049352</v>
      </c>
      <c r="G146" s="872"/>
      <c r="H146" s="2221" t="s">
        <v>263</v>
      </c>
      <c r="I146" s="1281" t="s">
        <v>2142</v>
      </c>
      <c r="J146" s="572" t="s">
        <v>451</v>
      </c>
      <c r="K146" s="572" t="s">
        <v>1965</v>
      </c>
      <c r="L146" s="1176">
        <f>IFERROR(INDEX('Lower Hot Cell Logistics'!$I$13:$O$19,MATCH($J146,'Lower Hot Cell Logistics'!$H$13:$H$19,0),MATCH($K146,'Lower Hot Cell Logistics'!$H$13:$H$19,0)),"N/A")</f>
        <v>50</v>
      </c>
      <c r="M146" s="2222">
        <f>IFERROR(VLOOKUP($I146,'Lower Hot Cell Logistics'!$H$4:$I$8,2,FALSE),"N/A")</f>
        <v>0.06</v>
      </c>
      <c r="N146" s="580">
        <f t="shared" si="9"/>
        <v>0.23148148148148148</v>
      </c>
      <c r="O146" s="631"/>
      <c r="P146" s="632" t="str">
        <f>IF($D146="Logistics",VLOOKUP($O146,'Lower Hot Cell Logistics'!$C$4:$D$69,2,FALSE),"N/A")</f>
        <v>N/A</v>
      </c>
      <c r="R146"/>
      <c r="S146"/>
    </row>
    <row r="147" spans="1:19" s="89" customFormat="1" ht="15" hidden="1" customHeight="1" outlineLevel="1" x14ac:dyDescent="0.4">
      <c r="A147" s="1191"/>
      <c r="B147" s="3786"/>
      <c r="C147" s="1275" t="s">
        <v>2212</v>
      </c>
      <c r="D147" s="572" t="s">
        <v>3</v>
      </c>
      <c r="E147" s="578">
        <f t="shared" si="7"/>
        <v>0.68</v>
      </c>
      <c r="F147" s="578">
        <f>IF($D147="Trigger",VLOOKUP("*"&amp;$C147&amp;"*",'Lower Hot Cell Weld Failure'!$D$127:$G$165,4,FALSE),E147+F146)</f>
        <v>74.502242706049358</v>
      </c>
      <c r="G147" s="872"/>
      <c r="H147" s="2221" t="s">
        <v>263</v>
      </c>
      <c r="I147" s="1281"/>
      <c r="J147" s="572"/>
      <c r="K147" s="572"/>
      <c r="L147" s="1176" t="str">
        <f>IFERROR(INDEX('Lower Hot Cell Logistics'!$I$13:$O$19,MATCH($J147,'Lower Hot Cell Logistics'!$H$13:$H$19,0),MATCH($K147,'Lower Hot Cell Logistics'!$H$13:$H$19,0)),"N/A")</f>
        <v>N/A</v>
      </c>
      <c r="M147" s="2222" t="str">
        <f>IFERROR(VLOOKUP($I147,'Lower Hot Cell Logistics'!$H$4:$I$8,2,FALSE),"N/A")</f>
        <v>N/A</v>
      </c>
      <c r="N147" s="580" t="str">
        <f t="shared" si="9"/>
        <v>N/A</v>
      </c>
      <c r="O147" s="631" t="s">
        <v>2139</v>
      </c>
      <c r="P147" s="632">
        <f>IF($D147="Logistics",VLOOKUP($O147,'Lower Hot Cell Logistics'!$C$4:$D$69,2,FALSE),"N/A")</f>
        <v>0.68</v>
      </c>
      <c r="R147"/>
      <c r="S147"/>
    </row>
    <row r="148" spans="1:19" s="89" customFormat="1" ht="14.6" hidden="1" outlineLevel="1" x14ac:dyDescent="0.4">
      <c r="A148" s="1191"/>
      <c r="B148" s="3786"/>
      <c r="C148" s="572" t="s">
        <v>2189</v>
      </c>
      <c r="D148" s="572" t="s">
        <v>778</v>
      </c>
      <c r="E148" s="574">
        <f t="shared" si="7"/>
        <v>0.69444444444444442</v>
      </c>
      <c r="F148" s="574">
        <f>IF($D148="Trigger",VLOOKUP("*"&amp;$C148&amp;"*",'Lower Hot Cell Weld Failure'!$D$127:$G$165,4,FALSE),E148+F147)</f>
        <v>75.196687150493801</v>
      </c>
      <c r="G148" s="575"/>
      <c r="H148" s="576" t="s">
        <v>263</v>
      </c>
      <c r="I148" s="1281" t="s">
        <v>2171</v>
      </c>
      <c r="J148" s="572" t="s">
        <v>799</v>
      </c>
      <c r="K148" s="572" t="s">
        <v>451</v>
      </c>
      <c r="L148" s="853">
        <f>IFERROR(INDEX('Lower Hot Cell Logistics'!$I$13:$O$19,MATCH($J148,'Lower Hot Cell Logistics'!$H$13:$H$19,0),MATCH($K148,'Lower Hot Cell Logistics'!$H$13:$H$19,0)),"N/A")</f>
        <v>50</v>
      </c>
      <c r="M148" s="853">
        <f>IFERROR(VLOOKUP($I148,'Lower Hot Cell Logistics'!$H$4:$I$8,2,FALSE),"N/A")</f>
        <v>0.02</v>
      </c>
      <c r="N148" s="1180">
        <f t="shared" si="9"/>
        <v>0.69444444444444442</v>
      </c>
      <c r="O148" s="579"/>
      <c r="P148" s="580" t="str">
        <f>IF($D148="Logistics",VLOOKUP($O148,'Lower Hot Cell Logistics'!$C$4:$D$69,2,FALSE),"N/A")</f>
        <v>N/A</v>
      </c>
      <c r="R148"/>
      <c r="S148"/>
    </row>
    <row r="149" spans="1:19" s="89" customFormat="1" ht="26.6" hidden="1" outlineLevel="1" thickBot="1" x14ac:dyDescent="0.45">
      <c r="A149" s="1191"/>
      <c r="B149" s="3788"/>
      <c r="C149" s="583" t="str">
        <f>B145</f>
        <v>Inner LIB pipe module collected; Pipe Module handling System Moved to Lower Port</v>
      </c>
      <c r="D149" s="583" t="s">
        <v>11</v>
      </c>
      <c r="E149" s="585">
        <f t="shared" si="7"/>
        <v>0</v>
      </c>
      <c r="F149" s="585">
        <f>IF($D149="Trigger",VLOOKUP("*"&amp;$C149&amp;"*",'Lower Hot Cell Weld Failure'!$D$127:$G$165,4,FALSE),E149+F148)</f>
        <v>75.196687150493801</v>
      </c>
      <c r="G149" s="586"/>
      <c r="H149" s="587" t="s">
        <v>263</v>
      </c>
      <c r="I149" s="1720"/>
      <c r="J149" s="583"/>
      <c r="K149" s="583"/>
      <c r="L149" s="814" t="str">
        <f>IFERROR(INDEX('Lower Hot Cell Logistics'!$I$13:$O$19,MATCH($J149,'Lower Hot Cell Logistics'!$H$13:$H$19,0),MATCH($K149,'Lower Hot Cell Logistics'!$H$13:$H$19,0)),"N/A")</f>
        <v>N/A</v>
      </c>
      <c r="M149" s="814" t="str">
        <f>IFERROR(VLOOKUP($I149,'Lower Hot Cell Logistics'!$H$4:$I$8,2,FALSE),"N/A")</f>
        <v>N/A</v>
      </c>
      <c r="N149" s="1181" t="str">
        <f t="shared" ref="N149:N169" si="10">IF(D149="Movement",IFERROR((L149/M149)/(60*60),"Error"),"N/A")</f>
        <v>N/A</v>
      </c>
      <c r="O149" s="590"/>
      <c r="P149" s="591" t="str">
        <f>IF($D149="Logistics",VLOOKUP($O149,'Lower Hot Cell Logistics'!$C$4:$D$69,2,FALSE),"N/A")</f>
        <v>N/A</v>
      </c>
      <c r="R149"/>
      <c r="S149"/>
    </row>
    <row r="150" spans="1:19" s="89" customFormat="1" ht="15" hidden="1" customHeight="1" outlineLevel="1" x14ac:dyDescent="0.4">
      <c r="A150" s="1191"/>
      <c r="B150" s="3814" t="s">
        <v>2077</v>
      </c>
      <c r="C150" s="1324" t="s">
        <v>2213</v>
      </c>
      <c r="D150" s="1324" t="s">
        <v>907</v>
      </c>
      <c r="E150" s="1291">
        <f t="shared" si="7"/>
        <v>0</v>
      </c>
      <c r="F150" s="1291">
        <f>IF($D150="Trigger",VLOOKUP("*"&amp;$C150&amp;"*",'Lower Hot Cell Weld Failure'!$D$127:$G$165,4,FALSE),E150+F149)</f>
        <v>134.65758015157451</v>
      </c>
      <c r="G150" s="825"/>
      <c r="H150" s="1323" t="s">
        <v>263</v>
      </c>
      <c r="I150" s="1721"/>
      <c r="J150" s="1324"/>
      <c r="K150" s="1324"/>
      <c r="L150" s="828" t="str">
        <f>IFERROR(INDEX('Lower Hot Cell Logistics'!$I$13:$O$19,MATCH($J150,'Lower Hot Cell Logistics'!$H$13:$H$19,0),MATCH($K150,'Lower Hot Cell Logistics'!$H$13:$H$19,0)),"N/A")</f>
        <v>N/A</v>
      </c>
      <c r="M150" s="827" t="str">
        <f>IFERROR(VLOOKUP($I150,'Lower Hot Cell Logistics'!$H$4:$I$8,2,FALSE),"N/A")</f>
        <v>N/A</v>
      </c>
      <c r="N150" s="2200" t="str">
        <f t="shared" si="10"/>
        <v>N/A</v>
      </c>
      <c r="O150" s="1327"/>
      <c r="P150" s="824" t="str">
        <f>IF($D150="Logistics",VLOOKUP($O150,'Lower Hot Cell Logistics'!$C$4:$D$69,2,FALSE),"N/A")</f>
        <v>N/A</v>
      </c>
      <c r="R150"/>
      <c r="S150"/>
    </row>
    <row r="151" spans="1:19" s="89" customFormat="1" ht="15" hidden="1" customHeight="1" outlineLevel="1" x14ac:dyDescent="0.4">
      <c r="A151" s="1191"/>
      <c r="B151" s="3815"/>
      <c r="C151" s="1362" t="s">
        <v>2211</v>
      </c>
      <c r="D151" s="1294" t="s">
        <v>778</v>
      </c>
      <c r="E151" s="1330">
        <f t="shared" si="7"/>
        <v>0.23148148148148148</v>
      </c>
      <c r="F151" s="1330">
        <f>IF($D151="Trigger",VLOOKUP("*"&amp;$C151&amp;"*",'Lower Hot Cell Weld Failure'!$D$127:$G$165,4,FALSE),E151+F150)</f>
        <v>134.889061633056</v>
      </c>
      <c r="G151" s="1722"/>
      <c r="H151" s="2219" t="s">
        <v>263</v>
      </c>
      <c r="I151" s="1724" t="s">
        <v>2142</v>
      </c>
      <c r="J151" s="1294" t="s">
        <v>451</v>
      </c>
      <c r="K151" s="1294" t="s">
        <v>1965</v>
      </c>
      <c r="L151" s="2042">
        <f>IFERROR(INDEX('Lower Hot Cell Logistics'!$I$13:$O$19,MATCH($J151,'Lower Hot Cell Logistics'!$H$13:$H$19,0),MATCH($K151,'Lower Hot Cell Logistics'!$H$13:$H$19,0)),"N/A")</f>
        <v>50</v>
      </c>
      <c r="M151" s="2220">
        <f>IFERROR(VLOOKUP($I151,'Lower Hot Cell Logistics'!$H$4:$I$8,2,FALSE),"N/A")</f>
        <v>0.06</v>
      </c>
      <c r="N151" s="1332">
        <f t="shared" si="10"/>
        <v>0.23148148148148148</v>
      </c>
      <c r="O151" s="1352"/>
      <c r="P151" s="1353" t="str">
        <f>IF($D151="Logistics",VLOOKUP($O151,'Lower Hot Cell Logistics'!$C$4:$D$69,2,FALSE),"N/A")</f>
        <v>N/A</v>
      </c>
      <c r="R151"/>
      <c r="S151"/>
    </row>
    <row r="152" spans="1:19" s="89" customFormat="1" ht="15" hidden="1" customHeight="1" outlineLevel="1" x14ac:dyDescent="0.4">
      <c r="A152" s="1191"/>
      <c r="B152" s="3815"/>
      <c r="C152" s="1362" t="s">
        <v>2212</v>
      </c>
      <c r="D152" s="1294" t="s">
        <v>3</v>
      </c>
      <c r="E152" s="1330">
        <f t="shared" si="7"/>
        <v>0.88000000000000012</v>
      </c>
      <c r="F152" s="1330">
        <f>IF($D152="Trigger",VLOOKUP("*"&amp;$C152&amp;"*",'Lower Hot Cell Weld Failure'!$D$127:$G$165,4,FALSE),E152+F151)</f>
        <v>135.769061633056</v>
      </c>
      <c r="G152" s="1722"/>
      <c r="H152" s="2219" t="s">
        <v>263</v>
      </c>
      <c r="I152" s="1724"/>
      <c r="J152" s="1294"/>
      <c r="K152" s="1294"/>
      <c r="L152" s="2042" t="str">
        <f>IFERROR(INDEX('Lower Hot Cell Logistics'!$I$13:$O$19,MATCH($J152,'Lower Hot Cell Logistics'!$H$13:$H$19,0),MATCH($K152,'Lower Hot Cell Logistics'!$H$13:$H$19,0)),"N/A")</f>
        <v>N/A</v>
      </c>
      <c r="M152" s="2220" t="str">
        <f>IFERROR(VLOOKUP($I152,'Lower Hot Cell Logistics'!$H$4:$I$8,2,FALSE),"N/A")</f>
        <v>N/A</v>
      </c>
      <c r="N152" s="1332" t="str">
        <f t="shared" si="10"/>
        <v>N/A</v>
      </c>
      <c r="O152" s="1352" t="s">
        <v>2144</v>
      </c>
      <c r="P152" s="1353">
        <f>IF($D152="Logistics",VLOOKUP($O152,'Lower Hot Cell Logistics'!$C$4:$D$69,2,FALSE),"N/A")</f>
        <v>0.88000000000000012</v>
      </c>
      <c r="R152"/>
      <c r="S152"/>
    </row>
    <row r="153" spans="1:19" s="89" customFormat="1" ht="14.6" hidden="1" outlineLevel="1" x14ac:dyDescent="0.4">
      <c r="A153" s="1191"/>
      <c r="B153" s="3815"/>
      <c r="C153" s="1294" t="s">
        <v>2189</v>
      </c>
      <c r="D153" s="1294" t="s">
        <v>778</v>
      </c>
      <c r="E153" s="1292">
        <f t="shared" si="7"/>
        <v>0.69444444444444442</v>
      </c>
      <c r="F153" s="1292">
        <f>IF($D153="Trigger",VLOOKUP("*"&amp;$C153&amp;"*",'Lower Hot Cell Weld Failure'!$D$127:$G$165,4,FALSE),E153+F152)</f>
        <v>136.46350607750045</v>
      </c>
      <c r="G153" s="862"/>
      <c r="H153" s="1328" t="s">
        <v>263</v>
      </c>
      <c r="I153" s="1724" t="s">
        <v>2171</v>
      </c>
      <c r="J153" s="1294" t="s">
        <v>799</v>
      </c>
      <c r="K153" s="1294" t="s">
        <v>451</v>
      </c>
      <c r="L153" s="865">
        <f>IFERROR(INDEX('Lower Hot Cell Logistics'!$I$13:$O$19,MATCH($J153,'Lower Hot Cell Logistics'!$H$13:$H$19,0),MATCH($K153,'Lower Hot Cell Logistics'!$H$13:$H$19,0)),"N/A")</f>
        <v>50</v>
      </c>
      <c r="M153" s="865">
        <f>IFERROR(VLOOKUP($I153,'Lower Hot Cell Logistics'!$H$4:$I$8,2,FALSE),"N/A")</f>
        <v>0.02</v>
      </c>
      <c r="N153" s="2197">
        <f t="shared" si="10"/>
        <v>0.69444444444444442</v>
      </c>
      <c r="O153" s="1331"/>
      <c r="P153" s="1332" t="str">
        <f>IF($D153="Logistics",VLOOKUP($O153,'Lower Hot Cell Logistics'!$C$4:$D$69,2,FALSE),"N/A")</f>
        <v>N/A</v>
      </c>
      <c r="R153"/>
      <c r="S153"/>
    </row>
    <row r="154" spans="1:19" s="89" customFormat="1" ht="26.6" hidden="1" outlineLevel="1" thickBot="1" x14ac:dyDescent="0.45">
      <c r="A154" s="1191"/>
      <c r="B154" s="3816"/>
      <c r="C154" s="1340" t="str">
        <f>B150</f>
        <v>RIB pipe module collected; Pipe Module handling System Moved to Lower Port</v>
      </c>
      <c r="D154" s="1340" t="s">
        <v>11</v>
      </c>
      <c r="E154" s="1295">
        <f t="shared" si="7"/>
        <v>0</v>
      </c>
      <c r="F154" s="1295">
        <f>IF($D154="Trigger",VLOOKUP("*"&amp;$C154&amp;"*",'Lower Hot Cell Weld Failure'!$D$127:$G$165,4,FALSE),E154+F153)</f>
        <v>136.46350607750045</v>
      </c>
      <c r="G154" s="839"/>
      <c r="H154" s="1341" t="s">
        <v>263</v>
      </c>
      <c r="I154" s="1727"/>
      <c r="J154" s="1340"/>
      <c r="K154" s="1340"/>
      <c r="L154" s="842" t="str">
        <f>IFERROR(INDEX('Lower Hot Cell Logistics'!$I$13:$O$19,MATCH($J154,'Lower Hot Cell Logistics'!$H$13:$H$19,0),MATCH($K154,'Lower Hot Cell Logistics'!$H$13:$H$19,0)),"N/A")</f>
        <v>N/A</v>
      </c>
      <c r="M154" s="842" t="str">
        <f>IFERROR(VLOOKUP($I154,'Lower Hot Cell Logistics'!$H$4:$I$8,2,FALSE),"N/A")</f>
        <v>N/A</v>
      </c>
      <c r="N154" s="2199" t="str">
        <f t="shared" si="10"/>
        <v>N/A</v>
      </c>
      <c r="O154" s="1344"/>
      <c r="P154" s="1345" t="str">
        <f>IF($D154="Logistics",VLOOKUP($O154,'Lower Hot Cell Logistics'!$C$4:$D$69,2,FALSE),"N/A")</f>
        <v>N/A</v>
      </c>
      <c r="R154"/>
      <c r="S154"/>
    </row>
    <row r="155" spans="1:19" s="89" customFormat="1" ht="15" hidden="1" customHeight="1" outlineLevel="1" x14ac:dyDescent="0.4">
      <c r="A155" s="1191"/>
      <c r="B155" s="3787" t="s">
        <v>2079</v>
      </c>
      <c r="C155" s="617" t="s">
        <v>2213</v>
      </c>
      <c r="D155" s="617" t="s">
        <v>907</v>
      </c>
      <c r="E155" s="567">
        <f t="shared" si="7"/>
        <v>0</v>
      </c>
      <c r="F155" s="567">
        <f>IF($D155="Trigger",VLOOKUP("*"&amp;$C155&amp;"*",'Lower Hot Cell Weld Failure'!$D$127:$G$165,4,FALSE),E155+F154)</f>
        <v>134.65758015157451</v>
      </c>
      <c r="G155" s="568"/>
      <c r="H155" s="569" t="s">
        <v>263</v>
      </c>
      <c r="I155" s="1270"/>
      <c r="J155" s="617"/>
      <c r="K155" s="617"/>
      <c r="L155" s="570" t="str">
        <f>IFERROR(INDEX('Lower Hot Cell Logistics'!$I$13:$O$19,MATCH($J155,'Lower Hot Cell Logistics'!$H$13:$H$19,0),MATCH($K155,'Lower Hot Cell Logistics'!$H$13:$H$19,0)),"N/A")</f>
        <v>N/A</v>
      </c>
      <c r="M155" s="802" t="str">
        <f>IFERROR(VLOOKUP($I155,'Lower Hot Cell Logistics'!$H$4:$I$8,2,FALSE),"N/A")</f>
        <v>N/A</v>
      </c>
      <c r="N155" s="1182" t="str">
        <f t="shared" si="10"/>
        <v>N/A</v>
      </c>
      <c r="O155" s="620"/>
      <c r="P155" s="621" t="str">
        <f>IF($D155="Logistics",VLOOKUP($O155,'Lower Hot Cell Logistics'!$C$4:$D$69,2,FALSE),"N/A")</f>
        <v>N/A</v>
      </c>
      <c r="R155"/>
      <c r="S155"/>
    </row>
    <row r="156" spans="1:19" s="89" customFormat="1" ht="15" hidden="1" customHeight="1" outlineLevel="1" x14ac:dyDescent="0.4">
      <c r="A156" s="1191"/>
      <c r="B156" s="3786"/>
      <c r="C156" s="1275" t="s">
        <v>2211</v>
      </c>
      <c r="D156" s="572" t="s">
        <v>778</v>
      </c>
      <c r="E156" s="578">
        <f t="shared" si="7"/>
        <v>0.23148148148148148</v>
      </c>
      <c r="F156" s="578">
        <f>IF($D156="Trigger",VLOOKUP("*"&amp;$C156&amp;"*",'Lower Hot Cell Weld Failure'!$D$127:$G$165,4,FALSE),E156+F155)</f>
        <v>134.889061633056</v>
      </c>
      <c r="G156" s="872"/>
      <c r="H156" s="2221" t="s">
        <v>263</v>
      </c>
      <c r="I156" s="1281" t="s">
        <v>2142</v>
      </c>
      <c r="J156" s="572" t="s">
        <v>451</v>
      </c>
      <c r="K156" s="572" t="s">
        <v>1965</v>
      </c>
      <c r="L156" s="1176">
        <f>IFERROR(INDEX('Lower Hot Cell Logistics'!$I$13:$O$19,MATCH($J156,'Lower Hot Cell Logistics'!$H$13:$H$19,0),MATCH($K156,'Lower Hot Cell Logistics'!$H$13:$H$19,0)),"N/A")</f>
        <v>50</v>
      </c>
      <c r="M156" s="2222">
        <f>IFERROR(VLOOKUP($I156,'Lower Hot Cell Logistics'!$H$4:$I$8,2,FALSE),"N/A")</f>
        <v>0.06</v>
      </c>
      <c r="N156" s="580">
        <f t="shared" si="10"/>
        <v>0.23148148148148148</v>
      </c>
      <c r="O156" s="631"/>
      <c r="P156" s="632" t="str">
        <f>IF($D156="Logistics",VLOOKUP($O156,'Lower Hot Cell Logistics'!$C$4:$D$69,2,FALSE),"N/A")</f>
        <v>N/A</v>
      </c>
      <c r="R156"/>
      <c r="S156"/>
    </row>
    <row r="157" spans="1:19" s="89" customFormat="1" ht="15" hidden="1" customHeight="1" outlineLevel="1" x14ac:dyDescent="0.4">
      <c r="A157" s="1191"/>
      <c r="B157" s="3786"/>
      <c r="C157" s="1275" t="s">
        <v>2212</v>
      </c>
      <c r="D157" s="572" t="s">
        <v>3</v>
      </c>
      <c r="E157" s="578">
        <f t="shared" si="7"/>
        <v>0.88000000000000012</v>
      </c>
      <c r="F157" s="578">
        <f>IF($D157="Trigger",VLOOKUP("*"&amp;$C157&amp;"*",'Lower Hot Cell Weld Failure'!$D$127:$G$165,4,FALSE),E157+F156)</f>
        <v>135.769061633056</v>
      </c>
      <c r="G157" s="872"/>
      <c r="H157" s="2221" t="s">
        <v>263</v>
      </c>
      <c r="I157" s="1281"/>
      <c r="J157" s="572"/>
      <c r="K157" s="572"/>
      <c r="L157" s="1176" t="str">
        <f>IFERROR(INDEX('Lower Hot Cell Logistics'!$I$13:$O$19,MATCH($J157,'Lower Hot Cell Logistics'!$H$13:$H$19,0),MATCH($K157,'Lower Hot Cell Logistics'!$H$13:$H$19,0)),"N/A")</f>
        <v>N/A</v>
      </c>
      <c r="M157" s="2222" t="str">
        <f>IFERROR(VLOOKUP($I157,'Lower Hot Cell Logistics'!$H$4:$I$8,2,FALSE),"N/A")</f>
        <v>N/A</v>
      </c>
      <c r="N157" s="580" t="str">
        <f t="shared" si="10"/>
        <v>N/A</v>
      </c>
      <c r="O157" s="631" t="s">
        <v>2144</v>
      </c>
      <c r="P157" s="632">
        <f>IF($D157="Logistics",VLOOKUP($O157,'Lower Hot Cell Logistics'!$C$4:$D$69,2,FALSE),"N/A")</f>
        <v>0.88000000000000012</v>
      </c>
      <c r="R157"/>
      <c r="S157"/>
    </row>
    <row r="158" spans="1:19" s="89" customFormat="1" ht="14.6" hidden="1" outlineLevel="1" x14ac:dyDescent="0.4">
      <c r="A158" s="1191"/>
      <c r="B158" s="3786"/>
      <c r="C158" s="572" t="s">
        <v>2189</v>
      </c>
      <c r="D158" s="572" t="s">
        <v>778</v>
      </c>
      <c r="E158" s="574">
        <f t="shared" si="7"/>
        <v>0.69444444444444442</v>
      </c>
      <c r="F158" s="574">
        <f>IF($D158="Trigger",VLOOKUP("*"&amp;$C158&amp;"*",'Lower Hot Cell Weld Failure'!$D$127:$G$165,4,FALSE),E158+F157)</f>
        <v>136.46350607750045</v>
      </c>
      <c r="G158" s="575"/>
      <c r="H158" s="576" t="s">
        <v>263</v>
      </c>
      <c r="I158" s="1281" t="s">
        <v>2171</v>
      </c>
      <c r="J158" s="572" t="s">
        <v>799</v>
      </c>
      <c r="K158" s="572" t="s">
        <v>451</v>
      </c>
      <c r="L158" s="853">
        <f>IFERROR(INDEX('Lower Hot Cell Logistics'!$I$13:$O$19,MATCH($J158,'Lower Hot Cell Logistics'!$H$13:$H$19,0),MATCH($K158,'Lower Hot Cell Logistics'!$H$13:$H$19,0)),"N/A")</f>
        <v>50</v>
      </c>
      <c r="M158" s="853">
        <f>IFERROR(VLOOKUP($I158,'Lower Hot Cell Logistics'!$H$4:$I$8,2,FALSE),"N/A")</f>
        <v>0.02</v>
      </c>
      <c r="N158" s="1180">
        <f t="shared" si="10"/>
        <v>0.69444444444444442</v>
      </c>
      <c r="O158" s="579"/>
      <c r="P158" s="580" t="str">
        <f>IF($D158="Logistics",VLOOKUP($O158,'Lower Hot Cell Logistics'!$C$4:$D$69,2,FALSE),"N/A")</f>
        <v>N/A</v>
      </c>
      <c r="R158"/>
      <c r="S158"/>
    </row>
    <row r="159" spans="1:19" s="89" customFormat="1" ht="26.6" hidden="1" outlineLevel="1" thickBot="1" x14ac:dyDescent="0.45">
      <c r="A159" s="1191"/>
      <c r="B159" s="3788"/>
      <c r="C159" s="583" t="str">
        <f>B155</f>
        <v>LIB pipe module collected; Pipe Module handling System Moved to Lower Port</v>
      </c>
      <c r="D159" s="583" t="s">
        <v>11</v>
      </c>
      <c r="E159" s="585">
        <f t="shared" si="7"/>
        <v>0</v>
      </c>
      <c r="F159" s="585">
        <f>IF($D159="Trigger",VLOOKUP("*"&amp;$C159&amp;"*",'Lower Hot Cell Weld Failure'!$D$127:$G$165,4,FALSE),E159+F158)</f>
        <v>136.46350607750045</v>
      </c>
      <c r="G159" s="586"/>
      <c r="H159" s="587" t="s">
        <v>263</v>
      </c>
      <c r="I159" s="1720"/>
      <c r="J159" s="583"/>
      <c r="K159" s="583"/>
      <c r="L159" s="814" t="str">
        <f>IFERROR(INDEX('Lower Hot Cell Logistics'!$I$13:$O$19,MATCH($J159,'Lower Hot Cell Logistics'!$H$13:$H$19,0),MATCH($K159,'Lower Hot Cell Logistics'!$H$13:$H$19,0)),"N/A")</f>
        <v>N/A</v>
      </c>
      <c r="M159" s="814" t="str">
        <f>IFERROR(VLOOKUP($I159,'Lower Hot Cell Logistics'!$H$4:$I$8,2,FALSE),"N/A")</f>
        <v>N/A</v>
      </c>
      <c r="N159" s="1181" t="str">
        <f t="shared" si="10"/>
        <v>N/A</v>
      </c>
      <c r="O159" s="590"/>
      <c r="P159" s="591" t="str">
        <f>IF($D159="Logistics",VLOOKUP($O159,'Lower Hot Cell Logistics'!$C$4:$D$69,2,FALSE),"N/A")</f>
        <v>N/A</v>
      </c>
      <c r="R159"/>
      <c r="S159"/>
    </row>
    <row r="160" spans="1:19" s="89" customFormat="1" ht="15" hidden="1" customHeight="1" outlineLevel="1" x14ac:dyDescent="0.4">
      <c r="A160" s="1191"/>
      <c r="B160" s="3814" t="s">
        <v>2082</v>
      </c>
      <c r="C160" s="1324" t="s">
        <v>2214</v>
      </c>
      <c r="D160" s="1324" t="s">
        <v>907</v>
      </c>
      <c r="E160" s="1291">
        <f t="shared" si="7"/>
        <v>0</v>
      </c>
      <c r="F160" s="1291">
        <f>IF($D160="Trigger",VLOOKUP("*"&amp;$C160&amp;"*",'Lower Hot Cell Weld Failure'!$D$127:$G$165,4,FALSE),E160+F159)</f>
        <v>154.88617070349764</v>
      </c>
      <c r="G160" s="825"/>
      <c r="H160" s="1323" t="s">
        <v>263</v>
      </c>
      <c r="I160" s="1721"/>
      <c r="J160" s="1324"/>
      <c r="K160" s="1324"/>
      <c r="L160" s="828" t="str">
        <f>IFERROR(INDEX('Lower Hot Cell Logistics'!$I$13:$O$19,MATCH($J160,'Lower Hot Cell Logistics'!$H$13:$H$19,0),MATCH($K160,'Lower Hot Cell Logistics'!$H$13:$H$19,0)),"N/A")</f>
        <v>N/A</v>
      </c>
      <c r="M160" s="827" t="str">
        <f>IFERROR(VLOOKUP($I160,'Lower Hot Cell Logistics'!$H$4:$I$8,2,FALSE),"N/A")</f>
        <v>N/A</v>
      </c>
      <c r="N160" s="2200" t="str">
        <f t="shared" si="10"/>
        <v>N/A</v>
      </c>
      <c r="O160" s="1327"/>
      <c r="P160" s="824" t="str">
        <f>IF($D160="Logistics",VLOOKUP($O160,'Lower Hot Cell Logistics'!$C$4:$D$69,2,FALSE),"N/A")</f>
        <v>N/A</v>
      </c>
      <c r="R160"/>
      <c r="S160"/>
    </row>
    <row r="161" spans="1:19" s="89" customFormat="1" ht="15" hidden="1" customHeight="1" outlineLevel="1" x14ac:dyDescent="0.4">
      <c r="A161" s="1191"/>
      <c r="B161" s="3815"/>
      <c r="C161" s="1362" t="s">
        <v>2211</v>
      </c>
      <c r="D161" s="1294" t="s">
        <v>778</v>
      </c>
      <c r="E161" s="1330">
        <f t="shared" si="7"/>
        <v>0.23148148148148148</v>
      </c>
      <c r="F161" s="1330">
        <f>IF($D161="Trigger",VLOOKUP("*"&amp;$C161&amp;"*",'Lower Hot Cell Weld Failure'!$D$127:$G$165,4,FALSE),E161+F160)</f>
        <v>155.11765218497914</v>
      </c>
      <c r="G161" s="1722"/>
      <c r="H161" s="2219" t="s">
        <v>263</v>
      </c>
      <c r="I161" s="1724" t="s">
        <v>2142</v>
      </c>
      <c r="J161" s="1294" t="s">
        <v>451</v>
      </c>
      <c r="K161" s="1294" t="s">
        <v>1965</v>
      </c>
      <c r="L161" s="2042">
        <f>IFERROR(INDEX('Lower Hot Cell Logistics'!$I$13:$O$19,MATCH($J161,'Lower Hot Cell Logistics'!$H$13:$H$19,0),MATCH($K161,'Lower Hot Cell Logistics'!$H$13:$H$19,0)),"N/A")</f>
        <v>50</v>
      </c>
      <c r="M161" s="2220">
        <f>IFERROR(VLOOKUP($I161,'Lower Hot Cell Logistics'!$H$4:$I$8,2,FALSE),"N/A")</f>
        <v>0.06</v>
      </c>
      <c r="N161" s="1332">
        <f t="shared" si="10"/>
        <v>0.23148148148148148</v>
      </c>
      <c r="O161" s="1352"/>
      <c r="P161" s="1353" t="str">
        <f>IF($D161="Logistics",VLOOKUP($O161,'Lower Hot Cell Logistics'!$C$4:$D$69,2,FALSE),"N/A")</f>
        <v>N/A</v>
      </c>
      <c r="R161"/>
      <c r="S161"/>
    </row>
    <row r="162" spans="1:19" s="89" customFormat="1" ht="15" hidden="1" customHeight="1" outlineLevel="1" x14ac:dyDescent="0.4">
      <c r="A162" s="1191"/>
      <c r="B162" s="3815"/>
      <c r="C162" s="1362" t="s">
        <v>2212</v>
      </c>
      <c r="D162" s="1294" t="s">
        <v>3</v>
      </c>
      <c r="E162" s="1330">
        <f t="shared" si="7"/>
        <v>0.88000000000000012</v>
      </c>
      <c r="F162" s="1330">
        <f>IF($D162="Trigger",VLOOKUP("*"&amp;$C162&amp;"*",'Lower Hot Cell Weld Failure'!$D$127:$G$165,4,FALSE),E162+F161)</f>
        <v>155.99765218497913</v>
      </c>
      <c r="G162" s="1722"/>
      <c r="H162" s="2219" t="s">
        <v>263</v>
      </c>
      <c r="I162" s="1724"/>
      <c r="J162" s="1294"/>
      <c r="K162" s="1294"/>
      <c r="L162" s="2042" t="str">
        <f>IFERROR(INDEX('Lower Hot Cell Logistics'!$I$13:$O$19,MATCH($J162,'Lower Hot Cell Logistics'!$H$13:$H$19,0),MATCH($K162,'Lower Hot Cell Logistics'!$H$13:$H$19,0)),"N/A")</f>
        <v>N/A</v>
      </c>
      <c r="M162" s="2220" t="str">
        <f>IFERROR(VLOOKUP($I162,'Lower Hot Cell Logistics'!$H$4:$I$8,2,FALSE),"N/A")</f>
        <v>N/A</v>
      </c>
      <c r="N162" s="1332" t="str">
        <f t="shared" si="10"/>
        <v>N/A</v>
      </c>
      <c r="O162" s="1352" t="s">
        <v>2144</v>
      </c>
      <c r="P162" s="1353">
        <f>IF($D162="Logistics",VLOOKUP($O162,'Lower Hot Cell Logistics'!$C$4:$D$69,2,FALSE),"N/A")</f>
        <v>0.88000000000000012</v>
      </c>
      <c r="R162"/>
      <c r="S162"/>
    </row>
    <row r="163" spans="1:19" s="89" customFormat="1" ht="14.6" hidden="1" outlineLevel="1" x14ac:dyDescent="0.4">
      <c r="A163" s="1191"/>
      <c r="B163" s="3815"/>
      <c r="C163" s="1294" t="s">
        <v>2189</v>
      </c>
      <c r="D163" s="1294" t="s">
        <v>778</v>
      </c>
      <c r="E163" s="1292">
        <f t="shared" si="7"/>
        <v>0.69444444444444442</v>
      </c>
      <c r="F163" s="1292">
        <f>IF($D163="Trigger",VLOOKUP("*"&amp;$C163&amp;"*",'Lower Hot Cell Weld Failure'!$D$127:$G$165,4,FALSE),E163+F162)</f>
        <v>156.69209662942359</v>
      </c>
      <c r="G163" s="862"/>
      <c r="H163" s="1328" t="s">
        <v>263</v>
      </c>
      <c r="I163" s="1724" t="s">
        <v>2171</v>
      </c>
      <c r="J163" s="1294" t="s">
        <v>799</v>
      </c>
      <c r="K163" s="1294" t="s">
        <v>451</v>
      </c>
      <c r="L163" s="865">
        <f>IFERROR(INDEX('Lower Hot Cell Logistics'!$I$13:$O$19,MATCH($J163,'Lower Hot Cell Logistics'!$H$13:$H$19,0),MATCH($K163,'Lower Hot Cell Logistics'!$H$13:$H$19,0)),"N/A")</f>
        <v>50</v>
      </c>
      <c r="M163" s="865">
        <f>IFERROR(VLOOKUP($I163,'Lower Hot Cell Logistics'!$H$4:$I$8,2,FALSE),"N/A")</f>
        <v>0.02</v>
      </c>
      <c r="N163" s="2197">
        <f t="shared" si="10"/>
        <v>0.69444444444444442</v>
      </c>
      <c r="O163" s="1331"/>
      <c r="P163" s="1332" t="str">
        <f>IF($D163="Logistics",VLOOKUP($O163,'Lower Hot Cell Logistics'!$C$4:$D$69,2,FALSE),"N/A")</f>
        <v>N/A</v>
      </c>
      <c r="R163"/>
      <c r="S163"/>
    </row>
    <row r="164" spans="1:19" s="89" customFormat="1" ht="26.6" hidden="1" outlineLevel="1" thickBot="1" x14ac:dyDescent="0.45">
      <c r="A164" s="1191"/>
      <c r="B164" s="3816"/>
      <c r="C164" s="1340" t="str">
        <f>B160</f>
        <v>ROB pipe module collected; Pipe Module handling System Moved to Lower Port</v>
      </c>
      <c r="D164" s="1340" t="s">
        <v>11</v>
      </c>
      <c r="E164" s="1295">
        <f t="shared" si="7"/>
        <v>0</v>
      </c>
      <c r="F164" s="1295">
        <f>IF($D164="Trigger",VLOOKUP("*"&amp;$C164&amp;"*",'Lower Hot Cell Weld Failure'!$D$127:$G$165,4,FALSE),E164+F163)</f>
        <v>156.69209662942359</v>
      </c>
      <c r="G164" s="839"/>
      <c r="H164" s="1341" t="s">
        <v>263</v>
      </c>
      <c r="I164" s="1727"/>
      <c r="J164" s="1340"/>
      <c r="K164" s="1340"/>
      <c r="L164" s="842" t="str">
        <f>IFERROR(INDEX('Lower Hot Cell Logistics'!$I$13:$O$19,MATCH($J164,'Lower Hot Cell Logistics'!$H$13:$H$19,0),MATCH($K164,'Lower Hot Cell Logistics'!$H$13:$H$19,0)),"N/A")</f>
        <v>N/A</v>
      </c>
      <c r="M164" s="842" t="str">
        <f>IFERROR(VLOOKUP($I164,'Lower Hot Cell Logistics'!$H$4:$I$8,2,FALSE),"N/A")</f>
        <v>N/A</v>
      </c>
      <c r="N164" s="2199" t="str">
        <f t="shared" si="10"/>
        <v>N/A</v>
      </c>
      <c r="O164" s="1344"/>
      <c r="P164" s="1345" t="str">
        <f>IF($D164="Logistics",VLOOKUP($O164,'Lower Hot Cell Logistics'!$C$4:$D$69,2,FALSE),"N/A")</f>
        <v>N/A</v>
      </c>
      <c r="R164"/>
      <c r="S164"/>
    </row>
    <row r="165" spans="1:19" s="89" customFormat="1" ht="15" hidden="1" customHeight="1" outlineLevel="1" x14ac:dyDescent="0.4">
      <c r="A165" s="1191"/>
      <c r="B165" s="3787" t="s">
        <v>2085</v>
      </c>
      <c r="C165" s="617" t="s">
        <v>1089</v>
      </c>
      <c r="D165" s="617" t="s">
        <v>907</v>
      </c>
      <c r="E165" s="567">
        <f t="shared" si="7"/>
        <v>0</v>
      </c>
      <c r="F165" s="567">
        <f>IF($D165="Trigger",VLOOKUP("*"&amp;$C165&amp;"*",'Lower Hot Cell Weld Failure'!$D$127:$G$165,4,FALSE),E165+F164)</f>
        <v>174.10883532949484</v>
      </c>
      <c r="G165" s="568"/>
      <c r="H165" s="569" t="s">
        <v>263</v>
      </c>
      <c r="I165" s="1270"/>
      <c r="J165" s="617"/>
      <c r="K165" s="617"/>
      <c r="L165" s="570" t="str">
        <f>IFERROR(INDEX('Lower Hot Cell Logistics'!$I$13:$O$19,MATCH($J165,'Lower Hot Cell Logistics'!$H$13:$H$19,0),MATCH($K165,'Lower Hot Cell Logistics'!$H$13:$H$19,0)),"N/A")</f>
        <v>N/A</v>
      </c>
      <c r="M165" s="802" t="str">
        <f>IFERROR(VLOOKUP($I165,'Lower Hot Cell Logistics'!$H$4:$I$8,2,FALSE),"N/A")</f>
        <v>N/A</v>
      </c>
      <c r="N165" s="1182" t="str">
        <f t="shared" si="10"/>
        <v>N/A</v>
      </c>
      <c r="O165" s="620"/>
      <c r="P165" s="621" t="str">
        <f>IF($D165="Logistics",VLOOKUP($O165,'Lower Hot Cell Logistics'!$C$4:$D$69,2,FALSE),"N/A")</f>
        <v>N/A</v>
      </c>
      <c r="R165"/>
      <c r="S165"/>
    </row>
    <row r="166" spans="1:19" s="89" customFormat="1" ht="15" hidden="1" customHeight="1" outlineLevel="1" x14ac:dyDescent="0.4">
      <c r="A166" s="1191"/>
      <c r="B166" s="3786"/>
      <c r="C166" s="1275" t="s">
        <v>2211</v>
      </c>
      <c r="D166" s="572" t="s">
        <v>778</v>
      </c>
      <c r="E166" s="578">
        <f t="shared" si="7"/>
        <v>0.23148148148148148</v>
      </c>
      <c r="F166" s="578">
        <f>IF($D166="Trigger",VLOOKUP("*"&amp;$C166&amp;"*",'Lower Hot Cell Weld Failure'!$D$127:$G$165,4,FALSE),E166+F165)</f>
        <v>174.34031681097633</v>
      </c>
      <c r="G166" s="872"/>
      <c r="H166" s="2221" t="s">
        <v>263</v>
      </c>
      <c r="I166" s="1281" t="s">
        <v>2142</v>
      </c>
      <c r="J166" s="572" t="s">
        <v>451</v>
      </c>
      <c r="K166" s="572" t="s">
        <v>1965</v>
      </c>
      <c r="L166" s="1176">
        <f>IFERROR(INDEX('Lower Hot Cell Logistics'!$I$13:$O$19,MATCH($J166,'Lower Hot Cell Logistics'!$H$13:$H$19,0),MATCH($K166,'Lower Hot Cell Logistics'!$H$13:$H$19,0)),"N/A")</f>
        <v>50</v>
      </c>
      <c r="M166" s="2222">
        <f>IFERROR(VLOOKUP($I166,'Lower Hot Cell Logistics'!$H$4:$I$8,2,FALSE),"N/A")</f>
        <v>0.06</v>
      </c>
      <c r="N166" s="580">
        <f t="shared" si="10"/>
        <v>0.23148148148148148</v>
      </c>
      <c r="O166" s="631"/>
      <c r="P166" s="632" t="str">
        <f>IF($D166="Logistics",VLOOKUP($O166,'Lower Hot Cell Logistics'!$C$4:$D$69,2,FALSE),"N/A")</f>
        <v>N/A</v>
      </c>
      <c r="R166"/>
      <c r="S166"/>
    </row>
    <row r="167" spans="1:19" s="89" customFormat="1" ht="15" hidden="1" customHeight="1" outlineLevel="1" x14ac:dyDescent="0.4">
      <c r="A167" s="1191"/>
      <c r="B167" s="3786"/>
      <c r="C167" s="1275" t="s">
        <v>2212</v>
      </c>
      <c r="D167" s="572" t="s">
        <v>3</v>
      </c>
      <c r="E167" s="578">
        <f t="shared" si="7"/>
        <v>0.88000000000000012</v>
      </c>
      <c r="F167" s="578">
        <f>IF($D167="Trigger",VLOOKUP("*"&amp;$C167&amp;"*",'Lower Hot Cell Weld Failure'!$D$127:$G$165,4,FALSE),E167+F166)</f>
        <v>175.22031681097633</v>
      </c>
      <c r="G167" s="872"/>
      <c r="H167" s="2221" t="s">
        <v>263</v>
      </c>
      <c r="I167" s="1281"/>
      <c r="J167" s="572"/>
      <c r="K167" s="572"/>
      <c r="L167" s="1176" t="str">
        <f>IFERROR(INDEX('Lower Hot Cell Logistics'!$I$13:$O$19,MATCH($J167,'Lower Hot Cell Logistics'!$H$13:$H$19,0),MATCH($K167,'Lower Hot Cell Logistics'!$H$13:$H$19,0)),"N/A")</f>
        <v>N/A</v>
      </c>
      <c r="M167" s="2222" t="str">
        <f>IFERROR(VLOOKUP($I167,'Lower Hot Cell Logistics'!$H$4:$I$8,2,FALSE),"N/A")</f>
        <v>N/A</v>
      </c>
      <c r="N167" s="580" t="str">
        <f t="shared" si="10"/>
        <v>N/A</v>
      </c>
      <c r="O167" s="631" t="s">
        <v>2144</v>
      </c>
      <c r="P167" s="632">
        <f>IF($D167="Logistics",VLOOKUP($O167,'Lower Hot Cell Logistics'!$C$4:$D$69,2,FALSE),"N/A")</f>
        <v>0.88000000000000012</v>
      </c>
      <c r="R167"/>
      <c r="S167"/>
    </row>
    <row r="168" spans="1:19" s="89" customFormat="1" ht="14.6" hidden="1" outlineLevel="1" x14ac:dyDescent="0.4">
      <c r="A168" s="1191"/>
      <c r="B168" s="3786"/>
      <c r="C168" s="572" t="s">
        <v>2189</v>
      </c>
      <c r="D168" s="572" t="s">
        <v>778</v>
      </c>
      <c r="E168" s="574">
        <f t="shared" si="7"/>
        <v>0.69444444444444442</v>
      </c>
      <c r="F168" s="574">
        <f>IF($D168="Trigger",VLOOKUP("*"&amp;$C168&amp;"*",'Lower Hot Cell Weld Failure'!$D$127:$G$165,4,FALSE),E168+F167)</f>
        <v>175.91476125542079</v>
      </c>
      <c r="G168" s="575"/>
      <c r="H168" s="576" t="s">
        <v>263</v>
      </c>
      <c r="I168" s="1281" t="s">
        <v>2171</v>
      </c>
      <c r="J168" s="572" t="s">
        <v>799</v>
      </c>
      <c r="K168" s="572" t="s">
        <v>451</v>
      </c>
      <c r="L168" s="853">
        <f>IFERROR(INDEX('Lower Hot Cell Logistics'!$I$13:$O$19,MATCH($J168,'Lower Hot Cell Logistics'!$H$13:$H$19,0),MATCH($K168,'Lower Hot Cell Logistics'!$H$13:$H$19,0)),"N/A")</f>
        <v>50</v>
      </c>
      <c r="M168" s="853">
        <f>IFERROR(VLOOKUP($I168,'Lower Hot Cell Logistics'!$H$4:$I$8,2,FALSE),"N/A")</f>
        <v>0.02</v>
      </c>
      <c r="N168" s="1180">
        <f t="shared" si="10"/>
        <v>0.69444444444444442</v>
      </c>
      <c r="O168" s="579"/>
      <c r="P168" s="580" t="str">
        <f>IF($D168="Logistics",VLOOKUP($O168,'Lower Hot Cell Logistics'!$C$4:$D$69,2,FALSE),"N/A")</f>
        <v>N/A</v>
      </c>
      <c r="R168"/>
      <c r="S168"/>
    </row>
    <row r="169" spans="1:19" s="89" customFormat="1" ht="26.6" hidden="1" outlineLevel="1" thickBot="1" x14ac:dyDescent="0.45">
      <c r="A169" s="1191"/>
      <c r="B169" s="3788"/>
      <c r="C169" s="583" t="str">
        <f>B165</f>
        <v>LOB pipe module collected; Pipe Module handling System Moved to Lower Port</v>
      </c>
      <c r="D169" s="583" t="s">
        <v>11</v>
      </c>
      <c r="E169" s="585">
        <f t="shared" si="7"/>
        <v>0</v>
      </c>
      <c r="F169" s="585">
        <f>IF($D169="Trigger",VLOOKUP("*"&amp;$C169&amp;"*",'Lower Hot Cell Weld Failure'!$D$127:$G$165,4,FALSE),E169+F168)</f>
        <v>175.91476125542079</v>
      </c>
      <c r="G169" s="586"/>
      <c r="H169" s="587" t="s">
        <v>263</v>
      </c>
      <c r="I169" s="1720"/>
      <c r="J169" s="583"/>
      <c r="K169" s="583"/>
      <c r="L169" s="814" t="str">
        <f>IFERROR(INDEX('Lower Hot Cell Logistics'!$I$13:$O$19,MATCH($J169,'Lower Hot Cell Logistics'!$H$13:$H$19,0),MATCH($K169,'Lower Hot Cell Logistics'!$H$13:$H$19,0)),"N/A")</f>
        <v>N/A</v>
      </c>
      <c r="M169" s="814" t="str">
        <f>IFERROR(VLOOKUP($I169,'Lower Hot Cell Logistics'!$H$4:$I$8,2,FALSE),"N/A")</f>
        <v>N/A</v>
      </c>
      <c r="N169" s="1181" t="str">
        <f t="shared" si="10"/>
        <v>N/A</v>
      </c>
      <c r="O169" s="590"/>
      <c r="P169" s="591" t="str">
        <f>IF($D169="Logistics",VLOOKUP($O169,'Lower Hot Cell Logistics'!$C$4:$D$69,2,FALSE),"N/A")</f>
        <v>N/A</v>
      </c>
      <c r="R169"/>
      <c r="S169"/>
    </row>
    <row r="170" spans="1:19" s="2121" customFormat="1" ht="12.75" hidden="1" customHeight="1" outlineLevel="1" x14ac:dyDescent="0.4">
      <c r="A170" s="1191"/>
      <c r="B170" s="3814" t="s">
        <v>1947</v>
      </c>
      <c r="C170" s="823" t="s">
        <v>2346</v>
      </c>
      <c r="D170" s="823" t="s">
        <v>907</v>
      </c>
      <c r="E170" s="2040">
        <f t="shared" si="7"/>
        <v>0</v>
      </c>
      <c r="F170" s="824">
        <f>IF($D170="Trigger",VLOOKUP("*"&amp;$C170&amp;"*",'Lower Hot Cell Weld Failure'!$D$52:$G$540,4,FALSE),E170+#REF!)</f>
        <v>0</v>
      </c>
      <c r="G170" s="825"/>
      <c r="H170" s="1323" t="str">
        <f>IF(D170="operation",VLOOKUP(G170,#REF!,5,FALSE), "N/A")</f>
        <v>N/A</v>
      </c>
      <c r="I170" s="823"/>
      <c r="J170" s="823"/>
      <c r="K170" s="823"/>
      <c r="L170" s="2040" t="str">
        <f>IFERROR(INDEX('Lower Hot Cell Logistics'!$I$13:$O$19,MATCH($J170,'Lower Hot Cell Logistics'!$H$13:$H$19,0),MATCH($K170,'Lower Hot Cell Logistics'!$H$13:$H$19,0)),"N/A")</f>
        <v>N/A</v>
      </c>
      <c r="M170" s="2040" t="str">
        <f>IFERROR(VLOOKUP($I170,'Lower Hot Cell Logistics'!$H$4:$I$8,2,FALSE),"N/A")</f>
        <v>N/A</v>
      </c>
      <c r="N170" s="2040" t="str">
        <f t="shared" ref="N170:N193" si="11">IF(D170="Movement",IFERROR((L170/M170)/(60*60),"Error"),"N/A")</f>
        <v>N/A</v>
      </c>
      <c r="O170" s="1327"/>
      <c r="P170" s="824" t="str">
        <f>IF($D170="Logistics",VLOOKUP($O170,'Lower Hot Cell Logistics'!$C$4:$D$69,2,FALSE),"N/A")</f>
        <v>N/A</v>
      </c>
    </row>
    <row r="171" spans="1:19" s="2121" customFormat="1" ht="12.75" hidden="1" customHeight="1" outlineLevel="1" x14ac:dyDescent="0.4">
      <c r="A171" s="1191"/>
      <c r="B171" s="3815"/>
      <c r="C171" s="860" t="s">
        <v>1945</v>
      </c>
      <c r="D171" s="860" t="s">
        <v>251</v>
      </c>
      <c r="E171" s="2042">
        <f t="shared" si="7"/>
        <v>161.0720624332985</v>
      </c>
      <c r="F171" s="1332">
        <f>IF($D171="Trigger",VLOOKUP("*"&amp;$C171&amp;"*",'Lower Hot Cell Weld Failure'!$D$52:$G$540,4,FALSE),E171+F170)</f>
        <v>161.0720624332985</v>
      </c>
      <c r="G171" s="862" t="s">
        <v>133</v>
      </c>
      <c r="H171" s="1332">
        <v>161.0720624332985</v>
      </c>
      <c r="I171" s="860"/>
      <c r="J171" s="860"/>
      <c r="K171" s="860"/>
      <c r="L171" s="2042" t="str">
        <f>IFERROR(INDEX('Lower Hot Cell Logistics'!$I$13:$O$19,MATCH($J171,'Lower Hot Cell Logistics'!$H$13:$H$19,0),MATCH($K171,'Lower Hot Cell Logistics'!$H$13:$H$19,0)),"N/A")</f>
        <v>N/A</v>
      </c>
      <c r="M171" s="2042" t="str">
        <f>IFERROR(VLOOKUP($I171,'Lower Hot Cell Logistics'!$H$4:$I$8,2,FALSE),"N/A")</f>
        <v>N/A</v>
      </c>
      <c r="N171" s="2042" t="str">
        <f t="shared" si="11"/>
        <v>N/A</v>
      </c>
      <c r="O171" s="1331"/>
      <c r="P171" s="1332" t="str">
        <f>IF($D171="Logistics",VLOOKUP($O171,'Lower Hot Cell Logistics'!$C$4:$D$69,2,FALSE),"N/A")</f>
        <v>N/A</v>
      </c>
    </row>
    <row r="172" spans="1:19" s="2121" customFormat="1" ht="13.5" hidden="1" customHeight="1" outlineLevel="1" thickBot="1" x14ac:dyDescent="0.45">
      <c r="A172" s="1191"/>
      <c r="B172" s="3816"/>
      <c r="C172" s="837" t="str">
        <f>B170</f>
        <v>LOB Blanket segment installed</v>
      </c>
      <c r="D172" s="837" t="s">
        <v>11</v>
      </c>
      <c r="E172" s="1922">
        <f t="shared" si="7"/>
        <v>0</v>
      </c>
      <c r="F172" s="1345">
        <f>IF($D172="Trigger",VLOOKUP("*"&amp;$C172&amp;"*",'Lower Hot Cell Weld Failure'!$D$52:$G$540,4,FALSE),E172+F171)</f>
        <v>161.0720624332985</v>
      </c>
      <c r="G172" s="839"/>
      <c r="H172" s="1341" t="str">
        <f>IF(D172="operation",VLOOKUP(G172,#REF!,5,FALSE), "N/A")</f>
        <v>N/A</v>
      </c>
      <c r="I172" s="837"/>
      <c r="J172" s="837"/>
      <c r="K172" s="837"/>
      <c r="L172" s="1922" t="str">
        <f>IFERROR(INDEX('Lower Hot Cell Logistics'!$I$13:$O$19,MATCH($J172,'Lower Hot Cell Logistics'!$H$13:$H$19,0),MATCH($K172,'Lower Hot Cell Logistics'!$H$13:$H$19,0)),"N/A")</f>
        <v>N/A</v>
      </c>
      <c r="M172" s="1922" t="str">
        <f>IFERROR(VLOOKUP($I172,'Lower Hot Cell Logistics'!$H$4:$I$8,2,FALSE),"N/A")</f>
        <v>N/A</v>
      </c>
      <c r="N172" s="1922" t="str">
        <f t="shared" si="11"/>
        <v>N/A</v>
      </c>
      <c r="O172" s="1344"/>
      <c r="P172" s="1345" t="str">
        <f>IF($D172="Logistics",VLOOKUP($O172,'Lower Hot Cell Logistics'!$C$4:$D$69,2,FALSE),"N/A")</f>
        <v>N/A</v>
      </c>
    </row>
    <row r="173" spans="1:19" s="2121" customFormat="1" ht="12.75" hidden="1" customHeight="1" outlineLevel="1" x14ac:dyDescent="0.4">
      <c r="A173" s="1191"/>
      <c r="B173" s="3787" t="s">
        <v>1948</v>
      </c>
      <c r="C173" s="566" t="s">
        <v>2346</v>
      </c>
      <c r="D173" s="566" t="s">
        <v>907</v>
      </c>
      <c r="E173" s="1175">
        <f t="shared" si="7"/>
        <v>0</v>
      </c>
      <c r="F173" s="621">
        <f>IF($D173="Trigger",VLOOKUP("*"&amp;$C173&amp;"*",'Lower Hot Cell Weld Failure'!$D$52:$G$540,4,FALSE),E173+F172)</f>
        <v>0</v>
      </c>
      <c r="G173" s="568"/>
      <c r="H173" s="569" t="str">
        <f>IF(D173="operation",VLOOKUP(G173,#REF!,5,FALSE), "N/A")</f>
        <v>N/A</v>
      </c>
      <c r="I173" s="566"/>
      <c r="J173" s="566"/>
      <c r="K173" s="566"/>
      <c r="L173" s="1175" t="str">
        <f>IFERROR(INDEX('Lower Hot Cell Logistics'!$I$13:$O$19,MATCH($J173,'Lower Hot Cell Logistics'!$H$13:$H$19,0),MATCH($K173,'Lower Hot Cell Logistics'!$H$13:$H$19,0)),"N/A")</f>
        <v>N/A</v>
      </c>
      <c r="M173" s="1175" t="str">
        <f>IFERROR(VLOOKUP($I173,'Lower Hot Cell Logistics'!$H$4:$I$8,2,FALSE),"N/A")</f>
        <v>N/A</v>
      </c>
      <c r="N173" s="1175" t="str">
        <f t="shared" si="11"/>
        <v>N/A</v>
      </c>
      <c r="O173" s="620"/>
      <c r="P173" s="621" t="str">
        <f>IF($D173="Logistics",VLOOKUP($O173,'Lower Hot Cell Logistics'!$C$4:$D$69,2,FALSE),"N/A")</f>
        <v>N/A</v>
      </c>
    </row>
    <row r="174" spans="1:19" s="2121" customFormat="1" ht="12.75" hidden="1" customHeight="1" outlineLevel="1" x14ac:dyDescent="0.4">
      <c r="A174" s="1191"/>
      <c r="B174" s="3786"/>
      <c r="C174" s="573" t="s">
        <v>1945</v>
      </c>
      <c r="D174" s="573" t="s">
        <v>251</v>
      </c>
      <c r="E174" s="1176">
        <f t="shared" si="7"/>
        <v>337.56106931104148</v>
      </c>
      <c r="F174" s="580">
        <f>IF($D174="Trigger",VLOOKUP("*"&amp;$C174&amp;"*",'Lower Hot Cell Weld Failure'!$D$52:$G$540,4,FALSE),E174+F173)</f>
        <v>337.56106931104148</v>
      </c>
      <c r="G174" s="575" t="s">
        <v>1094</v>
      </c>
      <c r="H174" s="580">
        <v>337.56106931104148</v>
      </c>
      <c r="I174" s="573"/>
      <c r="J174" s="573"/>
      <c r="K174" s="573"/>
      <c r="L174" s="1176" t="str">
        <f>IFERROR(INDEX('Lower Hot Cell Logistics'!$I$13:$O$19,MATCH($J174,'Lower Hot Cell Logistics'!$H$13:$H$19,0),MATCH($K174,'Lower Hot Cell Logistics'!$H$13:$H$19,0)),"N/A")</f>
        <v>N/A</v>
      </c>
      <c r="M174" s="1176" t="str">
        <f>IFERROR(VLOOKUP($I174,'Lower Hot Cell Logistics'!$H$4:$I$8,2,FALSE),"N/A")</f>
        <v>N/A</v>
      </c>
      <c r="N174" s="1176" t="str">
        <f t="shared" si="11"/>
        <v>N/A</v>
      </c>
      <c r="O174" s="579"/>
      <c r="P174" s="580" t="str">
        <f>IF($D174="Logistics",VLOOKUP($O174,'Lower Hot Cell Logistics'!$C$4:$D$69,2,FALSE),"N/A")</f>
        <v>N/A</v>
      </c>
    </row>
    <row r="175" spans="1:19" s="2121" customFormat="1" ht="13.5" hidden="1" customHeight="1" outlineLevel="1" thickBot="1" x14ac:dyDescent="0.45">
      <c r="A175" s="1191"/>
      <c r="B175" s="3788"/>
      <c r="C175" s="584" t="str">
        <f>B173</f>
        <v>LOB Upper Port Pipe Module installed</v>
      </c>
      <c r="D175" s="584" t="s">
        <v>11</v>
      </c>
      <c r="E175" s="1179">
        <f t="shared" si="7"/>
        <v>0</v>
      </c>
      <c r="F175" s="591">
        <f>IF($D175="Trigger",VLOOKUP("*"&amp;$C175&amp;"*",'Lower Hot Cell Weld Failure'!$D$52:$G$540,4,FALSE),E175+F174)</f>
        <v>337.56106931104148</v>
      </c>
      <c r="G175" s="586"/>
      <c r="H175" s="587" t="str">
        <f>IF(D175="operation",VLOOKUP(G175,#REF!,5,FALSE), "N/A")</f>
        <v>N/A</v>
      </c>
      <c r="I175" s="584"/>
      <c r="J175" s="584"/>
      <c r="K175" s="584"/>
      <c r="L175" s="1179" t="str">
        <f>IFERROR(INDEX('Lower Hot Cell Logistics'!$I$13:$O$19,MATCH($J175,'Lower Hot Cell Logistics'!$H$13:$H$19,0),MATCH($K175,'Lower Hot Cell Logistics'!$H$13:$H$19,0)),"N/A")</f>
        <v>N/A</v>
      </c>
      <c r="M175" s="1179" t="str">
        <f>IFERROR(VLOOKUP($I175,'Lower Hot Cell Logistics'!$H$4:$I$8,2,FALSE),"N/A")</f>
        <v>N/A</v>
      </c>
      <c r="N175" s="1179" t="str">
        <f t="shared" si="11"/>
        <v>N/A</v>
      </c>
      <c r="O175" s="590"/>
      <c r="P175" s="591" t="str">
        <f>IF($D175="Logistics",VLOOKUP($O175,'Lower Hot Cell Logistics'!$C$4:$D$69,2,FALSE),"N/A")</f>
        <v>N/A</v>
      </c>
    </row>
    <row r="176" spans="1:19" s="2121" customFormat="1" ht="12.75" hidden="1" customHeight="1" outlineLevel="1" x14ac:dyDescent="0.4">
      <c r="A176" s="1191"/>
      <c r="B176" s="3814" t="s">
        <v>1949</v>
      </c>
      <c r="C176" s="823" t="s">
        <v>2346</v>
      </c>
      <c r="D176" s="823" t="s">
        <v>907</v>
      </c>
      <c r="E176" s="2040">
        <f t="shared" si="7"/>
        <v>0</v>
      </c>
      <c r="F176" s="824">
        <f>IF($D176="Trigger",VLOOKUP("*"&amp;$C176&amp;"*",'Lower Hot Cell Weld Failure'!$D$52:$G$540,4,FALSE),E176+F175)</f>
        <v>0</v>
      </c>
      <c r="G176" s="825"/>
      <c r="H176" s="1323" t="str">
        <f>IF(D176="operation",VLOOKUP(G176,#REF!,5,FALSE), "N/A")</f>
        <v>N/A</v>
      </c>
      <c r="I176" s="823"/>
      <c r="J176" s="823"/>
      <c r="K176" s="823"/>
      <c r="L176" s="2040" t="str">
        <f>IFERROR(INDEX('Lower Hot Cell Logistics'!$I$13:$O$19,MATCH($J176,'Lower Hot Cell Logistics'!$H$13:$H$19,0),MATCH($K176,'Lower Hot Cell Logistics'!$H$13:$H$19,0)),"N/A")</f>
        <v>N/A</v>
      </c>
      <c r="M176" s="2040" t="str">
        <f>IFERROR(VLOOKUP($I176,'Lower Hot Cell Logistics'!$H$4:$I$8,2,FALSE),"N/A")</f>
        <v>N/A</v>
      </c>
      <c r="N176" s="2040" t="str">
        <f t="shared" si="11"/>
        <v>N/A</v>
      </c>
      <c r="O176" s="1327"/>
      <c r="P176" s="824" t="str">
        <f>IF($D176="Logistics",VLOOKUP($O176,'Lower Hot Cell Logistics'!$C$4:$D$69,2,FALSE),"N/A")</f>
        <v>N/A</v>
      </c>
    </row>
    <row r="177" spans="1:16" s="2121" customFormat="1" ht="12.75" hidden="1" customHeight="1" outlineLevel="1" x14ac:dyDescent="0.4">
      <c r="A177" s="1191"/>
      <c r="B177" s="3815"/>
      <c r="C177" s="860" t="s">
        <v>1945</v>
      </c>
      <c r="D177" s="860" t="s">
        <v>251</v>
      </c>
      <c r="E177" s="2042">
        <f t="shared" si="7"/>
        <v>155.29595132218736</v>
      </c>
      <c r="F177" s="1332">
        <f>IF($D177="Trigger",VLOOKUP("*"&amp;$C177&amp;"*",'Lower Hot Cell Weld Failure'!$D$52:$G$540,4,FALSE),E177+F176)</f>
        <v>155.29595132218736</v>
      </c>
      <c r="G177" s="862" t="s">
        <v>137</v>
      </c>
      <c r="H177" s="1332">
        <v>155.29595132218736</v>
      </c>
      <c r="I177" s="860"/>
      <c r="J177" s="860"/>
      <c r="K177" s="860"/>
      <c r="L177" s="2042" t="str">
        <f>IFERROR(INDEX('Lower Hot Cell Logistics'!$I$13:$O$19,MATCH($J177,'Lower Hot Cell Logistics'!$H$13:$H$19,0),MATCH($K177,'Lower Hot Cell Logistics'!$H$13:$H$19,0)),"N/A")</f>
        <v>N/A</v>
      </c>
      <c r="M177" s="2042" t="str">
        <f>IFERROR(VLOOKUP($I177,'Lower Hot Cell Logistics'!$H$4:$I$8,2,FALSE),"N/A")</f>
        <v>N/A</v>
      </c>
      <c r="N177" s="2042" t="str">
        <f t="shared" si="11"/>
        <v>N/A</v>
      </c>
      <c r="O177" s="1331"/>
      <c r="P177" s="1332" t="str">
        <f>IF($D177="Logistics",VLOOKUP($O177,'Lower Hot Cell Logistics'!$C$4:$D$69,2,FALSE),"N/A")</f>
        <v>N/A</v>
      </c>
    </row>
    <row r="178" spans="1:16" s="2121" customFormat="1" ht="13.5" hidden="1" customHeight="1" outlineLevel="1" thickBot="1" x14ac:dyDescent="0.45">
      <c r="A178" s="1191"/>
      <c r="B178" s="3816"/>
      <c r="C178" s="837" t="str">
        <f>B176</f>
        <v>ROB Blanket segment installed</v>
      </c>
      <c r="D178" s="837" t="s">
        <v>11</v>
      </c>
      <c r="E178" s="1922">
        <f t="shared" si="7"/>
        <v>0</v>
      </c>
      <c r="F178" s="1345">
        <f>IF($D178="Trigger",VLOOKUP("*"&amp;$C178&amp;"*",'Lower Hot Cell Weld Failure'!$D$52:$G$540,4,FALSE),E178+F177)</f>
        <v>155.29595132218736</v>
      </c>
      <c r="G178" s="839"/>
      <c r="H178" s="1341" t="str">
        <f>IF(D178="operation",VLOOKUP(G178,#REF!,5,FALSE), "N/A")</f>
        <v>N/A</v>
      </c>
      <c r="I178" s="837"/>
      <c r="J178" s="837"/>
      <c r="K178" s="837"/>
      <c r="L178" s="1922" t="str">
        <f>IFERROR(INDEX('Lower Hot Cell Logistics'!$I$13:$O$19,MATCH($J178,'Lower Hot Cell Logistics'!$H$13:$H$19,0),MATCH($K178,'Lower Hot Cell Logistics'!$H$13:$H$19,0)),"N/A")</f>
        <v>N/A</v>
      </c>
      <c r="M178" s="1922" t="str">
        <f>IFERROR(VLOOKUP($I178,'Lower Hot Cell Logistics'!$H$4:$I$8,2,FALSE),"N/A")</f>
        <v>N/A</v>
      </c>
      <c r="N178" s="1922" t="str">
        <f t="shared" si="11"/>
        <v>N/A</v>
      </c>
      <c r="O178" s="1344"/>
      <c r="P178" s="1345" t="str">
        <f>IF($D178="Logistics",VLOOKUP($O178,'Lower Hot Cell Logistics'!$C$4:$D$69,2,FALSE),"N/A")</f>
        <v>N/A</v>
      </c>
    </row>
    <row r="179" spans="1:16" s="2121" customFormat="1" ht="12.75" hidden="1" customHeight="1" outlineLevel="1" x14ac:dyDescent="0.4">
      <c r="A179" s="1191"/>
      <c r="B179" s="3787" t="s">
        <v>1950</v>
      </c>
      <c r="C179" s="566" t="s">
        <v>2346</v>
      </c>
      <c r="D179" s="566" t="s">
        <v>907</v>
      </c>
      <c r="E179" s="1175">
        <f t="shared" si="7"/>
        <v>0</v>
      </c>
      <c r="F179" s="621">
        <f>IF($D179="Trigger",VLOOKUP("*"&amp;$C179&amp;"*",'Lower Hot Cell Weld Failure'!$D$52:$G$540,4,FALSE),E179+F178)</f>
        <v>0</v>
      </c>
      <c r="G179" s="568"/>
      <c r="H179" s="569" t="str">
        <f>IF(D179="operation",VLOOKUP(G179,#REF!,5,FALSE), "N/A")</f>
        <v>N/A</v>
      </c>
      <c r="I179" s="566"/>
      <c r="J179" s="566"/>
      <c r="K179" s="566"/>
      <c r="L179" s="1175" t="str">
        <f>IFERROR(INDEX('Lower Hot Cell Logistics'!$I$13:$O$19,MATCH($J179,'Lower Hot Cell Logistics'!$H$13:$H$19,0),MATCH($K179,'Lower Hot Cell Logistics'!$H$13:$H$19,0)),"N/A")</f>
        <v>N/A</v>
      </c>
      <c r="M179" s="1175" t="str">
        <f>IFERROR(VLOOKUP($I179,'Lower Hot Cell Logistics'!$H$4:$I$8,2,FALSE),"N/A")</f>
        <v>N/A</v>
      </c>
      <c r="N179" s="1175" t="str">
        <f t="shared" si="11"/>
        <v>N/A</v>
      </c>
      <c r="O179" s="620"/>
      <c r="P179" s="621" t="str">
        <f>IF($D179="Logistics",VLOOKUP($O179,'Lower Hot Cell Logistics'!$C$4:$D$69,2,FALSE),"N/A")</f>
        <v>N/A</v>
      </c>
    </row>
    <row r="180" spans="1:16" s="2121" customFormat="1" ht="12.75" hidden="1" customHeight="1" outlineLevel="1" x14ac:dyDescent="0.4">
      <c r="A180" s="1191"/>
      <c r="B180" s="3786"/>
      <c r="C180" s="573" t="s">
        <v>1945</v>
      </c>
      <c r="D180" s="573" t="s">
        <v>251</v>
      </c>
      <c r="E180" s="1176">
        <f t="shared" si="7"/>
        <v>282.73825220364569</v>
      </c>
      <c r="F180" s="580">
        <f>IF($D180="Trigger",VLOOKUP("*"&amp;$C180&amp;"*",'Lower Hot Cell Weld Failure'!$D$52:$G$540,4,FALSE),E180+F179)</f>
        <v>282.73825220364569</v>
      </c>
      <c r="G180" s="575" t="s">
        <v>1091</v>
      </c>
      <c r="H180" s="580">
        <v>282.73825220364569</v>
      </c>
      <c r="I180" s="573"/>
      <c r="J180" s="573"/>
      <c r="K180" s="573"/>
      <c r="L180" s="1176" t="str">
        <f>IFERROR(INDEX('Lower Hot Cell Logistics'!$I$13:$O$19,MATCH($J180,'Lower Hot Cell Logistics'!$H$13:$H$19,0),MATCH($K180,'Lower Hot Cell Logistics'!$H$13:$H$19,0)),"N/A")</f>
        <v>N/A</v>
      </c>
      <c r="M180" s="1176" t="str">
        <f>IFERROR(VLOOKUP($I180,'Lower Hot Cell Logistics'!$H$4:$I$8,2,FALSE),"N/A")</f>
        <v>N/A</v>
      </c>
      <c r="N180" s="1176" t="str">
        <f t="shared" si="11"/>
        <v>N/A</v>
      </c>
      <c r="O180" s="579"/>
      <c r="P180" s="580" t="str">
        <f>IF($D180="Logistics",VLOOKUP($O180,'Lower Hot Cell Logistics'!$C$4:$D$69,2,FALSE),"N/A")</f>
        <v>N/A</v>
      </c>
    </row>
    <row r="181" spans="1:16" s="2121" customFormat="1" ht="13.5" hidden="1" customHeight="1" outlineLevel="1" thickBot="1" x14ac:dyDescent="0.45">
      <c r="A181" s="1191"/>
      <c r="B181" s="3788"/>
      <c r="C181" s="584" t="str">
        <f>B179</f>
        <v>ROB Upper Port Pipe Module installed</v>
      </c>
      <c r="D181" s="584" t="s">
        <v>11</v>
      </c>
      <c r="E181" s="1179">
        <f t="shared" si="7"/>
        <v>0</v>
      </c>
      <c r="F181" s="591">
        <f>IF($D181="Trigger",VLOOKUP("*"&amp;$C181&amp;"*",'Lower Hot Cell Weld Failure'!$D$52:$G$540,4,FALSE),E181+F180)</f>
        <v>282.73825220364569</v>
      </c>
      <c r="G181" s="586"/>
      <c r="H181" s="587" t="str">
        <f>IF(D181="operation",VLOOKUP(G181,#REF!,5,FALSE), "N/A")</f>
        <v>N/A</v>
      </c>
      <c r="I181" s="584"/>
      <c r="J181" s="584"/>
      <c r="K181" s="584"/>
      <c r="L181" s="1179" t="str">
        <f>IFERROR(INDEX('Lower Hot Cell Logistics'!$I$13:$O$19,MATCH($J181,'Lower Hot Cell Logistics'!$H$13:$H$19,0),MATCH($K181,'Lower Hot Cell Logistics'!$H$13:$H$19,0)),"N/A")</f>
        <v>N/A</v>
      </c>
      <c r="M181" s="1179" t="str">
        <f>IFERROR(VLOOKUP($I181,'Lower Hot Cell Logistics'!$H$4:$I$8,2,FALSE),"N/A")</f>
        <v>N/A</v>
      </c>
      <c r="N181" s="1179" t="str">
        <f t="shared" si="11"/>
        <v>N/A</v>
      </c>
      <c r="O181" s="590"/>
      <c r="P181" s="591" t="str">
        <f>IF($D181="Logistics",VLOOKUP($O181,'Lower Hot Cell Logistics'!$C$4:$D$69,2,FALSE),"N/A")</f>
        <v>N/A</v>
      </c>
    </row>
    <row r="182" spans="1:16" s="2121" customFormat="1" ht="12.75" hidden="1" customHeight="1" outlineLevel="1" x14ac:dyDescent="0.4">
      <c r="A182" s="1191"/>
      <c r="B182" s="3814" t="s">
        <v>1881</v>
      </c>
      <c r="C182" s="823" t="s">
        <v>2346</v>
      </c>
      <c r="D182" s="823" t="s">
        <v>907</v>
      </c>
      <c r="E182" s="2040">
        <f t="shared" si="7"/>
        <v>0</v>
      </c>
      <c r="F182" s="824">
        <f>IF($D182="Trigger",VLOOKUP("*"&amp;$C182&amp;"*",'Lower Hot Cell Weld Failure'!$D$52:$G$540,4,FALSE),E182+F181)</f>
        <v>0</v>
      </c>
      <c r="G182" s="825"/>
      <c r="H182" s="1323" t="str">
        <f>IF(D182="operation",VLOOKUP(G182,#REF!,5,FALSE), "N/A")</f>
        <v>N/A</v>
      </c>
      <c r="I182" s="823"/>
      <c r="J182" s="823"/>
      <c r="K182" s="823"/>
      <c r="L182" s="2040" t="str">
        <f>IFERROR(INDEX('Lower Hot Cell Logistics'!$I$13:$O$19,MATCH($J182,'Lower Hot Cell Logistics'!$H$13:$H$19,0),MATCH($K182,'Lower Hot Cell Logistics'!$H$13:$H$19,0)),"N/A")</f>
        <v>N/A</v>
      </c>
      <c r="M182" s="2040" t="str">
        <f>IFERROR(VLOOKUP($I182,'Lower Hot Cell Logistics'!$H$4:$I$8,2,FALSE),"N/A")</f>
        <v>N/A</v>
      </c>
      <c r="N182" s="2040" t="str">
        <f t="shared" si="11"/>
        <v>N/A</v>
      </c>
      <c r="O182" s="1327"/>
      <c r="P182" s="824" t="str">
        <f>IF($D182="Logistics",VLOOKUP($O182,'Lower Hot Cell Logistics'!$C$4:$D$69,2,FALSE),"N/A")</f>
        <v>N/A</v>
      </c>
    </row>
    <row r="183" spans="1:16" s="2121" customFormat="1" ht="12.75" hidden="1" customHeight="1" outlineLevel="1" x14ac:dyDescent="0.4">
      <c r="A183" s="1191"/>
      <c r="B183" s="3815"/>
      <c r="C183" s="860" t="s">
        <v>1945</v>
      </c>
      <c r="D183" s="860" t="s">
        <v>251</v>
      </c>
      <c r="E183" s="2042">
        <f t="shared" si="7"/>
        <v>150.39650687774289</v>
      </c>
      <c r="F183" s="1332">
        <f>IF($D183="Trigger",VLOOKUP("*"&amp;$C183&amp;"*",'Lower Hot Cell Weld Failure'!$D$52:$G$540,4,FALSE),E183+F182)</f>
        <v>150.39650687774289</v>
      </c>
      <c r="G183" s="862" t="s">
        <v>139</v>
      </c>
      <c r="H183" s="1332">
        <v>150.39650687774289</v>
      </c>
      <c r="I183" s="860"/>
      <c r="J183" s="860"/>
      <c r="K183" s="860"/>
      <c r="L183" s="2042" t="str">
        <f>IFERROR(INDEX('Lower Hot Cell Logistics'!$I$13:$O$19,MATCH($J183,'Lower Hot Cell Logistics'!$H$13:$H$19,0),MATCH($K183,'Lower Hot Cell Logistics'!$H$13:$H$19,0)),"N/A")</f>
        <v>N/A</v>
      </c>
      <c r="M183" s="2042" t="str">
        <f>IFERROR(VLOOKUP($I183,'Lower Hot Cell Logistics'!$H$4:$I$8,2,FALSE),"N/A")</f>
        <v>N/A</v>
      </c>
      <c r="N183" s="2042" t="str">
        <f t="shared" si="11"/>
        <v>N/A</v>
      </c>
      <c r="O183" s="1331"/>
      <c r="P183" s="1332" t="str">
        <f>IF($D183="Logistics",VLOOKUP($O183,'Lower Hot Cell Logistics'!$C$4:$D$69,2,FALSE),"N/A")</f>
        <v>N/A</v>
      </c>
    </row>
    <row r="184" spans="1:16" s="2121" customFormat="1" ht="13.5" hidden="1" customHeight="1" outlineLevel="1" thickBot="1" x14ac:dyDescent="0.45">
      <c r="A184" s="1191"/>
      <c r="B184" s="3816"/>
      <c r="C184" s="837" t="str">
        <f>B182</f>
        <v>LIB Blanket segment installed</v>
      </c>
      <c r="D184" s="837" t="s">
        <v>11</v>
      </c>
      <c r="E184" s="1922">
        <f t="shared" si="7"/>
        <v>0</v>
      </c>
      <c r="F184" s="1345">
        <f>IF($D184="Trigger",VLOOKUP("*"&amp;$C184&amp;"*",'Lower Hot Cell Weld Failure'!$D$52:$G$540,4,FALSE),E184+F183)</f>
        <v>150.39650687774289</v>
      </c>
      <c r="G184" s="839"/>
      <c r="H184" s="1341" t="str">
        <f>IF(D184="operation",VLOOKUP(G184,#REF!,5,FALSE), "N/A")</f>
        <v>N/A</v>
      </c>
      <c r="I184" s="837"/>
      <c r="J184" s="837"/>
      <c r="K184" s="837"/>
      <c r="L184" s="1922" t="str">
        <f>IFERROR(INDEX('Lower Hot Cell Logistics'!$I$13:$O$19,MATCH($J184,'Lower Hot Cell Logistics'!$H$13:$H$19,0),MATCH($K184,'Lower Hot Cell Logistics'!$H$13:$H$19,0)),"N/A")</f>
        <v>N/A</v>
      </c>
      <c r="M184" s="1922" t="str">
        <f>IFERROR(VLOOKUP($I184,'Lower Hot Cell Logistics'!$H$4:$I$8,2,FALSE),"N/A")</f>
        <v>N/A</v>
      </c>
      <c r="N184" s="1922" t="str">
        <f t="shared" si="11"/>
        <v>N/A</v>
      </c>
      <c r="O184" s="1344"/>
      <c r="P184" s="1345" t="str">
        <f>IF($D184="Logistics",VLOOKUP($O184,'Lower Hot Cell Logistics'!$C$4:$D$69,2,FALSE),"N/A")</f>
        <v>N/A</v>
      </c>
    </row>
    <row r="185" spans="1:16" s="2121" customFormat="1" ht="12.75" hidden="1" customHeight="1" outlineLevel="1" x14ac:dyDescent="0.4">
      <c r="A185" s="1195"/>
      <c r="B185" s="3787" t="s">
        <v>1951</v>
      </c>
      <c r="C185" s="566" t="s">
        <v>2346</v>
      </c>
      <c r="D185" s="566" t="s">
        <v>907</v>
      </c>
      <c r="E185" s="1175">
        <f t="shared" si="7"/>
        <v>0</v>
      </c>
      <c r="F185" s="621">
        <f>IF($D185="Trigger",VLOOKUP("*"&amp;$C185&amp;"*",'Lower Hot Cell Weld Failure'!$D$52:$G$540,4,FALSE),E185+F184)</f>
        <v>0</v>
      </c>
      <c r="G185" s="568"/>
      <c r="H185" s="569" t="str">
        <f>IF(D185="operation",VLOOKUP(G185,#REF!,5,FALSE), "N/A")</f>
        <v>N/A</v>
      </c>
      <c r="I185" s="566"/>
      <c r="J185" s="566"/>
      <c r="K185" s="566"/>
      <c r="L185" s="1175" t="str">
        <f>IFERROR(INDEX('Lower Hot Cell Logistics'!$I$13:$O$19,MATCH($J185,'Lower Hot Cell Logistics'!$H$13:$H$19,0),MATCH($K185,'Lower Hot Cell Logistics'!$H$13:$H$19,0)),"N/A")</f>
        <v>N/A</v>
      </c>
      <c r="M185" s="1175" t="str">
        <f>IFERROR(VLOOKUP($I185,'Lower Hot Cell Logistics'!$H$4:$I$8,2,FALSE),"N/A")</f>
        <v>N/A</v>
      </c>
      <c r="N185" s="1175" t="str">
        <f t="shared" si="11"/>
        <v>N/A</v>
      </c>
      <c r="O185" s="620"/>
      <c r="P185" s="621" t="str">
        <f>IF($D185="Logistics",VLOOKUP($O185,'Lower Hot Cell Logistics'!$C$4:$D$69,2,FALSE),"N/A")</f>
        <v>N/A</v>
      </c>
    </row>
    <row r="186" spans="1:16" s="2121" customFormat="1" ht="12.75" hidden="1" customHeight="1" outlineLevel="1" x14ac:dyDescent="0.4">
      <c r="A186" s="1195"/>
      <c r="B186" s="3786"/>
      <c r="C186" s="573" t="s">
        <v>1945</v>
      </c>
      <c r="D186" s="573" t="s">
        <v>251</v>
      </c>
      <c r="E186" s="1176">
        <f t="shared" si="7"/>
        <v>227.91543509624989</v>
      </c>
      <c r="F186" s="580">
        <f>IF($D186="Trigger",VLOOKUP("*"&amp;$C186&amp;"*",'Lower Hot Cell Weld Failure'!$D$52:$G$540,4,FALSE),E186+F185)</f>
        <v>227.91543509624989</v>
      </c>
      <c r="G186" s="575" t="s">
        <v>1088</v>
      </c>
      <c r="H186" s="580">
        <v>227.91543509624989</v>
      </c>
      <c r="I186" s="573"/>
      <c r="J186" s="573"/>
      <c r="K186" s="573"/>
      <c r="L186" s="1176" t="str">
        <f>IFERROR(INDEX('Lower Hot Cell Logistics'!$I$13:$O$19,MATCH($J186,'Lower Hot Cell Logistics'!$H$13:$H$19,0),MATCH($K186,'Lower Hot Cell Logistics'!$H$13:$H$19,0)),"N/A")</f>
        <v>N/A</v>
      </c>
      <c r="M186" s="1176" t="str">
        <f>IFERROR(VLOOKUP($I186,'Lower Hot Cell Logistics'!$H$4:$I$8,2,FALSE),"N/A")</f>
        <v>N/A</v>
      </c>
      <c r="N186" s="1176" t="str">
        <f t="shared" si="11"/>
        <v>N/A</v>
      </c>
      <c r="O186" s="579"/>
      <c r="P186" s="580" t="str">
        <f>IF($D186="Logistics",VLOOKUP($O186,'Lower Hot Cell Logistics'!$C$4:$D$69,2,FALSE),"N/A")</f>
        <v>N/A</v>
      </c>
    </row>
    <row r="187" spans="1:16" s="2121" customFormat="1" ht="13.5" hidden="1" customHeight="1" outlineLevel="1" thickBot="1" x14ac:dyDescent="0.45">
      <c r="A187" s="1195"/>
      <c r="B187" s="3788"/>
      <c r="C187" s="584" t="str">
        <f>B185</f>
        <v>LIB Upper Port Pipe Module installed</v>
      </c>
      <c r="D187" s="584" t="s">
        <v>11</v>
      </c>
      <c r="E187" s="1179">
        <f t="shared" si="7"/>
        <v>0</v>
      </c>
      <c r="F187" s="591">
        <f>IF($D187="Trigger",VLOOKUP("*"&amp;$C187&amp;"*",'Lower Hot Cell Weld Failure'!$D$52:$G$540,4,FALSE),E187+F186)</f>
        <v>227.91543509624989</v>
      </c>
      <c r="G187" s="586"/>
      <c r="H187" s="587" t="str">
        <f>IF(D187="operation",VLOOKUP(G187,#REF!,5,FALSE), "N/A")</f>
        <v>N/A</v>
      </c>
      <c r="I187" s="584"/>
      <c r="J187" s="584"/>
      <c r="K187" s="584"/>
      <c r="L187" s="1179" t="str">
        <f>IFERROR(INDEX('Lower Hot Cell Logistics'!$I$13:$O$19,MATCH($J187,'Lower Hot Cell Logistics'!$H$13:$H$19,0),MATCH($K187,'Lower Hot Cell Logistics'!$H$13:$H$19,0)),"N/A")</f>
        <v>N/A</v>
      </c>
      <c r="M187" s="1179" t="str">
        <f>IFERROR(VLOOKUP($I187,'Lower Hot Cell Logistics'!$H$4:$I$8,2,FALSE),"N/A")</f>
        <v>N/A</v>
      </c>
      <c r="N187" s="1179" t="str">
        <f t="shared" si="11"/>
        <v>N/A</v>
      </c>
      <c r="O187" s="590"/>
      <c r="P187" s="591" t="str">
        <f>IF($D187="Logistics",VLOOKUP($O187,'Lower Hot Cell Logistics'!$C$4:$D$69,2,FALSE),"N/A")</f>
        <v>N/A</v>
      </c>
    </row>
    <row r="188" spans="1:16" s="2121" customFormat="1" ht="12.75" hidden="1" customHeight="1" outlineLevel="1" x14ac:dyDescent="0.4">
      <c r="A188" s="1195"/>
      <c r="B188" s="3814" t="s">
        <v>1880</v>
      </c>
      <c r="C188" s="823" t="s">
        <v>2346</v>
      </c>
      <c r="D188" s="823" t="s">
        <v>907</v>
      </c>
      <c r="E188" s="2040">
        <f t="shared" si="7"/>
        <v>0</v>
      </c>
      <c r="F188" s="824">
        <f>IF($D188="Trigger",VLOOKUP("*"&amp;$C188&amp;"*",'Lower Hot Cell Weld Failure'!$D$52:$G$540,4,FALSE),E188+F187)</f>
        <v>0</v>
      </c>
      <c r="G188" s="825"/>
      <c r="H188" s="1323" t="str">
        <f>IF(D188="operation",VLOOKUP(G188,#REF!,5,FALSE), "N/A")</f>
        <v>N/A</v>
      </c>
      <c r="I188" s="823"/>
      <c r="J188" s="823"/>
      <c r="K188" s="823"/>
      <c r="L188" s="2040" t="str">
        <f>IFERROR(INDEX('Lower Hot Cell Logistics'!$I$13:$O$19,MATCH($J188,'Lower Hot Cell Logistics'!$H$13:$H$19,0),MATCH($K188,'Lower Hot Cell Logistics'!$H$13:$H$19,0)),"N/A")</f>
        <v>N/A</v>
      </c>
      <c r="M188" s="2040" t="str">
        <f>IFERROR(VLOOKUP($I188,'Lower Hot Cell Logistics'!$H$4:$I$8,2,FALSE),"N/A")</f>
        <v>N/A</v>
      </c>
      <c r="N188" s="2040" t="str">
        <f t="shared" si="11"/>
        <v>N/A</v>
      </c>
      <c r="O188" s="1327"/>
      <c r="P188" s="824" t="str">
        <f>IF($D188="Logistics",VLOOKUP($O188,'Lower Hot Cell Logistics'!$C$4:$D$69,2,FALSE),"N/A")</f>
        <v>N/A</v>
      </c>
    </row>
    <row r="189" spans="1:16" s="2121" customFormat="1" ht="12.75" hidden="1" customHeight="1" outlineLevel="1" x14ac:dyDescent="0.4">
      <c r="A189" s="1195"/>
      <c r="B189" s="3815"/>
      <c r="C189" s="860" t="s">
        <v>1945</v>
      </c>
      <c r="D189" s="860" t="s">
        <v>251</v>
      </c>
      <c r="E189" s="2042">
        <f t="shared" si="7"/>
        <v>145.49706243329842</v>
      </c>
      <c r="F189" s="1332">
        <f>IF($D189="Trigger",VLOOKUP("*"&amp;$C189&amp;"*",'Lower Hot Cell Weld Failure'!$D$52:$G$540,4,FALSE),E189+F188)</f>
        <v>145.49706243329842</v>
      </c>
      <c r="G189" s="862" t="s">
        <v>141</v>
      </c>
      <c r="H189" s="1332">
        <v>145.49706243329842</v>
      </c>
      <c r="I189" s="860"/>
      <c r="J189" s="860"/>
      <c r="K189" s="860"/>
      <c r="L189" s="2042" t="str">
        <f>IFERROR(INDEX('Lower Hot Cell Logistics'!$I$13:$O$19,MATCH($J189,'Lower Hot Cell Logistics'!$H$13:$H$19,0),MATCH($K189,'Lower Hot Cell Logistics'!$H$13:$H$19,0)),"N/A")</f>
        <v>N/A</v>
      </c>
      <c r="M189" s="2042" t="str">
        <f>IFERROR(VLOOKUP($I189,'Lower Hot Cell Logistics'!$H$4:$I$8,2,FALSE),"N/A")</f>
        <v>N/A</v>
      </c>
      <c r="N189" s="2042" t="str">
        <f t="shared" si="11"/>
        <v>N/A</v>
      </c>
      <c r="O189" s="1331"/>
      <c r="P189" s="1332" t="str">
        <f>IF($D189="Logistics",VLOOKUP($O189,'Lower Hot Cell Logistics'!$C$4:$D$69,2,FALSE),"N/A")</f>
        <v>N/A</v>
      </c>
    </row>
    <row r="190" spans="1:16" s="2121" customFormat="1" ht="13.5" hidden="1" customHeight="1" outlineLevel="1" thickBot="1" x14ac:dyDescent="0.45">
      <c r="A190" s="1195"/>
      <c r="B190" s="3816"/>
      <c r="C190" s="837" t="str">
        <f>B188</f>
        <v>RIB Blanket segment installed</v>
      </c>
      <c r="D190" s="837" t="s">
        <v>11</v>
      </c>
      <c r="E190" s="1922">
        <f t="shared" si="7"/>
        <v>0</v>
      </c>
      <c r="F190" s="1345">
        <f>IF($D190="Trigger",VLOOKUP("*"&amp;$C190&amp;"*",'Lower Hot Cell Weld Failure'!$D$52:$G$540,4,FALSE),E190+F189)</f>
        <v>145.49706243329842</v>
      </c>
      <c r="G190" s="839"/>
      <c r="H190" s="1341" t="str">
        <f>IF(D190="operation",VLOOKUP(G190,#REF!,5,FALSE), "N/A")</f>
        <v>N/A</v>
      </c>
      <c r="I190" s="837"/>
      <c r="J190" s="837"/>
      <c r="K190" s="837"/>
      <c r="L190" s="1922" t="str">
        <f>IFERROR(INDEX('Lower Hot Cell Logistics'!$I$13:$O$19,MATCH($J190,'Lower Hot Cell Logistics'!$H$13:$H$19,0),MATCH($K190,'Lower Hot Cell Logistics'!$H$13:$H$19,0)),"N/A")</f>
        <v>N/A</v>
      </c>
      <c r="M190" s="1922" t="str">
        <f>IFERROR(VLOOKUP($I190,'Lower Hot Cell Logistics'!$H$4:$I$8,2,FALSE),"N/A")</f>
        <v>N/A</v>
      </c>
      <c r="N190" s="1922" t="str">
        <f t="shared" si="11"/>
        <v>N/A</v>
      </c>
      <c r="O190" s="1344"/>
      <c r="P190" s="1345" t="str">
        <f>IF($D190="Logistics",VLOOKUP($O190,'Lower Hot Cell Logistics'!$C$4:$D$69,2,FALSE),"N/A")</f>
        <v>N/A</v>
      </c>
    </row>
    <row r="191" spans="1:16" s="2121" customFormat="1" ht="12.75" hidden="1" customHeight="1" outlineLevel="1" x14ac:dyDescent="0.4">
      <c r="A191" s="1195"/>
      <c r="B191" s="3787" t="s">
        <v>1894</v>
      </c>
      <c r="C191" s="566" t="s">
        <v>2346</v>
      </c>
      <c r="D191" s="566" t="s">
        <v>907</v>
      </c>
      <c r="E191" s="1175">
        <f t="shared" si="7"/>
        <v>0</v>
      </c>
      <c r="F191" s="621">
        <f>IF($D191="Trigger",VLOOKUP("*"&amp;$C191&amp;"*",'Lower Hot Cell Weld Failure'!$D$52:$G$540,4,FALSE),E191+F190)</f>
        <v>0</v>
      </c>
      <c r="G191" s="568"/>
      <c r="H191" s="569" t="str">
        <f>IF(D191="operation",VLOOKUP(G191,#REF!,5,FALSE), "N/A")</f>
        <v>N/A</v>
      </c>
      <c r="I191" s="566"/>
      <c r="J191" s="566"/>
      <c r="K191" s="566"/>
      <c r="L191" s="1175" t="str">
        <f>IFERROR(INDEX('Lower Hot Cell Logistics'!$I$13:$O$19,MATCH($J191,'Lower Hot Cell Logistics'!$H$13:$H$19,0),MATCH($K191,'Lower Hot Cell Logistics'!$H$13:$H$19,0)),"N/A")</f>
        <v>N/A</v>
      </c>
      <c r="M191" s="1175" t="str">
        <f>IFERROR(VLOOKUP($I191,'Lower Hot Cell Logistics'!$H$4:$I$8,2,FALSE),"N/A")</f>
        <v>N/A</v>
      </c>
      <c r="N191" s="1175" t="str">
        <f t="shared" si="11"/>
        <v>N/A</v>
      </c>
      <c r="O191" s="620"/>
      <c r="P191" s="621" t="str">
        <f>IF($D191="Logistics",VLOOKUP($O191,'Lower Hot Cell Logistics'!$C$4:$D$69,2,FALSE),"N/A")</f>
        <v>N/A</v>
      </c>
    </row>
    <row r="192" spans="1:16" s="2121" customFormat="1" ht="12.75" hidden="1" customHeight="1" outlineLevel="1" x14ac:dyDescent="0.4">
      <c r="A192" s="1195"/>
      <c r="B192" s="3786"/>
      <c r="C192" s="573" t="s">
        <v>1945</v>
      </c>
      <c r="D192" s="573" t="s">
        <v>251</v>
      </c>
      <c r="E192" s="1176">
        <f t="shared" si="7"/>
        <v>173.0926179888541</v>
      </c>
      <c r="F192" s="580">
        <f>IF($D192="Trigger",VLOOKUP("*"&amp;$C192&amp;"*",'Lower Hot Cell Weld Failure'!$D$52:$G$540,4,FALSE),E192+F191)</f>
        <v>173.0926179888541</v>
      </c>
      <c r="G192" s="575" t="s">
        <v>1085</v>
      </c>
      <c r="H192" s="580">
        <v>173.0926179888541</v>
      </c>
      <c r="I192" s="573"/>
      <c r="J192" s="573"/>
      <c r="K192" s="573"/>
      <c r="L192" s="1176" t="str">
        <f>IFERROR(INDEX('Lower Hot Cell Logistics'!$I$13:$O$19,MATCH($J192,'Lower Hot Cell Logistics'!$H$13:$H$19,0),MATCH($K192,'Lower Hot Cell Logistics'!$H$13:$H$19,0)),"N/A")</f>
        <v>N/A</v>
      </c>
      <c r="M192" s="1176" t="str">
        <f>IFERROR(VLOOKUP($I192,'Lower Hot Cell Logistics'!$H$4:$I$8,2,FALSE),"N/A")</f>
        <v>N/A</v>
      </c>
      <c r="N192" s="1176" t="str">
        <f t="shared" si="11"/>
        <v>N/A</v>
      </c>
      <c r="O192" s="579"/>
      <c r="P192" s="580" t="str">
        <f>IF($D192="Logistics",VLOOKUP($O192,'Lower Hot Cell Logistics'!$C$4:$D$69,2,FALSE),"N/A")</f>
        <v>N/A</v>
      </c>
    </row>
    <row r="193" spans="1:19" s="2121" customFormat="1" ht="13.5" hidden="1" customHeight="1" outlineLevel="1" thickBot="1" x14ac:dyDescent="0.45">
      <c r="A193" s="1195"/>
      <c r="B193" s="3788"/>
      <c r="C193" s="584" t="str">
        <f>B191</f>
        <v>RIB Upper Port Pipe Module installed</v>
      </c>
      <c r="D193" s="584" t="s">
        <v>11</v>
      </c>
      <c r="E193" s="1179">
        <f t="shared" si="7"/>
        <v>0</v>
      </c>
      <c r="F193" s="591">
        <f>IF($D193="Trigger",VLOOKUP("*"&amp;$C193&amp;"*",'Lower Hot Cell Weld Failure'!$D$52:$G$540,4,FALSE),E193+F192)</f>
        <v>173.0926179888541</v>
      </c>
      <c r="G193" s="586"/>
      <c r="H193" s="587" t="str">
        <f>IF(D193="operation",VLOOKUP(G193,#REF!,5,FALSE), "N/A")</f>
        <v>N/A</v>
      </c>
      <c r="I193" s="584"/>
      <c r="J193" s="584"/>
      <c r="K193" s="584"/>
      <c r="L193" s="1179" t="str">
        <f>IFERROR(INDEX('Lower Hot Cell Logistics'!$I$13:$O$19,MATCH($J193,'Lower Hot Cell Logistics'!$H$13:$H$19,0),MATCH($K193,'Lower Hot Cell Logistics'!$H$13:$H$19,0)),"N/A")</f>
        <v>N/A</v>
      </c>
      <c r="M193" s="1179" t="str">
        <f>IFERROR(VLOOKUP($I193,'Lower Hot Cell Logistics'!$H$4:$I$8,2,FALSE),"N/A")</f>
        <v>N/A</v>
      </c>
      <c r="N193" s="1179" t="str">
        <f t="shared" si="11"/>
        <v>N/A</v>
      </c>
      <c r="O193" s="590"/>
      <c r="P193" s="591" t="str">
        <f>IF($D193="Logistics",VLOOKUP($O193,'Lower Hot Cell Logistics'!$C$4:$D$69,2,FALSE),"N/A")</f>
        <v>N/A</v>
      </c>
    </row>
    <row r="194" spans="1:19" s="2121" customFormat="1" ht="13.3" collapsed="1" thickBot="1" x14ac:dyDescent="0.45">
      <c r="A194" s="2122"/>
      <c r="B194" s="2123"/>
      <c r="C194" s="2124"/>
      <c r="D194" s="2124"/>
      <c r="E194" s="2124"/>
      <c r="F194" s="2124"/>
      <c r="G194" s="2124"/>
      <c r="H194" s="2125"/>
      <c r="I194" s="2124"/>
      <c r="J194" s="2124"/>
      <c r="K194" s="2124"/>
      <c r="L194" s="2126"/>
      <c r="M194" s="2126"/>
      <c r="N194" s="2126"/>
      <c r="O194" s="2124"/>
      <c r="P194" s="2127"/>
    </row>
    <row r="195" spans="1:19" s="2121" customFormat="1" x14ac:dyDescent="0.4">
      <c r="A195" s="1199"/>
      <c r="B195" s="1200" t="s">
        <v>2348</v>
      </c>
      <c r="C195" s="1200"/>
      <c r="D195" s="1200"/>
      <c r="E195" s="1200"/>
      <c r="F195" s="1200"/>
      <c r="G195" s="1200"/>
      <c r="H195" s="1200"/>
      <c r="I195" s="1200"/>
      <c r="J195" s="1200"/>
      <c r="K195" s="1200"/>
      <c r="L195" s="1200"/>
      <c r="M195" s="1200"/>
      <c r="N195" s="1200"/>
      <c r="O195" s="1200"/>
      <c r="P195" s="1201"/>
    </row>
    <row r="196" spans="1:19" s="2121" customFormat="1" ht="13.3" hidden="1" outlineLevel="1" thickBot="1" x14ac:dyDescent="0.45">
      <c r="A196" s="1202"/>
      <c r="B196" s="1556"/>
      <c r="C196" s="1203"/>
      <c r="D196" s="1203"/>
      <c r="E196" s="1203"/>
      <c r="F196" s="1203"/>
      <c r="G196" s="1203"/>
      <c r="H196" s="1557"/>
      <c r="I196" s="1203"/>
      <c r="J196" s="1203"/>
      <c r="K196" s="1203"/>
      <c r="L196" s="1204"/>
      <c r="M196" s="1204"/>
      <c r="N196" s="1204"/>
      <c r="O196" s="1203"/>
      <c r="P196" s="1205"/>
    </row>
    <row r="197" spans="1:19" s="89" customFormat="1" ht="15" hidden="1" customHeight="1" outlineLevel="1" x14ac:dyDescent="0.4">
      <c r="A197" s="1202"/>
      <c r="B197" s="3814" t="s">
        <v>2285</v>
      </c>
      <c r="C197" s="1324" t="s">
        <v>1879</v>
      </c>
      <c r="D197" s="1324" t="s">
        <v>907</v>
      </c>
      <c r="E197" s="1291">
        <f t="shared" ref="E197:E260" si="12">MAX($P197,$N197,$H197)</f>
        <v>0</v>
      </c>
      <c r="F197" s="1291">
        <f>IF($D197="Trigger",VLOOKUP("*"&amp;$C197&amp;"*",'Lower Hot Cell Weld Failure'!$D$188:$G$219,4,FALSE),E197+F196)</f>
        <v>0</v>
      </c>
      <c r="G197" s="825"/>
      <c r="H197" s="1323" t="s">
        <v>263</v>
      </c>
      <c r="I197" s="1721"/>
      <c r="J197" s="1324"/>
      <c r="K197" s="1324"/>
      <c r="L197" s="828" t="str">
        <f>IFERROR(INDEX('Lower Hot Cell Logistics'!$I$13:$O$19,MATCH($J197,'Lower Hot Cell Logistics'!$H$13:$H$19,0),MATCH($K197,'Lower Hot Cell Logistics'!$H$13:$H$19,0)),"N/A")</f>
        <v>N/A</v>
      </c>
      <c r="M197" s="827" t="str">
        <f>IFERROR(VLOOKUP($I197,'Lower Hot Cell Logistics'!$H$4:$I$8,2,FALSE),"N/A")</f>
        <v>N/A</v>
      </c>
      <c r="N197" s="2200" t="str">
        <f t="shared" ref="N197:N216" si="13">IF(D197="Movement",IFERROR((L197/M197)/(60*60),"Error"),"N/A")</f>
        <v>N/A</v>
      </c>
      <c r="O197" s="1327"/>
      <c r="P197" s="824" t="str">
        <f>IF($D197="Logistics",VLOOKUP($O197,'Lower Hot Cell Logistics'!$C$4:$D$69,2,FALSE),"N/A")</f>
        <v>N/A</v>
      </c>
      <c r="R197"/>
      <c r="S197"/>
    </row>
    <row r="198" spans="1:19" s="89" customFormat="1" ht="15" hidden="1" customHeight="1" outlineLevel="1" x14ac:dyDescent="0.4">
      <c r="A198" s="1202"/>
      <c r="B198" s="3815"/>
      <c r="C198" s="1362" t="s">
        <v>2141</v>
      </c>
      <c r="D198" s="1294" t="s">
        <v>778</v>
      </c>
      <c r="E198" s="1330">
        <f t="shared" si="12"/>
        <v>0.69444444444444442</v>
      </c>
      <c r="F198" s="1330">
        <f>IF($D198="Trigger",VLOOKUP("*"&amp;$C198&amp;"*",'Lower Hot Cell Weld Failure'!$D$188:$G$219,4,FALSE),E198+F197)</f>
        <v>0.69444444444444442</v>
      </c>
      <c r="G198" s="1722"/>
      <c r="H198" s="2219" t="s">
        <v>263</v>
      </c>
      <c r="I198" s="1724" t="s">
        <v>1826</v>
      </c>
      <c r="J198" s="1294" t="s">
        <v>451</v>
      </c>
      <c r="K198" s="1294" t="s">
        <v>831</v>
      </c>
      <c r="L198" s="2042">
        <f>IFERROR(INDEX('Lower Hot Cell Logistics'!$I$13:$O$19,MATCH($J198,'Lower Hot Cell Logistics'!$H$13:$H$19,0),MATCH($K198,'Lower Hot Cell Logistics'!$H$13:$H$19,0)),"N/A")</f>
        <v>50</v>
      </c>
      <c r="M198" s="2220">
        <f>IFERROR(VLOOKUP($I198,'Lower Hot Cell Logistics'!$H$4:$I$8,2,FALSE),"N/A")</f>
        <v>0.02</v>
      </c>
      <c r="N198" s="1332">
        <f t="shared" si="13"/>
        <v>0.69444444444444442</v>
      </c>
      <c r="O198" s="1352"/>
      <c r="P198" s="1353" t="str">
        <f>IF($D198="Logistics",VLOOKUP($O198,'Lower Hot Cell Logistics'!$C$4:$D$69,2,FALSE),"N/A")</f>
        <v>N/A</v>
      </c>
      <c r="R198"/>
      <c r="S198"/>
    </row>
    <row r="199" spans="1:19" s="89" customFormat="1" ht="15" hidden="1" customHeight="1" outlineLevel="1" x14ac:dyDescent="0.4">
      <c r="A199" s="1202"/>
      <c r="B199" s="3815"/>
      <c r="C199" s="1362" t="s">
        <v>1757</v>
      </c>
      <c r="D199" s="1294" t="s">
        <v>3</v>
      </c>
      <c r="E199" s="1330">
        <f t="shared" si="12"/>
        <v>0.88000000000000012</v>
      </c>
      <c r="F199" s="1330">
        <f>IF($D199="Trigger",VLOOKUP("*"&amp;$C199&amp;"*",'Lower Hot Cell Weld Failure'!$D$188:$G$219,4,FALSE),E199+F198)</f>
        <v>1.5744444444444445</v>
      </c>
      <c r="G199" s="1722"/>
      <c r="H199" s="2219" t="s">
        <v>263</v>
      </c>
      <c r="I199" s="1724"/>
      <c r="J199" s="1294"/>
      <c r="K199" s="1294"/>
      <c r="L199" s="2042" t="str">
        <f>IFERROR(INDEX('Lower Hot Cell Logistics'!$I$13:$O$19,MATCH($J199,'Lower Hot Cell Logistics'!$H$13:$H$19,0),MATCH($K199,'Lower Hot Cell Logistics'!$H$13:$H$19,0)),"N/A")</f>
        <v>N/A</v>
      </c>
      <c r="M199" s="2220" t="str">
        <f>IFERROR(VLOOKUP($I199,'Lower Hot Cell Logistics'!$H$4:$I$8,2,FALSE),"N/A")</f>
        <v>N/A</v>
      </c>
      <c r="N199" s="1332" t="str">
        <f t="shared" si="13"/>
        <v>N/A</v>
      </c>
      <c r="O199" s="1352" t="s">
        <v>2144</v>
      </c>
      <c r="P199" s="1353">
        <f>IF($D199="Logistics",VLOOKUP($O199,'Lower Hot Cell Logistics'!$C$4:$D$69,2,FALSE),"N/A")</f>
        <v>0.88000000000000012</v>
      </c>
      <c r="R199"/>
      <c r="S199"/>
    </row>
    <row r="200" spans="1:19" s="89" customFormat="1" ht="14.6" hidden="1" outlineLevel="1" x14ac:dyDescent="0.4">
      <c r="A200" s="1202"/>
      <c r="B200" s="3815"/>
      <c r="C200" s="1294" t="s">
        <v>2189</v>
      </c>
      <c r="D200" s="1294" t="s">
        <v>778</v>
      </c>
      <c r="E200" s="1330">
        <f t="shared" si="12"/>
        <v>0.23148148148148148</v>
      </c>
      <c r="F200" s="1330">
        <f>IF($D200="Trigger",VLOOKUP("*"&amp;$C200&amp;"*",'Lower Hot Cell Weld Failure'!$D$188:$G$219,4,FALSE),E200+F199)</f>
        <v>1.8059259259259259</v>
      </c>
      <c r="G200" s="862"/>
      <c r="H200" s="1328" t="s">
        <v>263</v>
      </c>
      <c r="I200" s="1724" t="s">
        <v>2190</v>
      </c>
      <c r="J200" s="1294" t="s">
        <v>799</v>
      </c>
      <c r="K200" s="1294" t="s">
        <v>451</v>
      </c>
      <c r="L200" s="865">
        <f>IFERROR(INDEX('Lower Hot Cell Logistics'!$I$13:$O$19,MATCH($J200,'Lower Hot Cell Logistics'!$H$13:$H$19,0),MATCH($K200,'Lower Hot Cell Logistics'!$H$13:$H$19,0)),"N/A")</f>
        <v>50</v>
      </c>
      <c r="M200" s="865">
        <f>IFERROR(VLOOKUP($I200,'Lower Hot Cell Logistics'!$H$4:$I$8,2,FALSE),"N/A")</f>
        <v>0.06</v>
      </c>
      <c r="N200" s="2197">
        <f t="shared" si="13"/>
        <v>0.23148148148148148</v>
      </c>
      <c r="O200" s="1331"/>
      <c r="P200" s="1332" t="str">
        <f>IF($D200="Logistics",VLOOKUP($O200,'Lower Hot Cell Logistics'!$C$4:$D$69,2,FALSE),"N/A")</f>
        <v>N/A</v>
      </c>
      <c r="R200"/>
      <c r="S200"/>
    </row>
    <row r="201" spans="1:19" s="89" customFormat="1" ht="26.6" hidden="1" outlineLevel="1" thickBot="1" x14ac:dyDescent="0.45">
      <c r="A201" s="1202"/>
      <c r="B201" s="3816"/>
      <c r="C201" s="1340" t="str">
        <f>B197</f>
        <v>Pumping handling system store; pipe module handing system collected; Pipe Module handling System Moved to Lower Port</v>
      </c>
      <c r="D201" s="1340" t="s">
        <v>11</v>
      </c>
      <c r="E201" s="1295">
        <f t="shared" si="12"/>
        <v>0</v>
      </c>
      <c r="F201" s="1295">
        <f>IF($D201="Trigger",VLOOKUP("*"&amp;$C201&amp;"*",'Lower Hot Cell Weld Failure'!$D$188:$G$219,4,FALSE),E201+F200)</f>
        <v>1.8059259259259259</v>
      </c>
      <c r="G201" s="839"/>
      <c r="H201" s="1341" t="s">
        <v>263</v>
      </c>
      <c r="I201" s="1727"/>
      <c r="J201" s="1340"/>
      <c r="K201" s="1340"/>
      <c r="L201" s="842" t="str">
        <f>IFERROR(INDEX('Lower Hot Cell Logistics'!$I$13:$O$19,MATCH($J201,'Lower Hot Cell Logistics'!$H$13:$H$19,0),MATCH($K201,'Lower Hot Cell Logistics'!$H$13:$H$19,0)),"N/A")</f>
        <v>N/A</v>
      </c>
      <c r="M201" s="842" t="str">
        <f>IFERROR(VLOOKUP($I201,'Lower Hot Cell Logistics'!$H$4:$I$8,2,FALSE),"N/A")</f>
        <v>N/A</v>
      </c>
      <c r="N201" s="2199" t="str">
        <f t="shared" si="13"/>
        <v>N/A</v>
      </c>
      <c r="O201" s="1344"/>
      <c r="P201" s="1345" t="str">
        <f>IF($D201="Logistics",VLOOKUP($O201,'Lower Hot Cell Logistics'!$C$4:$D$69,2,FALSE),"N/A")</f>
        <v>N/A</v>
      </c>
      <c r="R201"/>
      <c r="S201"/>
    </row>
    <row r="202" spans="1:19" s="89" customFormat="1" ht="15" hidden="1" customHeight="1" outlineLevel="1" x14ac:dyDescent="0.4">
      <c r="A202" s="1202"/>
      <c r="B202" s="3787" t="s">
        <v>2055</v>
      </c>
      <c r="C202" s="617" t="s">
        <v>2047</v>
      </c>
      <c r="D202" s="617" t="s">
        <v>907</v>
      </c>
      <c r="E202" s="567">
        <f t="shared" si="12"/>
        <v>0</v>
      </c>
      <c r="F202" s="567">
        <f>IF($D202="Trigger",VLOOKUP("*"&amp;$C202&amp;"*",'Lower Hot Cell Weld Failure'!$D$52:$G$104,4,FALSE),E202+F201)</f>
        <v>49.128901179185171</v>
      </c>
      <c r="G202" s="568"/>
      <c r="H202" s="569" t="s">
        <v>263</v>
      </c>
      <c r="I202" s="1270"/>
      <c r="J202" s="617"/>
      <c r="K202" s="617"/>
      <c r="L202" s="570" t="str">
        <f>IFERROR(INDEX('Lower Hot Cell Logistics'!$I$13:$O$19,MATCH($J202,'Lower Hot Cell Logistics'!$H$13:$H$19,0),MATCH($K202,'Lower Hot Cell Logistics'!$H$13:$H$19,0)),"N/A")</f>
        <v>N/A</v>
      </c>
      <c r="M202" s="802" t="str">
        <f>IFERROR(VLOOKUP($I202,'Lower Hot Cell Logistics'!$H$4:$I$8,2,FALSE),"N/A")</f>
        <v>N/A</v>
      </c>
      <c r="N202" s="1182" t="str">
        <f t="shared" si="13"/>
        <v>N/A</v>
      </c>
      <c r="O202" s="620"/>
      <c r="P202" s="621" t="str">
        <f>IF($D202="Logistics",VLOOKUP($O202,'Lower Hot Cell Logistics'!$C$4:$D$69,2,FALSE),"N/A")</f>
        <v>N/A</v>
      </c>
      <c r="R202"/>
      <c r="S202"/>
    </row>
    <row r="203" spans="1:19" s="89" customFormat="1" ht="15" hidden="1" customHeight="1" outlineLevel="1" x14ac:dyDescent="0.4">
      <c r="A203" s="1202"/>
      <c r="B203" s="3786"/>
      <c r="C203" s="1275" t="s">
        <v>2141</v>
      </c>
      <c r="D203" s="572" t="s">
        <v>778</v>
      </c>
      <c r="E203" s="578">
        <f t="shared" si="12"/>
        <v>0.69444444444444442</v>
      </c>
      <c r="F203" s="578">
        <f>IF($D203="Trigger",VLOOKUP("*"&amp;$C203&amp;"*",'Lower Hot Cell Weld Failure'!$D$52:$G$104,4,FALSE),E203+F202)</f>
        <v>49.823345623629613</v>
      </c>
      <c r="G203" s="872"/>
      <c r="H203" s="2221" t="s">
        <v>263</v>
      </c>
      <c r="I203" s="1281" t="s">
        <v>1826</v>
      </c>
      <c r="J203" s="572" t="s">
        <v>451</v>
      </c>
      <c r="K203" s="572" t="s">
        <v>831</v>
      </c>
      <c r="L203" s="1176">
        <f>IFERROR(INDEX('Lower Hot Cell Logistics'!$I$13:$O$19,MATCH($J203,'Lower Hot Cell Logistics'!$H$13:$H$19,0),MATCH($K203,'Lower Hot Cell Logistics'!$H$13:$H$19,0)),"N/A")</f>
        <v>50</v>
      </c>
      <c r="M203" s="2222">
        <f>IFERROR(VLOOKUP($I203,'Lower Hot Cell Logistics'!$H$4:$I$8,2,FALSE),"N/A")</f>
        <v>0.02</v>
      </c>
      <c r="N203" s="580">
        <f t="shared" si="13"/>
        <v>0.69444444444444442</v>
      </c>
      <c r="O203" s="631"/>
      <c r="P203" s="632" t="str">
        <f>IF($D203="Logistics",VLOOKUP($O203,'Lower Hot Cell Logistics'!$C$4:$D$69,2,FALSE),"N/A")</f>
        <v>N/A</v>
      </c>
      <c r="R203"/>
      <c r="S203"/>
    </row>
    <row r="204" spans="1:19" s="89" customFormat="1" ht="15" hidden="1" customHeight="1" outlineLevel="1" x14ac:dyDescent="0.4">
      <c r="A204" s="1202"/>
      <c r="B204" s="3786"/>
      <c r="C204" s="1275" t="s">
        <v>1757</v>
      </c>
      <c r="D204" s="572" t="s">
        <v>3</v>
      </c>
      <c r="E204" s="578">
        <f t="shared" si="12"/>
        <v>0.88000000000000012</v>
      </c>
      <c r="F204" s="578">
        <f>IF($D204="Trigger",VLOOKUP("*"&amp;$C204&amp;"*",'Lower Hot Cell Weld Failure'!$D$52:$G$104,4,FALSE),E204+F203)</f>
        <v>50.703345623629616</v>
      </c>
      <c r="G204" s="872"/>
      <c r="H204" s="2221" t="s">
        <v>263</v>
      </c>
      <c r="I204" s="1281"/>
      <c r="J204" s="572"/>
      <c r="K204" s="572"/>
      <c r="L204" s="1176" t="str">
        <f>IFERROR(INDEX('Lower Hot Cell Logistics'!$I$13:$O$19,MATCH($J204,'Lower Hot Cell Logistics'!$H$13:$H$19,0),MATCH($K204,'Lower Hot Cell Logistics'!$H$13:$H$19,0)),"N/A")</f>
        <v>N/A</v>
      </c>
      <c r="M204" s="2222" t="str">
        <f>IFERROR(VLOOKUP($I204,'Lower Hot Cell Logistics'!$H$4:$I$8,2,FALSE),"N/A")</f>
        <v>N/A</v>
      </c>
      <c r="N204" s="580" t="str">
        <f t="shared" si="13"/>
        <v>N/A</v>
      </c>
      <c r="O204" s="631" t="s">
        <v>2144</v>
      </c>
      <c r="P204" s="632">
        <f>IF($D204="Logistics",VLOOKUP($O204,'Lower Hot Cell Logistics'!$C$4:$D$69,2,FALSE),"N/A")</f>
        <v>0.88000000000000012</v>
      </c>
      <c r="R204"/>
      <c r="S204"/>
    </row>
    <row r="205" spans="1:19" s="89" customFormat="1" ht="14.6" hidden="1" outlineLevel="1" x14ac:dyDescent="0.4">
      <c r="A205" s="1202"/>
      <c r="B205" s="3786"/>
      <c r="C205" s="572" t="s">
        <v>2189</v>
      </c>
      <c r="D205" s="572" t="s">
        <v>778</v>
      </c>
      <c r="E205" s="578">
        <f t="shared" si="12"/>
        <v>0.23148148148148148</v>
      </c>
      <c r="F205" s="578">
        <f>IF($D205="Trigger",VLOOKUP("*"&amp;$C205&amp;"*",'Lower Hot Cell Weld Failure'!$D$52:$G$104,4,FALSE),E205+F204)</f>
        <v>50.934827105111097</v>
      </c>
      <c r="G205" s="575"/>
      <c r="H205" s="576" t="s">
        <v>263</v>
      </c>
      <c r="I205" s="1281" t="s">
        <v>2190</v>
      </c>
      <c r="J205" s="572" t="s">
        <v>799</v>
      </c>
      <c r="K205" s="572" t="s">
        <v>451</v>
      </c>
      <c r="L205" s="853">
        <f>IFERROR(INDEX('Lower Hot Cell Logistics'!$I$13:$O$19,MATCH($J205,'Lower Hot Cell Logistics'!$H$13:$H$19,0),MATCH($K205,'Lower Hot Cell Logistics'!$H$13:$H$19,0)),"N/A")</f>
        <v>50</v>
      </c>
      <c r="M205" s="853">
        <f>IFERROR(VLOOKUP($I205,'Lower Hot Cell Logistics'!$H$4:$I$8,2,FALSE),"N/A")</f>
        <v>0.06</v>
      </c>
      <c r="N205" s="1180">
        <f t="shared" si="13"/>
        <v>0.23148148148148148</v>
      </c>
      <c r="O205" s="579"/>
      <c r="P205" s="580" t="str">
        <f>IF($D205="Logistics",VLOOKUP($O205,'Lower Hot Cell Logistics'!$C$4:$D$69,2,FALSE),"N/A")</f>
        <v>N/A</v>
      </c>
      <c r="R205"/>
      <c r="S205"/>
    </row>
    <row r="206" spans="1:19" s="89" customFormat="1" ht="26.6" hidden="1" outlineLevel="1" thickBot="1" x14ac:dyDescent="0.45">
      <c r="A206" s="1202"/>
      <c r="B206" s="3788"/>
      <c r="C206" s="583" t="str">
        <f>B202</f>
        <v>ROB pipe module stored;  Pipe Module handling System Moved to Lower Port</v>
      </c>
      <c r="D206" s="583" t="s">
        <v>11</v>
      </c>
      <c r="E206" s="585">
        <f t="shared" si="12"/>
        <v>0</v>
      </c>
      <c r="F206" s="585">
        <f>IF($D206="Trigger",VLOOKUP("*"&amp;$C206&amp;"*",'Lower Hot Cell Weld Failure'!$D$52:$G$104,4,FALSE),E206+F205)</f>
        <v>50.934827105111097</v>
      </c>
      <c r="G206" s="586"/>
      <c r="H206" s="587" t="s">
        <v>263</v>
      </c>
      <c r="I206" s="1720"/>
      <c r="J206" s="583"/>
      <c r="K206" s="583"/>
      <c r="L206" s="814" t="str">
        <f>IFERROR(INDEX('Lower Hot Cell Logistics'!$I$13:$O$19,MATCH($J206,'Lower Hot Cell Logistics'!$H$13:$H$19,0),MATCH($K206,'Lower Hot Cell Logistics'!$H$13:$H$19,0)),"N/A")</f>
        <v>N/A</v>
      </c>
      <c r="M206" s="814" t="str">
        <f>IFERROR(VLOOKUP($I206,'Lower Hot Cell Logistics'!$H$4:$I$8,2,FALSE),"N/A")</f>
        <v>N/A</v>
      </c>
      <c r="N206" s="1181" t="str">
        <f t="shared" si="13"/>
        <v>N/A</v>
      </c>
      <c r="O206" s="590"/>
      <c r="P206" s="591" t="str">
        <f>IF($D206="Logistics",VLOOKUP($O206,'Lower Hot Cell Logistics'!$C$4:$D$69,2,FALSE),"N/A")</f>
        <v>N/A</v>
      </c>
      <c r="R206"/>
      <c r="S206"/>
    </row>
    <row r="207" spans="1:19" s="89" customFormat="1" ht="15" hidden="1" customHeight="1" outlineLevel="1" x14ac:dyDescent="0.4">
      <c r="A207" s="1202"/>
      <c r="B207" s="3814" t="s">
        <v>2059</v>
      </c>
      <c r="C207" s="617" t="s">
        <v>2192</v>
      </c>
      <c r="D207" s="1324" t="s">
        <v>907</v>
      </c>
      <c r="E207" s="1291">
        <f t="shared" si="12"/>
        <v>0</v>
      </c>
      <c r="F207" s="1291">
        <f>IF($D207="Trigger",VLOOKUP("*"&amp;$C207&amp;"*",'Lower Hot Cell Weld Failure'!$D$188:$G$219,4,FALSE),E207+F201)</f>
        <v>51.534827105111098</v>
      </c>
      <c r="G207" s="825"/>
      <c r="H207" s="1323" t="s">
        <v>263</v>
      </c>
      <c r="I207" s="1721"/>
      <c r="J207" s="1324"/>
      <c r="K207" s="1324"/>
      <c r="L207" s="828" t="str">
        <f>IFERROR(INDEX('Lower Hot Cell Logistics'!$I$13:$O$19,MATCH($J207,'Lower Hot Cell Logistics'!$H$13:$H$19,0),MATCH($K207,'Lower Hot Cell Logistics'!$H$13:$H$19,0)),"N/A")</f>
        <v>N/A</v>
      </c>
      <c r="M207" s="827" t="str">
        <f>IFERROR(VLOOKUP($I207,'Lower Hot Cell Logistics'!$H$4:$I$8,2,FALSE),"N/A")</f>
        <v>N/A</v>
      </c>
      <c r="N207" s="2200" t="str">
        <f t="shared" si="13"/>
        <v>N/A</v>
      </c>
      <c r="O207" s="1327"/>
      <c r="P207" s="824" t="str">
        <f>IF($D207="Logistics",VLOOKUP($O207,'Lower Hot Cell Logistics'!$C$4:$D$69,2,FALSE),"N/A")</f>
        <v>N/A</v>
      </c>
      <c r="R207"/>
      <c r="S207"/>
    </row>
    <row r="208" spans="1:19" s="89" customFormat="1" ht="15" hidden="1" customHeight="1" outlineLevel="1" x14ac:dyDescent="0.4">
      <c r="A208" s="1202"/>
      <c r="B208" s="3815"/>
      <c r="C208" s="1362" t="s">
        <v>2141</v>
      </c>
      <c r="D208" s="1294" t="s">
        <v>778</v>
      </c>
      <c r="E208" s="1330">
        <f t="shared" si="12"/>
        <v>0.69444444444444442</v>
      </c>
      <c r="F208" s="1330">
        <f>IF($D208="Trigger",VLOOKUP("*"&amp;$C208&amp;"*",'Lower Hot Cell Weld Failure'!$D$188:$G$219,4,FALSE),E208+F207)</f>
        <v>52.229271549555541</v>
      </c>
      <c r="G208" s="1722"/>
      <c r="H208" s="2219" t="s">
        <v>263</v>
      </c>
      <c r="I208" s="1724" t="s">
        <v>1826</v>
      </c>
      <c r="J208" s="1294" t="s">
        <v>451</v>
      </c>
      <c r="K208" s="1294" t="s">
        <v>831</v>
      </c>
      <c r="L208" s="2042">
        <f>IFERROR(INDEX('Lower Hot Cell Logistics'!$I$13:$O$19,MATCH($J208,'Lower Hot Cell Logistics'!$H$13:$H$19,0),MATCH($K208,'Lower Hot Cell Logistics'!$H$13:$H$19,0)),"N/A")</f>
        <v>50</v>
      </c>
      <c r="M208" s="2220">
        <f>IFERROR(VLOOKUP($I208,'Lower Hot Cell Logistics'!$H$4:$I$8,2,FALSE),"N/A")</f>
        <v>0.02</v>
      </c>
      <c r="N208" s="1332">
        <f t="shared" si="13"/>
        <v>0.69444444444444442</v>
      </c>
      <c r="O208" s="1352"/>
      <c r="P208" s="1353" t="str">
        <f>IF($D208="Logistics",VLOOKUP($O208,'Lower Hot Cell Logistics'!$C$4:$D$69,2,FALSE),"N/A")</f>
        <v>N/A</v>
      </c>
      <c r="R208"/>
      <c r="S208"/>
    </row>
    <row r="209" spans="1:19" s="89" customFormat="1" ht="15" hidden="1" customHeight="1" outlineLevel="1" x14ac:dyDescent="0.4">
      <c r="A209" s="1202"/>
      <c r="B209" s="3815"/>
      <c r="C209" s="1362" t="s">
        <v>1757</v>
      </c>
      <c r="D209" s="1294" t="s">
        <v>3</v>
      </c>
      <c r="E209" s="1330">
        <f t="shared" si="12"/>
        <v>0.88000000000000012</v>
      </c>
      <c r="F209" s="1330">
        <f>IF($D209="Trigger",VLOOKUP("*"&amp;$C209&amp;"*",'Lower Hot Cell Weld Failure'!$D$188:$G$219,4,FALSE),E209+F208)</f>
        <v>53.109271549555544</v>
      </c>
      <c r="G209" s="1722"/>
      <c r="H209" s="2219" t="s">
        <v>263</v>
      </c>
      <c r="I209" s="1724"/>
      <c r="J209" s="1294"/>
      <c r="K209" s="1294"/>
      <c r="L209" s="2042" t="str">
        <f>IFERROR(INDEX('Lower Hot Cell Logistics'!$I$13:$O$19,MATCH($J209,'Lower Hot Cell Logistics'!$H$13:$H$19,0),MATCH($K209,'Lower Hot Cell Logistics'!$H$13:$H$19,0)),"N/A")</f>
        <v>N/A</v>
      </c>
      <c r="M209" s="2220" t="str">
        <f>IFERROR(VLOOKUP($I209,'Lower Hot Cell Logistics'!$H$4:$I$8,2,FALSE),"N/A")</f>
        <v>N/A</v>
      </c>
      <c r="N209" s="1332" t="str">
        <f t="shared" si="13"/>
        <v>N/A</v>
      </c>
      <c r="O209" s="1352" t="s">
        <v>2144</v>
      </c>
      <c r="P209" s="1353">
        <f>IF($D209="Logistics",VLOOKUP($O209,'Lower Hot Cell Logistics'!$C$4:$D$69,2,FALSE),"N/A")</f>
        <v>0.88000000000000012</v>
      </c>
      <c r="R209"/>
      <c r="S209"/>
    </row>
    <row r="210" spans="1:19" s="89" customFormat="1" ht="14.6" hidden="1" outlineLevel="1" x14ac:dyDescent="0.4">
      <c r="A210" s="1202"/>
      <c r="B210" s="3815"/>
      <c r="C210" s="1294" t="s">
        <v>2189</v>
      </c>
      <c r="D210" s="1294" t="s">
        <v>778</v>
      </c>
      <c r="E210" s="1292">
        <f t="shared" si="12"/>
        <v>0.23148148148148148</v>
      </c>
      <c r="F210" s="1292">
        <f>IF($D210="Trigger",VLOOKUP("*"&amp;$C210&amp;"*",'Lower Hot Cell Weld Failure'!$D$188:$G$219,4,FALSE),E210+F209)</f>
        <v>53.340753031037025</v>
      </c>
      <c r="G210" s="862"/>
      <c r="H210" s="1328" t="s">
        <v>263</v>
      </c>
      <c r="I210" s="1724" t="s">
        <v>2190</v>
      </c>
      <c r="J210" s="1294" t="s">
        <v>799</v>
      </c>
      <c r="K210" s="1294" t="s">
        <v>451</v>
      </c>
      <c r="L210" s="865">
        <f>IFERROR(INDEX('Lower Hot Cell Logistics'!$I$13:$O$19,MATCH($J210,'Lower Hot Cell Logistics'!$H$13:$H$19,0),MATCH($K210,'Lower Hot Cell Logistics'!$H$13:$H$19,0)),"N/A")</f>
        <v>50</v>
      </c>
      <c r="M210" s="865">
        <f>IFERROR(VLOOKUP($I210,'Lower Hot Cell Logistics'!$H$4:$I$8,2,FALSE),"N/A")</f>
        <v>0.06</v>
      </c>
      <c r="N210" s="2197">
        <f t="shared" si="13"/>
        <v>0.23148148148148148</v>
      </c>
      <c r="O210" s="1331"/>
      <c r="P210" s="1332" t="str">
        <f>IF($D210="Logistics",VLOOKUP($O210,'Lower Hot Cell Logistics'!$C$4:$D$69,2,FALSE),"N/A")</f>
        <v>N/A</v>
      </c>
      <c r="R210"/>
      <c r="S210"/>
    </row>
    <row r="211" spans="1:19" s="89" customFormat="1" ht="26.6" hidden="1" outlineLevel="1" thickBot="1" x14ac:dyDescent="0.45">
      <c r="A211" s="1202"/>
      <c r="B211" s="3816"/>
      <c r="C211" s="1340" t="str">
        <f>B207</f>
        <v>LIB pipe module stored;  Pipe Module handling System Moved to Lower Port</v>
      </c>
      <c r="D211" s="1340" t="s">
        <v>11</v>
      </c>
      <c r="E211" s="1295">
        <f t="shared" si="12"/>
        <v>0</v>
      </c>
      <c r="F211" s="1295">
        <f>IF($D211="Trigger",VLOOKUP("*"&amp;$C211&amp;"*",'Lower Hot Cell Weld Failure'!$D$188:$G$219,4,FALSE),E211+F210)</f>
        <v>53.340753031037025</v>
      </c>
      <c r="G211" s="839"/>
      <c r="H211" s="1341" t="s">
        <v>263</v>
      </c>
      <c r="I211" s="1727"/>
      <c r="J211" s="1340"/>
      <c r="K211" s="1340"/>
      <c r="L211" s="842" t="str">
        <f>IFERROR(INDEX('Lower Hot Cell Logistics'!$I$13:$O$19,MATCH($J211,'Lower Hot Cell Logistics'!$H$13:$H$19,0),MATCH($K211,'Lower Hot Cell Logistics'!$H$13:$H$19,0)),"N/A")</f>
        <v>N/A</v>
      </c>
      <c r="M211" s="842" t="str">
        <f>IFERROR(VLOOKUP($I211,'Lower Hot Cell Logistics'!$H$4:$I$8,2,FALSE),"N/A")</f>
        <v>N/A</v>
      </c>
      <c r="N211" s="2199" t="str">
        <f t="shared" si="13"/>
        <v>N/A</v>
      </c>
      <c r="O211" s="1344"/>
      <c r="P211" s="1345" t="str">
        <f>IF($D211="Logistics",VLOOKUP($O211,'Lower Hot Cell Logistics'!$C$4:$D$69,2,FALSE),"N/A")</f>
        <v>N/A</v>
      </c>
      <c r="R211"/>
      <c r="S211"/>
    </row>
    <row r="212" spans="1:19" s="89" customFormat="1" ht="15" hidden="1" customHeight="1" outlineLevel="1" x14ac:dyDescent="0.4">
      <c r="A212" s="1202"/>
      <c r="B212" s="3787" t="s">
        <v>2289</v>
      </c>
      <c r="C212" s="617" t="s">
        <v>2192</v>
      </c>
      <c r="D212" s="617" t="s">
        <v>907</v>
      </c>
      <c r="E212" s="567">
        <f t="shared" si="12"/>
        <v>0</v>
      </c>
      <c r="F212" s="567">
        <f>IF($D212="Trigger",VLOOKUP("*"&amp;$C212&amp;"*",'Lower Hot Cell Weld Failure'!$D$188:$G$219,4,FALSE),E212+F211)</f>
        <v>51.534827105111098</v>
      </c>
      <c r="G212" s="568"/>
      <c r="H212" s="569" t="s">
        <v>263</v>
      </c>
      <c r="I212" s="1270"/>
      <c r="J212" s="617"/>
      <c r="K212" s="617"/>
      <c r="L212" s="570" t="str">
        <f>IFERROR(INDEX('Lower Hot Cell Logistics'!$I$13:$O$19,MATCH($J212,'Lower Hot Cell Logistics'!$H$13:$H$19,0),MATCH($K212,'Lower Hot Cell Logistics'!$H$13:$H$19,0)),"N/A")</f>
        <v>N/A</v>
      </c>
      <c r="M212" s="802" t="str">
        <f>IFERROR(VLOOKUP($I212,'Lower Hot Cell Logistics'!$H$4:$I$8,2,FALSE),"N/A")</f>
        <v>N/A</v>
      </c>
      <c r="N212" s="1182" t="str">
        <f t="shared" si="13"/>
        <v>N/A</v>
      </c>
      <c r="O212" s="620"/>
      <c r="P212" s="621" t="str">
        <f>IF($D212="Logistics",VLOOKUP($O212,'Lower Hot Cell Logistics'!$C$4:$D$69,2,FALSE),"N/A")</f>
        <v>N/A</v>
      </c>
      <c r="R212"/>
      <c r="S212"/>
    </row>
    <row r="213" spans="1:19" s="89" customFormat="1" ht="15" hidden="1" customHeight="1" outlineLevel="1" x14ac:dyDescent="0.4">
      <c r="A213" s="1202"/>
      <c r="B213" s="3786"/>
      <c r="C213" s="1275" t="s">
        <v>2141</v>
      </c>
      <c r="D213" s="572" t="s">
        <v>778</v>
      </c>
      <c r="E213" s="578">
        <f t="shared" si="12"/>
        <v>0.69444444444444442</v>
      </c>
      <c r="F213" s="578">
        <f>IF($D213="Trigger",VLOOKUP("*"&amp;$C213&amp;"*",'Lower Hot Cell Weld Failure'!$D$188:$G$219,4,FALSE),E213+F212)</f>
        <v>52.229271549555541</v>
      </c>
      <c r="G213" s="872"/>
      <c r="H213" s="2221" t="s">
        <v>263</v>
      </c>
      <c r="I213" s="1281" t="s">
        <v>1826</v>
      </c>
      <c r="J213" s="572" t="s">
        <v>451</v>
      </c>
      <c r="K213" s="572" t="s">
        <v>831</v>
      </c>
      <c r="L213" s="1176">
        <f>IFERROR(INDEX('Lower Hot Cell Logistics'!$I$13:$O$19,MATCH($J213,'Lower Hot Cell Logistics'!$H$13:$H$19,0),MATCH($K213,'Lower Hot Cell Logistics'!$H$13:$H$19,0)),"N/A")</f>
        <v>50</v>
      </c>
      <c r="M213" s="2222">
        <f>IFERROR(VLOOKUP($I213,'Lower Hot Cell Logistics'!$H$4:$I$8,2,FALSE),"N/A")</f>
        <v>0.02</v>
      </c>
      <c r="N213" s="580">
        <f t="shared" si="13"/>
        <v>0.69444444444444442</v>
      </c>
      <c r="O213" s="631"/>
      <c r="P213" s="632" t="str">
        <f>IF($D213="Logistics",VLOOKUP($O213,'Lower Hot Cell Logistics'!$C$4:$D$69,2,FALSE),"N/A")</f>
        <v>N/A</v>
      </c>
      <c r="R213"/>
      <c r="S213"/>
    </row>
    <row r="214" spans="1:19" s="89" customFormat="1" ht="15" hidden="1" customHeight="1" outlineLevel="1" x14ac:dyDescent="0.4">
      <c r="A214" s="1202"/>
      <c r="B214" s="3786"/>
      <c r="C214" s="1275" t="s">
        <v>1757</v>
      </c>
      <c r="D214" s="572" t="s">
        <v>3</v>
      </c>
      <c r="E214" s="578">
        <f t="shared" si="12"/>
        <v>0.88000000000000012</v>
      </c>
      <c r="F214" s="578">
        <f>IF($D214="Trigger",VLOOKUP("*"&amp;$C214&amp;"*",'Lower Hot Cell Weld Failure'!$D$188:$G$219,4,FALSE),E214+F213)</f>
        <v>53.109271549555544</v>
      </c>
      <c r="G214" s="872"/>
      <c r="H214" s="2221" t="s">
        <v>263</v>
      </c>
      <c r="I214" s="1281"/>
      <c r="J214" s="572"/>
      <c r="K214" s="572"/>
      <c r="L214" s="1176" t="str">
        <f>IFERROR(INDEX('Lower Hot Cell Logistics'!$I$13:$O$19,MATCH($J214,'Lower Hot Cell Logistics'!$H$13:$H$19,0),MATCH($K214,'Lower Hot Cell Logistics'!$H$13:$H$19,0)),"N/A")</f>
        <v>N/A</v>
      </c>
      <c r="M214" s="2222" t="str">
        <f>IFERROR(VLOOKUP($I214,'Lower Hot Cell Logistics'!$H$4:$I$8,2,FALSE),"N/A")</f>
        <v>N/A</v>
      </c>
      <c r="N214" s="580" t="str">
        <f t="shared" si="13"/>
        <v>N/A</v>
      </c>
      <c r="O214" s="631" t="s">
        <v>2144</v>
      </c>
      <c r="P214" s="632">
        <f>IF($D214="Logistics",VLOOKUP($O214,'Lower Hot Cell Logistics'!$C$4:$D$69,2,FALSE),"N/A")</f>
        <v>0.88000000000000012</v>
      </c>
      <c r="R214"/>
      <c r="S214"/>
    </row>
    <row r="215" spans="1:19" s="89" customFormat="1" ht="14.6" hidden="1" outlineLevel="1" x14ac:dyDescent="0.4">
      <c r="A215" s="1202"/>
      <c r="B215" s="3786"/>
      <c r="C215" s="572" t="s">
        <v>2189</v>
      </c>
      <c r="D215" s="572" t="s">
        <v>778</v>
      </c>
      <c r="E215" s="574">
        <f t="shared" si="12"/>
        <v>0.23148148148148148</v>
      </c>
      <c r="F215" s="574">
        <f>IF($D215="Trigger",VLOOKUP("*"&amp;$C215&amp;"*",'Lower Hot Cell Weld Failure'!$D$188:$G$219,4,FALSE),E215+F214)</f>
        <v>53.340753031037025</v>
      </c>
      <c r="G215" s="575"/>
      <c r="H215" s="576" t="s">
        <v>263</v>
      </c>
      <c r="I215" s="1281" t="s">
        <v>2190</v>
      </c>
      <c r="J215" s="572" t="s">
        <v>799</v>
      </c>
      <c r="K215" s="572" t="s">
        <v>451</v>
      </c>
      <c r="L215" s="853">
        <f>IFERROR(INDEX('Lower Hot Cell Logistics'!$I$13:$O$19,MATCH($J215,'Lower Hot Cell Logistics'!$H$13:$H$19,0),MATCH($K215,'Lower Hot Cell Logistics'!$H$13:$H$19,0)),"N/A")</f>
        <v>50</v>
      </c>
      <c r="M215" s="853">
        <f>IFERROR(VLOOKUP($I215,'Lower Hot Cell Logistics'!$H$4:$I$8,2,FALSE),"N/A")</f>
        <v>0.06</v>
      </c>
      <c r="N215" s="1180">
        <f t="shared" si="13"/>
        <v>0.23148148148148148</v>
      </c>
      <c r="O215" s="579"/>
      <c r="P215" s="580" t="str">
        <f>IF($D215="Logistics",VLOOKUP($O215,'Lower Hot Cell Logistics'!$C$4:$D$69,2,FALSE),"N/A")</f>
        <v>N/A</v>
      </c>
      <c r="R215"/>
      <c r="S215"/>
    </row>
    <row r="216" spans="1:19" s="89" customFormat="1" ht="26.6" hidden="1" outlineLevel="1" thickBot="1" x14ac:dyDescent="0.45">
      <c r="A216" s="1202"/>
      <c r="B216" s="3788"/>
      <c r="C216" s="583" t="str">
        <f>B212</f>
        <v>RIB pipe module stored;  Blanket Pipe Module handling System Stored</v>
      </c>
      <c r="D216" s="583" t="s">
        <v>11</v>
      </c>
      <c r="E216" s="585">
        <f t="shared" si="12"/>
        <v>0</v>
      </c>
      <c r="F216" s="585">
        <f>IF($D216="Trigger",VLOOKUP("*"&amp;$C216&amp;"*",'Lower Hot Cell Weld Failure'!$D$188:$G$219,4,FALSE),E216+F215)</f>
        <v>53.340753031037025</v>
      </c>
      <c r="G216" s="586"/>
      <c r="H216" s="587" t="s">
        <v>263</v>
      </c>
      <c r="I216" s="1720"/>
      <c r="J216" s="583"/>
      <c r="K216" s="583"/>
      <c r="L216" s="814" t="str">
        <f>IFERROR(INDEX('Lower Hot Cell Logistics'!$I$13:$O$19,MATCH($J216,'Lower Hot Cell Logistics'!$H$13:$H$19,0),MATCH($K216,'Lower Hot Cell Logistics'!$H$13:$H$19,0)),"N/A")</f>
        <v>N/A</v>
      </c>
      <c r="M216" s="814" t="str">
        <f>IFERROR(VLOOKUP($I216,'Lower Hot Cell Logistics'!$H$4:$I$8,2,FALSE),"N/A")</f>
        <v>N/A</v>
      </c>
      <c r="N216" s="1181" t="str">
        <f t="shared" si="13"/>
        <v>N/A</v>
      </c>
      <c r="O216" s="590"/>
      <c r="P216" s="591" t="str">
        <f>IF($D216="Logistics",VLOOKUP($O216,'Lower Hot Cell Logistics'!$C$4:$D$69,2,FALSE),"N/A")</f>
        <v>N/A</v>
      </c>
      <c r="R216"/>
      <c r="S216"/>
    </row>
    <row r="217" spans="1:19" s="89" customFormat="1" ht="14.6" hidden="1" outlineLevel="1" x14ac:dyDescent="0.4">
      <c r="A217" s="1202"/>
      <c r="B217" s="3814" t="s">
        <v>2286</v>
      </c>
      <c r="C217" s="1324" t="s">
        <v>2061</v>
      </c>
      <c r="D217" s="1324" t="s">
        <v>907</v>
      </c>
      <c r="E217" s="1291">
        <f t="shared" si="12"/>
        <v>0</v>
      </c>
      <c r="F217" s="1291">
        <f>IF($D217="Trigger",VLOOKUP("*"&amp;$C217&amp;"*",'Lower Hot Cell Weld Failure'!$D$188:$G$219,4,FALSE),E217+F216)</f>
        <v>68.910761224567878</v>
      </c>
      <c r="G217" s="825"/>
      <c r="H217" s="1323" t="s">
        <v>263</v>
      </c>
      <c r="I217" s="1721"/>
      <c r="J217" s="1324"/>
      <c r="K217" s="1324"/>
      <c r="L217" s="828" t="str">
        <f>IFERROR(INDEX('Lower Hot Cell Logistics'!$I$13:$O$19,MATCH($J217,'Lower Hot Cell Logistics'!$H$13:$H$19,0),MATCH($K217,'Lower Hot Cell Logistics'!$H$13:$H$19,0)),"N/A")</f>
        <v>N/A</v>
      </c>
      <c r="M217" s="828" t="str">
        <f>IFERROR(VLOOKUP($I217,'Lower Hot Cell Logistics'!$H$4:$I$8,2,FALSE),"N/A")</f>
        <v>N/A</v>
      </c>
      <c r="N217" s="2200" t="str">
        <f t="shared" ref="N217:N227" si="14">IF(D217="Movement",IFERROR((L217/M217)/(60*60),"Error"),"N/A")</f>
        <v>N/A</v>
      </c>
      <c r="O217" s="1327"/>
      <c r="P217" s="824" t="str">
        <f>IF($D217="Logistics",VLOOKUP($O217,'Lower Hot Cell Logistics'!$C$4:$D$69,2,FALSE),"N/A")</f>
        <v>N/A</v>
      </c>
      <c r="R217"/>
      <c r="S217"/>
    </row>
    <row r="218" spans="1:19" s="89" customFormat="1" ht="14.6" hidden="1" outlineLevel="1" x14ac:dyDescent="0.4">
      <c r="A218" s="1202"/>
      <c r="B218" s="3815"/>
      <c r="C218" s="1294" t="s">
        <v>2344</v>
      </c>
      <c r="D218" s="1294" t="s">
        <v>778</v>
      </c>
      <c r="E218" s="1292">
        <f t="shared" si="12"/>
        <v>0.69444444444444442</v>
      </c>
      <c r="F218" s="1292">
        <f>IF($D218="Trigger",VLOOKUP("*"&amp;$C218&amp;"*",'Lower Hot Cell Weld Failure'!$D$188:$G$219,4,FALSE),E218+F217)</f>
        <v>69.605205669012321</v>
      </c>
      <c r="G218" s="862"/>
      <c r="H218" s="1328" t="s">
        <v>263</v>
      </c>
      <c r="I218" s="1724" t="s">
        <v>1826</v>
      </c>
      <c r="J218" s="1294" t="s">
        <v>451</v>
      </c>
      <c r="K218" s="1294" t="s">
        <v>914</v>
      </c>
      <c r="L218" s="865">
        <f>IFERROR(INDEX('Lower Hot Cell Logistics'!$I$13:$O$19,MATCH($J218,'Lower Hot Cell Logistics'!$H$13:$H$19,0),MATCH($K218,'Lower Hot Cell Logistics'!$H$13:$H$19,0)),"N/A")</f>
        <v>50</v>
      </c>
      <c r="M218" s="865">
        <f>IFERROR(VLOOKUP($I218,'Lower Hot Cell Logistics'!$H$4:$I$8,2,FALSE),"N/A")</f>
        <v>0.02</v>
      </c>
      <c r="N218" s="2197">
        <f t="shared" si="14"/>
        <v>0.69444444444444442</v>
      </c>
      <c r="O218" s="1331"/>
      <c r="P218" s="1332" t="str">
        <f>IF($D218="Logistics",VLOOKUP($O218,'Lower Hot Cell Logistics'!$C$4:$D$69,2,FALSE),"N/A")</f>
        <v>N/A</v>
      </c>
      <c r="R218"/>
      <c r="S218"/>
    </row>
    <row r="219" spans="1:19" s="89" customFormat="1" ht="14.6" hidden="1" outlineLevel="1" x14ac:dyDescent="0.4">
      <c r="A219" s="1202"/>
      <c r="B219" s="3815"/>
      <c r="C219" s="1294" t="s">
        <v>2345</v>
      </c>
      <c r="D219" s="1294" t="s">
        <v>3</v>
      </c>
      <c r="E219" s="1292">
        <f t="shared" si="12"/>
        <v>0.88000000000000012</v>
      </c>
      <c r="F219" s="1292">
        <f>IF($D219="Trigger",VLOOKUP("*"&amp;$C219&amp;"*",'Lower Hot Cell Weld Failure'!$D$188:$G$219,4,FALSE),E219+F218)</f>
        <v>70.485205669012316</v>
      </c>
      <c r="G219" s="862"/>
      <c r="H219" s="1328" t="s">
        <v>263</v>
      </c>
      <c r="I219" s="1724"/>
      <c r="J219" s="1294"/>
      <c r="K219" s="1294"/>
      <c r="L219" s="865" t="str">
        <f>IFERROR(INDEX('Lower Hot Cell Logistics'!$I$13:$O$19,MATCH($J219,'Lower Hot Cell Logistics'!$H$13:$H$19,0),MATCH($K219,'Lower Hot Cell Logistics'!$H$13:$H$19,0)),"N/A")</f>
        <v>N/A</v>
      </c>
      <c r="M219" s="865" t="str">
        <f>IFERROR(VLOOKUP($I219,'Lower Hot Cell Logistics'!$H$4:$I$8,2,FALSE),"N/A")</f>
        <v>N/A</v>
      </c>
      <c r="N219" s="2197" t="str">
        <f t="shared" si="14"/>
        <v>N/A</v>
      </c>
      <c r="O219" s="1331" t="s">
        <v>2144</v>
      </c>
      <c r="P219" s="1332">
        <f>IF($D219="Logistics",VLOOKUP($O219,'Lower Hot Cell Logistics'!$C$4:$D$69,2,FALSE),"N/A")</f>
        <v>0.88000000000000012</v>
      </c>
      <c r="R219"/>
      <c r="S219"/>
    </row>
    <row r="220" spans="1:19" s="89" customFormat="1" ht="14.6" hidden="1" outlineLevel="1" x14ac:dyDescent="0.4">
      <c r="A220" s="1202"/>
      <c r="B220" s="3815"/>
      <c r="C220" s="1294" t="s">
        <v>2207</v>
      </c>
      <c r="D220" s="1294" t="s">
        <v>778</v>
      </c>
      <c r="E220" s="1292">
        <f t="shared" si="12"/>
        <v>9.2592592592592601E-2</v>
      </c>
      <c r="F220" s="1292">
        <f>IF($D220="Trigger",VLOOKUP("*"&amp;$C220&amp;"*",'Lower Hot Cell Weld Failure'!$D$188:$G$219,4,FALSE),E220+F219)</f>
        <v>70.577798261604912</v>
      </c>
      <c r="G220" s="862"/>
      <c r="H220" s="1328" t="s">
        <v>263</v>
      </c>
      <c r="I220" s="1724" t="s">
        <v>2142</v>
      </c>
      <c r="J220" s="1294" t="s">
        <v>799</v>
      </c>
      <c r="K220" s="1294" t="s">
        <v>1957</v>
      </c>
      <c r="L220" s="865">
        <f>IFERROR(INDEX('Lower Hot Cell Logistics'!$I$13:$O$19,MATCH($J220,'Lower Hot Cell Logistics'!$H$13:$H$19,0),MATCH($K220,'Lower Hot Cell Logistics'!$H$13:$H$19,0)),"N/A")</f>
        <v>20</v>
      </c>
      <c r="M220" s="865">
        <f>IFERROR(VLOOKUP($I220,'Lower Hot Cell Logistics'!$H$4:$I$8,2,FALSE),"N/A")</f>
        <v>0.06</v>
      </c>
      <c r="N220" s="2197">
        <f t="shared" si="14"/>
        <v>9.2592592592592601E-2</v>
      </c>
      <c r="O220" s="1331"/>
      <c r="P220" s="1332" t="str">
        <f>IF($D220="Logistics",VLOOKUP($O220,'Lower Hot Cell Logistics'!$C$4:$D$69,2,FALSE),"N/A")</f>
        <v>N/A</v>
      </c>
      <c r="R220"/>
      <c r="S220"/>
    </row>
    <row r="221" spans="1:19" s="89" customFormat="1" ht="14.6" hidden="1" outlineLevel="1" x14ac:dyDescent="0.4">
      <c r="A221" s="1202"/>
      <c r="B221" s="3815"/>
      <c r="C221" s="1346" t="s">
        <v>2208</v>
      </c>
      <c r="D221" s="1346" t="s">
        <v>3</v>
      </c>
      <c r="E221" s="1292">
        <f t="shared" si="12"/>
        <v>0.68</v>
      </c>
      <c r="F221" s="1292">
        <f>IF($D221="Trigger",VLOOKUP("*"&amp;$C221&amp;"*",'Lower Hot Cell Weld Failure'!$D$188:$G$219,4,FALSE),E221+F220)</f>
        <v>71.257798261604918</v>
      </c>
      <c r="G221" s="862"/>
      <c r="H221" s="1328" t="s">
        <v>263</v>
      </c>
      <c r="I221" s="1724"/>
      <c r="J221" s="1294"/>
      <c r="K221" s="1294"/>
      <c r="L221" s="865" t="str">
        <f>IFERROR(INDEX('Lower Hot Cell Logistics'!$I$13:$O$19,MATCH($J221,'Lower Hot Cell Logistics'!$H$13:$H$19,0),MATCH($K221,'Lower Hot Cell Logistics'!$H$13:$H$19,0)),"N/A")</f>
        <v>N/A</v>
      </c>
      <c r="M221" s="865" t="str">
        <f>IFERROR(VLOOKUP($I221,'Lower Hot Cell Logistics'!$H$4:$I$8,2,FALSE),"N/A")</f>
        <v>N/A</v>
      </c>
      <c r="N221" s="2197" t="str">
        <f t="shared" si="14"/>
        <v>N/A</v>
      </c>
      <c r="O221" s="1331" t="s">
        <v>2139</v>
      </c>
      <c r="P221" s="1332">
        <f>IF($D221="Logistics",VLOOKUP($O221,'Lower Hot Cell Logistics'!$C$4:$D$69,2,FALSE),"N/A")</f>
        <v>0.68</v>
      </c>
      <c r="R221"/>
      <c r="S221"/>
    </row>
    <row r="222" spans="1:19" s="89" customFormat="1" ht="14.6" hidden="1" outlineLevel="1" x14ac:dyDescent="0.4">
      <c r="A222" s="1202"/>
      <c r="B222" s="3815"/>
      <c r="C222" s="1346" t="s">
        <v>2209</v>
      </c>
      <c r="D222" s="1346" t="s">
        <v>778</v>
      </c>
      <c r="E222" s="1292">
        <f t="shared" si="12"/>
        <v>0.69444444444444442</v>
      </c>
      <c r="F222" s="1292">
        <f>IF($D222="Trigger",VLOOKUP("*"&amp;$C222&amp;"*",'Lower Hot Cell Weld Failure'!$D$188:$G$219,4,FALSE),E222+F221)</f>
        <v>71.952242706049361</v>
      </c>
      <c r="G222" s="862"/>
      <c r="H222" s="1328" t="s">
        <v>263</v>
      </c>
      <c r="I222" s="1724" t="s">
        <v>2171</v>
      </c>
      <c r="J222" s="1294" t="s">
        <v>1957</v>
      </c>
      <c r="K222" s="1294" t="s">
        <v>451</v>
      </c>
      <c r="L222" s="865">
        <f>IFERROR(INDEX('Lower Hot Cell Logistics'!$I$13:$O$19,MATCH($J222,'Lower Hot Cell Logistics'!$H$13:$H$19,0),MATCH($K222,'Lower Hot Cell Logistics'!$H$13:$H$19,0)),"N/A")</f>
        <v>50</v>
      </c>
      <c r="M222" s="865">
        <f>IFERROR(VLOOKUP($I222,'Lower Hot Cell Logistics'!$H$4:$I$8,2,FALSE),"N/A")</f>
        <v>0.02</v>
      </c>
      <c r="N222" s="2197">
        <f t="shared" si="14"/>
        <v>0.69444444444444442</v>
      </c>
      <c r="O222" s="1331"/>
      <c r="P222" s="1332" t="str">
        <f>IF($D222="Logistics",VLOOKUP($O222,'Lower Hot Cell Logistics'!$C$4:$D$69,2,FALSE),"N/A")</f>
        <v>N/A</v>
      </c>
      <c r="R222"/>
      <c r="S222"/>
    </row>
    <row r="223" spans="1:19" s="89" customFormat="1" ht="26.6" hidden="1" outlineLevel="1" thickBot="1" x14ac:dyDescent="0.45">
      <c r="A223" s="1202"/>
      <c r="B223" s="3816"/>
      <c r="C223" s="1340" t="str">
        <f>B217</f>
        <v>LIB Inner pipe module stored;  Replacement RIB Inner Port Pipe Module collected; Transporter moved to port</v>
      </c>
      <c r="D223" s="1340" t="s">
        <v>11</v>
      </c>
      <c r="E223" s="1295">
        <f t="shared" si="12"/>
        <v>0</v>
      </c>
      <c r="F223" s="1295">
        <f>IF($D223="Trigger",VLOOKUP("*"&amp;$C223&amp;"*",'Lower Hot Cell Weld Failure'!$D$188:$G$219,4,FALSE),E223+F222)</f>
        <v>71.952242706049361</v>
      </c>
      <c r="G223" s="839"/>
      <c r="H223" s="1341" t="s">
        <v>263</v>
      </c>
      <c r="I223" s="1727"/>
      <c r="J223" s="1340"/>
      <c r="K223" s="1340"/>
      <c r="L223" s="842" t="str">
        <f>IFERROR(INDEX('Lower Hot Cell Logistics'!$I$13:$O$19,MATCH($J223,'Lower Hot Cell Logistics'!$H$13:$H$19,0),MATCH($K223,'Lower Hot Cell Logistics'!$H$13:$H$19,0)),"N/A")</f>
        <v>N/A</v>
      </c>
      <c r="M223" s="842" t="str">
        <f>IFERROR(VLOOKUP($I223,'Lower Hot Cell Logistics'!$H$4:$I$8,2,FALSE),"N/A")</f>
        <v>N/A</v>
      </c>
      <c r="N223" s="2199" t="str">
        <f t="shared" si="14"/>
        <v>N/A</v>
      </c>
      <c r="O223" s="1344"/>
      <c r="P223" s="1345" t="str">
        <f>IF($D223="Logistics",VLOOKUP($O223,'Lower Hot Cell Logistics'!$C$4:$D$69,2,FALSE),"N/A")</f>
        <v>N/A</v>
      </c>
      <c r="R223"/>
      <c r="S223"/>
    </row>
    <row r="224" spans="1:19" s="89" customFormat="1" ht="15" hidden="1" customHeight="1" outlineLevel="1" x14ac:dyDescent="0.4">
      <c r="A224" s="1202"/>
      <c r="B224" s="3787" t="s">
        <v>2287</v>
      </c>
      <c r="C224" s="617" t="s">
        <v>2210</v>
      </c>
      <c r="D224" s="617" t="s">
        <v>907</v>
      </c>
      <c r="E224" s="567">
        <f t="shared" si="12"/>
        <v>0</v>
      </c>
      <c r="F224" s="567">
        <f>IF($D224="Trigger",VLOOKUP("*"&amp;$C224&amp;"*",'Lower Hot Cell Weld Failure'!$D$188:$G$219,4,FALSE),E224+F223)</f>
        <v>68.310761224567884</v>
      </c>
      <c r="G224" s="568"/>
      <c r="H224" s="569" t="s">
        <v>263</v>
      </c>
      <c r="I224" s="1270"/>
      <c r="J224" s="617"/>
      <c r="K224" s="617"/>
      <c r="L224" s="570" t="str">
        <f>IFERROR(INDEX('Lower Hot Cell Logistics'!$I$13:$O$19,MATCH($J224,'Lower Hot Cell Logistics'!$H$13:$H$19,0),MATCH($K224,'Lower Hot Cell Logistics'!$H$13:$H$19,0)),"N/A")</f>
        <v>N/A</v>
      </c>
      <c r="M224" s="802" t="str">
        <f>IFERROR(VLOOKUP($I224,'Lower Hot Cell Logistics'!$H$4:$I$8,2,FALSE),"N/A")</f>
        <v>N/A</v>
      </c>
      <c r="N224" s="1182" t="str">
        <f t="shared" si="14"/>
        <v>N/A</v>
      </c>
      <c r="O224" s="620"/>
      <c r="P224" s="621" t="str">
        <f>IF($D224="Logistics",VLOOKUP($O224,'Lower Hot Cell Logistics'!$C$4:$D$69,2,FALSE),"N/A")</f>
        <v>N/A</v>
      </c>
      <c r="R224"/>
      <c r="S224"/>
    </row>
    <row r="225" spans="1:19" s="89" customFormat="1" ht="15" hidden="1" customHeight="1" outlineLevel="1" x14ac:dyDescent="0.4">
      <c r="A225" s="1202"/>
      <c r="B225" s="3786"/>
      <c r="C225" s="1275" t="s">
        <v>2211</v>
      </c>
      <c r="D225" s="572" t="s">
        <v>778</v>
      </c>
      <c r="E225" s="578">
        <f t="shared" si="12"/>
        <v>0.23148148148148148</v>
      </c>
      <c r="F225" s="578">
        <f>IF($D225="Trigger",VLOOKUP("*"&amp;$C225&amp;"*",'Lower Hot Cell Weld Failure'!$D$188:$G$219,4,FALSE),E225+F224)</f>
        <v>68.542242706049365</v>
      </c>
      <c r="G225" s="872"/>
      <c r="H225" s="2221" t="s">
        <v>263</v>
      </c>
      <c r="I225" s="1281" t="s">
        <v>2142</v>
      </c>
      <c r="J225" s="572" t="s">
        <v>451</v>
      </c>
      <c r="K225" s="572" t="s">
        <v>1965</v>
      </c>
      <c r="L225" s="1176">
        <f>IFERROR(INDEX('Lower Hot Cell Logistics'!$I$13:$O$19,MATCH($J225,'Lower Hot Cell Logistics'!$H$13:$H$19,0),MATCH($K225,'Lower Hot Cell Logistics'!$H$13:$H$19,0)),"N/A")</f>
        <v>50</v>
      </c>
      <c r="M225" s="2222">
        <f>IFERROR(VLOOKUP($I225,'Lower Hot Cell Logistics'!$H$4:$I$8,2,FALSE),"N/A")</f>
        <v>0.06</v>
      </c>
      <c r="N225" s="580">
        <f t="shared" si="14"/>
        <v>0.23148148148148148</v>
      </c>
      <c r="O225" s="631"/>
      <c r="P225" s="632" t="str">
        <f>IF($D225="Logistics",VLOOKUP($O225,'Lower Hot Cell Logistics'!$C$4:$D$69,2,FALSE),"N/A")</f>
        <v>N/A</v>
      </c>
      <c r="R225"/>
      <c r="S225"/>
    </row>
    <row r="226" spans="1:19" s="89" customFormat="1" ht="15" hidden="1" customHeight="1" outlineLevel="1" x14ac:dyDescent="0.4">
      <c r="A226" s="1202"/>
      <c r="B226" s="3786"/>
      <c r="C226" s="1275" t="s">
        <v>2212</v>
      </c>
      <c r="D226" s="572" t="s">
        <v>3</v>
      </c>
      <c r="E226" s="578">
        <f t="shared" si="12"/>
        <v>0.68</v>
      </c>
      <c r="F226" s="578">
        <f>IF($D226="Trigger",VLOOKUP("*"&amp;$C226&amp;"*",'Lower Hot Cell Weld Failure'!$D$188:$G$219,4,FALSE),E226+F225)</f>
        <v>69.222242706049371</v>
      </c>
      <c r="G226" s="872"/>
      <c r="H226" s="2221" t="s">
        <v>263</v>
      </c>
      <c r="I226" s="1281"/>
      <c r="J226" s="572"/>
      <c r="K226" s="572"/>
      <c r="L226" s="1176" t="str">
        <f>IFERROR(INDEX('Lower Hot Cell Logistics'!$I$13:$O$19,MATCH($J226,'Lower Hot Cell Logistics'!$H$13:$H$19,0),MATCH($K226,'Lower Hot Cell Logistics'!$H$13:$H$19,0)),"N/A")</f>
        <v>N/A</v>
      </c>
      <c r="M226" s="2222" t="str">
        <f>IFERROR(VLOOKUP($I226,'Lower Hot Cell Logistics'!$H$4:$I$8,2,FALSE),"N/A")</f>
        <v>N/A</v>
      </c>
      <c r="N226" s="580" t="str">
        <f t="shared" si="14"/>
        <v>N/A</v>
      </c>
      <c r="O226" s="631" t="s">
        <v>2139</v>
      </c>
      <c r="P226" s="632">
        <f>IF($D226="Logistics",VLOOKUP($O226,'Lower Hot Cell Logistics'!$C$4:$D$69,2,FALSE),"N/A")</f>
        <v>0.68</v>
      </c>
      <c r="R226"/>
      <c r="S226"/>
    </row>
    <row r="227" spans="1:19" s="89" customFormat="1" ht="14.6" hidden="1" outlineLevel="1" x14ac:dyDescent="0.4">
      <c r="A227" s="1202"/>
      <c r="B227" s="3786"/>
      <c r="C227" s="572" t="s">
        <v>2189</v>
      </c>
      <c r="D227" s="572" t="s">
        <v>778</v>
      </c>
      <c r="E227" s="574">
        <f t="shared" si="12"/>
        <v>0.69444444444444442</v>
      </c>
      <c r="F227" s="574">
        <f>IF($D227="Trigger",VLOOKUP("*"&amp;$C227&amp;"*",'Lower Hot Cell Weld Failure'!$D$188:$G$219,4,FALSE),E227+F226)</f>
        <v>69.916687150493814</v>
      </c>
      <c r="G227" s="575"/>
      <c r="H227" s="576" t="s">
        <v>263</v>
      </c>
      <c r="I227" s="1281" t="s">
        <v>2171</v>
      </c>
      <c r="J227" s="572" t="s">
        <v>799</v>
      </c>
      <c r="K227" s="572" t="s">
        <v>451</v>
      </c>
      <c r="L227" s="853">
        <f>IFERROR(INDEX('Lower Hot Cell Logistics'!$I$13:$O$19,MATCH($J227,'Lower Hot Cell Logistics'!$H$13:$H$19,0),MATCH($K227,'Lower Hot Cell Logistics'!$H$13:$H$19,0)),"N/A")</f>
        <v>50</v>
      </c>
      <c r="M227" s="853">
        <f>IFERROR(VLOOKUP($I227,'Lower Hot Cell Logistics'!$H$4:$I$8,2,FALSE),"N/A")</f>
        <v>0.02</v>
      </c>
      <c r="N227" s="1180">
        <f t="shared" si="14"/>
        <v>0.69444444444444442</v>
      </c>
      <c r="O227" s="579"/>
      <c r="P227" s="580" t="str">
        <f>IF($D227="Logistics",VLOOKUP($O227,'Lower Hot Cell Logistics'!$C$4:$D$69,2,FALSE),"N/A")</f>
        <v>N/A</v>
      </c>
      <c r="R227"/>
      <c r="S227"/>
    </row>
    <row r="228" spans="1:19" s="89" customFormat="1" ht="26.6" hidden="1" outlineLevel="1" thickBot="1" x14ac:dyDescent="0.45">
      <c r="A228" s="1202"/>
      <c r="B228" s="3788"/>
      <c r="C228" s="583" t="str">
        <f>B224</f>
        <v>Inner LIB pipe module collected; Pipe Module handling System Moved to Lower Port</v>
      </c>
      <c r="D228" s="583" t="s">
        <v>11</v>
      </c>
      <c r="E228" s="585">
        <f t="shared" si="12"/>
        <v>0</v>
      </c>
      <c r="F228" s="585">
        <f>IF($D228="Trigger",VLOOKUP("*"&amp;$C228&amp;"*",'Lower Hot Cell Weld Failure'!$D$188:$G$219,4,FALSE),E228+F227)</f>
        <v>69.916687150493814</v>
      </c>
      <c r="G228" s="586"/>
      <c r="H228" s="587" t="s">
        <v>263</v>
      </c>
      <c r="I228" s="1720"/>
      <c r="J228" s="583"/>
      <c r="K228" s="583"/>
      <c r="L228" s="814" t="str">
        <f>IFERROR(INDEX('Lower Hot Cell Logistics'!$I$13:$O$19,MATCH($J228,'Lower Hot Cell Logistics'!$H$13:$H$19,0),MATCH($K228,'Lower Hot Cell Logistics'!$H$13:$H$19,0)),"N/A")</f>
        <v>N/A</v>
      </c>
      <c r="M228" s="814" t="str">
        <f>IFERROR(VLOOKUP($I228,'Lower Hot Cell Logistics'!$H$4:$I$8,2,FALSE),"N/A")</f>
        <v>N/A</v>
      </c>
      <c r="N228" s="1181" t="str">
        <f t="shared" ref="N228:N243" si="15">IF(D228="Movement",IFERROR((L228/M228)/(60*60),"Error"),"N/A")</f>
        <v>N/A</v>
      </c>
      <c r="O228" s="590"/>
      <c r="P228" s="591" t="str">
        <f>IF($D228="Logistics",VLOOKUP($O228,'Lower Hot Cell Logistics'!$C$4:$D$69,2,FALSE),"N/A")</f>
        <v>N/A</v>
      </c>
      <c r="R228"/>
      <c r="S228"/>
    </row>
    <row r="229" spans="1:19" s="89" customFormat="1" ht="15" hidden="1" customHeight="1" outlineLevel="1" x14ac:dyDescent="0.4">
      <c r="A229" s="1202"/>
      <c r="B229" s="3814" t="s">
        <v>2077</v>
      </c>
      <c r="C229" s="1324" t="s">
        <v>2213</v>
      </c>
      <c r="D229" s="1324" t="s">
        <v>907</v>
      </c>
      <c r="E229" s="1291">
        <f t="shared" si="12"/>
        <v>0</v>
      </c>
      <c r="F229" s="1291">
        <f>IF($D229="Trigger",VLOOKUP("*"&amp;$C229&amp;"*",'Lower Hot Cell Weld Failure'!$D$188:$G$219,4,FALSE),E229+F228)</f>
        <v>109.32757195804368</v>
      </c>
      <c r="G229" s="825"/>
      <c r="H229" s="1323" t="s">
        <v>263</v>
      </c>
      <c r="I229" s="1721"/>
      <c r="J229" s="1324"/>
      <c r="K229" s="1324"/>
      <c r="L229" s="828" t="str">
        <f>IFERROR(INDEX('Lower Hot Cell Logistics'!$I$13:$O$19,MATCH($J229,'Lower Hot Cell Logistics'!$H$13:$H$19,0),MATCH($K229,'Lower Hot Cell Logistics'!$H$13:$H$19,0)),"N/A")</f>
        <v>N/A</v>
      </c>
      <c r="M229" s="827" t="str">
        <f>IFERROR(VLOOKUP($I229,'Lower Hot Cell Logistics'!$H$4:$I$8,2,FALSE),"N/A")</f>
        <v>N/A</v>
      </c>
      <c r="N229" s="2200" t="str">
        <f t="shared" si="15"/>
        <v>N/A</v>
      </c>
      <c r="O229" s="1327"/>
      <c r="P229" s="824" t="str">
        <f>IF($D229="Logistics",VLOOKUP($O229,'Lower Hot Cell Logistics'!$C$4:$D$69,2,FALSE),"N/A")</f>
        <v>N/A</v>
      </c>
      <c r="R229"/>
      <c r="S229"/>
    </row>
    <row r="230" spans="1:19" s="89" customFormat="1" ht="15" hidden="1" customHeight="1" outlineLevel="1" x14ac:dyDescent="0.4">
      <c r="A230" s="1202"/>
      <c r="B230" s="3815"/>
      <c r="C230" s="1362" t="s">
        <v>2211</v>
      </c>
      <c r="D230" s="1294" t="s">
        <v>778</v>
      </c>
      <c r="E230" s="1330">
        <f t="shared" si="12"/>
        <v>0.23148148148148148</v>
      </c>
      <c r="F230" s="1330">
        <f>IF($D230="Trigger",VLOOKUP("*"&amp;$C230&amp;"*",'Lower Hot Cell Weld Failure'!$D$188:$G$219,4,FALSE),E230+F229)</f>
        <v>109.55905343952516</v>
      </c>
      <c r="G230" s="1722"/>
      <c r="H230" s="2219" t="s">
        <v>263</v>
      </c>
      <c r="I230" s="1724" t="s">
        <v>2142</v>
      </c>
      <c r="J230" s="1294" t="s">
        <v>451</v>
      </c>
      <c r="K230" s="1294" t="s">
        <v>1965</v>
      </c>
      <c r="L230" s="2042">
        <f>IFERROR(INDEX('Lower Hot Cell Logistics'!$I$13:$O$19,MATCH($J230,'Lower Hot Cell Logistics'!$H$13:$H$19,0),MATCH($K230,'Lower Hot Cell Logistics'!$H$13:$H$19,0)),"N/A")</f>
        <v>50</v>
      </c>
      <c r="M230" s="2220">
        <f>IFERROR(VLOOKUP($I230,'Lower Hot Cell Logistics'!$H$4:$I$8,2,FALSE),"N/A")</f>
        <v>0.06</v>
      </c>
      <c r="N230" s="1332">
        <f t="shared" si="15"/>
        <v>0.23148148148148148</v>
      </c>
      <c r="O230" s="1352"/>
      <c r="P230" s="1353" t="str">
        <f>IF($D230="Logistics",VLOOKUP($O230,'Lower Hot Cell Logistics'!$C$4:$D$69,2,FALSE),"N/A")</f>
        <v>N/A</v>
      </c>
      <c r="R230"/>
      <c r="S230"/>
    </row>
    <row r="231" spans="1:19" s="89" customFormat="1" ht="15" hidden="1" customHeight="1" outlineLevel="1" x14ac:dyDescent="0.4">
      <c r="A231" s="1202"/>
      <c r="B231" s="3815"/>
      <c r="C231" s="1362" t="s">
        <v>2212</v>
      </c>
      <c r="D231" s="1294" t="s">
        <v>3</v>
      </c>
      <c r="E231" s="1330">
        <f t="shared" si="12"/>
        <v>0.88000000000000012</v>
      </c>
      <c r="F231" s="1330">
        <f>IF($D231="Trigger",VLOOKUP("*"&amp;$C231&amp;"*",'Lower Hot Cell Weld Failure'!$D$188:$G$219,4,FALSE),E231+F230)</f>
        <v>110.43905343952515</v>
      </c>
      <c r="G231" s="1722"/>
      <c r="H231" s="2219" t="s">
        <v>263</v>
      </c>
      <c r="I231" s="1724"/>
      <c r="J231" s="1294"/>
      <c r="K231" s="1294"/>
      <c r="L231" s="2042" t="str">
        <f>IFERROR(INDEX('Lower Hot Cell Logistics'!$I$13:$O$19,MATCH($J231,'Lower Hot Cell Logistics'!$H$13:$H$19,0),MATCH($K231,'Lower Hot Cell Logistics'!$H$13:$H$19,0)),"N/A")</f>
        <v>N/A</v>
      </c>
      <c r="M231" s="2220" t="str">
        <f>IFERROR(VLOOKUP($I231,'Lower Hot Cell Logistics'!$H$4:$I$8,2,FALSE),"N/A")</f>
        <v>N/A</v>
      </c>
      <c r="N231" s="1332" t="str">
        <f t="shared" si="15"/>
        <v>N/A</v>
      </c>
      <c r="O231" s="1352" t="s">
        <v>2144</v>
      </c>
      <c r="P231" s="1353">
        <f>IF($D231="Logistics",VLOOKUP($O231,'Lower Hot Cell Logistics'!$C$4:$D$69,2,FALSE),"N/A")</f>
        <v>0.88000000000000012</v>
      </c>
      <c r="R231"/>
      <c r="S231"/>
    </row>
    <row r="232" spans="1:19" s="89" customFormat="1" ht="14.6" hidden="1" outlineLevel="1" x14ac:dyDescent="0.4">
      <c r="A232" s="1202"/>
      <c r="B232" s="3815"/>
      <c r="C232" s="1294" t="s">
        <v>2189</v>
      </c>
      <c r="D232" s="1294" t="s">
        <v>778</v>
      </c>
      <c r="E232" s="1292">
        <f t="shared" si="12"/>
        <v>0.69444444444444442</v>
      </c>
      <c r="F232" s="1292">
        <f>IF($D232="Trigger",VLOOKUP("*"&amp;$C232&amp;"*",'Lower Hot Cell Weld Failure'!$D$188:$G$219,4,FALSE),E232+F231)</f>
        <v>111.1334978839696</v>
      </c>
      <c r="G232" s="862"/>
      <c r="H232" s="1328" t="s">
        <v>263</v>
      </c>
      <c r="I232" s="1724" t="s">
        <v>2171</v>
      </c>
      <c r="J232" s="1294" t="s">
        <v>799</v>
      </c>
      <c r="K232" s="1294" t="s">
        <v>451</v>
      </c>
      <c r="L232" s="865">
        <f>IFERROR(INDEX('Lower Hot Cell Logistics'!$I$13:$O$19,MATCH($J232,'Lower Hot Cell Logistics'!$H$13:$H$19,0),MATCH($K232,'Lower Hot Cell Logistics'!$H$13:$H$19,0)),"N/A")</f>
        <v>50</v>
      </c>
      <c r="M232" s="865">
        <f>IFERROR(VLOOKUP($I232,'Lower Hot Cell Logistics'!$H$4:$I$8,2,FALSE),"N/A")</f>
        <v>0.02</v>
      </c>
      <c r="N232" s="2197">
        <f t="shared" si="15"/>
        <v>0.69444444444444442</v>
      </c>
      <c r="O232" s="1331"/>
      <c r="P232" s="1332" t="str">
        <f>IF($D232="Logistics",VLOOKUP($O232,'Lower Hot Cell Logistics'!$C$4:$D$69,2,FALSE),"N/A")</f>
        <v>N/A</v>
      </c>
      <c r="R232"/>
      <c r="S232"/>
    </row>
    <row r="233" spans="1:19" s="89" customFormat="1" ht="26.6" hidden="1" outlineLevel="1" thickBot="1" x14ac:dyDescent="0.45">
      <c r="A233" s="1202"/>
      <c r="B233" s="3816"/>
      <c r="C233" s="1340" t="str">
        <f>B229</f>
        <v>RIB pipe module collected; Pipe Module handling System Moved to Lower Port</v>
      </c>
      <c r="D233" s="1340" t="s">
        <v>11</v>
      </c>
      <c r="E233" s="1295">
        <f t="shared" si="12"/>
        <v>0</v>
      </c>
      <c r="F233" s="1295">
        <f>IF($D233="Trigger",VLOOKUP("*"&amp;$C233&amp;"*",'Lower Hot Cell Weld Failure'!$D$188:$G$219,4,FALSE),E233+F232)</f>
        <v>111.1334978839696</v>
      </c>
      <c r="G233" s="839"/>
      <c r="H233" s="1341" t="s">
        <v>263</v>
      </c>
      <c r="I233" s="1727"/>
      <c r="J233" s="1340"/>
      <c r="K233" s="1340"/>
      <c r="L233" s="842" t="str">
        <f>IFERROR(INDEX('Lower Hot Cell Logistics'!$I$13:$O$19,MATCH($J233,'Lower Hot Cell Logistics'!$H$13:$H$19,0),MATCH($K233,'Lower Hot Cell Logistics'!$H$13:$H$19,0)),"N/A")</f>
        <v>N/A</v>
      </c>
      <c r="M233" s="842" t="str">
        <f>IFERROR(VLOOKUP($I233,'Lower Hot Cell Logistics'!$H$4:$I$8,2,FALSE),"N/A")</f>
        <v>N/A</v>
      </c>
      <c r="N233" s="2199" t="str">
        <f t="shared" si="15"/>
        <v>N/A</v>
      </c>
      <c r="O233" s="1344"/>
      <c r="P233" s="1345" t="str">
        <f>IF($D233="Logistics",VLOOKUP($O233,'Lower Hot Cell Logistics'!$C$4:$D$69,2,FALSE),"N/A")</f>
        <v>N/A</v>
      </c>
      <c r="R233"/>
      <c r="S233"/>
    </row>
    <row r="234" spans="1:19" s="89" customFormat="1" ht="15" hidden="1" customHeight="1" outlineLevel="1" x14ac:dyDescent="0.4">
      <c r="A234" s="1202"/>
      <c r="B234" s="3787" t="s">
        <v>2079</v>
      </c>
      <c r="C234" s="617" t="s">
        <v>2213</v>
      </c>
      <c r="D234" s="617" t="s">
        <v>907</v>
      </c>
      <c r="E234" s="567">
        <f t="shared" si="12"/>
        <v>0</v>
      </c>
      <c r="F234" s="567">
        <f>IF($D234="Trigger",VLOOKUP("*"&amp;$C234&amp;"*",'Lower Hot Cell Weld Failure'!$D$188:$G$219,4,FALSE),E234+F233)</f>
        <v>109.32757195804368</v>
      </c>
      <c r="G234" s="568"/>
      <c r="H234" s="569" t="s">
        <v>263</v>
      </c>
      <c r="I234" s="1270"/>
      <c r="J234" s="617"/>
      <c r="K234" s="617"/>
      <c r="L234" s="570" t="str">
        <f>IFERROR(INDEX('Lower Hot Cell Logistics'!$I$13:$O$19,MATCH($J234,'Lower Hot Cell Logistics'!$H$13:$H$19,0),MATCH($K234,'Lower Hot Cell Logistics'!$H$13:$H$19,0)),"N/A")</f>
        <v>N/A</v>
      </c>
      <c r="M234" s="802" t="str">
        <f>IFERROR(VLOOKUP($I234,'Lower Hot Cell Logistics'!$H$4:$I$8,2,FALSE),"N/A")</f>
        <v>N/A</v>
      </c>
      <c r="N234" s="1182" t="str">
        <f t="shared" si="15"/>
        <v>N/A</v>
      </c>
      <c r="O234" s="620"/>
      <c r="P234" s="621" t="str">
        <f>IF($D234="Logistics",VLOOKUP($O234,'Lower Hot Cell Logistics'!$C$4:$D$69,2,FALSE),"N/A")</f>
        <v>N/A</v>
      </c>
      <c r="R234"/>
      <c r="S234"/>
    </row>
    <row r="235" spans="1:19" s="89" customFormat="1" ht="15" hidden="1" customHeight="1" outlineLevel="1" x14ac:dyDescent="0.4">
      <c r="A235" s="1202"/>
      <c r="B235" s="3786"/>
      <c r="C235" s="1275" t="s">
        <v>2211</v>
      </c>
      <c r="D235" s="572" t="s">
        <v>778</v>
      </c>
      <c r="E235" s="578">
        <f t="shared" si="12"/>
        <v>0.23148148148148148</v>
      </c>
      <c r="F235" s="578">
        <f>IF($D235="Trigger",VLOOKUP("*"&amp;$C235&amp;"*",'Lower Hot Cell Weld Failure'!$D$188:$G$219,4,FALSE),E235+F234)</f>
        <v>109.55905343952516</v>
      </c>
      <c r="G235" s="872"/>
      <c r="H235" s="2221" t="s">
        <v>263</v>
      </c>
      <c r="I235" s="1281" t="s">
        <v>2142</v>
      </c>
      <c r="J235" s="572" t="s">
        <v>451</v>
      </c>
      <c r="K235" s="572" t="s">
        <v>1965</v>
      </c>
      <c r="L235" s="1176">
        <f>IFERROR(INDEX('Lower Hot Cell Logistics'!$I$13:$O$19,MATCH($J235,'Lower Hot Cell Logistics'!$H$13:$H$19,0),MATCH($K235,'Lower Hot Cell Logistics'!$H$13:$H$19,0)),"N/A")</f>
        <v>50</v>
      </c>
      <c r="M235" s="2222">
        <f>IFERROR(VLOOKUP($I235,'Lower Hot Cell Logistics'!$H$4:$I$8,2,FALSE),"N/A")</f>
        <v>0.06</v>
      </c>
      <c r="N235" s="580">
        <f t="shared" si="15"/>
        <v>0.23148148148148148</v>
      </c>
      <c r="O235" s="631"/>
      <c r="P235" s="632" t="str">
        <f>IF($D235="Logistics",VLOOKUP($O235,'Lower Hot Cell Logistics'!$C$4:$D$69,2,FALSE),"N/A")</f>
        <v>N/A</v>
      </c>
      <c r="R235"/>
      <c r="S235"/>
    </row>
    <row r="236" spans="1:19" s="89" customFormat="1" ht="15" hidden="1" customHeight="1" outlineLevel="1" x14ac:dyDescent="0.4">
      <c r="A236" s="1202"/>
      <c r="B236" s="3786"/>
      <c r="C236" s="1275" t="s">
        <v>2212</v>
      </c>
      <c r="D236" s="572" t="s">
        <v>3</v>
      </c>
      <c r="E236" s="578">
        <f t="shared" si="12"/>
        <v>0.88000000000000012</v>
      </c>
      <c r="F236" s="578">
        <f>IF($D236="Trigger",VLOOKUP("*"&amp;$C236&amp;"*",'Lower Hot Cell Weld Failure'!$D$188:$G$219,4,FALSE),E236+F235)</f>
        <v>110.43905343952515</v>
      </c>
      <c r="G236" s="872"/>
      <c r="H236" s="2221" t="s">
        <v>263</v>
      </c>
      <c r="I236" s="1281"/>
      <c r="J236" s="572"/>
      <c r="K236" s="572"/>
      <c r="L236" s="1176" t="str">
        <f>IFERROR(INDEX('Lower Hot Cell Logistics'!$I$13:$O$19,MATCH($J236,'Lower Hot Cell Logistics'!$H$13:$H$19,0),MATCH($K236,'Lower Hot Cell Logistics'!$H$13:$H$19,0)),"N/A")</f>
        <v>N/A</v>
      </c>
      <c r="M236" s="2222" t="str">
        <f>IFERROR(VLOOKUP($I236,'Lower Hot Cell Logistics'!$H$4:$I$8,2,FALSE),"N/A")</f>
        <v>N/A</v>
      </c>
      <c r="N236" s="580" t="str">
        <f t="shared" si="15"/>
        <v>N/A</v>
      </c>
      <c r="O236" s="631" t="s">
        <v>2144</v>
      </c>
      <c r="P236" s="632">
        <f>IF($D236="Logistics",VLOOKUP($O236,'Lower Hot Cell Logistics'!$C$4:$D$69,2,FALSE),"N/A")</f>
        <v>0.88000000000000012</v>
      </c>
      <c r="R236"/>
      <c r="S236"/>
    </row>
    <row r="237" spans="1:19" s="89" customFormat="1" ht="14.6" hidden="1" outlineLevel="1" x14ac:dyDescent="0.4">
      <c r="A237" s="1202"/>
      <c r="B237" s="3786"/>
      <c r="C237" s="572" t="s">
        <v>2189</v>
      </c>
      <c r="D237" s="572" t="s">
        <v>778</v>
      </c>
      <c r="E237" s="574">
        <f t="shared" si="12"/>
        <v>0.69444444444444442</v>
      </c>
      <c r="F237" s="574">
        <f>IF($D237="Trigger",VLOOKUP("*"&amp;$C237&amp;"*",'Lower Hot Cell Weld Failure'!$D$188:$G$219,4,FALSE),E237+F236)</f>
        <v>111.1334978839696</v>
      </c>
      <c r="G237" s="575"/>
      <c r="H237" s="576" t="s">
        <v>263</v>
      </c>
      <c r="I237" s="1281" t="s">
        <v>2171</v>
      </c>
      <c r="J237" s="572" t="s">
        <v>799</v>
      </c>
      <c r="K237" s="572" t="s">
        <v>451</v>
      </c>
      <c r="L237" s="853">
        <f>IFERROR(INDEX('Lower Hot Cell Logistics'!$I$13:$O$19,MATCH($J237,'Lower Hot Cell Logistics'!$H$13:$H$19,0),MATCH($K237,'Lower Hot Cell Logistics'!$H$13:$H$19,0)),"N/A")</f>
        <v>50</v>
      </c>
      <c r="M237" s="853">
        <f>IFERROR(VLOOKUP($I237,'Lower Hot Cell Logistics'!$H$4:$I$8,2,FALSE),"N/A")</f>
        <v>0.02</v>
      </c>
      <c r="N237" s="1180">
        <f t="shared" si="15"/>
        <v>0.69444444444444442</v>
      </c>
      <c r="O237" s="579"/>
      <c r="P237" s="580" t="str">
        <f>IF($D237="Logistics",VLOOKUP($O237,'Lower Hot Cell Logistics'!$C$4:$D$69,2,FALSE),"N/A")</f>
        <v>N/A</v>
      </c>
      <c r="R237"/>
      <c r="S237"/>
    </row>
    <row r="238" spans="1:19" s="89" customFormat="1" ht="26.6" hidden="1" outlineLevel="1" thickBot="1" x14ac:dyDescent="0.45">
      <c r="A238" s="1202"/>
      <c r="B238" s="3788"/>
      <c r="C238" s="583" t="str">
        <f>B234</f>
        <v>LIB pipe module collected; Pipe Module handling System Moved to Lower Port</v>
      </c>
      <c r="D238" s="583" t="s">
        <v>11</v>
      </c>
      <c r="E238" s="585">
        <f t="shared" si="12"/>
        <v>0</v>
      </c>
      <c r="F238" s="585">
        <f>IF($D238="Trigger",VLOOKUP("*"&amp;$C238&amp;"*",'Lower Hot Cell Weld Failure'!$D$188:$G$219,4,FALSE),E238+F237)</f>
        <v>111.1334978839696</v>
      </c>
      <c r="G238" s="586"/>
      <c r="H238" s="587" t="s">
        <v>263</v>
      </c>
      <c r="I238" s="1720"/>
      <c r="J238" s="583"/>
      <c r="K238" s="583"/>
      <c r="L238" s="814" t="str">
        <f>IFERROR(INDEX('Lower Hot Cell Logistics'!$I$13:$O$19,MATCH($J238,'Lower Hot Cell Logistics'!$H$13:$H$19,0),MATCH($K238,'Lower Hot Cell Logistics'!$H$13:$H$19,0)),"N/A")</f>
        <v>N/A</v>
      </c>
      <c r="M238" s="814" t="str">
        <f>IFERROR(VLOOKUP($I238,'Lower Hot Cell Logistics'!$H$4:$I$8,2,FALSE),"N/A")</f>
        <v>N/A</v>
      </c>
      <c r="N238" s="1181" t="str">
        <f t="shared" si="15"/>
        <v>N/A</v>
      </c>
      <c r="O238" s="590"/>
      <c r="P238" s="591" t="str">
        <f>IF($D238="Logistics",VLOOKUP($O238,'Lower Hot Cell Logistics'!$C$4:$D$69,2,FALSE),"N/A")</f>
        <v>N/A</v>
      </c>
      <c r="R238"/>
      <c r="S238"/>
    </row>
    <row r="239" spans="1:19" s="89" customFormat="1" ht="15" hidden="1" customHeight="1" outlineLevel="1" x14ac:dyDescent="0.4">
      <c r="A239" s="1202"/>
      <c r="B239" s="3814" t="s">
        <v>2082</v>
      </c>
      <c r="C239" s="1324" t="s">
        <v>2214</v>
      </c>
      <c r="D239" s="1324" t="s">
        <v>907</v>
      </c>
      <c r="E239" s="1291">
        <f t="shared" si="12"/>
        <v>0</v>
      </c>
      <c r="F239" s="1291">
        <f>IF($D239="Trigger",VLOOKUP("*"&amp;$C239&amp;"*",'Lower Hot Cell Weld Failure'!$D$188:$G$219,4,FALSE),E239+F238)</f>
        <v>129.55616250996675</v>
      </c>
      <c r="G239" s="825"/>
      <c r="H239" s="1323" t="s">
        <v>263</v>
      </c>
      <c r="I239" s="1721"/>
      <c r="J239" s="1324"/>
      <c r="K239" s="1324"/>
      <c r="L239" s="828" t="str">
        <f>IFERROR(INDEX('Lower Hot Cell Logistics'!$I$13:$O$19,MATCH($J239,'Lower Hot Cell Logistics'!$H$13:$H$19,0),MATCH($K239,'Lower Hot Cell Logistics'!$H$13:$H$19,0)),"N/A")</f>
        <v>N/A</v>
      </c>
      <c r="M239" s="827" t="str">
        <f>IFERROR(VLOOKUP($I239,'Lower Hot Cell Logistics'!$H$4:$I$8,2,FALSE),"N/A")</f>
        <v>N/A</v>
      </c>
      <c r="N239" s="2200" t="str">
        <f t="shared" si="15"/>
        <v>N/A</v>
      </c>
      <c r="O239" s="1327"/>
      <c r="P239" s="824" t="str">
        <f>IF($D239="Logistics",VLOOKUP($O239,'Lower Hot Cell Logistics'!$C$4:$D$69,2,FALSE),"N/A")</f>
        <v>N/A</v>
      </c>
      <c r="R239"/>
      <c r="S239"/>
    </row>
    <row r="240" spans="1:19" s="89" customFormat="1" ht="15" hidden="1" customHeight="1" outlineLevel="1" x14ac:dyDescent="0.4">
      <c r="A240" s="1202"/>
      <c r="B240" s="3815"/>
      <c r="C240" s="1362" t="s">
        <v>2211</v>
      </c>
      <c r="D240" s="1294" t="s">
        <v>778</v>
      </c>
      <c r="E240" s="1330">
        <f t="shared" si="12"/>
        <v>0.23148148148148148</v>
      </c>
      <c r="F240" s="1330">
        <f>IF($D240="Trigger",VLOOKUP("*"&amp;$C240&amp;"*",'Lower Hot Cell Weld Failure'!$D$188:$G$219,4,FALSE),E240+F239)</f>
        <v>129.78764399144825</v>
      </c>
      <c r="G240" s="1722"/>
      <c r="H240" s="2219" t="s">
        <v>263</v>
      </c>
      <c r="I240" s="1724" t="s">
        <v>2142</v>
      </c>
      <c r="J240" s="1294" t="s">
        <v>451</v>
      </c>
      <c r="K240" s="1294" t="s">
        <v>1965</v>
      </c>
      <c r="L240" s="2042">
        <f>IFERROR(INDEX('Lower Hot Cell Logistics'!$I$13:$O$19,MATCH($J240,'Lower Hot Cell Logistics'!$H$13:$H$19,0),MATCH($K240,'Lower Hot Cell Logistics'!$H$13:$H$19,0)),"N/A")</f>
        <v>50</v>
      </c>
      <c r="M240" s="2220">
        <f>IFERROR(VLOOKUP($I240,'Lower Hot Cell Logistics'!$H$4:$I$8,2,FALSE),"N/A")</f>
        <v>0.06</v>
      </c>
      <c r="N240" s="1332">
        <f t="shared" si="15"/>
        <v>0.23148148148148148</v>
      </c>
      <c r="O240" s="1352"/>
      <c r="P240" s="1353" t="str">
        <f>IF($D240="Logistics",VLOOKUP($O240,'Lower Hot Cell Logistics'!$C$4:$D$69,2,FALSE),"N/A")</f>
        <v>N/A</v>
      </c>
      <c r="R240"/>
      <c r="S240"/>
    </row>
    <row r="241" spans="1:19" s="89" customFormat="1" ht="15" hidden="1" customHeight="1" outlineLevel="1" x14ac:dyDescent="0.4">
      <c r="A241" s="1202"/>
      <c r="B241" s="3815"/>
      <c r="C241" s="1362" t="s">
        <v>2212</v>
      </c>
      <c r="D241" s="1294" t="s">
        <v>3</v>
      </c>
      <c r="E241" s="1330">
        <f t="shared" si="12"/>
        <v>0.88000000000000012</v>
      </c>
      <c r="F241" s="1330">
        <f>IF($D241="Trigger",VLOOKUP("*"&amp;$C241&amp;"*",'Lower Hot Cell Weld Failure'!$D$188:$G$219,4,FALSE),E241+F240)</f>
        <v>130.66764399144824</v>
      </c>
      <c r="G241" s="1722"/>
      <c r="H241" s="2219" t="s">
        <v>263</v>
      </c>
      <c r="I241" s="1724"/>
      <c r="J241" s="1294"/>
      <c r="K241" s="1294"/>
      <c r="L241" s="2042" t="str">
        <f>IFERROR(INDEX('Lower Hot Cell Logistics'!$I$13:$O$19,MATCH($J241,'Lower Hot Cell Logistics'!$H$13:$H$19,0),MATCH($K241,'Lower Hot Cell Logistics'!$H$13:$H$19,0)),"N/A")</f>
        <v>N/A</v>
      </c>
      <c r="M241" s="2220" t="str">
        <f>IFERROR(VLOOKUP($I241,'Lower Hot Cell Logistics'!$H$4:$I$8,2,FALSE),"N/A")</f>
        <v>N/A</v>
      </c>
      <c r="N241" s="1332" t="str">
        <f t="shared" si="15"/>
        <v>N/A</v>
      </c>
      <c r="O241" s="1352" t="s">
        <v>2144</v>
      </c>
      <c r="P241" s="1353">
        <f>IF($D241="Logistics",VLOOKUP($O241,'Lower Hot Cell Logistics'!$C$4:$D$69,2,FALSE),"N/A")</f>
        <v>0.88000000000000012</v>
      </c>
      <c r="R241"/>
      <c r="S241"/>
    </row>
    <row r="242" spans="1:19" s="89" customFormat="1" ht="14.6" hidden="1" outlineLevel="1" x14ac:dyDescent="0.4">
      <c r="A242" s="1202"/>
      <c r="B242" s="3815"/>
      <c r="C242" s="1294" t="s">
        <v>2189</v>
      </c>
      <c r="D242" s="1294" t="s">
        <v>778</v>
      </c>
      <c r="E242" s="1292">
        <f t="shared" si="12"/>
        <v>0.69444444444444442</v>
      </c>
      <c r="F242" s="1292">
        <f>IF($D242="Trigger",VLOOKUP("*"&amp;$C242&amp;"*",'Lower Hot Cell Weld Failure'!$D$188:$G$219,4,FALSE),E242+F241)</f>
        <v>131.3620884358927</v>
      </c>
      <c r="G242" s="862"/>
      <c r="H242" s="1328" t="s">
        <v>263</v>
      </c>
      <c r="I242" s="1724" t="s">
        <v>2171</v>
      </c>
      <c r="J242" s="1294" t="s">
        <v>799</v>
      </c>
      <c r="K242" s="1294" t="s">
        <v>451</v>
      </c>
      <c r="L242" s="865">
        <f>IFERROR(INDEX('Lower Hot Cell Logistics'!$I$13:$O$19,MATCH($J242,'Lower Hot Cell Logistics'!$H$13:$H$19,0),MATCH($K242,'Lower Hot Cell Logistics'!$H$13:$H$19,0)),"N/A")</f>
        <v>50</v>
      </c>
      <c r="M242" s="865">
        <f>IFERROR(VLOOKUP($I242,'Lower Hot Cell Logistics'!$H$4:$I$8,2,FALSE),"N/A")</f>
        <v>0.02</v>
      </c>
      <c r="N242" s="2197">
        <f t="shared" si="15"/>
        <v>0.69444444444444442</v>
      </c>
      <c r="O242" s="1331"/>
      <c r="P242" s="1332" t="str">
        <f>IF($D242="Logistics",VLOOKUP($O242,'Lower Hot Cell Logistics'!$C$4:$D$69,2,FALSE),"N/A")</f>
        <v>N/A</v>
      </c>
      <c r="R242"/>
      <c r="S242"/>
    </row>
    <row r="243" spans="1:19" s="89" customFormat="1" ht="26.6" hidden="1" outlineLevel="1" thickBot="1" x14ac:dyDescent="0.45">
      <c r="A243" s="1202"/>
      <c r="B243" s="3816"/>
      <c r="C243" s="1340" t="str">
        <f>B239</f>
        <v>ROB pipe module collected; Pipe Module handling System Moved to Lower Port</v>
      </c>
      <c r="D243" s="1340" t="s">
        <v>11</v>
      </c>
      <c r="E243" s="1295">
        <f t="shared" si="12"/>
        <v>0</v>
      </c>
      <c r="F243" s="1295">
        <f>IF($D243="Trigger",VLOOKUP("*"&amp;$C243&amp;"*",'Lower Hot Cell Weld Failure'!$D$188:$G$219,4,FALSE),E243+F242)</f>
        <v>131.3620884358927</v>
      </c>
      <c r="G243" s="839"/>
      <c r="H243" s="1341" t="s">
        <v>263</v>
      </c>
      <c r="I243" s="1727"/>
      <c r="J243" s="1340"/>
      <c r="K243" s="1340"/>
      <c r="L243" s="842" t="str">
        <f>IFERROR(INDEX('Lower Hot Cell Logistics'!$I$13:$O$19,MATCH($J243,'Lower Hot Cell Logistics'!$H$13:$H$19,0),MATCH($K243,'Lower Hot Cell Logistics'!$H$13:$H$19,0)),"N/A")</f>
        <v>N/A</v>
      </c>
      <c r="M243" s="842" t="str">
        <f>IFERROR(VLOOKUP($I243,'Lower Hot Cell Logistics'!$H$4:$I$8,2,FALSE),"N/A")</f>
        <v>N/A</v>
      </c>
      <c r="N243" s="2199" t="str">
        <f t="shared" si="15"/>
        <v>N/A</v>
      </c>
      <c r="O243" s="1344"/>
      <c r="P243" s="1345" t="str">
        <f>IF($D243="Logistics",VLOOKUP($O243,'Lower Hot Cell Logistics'!$C$4:$D$69,2,FALSE),"N/A")</f>
        <v>N/A</v>
      </c>
      <c r="R243"/>
      <c r="S243"/>
    </row>
    <row r="244" spans="1:19" s="2121" customFormat="1" ht="12.75" hidden="1" customHeight="1" outlineLevel="1" x14ac:dyDescent="0.4">
      <c r="A244" s="1202"/>
      <c r="B244" s="3787" t="s">
        <v>1949</v>
      </c>
      <c r="C244" s="566" t="s">
        <v>2346</v>
      </c>
      <c r="D244" s="566" t="s">
        <v>907</v>
      </c>
      <c r="E244" s="1175">
        <f t="shared" si="12"/>
        <v>0</v>
      </c>
      <c r="F244" s="621">
        <f>IF($D244="Trigger",VLOOKUP("*"&amp;$C244&amp;"*",'Lower Hot Cell Weld Failure'!$D$52:$G$540,4,FALSE),E244+#REF!)</f>
        <v>0</v>
      </c>
      <c r="G244" s="568"/>
      <c r="H244" s="569" t="str">
        <f>IF(D244="operation",VLOOKUP(G244,#REF!,5,FALSE), "N/A")</f>
        <v>N/A</v>
      </c>
      <c r="I244" s="566"/>
      <c r="J244" s="566"/>
      <c r="K244" s="566"/>
      <c r="L244" s="1175" t="str">
        <f>IFERROR(INDEX('Lower Hot Cell Logistics'!$I$13:$O$19,MATCH($J244,'Lower Hot Cell Logistics'!$H$13:$H$19,0),MATCH($K244,'Lower Hot Cell Logistics'!$H$13:$H$19,0)),"N/A")</f>
        <v>N/A</v>
      </c>
      <c r="M244" s="1175" t="str">
        <f>IFERROR(VLOOKUP($I244,'Lower Hot Cell Logistics'!$H$4:$I$8,2,FALSE),"N/A")</f>
        <v>N/A</v>
      </c>
      <c r="N244" s="1175" t="str">
        <f t="shared" ref="N244:N261" si="16">IF(D244="Movement",IFERROR((L244/M244)/(60*60),"Error"),"N/A")</f>
        <v>N/A</v>
      </c>
      <c r="O244" s="620"/>
      <c r="P244" s="621" t="str">
        <f>IF($D244="Logistics",VLOOKUP($O244,'Lower Hot Cell Logistics'!$C$4:$D$69,2,FALSE),"N/A")</f>
        <v>N/A</v>
      </c>
    </row>
    <row r="245" spans="1:19" s="2121" customFormat="1" ht="12.75" hidden="1" customHeight="1" outlineLevel="1" x14ac:dyDescent="0.4">
      <c r="A245" s="1202"/>
      <c r="B245" s="3786"/>
      <c r="C245" s="573" t="s">
        <v>1945</v>
      </c>
      <c r="D245" s="573" t="s">
        <v>251</v>
      </c>
      <c r="E245" s="1176">
        <f t="shared" si="12"/>
        <v>125.69078293608484</v>
      </c>
      <c r="F245" s="580">
        <f>IF($D245="Trigger",VLOOKUP("*"&amp;$C245&amp;"*",'Lower Hot Cell Weld Failure'!$D$52:$G$540,4,FALSE),E245+F244)</f>
        <v>125.69078293608484</v>
      </c>
      <c r="G245" s="575" t="s">
        <v>137</v>
      </c>
      <c r="H245" s="580">
        <v>125.69078293608484</v>
      </c>
      <c r="I245" s="573"/>
      <c r="J245" s="573"/>
      <c r="K245" s="573"/>
      <c r="L245" s="1176" t="str">
        <f>IFERROR(INDEX('Lower Hot Cell Logistics'!$I$13:$O$19,MATCH($J245,'Lower Hot Cell Logistics'!$H$13:$H$19,0),MATCH($K245,'Lower Hot Cell Logistics'!$H$13:$H$19,0)),"N/A")</f>
        <v>N/A</v>
      </c>
      <c r="M245" s="1176" t="str">
        <f>IFERROR(VLOOKUP($I245,'Lower Hot Cell Logistics'!$H$4:$I$8,2,FALSE),"N/A")</f>
        <v>N/A</v>
      </c>
      <c r="N245" s="1176" t="str">
        <f t="shared" si="16"/>
        <v>N/A</v>
      </c>
      <c r="O245" s="579"/>
      <c r="P245" s="580" t="str">
        <f>IF($D245="Logistics",VLOOKUP($O245,'Lower Hot Cell Logistics'!$C$4:$D$69,2,FALSE),"N/A")</f>
        <v>N/A</v>
      </c>
    </row>
    <row r="246" spans="1:19" s="2121" customFormat="1" ht="13.5" hidden="1" customHeight="1" outlineLevel="1" thickBot="1" x14ac:dyDescent="0.45">
      <c r="A246" s="1202"/>
      <c r="B246" s="3788"/>
      <c r="C246" s="584" t="str">
        <f>B244</f>
        <v>ROB Blanket segment installed</v>
      </c>
      <c r="D246" s="584" t="s">
        <v>11</v>
      </c>
      <c r="E246" s="1179">
        <f t="shared" si="12"/>
        <v>0</v>
      </c>
      <c r="F246" s="591">
        <f>IF($D246="Trigger",VLOOKUP("*"&amp;$C246&amp;"*",'Lower Hot Cell Weld Failure'!$D$52:$G$540,4,FALSE),E246+F245)</f>
        <v>125.69078293608484</v>
      </c>
      <c r="G246" s="586"/>
      <c r="H246" s="587" t="str">
        <f>IF(D246="operation",VLOOKUP(G246,#REF!,5,FALSE), "N/A")</f>
        <v>N/A</v>
      </c>
      <c r="I246" s="584"/>
      <c r="J246" s="584"/>
      <c r="K246" s="584"/>
      <c r="L246" s="1179" t="str">
        <f>IFERROR(INDEX('Lower Hot Cell Logistics'!$I$13:$O$19,MATCH($J246,'Lower Hot Cell Logistics'!$H$13:$H$19,0),MATCH($K246,'Lower Hot Cell Logistics'!$H$13:$H$19,0)),"N/A")</f>
        <v>N/A</v>
      </c>
      <c r="M246" s="1179" t="str">
        <f>IFERROR(VLOOKUP($I246,'Lower Hot Cell Logistics'!$H$4:$I$8,2,FALSE),"N/A")</f>
        <v>N/A</v>
      </c>
      <c r="N246" s="1179" t="str">
        <f t="shared" si="16"/>
        <v>N/A</v>
      </c>
      <c r="O246" s="590"/>
      <c r="P246" s="591" t="str">
        <f>IF($D246="Logistics",VLOOKUP($O246,'Lower Hot Cell Logistics'!$C$4:$D$69,2,FALSE),"N/A")</f>
        <v>N/A</v>
      </c>
    </row>
    <row r="247" spans="1:19" s="2121" customFormat="1" ht="12.75" hidden="1" customHeight="1" outlineLevel="1" x14ac:dyDescent="0.4">
      <c r="A247" s="1202"/>
      <c r="B247" s="3814" t="s">
        <v>1950</v>
      </c>
      <c r="C247" s="823" t="s">
        <v>2346</v>
      </c>
      <c r="D247" s="823" t="s">
        <v>907</v>
      </c>
      <c r="E247" s="2040">
        <f t="shared" si="12"/>
        <v>0</v>
      </c>
      <c r="F247" s="824">
        <f>IF($D247="Trigger",VLOOKUP("*"&amp;$C247&amp;"*",'Lower Hot Cell Weld Failure'!$D$52:$G$540,4,FALSE),E247+F246)</f>
        <v>0</v>
      </c>
      <c r="G247" s="825"/>
      <c r="H247" s="1323" t="str">
        <f>IF(D247="operation",VLOOKUP(G247,#REF!,5,FALSE), "N/A")</f>
        <v>N/A</v>
      </c>
      <c r="I247" s="823"/>
      <c r="J247" s="823"/>
      <c r="K247" s="823"/>
      <c r="L247" s="2040" t="str">
        <f>IFERROR(INDEX('Lower Hot Cell Logistics'!$I$13:$O$19,MATCH($J247,'Lower Hot Cell Logistics'!$H$13:$H$19,0),MATCH($K247,'Lower Hot Cell Logistics'!$H$13:$H$19,0)),"N/A")</f>
        <v>N/A</v>
      </c>
      <c r="M247" s="2040" t="str">
        <f>IFERROR(VLOOKUP($I247,'Lower Hot Cell Logistics'!$H$4:$I$8,2,FALSE),"N/A")</f>
        <v>N/A</v>
      </c>
      <c r="N247" s="2040" t="str">
        <f t="shared" si="16"/>
        <v>N/A</v>
      </c>
      <c r="O247" s="1327"/>
      <c r="P247" s="824" t="str">
        <f>IF($D247="Logistics",VLOOKUP($O247,'Lower Hot Cell Logistics'!$C$4:$D$69,2,FALSE),"N/A")</f>
        <v>N/A</v>
      </c>
    </row>
    <row r="248" spans="1:19" s="2121" customFormat="1" ht="12.75" hidden="1" customHeight="1" outlineLevel="1" x14ac:dyDescent="0.4">
      <c r="A248" s="1202"/>
      <c r="B248" s="3815"/>
      <c r="C248" s="860" t="s">
        <v>1945</v>
      </c>
      <c r="D248" s="860" t="s">
        <v>251</v>
      </c>
      <c r="E248" s="2042">
        <f t="shared" si="12"/>
        <v>253.13308381754314</v>
      </c>
      <c r="F248" s="1332">
        <f>IF($D248="Trigger",VLOOKUP("*"&amp;$C248&amp;"*",'Lower Hot Cell Weld Failure'!$D$52:$G$540,4,FALSE),E248+F247)</f>
        <v>253.13308381754314</v>
      </c>
      <c r="G248" s="862" t="s">
        <v>1091</v>
      </c>
      <c r="H248" s="1332">
        <v>253.13308381754314</v>
      </c>
      <c r="I248" s="860"/>
      <c r="J248" s="860"/>
      <c r="K248" s="860"/>
      <c r="L248" s="2042" t="str">
        <f>IFERROR(INDEX('Lower Hot Cell Logistics'!$I$13:$O$19,MATCH($J248,'Lower Hot Cell Logistics'!$H$13:$H$19,0),MATCH($K248,'Lower Hot Cell Logistics'!$H$13:$H$19,0)),"N/A")</f>
        <v>N/A</v>
      </c>
      <c r="M248" s="2042" t="str">
        <f>IFERROR(VLOOKUP($I248,'Lower Hot Cell Logistics'!$H$4:$I$8,2,FALSE),"N/A")</f>
        <v>N/A</v>
      </c>
      <c r="N248" s="2042" t="str">
        <f t="shared" si="16"/>
        <v>N/A</v>
      </c>
      <c r="O248" s="1331"/>
      <c r="P248" s="1332" t="str">
        <f>IF($D248="Logistics",VLOOKUP($O248,'Lower Hot Cell Logistics'!$C$4:$D$69,2,FALSE),"N/A")</f>
        <v>N/A</v>
      </c>
    </row>
    <row r="249" spans="1:19" s="2121" customFormat="1" ht="13.5" hidden="1" customHeight="1" outlineLevel="1" thickBot="1" x14ac:dyDescent="0.45">
      <c r="A249" s="1202"/>
      <c r="B249" s="3816"/>
      <c r="C249" s="837" t="str">
        <f>B247</f>
        <v>ROB Upper Port Pipe Module installed</v>
      </c>
      <c r="D249" s="837" t="s">
        <v>11</v>
      </c>
      <c r="E249" s="1922">
        <f t="shared" si="12"/>
        <v>0</v>
      </c>
      <c r="F249" s="1345">
        <f>IF($D249="Trigger",VLOOKUP("*"&amp;$C249&amp;"*",'Lower Hot Cell Weld Failure'!$D$52:$G$540,4,FALSE),E249+F248)</f>
        <v>253.13308381754314</v>
      </c>
      <c r="G249" s="839"/>
      <c r="H249" s="1341" t="str">
        <f>IF(D249="operation",VLOOKUP(G249,#REF!,5,FALSE), "N/A")</f>
        <v>N/A</v>
      </c>
      <c r="I249" s="837"/>
      <c r="J249" s="837"/>
      <c r="K249" s="837"/>
      <c r="L249" s="1922" t="str">
        <f>IFERROR(INDEX('Lower Hot Cell Logistics'!$I$13:$O$19,MATCH($J249,'Lower Hot Cell Logistics'!$H$13:$H$19,0),MATCH($K249,'Lower Hot Cell Logistics'!$H$13:$H$19,0)),"N/A")</f>
        <v>N/A</v>
      </c>
      <c r="M249" s="1922" t="str">
        <f>IFERROR(VLOOKUP($I249,'Lower Hot Cell Logistics'!$H$4:$I$8,2,FALSE),"N/A")</f>
        <v>N/A</v>
      </c>
      <c r="N249" s="1922" t="str">
        <f t="shared" si="16"/>
        <v>N/A</v>
      </c>
      <c r="O249" s="1344"/>
      <c r="P249" s="1345" t="str">
        <f>IF($D249="Logistics",VLOOKUP($O249,'Lower Hot Cell Logistics'!$C$4:$D$69,2,FALSE),"N/A")</f>
        <v>N/A</v>
      </c>
    </row>
    <row r="250" spans="1:19" s="2121" customFormat="1" ht="12.75" hidden="1" customHeight="1" outlineLevel="1" x14ac:dyDescent="0.4">
      <c r="A250" s="1202"/>
      <c r="B250" s="3787" t="s">
        <v>1881</v>
      </c>
      <c r="C250" s="566" t="s">
        <v>2346</v>
      </c>
      <c r="D250" s="566" t="s">
        <v>907</v>
      </c>
      <c r="E250" s="1175">
        <f t="shared" si="12"/>
        <v>0</v>
      </c>
      <c r="F250" s="621">
        <f>IF($D250="Trigger",VLOOKUP("*"&amp;$C250&amp;"*",'Lower Hot Cell Weld Failure'!$D$52:$G$540,4,FALSE),E250+F249)</f>
        <v>0</v>
      </c>
      <c r="G250" s="568"/>
      <c r="H250" s="569" t="str">
        <f>IF(D250="operation",VLOOKUP(G250,#REF!,5,FALSE), "N/A")</f>
        <v>N/A</v>
      </c>
      <c r="I250" s="566"/>
      <c r="J250" s="566"/>
      <c r="K250" s="566"/>
      <c r="L250" s="1175" t="str">
        <f>IFERROR(INDEX('Lower Hot Cell Logistics'!$I$13:$O$19,MATCH($J250,'Lower Hot Cell Logistics'!$H$13:$H$19,0),MATCH($K250,'Lower Hot Cell Logistics'!$H$13:$H$19,0)),"N/A")</f>
        <v>N/A</v>
      </c>
      <c r="M250" s="1175" t="str">
        <f>IFERROR(VLOOKUP($I250,'Lower Hot Cell Logistics'!$H$4:$I$8,2,FALSE),"N/A")</f>
        <v>N/A</v>
      </c>
      <c r="N250" s="1175" t="str">
        <f t="shared" si="16"/>
        <v>N/A</v>
      </c>
      <c r="O250" s="620"/>
      <c r="P250" s="621" t="str">
        <f>IF($D250="Logistics",VLOOKUP($O250,'Lower Hot Cell Logistics'!$C$4:$D$69,2,FALSE),"N/A")</f>
        <v>N/A</v>
      </c>
    </row>
    <row r="251" spans="1:19" s="2121" customFormat="1" ht="12.75" hidden="1" customHeight="1" outlineLevel="1" x14ac:dyDescent="0.4">
      <c r="A251" s="1202"/>
      <c r="B251" s="3786"/>
      <c r="C251" s="573" t="s">
        <v>1945</v>
      </c>
      <c r="D251" s="573" t="s">
        <v>251</v>
      </c>
      <c r="E251" s="1176">
        <f t="shared" si="12"/>
        <v>120.7913384916404</v>
      </c>
      <c r="F251" s="580">
        <f>IF($D251="Trigger",VLOOKUP("*"&amp;$C251&amp;"*",'Lower Hot Cell Weld Failure'!$D$52:$G$540,4,FALSE),E251+F250)</f>
        <v>120.7913384916404</v>
      </c>
      <c r="G251" s="575" t="s">
        <v>139</v>
      </c>
      <c r="H251" s="580">
        <v>120.7913384916404</v>
      </c>
      <c r="I251" s="573"/>
      <c r="J251" s="573"/>
      <c r="K251" s="573"/>
      <c r="L251" s="1176" t="str">
        <f>IFERROR(INDEX('Lower Hot Cell Logistics'!$I$13:$O$19,MATCH($J251,'Lower Hot Cell Logistics'!$H$13:$H$19,0),MATCH($K251,'Lower Hot Cell Logistics'!$H$13:$H$19,0)),"N/A")</f>
        <v>N/A</v>
      </c>
      <c r="M251" s="1176" t="str">
        <f>IFERROR(VLOOKUP($I251,'Lower Hot Cell Logistics'!$H$4:$I$8,2,FALSE),"N/A")</f>
        <v>N/A</v>
      </c>
      <c r="N251" s="1176" t="str">
        <f t="shared" si="16"/>
        <v>N/A</v>
      </c>
      <c r="O251" s="579"/>
      <c r="P251" s="580" t="str">
        <f>IF($D251="Logistics",VLOOKUP($O251,'Lower Hot Cell Logistics'!$C$4:$D$69,2,FALSE),"N/A")</f>
        <v>N/A</v>
      </c>
    </row>
    <row r="252" spans="1:19" s="2121" customFormat="1" ht="13.5" hidden="1" customHeight="1" outlineLevel="1" thickBot="1" x14ac:dyDescent="0.45">
      <c r="A252" s="1206"/>
      <c r="B252" s="3788"/>
      <c r="C252" s="584" t="str">
        <f>B250</f>
        <v>LIB Blanket segment installed</v>
      </c>
      <c r="D252" s="584" t="s">
        <v>11</v>
      </c>
      <c r="E252" s="1179">
        <f t="shared" si="12"/>
        <v>0</v>
      </c>
      <c r="F252" s="591">
        <f>IF($D252="Trigger",VLOOKUP("*"&amp;$C252&amp;"*",'Lower Hot Cell Weld Failure'!$D$52:$G$540,4,FALSE),E252+F251)</f>
        <v>120.7913384916404</v>
      </c>
      <c r="G252" s="586"/>
      <c r="H252" s="587" t="str">
        <f>IF(D252="operation",VLOOKUP(G252,#REF!,5,FALSE), "N/A")</f>
        <v>N/A</v>
      </c>
      <c r="I252" s="584"/>
      <c r="J252" s="584"/>
      <c r="K252" s="584"/>
      <c r="L252" s="1179" t="str">
        <f>IFERROR(INDEX('Lower Hot Cell Logistics'!$I$13:$O$19,MATCH($J252,'Lower Hot Cell Logistics'!$H$13:$H$19,0),MATCH($K252,'Lower Hot Cell Logistics'!$H$13:$H$19,0)),"N/A")</f>
        <v>N/A</v>
      </c>
      <c r="M252" s="1179" t="str">
        <f>IFERROR(VLOOKUP($I252,'Lower Hot Cell Logistics'!$H$4:$I$8,2,FALSE),"N/A")</f>
        <v>N/A</v>
      </c>
      <c r="N252" s="1179" t="str">
        <f t="shared" si="16"/>
        <v>N/A</v>
      </c>
      <c r="O252" s="590"/>
      <c r="P252" s="591" t="str">
        <f>IF($D252="Logistics",VLOOKUP($O252,'Lower Hot Cell Logistics'!$C$4:$D$69,2,FALSE),"N/A")</f>
        <v>N/A</v>
      </c>
    </row>
    <row r="253" spans="1:19" s="2121" customFormat="1" ht="12.75" hidden="1" customHeight="1" outlineLevel="1" x14ac:dyDescent="0.4">
      <c r="A253" s="1206"/>
      <c r="B253" s="3814" t="s">
        <v>1951</v>
      </c>
      <c r="C253" s="823" t="s">
        <v>2346</v>
      </c>
      <c r="D253" s="823" t="s">
        <v>907</v>
      </c>
      <c r="E253" s="2040">
        <f t="shared" si="12"/>
        <v>0</v>
      </c>
      <c r="F253" s="824">
        <f>IF($D253="Trigger",VLOOKUP("*"&amp;$C253&amp;"*",'Lower Hot Cell Weld Failure'!$D$52:$G$540,4,FALSE),E253+F252)</f>
        <v>0</v>
      </c>
      <c r="G253" s="825"/>
      <c r="H253" s="1323" t="str">
        <f>IF(D253="operation",VLOOKUP(G253,#REF!,5,FALSE), "N/A")</f>
        <v>N/A</v>
      </c>
      <c r="I253" s="823"/>
      <c r="J253" s="823"/>
      <c r="K253" s="823"/>
      <c r="L253" s="2040" t="str">
        <f>IFERROR(INDEX('Lower Hot Cell Logistics'!$I$13:$O$19,MATCH($J253,'Lower Hot Cell Logistics'!$H$13:$H$19,0),MATCH($K253,'Lower Hot Cell Logistics'!$H$13:$H$19,0)),"N/A")</f>
        <v>N/A</v>
      </c>
      <c r="M253" s="2040" t="str">
        <f>IFERROR(VLOOKUP($I253,'Lower Hot Cell Logistics'!$H$4:$I$8,2,FALSE),"N/A")</f>
        <v>N/A</v>
      </c>
      <c r="N253" s="2040" t="str">
        <f t="shared" si="16"/>
        <v>N/A</v>
      </c>
      <c r="O253" s="1327"/>
      <c r="P253" s="824" t="str">
        <f>IF($D253="Logistics",VLOOKUP($O253,'Lower Hot Cell Logistics'!$C$4:$D$69,2,FALSE),"N/A")</f>
        <v>N/A</v>
      </c>
    </row>
    <row r="254" spans="1:19" s="2121" customFormat="1" ht="12.75" hidden="1" customHeight="1" outlineLevel="1" x14ac:dyDescent="0.4">
      <c r="A254" s="1206"/>
      <c r="B254" s="3815"/>
      <c r="C254" s="860" t="s">
        <v>1945</v>
      </c>
      <c r="D254" s="860" t="s">
        <v>251</v>
      </c>
      <c r="E254" s="2042">
        <f t="shared" si="12"/>
        <v>198.31026671014735</v>
      </c>
      <c r="F254" s="1332">
        <f>IF($D254="Trigger",VLOOKUP("*"&amp;$C254&amp;"*",'Lower Hot Cell Weld Failure'!$D$52:$G$540,4,FALSE),E254+F253)</f>
        <v>198.31026671014735</v>
      </c>
      <c r="G254" s="862" t="s">
        <v>1088</v>
      </c>
      <c r="H254" s="1332">
        <v>198.31026671014735</v>
      </c>
      <c r="I254" s="860"/>
      <c r="J254" s="860"/>
      <c r="K254" s="860"/>
      <c r="L254" s="2042" t="str">
        <f>IFERROR(INDEX('Lower Hot Cell Logistics'!$I$13:$O$19,MATCH($J254,'Lower Hot Cell Logistics'!$H$13:$H$19,0),MATCH($K254,'Lower Hot Cell Logistics'!$H$13:$H$19,0)),"N/A")</f>
        <v>N/A</v>
      </c>
      <c r="M254" s="2042" t="str">
        <f>IFERROR(VLOOKUP($I254,'Lower Hot Cell Logistics'!$H$4:$I$8,2,FALSE),"N/A")</f>
        <v>N/A</v>
      </c>
      <c r="N254" s="2042" t="str">
        <f t="shared" si="16"/>
        <v>N/A</v>
      </c>
      <c r="O254" s="1331"/>
      <c r="P254" s="1332" t="str">
        <f>IF($D254="Logistics",VLOOKUP($O254,'Lower Hot Cell Logistics'!$C$4:$D$69,2,FALSE),"N/A")</f>
        <v>N/A</v>
      </c>
    </row>
    <row r="255" spans="1:19" s="2121" customFormat="1" ht="13.5" hidden="1" customHeight="1" outlineLevel="1" thickBot="1" x14ac:dyDescent="0.45">
      <c r="A255" s="1206"/>
      <c r="B255" s="3816"/>
      <c r="C255" s="837" t="str">
        <f>B253</f>
        <v>LIB Upper Port Pipe Module installed</v>
      </c>
      <c r="D255" s="837" t="s">
        <v>11</v>
      </c>
      <c r="E255" s="1922">
        <f t="shared" si="12"/>
        <v>0</v>
      </c>
      <c r="F255" s="1345">
        <f>IF($D255="Trigger",VLOOKUP("*"&amp;$C255&amp;"*",'Lower Hot Cell Weld Failure'!$D$52:$G$540,4,FALSE),E255+F254)</f>
        <v>198.31026671014735</v>
      </c>
      <c r="G255" s="839"/>
      <c r="H255" s="1341" t="str">
        <f>IF(D255="operation",VLOOKUP(G255,#REF!,5,FALSE), "N/A")</f>
        <v>N/A</v>
      </c>
      <c r="I255" s="837"/>
      <c r="J255" s="837"/>
      <c r="K255" s="837"/>
      <c r="L255" s="1922" t="str">
        <f>IFERROR(INDEX('Lower Hot Cell Logistics'!$I$13:$O$19,MATCH($J255,'Lower Hot Cell Logistics'!$H$13:$H$19,0),MATCH($K255,'Lower Hot Cell Logistics'!$H$13:$H$19,0)),"N/A")</f>
        <v>N/A</v>
      </c>
      <c r="M255" s="1922" t="str">
        <f>IFERROR(VLOOKUP($I255,'Lower Hot Cell Logistics'!$H$4:$I$8,2,FALSE),"N/A")</f>
        <v>N/A</v>
      </c>
      <c r="N255" s="1922" t="str">
        <f t="shared" si="16"/>
        <v>N/A</v>
      </c>
      <c r="O255" s="1344"/>
      <c r="P255" s="1345" t="str">
        <f>IF($D255="Logistics",VLOOKUP($O255,'Lower Hot Cell Logistics'!$C$4:$D$69,2,FALSE),"N/A")</f>
        <v>N/A</v>
      </c>
    </row>
    <row r="256" spans="1:19" s="2121" customFormat="1" ht="12.75" hidden="1" customHeight="1" outlineLevel="1" x14ac:dyDescent="0.4">
      <c r="A256" s="1206"/>
      <c r="B256" s="3787" t="s">
        <v>1880</v>
      </c>
      <c r="C256" s="566" t="s">
        <v>2346</v>
      </c>
      <c r="D256" s="566" t="s">
        <v>907</v>
      </c>
      <c r="E256" s="1175">
        <f t="shared" si="12"/>
        <v>0</v>
      </c>
      <c r="F256" s="621">
        <f>IF($D256="Trigger",VLOOKUP("*"&amp;$C256&amp;"*",'Lower Hot Cell Weld Failure'!$D$52:$G$540,4,FALSE),E256+F255)</f>
        <v>0</v>
      </c>
      <c r="G256" s="568"/>
      <c r="H256" s="569" t="str">
        <f>IF(D256="operation",VLOOKUP(G256,#REF!,5,FALSE), "N/A")</f>
        <v>N/A</v>
      </c>
      <c r="I256" s="566"/>
      <c r="J256" s="566"/>
      <c r="K256" s="566"/>
      <c r="L256" s="1175" t="str">
        <f>IFERROR(INDEX('Lower Hot Cell Logistics'!$I$13:$O$19,MATCH($J256,'Lower Hot Cell Logistics'!$H$13:$H$19,0),MATCH($K256,'Lower Hot Cell Logistics'!$H$13:$H$19,0)),"N/A")</f>
        <v>N/A</v>
      </c>
      <c r="M256" s="1175" t="str">
        <f>IFERROR(VLOOKUP($I256,'Lower Hot Cell Logistics'!$H$4:$I$8,2,FALSE),"N/A")</f>
        <v>N/A</v>
      </c>
      <c r="N256" s="1175" t="str">
        <f t="shared" si="16"/>
        <v>N/A</v>
      </c>
      <c r="O256" s="620"/>
      <c r="P256" s="621" t="str">
        <f>IF($D256="Logistics",VLOOKUP($O256,'Lower Hot Cell Logistics'!$C$4:$D$69,2,FALSE),"N/A")</f>
        <v>N/A</v>
      </c>
    </row>
    <row r="257" spans="1:19" s="2121" customFormat="1" ht="12.75" hidden="1" customHeight="1" outlineLevel="1" x14ac:dyDescent="0.4">
      <c r="A257" s="1206"/>
      <c r="B257" s="3786"/>
      <c r="C257" s="573" t="s">
        <v>1945</v>
      </c>
      <c r="D257" s="573" t="s">
        <v>251</v>
      </c>
      <c r="E257" s="1176">
        <f t="shared" si="12"/>
        <v>115.89189404719596</v>
      </c>
      <c r="F257" s="580">
        <f>IF($D257="Trigger",VLOOKUP("*"&amp;$C257&amp;"*",'Lower Hot Cell Weld Failure'!$D$52:$G$540,4,FALSE),E257+F256)</f>
        <v>115.89189404719596</v>
      </c>
      <c r="G257" s="575" t="s">
        <v>141</v>
      </c>
      <c r="H257" s="580">
        <v>115.89189404719596</v>
      </c>
      <c r="I257" s="573"/>
      <c r="J257" s="573"/>
      <c r="K257" s="573"/>
      <c r="L257" s="1176" t="str">
        <f>IFERROR(INDEX('Lower Hot Cell Logistics'!$I$13:$O$19,MATCH($J257,'Lower Hot Cell Logistics'!$H$13:$H$19,0),MATCH($K257,'Lower Hot Cell Logistics'!$H$13:$H$19,0)),"N/A")</f>
        <v>N/A</v>
      </c>
      <c r="M257" s="1176" t="str">
        <f>IFERROR(VLOOKUP($I257,'Lower Hot Cell Logistics'!$H$4:$I$8,2,FALSE),"N/A")</f>
        <v>N/A</v>
      </c>
      <c r="N257" s="1176" t="str">
        <f t="shared" si="16"/>
        <v>N/A</v>
      </c>
      <c r="O257" s="579"/>
      <c r="P257" s="580" t="str">
        <f>IF($D257="Logistics",VLOOKUP($O257,'Lower Hot Cell Logistics'!$C$4:$D$69,2,FALSE),"N/A")</f>
        <v>N/A</v>
      </c>
    </row>
    <row r="258" spans="1:19" s="2121" customFormat="1" ht="13.5" hidden="1" customHeight="1" outlineLevel="1" thickBot="1" x14ac:dyDescent="0.45">
      <c r="A258" s="1206"/>
      <c r="B258" s="3788"/>
      <c r="C258" s="584" t="str">
        <f>B256</f>
        <v>RIB Blanket segment installed</v>
      </c>
      <c r="D258" s="584" t="s">
        <v>11</v>
      </c>
      <c r="E258" s="1179">
        <f t="shared" si="12"/>
        <v>0</v>
      </c>
      <c r="F258" s="591">
        <f>IF($D258="Trigger",VLOOKUP("*"&amp;$C258&amp;"*",'Lower Hot Cell Weld Failure'!$D$52:$G$540,4,FALSE),E258+F257)</f>
        <v>115.89189404719596</v>
      </c>
      <c r="G258" s="586"/>
      <c r="H258" s="587" t="str">
        <f>IF(D258="operation",VLOOKUP(G258,#REF!,5,FALSE), "N/A")</f>
        <v>N/A</v>
      </c>
      <c r="I258" s="584"/>
      <c r="J258" s="584"/>
      <c r="K258" s="584"/>
      <c r="L258" s="1179" t="str">
        <f>IFERROR(INDEX('Lower Hot Cell Logistics'!$I$13:$O$19,MATCH($J258,'Lower Hot Cell Logistics'!$H$13:$H$19,0),MATCH($K258,'Lower Hot Cell Logistics'!$H$13:$H$19,0)),"N/A")</f>
        <v>N/A</v>
      </c>
      <c r="M258" s="1179" t="str">
        <f>IFERROR(VLOOKUP($I258,'Lower Hot Cell Logistics'!$H$4:$I$8,2,FALSE),"N/A")</f>
        <v>N/A</v>
      </c>
      <c r="N258" s="1179" t="str">
        <f t="shared" si="16"/>
        <v>N/A</v>
      </c>
      <c r="O258" s="590"/>
      <c r="P258" s="591" t="str">
        <f>IF($D258="Logistics",VLOOKUP($O258,'Lower Hot Cell Logistics'!$C$4:$D$69,2,FALSE),"N/A")</f>
        <v>N/A</v>
      </c>
    </row>
    <row r="259" spans="1:19" s="2121" customFormat="1" ht="12.75" hidden="1" customHeight="1" outlineLevel="1" x14ac:dyDescent="0.4">
      <c r="A259" s="1206"/>
      <c r="B259" s="3814" t="s">
        <v>1894</v>
      </c>
      <c r="C259" s="823" t="s">
        <v>2346</v>
      </c>
      <c r="D259" s="823" t="s">
        <v>907</v>
      </c>
      <c r="E259" s="2040">
        <f t="shared" si="12"/>
        <v>0</v>
      </c>
      <c r="F259" s="824">
        <f>IF($D259="Trigger",VLOOKUP("*"&amp;$C259&amp;"*",'Lower Hot Cell Weld Failure'!$D$52:$G$540,4,FALSE),E259+F258)</f>
        <v>0</v>
      </c>
      <c r="G259" s="825"/>
      <c r="H259" s="1323" t="str">
        <f>IF(D259="operation",VLOOKUP(G259,#REF!,5,FALSE), "N/A")</f>
        <v>N/A</v>
      </c>
      <c r="I259" s="823"/>
      <c r="J259" s="823"/>
      <c r="K259" s="823"/>
      <c r="L259" s="2040" t="str">
        <f>IFERROR(INDEX('Lower Hot Cell Logistics'!$I$13:$O$19,MATCH($J259,'Lower Hot Cell Logistics'!$H$13:$H$19,0),MATCH($K259,'Lower Hot Cell Logistics'!$H$13:$H$19,0)),"N/A")</f>
        <v>N/A</v>
      </c>
      <c r="M259" s="2040" t="str">
        <f>IFERROR(VLOOKUP($I259,'Lower Hot Cell Logistics'!$H$4:$I$8,2,FALSE),"N/A")</f>
        <v>N/A</v>
      </c>
      <c r="N259" s="2040" t="str">
        <f t="shared" si="16"/>
        <v>N/A</v>
      </c>
      <c r="O259" s="1327"/>
      <c r="P259" s="824" t="str">
        <f>IF($D259="Logistics",VLOOKUP($O259,'Lower Hot Cell Logistics'!$C$4:$D$69,2,FALSE),"N/A")</f>
        <v>N/A</v>
      </c>
    </row>
    <row r="260" spans="1:19" s="2121" customFormat="1" ht="12.75" hidden="1" customHeight="1" outlineLevel="1" x14ac:dyDescent="0.4">
      <c r="A260" s="1206"/>
      <c r="B260" s="3815"/>
      <c r="C260" s="860" t="s">
        <v>1945</v>
      </c>
      <c r="D260" s="860" t="s">
        <v>251</v>
      </c>
      <c r="E260" s="2042">
        <f t="shared" si="12"/>
        <v>143.48744960275155</v>
      </c>
      <c r="F260" s="1332">
        <f>IF($D260="Trigger",VLOOKUP("*"&amp;$C260&amp;"*",'Lower Hot Cell Weld Failure'!$D$52:$G$540,4,FALSE),E260+F259)</f>
        <v>143.48744960275155</v>
      </c>
      <c r="G260" s="862" t="s">
        <v>1085</v>
      </c>
      <c r="H260" s="1332">
        <v>143.48744960275155</v>
      </c>
      <c r="I260" s="860"/>
      <c r="J260" s="860"/>
      <c r="K260" s="860"/>
      <c r="L260" s="2042" t="str">
        <f>IFERROR(INDEX('Lower Hot Cell Logistics'!$I$13:$O$19,MATCH($J260,'Lower Hot Cell Logistics'!$H$13:$H$19,0),MATCH($K260,'Lower Hot Cell Logistics'!$H$13:$H$19,0)),"N/A")</f>
        <v>N/A</v>
      </c>
      <c r="M260" s="2042" t="str">
        <f>IFERROR(VLOOKUP($I260,'Lower Hot Cell Logistics'!$H$4:$I$8,2,FALSE),"N/A")</f>
        <v>N/A</v>
      </c>
      <c r="N260" s="2042" t="str">
        <f t="shared" si="16"/>
        <v>N/A</v>
      </c>
      <c r="O260" s="1331"/>
      <c r="P260" s="1332" t="str">
        <f>IF($D260="Logistics",VLOOKUP($O260,'Lower Hot Cell Logistics'!$C$4:$D$69,2,FALSE),"N/A")</f>
        <v>N/A</v>
      </c>
    </row>
    <row r="261" spans="1:19" s="2121" customFormat="1" ht="13.5" hidden="1" customHeight="1" outlineLevel="1" thickBot="1" x14ac:dyDescent="0.45">
      <c r="A261" s="1206"/>
      <c r="B261" s="3816"/>
      <c r="C261" s="837" t="str">
        <f>B259</f>
        <v>RIB Upper Port Pipe Module installed</v>
      </c>
      <c r="D261" s="837" t="s">
        <v>11</v>
      </c>
      <c r="E261" s="1922">
        <f>MAX($P261,$N261,$H261)</f>
        <v>0</v>
      </c>
      <c r="F261" s="1345">
        <f>IF($D261="Trigger",VLOOKUP("*"&amp;$C261&amp;"*",'Lower Hot Cell Weld Failure'!$D$52:$G$540,4,FALSE),E261+F260)</f>
        <v>143.48744960275155</v>
      </c>
      <c r="G261" s="839"/>
      <c r="H261" s="1341" t="str">
        <f>IF(D261="operation",VLOOKUP(G261,#REF!,5,FALSE), "N/A")</f>
        <v>N/A</v>
      </c>
      <c r="I261" s="837"/>
      <c r="J261" s="837"/>
      <c r="K261" s="837"/>
      <c r="L261" s="1922" t="str">
        <f>IFERROR(INDEX('Lower Hot Cell Logistics'!$I$13:$O$19,MATCH($J261,'Lower Hot Cell Logistics'!$H$13:$H$19,0),MATCH($K261,'Lower Hot Cell Logistics'!$H$13:$H$19,0)),"N/A")</f>
        <v>N/A</v>
      </c>
      <c r="M261" s="1922" t="str">
        <f>IFERROR(VLOOKUP($I261,'Lower Hot Cell Logistics'!$H$4:$I$8,2,FALSE),"N/A")</f>
        <v>N/A</v>
      </c>
      <c r="N261" s="1922" t="str">
        <f t="shared" si="16"/>
        <v>N/A</v>
      </c>
      <c r="O261" s="1344"/>
      <c r="P261" s="1345" t="str">
        <f>IF($D261="Logistics",VLOOKUP($O261,'Lower Hot Cell Logistics'!$C$4:$D$69,2,FALSE),"N/A")</f>
        <v>N/A</v>
      </c>
    </row>
    <row r="262" spans="1:19" s="2121" customFormat="1" ht="13.3" collapsed="1" thickBot="1" x14ac:dyDescent="0.45">
      <c r="A262" s="2128"/>
      <c r="B262" s="2129"/>
      <c r="C262" s="2130"/>
      <c r="D262" s="2130"/>
      <c r="E262" s="2130"/>
      <c r="F262" s="2130"/>
      <c r="G262" s="2130"/>
      <c r="H262" s="2131"/>
      <c r="I262" s="2130"/>
      <c r="J262" s="2130"/>
      <c r="K262" s="2130"/>
      <c r="L262" s="2132"/>
      <c r="M262" s="2132"/>
      <c r="N262" s="2132"/>
      <c r="O262" s="2130"/>
      <c r="P262" s="2133"/>
    </row>
    <row r="263" spans="1:19" s="2121" customFormat="1" x14ac:dyDescent="0.4">
      <c r="A263" s="1210"/>
      <c r="B263" s="1211" t="s">
        <v>2349</v>
      </c>
      <c r="C263" s="1211"/>
      <c r="D263" s="1211"/>
      <c r="E263" s="1211"/>
      <c r="F263" s="1211"/>
      <c r="G263" s="1211"/>
      <c r="H263" s="1211"/>
      <c r="I263" s="1211"/>
      <c r="J263" s="1211"/>
      <c r="K263" s="1211"/>
      <c r="L263" s="1211"/>
      <c r="M263" s="1211"/>
      <c r="N263" s="1211"/>
      <c r="O263" s="1211"/>
      <c r="P263" s="1212"/>
    </row>
    <row r="264" spans="1:19" s="2121" customFormat="1" ht="13.3" hidden="1" outlineLevel="1" thickBot="1" x14ac:dyDescent="0.45">
      <c r="A264" s="1213"/>
      <c r="B264" s="1560"/>
      <c r="C264" s="1214"/>
      <c r="D264" s="1214"/>
      <c r="E264" s="1214"/>
      <c r="F264" s="1214"/>
      <c r="G264" s="1214"/>
      <c r="H264" s="1561"/>
      <c r="I264" s="1214"/>
      <c r="J264" s="1214"/>
      <c r="K264" s="1214"/>
      <c r="L264" s="1215"/>
      <c r="M264" s="1215"/>
      <c r="N264" s="1215"/>
      <c r="O264" s="1214"/>
      <c r="P264" s="1216"/>
    </row>
    <row r="265" spans="1:19" s="89" customFormat="1" ht="15" hidden="1" customHeight="1" outlineLevel="1" x14ac:dyDescent="0.4">
      <c r="A265" s="1213"/>
      <c r="B265" s="3787" t="s">
        <v>2305</v>
      </c>
      <c r="C265" s="617" t="s">
        <v>2303</v>
      </c>
      <c r="D265" s="617" t="s">
        <v>907</v>
      </c>
      <c r="E265" s="567">
        <f t="shared" ref="E265:E313" si="17">MAX($P265,$N265,$H265)</f>
        <v>0</v>
      </c>
      <c r="F265" s="567">
        <f>IF($D265="Trigger",VLOOKUP("*"&amp;$C265&amp;"*",'Lower Hot Cell Weld Failure'!$D$277:$G$302,4,FALSE),E265+F264)</f>
        <v>0</v>
      </c>
      <c r="G265" s="568"/>
      <c r="H265" s="569" t="s">
        <v>263</v>
      </c>
      <c r="I265" s="1270"/>
      <c r="J265" s="617"/>
      <c r="K265" s="617"/>
      <c r="L265" s="570" t="str">
        <f>IFERROR(INDEX('Lower Hot Cell Logistics'!$I$13:$O$19,MATCH($J265,'Lower Hot Cell Logistics'!$H$13:$H$19,0),MATCH($K265,'Lower Hot Cell Logistics'!$H$13:$H$19,0)),"N/A")</f>
        <v>N/A</v>
      </c>
      <c r="M265" s="802" t="str">
        <f>IFERROR(VLOOKUP($I265,'Lower Hot Cell Logistics'!$H$4:$I$8,2,FALSE),"N/A")</f>
        <v>N/A</v>
      </c>
      <c r="N265" s="1182" t="str">
        <f t="shared" ref="N265:N279" si="18">IF(D265="Movement",IFERROR((L265/M265)/(60*60),"Error"),"N/A")</f>
        <v>N/A</v>
      </c>
      <c r="O265" s="620"/>
      <c r="P265" s="621" t="str">
        <f>IF($D265="Logistics",VLOOKUP($O265,'Lower Hot Cell Logistics'!$C$4:$D$69,2,FALSE),"N/A")</f>
        <v>N/A</v>
      </c>
      <c r="R265"/>
      <c r="S265"/>
    </row>
    <row r="266" spans="1:19" s="89" customFormat="1" ht="15" hidden="1" customHeight="1" outlineLevel="1" x14ac:dyDescent="0.4">
      <c r="A266" s="1213"/>
      <c r="B266" s="3786"/>
      <c r="C266" s="1275" t="s">
        <v>2141</v>
      </c>
      <c r="D266" s="572" t="s">
        <v>778</v>
      </c>
      <c r="E266" s="578">
        <f t="shared" si="17"/>
        <v>0.69444444444444442</v>
      </c>
      <c r="F266" s="578">
        <f>IF($D266="Trigger",VLOOKUP("*"&amp;$C266&amp;"*",'Lower Hot Cell Weld Failure'!$D$277:$G$302,4,FALSE),E266+F265)</f>
        <v>0.69444444444444442</v>
      </c>
      <c r="G266" s="872"/>
      <c r="H266" s="2221" t="s">
        <v>263</v>
      </c>
      <c r="I266" s="1281" t="s">
        <v>1826</v>
      </c>
      <c r="J266" s="572" t="s">
        <v>451</v>
      </c>
      <c r="K266" s="572" t="s">
        <v>831</v>
      </c>
      <c r="L266" s="1176">
        <f>IFERROR(INDEX('Lower Hot Cell Logistics'!$I$13:$O$19,MATCH($J266,'Lower Hot Cell Logistics'!$H$13:$H$19,0),MATCH($K266,'Lower Hot Cell Logistics'!$H$13:$H$19,0)),"N/A")</f>
        <v>50</v>
      </c>
      <c r="M266" s="2222">
        <f>IFERROR(VLOOKUP($I266,'Lower Hot Cell Logistics'!$H$4:$I$8,2,FALSE),"N/A")</f>
        <v>0.02</v>
      </c>
      <c r="N266" s="580">
        <f t="shared" si="18"/>
        <v>0.69444444444444442</v>
      </c>
      <c r="O266" s="631"/>
      <c r="P266" s="632" t="str">
        <f>IF($D266="Logistics",VLOOKUP($O266,'Lower Hot Cell Logistics'!$C$4:$D$69,2,FALSE),"N/A")</f>
        <v>N/A</v>
      </c>
      <c r="R266"/>
      <c r="S266"/>
    </row>
    <row r="267" spans="1:19" s="89" customFormat="1" ht="15" hidden="1" customHeight="1" outlineLevel="1" x14ac:dyDescent="0.4">
      <c r="A267" s="1213"/>
      <c r="B267" s="3786"/>
      <c r="C267" s="1275" t="s">
        <v>1757</v>
      </c>
      <c r="D267" s="572" t="s">
        <v>3</v>
      </c>
      <c r="E267" s="578">
        <f t="shared" si="17"/>
        <v>0.88000000000000012</v>
      </c>
      <c r="F267" s="578">
        <f>IF($D267="Trigger",VLOOKUP("*"&amp;$C267&amp;"*",'Lower Hot Cell Weld Failure'!$D$277:$G$302,4,FALSE),E267+F266)</f>
        <v>1.5744444444444445</v>
      </c>
      <c r="G267" s="872"/>
      <c r="H267" s="2221" t="s">
        <v>263</v>
      </c>
      <c r="I267" s="1281"/>
      <c r="J267" s="572"/>
      <c r="K267" s="572"/>
      <c r="L267" s="1176" t="str">
        <f>IFERROR(INDEX('Lower Hot Cell Logistics'!$I$13:$O$19,MATCH($J267,'Lower Hot Cell Logistics'!$H$13:$H$19,0),MATCH($K267,'Lower Hot Cell Logistics'!$H$13:$H$19,0)),"N/A")</f>
        <v>N/A</v>
      </c>
      <c r="M267" s="2222" t="str">
        <f>IFERROR(VLOOKUP($I267,'Lower Hot Cell Logistics'!$H$4:$I$8,2,FALSE),"N/A")</f>
        <v>N/A</v>
      </c>
      <c r="N267" s="580" t="str">
        <f t="shared" si="18"/>
        <v>N/A</v>
      </c>
      <c r="O267" s="631" t="s">
        <v>2144</v>
      </c>
      <c r="P267" s="632">
        <f>IF($D267="Logistics",VLOOKUP($O267,'Lower Hot Cell Logistics'!$C$4:$D$69,2,FALSE),"N/A")</f>
        <v>0.88000000000000012</v>
      </c>
      <c r="R267"/>
      <c r="S267"/>
    </row>
    <row r="268" spans="1:19" s="89" customFormat="1" ht="14.6" hidden="1" outlineLevel="1" x14ac:dyDescent="0.4">
      <c r="A268" s="1213"/>
      <c r="B268" s="3786"/>
      <c r="C268" s="572" t="s">
        <v>2189</v>
      </c>
      <c r="D268" s="572" t="s">
        <v>778</v>
      </c>
      <c r="E268" s="578">
        <f t="shared" si="17"/>
        <v>0.23148148148148148</v>
      </c>
      <c r="F268" s="578">
        <f>IF($D268="Trigger",VLOOKUP("*"&amp;$C268&amp;"*",'Lower Hot Cell Weld Failure'!$D$277:$G$302,4,FALSE),E268+F267)</f>
        <v>1.8059259259259259</v>
      </c>
      <c r="G268" s="575"/>
      <c r="H268" s="576" t="s">
        <v>263</v>
      </c>
      <c r="I268" s="1281" t="s">
        <v>2190</v>
      </c>
      <c r="J268" s="572" t="s">
        <v>799</v>
      </c>
      <c r="K268" s="572" t="s">
        <v>451</v>
      </c>
      <c r="L268" s="853">
        <f>IFERROR(INDEX('Lower Hot Cell Logistics'!$I$13:$O$19,MATCH($J268,'Lower Hot Cell Logistics'!$H$13:$H$19,0),MATCH($K268,'Lower Hot Cell Logistics'!$H$13:$H$19,0)),"N/A")</f>
        <v>50</v>
      </c>
      <c r="M268" s="853">
        <f>IFERROR(VLOOKUP($I268,'Lower Hot Cell Logistics'!$H$4:$I$8,2,FALSE),"N/A")</f>
        <v>0.06</v>
      </c>
      <c r="N268" s="1180">
        <f t="shared" si="18"/>
        <v>0.23148148148148148</v>
      </c>
      <c r="O268" s="579"/>
      <c r="P268" s="580" t="str">
        <f>IF($D268="Logistics",VLOOKUP($O268,'Lower Hot Cell Logistics'!$C$4:$D$69,2,FALSE),"N/A")</f>
        <v>N/A</v>
      </c>
      <c r="R268"/>
      <c r="S268"/>
    </row>
    <row r="269" spans="1:19" s="89" customFormat="1" ht="26.6" hidden="1" outlineLevel="1" thickBot="1" x14ac:dyDescent="0.45">
      <c r="A269" s="1213"/>
      <c r="B269" s="3788"/>
      <c r="C269" s="583" t="str">
        <f>B265</f>
        <v>New ROB pipe module stored;  Pipe Module handling System Moved to Lower Port</v>
      </c>
      <c r="D269" s="583" t="s">
        <v>11</v>
      </c>
      <c r="E269" s="585">
        <f t="shared" si="17"/>
        <v>0</v>
      </c>
      <c r="F269" s="585">
        <f>IF($D269="Trigger",VLOOKUP("*"&amp;$C269&amp;"*",'Lower Hot Cell Weld Failure'!$D$277:$G$302,4,FALSE),E269+F268)</f>
        <v>1.8059259259259259</v>
      </c>
      <c r="G269" s="586"/>
      <c r="H269" s="587" t="s">
        <v>263</v>
      </c>
      <c r="I269" s="1720"/>
      <c r="J269" s="583"/>
      <c r="K269" s="583"/>
      <c r="L269" s="814" t="str">
        <f>IFERROR(INDEX('Lower Hot Cell Logistics'!$I$13:$O$19,MATCH($J269,'Lower Hot Cell Logistics'!$H$13:$H$19,0),MATCH($K269,'Lower Hot Cell Logistics'!$H$13:$H$19,0)),"N/A")</f>
        <v>N/A</v>
      </c>
      <c r="M269" s="814" t="str">
        <f>IFERROR(VLOOKUP($I269,'Lower Hot Cell Logistics'!$H$4:$I$8,2,FALSE),"N/A")</f>
        <v>N/A</v>
      </c>
      <c r="N269" s="1181" t="str">
        <f t="shared" si="18"/>
        <v>N/A</v>
      </c>
      <c r="O269" s="590"/>
      <c r="P269" s="591" t="str">
        <f>IF($D269="Logistics",VLOOKUP($O269,'Lower Hot Cell Logistics'!$C$4:$D$69,2,FALSE),"N/A")</f>
        <v>N/A</v>
      </c>
      <c r="R269"/>
      <c r="S269"/>
    </row>
    <row r="270" spans="1:19" s="89" customFormat="1" ht="15" hidden="1" customHeight="1" outlineLevel="1" x14ac:dyDescent="0.4">
      <c r="A270" s="1213"/>
      <c r="B270" s="3814" t="s">
        <v>2059</v>
      </c>
      <c r="C270" s="1324" t="s">
        <v>2051</v>
      </c>
      <c r="D270" s="1324" t="s">
        <v>907</v>
      </c>
      <c r="E270" s="1291">
        <f t="shared" si="17"/>
        <v>0</v>
      </c>
      <c r="F270" s="1291">
        <f>IF($D270="Trigger",VLOOKUP("*"&amp;$C270&amp;"*",'Lower Hot Cell Weld Failure'!$D$277:$G$302,4,FALSE),E270+F269)</f>
        <v>13.202967059728389</v>
      </c>
      <c r="G270" s="825"/>
      <c r="H270" s="1323" t="s">
        <v>263</v>
      </c>
      <c r="I270" s="1721"/>
      <c r="J270" s="1324"/>
      <c r="K270" s="1324"/>
      <c r="L270" s="828" t="str">
        <f>IFERROR(INDEX('Lower Hot Cell Logistics'!$I$13:$O$19,MATCH($J270,'Lower Hot Cell Logistics'!$H$13:$H$19,0),MATCH($K270,'Lower Hot Cell Logistics'!$H$13:$H$19,0)),"N/A")</f>
        <v>N/A</v>
      </c>
      <c r="M270" s="827" t="str">
        <f>IFERROR(VLOOKUP($I270,'Lower Hot Cell Logistics'!$H$4:$I$8,2,FALSE),"N/A")</f>
        <v>N/A</v>
      </c>
      <c r="N270" s="2200" t="str">
        <f t="shared" si="18"/>
        <v>N/A</v>
      </c>
      <c r="O270" s="1327"/>
      <c r="P270" s="824" t="str">
        <f>IF($D270="Logistics",VLOOKUP($O270,'Lower Hot Cell Logistics'!$C$4:$D$69,2,FALSE),"N/A")</f>
        <v>N/A</v>
      </c>
      <c r="R270"/>
      <c r="S270"/>
    </row>
    <row r="271" spans="1:19" s="89" customFormat="1" ht="15" hidden="1" customHeight="1" outlineLevel="1" x14ac:dyDescent="0.4">
      <c r="A271" s="1213"/>
      <c r="B271" s="3815"/>
      <c r="C271" s="1362" t="s">
        <v>2141</v>
      </c>
      <c r="D271" s="1294" t="s">
        <v>778</v>
      </c>
      <c r="E271" s="1330">
        <f t="shared" si="17"/>
        <v>0.69444444444444442</v>
      </c>
      <c r="F271" s="1330">
        <f>IF($D271="Trigger",VLOOKUP("*"&amp;$C271&amp;"*",'Lower Hot Cell Weld Failure'!$D$277:$G$302,4,FALSE),E271+F270)</f>
        <v>13.897411504172833</v>
      </c>
      <c r="G271" s="1722"/>
      <c r="H271" s="2219" t="s">
        <v>263</v>
      </c>
      <c r="I271" s="1724" t="s">
        <v>1826</v>
      </c>
      <c r="J271" s="1294" t="s">
        <v>451</v>
      </c>
      <c r="K271" s="1294" t="s">
        <v>831</v>
      </c>
      <c r="L271" s="2042">
        <f>IFERROR(INDEX('Lower Hot Cell Logistics'!$I$13:$O$19,MATCH($J271,'Lower Hot Cell Logistics'!$H$13:$H$19,0),MATCH($K271,'Lower Hot Cell Logistics'!$H$13:$H$19,0)),"N/A")</f>
        <v>50</v>
      </c>
      <c r="M271" s="2220">
        <f>IFERROR(VLOOKUP($I271,'Lower Hot Cell Logistics'!$H$4:$I$8,2,FALSE),"N/A")</f>
        <v>0.02</v>
      </c>
      <c r="N271" s="1332">
        <f t="shared" si="18"/>
        <v>0.69444444444444442</v>
      </c>
      <c r="O271" s="1352"/>
      <c r="P271" s="1353" t="str">
        <f>IF($D271="Logistics",VLOOKUP($O271,'Lower Hot Cell Logistics'!$C$4:$D$69,2,FALSE),"N/A")</f>
        <v>N/A</v>
      </c>
      <c r="R271"/>
      <c r="S271"/>
    </row>
    <row r="272" spans="1:19" s="89" customFormat="1" ht="15" hidden="1" customHeight="1" outlineLevel="1" x14ac:dyDescent="0.4">
      <c r="A272" s="1213"/>
      <c r="B272" s="3815"/>
      <c r="C272" s="1362" t="s">
        <v>1757</v>
      </c>
      <c r="D272" s="1294" t="s">
        <v>3</v>
      </c>
      <c r="E272" s="1330">
        <f t="shared" si="17"/>
        <v>0.88000000000000012</v>
      </c>
      <c r="F272" s="1330">
        <f>IF($D272="Trigger",VLOOKUP("*"&amp;$C272&amp;"*",'Lower Hot Cell Weld Failure'!$D$277:$G$302,4,FALSE),E272+F271)</f>
        <v>14.777411504172834</v>
      </c>
      <c r="G272" s="1722"/>
      <c r="H272" s="2219" t="s">
        <v>263</v>
      </c>
      <c r="I272" s="1724"/>
      <c r="J272" s="1294"/>
      <c r="K272" s="1294"/>
      <c r="L272" s="2042" t="str">
        <f>IFERROR(INDEX('Lower Hot Cell Logistics'!$I$13:$O$19,MATCH($J272,'Lower Hot Cell Logistics'!$H$13:$H$19,0),MATCH($K272,'Lower Hot Cell Logistics'!$H$13:$H$19,0)),"N/A")</f>
        <v>N/A</v>
      </c>
      <c r="M272" s="2220" t="str">
        <f>IFERROR(VLOOKUP($I272,'Lower Hot Cell Logistics'!$H$4:$I$8,2,FALSE),"N/A")</f>
        <v>N/A</v>
      </c>
      <c r="N272" s="1332" t="str">
        <f t="shared" si="18"/>
        <v>N/A</v>
      </c>
      <c r="O272" s="1352" t="s">
        <v>2144</v>
      </c>
      <c r="P272" s="1353">
        <f>IF($D272="Logistics",VLOOKUP($O272,'Lower Hot Cell Logistics'!$C$4:$D$69,2,FALSE),"N/A")</f>
        <v>0.88000000000000012</v>
      </c>
      <c r="R272"/>
      <c r="S272"/>
    </row>
    <row r="273" spans="1:19" s="89" customFormat="1" ht="14.6" hidden="1" outlineLevel="1" x14ac:dyDescent="0.4">
      <c r="A273" s="1213"/>
      <c r="B273" s="3815"/>
      <c r="C273" s="1294" t="s">
        <v>2189</v>
      </c>
      <c r="D273" s="1294" t="s">
        <v>778</v>
      </c>
      <c r="E273" s="1292">
        <f t="shared" si="17"/>
        <v>0.23148148148148148</v>
      </c>
      <c r="F273" s="1292">
        <f>IF($D273="Trigger",VLOOKUP("*"&amp;$C273&amp;"*",'Lower Hot Cell Weld Failure'!$D$277:$G$302,4,FALSE),E273+F272)</f>
        <v>15.008892985654315</v>
      </c>
      <c r="G273" s="862"/>
      <c r="H273" s="1328" t="s">
        <v>263</v>
      </c>
      <c r="I273" s="1724" t="s">
        <v>2190</v>
      </c>
      <c r="J273" s="1294" t="s">
        <v>799</v>
      </c>
      <c r="K273" s="1294" t="s">
        <v>451</v>
      </c>
      <c r="L273" s="865">
        <f>IFERROR(INDEX('Lower Hot Cell Logistics'!$I$13:$O$19,MATCH($J273,'Lower Hot Cell Logistics'!$H$13:$H$19,0),MATCH($K273,'Lower Hot Cell Logistics'!$H$13:$H$19,0)),"N/A")</f>
        <v>50</v>
      </c>
      <c r="M273" s="865">
        <f>IFERROR(VLOOKUP($I273,'Lower Hot Cell Logistics'!$H$4:$I$8,2,FALSE),"N/A")</f>
        <v>0.06</v>
      </c>
      <c r="N273" s="2197">
        <f t="shared" si="18"/>
        <v>0.23148148148148148</v>
      </c>
      <c r="O273" s="1331"/>
      <c r="P273" s="1332" t="str">
        <f>IF($D273="Logistics",VLOOKUP($O273,'Lower Hot Cell Logistics'!$C$4:$D$69,2,FALSE),"N/A")</f>
        <v>N/A</v>
      </c>
      <c r="R273"/>
      <c r="S273"/>
    </row>
    <row r="274" spans="1:19" s="89" customFormat="1" ht="26.6" hidden="1" outlineLevel="1" thickBot="1" x14ac:dyDescent="0.45">
      <c r="A274" s="1213"/>
      <c r="B274" s="3816"/>
      <c r="C274" s="1340" t="str">
        <f>B270</f>
        <v>LIB pipe module stored;  Pipe Module handling System Moved to Lower Port</v>
      </c>
      <c r="D274" s="1340" t="s">
        <v>11</v>
      </c>
      <c r="E274" s="1295">
        <f t="shared" si="17"/>
        <v>0</v>
      </c>
      <c r="F274" s="1295">
        <f>IF($D274="Trigger",VLOOKUP("*"&amp;$C274&amp;"*",'Lower Hot Cell Weld Failure'!$D$277:$G$302,4,FALSE),E274+F273)</f>
        <v>15.008892985654315</v>
      </c>
      <c r="G274" s="839"/>
      <c r="H274" s="1341" t="s">
        <v>263</v>
      </c>
      <c r="I274" s="1727"/>
      <c r="J274" s="1340"/>
      <c r="K274" s="1340"/>
      <c r="L274" s="842" t="str">
        <f>IFERROR(INDEX('Lower Hot Cell Logistics'!$I$13:$O$19,MATCH($J274,'Lower Hot Cell Logistics'!$H$13:$H$19,0),MATCH($K274,'Lower Hot Cell Logistics'!$H$13:$H$19,0)),"N/A")</f>
        <v>N/A</v>
      </c>
      <c r="M274" s="842" t="str">
        <f>IFERROR(VLOOKUP($I274,'Lower Hot Cell Logistics'!$H$4:$I$8,2,FALSE),"N/A")</f>
        <v>N/A</v>
      </c>
      <c r="N274" s="2199" t="str">
        <f t="shared" si="18"/>
        <v>N/A</v>
      </c>
      <c r="O274" s="1344"/>
      <c r="P274" s="1345" t="str">
        <f>IF($D274="Logistics",VLOOKUP($O274,'Lower Hot Cell Logistics'!$C$4:$D$69,2,FALSE),"N/A")</f>
        <v>N/A</v>
      </c>
      <c r="R274"/>
      <c r="S274"/>
    </row>
    <row r="275" spans="1:19" s="89" customFormat="1" ht="15" hidden="1" customHeight="1" outlineLevel="1" x14ac:dyDescent="0.4">
      <c r="A275" s="1213"/>
      <c r="B275" s="3787" t="s">
        <v>2289</v>
      </c>
      <c r="C275" s="617" t="s">
        <v>2054</v>
      </c>
      <c r="D275" s="617" t="s">
        <v>907</v>
      </c>
      <c r="E275" s="567">
        <f t="shared" si="17"/>
        <v>0</v>
      </c>
      <c r="F275" s="567">
        <f>IF($D275="Trigger",VLOOKUP("*"&amp;$C275&amp;"*",'Lower Hot Cell Weld Failure'!$D$277:$G$302,4,FALSE),E275+F274)</f>
        <v>27.611860045382706</v>
      </c>
      <c r="G275" s="568"/>
      <c r="H275" s="569" t="s">
        <v>263</v>
      </c>
      <c r="I275" s="1270"/>
      <c r="J275" s="617"/>
      <c r="K275" s="617"/>
      <c r="L275" s="570" t="str">
        <f>IFERROR(INDEX('Lower Hot Cell Logistics'!$I$13:$O$19,MATCH($J275,'Lower Hot Cell Logistics'!$H$13:$H$19,0),MATCH($K275,'Lower Hot Cell Logistics'!$H$13:$H$19,0)),"N/A")</f>
        <v>N/A</v>
      </c>
      <c r="M275" s="802" t="str">
        <f>IFERROR(VLOOKUP($I275,'Lower Hot Cell Logistics'!$H$4:$I$8,2,FALSE),"N/A")</f>
        <v>N/A</v>
      </c>
      <c r="N275" s="1182" t="str">
        <f t="shared" si="18"/>
        <v>N/A</v>
      </c>
      <c r="O275" s="620"/>
      <c r="P275" s="621" t="str">
        <f>IF($D275="Logistics",VLOOKUP($O275,'Lower Hot Cell Logistics'!$C$4:$D$69,2,FALSE),"N/A")</f>
        <v>N/A</v>
      </c>
      <c r="R275"/>
      <c r="S275"/>
    </row>
    <row r="276" spans="1:19" s="89" customFormat="1" ht="15" hidden="1" customHeight="1" outlineLevel="1" x14ac:dyDescent="0.4">
      <c r="A276" s="1213"/>
      <c r="B276" s="3786"/>
      <c r="C276" s="1275" t="s">
        <v>2141</v>
      </c>
      <c r="D276" s="572" t="s">
        <v>778</v>
      </c>
      <c r="E276" s="578">
        <f t="shared" si="17"/>
        <v>0.69444444444444442</v>
      </c>
      <c r="F276" s="578">
        <f>IF($D276="Trigger",VLOOKUP("*"&amp;$C276&amp;"*",'Lower Hot Cell Weld Failure'!$D$277:$G$302,4,FALSE),E276+F275)</f>
        <v>28.306304489827149</v>
      </c>
      <c r="G276" s="872"/>
      <c r="H276" s="2221" t="s">
        <v>263</v>
      </c>
      <c r="I276" s="1281" t="s">
        <v>1826</v>
      </c>
      <c r="J276" s="572" t="s">
        <v>451</v>
      </c>
      <c r="K276" s="572" t="s">
        <v>831</v>
      </c>
      <c r="L276" s="1176">
        <f>IFERROR(INDEX('Lower Hot Cell Logistics'!$I$13:$O$19,MATCH($J276,'Lower Hot Cell Logistics'!$H$13:$H$19,0),MATCH($K276,'Lower Hot Cell Logistics'!$H$13:$H$19,0)),"N/A")</f>
        <v>50</v>
      </c>
      <c r="M276" s="2222">
        <f>IFERROR(VLOOKUP($I276,'Lower Hot Cell Logistics'!$H$4:$I$8,2,FALSE),"N/A")</f>
        <v>0.02</v>
      </c>
      <c r="N276" s="580">
        <f t="shared" si="18"/>
        <v>0.69444444444444442</v>
      </c>
      <c r="O276" s="631"/>
      <c r="P276" s="632" t="str">
        <f>IF($D276="Logistics",VLOOKUP($O276,'Lower Hot Cell Logistics'!$C$4:$D$69,2,FALSE),"N/A")</f>
        <v>N/A</v>
      </c>
      <c r="R276"/>
      <c r="S276"/>
    </row>
    <row r="277" spans="1:19" s="89" customFormat="1" ht="15" hidden="1" customHeight="1" outlineLevel="1" x14ac:dyDescent="0.4">
      <c r="A277" s="1213"/>
      <c r="B277" s="3786"/>
      <c r="C277" s="1275" t="s">
        <v>1757</v>
      </c>
      <c r="D277" s="572" t="s">
        <v>3</v>
      </c>
      <c r="E277" s="578">
        <f t="shared" si="17"/>
        <v>0.88000000000000012</v>
      </c>
      <c r="F277" s="578">
        <f>IF($D277="Trigger",VLOOKUP("*"&amp;$C277&amp;"*",'Lower Hot Cell Weld Failure'!$D$277:$G$302,4,FALSE),E277+F276)</f>
        <v>29.186304489827148</v>
      </c>
      <c r="G277" s="872"/>
      <c r="H277" s="2221" t="s">
        <v>263</v>
      </c>
      <c r="I277" s="1281"/>
      <c r="J277" s="572"/>
      <c r="K277" s="572"/>
      <c r="L277" s="1176" t="str">
        <f>IFERROR(INDEX('Lower Hot Cell Logistics'!$I$13:$O$19,MATCH($J277,'Lower Hot Cell Logistics'!$H$13:$H$19,0),MATCH($K277,'Lower Hot Cell Logistics'!$H$13:$H$19,0)),"N/A")</f>
        <v>N/A</v>
      </c>
      <c r="M277" s="2222" t="str">
        <f>IFERROR(VLOOKUP($I277,'Lower Hot Cell Logistics'!$H$4:$I$8,2,FALSE),"N/A")</f>
        <v>N/A</v>
      </c>
      <c r="N277" s="580" t="str">
        <f t="shared" si="18"/>
        <v>N/A</v>
      </c>
      <c r="O277" s="631" t="s">
        <v>2144</v>
      </c>
      <c r="P277" s="632">
        <f>IF($D277="Logistics",VLOOKUP($O277,'Lower Hot Cell Logistics'!$C$4:$D$69,2,FALSE),"N/A")</f>
        <v>0.88000000000000012</v>
      </c>
      <c r="R277"/>
      <c r="S277"/>
    </row>
    <row r="278" spans="1:19" s="89" customFormat="1" ht="14.6" hidden="1" outlineLevel="1" x14ac:dyDescent="0.4">
      <c r="A278" s="1213"/>
      <c r="B278" s="3786"/>
      <c r="C278" s="572" t="s">
        <v>2189</v>
      </c>
      <c r="D278" s="572" t="s">
        <v>778</v>
      </c>
      <c r="E278" s="574">
        <f t="shared" si="17"/>
        <v>0.23148148148148148</v>
      </c>
      <c r="F278" s="574">
        <f>IF($D278="Trigger",VLOOKUP("*"&amp;$C278&amp;"*",'Lower Hot Cell Weld Failure'!$D$277:$G$302,4,FALSE),E278+F277)</f>
        <v>29.417785971308628</v>
      </c>
      <c r="G278" s="575"/>
      <c r="H278" s="576" t="s">
        <v>263</v>
      </c>
      <c r="I278" s="1281" t="s">
        <v>2190</v>
      </c>
      <c r="J278" s="572" t="s">
        <v>799</v>
      </c>
      <c r="K278" s="572" t="s">
        <v>451</v>
      </c>
      <c r="L278" s="853">
        <f>IFERROR(INDEX('Lower Hot Cell Logistics'!$I$13:$O$19,MATCH($J278,'Lower Hot Cell Logistics'!$H$13:$H$19,0),MATCH($K278,'Lower Hot Cell Logistics'!$H$13:$H$19,0)),"N/A")</f>
        <v>50</v>
      </c>
      <c r="M278" s="853">
        <f>IFERROR(VLOOKUP($I278,'Lower Hot Cell Logistics'!$H$4:$I$8,2,FALSE),"N/A")</f>
        <v>0.06</v>
      </c>
      <c r="N278" s="1180">
        <f t="shared" si="18"/>
        <v>0.23148148148148148</v>
      </c>
      <c r="O278" s="579"/>
      <c r="P278" s="580" t="str">
        <f>IF($D278="Logistics",VLOOKUP($O278,'Lower Hot Cell Logistics'!$C$4:$D$69,2,FALSE),"N/A")</f>
        <v>N/A</v>
      </c>
      <c r="R278"/>
      <c r="S278"/>
    </row>
    <row r="279" spans="1:19" s="89" customFormat="1" ht="26.6" hidden="1" outlineLevel="1" thickBot="1" x14ac:dyDescent="0.45">
      <c r="A279" s="1213"/>
      <c r="B279" s="3788"/>
      <c r="C279" s="583" t="str">
        <f>B275</f>
        <v>RIB pipe module stored;  Blanket Pipe Module handling System Stored</v>
      </c>
      <c r="D279" s="583" t="s">
        <v>11</v>
      </c>
      <c r="E279" s="585">
        <f t="shared" si="17"/>
        <v>0</v>
      </c>
      <c r="F279" s="585">
        <f>IF($D279="Trigger",VLOOKUP("*"&amp;$C279&amp;"*",'Lower Hot Cell Weld Failure'!$D$277:$G$302,4,FALSE),E279+F278)</f>
        <v>29.417785971308628</v>
      </c>
      <c r="G279" s="586"/>
      <c r="H279" s="587" t="s">
        <v>263</v>
      </c>
      <c r="I279" s="1720"/>
      <c r="J279" s="583"/>
      <c r="K279" s="583"/>
      <c r="L279" s="814" t="str">
        <f>IFERROR(INDEX('Lower Hot Cell Logistics'!$I$13:$O$19,MATCH($J279,'Lower Hot Cell Logistics'!$H$13:$H$19,0),MATCH($K279,'Lower Hot Cell Logistics'!$H$13:$H$19,0)),"N/A")</f>
        <v>N/A</v>
      </c>
      <c r="M279" s="814" t="str">
        <f>IFERROR(VLOOKUP($I279,'Lower Hot Cell Logistics'!$H$4:$I$8,2,FALSE),"N/A")</f>
        <v>N/A</v>
      </c>
      <c r="N279" s="1181" t="str">
        <f t="shared" si="18"/>
        <v>N/A</v>
      </c>
      <c r="O279" s="590"/>
      <c r="P279" s="591" t="str">
        <f>IF($D279="Logistics",VLOOKUP($O279,'Lower Hot Cell Logistics'!$C$4:$D$69,2,FALSE),"N/A")</f>
        <v>N/A</v>
      </c>
      <c r="R279"/>
      <c r="S279"/>
    </row>
    <row r="280" spans="1:19" s="89" customFormat="1" ht="14.6" hidden="1" outlineLevel="1" x14ac:dyDescent="0.4">
      <c r="A280" s="1213"/>
      <c r="B280" s="3814" t="s">
        <v>2286</v>
      </c>
      <c r="C280" s="1324" t="s">
        <v>2308</v>
      </c>
      <c r="D280" s="1324" t="s">
        <v>907</v>
      </c>
      <c r="E280" s="1291">
        <f t="shared" si="17"/>
        <v>0</v>
      </c>
      <c r="F280" s="1291">
        <f>IF($D280="Trigger",VLOOKUP("*"&amp;$C280&amp;"*",'Lower Hot Cell Weld Failure'!$D$277:$G$302,4,FALSE),E280+F279)</f>
        <v>42.214827105111098</v>
      </c>
      <c r="G280" s="825"/>
      <c r="H280" s="1323" t="s">
        <v>263</v>
      </c>
      <c r="I280" s="1721"/>
      <c r="J280" s="1324"/>
      <c r="K280" s="1324"/>
      <c r="L280" s="828" t="str">
        <f>IFERROR(INDEX('Lower Hot Cell Logistics'!$I$13:$O$19,MATCH($J280,'Lower Hot Cell Logistics'!$H$13:$H$19,0),MATCH($K280,'Lower Hot Cell Logistics'!$H$13:$H$19,0)),"N/A")</f>
        <v>N/A</v>
      </c>
      <c r="M280" s="828" t="str">
        <f>IFERROR(VLOOKUP($I280,'Lower Hot Cell Logistics'!$H$4:$I$8,2,FALSE),"N/A")</f>
        <v>N/A</v>
      </c>
      <c r="N280" s="2200" t="str">
        <f t="shared" ref="N280:N290" si="19">IF(D280="Movement",IFERROR((L280/M280)/(60*60),"Error"),"N/A")</f>
        <v>N/A</v>
      </c>
      <c r="O280" s="1327"/>
      <c r="P280" s="824" t="str">
        <f>IF($D280="Logistics",VLOOKUP($O280,'Lower Hot Cell Logistics'!$C$4:$D$69,2,FALSE),"N/A")</f>
        <v>N/A</v>
      </c>
      <c r="R280"/>
      <c r="S280"/>
    </row>
    <row r="281" spans="1:19" s="89" customFormat="1" ht="14.6" hidden="1" outlineLevel="1" x14ac:dyDescent="0.4">
      <c r="A281" s="1213"/>
      <c r="B281" s="3815"/>
      <c r="C281" s="1294" t="s">
        <v>2344</v>
      </c>
      <c r="D281" s="1294" t="s">
        <v>778</v>
      </c>
      <c r="E281" s="1292">
        <f t="shared" si="17"/>
        <v>0.69444444444444442</v>
      </c>
      <c r="F281" s="1292">
        <f>IF($D281="Trigger",VLOOKUP("*"&amp;$C281&amp;"*",'Lower Hot Cell Weld Failure'!$D$277:$G$302,4,FALSE),E281+F280)</f>
        <v>42.909271549555541</v>
      </c>
      <c r="G281" s="862"/>
      <c r="H281" s="1328" t="s">
        <v>263</v>
      </c>
      <c r="I281" s="1724" t="s">
        <v>1826</v>
      </c>
      <c r="J281" s="1294" t="s">
        <v>451</v>
      </c>
      <c r="K281" s="1294" t="s">
        <v>914</v>
      </c>
      <c r="L281" s="865">
        <f>IFERROR(INDEX('Lower Hot Cell Logistics'!$I$13:$O$19,MATCH($J281,'Lower Hot Cell Logistics'!$H$13:$H$19,0),MATCH($K281,'Lower Hot Cell Logistics'!$H$13:$H$19,0)),"N/A")</f>
        <v>50</v>
      </c>
      <c r="M281" s="865">
        <f>IFERROR(VLOOKUP($I281,'Lower Hot Cell Logistics'!$H$4:$I$8,2,FALSE),"N/A")</f>
        <v>0.02</v>
      </c>
      <c r="N281" s="2197">
        <f t="shared" si="19"/>
        <v>0.69444444444444442</v>
      </c>
      <c r="O281" s="1331"/>
      <c r="P281" s="1332" t="str">
        <f>IF($D281="Logistics",VLOOKUP($O281,'Lower Hot Cell Logistics'!$C$4:$D$69,2,FALSE),"N/A")</f>
        <v>N/A</v>
      </c>
      <c r="R281"/>
      <c r="S281"/>
    </row>
    <row r="282" spans="1:19" s="89" customFormat="1" ht="14.6" hidden="1" outlineLevel="1" x14ac:dyDescent="0.4">
      <c r="A282" s="1213"/>
      <c r="B282" s="3815"/>
      <c r="C282" s="1294" t="s">
        <v>2345</v>
      </c>
      <c r="D282" s="1294" t="s">
        <v>3</v>
      </c>
      <c r="E282" s="1292">
        <f t="shared" si="17"/>
        <v>0.88000000000000012</v>
      </c>
      <c r="F282" s="1292">
        <f>IF($D282="Trigger",VLOOKUP("*"&amp;$C282&amp;"*",'Lower Hot Cell Weld Failure'!$D$277:$G$302,4,FALSE),E282+F281)</f>
        <v>43.789271549555544</v>
      </c>
      <c r="G282" s="862"/>
      <c r="H282" s="1328" t="s">
        <v>263</v>
      </c>
      <c r="I282" s="1724"/>
      <c r="J282" s="1294"/>
      <c r="K282" s="1294"/>
      <c r="L282" s="865" t="str">
        <f>IFERROR(INDEX('Lower Hot Cell Logistics'!$I$13:$O$19,MATCH($J282,'Lower Hot Cell Logistics'!$H$13:$H$19,0),MATCH($K282,'Lower Hot Cell Logistics'!$H$13:$H$19,0)),"N/A")</f>
        <v>N/A</v>
      </c>
      <c r="M282" s="865" t="str">
        <f>IFERROR(VLOOKUP($I282,'Lower Hot Cell Logistics'!$H$4:$I$8,2,FALSE),"N/A")</f>
        <v>N/A</v>
      </c>
      <c r="N282" s="2197" t="str">
        <f t="shared" si="19"/>
        <v>N/A</v>
      </c>
      <c r="O282" s="1331" t="s">
        <v>2144</v>
      </c>
      <c r="P282" s="1332">
        <f>IF($D282="Logistics",VLOOKUP($O282,'Lower Hot Cell Logistics'!$C$4:$D$69,2,FALSE),"N/A")</f>
        <v>0.88000000000000012</v>
      </c>
      <c r="R282"/>
      <c r="S282"/>
    </row>
    <row r="283" spans="1:19" s="89" customFormat="1" ht="14.6" hidden="1" outlineLevel="1" x14ac:dyDescent="0.4">
      <c r="A283" s="1213"/>
      <c r="B283" s="3815"/>
      <c r="C283" s="1294" t="s">
        <v>2207</v>
      </c>
      <c r="D283" s="1294" t="s">
        <v>778</v>
      </c>
      <c r="E283" s="1292">
        <f t="shared" si="17"/>
        <v>9.2592592592592601E-2</v>
      </c>
      <c r="F283" s="1292">
        <f>IF($D283="Trigger",VLOOKUP("*"&amp;$C283&amp;"*",'Lower Hot Cell Weld Failure'!$D$277:$G$302,4,FALSE),E283+F282)</f>
        <v>43.881864142148139</v>
      </c>
      <c r="G283" s="862"/>
      <c r="H283" s="1328" t="s">
        <v>263</v>
      </c>
      <c r="I283" s="1724" t="s">
        <v>2142</v>
      </c>
      <c r="J283" s="1294" t="s">
        <v>799</v>
      </c>
      <c r="K283" s="1294" t="s">
        <v>1957</v>
      </c>
      <c r="L283" s="865">
        <f>IFERROR(INDEX('Lower Hot Cell Logistics'!$I$13:$O$19,MATCH($J283,'Lower Hot Cell Logistics'!$H$13:$H$19,0),MATCH($K283,'Lower Hot Cell Logistics'!$H$13:$H$19,0)),"N/A")</f>
        <v>20</v>
      </c>
      <c r="M283" s="865">
        <f>IFERROR(VLOOKUP($I283,'Lower Hot Cell Logistics'!$H$4:$I$8,2,FALSE),"N/A")</f>
        <v>0.06</v>
      </c>
      <c r="N283" s="2197">
        <f t="shared" si="19"/>
        <v>9.2592592592592601E-2</v>
      </c>
      <c r="O283" s="1331"/>
      <c r="P283" s="1332" t="str">
        <f>IF($D283="Logistics",VLOOKUP($O283,'Lower Hot Cell Logistics'!$C$4:$D$69,2,FALSE),"N/A")</f>
        <v>N/A</v>
      </c>
      <c r="R283"/>
      <c r="S283"/>
    </row>
    <row r="284" spans="1:19" s="89" customFormat="1" ht="14.6" hidden="1" outlineLevel="1" x14ac:dyDescent="0.4">
      <c r="A284" s="1213"/>
      <c r="B284" s="3815"/>
      <c r="C284" s="1346" t="s">
        <v>2208</v>
      </c>
      <c r="D284" s="1346" t="s">
        <v>3</v>
      </c>
      <c r="E284" s="1292">
        <f t="shared" si="17"/>
        <v>0.68</v>
      </c>
      <c r="F284" s="1292">
        <f>IF($D284="Trigger",VLOOKUP("*"&amp;$C284&amp;"*",'Lower Hot Cell Weld Failure'!$D$277:$G$302,4,FALSE),E284+F283)</f>
        <v>44.561864142148139</v>
      </c>
      <c r="G284" s="862"/>
      <c r="H284" s="1328" t="s">
        <v>263</v>
      </c>
      <c r="I284" s="1724"/>
      <c r="J284" s="1294"/>
      <c r="K284" s="1294"/>
      <c r="L284" s="865" t="str">
        <f>IFERROR(INDEX('Lower Hot Cell Logistics'!$I$13:$O$19,MATCH($J284,'Lower Hot Cell Logistics'!$H$13:$H$19,0),MATCH($K284,'Lower Hot Cell Logistics'!$H$13:$H$19,0)),"N/A")</f>
        <v>N/A</v>
      </c>
      <c r="M284" s="865" t="str">
        <f>IFERROR(VLOOKUP($I284,'Lower Hot Cell Logistics'!$H$4:$I$8,2,FALSE),"N/A")</f>
        <v>N/A</v>
      </c>
      <c r="N284" s="2197" t="str">
        <f t="shared" si="19"/>
        <v>N/A</v>
      </c>
      <c r="O284" s="1331" t="s">
        <v>2139</v>
      </c>
      <c r="P284" s="1332">
        <f>IF($D284="Logistics",VLOOKUP($O284,'Lower Hot Cell Logistics'!$C$4:$D$69,2,FALSE),"N/A")</f>
        <v>0.68</v>
      </c>
      <c r="R284"/>
      <c r="S284"/>
    </row>
    <row r="285" spans="1:19" s="89" customFormat="1" ht="14.6" hidden="1" outlineLevel="1" x14ac:dyDescent="0.4">
      <c r="A285" s="1213"/>
      <c r="B285" s="3815"/>
      <c r="C285" s="1346" t="s">
        <v>2209</v>
      </c>
      <c r="D285" s="1346" t="s">
        <v>778</v>
      </c>
      <c r="E285" s="1292">
        <f t="shared" si="17"/>
        <v>0.69444444444444442</v>
      </c>
      <c r="F285" s="1292">
        <f>IF($D285="Trigger",VLOOKUP("*"&amp;$C285&amp;"*",'Lower Hot Cell Weld Failure'!$D$277:$G$302,4,FALSE),E285+F284)</f>
        <v>45.256308586592581</v>
      </c>
      <c r="G285" s="862"/>
      <c r="H285" s="1328" t="s">
        <v>263</v>
      </c>
      <c r="I285" s="1724" t="s">
        <v>2171</v>
      </c>
      <c r="J285" s="1294" t="s">
        <v>1957</v>
      </c>
      <c r="K285" s="1294" t="s">
        <v>451</v>
      </c>
      <c r="L285" s="865">
        <f>IFERROR(INDEX('Lower Hot Cell Logistics'!$I$13:$O$19,MATCH($J285,'Lower Hot Cell Logistics'!$H$13:$H$19,0),MATCH($K285,'Lower Hot Cell Logistics'!$H$13:$H$19,0)),"N/A")</f>
        <v>50</v>
      </c>
      <c r="M285" s="865">
        <f>IFERROR(VLOOKUP($I285,'Lower Hot Cell Logistics'!$H$4:$I$8,2,FALSE),"N/A")</f>
        <v>0.02</v>
      </c>
      <c r="N285" s="2197">
        <f t="shared" si="19"/>
        <v>0.69444444444444442</v>
      </c>
      <c r="O285" s="1331"/>
      <c r="P285" s="1332" t="str">
        <f>IF($D285="Logistics",VLOOKUP($O285,'Lower Hot Cell Logistics'!$C$4:$D$69,2,FALSE),"N/A")</f>
        <v>N/A</v>
      </c>
      <c r="R285"/>
      <c r="S285"/>
    </row>
    <row r="286" spans="1:19" s="89" customFormat="1" ht="26.6" hidden="1" outlineLevel="1" thickBot="1" x14ac:dyDescent="0.45">
      <c r="A286" s="1213"/>
      <c r="B286" s="3816"/>
      <c r="C286" s="1340" t="str">
        <f>B280</f>
        <v>LIB Inner pipe module stored;  Replacement RIB Inner Port Pipe Module collected; Transporter moved to port</v>
      </c>
      <c r="D286" s="1340" t="s">
        <v>11</v>
      </c>
      <c r="E286" s="1295">
        <f t="shared" si="17"/>
        <v>0</v>
      </c>
      <c r="F286" s="1295">
        <f>IF($D286="Trigger",VLOOKUP("*"&amp;$C286&amp;"*",'Lower Hot Cell Weld Failure'!$D$277:$G$302,4,FALSE),E286+F285)</f>
        <v>45.256308586592581</v>
      </c>
      <c r="G286" s="839"/>
      <c r="H286" s="1341" t="s">
        <v>263</v>
      </c>
      <c r="I286" s="1727"/>
      <c r="J286" s="1340"/>
      <c r="K286" s="1340"/>
      <c r="L286" s="842" t="str">
        <f>IFERROR(INDEX('Lower Hot Cell Logistics'!$I$13:$O$19,MATCH($J286,'Lower Hot Cell Logistics'!$H$13:$H$19,0),MATCH($K286,'Lower Hot Cell Logistics'!$H$13:$H$19,0)),"N/A")</f>
        <v>N/A</v>
      </c>
      <c r="M286" s="842" t="str">
        <f>IFERROR(VLOOKUP($I286,'Lower Hot Cell Logistics'!$H$4:$I$8,2,FALSE),"N/A")</f>
        <v>N/A</v>
      </c>
      <c r="N286" s="2199" t="str">
        <f t="shared" si="19"/>
        <v>N/A</v>
      </c>
      <c r="O286" s="1344"/>
      <c r="P286" s="1345" t="str">
        <f>IF($D286="Logistics",VLOOKUP($O286,'Lower Hot Cell Logistics'!$C$4:$D$69,2,FALSE),"N/A")</f>
        <v>N/A</v>
      </c>
      <c r="R286"/>
      <c r="S286"/>
    </row>
    <row r="287" spans="1:19" s="89" customFormat="1" ht="15" hidden="1" customHeight="1" outlineLevel="1" x14ac:dyDescent="0.4">
      <c r="A287" s="1213"/>
      <c r="B287" s="3787" t="s">
        <v>2287</v>
      </c>
      <c r="C287" s="617" t="s">
        <v>2296</v>
      </c>
      <c r="D287" s="617" t="s">
        <v>907</v>
      </c>
      <c r="E287" s="567">
        <f t="shared" si="17"/>
        <v>0</v>
      </c>
      <c r="F287" s="567">
        <f>IF($D287="Trigger",VLOOKUP("*"&amp;$C287&amp;"*",'Lower Hot Cell Weld Failure'!$D$277:$G$302,4,FALSE),E287+F286)</f>
        <v>55.947794164839486</v>
      </c>
      <c r="G287" s="568"/>
      <c r="H287" s="569" t="s">
        <v>263</v>
      </c>
      <c r="I287" s="1270"/>
      <c r="J287" s="617"/>
      <c r="K287" s="617"/>
      <c r="L287" s="570" t="str">
        <f>IFERROR(INDEX('Lower Hot Cell Logistics'!$I$13:$O$19,MATCH($J287,'Lower Hot Cell Logistics'!$H$13:$H$19,0),MATCH($K287,'Lower Hot Cell Logistics'!$H$13:$H$19,0)),"N/A")</f>
        <v>N/A</v>
      </c>
      <c r="M287" s="802" t="str">
        <f>IFERROR(VLOOKUP($I287,'Lower Hot Cell Logistics'!$H$4:$I$8,2,FALSE),"N/A")</f>
        <v>N/A</v>
      </c>
      <c r="N287" s="1182" t="str">
        <f t="shared" si="19"/>
        <v>N/A</v>
      </c>
      <c r="O287" s="620"/>
      <c r="P287" s="621" t="str">
        <f>IF($D287="Logistics",VLOOKUP($O287,'Lower Hot Cell Logistics'!$C$4:$D$69,2,FALSE),"N/A")</f>
        <v>N/A</v>
      </c>
      <c r="R287"/>
      <c r="S287"/>
    </row>
    <row r="288" spans="1:19" s="89" customFormat="1" ht="15" hidden="1" customHeight="1" outlineLevel="1" x14ac:dyDescent="0.4">
      <c r="A288" s="1213"/>
      <c r="B288" s="3786"/>
      <c r="C288" s="1275" t="s">
        <v>2211</v>
      </c>
      <c r="D288" s="572" t="s">
        <v>778</v>
      </c>
      <c r="E288" s="578">
        <f t="shared" si="17"/>
        <v>0.23148148148148148</v>
      </c>
      <c r="F288" s="578">
        <f>IF($D288="Trigger",VLOOKUP("*"&amp;$C288&amp;"*",'Lower Hot Cell Weld Failure'!$D$277:$G$302,4,FALSE),E288+F287)</f>
        <v>56.179275646320967</v>
      </c>
      <c r="G288" s="872"/>
      <c r="H288" s="2221" t="s">
        <v>263</v>
      </c>
      <c r="I288" s="1281" t="s">
        <v>2142</v>
      </c>
      <c r="J288" s="572" t="s">
        <v>451</v>
      </c>
      <c r="K288" s="572" t="s">
        <v>1965</v>
      </c>
      <c r="L288" s="1176">
        <f>IFERROR(INDEX('Lower Hot Cell Logistics'!$I$13:$O$19,MATCH($J288,'Lower Hot Cell Logistics'!$H$13:$H$19,0),MATCH($K288,'Lower Hot Cell Logistics'!$H$13:$H$19,0)),"N/A")</f>
        <v>50</v>
      </c>
      <c r="M288" s="2222">
        <f>IFERROR(VLOOKUP($I288,'Lower Hot Cell Logistics'!$H$4:$I$8,2,FALSE),"N/A")</f>
        <v>0.06</v>
      </c>
      <c r="N288" s="580">
        <f t="shared" si="19"/>
        <v>0.23148148148148148</v>
      </c>
      <c r="O288" s="631"/>
      <c r="P288" s="632" t="str">
        <f>IF($D288="Logistics",VLOOKUP($O288,'Lower Hot Cell Logistics'!$C$4:$D$69,2,FALSE),"N/A")</f>
        <v>N/A</v>
      </c>
      <c r="R288"/>
      <c r="S288"/>
    </row>
    <row r="289" spans="1:19" s="89" customFormat="1" ht="15" hidden="1" customHeight="1" outlineLevel="1" x14ac:dyDescent="0.4">
      <c r="A289" s="1213"/>
      <c r="B289" s="3786"/>
      <c r="C289" s="1275" t="s">
        <v>2212</v>
      </c>
      <c r="D289" s="572" t="s">
        <v>3</v>
      </c>
      <c r="E289" s="578">
        <f t="shared" si="17"/>
        <v>0.68</v>
      </c>
      <c r="F289" s="578">
        <f>IF($D289="Trigger",VLOOKUP("*"&amp;$C289&amp;"*",'Lower Hot Cell Weld Failure'!$D$277:$G$302,4,FALSE),E289+F288)</f>
        <v>56.859275646320967</v>
      </c>
      <c r="G289" s="872"/>
      <c r="H289" s="2221" t="s">
        <v>263</v>
      </c>
      <c r="I289" s="1281"/>
      <c r="J289" s="572"/>
      <c r="K289" s="572"/>
      <c r="L289" s="1176" t="str">
        <f>IFERROR(INDEX('Lower Hot Cell Logistics'!$I$13:$O$19,MATCH($J289,'Lower Hot Cell Logistics'!$H$13:$H$19,0),MATCH($K289,'Lower Hot Cell Logistics'!$H$13:$H$19,0)),"N/A")</f>
        <v>N/A</v>
      </c>
      <c r="M289" s="2222" t="str">
        <f>IFERROR(VLOOKUP($I289,'Lower Hot Cell Logistics'!$H$4:$I$8,2,FALSE),"N/A")</f>
        <v>N/A</v>
      </c>
      <c r="N289" s="580" t="str">
        <f t="shared" si="19"/>
        <v>N/A</v>
      </c>
      <c r="O289" s="631" t="s">
        <v>2139</v>
      </c>
      <c r="P289" s="632">
        <f>IF($D289="Logistics",VLOOKUP($O289,'Lower Hot Cell Logistics'!$C$4:$D$69,2,FALSE),"N/A")</f>
        <v>0.68</v>
      </c>
      <c r="R289"/>
      <c r="S289"/>
    </row>
    <row r="290" spans="1:19" s="89" customFormat="1" ht="14.6" hidden="1" outlineLevel="1" x14ac:dyDescent="0.4">
      <c r="A290" s="1213"/>
      <c r="B290" s="3786"/>
      <c r="C290" s="572" t="s">
        <v>2189</v>
      </c>
      <c r="D290" s="572" t="s">
        <v>778</v>
      </c>
      <c r="E290" s="574">
        <f t="shared" si="17"/>
        <v>0.69444444444444442</v>
      </c>
      <c r="F290" s="574">
        <f>IF($D290="Trigger",VLOOKUP("*"&amp;$C290&amp;"*",'Lower Hot Cell Weld Failure'!$D$277:$G$302,4,FALSE),E290+F289)</f>
        <v>57.55372009076541</v>
      </c>
      <c r="G290" s="575"/>
      <c r="H290" s="576" t="s">
        <v>263</v>
      </c>
      <c r="I290" s="1281" t="s">
        <v>2171</v>
      </c>
      <c r="J290" s="572" t="s">
        <v>799</v>
      </c>
      <c r="K290" s="572" t="s">
        <v>451</v>
      </c>
      <c r="L290" s="853">
        <f>IFERROR(INDEX('Lower Hot Cell Logistics'!$I$13:$O$19,MATCH($J290,'Lower Hot Cell Logistics'!$H$13:$H$19,0),MATCH($K290,'Lower Hot Cell Logistics'!$H$13:$H$19,0)),"N/A")</f>
        <v>50</v>
      </c>
      <c r="M290" s="853">
        <f>IFERROR(VLOOKUP($I290,'Lower Hot Cell Logistics'!$H$4:$I$8,2,FALSE),"N/A")</f>
        <v>0.02</v>
      </c>
      <c r="N290" s="1180">
        <f t="shared" si="19"/>
        <v>0.69444444444444442</v>
      </c>
      <c r="O290" s="579"/>
      <c r="P290" s="580" t="str">
        <f>IF($D290="Logistics",VLOOKUP($O290,'Lower Hot Cell Logistics'!$C$4:$D$69,2,FALSE),"N/A")</f>
        <v>N/A</v>
      </c>
      <c r="R290"/>
      <c r="S290"/>
    </row>
    <row r="291" spans="1:19" s="89" customFormat="1" ht="26.6" hidden="1" outlineLevel="1" thickBot="1" x14ac:dyDescent="0.45">
      <c r="A291" s="1213"/>
      <c r="B291" s="3788"/>
      <c r="C291" s="583" t="str">
        <f>B287</f>
        <v>Inner LIB pipe module collected; Pipe Module handling System Moved to Lower Port</v>
      </c>
      <c r="D291" s="583" t="s">
        <v>11</v>
      </c>
      <c r="E291" s="585">
        <f t="shared" si="17"/>
        <v>0</v>
      </c>
      <c r="F291" s="585">
        <f>IF($D291="Trigger",VLOOKUP("*"&amp;$C291&amp;"*",'Lower Hot Cell Weld Failure'!$D$277:$G$302,4,FALSE),E291+F290)</f>
        <v>57.55372009076541</v>
      </c>
      <c r="G291" s="586"/>
      <c r="H291" s="587" t="s">
        <v>263</v>
      </c>
      <c r="I291" s="1720"/>
      <c r="J291" s="583"/>
      <c r="K291" s="583"/>
      <c r="L291" s="814" t="str">
        <f>IFERROR(INDEX('Lower Hot Cell Logistics'!$I$13:$O$19,MATCH($J291,'Lower Hot Cell Logistics'!$H$13:$H$19,0),MATCH($K291,'Lower Hot Cell Logistics'!$H$13:$H$19,0)),"N/A")</f>
        <v>N/A</v>
      </c>
      <c r="M291" s="814" t="str">
        <f>IFERROR(VLOOKUP($I291,'Lower Hot Cell Logistics'!$H$4:$I$8,2,FALSE),"N/A")</f>
        <v>N/A</v>
      </c>
      <c r="N291" s="1181" t="str">
        <f t="shared" ref="N291:N301" si="20">IF(D291="Movement",IFERROR((L291/M291)/(60*60),"Error"),"N/A")</f>
        <v>N/A</v>
      </c>
      <c r="O291" s="590"/>
      <c r="P291" s="591" t="str">
        <f>IF($D291="Logistics",VLOOKUP($O291,'Lower Hot Cell Logistics'!$C$4:$D$69,2,FALSE),"N/A")</f>
        <v>N/A</v>
      </c>
      <c r="R291"/>
      <c r="S291"/>
    </row>
    <row r="292" spans="1:19" s="89" customFormat="1" ht="15" hidden="1" customHeight="1" outlineLevel="1" x14ac:dyDescent="0.4">
      <c r="A292" s="1213"/>
      <c r="B292" s="3814" t="s">
        <v>2077</v>
      </c>
      <c r="C292" s="1324" t="s">
        <v>2350</v>
      </c>
      <c r="D292" s="1324" t="s">
        <v>907</v>
      </c>
      <c r="E292" s="1291">
        <f t="shared" si="17"/>
        <v>0</v>
      </c>
      <c r="F292" s="1291">
        <f>IF($D292="Trigger",VLOOKUP("*"&amp;$C292&amp;"*",'Lower Hot Cell Weld Failure'!$D$277:$G$302,4,FALSE),E292+F291)</f>
        <v>126.34261046864347</v>
      </c>
      <c r="G292" s="825"/>
      <c r="H292" s="1323" t="s">
        <v>263</v>
      </c>
      <c r="I292" s="1721"/>
      <c r="J292" s="1324"/>
      <c r="K292" s="1324"/>
      <c r="L292" s="828" t="str">
        <f>IFERROR(INDEX('Lower Hot Cell Logistics'!$I$13:$O$19,MATCH($J292,'Lower Hot Cell Logistics'!$H$13:$H$19,0),MATCH($K292,'Lower Hot Cell Logistics'!$H$13:$H$19,0)),"N/A")</f>
        <v>N/A</v>
      </c>
      <c r="M292" s="827" t="str">
        <f>IFERROR(VLOOKUP($I292,'Lower Hot Cell Logistics'!$H$4:$I$8,2,FALSE),"N/A")</f>
        <v>N/A</v>
      </c>
      <c r="N292" s="2200" t="str">
        <f t="shared" si="20"/>
        <v>N/A</v>
      </c>
      <c r="O292" s="1327"/>
      <c r="P292" s="824" t="str">
        <f>IF($D292="Logistics",VLOOKUP($O292,'Lower Hot Cell Logistics'!$C$4:$D$69,2,FALSE),"N/A")</f>
        <v>N/A</v>
      </c>
      <c r="R292"/>
      <c r="S292"/>
    </row>
    <row r="293" spans="1:19" s="89" customFormat="1" ht="15" hidden="1" customHeight="1" outlineLevel="1" x14ac:dyDescent="0.4">
      <c r="A293" s="1213"/>
      <c r="B293" s="3815"/>
      <c r="C293" s="1362" t="s">
        <v>2211</v>
      </c>
      <c r="D293" s="1294" t="s">
        <v>778</v>
      </c>
      <c r="E293" s="1330">
        <f t="shared" si="17"/>
        <v>0.23148148148148148</v>
      </c>
      <c r="F293" s="1330">
        <f>IF($D293="Trigger",VLOOKUP("*"&amp;$C293&amp;"*",'Lower Hot Cell Weld Failure'!$D$277:$G$302,4,FALSE),E293+F292)</f>
        <v>126.57409195012495</v>
      </c>
      <c r="G293" s="1722"/>
      <c r="H293" s="2219" t="s">
        <v>263</v>
      </c>
      <c r="I293" s="1724" t="s">
        <v>2142</v>
      </c>
      <c r="J293" s="1294" t="s">
        <v>451</v>
      </c>
      <c r="K293" s="1294" t="s">
        <v>1965</v>
      </c>
      <c r="L293" s="2042">
        <f>IFERROR(INDEX('Lower Hot Cell Logistics'!$I$13:$O$19,MATCH($J293,'Lower Hot Cell Logistics'!$H$13:$H$19,0),MATCH($K293,'Lower Hot Cell Logistics'!$H$13:$H$19,0)),"N/A")</f>
        <v>50</v>
      </c>
      <c r="M293" s="2220">
        <f>IFERROR(VLOOKUP($I293,'Lower Hot Cell Logistics'!$H$4:$I$8,2,FALSE),"N/A")</f>
        <v>0.06</v>
      </c>
      <c r="N293" s="1332">
        <f t="shared" si="20"/>
        <v>0.23148148148148148</v>
      </c>
      <c r="O293" s="1352"/>
      <c r="P293" s="1353" t="str">
        <f>IF($D293="Logistics",VLOOKUP($O293,'Lower Hot Cell Logistics'!$C$4:$D$69,2,FALSE),"N/A")</f>
        <v>N/A</v>
      </c>
      <c r="R293"/>
      <c r="S293"/>
    </row>
    <row r="294" spans="1:19" s="89" customFormat="1" ht="15" hidden="1" customHeight="1" outlineLevel="1" x14ac:dyDescent="0.4">
      <c r="A294" s="1213"/>
      <c r="B294" s="3815"/>
      <c r="C294" s="1362" t="s">
        <v>2212</v>
      </c>
      <c r="D294" s="1294" t="s">
        <v>3</v>
      </c>
      <c r="E294" s="1330">
        <f t="shared" si="17"/>
        <v>0.88000000000000012</v>
      </c>
      <c r="F294" s="1330">
        <f>IF($D294="Trigger",VLOOKUP("*"&amp;$C294&amp;"*",'Lower Hot Cell Weld Failure'!$D$277:$G$302,4,FALSE),E294+F293)</f>
        <v>127.45409195012495</v>
      </c>
      <c r="G294" s="1722"/>
      <c r="H294" s="2219" t="s">
        <v>263</v>
      </c>
      <c r="I294" s="1724"/>
      <c r="J294" s="1294"/>
      <c r="K294" s="1294"/>
      <c r="L294" s="2042" t="str">
        <f>IFERROR(INDEX('Lower Hot Cell Logistics'!$I$13:$O$19,MATCH($J294,'Lower Hot Cell Logistics'!$H$13:$H$19,0),MATCH($K294,'Lower Hot Cell Logistics'!$H$13:$H$19,0)),"N/A")</f>
        <v>N/A</v>
      </c>
      <c r="M294" s="2220" t="str">
        <f>IFERROR(VLOOKUP($I294,'Lower Hot Cell Logistics'!$H$4:$I$8,2,FALSE),"N/A")</f>
        <v>N/A</v>
      </c>
      <c r="N294" s="1332" t="str">
        <f t="shared" si="20"/>
        <v>N/A</v>
      </c>
      <c r="O294" s="1352" t="s">
        <v>2144</v>
      </c>
      <c r="P294" s="1353">
        <f>IF($D294="Logistics",VLOOKUP($O294,'Lower Hot Cell Logistics'!$C$4:$D$69,2,FALSE),"N/A")</f>
        <v>0.88000000000000012</v>
      </c>
      <c r="R294"/>
      <c r="S294"/>
    </row>
    <row r="295" spans="1:19" s="89" customFormat="1" ht="14.6" hidden="1" outlineLevel="1" x14ac:dyDescent="0.4">
      <c r="A295" s="1213"/>
      <c r="B295" s="3815"/>
      <c r="C295" s="1294" t="s">
        <v>2189</v>
      </c>
      <c r="D295" s="1294" t="s">
        <v>778</v>
      </c>
      <c r="E295" s="1292">
        <f t="shared" si="17"/>
        <v>0.69444444444444442</v>
      </c>
      <c r="F295" s="1292">
        <f>IF($D295="Trigger",VLOOKUP("*"&amp;$C295&amp;"*",'Lower Hot Cell Weld Failure'!$D$277:$G$302,4,FALSE),E295+F294)</f>
        <v>128.14853639456939</v>
      </c>
      <c r="G295" s="862"/>
      <c r="H295" s="1328" t="s">
        <v>263</v>
      </c>
      <c r="I295" s="1724" t="s">
        <v>2171</v>
      </c>
      <c r="J295" s="1294" t="s">
        <v>799</v>
      </c>
      <c r="K295" s="1294" t="s">
        <v>451</v>
      </c>
      <c r="L295" s="865">
        <f>IFERROR(INDEX('Lower Hot Cell Logistics'!$I$13:$O$19,MATCH($J295,'Lower Hot Cell Logistics'!$H$13:$H$19,0),MATCH($K295,'Lower Hot Cell Logistics'!$H$13:$H$19,0)),"N/A")</f>
        <v>50</v>
      </c>
      <c r="M295" s="865">
        <f>IFERROR(VLOOKUP($I295,'Lower Hot Cell Logistics'!$H$4:$I$8,2,FALSE),"N/A")</f>
        <v>0.02</v>
      </c>
      <c r="N295" s="2197">
        <f t="shared" si="20"/>
        <v>0.69444444444444442</v>
      </c>
      <c r="O295" s="1331"/>
      <c r="P295" s="1332" t="str">
        <f>IF($D295="Logistics",VLOOKUP($O295,'Lower Hot Cell Logistics'!$C$4:$D$69,2,FALSE),"N/A")</f>
        <v>N/A</v>
      </c>
      <c r="R295"/>
      <c r="S295"/>
    </row>
    <row r="296" spans="1:19" s="89" customFormat="1" ht="26.6" hidden="1" outlineLevel="1" thickBot="1" x14ac:dyDescent="0.45">
      <c r="A296" s="1213"/>
      <c r="B296" s="3816"/>
      <c r="C296" s="1340" t="str">
        <f>B292</f>
        <v>RIB pipe module collected; Pipe Module handling System Moved to Lower Port</v>
      </c>
      <c r="D296" s="1340" t="s">
        <v>11</v>
      </c>
      <c r="E296" s="1295">
        <f t="shared" si="17"/>
        <v>0</v>
      </c>
      <c r="F296" s="1295">
        <f>IF($D296="Trigger",VLOOKUP("*"&amp;$C296&amp;"*",'Lower Hot Cell Weld Failure'!$D$277:$G$302,4,FALSE),E296+F295)</f>
        <v>128.14853639456939</v>
      </c>
      <c r="G296" s="839"/>
      <c r="H296" s="1341" t="s">
        <v>263</v>
      </c>
      <c r="I296" s="1727"/>
      <c r="J296" s="1340"/>
      <c r="K296" s="1340"/>
      <c r="L296" s="842" t="str">
        <f>IFERROR(INDEX('Lower Hot Cell Logistics'!$I$13:$O$19,MATCH($J296,'Lower Hot Cell Logistics'!$H$13:$H$19,0),MATCH($K296,'Lower Hot Cell Logistics'!$H$13:$H$19,0)),"N/A")</f>
        <v>N/A</v>
      </c>
      <c r="M296" s="842" t="str">
        <f>IFERROR(VLOOKUP($I296,'Lower Hot Cell Logistics'!$H$4:$I$8,2,FALSE),"N/A")</f>
        <v>N/A</v>
      </c>
      <c r="N296" s="2199" t="str">
        <f t="shared" si="20"/>
        <v>N/A</v>
      </c>
      <c r="O296" s="1344"/>
      <c r="P296" s="1345" t="str">
        <f>IF($D296="Logistics",VLOOKUP($O296,'Lower Hot Cell Logistics'!$C$4:$D$69,2,FALSE),"N/A")</f>
        <v>N/A</v>
      </c>
      <c r="R296"/>
      <c r="S296"/>
    </row>
    <row r="297" spans="1:19" s="89" customFormat="1" ht="15" hidden="1" customHeight="1" outlineLevel="1" x14ac:dyDescent="0.4">
      <c r="A297" s="1213"/>
      <c r="B297" s="3787" t="s">
        <v>2079</v>
      </c>
      <c r="C297" s="617" t="s">
        <v>2213</v>
      </c>
      <c r="D297" s="617" t="s">
        <v>907</v>
      </c>
      <c r="E297" s="567">
        <f t="shared" si="17"/>
        <v>0</v>
      </c>
      <c r="F297" s="567">
        <f>IF($D297="Trigger",VLOOKUP("*"&amp;$C297&amp;"*",'Lower Hot Cell Weld Failure'!$D$277:$G$302,4,FALSE),E297+F296)</f>
        <v>144.76527509464063</v>
      </c>
      <c r="G297" s="568"/>
      <c r="H297" s="569" t="s">
        <v>263</v>
      </c>
      <c r="I297" s="1270"/>
      <c r="J297" s="617"/>
      <c r="K297" s="617"/>
      <c r="L297" s="570" t="str">
        <f>IFERROR(INDEX('Lower Hot Cell Logistics'!$I$13:$O$19,MATCH($J297,'Lower Hot Cell Logistics'!$H$13:$H$19,0),MATCH($K297,'Lower Hot Cell Logistics'!$H$13:$H$19,0)),"N/A")</f>
        <v>N/A</v>
      </c>
      <c r="M297" s="802" t="str">
        <f>IFERROR(VLOOKUP($I297,'Lower Hot Cell Logistics'!$H$4:$I$8,2,FALSE),"N/A")</f>
        <v>N/A</v>
      </c>
      <c r="N297" s="1182" t="str">
        <f t="shared" si="20"/>
        <v>N/A</v>
      </c>
      <c r="O297" s="620"/>
      <c r="P297" s="621" t="str">
        <f>IF($D297="Logistics",VLOOKUP($O297,'Lower Hot Cell Logistics'!$C$4:$D$69,2,FALSE),"N/A")</f>
        <v>N/A</v>
      </c>
      <c r="R297"/>
      <c r="S297"/>
    </row>
    <row r="298" spans="1:19" s="89" customFormat="1" ht="15" hidden="1" customHeight="1" outlineLevel="1" x14ac:dyDescent="0.4">
      <c r="A298" s="1213"/>
      <c r="B298" s="3786"/>
      <c r="C298" s="1275" t="s">
        <v>2211</v>
      </c>
      <c r="D298" s="572" t="s">
        <v>778</v>
      </c>
      <c r="E298" s="578">
        <f t="shared" si="17"/>
        <v>0.23148148148148148</v>
      </c>
      <c r="F298" s="578">
        <f>IF($D298="Trigger",VLOOKUP("*"&amp;$C298&amp;"*",'Lower Hot Cell Weld Failure'!$D$277:$G$302,4,FALSE),E298+F297)</f>
        <v>144.99675657612212</v>
      </c>
      <c r="G298" s="872"/>
      <c r="H298" s="2221" t="s">
        <v>263</v>
      </c>
      <c r="I298" s="1281" t="s">
        <v>2142</v>
      </c>
      <c r="J298" s="572" t="s">
        <v>451</v>
      </c>
      <c r="K298" s="572" t="s">
        <v>1965</v>
      </c>
      <c r="L298" s="1176">
        <f>IFERROR(INDEX('Lower Hot Cell Logistics'!$I$13:$O$19,MATCH($J298,'Lower Hot Cell Logistics'!$H$13:$H$19,0),MATCH($K298,'Lower Hot Cell Logistics'!$H$13:$H$19,0)),"N/A")</f>
        <v>50</v>
      </c>
      <c r="M298" s="2222">
        <f>IFERROR(VLOOKUP($I298,'Lower Hot Cell Logistics'!$H$4:$I$8,2,FALSE),"N/A")</f>
        <v>0.06</v>
      </c>
      <c r="N298" s="580">
        <f t="shared" si="20"/>
        <v>0.23148148148148148</v>
      </c>
      <c r="O298" s="631"/>
      <c r="P298" s="632" t="str">
        <f>IF($D298="Logistics",VLOOKUP($O298,'Lower Hot Cell Logistics'!$C$4:$D$69,2,FALSE),"N/A")</f>
        <v>N/A</v>
      </c>
      <c r="R298"/>
      <c r="S298"/>
    </row>
    <row r="299" spans="1:19" s="89" customFormat="1" ht="15" hidden="1" customHeight="1" outlineLevel="1" x14ac:dyDescent="0.4">
      <c r="A299" s="1213"/>
      <c r="B299" s="3786"/>
      <c r="C299" s="1275" t="s">
        <v>2212</v>
      </c>
      <c r="D299" s="572" t="s">
        <v>3</v>
      </c>
      <c r="E299" s="578">
        <f t="shared" si="17"/>
        <v>0.88000000000000012</v>
      </c>
      <c r="F299" s="578">
        <f>IF($D299="Trigger",VLOOKUP("*"&amp;$C299&amp;"*",'Lower Hot Cell Weld Failure'!$D$277:$G$302,4,FALSE),E299+F298)</f>
        <v>145.87675657612212</v>
      </c>
      <c r="G299" s="872"/>
      <c r="H299" s="2221" t="s">
        <v>263</v>
      </c>
      <c r="I299" s="1281"/>
      <c r="J299" s="572"/>
      <c r="K299" s="572"/>
      <c r="L299" s="1176" t="str">
        <f>IFERROR(INDEX('Lower Hot Cell Logistics'!$I$13:$O$19,MATCH($J299,'Lower Hot Cell Logistics'!$H$13:$H$19,0),MATCH($K299,'Lower Hot Cell Logistics'!$H$13:$H$19,0)),"N/A")</f>
        <v>N/A</v>
      </c>
      <c r="M299" s="2222" t="str">
        <f>IFERROR(VLOOKUP($I299,'Lower Hot Cell Logistics'!$H$4:$I$8,2,FALSE),"N/A")</f>
        <v>N/A</v>
      </c>
      <c r="N299" s="580" t="str">
        <f t="shared" si="20"/>
        <v>N/A</v>
      </c>
      <c r="O299" s="631" t="s">
        <v>2144</v>
      </c>
      <c r="P299" s="632">
        <f>IF($D299="Logistics",VLOOKUP($O299,'Lower Hot Cell Logistics'!$C$4:$D$69,2,FALSE),"N/A")</f>
        <v>0.88000000000000012</v>
      </c>
      <c r="R299"/>
      <c r="S299"/>
    </row>
    <row r="300" spans="1:19" s="89" customFormat="1" ht="14.6" hidden="1" outlineLevel="1" x14ac:dyDescent="0.4">
      <c r="A300" s="1213"/>
      <c r="B300" s="3786"/>
      <c r="C300" s="572" t="s">
        <v>2189</v>
      </c>
      <c r="D300" s="572" t="s">
        <v>778</v>
      </c>
      <c r="E300" s="574">
        <f t="shared" si="17"/>
        <v>0.69444444444444442</v>
      </c>
      <c r="F300" s="574">
        <f>IF($D300="Trigger",VLOOKUP("*"&amp;$C300&amp;"*",'Lower Hot Cell Weld Failure'!$D$277:$G$302,4,FALSE),E300+F299)</f>
        <v>146.57120102056658</v>
      </c>
      <c r="G300" s="575"/>
      <c r="H300" s="576" t="s">
        <v>263</v>
      </c>
      <c r="I300" s="1281" t="s">
        <v>2171</v>
      </c>
      <c r="J300" s="572" t="s">
        <v>799</v>
      </c>
      <c r="K300" s="572" t="s">
        <v>451</v>
      </c>
      <c r="L300" s="853">
        <f>IFERROR(INDEX('Lower Hot Cell Logistics'!$I$13:$O$19,MATCH($J300,'Lower Hot Cell Logistics'!$H$13:$H$19,0),MATCH($K300,'Lower Hot Cell Logistics'!$H$13:$H$19,0)),"N/A")</f>
        <v>50</v>
      </c>
      <c r="M300" s="853">
        <f>IFERROR(VLOOKUP($I300,'Lower Hot Cell Logistics'!$H$4:$I$8,2,FALSE),"N/A")</f>
        <v>0.02</v>
      </c>
      <c r="N300" s="1180">
        <f t="shared" si="20"/>
        <v>0.69444444444444442</v>
      </c>
      <c r="O300" s="579"/>
      <c r="P300" s="580" t="str">
        <f>IF($D300="Logistics",VLOOKUP($O300,'Lower Hot Cell Logistics'!$C$4:$D$69,2,FALSE),"N/A")</f>
        <v>N/A</v>
      </c>
      <c r="R300"/>
      <c r="S300"/>
    </row>
    <row r="301" spans="1:19" s="89" customFormat="1" ht="26.6" hidden="1" outlineLevel="1" thickBot="1" x14ac:dyDescent="0.45">
      <c r="A301" s="1213"/>
      <c r="B301" s="3788"/>
      <c r="C301" s="583" t="str">
        <f>B297</f>
        <v>LIB pipe module collected; Pipe Module handling System Moved to Lower Port</v>
      </c>
      <c r="D301" s="583" t="s">
        <v>11</v>
      </c>
      <c r="E301" s="585">
        <f t="shared" si="17"/>
        <v>0</v>
      </c>
      <c r="F301" s="585">
        <f>IF($D301="Trigger",VLOOKUP("*"&amp;$C301&amp;"*",'Lower Hot Cell Weld Failure'!$D$277:$G$302,4,FALSE),E301+F300)</f>
        <v>146.57120102056658</v>
      </c>
      <c r="G301" s="586"/>
      <c r="H301" s="587" t="s">
        <v>263</v>
      </c>
      <c r="I301" s="1720"/>
      <c r="J301" s="583"/>
      <c r="K301" s="583"/>
      <c r="L301" s="814" t="str">
        <f>IFERROR(INDEX('Lower Hot Cell Logistics'!$I$13:$O$19,MATCH($J301,'Lower Hot Cell Logistics'!$H$13:$H$19,0),MATCH($K301,'Lower Hot Cell Logistics'!$H$13:$H$19,0)),"N/A")</f>
        <v>N/A</v>
      </c>
      <c r="M301" s="814" t="str">
        <f>IFERROR(VLOOKUP($I301,'Lower Hot Cell Logistics'!$H$4:$I$8,2,FALSE),"N/A")</f>
        <v>N/A</v>
      </c>
      <c r="N301" s="1181" t="str">
        <f t="shared" si="20"/>
        <v>N/A</v>
      </c>
      <c r="O301" s="590"/>
      <c r="P301" s="591" t="str">
        <f>IF($D301="Logistics",VLOOKUP($O301,'Lower Hot Cell Logistics'!$C$4:$D$69,2,FALSE),"N/A")</f>
        <v>N/A</v>
      </c>
      <c r="R301"/>
      <c r="S301"/>
    </row>
    <row r="302" spans="1:19" s="2121" customFormat="1" ht="12.75" hidden="1" customHeight="1" outlineLevel="1" x14ac:dyDescent="0.4">
      <c r="A302" s="1213"/>
      <c r="B302" s="3787" t="s">
        <v>1881</v>
      </c>
      <c r="C302" s="566" t="s">
        <v>2346</v>
      </c>
      <c r="D302" s="566" t="s">
        <v>907</v>
      </c>
      <c r="E302" s="1175">
        <f t="shared" si="17"/>
        <v>0</v>
      </c>
      <c r="F302" s="621">
        <f>IF($D302="Trigger",VLOOKUP("*"&amp;$C302&amp;"*",'Lower Hot Cell Weld Failure'!$D$277:$G$302,4,FALSE),E302+F301)</f>
        <v>0</v>
      </c>
      <c r="G302" s="568"/>
      <c r="H302" s="569" t="str">
        <f>IF(D302="operation",VLOOKUP(G302,#REF!,5,FALSE), "N/A")</f>
        <v>N/A</v>
      </c>
      <c r="I302" s="566"/>
      <c r="J302" s="566"/>
      <c r="K302" s="566"/>
      <c r="L302" s="1175" t="str">
        <f>IFERROR(INDEX('Lower Hot Cell Logistics'!$I$13:$O$19,MATCH($J302,'Lower Hot Cell Logistics'!$H$13:$H$19,0),MATCH($K302,'Lower Hot Cell Logistics'!$H$13:$H$19,0)),"N/A")</f>
        <v>N/A</v>
      </c>
      <c r="M302" s="1175" t="str">
        <f>IFERROR(VLOOKUP($I302,'Lower Hot Cell Logistics'!$H$4:$I$8,2,FALSE),"N/A")</f>
        <v>N/A</v>
      </c>
      <c r="N302" s="1175" t="str">
        <f t="shared" ref="N302:N313" si="21">IF(D302="Movement",IFERROR((L302/M302)/(60*60),"Error"),"N/A")</f>
        <v>N/A</v>
      </c>
      <c r="O302" s="620"/>
      <c r="P302" s="621" t="str">
        <f>IF($D302="Logistics",VLOOKUP($O302,'Lower Hot Cell Logistics'!$C$4:$D$69,2,FALSE),"N/A")</f>
        <v>N/A</v>
      </c>
    </row>
    <row r="303" spans="1:19" s="2121" customFormat="1" ht="12.75" hidden="1" customHeight="1" outlineLevel="1" x14ac:dyDescent="0.4">
      <c r="A303" s="1213"/>
      <c r="B303" s="3786"/>
      <c r="C303" s="573" t="s">
        <v>1945</v>
      </c>
      <c r="D303" s="573" t="s">
        <v>251</v>
      </c>
      <c r="E303" s="1176">
        <f t="shared" si="17"/>
        <v>91.097281216649151</v>
      </c>
      <c r="F303" s="580">
        <f>IF($D303="Trigger",VLOOKUP("*"&amp;$C303&amp;"*",'Lower Hot Cell Weld Failure'!$D$277:$G$302,4,FALSE),E303+F302)</f>
        <v>91.097281216649151</v>
      </c>
      <c r="G303" s="575" t="s">
        <v>139</v>
      </c>
      <c r="H303" s="580">
        <v>91.097281216649151</v>
      </c>
      <c r="I303" s="573"/>
      <c r="J303" s="573"/>
      <c r="K303" s="573"/>
      <c r="L303" s="1176" t="str">
        <f>IFERROR(INDEX('Lower Hot Cell Logistics'!$I$13:$O$19,MATCH($J303,'Lower Hot Cell Logistics'!$H$13:$H$19,0),MATCH($K303,'Lower Hot Cell Logistics'!$H$13:$H$19,0)),"N/A")</f>
        <v>N/A</v>
      </c>
      <c r="M303" s="1176" t="str">
        <f>IFERROR(VLOOKUP($I303,'Lower Hot Cell Logistics'!$H$4:$I$8,2,FALSE),"N/A")</f>
        <v>N/A</v>
      </c>
      <c r="N303" s="1176" t="str">
        <f t="shared" si="21"/>
        <v>N/A</v>
      </c>
      <c r="O303" s="579"/>
      <c r="P303" s="580" t="str">
        <f>IF($D303="Logistics",VLOOKUP($O303,'Lower Hot Cell Logistics'!$C$4:$D$69,2,FALSE),"N/A")</f>
        <v>N/A</v>
      </c>
    </row>
    <row r="304" spans="1:19" s="2121" customFormat="1" ht="13.5" hidden="1" customHeight="1" outlineLevel="1" thickBot="1" x14ac:dyDescent="0.45">
      <c r="A304" s="1213"/>
      <c r="B304" s="3788"/>
      <c r="C304" s="584" t="str">
        <f>B302</f>
        <v>LIB Blanket segment installed</v>
      </c>
      <c r="D304" s="584" t="s">
        <v>11</v>
      </c>
      <c r="E304" s="1179">
        <f t="shared" si="17"/>
        <v>0</v>
      </c>
      <c r="F304" s="591">
        <f>IF($D304="Trigger",VLOOKUP("*"&amp;$C304&amp;"*",'Lower Hot Cell Weld Failure'!$D$277:$G$302,4,FALSE),E304+F303)</f>
        <v>91.097281216649151</v>
      </c>
      <c r="G304" s="586"/>
      <c r="H304" s="587" t="str">
        <f>IF(D304="operation",VLOOKUP(G304,#REF!,5,FALSE), "N/A")</f>
        <v>N/A</v>
      </c>
      <c r="I304" s="584"/>
      <c r="J304" s="584"/>
      <c r="K304" s="584"/>
      <c r="L304" s="1179" t="str">
        <f>IFERROR(INDEX('Lower Hot Cell Logistics'!$I$13:$O$19,MATCH($J304,'Lower Hot Cell Logistics'!$H$13:$H$19,0),MATCH($K304,'Lower Hot Cell Logistics'!$H$13:$H$19,0)),"N/A")</f>
        <v>N/A</v>
      </c>
      <c r="M304" s="1179" t="str">
        <f>IFERROR(VLOOKUP($I304,'Lower Hot Cell Logistics'!$H$4:$I$8,2,FALSE),"N/A")</f>
        <v>N/A</v>
      </c>
      <c r="N304" s="1179" t="str">
        <f t="shared" si="21"/>
        <v>N/A</v>
      </c>
      <c r="O304" s="590"/>
      <c r="P304" s="591" t="str">
        <f>IF($D304="Logistics",VLOOKUP($O304,'Lower Hot Cell Logistics'!$C$4:$D$69,2,FALSE),"N/A")</f>
        <v>N/A</v>
      </c>
    </row>
    <row r="305" spans="1:19" s="2121" customFormat="1" ht="12.75" hidden="1" customHeight="1" outlineLevel="1" x14ac:dyDescent="0.4">
      <c r="A305" s="1213"/>
      <c r="B305" s="3787" t="s">
        <v>1951</v>
      </c>
      <c r="C305" s="566" t="s">
        <v>2346</v>
      </c>
      <c r="D305" s="566" t="s">
        <v>907</v>
      </c>
      <c r="E305" s="1175">
        <f t="shared" si="17"/>
        <v>0</v>
      </c>
      <c r="F305" s="621">
        <f>IF($D305="Trigger",VLOOKUP("*"&amp;$C305&amp;"*",'Lower Hot Cell Weld Failure'!$D$277:$G$302,4,FALSE),E305+F304)</f>
        <v>0</v>
      </c>
      <c r="G305" s="568"/>
      <c r="H305" s="569" t="str">
        <f>IF(D305="operation",VLOOKUP(G305,#REF!,5,FALSE), "N/A")</f>
        <v>N/A</v>
      </c>
      <c r="I305" s="566"/>
      <c r="J305" s="566"/>
      <c r="K305" s="566"/>
      <c r="L305" s="1175" t="str">
        <f>IFERROR(INDEX('Lower Hot Cell Logistics'!$I$13:$O$19,MATCH($J305,'Lower Hot Cell Logistics'!$H$13:$H$19,0),MATCH($K305,'Lower Hot Cell Logistics'!$H$13:$H$19,0)),"N/A")</f>
        <v>N/A</v>
      </c>
      <c r="M305" s="1175" t="str">
        <f>IFERROR(VLOOKUP($I305,'Lower Hot Cell Logistics'!$H$4:$I$8,2,FALSE),"N/A")</f>
        <v>N/A</v>
      </c>
      <c r="N305" s="1175" t="str">
        <f t="shared" si="21"/>
        <v>N/A</v>
      </c>
      <c r="O305" s="620"/>
      <c r="P305" s="621" t="str">
        <f>IF($D305="Logistics",VLOOKUP($O305,'Lower Hot Cell Logistics'!$C$4:$D$69,2,FALSE),"N/A")</f>
        <v>N/A</v>
      </c>
    </row>
    <row r="306" spans="1:19" s="2121" customFormat="1" ht="12.75" hidden="1" customHeight="1" outlineLevel="1" x14ac:dyDescent="0.4">
      <c r="A306" s="1217"/>
      <c r="B306" s="3786"/>
      <c r="C306" s="573" t="s">
        <v>1945</v>
      </c>
      <c r="D306" s="573" t="s">
        <v>251</v>
      </c>
      <c r="E306" s="1176">
        <f t="shared" si="17"/>
        <v>168.61620943515601</v>
      </c>
      <c r="F306" s="580">
        <f>IF($D306="Trigger",VLOOKUP("*"&amp;$C306&amp;"*",'Lower Hot Cell Weld Failure'!$D$277:$G$302,4,FALSE),E306+F305)</f>
        <v>168.61620943515601</v>
      </c>
      <c r="G306" s="575" t="s">
        <v>1088</v>
      </c>
      <c r="H306" s="580">
        <v>168.61620943515601</v>
      </c>
      <c r="I306" s="573"/>
      <c r="J306" s="573"/>
      <c r="K306" s="573"/>
      <c r="L306" s="1176" t="str">
        <f>IFERROR(INDEX('Lower Hot Cell Logistics'!$I$13:$O$19,MATCH($J306,'Lower Hot Cell Logistics'!$H$13:$H$19,0),MATCH($K306,'Lower Hot Cell Logistics'!$H$13:$H$19,0)),"N/A")</f>
        <v>N/A</v>
      </c>
      <c r="M306" s="1176" t="str">
        <f>IFERROR(VLOOKUP($I306,'Lower Hot Cell Logistics'!$H$4:$I$8,2,FALSE),"N/A")</f>
        <v>N/A</v>
      </c>
      <c r="N306" s="1176" t="str">
        <f t="shared" si="21"/>
        <v>N/A</v>
      </c>
      <c r="O306" s="579"/>
      <c r="P306" s="580" t="str">
        <f>IF($D306="Logistics",VLOOKUP($O306,'Lower Hot Cell Logistics'!$C$4:$D$69,2,FALSE),"N/A")</f>
        <v>N/A</v>
      </c>
    </row>
    <row r="307" spans="1:19" s="2121" customFormat="1" ht="13.5" hidden="1" customHeight="1" outlineLevel="1" thickBot="1" x14ac:dyDescent="0.45">
      <c r="A307" s="1217"/>
      <c r="B307" s="3788"/>
      <c r="C307" s="584" t="str">
        <f>B305</f>
        <v>LIB Upper Port Pipe Module installed</v>
      </c>
      <c r="D307" s="584" t="s">
        <v>11</v>
      </c>
      <c r="E307" s="1179">
        <f t="shared" si="17"/>
        <v>0</v>
      </c>
      <c r="F307" s="591">
        <f>IF($D307="Trigger",VLOOKUP("*"&amp;$C307&amp;"*",'Lower Hot Cell Weld Failure'!$D$277:$G$302,4,FALSE),E307+F306)</f>
        <v>168.61620943515601</v>
      </c>
      <c r="G307" s="586"/>
      <c r="H307" s="587" t="str">
        <f>IF(D307="operation",VLOOKUP(G307,#REF!,5,FALSE), "N/A")</f>
        <v>N/A</v>
      </c>
      <c r="I307" s="584"/>
      <c r="J307" s="584"/>
      <c r="K307" s="584"/>
      <c r="L307" s="1179" t="str">
        <f>IFERROR(INDEX('Lower Hot Cell Logistics'!$I$13:$O$19,MATCH($J307,'Lower Hot Cell Logistics'!$H$13:$H$19,0),MATCH($K307,'Lower Hot Cell Logistics'!$H$13:$H$19,0)),"N/A")</f>
        <v>N/A</v>
      </c>
      <c r="M307" s="1179" t="str">
        <f>IFERROR(VLOOKUP($I307,'Lower Hot Cell Logistics'!$H$4:$I$8,2,FALSE),"N/A")</f>
        <v>N/A</v>
      </c>
      <c r="N307" s="1179" t="str">
        <f t="shared" si="21"/>
        <v>N/A</v>
      </c>
      <c r="O307" s="590"/>
      <c r="P307" s="591" t="str">
        <f>IF($D307="Logistics",VLOOKUP($O307,'Lower Hot Cell Logistics'!$C$4:$D$69,2,FALSE),"N/A")</f>
        <v>N/A</v>
      </c>
    </row>
    <row r="308" spans="1:19" s="2121" customFormat="1" ht="12.75" hidden="1" customHeight="1" outlineLevel="1" x14ac:dyDescent="0.4">
      <c r="A308" s="1217"/>
      <c r="B308" s="3787" t="s">
        <v>1880</v>
      </c>
      <c r="C308" s="566" t="s">
        <v>2346</v>
      </c>
      <c r="D308" s="566" t="s">
        <v>907</v>
      </c>
      <c r="E308" s="1175">
        <f t="shared" si="17"/>
        <v>0</v>
      </c>
      <c r="F308" s="621">
        <f>IF($D308="Trigger",VLOOKUP("*"&amp;$C308&amp;"*",'Lower Hot Cell Weld Failure'!$D$277:$G$302,4,FALSE),E308+F307)</f>
        <v>0</v>
      </c>
      <c r="G308" s="568"/>
      <c r="H308" s="569" t="str">
        <f>IF(D308="operation",VLOOKUP(G308,#REF!,5,FALSE), "N/A")</f>
        <v>N/A</v>
      </c>
      <c r="I308" s="566"/>
      <c r="J308" s="566"/>
      <c r="K308" s="566"/>
      <c r="L308" s="1175" t="str">
        <f>IFERROR(INDEX('Lower Hot Cell Logistics'!$I$13:$O$19,MATCH($J308,'Lower Hot Cell Logistics'!$H$13:$H$19,0),MATCH($K308,'Lower Hot Cell Logistics'!$H$13:$H$19,0)),"N/A")</f>
        <v>N/A</v>
      </c>
      <c r="M308" s="1175" t="str">
        <f>IFERROR(VLOOKUP($I308,'Lower Hot Cell Logistics'!$H$4:$I$8,2,FALSE),"N/A")</f>
        <v>N/A</v>
      </c>
      <c r="N308" s="1175" t="str">
        <f t="shared" si="21"/>
        <v>N/A</v>
      </c>
      <c r="O308" s="620"/>
      <c r="P308" s="621" t="str">
        <f>IF($D308="Logistics",VLOOKUP($O308,'Lower Hot Cell Logistics'!$C$4:$D$69,2,FALSE),"N/A")</f>
        <v>N/A</v>
      </c>
    </row>
    <row r="309" spans="1:19" s="2121" customFormat="1" ht="12.75" hidden="1" customHeight="1" outlineLevel="1" x14ac:dyDescent="0.4">
      <c r="A309" s="1217"/>
      <c r="B309" s="3786"/>
      <c r="C309" s="573" t="s">
        <v>1945</v>
      </c>
      <c r="D309" s="573" t="s">
        <v>251</v>
      </c>
      <c r="E309" s="1176">
        <f t="shared" si="17"/>
        <v>86.19783677220471</v>
      </c>
      <c r="F309" s="580">
        <f>IF($D309="Trigger",VLOOKUP("*"&amp;$C309&amp;"*",'Lower Hot Cell Weld Failure'!$D$277:$G$302,4,FALSE),E309+F308)</f>
        <v>86.19783677220471</v>
      </c>
      <c r="G309" s="575" t="s">
        <v>141</v>
      </c>
      <c r="H309" s="580">
        <v>86.19783677220471</v>
      </c>
      <c r="I309" s="573"/>
      <c r="J309" s="573"/>
      <c r="K309" s="573"/>
      <c r="L309" s="1176" t="str">
        <f>IFERROR(INDEX('Lower Hot Cell Logistics'!$I$13:$O$19,MATCH($J309,'Lower Hot Cell Logistics'!$H$13:$H$19,0),MATCH($K309,'Lower Hot Cell Logistics'!$H$13:$H$19,0)),"N/A")</f>
        <v>N/A</v>
      </c>
      <c r="M309" s="1176" t="str">
        <f>IFERROR(VLOOKUP($I309,'Lower Hot Cell Logistics'!$H$4:$I$8,2,FALSE),"N/A")</f>
        <v>N/A</v>
      </c>
      <c r="N309" s="1176" t="str">
        <f t="shared" si="21"/>
        <v>N/A</v>
      </c>
      <c r="O309" s="579"/>
      <c r="P309" s="580" t="str">
        <f>IF($D309="Logistics",VLOOKUP($O309,'Lower Hot Cell Logistics'!$C$4:$D$69,2,FALSE),"N/A")</f>
        <v>N/A</v>
      </c>
    </row>
    <row r="310" spans="1:19" s="2121" customFormat="1" ht="13.5" hidden="1" customHeight="1" outlineLevel="1" thickBot="1" x14ac:dyDescent="0.45">
      <c r="A310" s="1217"/>
      <c r="B310" s="3788"/>
      <c r="C310" s="584" t="str">
        <f>B308</f>
        <v>RIB Blanket segment installed</v>
      </c>
      <c r="D310" s="584" t="s">
        <v>11</v>
      </c>
      <c r="E310" s="1179">
        <f t="shared" si="17"/>
        <v>0</v>
      </c>
      <c r="F310" s="591">
        <f>IF($D310="Trigger",VLOOKUP("*"&amp;$C310&amp;"*",'Lower Hot Cell Weld Failure'!$D$277:$G$302,4,FALSE),E310+F309)</f>
        <v>86.19783677220471</v>
      </c>
      <c r="G310" s="586"/>
      <c r="H310" s="587" t="str">
        <f>IF(D310="operation",VLOOKUP(G310,#REF!,5,FALSE), "N/A")</f>
        <v>N/A</v>
      </c>
      <c r="I310" s="584"/>
      <c r="J310" s="584"/>
      <c r="K310" s="584"/>
      <c r="L310" s="1179" t="str">
        <f>IFERROR(INDEX('Lower Hot Cell Logistics'!$I$13:$O$19,MATCH($J310,'Lower Hot Cell Logistics'!$H$13:$H$19,0),MATCH($K310,'Lower Hot Cell Logistics'!$H$13:$H$19,0)),"N/A")</f>
        <v>N/A</v>
      </c>
      <c r="M310" s="1179" t="str">
        <f>IFERROR(VLOOKUP($I310,'Lower Hot Cell Logistics'!$H$4:$I$8,2,FALSE),"N/A")</f>
        <v>N/A</v>
      </c>
      <c r="N310" s="1179" t="str">
        <f t="shared" si="21"/>
        <v>N/A</v>
      </c>
      <c r="O310" s="590"/>
      <c r="P310" s="591" t="str">
        <f>IF($D310="Logistics",VLOOKUP($O310,'Lower Hot Cell Logistics'!$C$4:$D$69,2,FALSE),"N/A")</f>
        <v>N/A</v>
      </c>
    </row>
    <row r="311" spans="1:19" s="2121" customFormat="1" ht="12.75" hidden="1" customHeight="1" outlineLevel="1" x14ac:dyDescent="0.4">
      <c r="A311" s="1217"/>
      <c r="B311" s="3787" t="s">
        <v>1894</v>
      </c>
      <c r="C311" s="566" t="s">
        <v>2346</v>
      </c>
      <c r="D311" s="566" t="s">
        <v>907</v>
      </c>
      <c r="E311" s="1175">
        <f t="shared" si="17"/>
        <v>0</v>
      </c>
      <c r="F311" s="621">
        <f>IF($D311="Trigger",VLOOKUP("*"&amp;$C311&amp;"*",'Lower Hot Cell Weld Failure'!$D$277:$G$302,4,FALSE),E311+F310)</f>
        <v>0</v>
      </c>
      <c r="G311" s="568"/>
      <c r="H311" s="569" t="str">
        <f>IF(D311="operation",VLOOKUP(G311,#REF!,5,FALSE), "N/A")</f>
        <v>N/A</v>
      </c>
      <c r="I311" s="566"/>
      <c r="J311" s="566"/>
      <c r="K311" s="566"/>
      <c r="L311" s="1175" t="str">
        <f>IFERROR(INDEX('Lower Hot Cell Logistics'!$I$13:$O$19,MATCH($J311,'Lower Hot Cell Logistics'!$H$13:$H$19,0),MATCH($K311,'Lower Hot Cell Logistics'!$H$13:$H$19,0)),"N/A")</f>
        <v>N/A</v>
      </c>
      <c r="M311" s="1175" t="str">
        <f>IFERROR(VLOOKUP($I311,'Lower Hot Cell Logistics'!$H$4:$I$8,2,FALSE),"N/A")</f>
        <v>N/A</v>
      </c>
      <c r="N311" s="1175" t="str">
        <f t="shared" si="21"/>
        <v>N/A</v>
      </c>
      <c r="O311" s="620"/>
      <c r="P311" s="621" t="str">
        <f>IF($D311="Logistics",VLOOKUP($O311,'Lower Hot Cell Logistics'!$C$4:$D$69,2,FALSE),"N/A")</f>
        <v>N/A</v>
      </c>
    </row>
    <row r="312" spans="1:19" s="2121" customFormat="1" ht="12.75" hidden="1" customHeight="1" outlineLevel="1" x14ac:dyDescent="0.4">
      <c r="A312" s="1217"/>
      <c r="B312" s="3786"/>
      <c r="C312" s="573" t="s">
        <v>1945</v>
      </c>
      <c r="D312" s="573" t="s">
        <v>251</v>
      </c>
      <c r="E312" s="1176">
        <f t="shared" si="17"/>
        <v>113.79339232776024</v>
      </c>
      <c r="F312" s="580">
        <f>IF($D312="Trigger",VLOOKUP("*"&amp;$C312&amp;"*",'Lower Hot Cell Weld Failure'!$D$277:$G$302,4,FALSE),E312+F311)</f>
        <v>113.79339232776024</v>
      </c>
      <c r="G312" s="575" t="s">
        <v>1085</v>
      </c>
      <c r="H312" s="580">
        <v>113.79339232776024</v>
      </c>
      <c r="I312" s="573"/>
      <c r="J312" s="573"/>
      <c r="K312" s="573"/>
      <c r="L312" s="1176" t="str">
        <f>IFERROR(INDEX('Lower Hot Cell Logistics'!$I$13:$O$19,MATCH($J312,'Lower Hot Cell Logistics'!$H$13:$H$19,0),MATCH($K312,'Lower Hot Cell Logistics'!$H$13:$H$19,0)),"N/A")</f>
        <v>N/A</v>
      </c>
      <c r="M312" s="1176" t="str">
        <f>IFERROR(VLOOKUP($I312,'Lower Hot Cell Logistics'!$H$4:$I$8,2,FALSE),"N/A")</f>
        <v>N/A</v>
      </c>
      <c r="N312" s="1176" t="str">
        <f t="shared" si="21"/>
        <v>N/A</v>
      </c>
      <c r="O312" s="579"/>
      <c r="P312" s="580" t="str">
        <f>IF($D312="Logistics",VLOOKUP($O312,'Lower Hot Cell Logistics'!$C$4:$D$69,2,FALSE),"N/A")</f>
        <v>N/A</v>
      </c>
    </row>
    <row r="313" spans="1:19" s="2121" customFormat="1" ht="13.5" hidden="1" customHeight="1" outlineLevel="1" thickBot="1" x14ac:dyDescent="0.45">
      <c r="A313" s="1217"/>
      <c r="B313" s="3788"/>
      <c r="C313" s="584" t="str">
        <f>B311</f>
        <v>RIB Upper Port Pipe Module installed</v>
      </c>
      <c r="D313" s="584" t="s">
        <v>11</v>
      </c>
      <c r="E313" s="1179">
        <f t="shared" si="17"/>
        <v>0</v>
      </c>
      <c r="F313" s="591">
        <f>IF($D313="Trigger",VLOOKUP("*"&amp;$C313&amp;"*",'Lower Hot Cell Weld Failure'!$D$277:$G$302,4,FALSE),E313+F312)</f>
        <v>113.79339232776024</v>
      </c>
      <c r="G313" s="586"/>
      <c r="H313" s="587" t="str">
        <f>IF(D313="operation",VLOOKUP(G313,#REF!,5,FALSE), "N/A")</f>
        <v>N/A</v>
      </c>
      <c r="I313" s="584"/>
      <c r="J313" s="584"/>
      <c r="K313" s="584"/>
      <c r="L313" s="1179" t="str">
        <f>IFERROR(INDEX('Lower Hot Cell Logistics'!$I$13:$O$19,MATCH($J313,'Lower Hot Cell Logistics'!$H$13:$H$19,0),MATCH($K313,'Lower Hot Cell Logistics'!$H$13:$H$19,0)),"N/A")</f>
        <v>N/A</v>
      </c>
      <c r="M313" s="1179" t="str">
        <f>IFERROR(VLOOKUP($I313,'Lower Hot Cell Logistics'!$H$4:$I$8,2,FALSE),"N/A")</f>
        <v>N/A</v>
      </c>
      <c r="N313" s="1179" t="str">
        <f t="shared" si="21"/>
        <v>N/A</v>
      </c>
      <c r="O313" s="590"/>
      <c r="P313" s="591" t="str">
        <f>IF($D313="Logistics",VLOOKUP($O313,'Lower Hot Cell Logistics'!$C$4:$D$69,2,FALSE),"N/A")</f>
        <v>N/A</v>
      </c>
    </row>
    <row r="314" spans="1:19" s="2121" customFormat="1" ht="13.3" collapsed="1" thickBot="1" x14ac:dyDescent="0.45">
      <c r="A314" s="2134"/>
      <c r="B314" s="2135"/>
      <c r="C314" s="2136"/>
      <c r="D314" s="2136"/>
      <c r="E314" s="2136"/>
      <c r="F314" s="2136"/>
      <c r="G314" s="2136"/>
      <c r="H314" s="2137"/>
      <c r="I314" s="2136"/>
      <c r="J314" s="2136"/>
      <c r="K314" s="2136"/>
      <c r="L314" s="2138"/>
      <c r="M314" s="2138"/>
      <c r="N314" s="2138"/>
      <c r="O314" s="2136"/>
      <c r="P314" s="2139"/>
    </row>
    <row r="315" spans="1:19" s="2121" customFormat="1" x14ac:dyDescent="0.4">
      <c r="A315" s="1221"/>
      <c r="B315" s="1222" t="s">
        <v>2351</v>
      </c>
      <c r="C315" s="1222"/>
      <c r="D315" s="1222"/>
      <c r="E315" s="1222"/>
      <c r="F315" s="1222"/>
      <c r="G315" s="1222"/>
      <c r="H315" s="1222"/>
      <c r="I315" s="1222"/>
      <c r="J315" s="1222"/>
      <c r="K315" s="1222"/>
      <c r="L315" s="1222"/>
      <c r="M315" s="1222"/>
      <c r="N315" s="1222"/>
      <c r="O315" s="1222"/>
      <c r="P315" s="1223"/>
    </row>
    <row r="316" spans="1:19" s="2121" customFormat="1" ht="13.3" hidden="1" outlineLevel="1" thickBot="1" x14ac:dyDescent="0.45">
      <c r="A316" s="1224"/>
      <c r="B316" s="1564"/>
      <c r="C316" s="1225"/>
      <c r="D316" s="1225"/>
      <c r="E316" s="1225"/>
      <c r="F316" s="1225"/>
      <c r="G316" s="1225"/>
      <c r="H316" s="1565"/>
      <c r="I316" s="1225"/>
      <c r="J316" s="1225"/>
      <c r="K316" s="1225"/>
      <c r="L316" s="1226"/>
      <c r="M316" s="1226"/>
      <c r="N316" s="1226"/>
      <c r="O316" s="1225"/>
      <c r="P316" s="1227"/>
    </row>
    <row r="317" spans="1:19" s="89" customFormat="1" ht="15" hidden="1" customHeight="1" outlineLevel="1" x14ac:dyDescent="0.4">
      <c r="A317" s="1224"/>
      <c r="B317" s="3787" t="s">
        <v>2318</v>
      </c>
      <c r="C317" s="617" t="s">
        <v>2317</v>
      </c>
      <c r="D317" s="617" t="s">
        <v>907</v>
      </c>
      <c r="E317" s="567">
        <f t="shared" ref="E317:E355" si="22">MAX($P317,$N317,$H317)</f>
        <v>0</v>
      </c>
      <c r="F317" s="567">
        <f>IF($D317="Trigger",VLOOKUP("*"&amp;$C317&amp;"*",'Lower Hot Cell Weld Failure'!$D$354:$G$373,4,FALSE),E317+#REF!)</f>
        <v>0</v>
      </c>
      <c r="G317" s="568"/>
      <c r="H317" s="569" t="s">
        <v>263</v>
      </c>
      <c r="I317" s="1270"/>
      <c r="J317" s="617"/>
      <c r="K317" s="617"/>
      <c r="L317" s="570" t="str">
        <f>IFERROR(INDEX('Lower Hot Cell Logistics'!$I$13:$O$19,MATCH($J317,'Lower Hot Cell Logistics'!$H$13:$H$19,0),MATCH($K317,'Lower Hot Cell Logistics'!$H$13:$H$19,0)),"N/A")</f>
        <v>N/A</v>
      </c>
      <c r="M317" s="802" t="str">
        <f>IFERROR(VLOOKUP($I317,'Lower Hot Cell Logistics'!$H$4:$I$8,2,FALSE),"N/A")</f>
        <v>N/A</v>
      </c>
      <c r="N317" s="1182" t="str">
        <f t="shared" ref="N317:N326" si="23">IF(D317="Movement",IFERROR((L317/M317)/(60*60),"Error"),"N/A")</f>
        <v>N/A</v>
      </c>
      <c r="O317" s="620"/>
      <c r="P317" s="621" t="str">
        <f>IF($D317="Logistics",VLOOKUP($O317,'Lower Hot Cell Logistics'!$C$4:$D$69,2,FALSE),"N/A")</f>
        <v>N/A</v>
      </c>
      <c r="R317"/>
      <c r="S317"/>
    </row>
    <row r="318" spans="1:19" s="89" customFormat="1" ht="15" hidden="1" customHeight="1" outlineLevel="1" x14ac:dyDescent="0.4">
      <c r="A318" s="1224"/>
      <c r="B318" s="3786"/>
      <c r="C318" s="1275" t="s">
        <v>2141</v>
      </c>
      <c r="D318" s="572" t="s">
        <v>778</v>
      </c>
      <c r="E318" s="578">
        <f t="shared" si="22"/>
        <v>0.69444444444444442</v>
      </c>
      <c r="F318" s="578">
        <f>IF($D318="Trigger",VLOOKUP("*"&amp;$C318&amp;"*",'Lower Hot Cell Weld Failure'!$D$354:$G$373,4,FALSE),E318+F317)</f>
        <v>0.69444444444444442</v>
      </c>
      <c r="G318" s="872"/>
      <c r="H318" s="2221" t="s">
        <v>263</v>
      </c>
      <c r="I318" s="1281" t="s">
        <v>1826</v>
      </c>
      <c r="J318" s="572" t="s">
        <v>451</v>
      </c>
      <c r="K318" s="572" t="s">
        <v>831</v>
      </c>
      <c r="L318" s="1176">
        <f>IFERROR(INDEX('Lower Hot Cell Logistics'!$I$13:$O$19,MATCH($J318,'Lower Hot Cell Logistics'!$H$13:$H$19,0),MATCH($K318,'Lower Hot Cell Logistics'!$H$13:$H$19,0)),"N/A")</f>
        <v>50</v>
      </c>
      <c r="M318" s="2222">
        <f>IFERROR(VLOOKUP($I318,'Lower Hot Cell Logistics'!$H$4:$I$8,2,FALSE),"N/A")</f>
        <v>0.02</v>
      </c>
      <c r="N318" s="580">
        <f t="shared" si="23"/>
        <v>0.69444444444444442</v>
      </c>
      <c r="O318" s="631"/>
      <c r="P318" s="632" t="str">
        <f>IF($D318="Logistics",VLOOKUP($O318,'Lower Hot Cell Logistics'!$C$4:$D$69,2,FALSE),"N/A")</f>
        <v>N/A</v>
      </c>
      <c r="R318"/>
      <c r="S318"/>
    </row>
    <row r="319" spans="1:19" s="89" customFormat="1" ht="15" hidden="1" customHeight="1" outlineLevel="1" x14ac:dyDescent="0.4">
      <c r="A319" s="1224"/>
      <c r="B319" s="3786"/>
      <c r="C319" s="1275" t="s">
        <v>1757</v>
      </c>
      <c r="D319" s="572" t="s">
        <v>3</v>
      </c>
      <c r="E319" s="578">
        <f t="shared" si="22"/>
        <v>0.88000000000000012</v>
      </c>
      <c r="F319" s="578">
        <f>IF($D319="Trigger",VLOOKUP("*"&amp;$C319&amp;"*",'Lower Hot Cell Weld Failure'!$D$354:$G$373,4,FALSE),E319+F318)</f>
        <v>1.5744444444444445</v>
      </c>
      <c r="G319" s="872"/>
      <c r="H319" s="2221" t="s">
        <v>263</v>
      </c>
      <c r="I319" s="1281"/>
      <c r="J319" s="572"/>
      <c r="K319" s="572"/>
      <c r="L319" s="1176" t="str">
        <f>IFERROR(INDEX('Lower Hot Cell Logistics'!$I$13:$O$19,MATCH($J319,'Lower Hot Cell Logistics'!$H$13:$H$19,0),MATCH($K319,'Lower Hot Cell Logistics'!$H$13:$H$19,0)),"N/A")</f>
        <v>N/A</v>
      </c>
      <c r="M319" s="2222" t="str">
        <f>IFERROR(VLOOKUP($I319,'Lower Hot Cell Logistics'!$H$4:$I$8,2,FALSE),"N/A")</f>
        <v>N/A</v>
      </c>
      <c r="N319" s="580" t="str">
        <f t="shared" si="23"/>
        <v>N/A</v>
      </c>
      <c r="O319" s="631" t="s">
        <v>2144</v>
      </c>
      <c r="P319" s="632">
        <f>IF($D319="Logistics",VLOOKUP($O319,'Lower Hot Cell Logistics'!$C$4:$D$69,2,FALSE),"N/A")</f>
        <v>0.88000000000000012</v>
      </c>
      <c r="R319"/>
      <c r="S319"/>
    </row>
    <row r="320" spans="1:19" s="89" customFormat="1" ht="14.6" hidden="1" outlineLevel="1" x14ac:dyDescent="0.4">
      <c r="A320" s="1224"/>
      <c r="B320" s="3786"/>
      <c r="C320" s="572" t="s">
        <v>2189</v>
      </c>
      <c r="D320" s="572" t="s">
        <v>778</v>
      </c>
      <c r="E320" s="578">
        <f t="shared" si="22"/>
        <v>0.23148148148148148</v>
      </c>
      <c r="F320" s="578">
        <f>IF($D320="Trigger",VLOOKUP("*"&amp;$C320&amp;"*",'Lower Hot Cell Weld Failure'!$D$354:$G$373,4,FALSE),E320+F319)</f>
        <v>1.8059259259259259</v>
      </c>
      <c r="G320" s="575"/>
      <c r="H320" s="576" t="s">
        <v>263</v>
      </c>
      <c r="I320" s="1281" t="s">
        <v>2190</v>
      </c>
      <c r="J320" s="572" t="s">
        <v>799</v>
      </c>
      <c r="K320" s="572" t="s">
        <v>451</v>
      </c>
      <c r="L320" s="853">
        <f>IFERROR(INDEX('Lower Hot Cell Logistics'!$I$13:$O$19,MATCH($J320,'Lower Hot Cell Logistics'!$H$13:$H$19,0),MATCH($K320,'Lower Hot Cell Logistics'!$H$13:$H$19,0)),"N/A")</f>
        <v>50</v>
      </c>
      <c r="M320" s="853">
        <f>IFERROR(VLOOKUP($I320,'Lower Hot Cell Logistics'!$H$4:$I$8,2,FALSE),"N/A")</f>
        <v>0.06</v>
      </c>
      <c r="N320" s="1180">
        <f t="shared" si="23"/>
        <v>0.23148148148148148</v>
      </c>
      <c r="O320" s="579"/>
      <c r="P320" s="580" t="str">
        <f>IF($D320="Logistics",VLOOKUP($O320,'Lower Hot Cell Logistics'!$C$4:$D$69,2,FALSE),"N/A")</f>
        <v>N/A</v>
      </c>
      <c r="R320"/>
      <c r="S320"/>
    </row>
    <row r="321" spans="1:19" s="89" customFormat="1" ht="26.6" hidden="1" outlineLevel="1" thickBot="1" x14ac:dyDescent="0.45">
      <c r="A321" s="1224"/>
      <c r="B321" s="3788"/>
      <c r="C321" s="583" t="str">
        <f>B317</f>
        <v>New LIB pipe module stored;  Pipe Module handling System Moved to Lower Port</v>
      </c>
      <c r="D321" s="583" t="s">
        <v>11</v>
      </c>
      <c r="E321" s="585">
        <f t="shared" si="22"/>
        <v>0</v>
      </c>
      <c r="F321" s="585">
        <f>IF($D321="Trigger",VLOOKUP("*"&amp;$C321&amp;"*",'Lower Hot Cell Weld Failure'!$D$354:$G$373,4,FALSE),E321+F320)</f>
        <v>1.8059259259259259</v>
      </c>
      <c r="G321" s="586"/>
      <c r="H321" s="587" t="s">
        <v>263</v>
      </c>
      <c r="I321" s="1720"/>
      <c r="J321" s="583"/>
      <c r="K321" s="583"/>
      <c r="L321" s="814" t="str">
        <f>IFERROR(INDEX('Lower Hot Cell Logistics'!$I$13:$O$19,MATCH($J321,'Lower Hot Cell Logistics'!$H$13:$H$19,0),MATCH($K321,'Lower Hot Cell Logistics'!$H$13:$H$19,0)),"N/A")</f>
        <v>N/A</v>
      </c>
      <c r="M321" s="814" t="str">
        <f>IFERROR(VLOOKUP($I321,'Lower Hot Cell Logistics'!$H$4:$I$8,2,FALSE),"N/A")</f>
        <v>N/A</v>
      </c>
      <c r="N321" s="1181" t="str">
        <f t="shared" si="23"/>
        <v>N/A</v>
      </c>
      <c r="O321" s="590"/>
      <c r="P321" s="591" t="str">
        <f>IF($D321="Logistics",VLOOKUP($O321,'Lower Hot Cell Logistics'!$C$4:$D$69,2,FALSE),"N/A")</f>
        <v>N/A</v>
      </c>
      <c r="R321"/>
      <c r="S321"/>
    </row>
    <row r="322" spans="1:19" s="89" customFormat="1" ht="15" hidden="1" customHeight="1" outlineLevel="1" x14ac:dyDescent="0.4">
      <c r="A322" s="1224"/>
      <c r="B322" s="3814" t="s">
        <v>2062</v>
      </c>
      <c r="C322" s="1324" t="s">
        <v>2192</v>
      </c>
      <c r="D322" s="1324" t="s">
        <v>907</v>
      </c>
      <c r="E322" s="1291">
        <f t="shared" si="22"/>
        <v>0</v>
      </c>
      <c r="F322" s="1291">
        <f>IF($D322="Trigger",VLOOKUP("*"&amp;$C322&amp;"*",'Lower Hot Cell Weld Failure'!$D$354:$G$373,4,FALSE),E322+F321)</f>
        <v>13.202967059728389</v>
      </c>
      <c r="G322" s="825"/>
      <c r="H322" s="1323" t="s">
        <v>263</v>
      </c>
      <c r="I322" s="1721"/>
      <c r="J322" s="1324"/>
      <c r="K322" s="1324"/>
      <c r="L322" s="828" t="str">
        <f>IFERROR(INDEX('Lower Hot Cell Logistics'!$I$13:$O$19,MATCH($J322,'Lower Hot Cell Logistics'!$H$13:$H$19,0),MATCH($K322,'Lower Hot Cell Logistics'!$H$13:$H$19,0)),"N/A")</f>
        <v>N/A</v>
      </c>
      <c r="M322" s="827" t="str">
        <f>IFERROR(VLOOKUP($I322,'Lower Hot Cell Logistics'!$H$4:$I$8,2,FALSE),"N/A")</f>
        <v>N/A</v>
      </c>
      <c r="N322" s="2200" t="str">
        <f t="shared" si="23"/>
        <v>N/A</v>
      </c>
      <c r="O322" s="1327"/>
      <c r="P322" s="824" t="str">
        <f>IF($D322="Logistics",VLOOKUP($O322,'Lower Hot Cell Logistics'!$C$4:$D$69,2,FALSE),"N/A")</f>
        <v>N/A</v>
      </c>
      <c r="R322"/>
      <c r="S322"/>
    </row>
    <row r="323" spans="1:19" s="89" customFormat="1" ht="15" hidden="1" customHeight="1" outlineLevel="1" x14ac:dyDescent="0.4">
      <c r="A323" s="1224"/>
      <c r="B323" s="3815"/>
      <c r="C323" s="1362" t="s">
        <v>2141</v>
      </c>
      <c r="D323" s="1294" t="s">
        <v>778</v>
      </c>
      <c r="E323" s="1330">
        <f t="shared" si="22"/>
        <v>0.69444444444444442</v>
      </c>
      <c r="F323" s="1330">
        <f>IF($D323="Trigger",VLOOKUP("*"&amp;$C323&amp;"*",'Lower Hot Cell Weld Failure'!$D$354:$G$373,4,FALSE),E323+F322)</f>
        <v>13.897411504172833</v>
      </c>
      <c r="G323" s="1722"/>
      <c r="H323" s="2219" t="s">
        <v>263</v>
      </c>
      <c r="I323" s="1724" t="s">
        <v>1826</v>
      </c>
      <c r="J323" s="1294" t="s">
        <v>451</v>
      </c>
      <c r="K323" s="1294" t="s">
        <v>831</v>
      </c>
      <c r="L323" s="2042">
        <f>IFERROR(INDEX('Lower Hot Cell Logistics'!$I$13:$O$19,MATCH($J323,'Lower Hot Cell Logistics'!$H$13:$H$19,0),MATCH($K323,'Lower Hot Cell Logistics'!$H$13:$H$19,0)),"N/A")</f>
        <v>50</v>
      </c>
      <c r="M323" s="2220">
        <f>IFERROR(VLOOKUP($I323,'Lower Hot Cell Logistics'!$H$4:$I$8,2,FALSE),"N/A")</f>
        <v>0.02</v>
      </c>
      <c r="N323" s="1332">
        <f t="shared" si="23"/>
        <v>0.69444444444444442</v>
      </c>
      <c r="O323" s="1352"/>
      <c r="P323" s="1353" t="str">
        <f>IF($D323="Logistics",VLOOKUP($O323,'Lower Hot Cell Logistics'!$C$4:$D$69,2,FALSE),"N/A")</f>
        <v>N/A</v>
      </c>
      <c r="R323"/>
      <c r="S323"/>
    </row>
    <row r="324" spans="1:19" s="89" customFormat="1" ht="15" hidden="1" customHeight="1" outlineLevel="1" x14ac:dyDescent="0.4">
      <c r="A324" s="1224"/>
      <c r="B324" s="3815"/>
      <c r="C324" s="1362" t="s">
        <v>1757</v>
      </c>
      <c r="D324" s="1294" t="s">
        <v>3</v>
      </c>
      <c r="E324" s="1330">
        <f t="shared" si="22"/>
        <v>0.88000000000000012</v>
      </c>
      <c r="F324" s="1330">
        <f>IF($D324="Trigger",VLOOKUP("*"&amp;$C324&amp;"*",'Lower Hot Cell Weld Failure'!$D$354:$G$373,4,FALSE),E324+F323)</f>
        <v>14.777411504172834</v>
      </c>
      <c r="G324" s="1722"/>
      <c r="H324" s="2219" t="s">
        <v>263</v>
      </c>
      <c r="I324" s="1724"/>
      <c r="J324" s="1294"/>
      <c r="K324" s="1294"/>
      <c r="L324" s="2042" t="str">
        <f>IFERROR(INDEX('Lower Hot Cell Logistics'!$I$13:$O$19,MATCH($J324,'Lower Hot Cell Logistics'!$H$13:$H$19,0),MATCH($K324,'Lower Hot Cell Logistics'!$H$13:$H$19,0)),"N/A")</f>
        <v>N/A</v>
      </c>
      <c r="M324" s="2220" t="str">
        <f>IFERROR(VLOOKUP($I324,'Lower Hot Cell Logistics'!$H$4:$I$8,2,FALSE),"N/A")</f>
        <v>N/A</v>
      </c>
      <c r="N324" s="1332" t="str">
        <f t="shared" si="23"/>
        <v>N/A</v>
      </c>
      <c r="O324" s="1352" t="s">
        <v>2144</v>
      </c>
      <c r="P324" s="1353">
        <f>IF($D324="Logistics",VLOOKUP($O324,'Lower Hot Cell Logistics'!$C$4:$D$69,2,FALSE),"N/A")</f>
        <v>0.88000000000000012</v>
      </c>
      <c r="R324"/>
      <c r="S324"/>
    </row>
    <row r="325" spans="1:19" s="89" customFormat="1" ht="14.6" hidden="1" outlineLevel="1" x14ac:dyDescent="0.4">
      <c r="A325" s="1224"/>
      <c r="B325" s="3815"/>
      <c r="C325" s="1294" t="s">
        <v>2189</v>
      </c>
      <c r="D325" s="1294" t="s">
        <v>778</v>
      </c>
      <c r="E325" s="1292">
        <f t="shared" si="22"/>
        <v>0.23148148148148148</v>
      </c>
      <c r="F325" s="1292">
        <f>IF($D325="Trigger",VLOOKUP("*"&amp;$C325&amp;"*",'Lower Hot Cell Weld Failure'!$D$354:$G$373,4,FALSE),E325+F324)</f>
        <v>15.008892985654315</v>
      </c>
      <c r="G325" s="862"/>
      <c r="H325" s="1328" t="s">
        <v>263</v>
      </c>
      <c r="I325" s="1724" t="s">
        <v>2190</v>
      </c>
      <c r="J325" s="1294" t="s">
        <v>799</v>
      </c>
      <c r="K325" s="1294" t="s">
        <v>451</v>
      </c>
      <c r="L325" s="865">
        <f>IFERROR(INDEX('Lower Hot Cell Logistics'!$I$13:$O$19,MATCH($J325,'Lower Hot Cell Logistics'!$H$13:$H$19,0),MATCH($K325,'Lower Hot Cell Logistics'!$H$13:$H$19,0)),"N/A")</f>
        <v>50</v>
      </c>
      <c r="M325" s="865">
        <f>IFERROR(VLOOKUP($I325,'Lower Hot Cell Logistics'!$H$4:$I$8,2,FALSE),"N/A")</f>
        <v>0.06</v>
      </c>
      <c r="N325" s="2197">
        <f t="shared" si="23"/>
        <v>0.23148148148148148</v>
      </c>
      <c r="O325" s="1331"/>
      <c r="P325" s="1332" t="str">
        <f>IF($D325="Logistics",VLOOKUP($O325,'Lower Hot Cell Logistics'!$C$4:$D$69,2,FALSE),"N/A")</f>
        <v>N/A</v>
      </c>
      <c r="R325"/>
      <c r="S325"/>
    </row>
    <row r="326" spans="1:19" s="89" customFormat="1" ht="26.6" hidden="1" outlineLevel="1" thickBot="1" x14ac:dyDescent="0.45">
      <c r="A326" s="1224"/>
      <c r="B326" s="3816"/>
      <c r="C326" s="1340" t="str">
        <f>B322</f>
        <v>RIB pipe module stored;  Pipe Module handling System Moved to Lower Port</v>
      </c>
      <c r="D326" s="1340" t="s">
        <v>11</v>
      </c>
      <c r="E326" s="1295">
        <f t="shared" si="22"/>
        <v>0</v>
      </c>
      <c r="F326" s="1295">
        <f>IF($D326="Trigger",VLOOKUP("*"&amp;$C326&amp;"*",'Lower Hot Cell Weld Failure'!$D$354:$G$373,4,FALSE),E326+F325)</f>
        <v>15.008892985654315</v>
      </c>
      <c r="G326" s="839"/>
      <c r="H326" s="1341" t="s">
        <v>263</v>
      </c>
      <c r="I326" s="1727"/>
      <c r="J326" s="1340"/>
      <c r="K326" s="1340"/>
      <c r="L326" s="842" t="str">
        <f>IFERROR(INDEX('Lower Hot Cell Logistics'!$I$13:$O$19,MATCH($J326,'Lower Hot Cell Logistics'!$H$13:$H$19,0),MATCH($K326,'Lower Hot Cell Logistics'!$H$13:$H$19,0)),"N/A")</f>
        <v>N/A</v>
      </c>
      <c r="M326" s="842" t="str">
        <f>IFERROR(VLOOKUP($I326,'Lower Hot Cell Logistics'!$H$4:$I$8,2,FALSE),"N/A")</f>
        <v>N/A</v>
      </c>
      <c r="N326" s="2199" t="str">
        <f t="shared" si="23"/>
        <v>N/A</v>
      </c>
      <c r="O326" s="1344"/>
      <c r="P326" s="1345" t="str">
        <f>IF($D326="Logistics",VLOOKUP($O326,'Lower Hot Cell Logistics'!$C$4:$D$69,2,FALSE),"N/A")</f>
        <v>N/A</v>
      </c>
      <c r="R326"/>
      <c r="S326"/>
    </row>
    <row r="327" spans="1:19" s="89" customFormat="1" ht="14.6" hidden="1" outlineLevel="1" x14ac:dyDescent="0.4">
      <c r="A327" s="1224"/>
      <c r="B327" s="3814" t="s">
        <v>2286</v>
      </c>
      <c r="C327" s="1324" t="s">
        <v>2061</v>
      </c>
      <c r="D327" s="1324" t="s">
        <v>907</v>
      </c>
      <c r="E327" s="1291">
        <f t="shared" si="22"/>
        <v>0</v>
      </c>
      <c r="F327" s="1291">
        <f>IF($D327="Trigger",VLOOKUP("*"&amp;$C327&amp;"*",'Lower Hot Cell Weld Failure'!$D$354:$G$373,4,FALSE),E327+F326)</f>
        <v>29.435934119456782</v>
      </c>
      <c r="G327" s="825"/>
      <c r="H327" s="1323" t="s">
        <v>263</v>
      </c>
      <c r="I327" s="1721"/>
      <c r="J327" s="1324"/>
      <c r="K327" s="1324"/>
      <c r="L327" s="828" t="str">
        <f>IFERROR(INDEX('Lower Hot Cell Logistics'!$I$13:$O$19,MATCH($J327,'Lower Hot Cell Logistics'!$H$13:$H$19,0),MATCH($K327,'Lower Hot Cell Logistics'!$H$13:$H$19,0)),"N/A")</f>
        <v>N/A</v>
      </c>
      <c r="M327" s="828" t="str">
        <f>IFERROR(VLOOKUP($I327,'Lower Hot Cell Logistics'!$H$4:$I$8,2,FALSE),"N/A")</f>
        <v>N/A</v>
      </c>
      <c r="N327" s="2200" t="str">
        <f t="shared" ref="N327:N337" si="24">IF(D327="Movement",IFERROR((L327/M327)/(60*60),"Error"),"N/A")</f>
        <v>N/A</v>
      </c>
      <c r="O327" s="1327"/>
      <c r="P327" s="824" t="str">
        <f>IF($D327="Logistics",VLOOKUP($O327,'Lower Hot Cell Logistics'!$C$4:$D$69,2,FALSE),"N/A")</f>
        <v>N/A</v>
      </c>
      <c r="R327"/>
      <c r="S327"/>
    </row>
    <row r="328" spans="1:19" s="89" customFormat="1" ht="14.6" hidden="1" outlineLevel="1" x14ac:dyDescent="0.4">
      <c r="A328" s="1224"/>
      <c r="B328" s="3815"/>
      <c r="C328" s="1294" t="s">
        <v>2344</v>
      </c>
      <c r="D328" s="1294" t="s">
        <v>778</v>
      </c>
      <c r="E328" s="1292">
        <f t="shared" si="22"/>
        <v>0.69444444444444442</v>
      </c>
      <c r="F328" s="1292">
        <f>IF($D328="Trigger",VLOOKUP("*"&amp;$C328&amp;"*",'Lower Hot Cell Weld Failure'!$D$354:$G$373,4,FALSE),E328+F327)</f>
        <v>30.130378563901225</v>
      </c>
      <c r="G328" s="862"/>
      <c r="H328" s="1328" t="s">
        <v>263</v>
      </c>
      <c r="I328" s="1724" t="s">
        <v>1826</v>
      </c>
      <c r="J328" s="1294" t="s">
        <v>451</v>
      </c>
      <c r="K328" s="1294" t="s">
        <v>914</v>
      </c>
      <c r="L328" s="865">
        <f>IFERROR(INDEX('Lower Hot Cell Logistics'!$I$13:$O$19,MATCH($J328,'Lower Hot Cell Logistics'!$H$13:$H$19,0),MATCH($K328,'Lower Hot Cell Logistics'!$H$13:$H$19,0)),"N/A")</f>
        <v>50</v>
      </c>
      <c r="M328" s="865">
        <f>IFERROR(VLOOKUP($I328,'Lower Hot Cell Logistics'!$H$4:$I$8,2,FALSE),"N/A")</f>
        <v>0.02</v>
      </c>
      <c r="N328" s="2197">
        <f t="shared" si="24"/>
        <v>0.69444444444444442</v>
      </c>
      <c r="O328" s="1331"/>
      <c r="P328" s="1332" t="str">
        <f>IF($D328="Logistics",VLOOKUP($O328,'Lower Hot Cell Logistics'!$C$4:$D$69,2,FALSE),"N/A")</f>
        <v>N/A</v>
      </c>
      <c r="R328"/>
      <c r="S328"/>
    </row>
    <row r="329" spans="1:19" s="89" customFormat="1" ht="14.6" hidden="1" outlineLevel="1" x14ac:dyDescent="0.4">
      <c r="A329" s="1224"/>
      <c r="B329" s="3815"/>
      <c r="C329" s="1294" t="s">
        <v>2345</v>
      </c>
      <c r="D329" s="1294" t="s">
        <v>3</v>
      </c>
      <c r="E329" s="1292">
        <f t="shared" si="22"/>
        <v>0.88000000000000012</v>
      </c>
      <c r="F329" s="1292">
        <f>IF($D329="Trigger",VLOOKUP("*"&amp;$C329&amp;"*",'Lower Hot Cell Weld Failure'!$D$354:$G$373,4,FALSE),E329+F328)</f>
        <v>31.010378563901224</v>
      </c>
      <c r="G329" s="862"/>
      <c r="H329" s="1328" t="s">
        <v>263</v>
      </c>
      <c r="I329" s="1724"/>
      <c r="J329" s="1294"/>
      <c r="K329" s="1294"/>
      <c r="L329" s="865" t="str">
        <f>IFERROR(INDEX('Lower Hot Cell Logistics'!$I$13:$O$19,MATCH($J329,'Lower Hot Cell Logistics'!$H$13:$H$19,0),MATCH($K329,'Lower Hot Cell Logistics'!$H$13:$H$19,0)),"N/A")</f>
        <v>N/A</v>
      </c>
      <c r="M329" s="865" t="str">
        <f>IFERROR(VLOOKUP($I329,'Lower Hot Cell Logistics'!$H$4:$I$8,2,FALSE),"N/A")</f>
        <v>N/A</v>
      </c>
      <c r="N329" s="2197" t="str">
        <f t="shared" si="24"/>
        <v>N/A</v>
      </c>
      <c r="O329" s="1331" t="s">
        <v>2144</v>
      </c>
      <c r="P329" s="1332">
        <f>IF($D329="Logistics",VLOOKUP($O329,'Lower Hot Cell Logistics'!$C$4:$D$69,2,FALSE),"N/A")</f>
        <v>0.88000000000000012</v>
      </c>
      <c r="R329"/>
      <c r="S329"/>
    </row>
    <row r="330" spans="1:19" s="89" customFormat="1" ht="14.6" hidden="1" outlineLevel="1" x14ac:dyDescent="0.4">
      <c r="A330" s="1224"/>
      <c r="B330" s="3815"/>
      <c r="C330" s="1294" t="s">
        <v>2207</v>
      </c>
      <c r="D330" s="1294" t="s">
        <v>778</v>
      </c>
      <c r="E330" s="1292">
        <f t="shared" si="22"/>
        <v>9.2592592592592601E-2</v>
      </c>
      <c r="F330" s="1292">
        <f>IF($D330="Trigger",VLOOKUP("*"&amp;$C330&amp;"*",'Lower Hot Cell Weld Failure'!$D$354:$G$373,4,FALSE),E330+F329)</f>
        <v>31.102971156493815</v>
      </c>
      <c r="G330" s="862"/>
      <c r="H330" s="1328" t="s">
        <v>263</v>
      </c>
      <c r="I330" s="1724" t="s">
        <v>2142</v>
      </c>
      <c r="J330" s="1294" t="s">
        <v>799</v>
      </c>
      <c r="K330" s="1294" t="s">
        <v>1957</v>
      </c>
      <c r="L330" s="865">
        <f>IFERROR(INDEX('Lower Hot Cell Logistics'!$I$13:$O$19,MATCH($J330,'Lower Hot Cell Logistics'!$H$13:$H$19,0),MATCH($K330,'Lower Hot Cell Logistics'!$H$13:$H$19,0)),"N/A")</f>
        <v>20</v>
      </c>
      <c r="M330" s="865">
        <f>IFERROR(VLOOKUP($I330,'Lower Hot Cell Logistics'!$H$4:$I$8,2,FALSE),"N/A")</f>
        <v>0.06</v>
      </c>
      <c r="N330" s="2197">
        <f t="shared" si="24"/>
        <v>9.2592592592592601E-2</v>
      </c>
      <c r="O330" s="1331"/>
      <c r="P330" s="1332" t="str">
        <f>IF($D330="Logistics",VLOOKUP($O330,'Lower Hot Cell Logistics'!$C$4:$D$69,2,FALSE),"N/A")</f>
        <v>N/A</v>
      </c>
      <c r="R330"/>
      <c r="S330"/>
    </row>
    <row r="331" spans="1:19" s="89" customFormat="1" ht="14.6" hidden="1" outlineLevel="1" x14ac:dyDescent="0.4">
      <c r="A331" s="1224"/>
      <c r="B331" s="3815"/>
      <c r="C331" s="1346" t="s">
        <v>2208</v>
      </c>
      <c r="D331" s="1346" t="s">
        <v>3</v>
      </c>
      <c r="E331" s="1292">
        <f t="shared" si="22"/>
        <v>0.68</v>
      </c>
      <c r="F331" s="1292">
        <f>IF($D331="Trigger",VLOOKUP("*"&amp;$C331&amp;"*",'Lower Hot Cell Weld Failure'!$D$354:$G$373,4,FALSE),E331+F330)</f>
        <v>31.782971156493815</v>
      </c>
      <c r="G331" s="862"/>
      <c r="H331" s="1328" t="s">
        <v>263</v>
      </c>
      <c r="I331" s="1724"/>
      <c r="J331" s="1294"/>
      <c r="K331" s="1294"/>
      <c r="L331" s="865" t="str">
        <f>IFERROR(INDEX('Lower Hot Cell Logistics'!$I$13:$O$19,MATCH($J331,'Lower Hot Cell Logistics'!$H$13:$H$19,0),MATCH($K331,'Lower Hot Cell Logistics'!$H$13:$H$19,0)),"N/A")</f>
        <v>N/A</v>
      </c>
      <c r="M331" s="865" t="str">
        <f>IFERROR(VLOOKUP($I331,'Lower Hot Cell Logistics'!$H$4:$I$8,2,FALSE),"N/A")</f>
        <v>N/A</v>
      </c>
      <c r="N331" s="2197" t="str">
        <f t="shared" si="24"/>
        <v>N/A</v>
      </c>
      <c r="O331" s="1331" t="s">
        <v>2139</v>
      </c>
      <c r="P331" s="1332">
        <f>IF($D331="Logistics",VLOOKUP($O331,'Lower Hot Cell Logistics'!$C$4:$D$69,2,FALSE),"N/A")</f>
        <v>0.68</v>
      </c>
      <c r="R331"/>
      <c r="S331"/>
    </row>
    <row r="332" spans="1:19" s="89" customFormat="1" ht="14.6" hidden="1" outlineLevel="1" x14ac:dyDescent="0.4">
      <c r="A332" s="1224"/>
      <c r="B332" s="3815"/>
      <c r="C332" s="1346" t="s">
        <v>2209</v>
      </c>
      <c r="D332" s="1346" t="s">
        <v>778</v>
      </c>
      <c r="E332" s="1292">
        <f t="shared" si="22"/>
        <v>0.69444444444444442</v>
      </c>
      <c r="F332" s="1292">
        <f>IF($D332="Trigger",VLOOKUP("*"&amp;$C332&amp;"*",'Lower Hot Cell Weld Failure'!$D$354:$G$373,4,FALSE),E332+F331)</f>
        <v>32.477415600938258</v>
      </c>
      <c r="G332" s="862"/>
      <c r="H332" s="1328" t="s">
        <v>263</v>
      </c>
      <c r="I332" s="1724" t="s">
        <v>2171</v>
      </c>
      <c r="J332" s="1294" t="s">
        <v>1957</v>
      </c>
      <c r="K332" s="1294" t="s">
        <v>451</v>
      </c>
      <c r="L332" s="865">
        <f>IFERROR(INDEX('Lower Hot Cell Logistics'!$I$13:$O$19,MATCH($J332,'Lower Hot Cell Logistics'!$H$13:$H$19,0),MATCH($K332,'Lower Hot Cell Logistics'!$H$13:$H$19,0)),"N/A")</f>
        <v>50</v>
      </c>
      <c r="M332" s="865">
        <f>IFERROR(VLOOKUP($I332,'Lower Hot Cell Logistics'!$H$4:$I$8,2,FALSE),"N/A")</f>
        <v>0.02</v>
      </c>
      <c r="N332" s="2197">
        <f t="shared" si="24"/>
        <v>0.69444444444444442</v>
      </c>
      <c r="O332" s="1331"/>
      <c r="P332" s="1332" t="str">
        <f>IF($D332="Logistics",VLOOKUP($O332,'Lower Hot Cell Logistics'!$C$4:$D$69,2,FALSE),"N/A")</f>
        <v>N/A</v>
      </c>
      <c r="R332"/>
      <c r="S332"/>
    </row>
    <row r="333" spans="1:19" s="89" customFormat="1" ht="26.6" hidden="1" outlineLevel="1" thickBot="1" x14ac:dyDescent="0.45">
      <c r="A333" s="1224"/>
      <c r="B333" s="3816"/>
      <c r="C333" s="1340" t="str">
        <f>B327</f>
        <v>LIB Inner pipe module stored;  Replacement RIB Inner Port Pipe Module collected; Transporter moved to port</v>
      </c>
      <c r="D333" s="1340" t="s">
        <v>11</v>
      </c>
      <c r="E333" s="1295">
        <f t="shared" si="22"/>
        <v>0</v>
      </c>
      <c r="F333" s="1295">
        <f>IF($D333="Trigger",VLOOKUP("*"&amp;$C333&amp;"*",'Lower Hot Cell Weld Failure'!$D$354:$G$373,4,FALSE),E333+F332)</f>
        <v>32.477415600938258</v>
      </c>
      <c r="G333" s="839"/>
      <c r="H333" s="1341" t="s">
        <v>263</v>
      </c>
      <c r="I333" s="1727"/>
      <c r="J333" s="1340"/>
      <c r="K333" s="1340"/>
      <c r="L333" s="842" t="str">
        <f>IFERROR(INDEX('Lower Hot Cell Logistics'!$I$13:$O$19,MATCH($J333,'Lower Hot Cell Logistics'!$H$13:$H$19,0),MATCH($K333,'Lower Hot Cell Logistics'!$H$13:$H$19,0)),"N/A")</f>
        <v>N/A</v>
      </c>
      <c r="M333" s="842" t="str">
        <f>IFERROR(VLOOKUP($I333,'Lower Hot Cell Logistics'!$H$4:$I$8,2,FALSE),"N/A")</f>
        <v>N/A</v>
      </c>
      <c r="N333" s="2199" t="str">
        <f t="shared" si="24"/>
        <v>N/A</v>
      </c>
      <c r="O333" s="1344"/>
      <c r="P333" s="1345" t="str">
        <f>IF($D333="Logistics",VLOOKUP($O333,'Lower Hot Cell Logistics'!$C$4:$D$69,2,FALSE),"N/A")</f>
        <v>N/A</v>
      </c>
      <c r="R333"/>
      <c r="S333"/>
    </row>
    <row r="334" spans="1:19" s="89" customFormat="1" ht="15" hidden="1" customHeight="1" outlineLevel="1" x14ac:dyDescent="0.4">
      <c r="A334" s="1224"/>
      <c r="B334" s="3787" t="s">
        <v>2287</v>
      </c>
      <c r="C334" s="617" t="s">
        <v>2210</v>
      </c>
      <c r="D334" s="617" t="s">
        <v>907</v>
      </c>
      <c r="E334" s="567">
        <f t="shared" si="22"/>
        <v>0</v>
      </c>
      <c r="F334" s="567">
        <f>IF($D334="Trigger",VLOOKUP("*"&amp;$C334&amp;"*",'Lower Hot Cell Weld Failure'!$D$354:$G$373,4,FALSE),E334+F333)</f>
        <v>74.126444123210632</v>
      </c>
      <c r="G334" s="568"/>
      <c r="H334" s="569" t="s">
        <v>263</v>
      </c>
      <c r="I334" s="1270"/>
      <c r="J334" s="617"/>
      <c r="K334" s="617"/>
      <c r="L334" s="570" t="str">
        <f>IFERROR(INDEX('Lower Hot Cell Logistics'!$I$13:$O$19,MATCH($J334,'Lower Hot Cell Logistics'!$H$13:$H$19,0),MATCH($K334,'Lower Hot Cell Logistics'!$H$13:$H$19,0)),"N/A")</f>
        <v>N/A</v>
      </c>
      <c r="M334" s="802" t="str">
        <f>IFERROR(VLOOKUP($I334,'Lower Hot Cell Logistics'!$H$4:$I$8,2,FALSE),"N/A")</f>
        <v>N/A</v>
      </c>
      <c r="N334" s="1182" t="str">
        <f t="shared" si="24"/>
        <v>N/A</v>
      </c>
      <c r="O334" s="620"/>
      <c r="P334" s="621" t="str">
        <f>IF($D334="Logistics",VLOOKUP($O334,'Lower Hot Cell Logistics'!$C$4:$D$69,2,FALSE),"N/A")</f>
        <v>N/A</v>
      </c>
      <c r="R334"/>
      <c r="S334"/>
    </row>
    <row r="335" spans="1:19" s="89" customFormat="1" ht="15" hidden="1" customHeight="1" outlineLevel="1" x14ac:dyDescent="0.4">
      <c r="A335" s="1224"/>
      <c r="B335" s="3786"/>
      <c r="C335" s="1275" t="s">
        <v>2211</v>
      </c>
      <c r="D335" s="572" t="s">
        <v>778</v>
      </c>
      <c r="E335" s="578">
        <f t="shared" si="22"/>
        <v>0.23148148148148148</v>
      </c>
      <c r="F335" s="578">
        <f>IF($D335="Trigger",VLOOKUP("*"&amp;$C335&amp;"*",'Lower Hot Cell Weld Failure'!$D$354:$G$373,4,FALSE),E335+F334)</f>
        <v>74.357925604692113</v>
      </c>
      <c r="G335" s="872"/>
      <c r="H335" s="2221" t="s">
        <v>263</v>
      </c>
      <c r="I335" s="1281" t="s">
        <v>2142</v>
      </c>
      <c r="J335" s="572" t="s">
        <v>451</v>
      </c>
      <c r="K335" s="572" t="s">
        <v>1965</v>
      </c>
      <c r="L335" s="1176">
        <f>IFERROR(INDEX('Lower Hot Cell Logistics'!$I$13:$O$19,MATCH($J335,'Lower Hot Cell Logistics'!$H$13:$H$19,0),MATCH($K335,'Lower Hot Cell Logistics'!$H$13:$H$19,0)),"N/A")</f>
        <v>50</v>
      </c>
      <c r="M335" s="2222">
        <f>IFERROR(VLOOKUP($I335,'Lower Hot Cell Logistics'!$H$4:$I$8,2,FALSE),"N/A")</f>
        <v>0.06</v>
      </c>
      <c r="N335" s="580">
        <f t="shared" si="24"/>
        <v>0.23148148148148148</v>
      </c>
      <c r="O335" s="631"/>
      <c r="P335" s="632" t="str">
        <f>IF($D335="Logistics",VLOOKUP($O335,'Lower Hot Cell Logistics'!$C$4:$D$69,2,FALSE),"N/A")</f>
        <v>N/A</v>
      </c>
      <c r="R335"/>
      <c r="S335"/>
    </row>
    <row r="336" spans="1:19" s="89" customFormat="1" ht="15" hidden="1" customHeight="1" outlineLevel="1" x14ac:dyDescent="0.4">
      <c r="A336" s="1224"/>
      <c r="B336" s="3786"/>
      <c r="C336" s="1275" t="s">
        <v>2212</v>
      </c>
      <c r="D336" s="572" t="s">
        <v>3</v>
      </c>
      <c r="E336" s="578">
        <f t="shared" si="22"/>
        <v>0.68</v>
      </c>
      <c r="F336" s="578">
        <f>IF($D336="Trigger",VLOOKUP("*"&amp;$C336&amp;"*",'Lower Hot Cell Weld Failure'!$D$354:$G$373,4,FALSE),E336+F335)</f>
        <v>75.03792560469212</v>
      </c>
      <c r="G336" s="872"/>
      <c r="H336" s="2221" t="s">
        <v>263</v>
      </c>
      <c r="I336" s="1281"/>
      <c r="J336" s="572"/>
      <c r="K336" s="572"/>
      <c r="L336" s="1176" t="str">
        <f>IFERROR(INDEX('Lower Hot Cell Logistics'!$I$13:$O$19,MATCH($J336,'Lower Hot Cell Logistics'!$H$13:$H$19,0),MATCH($K336,'Lower Hot Cell Logistics'!$H$13:$H$19,0)),"N/A")</f>
        <v>N/A</v>
      </c>
      <c r="M336" s="2222" t="str">
        <f>IFERROR(VLOOKUP($I336,'Lower Hot Cell Logistics'!$H$4:$I$8,2,FALSE),"N/A")</f>
        <v>N/A</v>
      </c>
      <c r="N336" s="580" t="str">
        <f t="shared" si="24"/>
        <v>N/A</v>
      </c>
      <c r="O336" s="631" t="s">
        <v>2139</v>
      </c>
      <c r="P336" s="632">
        <f>IF($D336="Logistics",VLOOKUP($O336,'Lower Hot Cell Logistics'!$C$4:$D$69,2,FALSE),"N/A")</f>
        <v>0.68</v>
      </c>
      <c r="R336"/>
      <c r="S336"/>
    </row>
    <row r="337" spans="1:19" s="89" customFormat="1" ht="14.6" hidden="1" outlineLevel="1" x14ac:dyDescent="0.4">
      <c r="A337" s="1224"/>
      <c r="B337" s="3786"/>
      <c r="C337" s="572" t="s">
        <v>2189</v>
      </c>
      <c r="D337" s="572" t="s">
        <v>778</v>
      </c>
      <c r="E337" s="574">
        <f t="shared" si="22"/>
        <v>0.69444444444444442</v>
      </c>
      <c r="F337" s="574">
        <f>IF($D337="Trigger",VLOOKUP("*"&amp;$C337&amp;"*",'Lower Hot Cell Weld Failure'!$D$354:$G$373,4,FALSE),E337+F336)</f>
        <v>75.732370049136563</v>
      </c>
      <c r="G337" s="575"/>
      <c r="H337" s="576" t="s">
        <v>263</v>
      </c>
      <c r="I337" s="1281" t="s">
        <v>2171</v>
      </c>
      <c r="J337" s="572" t="s">
        <v>799</v>
      </c>
      <c r="K337" s="572" t="s">
        <v>451</v>
      </c>
      <c r="L337" s="853">
        <f>IFERROR(INDEX('Lower Hot Cell Logistics'!$I$13:$O$19,MATCH($J337,'Lower Hot Cell Logistics'!$H$13:$H$19,0),MATCH($K337,'Lower Hot Cell Logistics'!$H$13:$H$19,0)),"N/A")</f>
        <v>50</v>
      </c>
      <c r="M337" s="853">
        <f>IFERROR(VLOOKUP($I337,'Lower Hot Cell Logistics'!$H$4:$I$8,2,FALSE),"N/A")</f>
        <v>0.02</v>
      </c>
      <c r="N337" s="1180">
        <f t="shared" si="24"/>
        <v>0.69444444444444442</v>
      </c>
      <c r="O337" s="579"/>
      <c r="P337" s="580" t="str">
        <f>IF($D337="Logistics",VLOOKUP($O337,'Lower Hot Cell Logistics'!$C$4:$D$69,2,FALSE),"N/A")</f>
        <v>N/A</v>
      </c>
      <c r="R337"/>
      <c r="S337"/>
    </row>
    <row r="338" spans="1:19" s="89" customFormat="1" ht="26.6" hidden="1" outlineLevel="1" thickBot="1" x14ac:dyDescent="0.45">
      <c r="A338" s="1224"/>
      <c r="B338" s="3788"/>
      <c r="C338" s="583" t="str">
        <f>B334</f>
        <v>Inner LIB pipe module collected; Pipe Module handling System Moved to Lower Port</v>
      </c>
      <c r="D338" s="583" t="s">
        <v>11</v>
      </c>
      <c r="E338" s="585">
        <f t="shared" si="22"/>
        <v>0</v>
      </c>
      <c r="F338" s="585">
        <f>IF($D338="Trigger",VLOOKUP("*"&amp;$C338&amp;"*",'Lower Hot Cell Weld Failure'!$D$354:$G$373,4,FALSE),E338+F337)</f>
        <v>75.732370049136563</v>
      </c>
      <c r="G338" s="586"/>
      <c r="H338" s="587" t="s">
        <v>263</v>
      </c>
      <c r="I338" s="1720"/>
      <c r="J338" s="583"/>
      <c r="K338" s="583"/>
      <c r="L338" s="814" t="str">
        <f>IFERROR(INDEX('Lower Hot Cell Logistics'!$I$13:$O$19,MATCH($J338,'Lower Hot Cell Logistics'!$H$13:$H$19,0),MATCH($K338,'Lower Hot Cell Logistics'!$H$13:$H$19,0)),"N/A")</f>
        <v>N/A</v>
      </c>
      <c r="M338" s="814" t="str">
        <f>IFERROR(VLOOKUP($I338,'Lower Hot Cell Logistics'!$H$4:$I$8,2,FALSE),"N/A")</f>
        <v>N/A</v>
      </c>
      <c r="N338" s="1181" t="str">
        <f t="shared" ref="N338:N343" si="25">IF(D338="Movement",IFERROR((L338/M338)/(60*60),"Error"),"N/A")</f>
        <v>N/A</v>
      </c>
      <c r="O338" s="590"/>
      <c r="P338" s="591" t="str">
        <f>IF($D338="Logistics",VLOOKUP($O338,'Lower Hot Cell Logistics'!$C$4:$D$69,2,FALSE),"N/A")</f>
        <v>N/A</v>
      </c>
      <c r="R338"/>
      <c r="S338"/>
    </row>
    <row r="339" spans="1:19" s="89" customFormat="1" ht="15" hidden="1" customHeight="1" outlineLevel="1" x14ac:dyDescent="0.4">
      <c r="A339" s="1224"/>
      <c r="B339" s="3814" t="s">
        <v>2077</v>
      </c>
      <c r="C339" s="1324" t="s">
        <v>2213</v>
      </c>
      <c r="D339" s="1324" t="s">
        <v>907</v>
      </c>
      <c r="E339" s="1291">
        <f t="shared" si="22"/>
        <v>0</v>
      </c>
      <c r="F339" s="1291">
        <f>IF($D339="Trigger",VLOOKUP("*"&amp;$C339&amp;"*",'Lower Hot Cell Weld Failure'!$D$354:$G$373,4,FALSE),E339+F338)</f>
        <v>108.71994584264631</v>
      </c>
      <c r="G339" s="825"/>
      <c r="H339" s="1323" t="s">
        <v>263</v>
      </c>
      <c r="I339" s="1721"/>
      <c r="J339" s="1324"/>
      <c r="K339" s="1324"/>
      <c r="L339" s="828" t="str">
        <f>IFERROR(INDEX('Lower Hot Cell Logistics'!$I$13:$O$19,MATCH($J339,'Lower Hot Cell Logistics'!$H$13:$H$19,0),MATCH($K339,'Lower Hot Cell Logistics'!$H$13:$H$19,0)),"N/A")</f>
        <v>N/A</v>
      </c>
      <c r="M339" s="827" t="str">
        <f>IFERROR(VLOOKUP($I339,'Lower Hot Cell Logistics'!$H$4:$I$8,2,FALSE),"N/A")</f>
        <v>N/A</v>
      </c>
      <c r="N339" s="2200" t="str">
        <f t="shared" si="25"/>
        <v>N/A</v>
      </c>
      <c r="O339" s="1327"/>
      <c r="P339" s="824" t="str">
        <f>IF($D339="Logistics",VLOOKUP($O339,'Lower Hot Cell Logistics'!$C$4:$D$69,2,FALSE),"N/A")</f>
        <v>N/A</v>
      </c>
      <c r="R339"/>
      <c r="S339"/>
    </row>
    <row r="340" spans="1:19" s="89" customFormat="1" ht="15" hidden="1" customHeight="1" outlineLevel="1" x14ac:dyDescent="0.4">
      <c r="A340" s="1224"/>
      <c r="B340" s="3815"/>
      <c r="C340" s="1362" t="s">
        <v>2211</v>
      </c>
      <c r="D340" s="1294" t="s">
        <v>778</v>
      </c>
      <c r="E340" s="1330">
        <f t="shared" si="22"/>
        <v>0.23148148148148148</v>
      </c>
      <c r="F340" s="1330">
        <f>IF($D340="Trigger",VLOOKUP("*"&amp;$C340&amp;"*",'Lower Hot Cell Weld Failure'!$D$354:$G$373,4,FALSE),E340+F339)</f>
        <v>108.95142732412779</v>
      </c>
      <c r="G340" s="1722"/>
      <c r="H340" s="2219" t="s">
        <v>263</v>
      </c>
      <c r="I340" s="1724" t="s">
        <v>2142</v>
      </c>
      <c r="J340" s="1294" t="s">
        <v>451</v>
      </c>
      <c r="K340" s="1294" t="s">
        <v>1965</v>
      </c>
      <c r="L340" s="2042">
        <f>IFERROR(INDEX('Lower Hot Cell Logistics'!$I$13:$O$19,MATCH($J340,'Lower Hot Cell Logistics'!$H$13:$H$19,0),MATCH($K340,'Lower Hot Cell Logistics'!$H$13:$H$19,0)),"N/A")</f>
        <v>50</v>
      </c>
      <c r="M340" s="2220">
        <f>IFERROR(VLOOKUP($I340,'Lower Hot Cell Logistics'!$H$4:$I$8,2,FALSE),"N/A")</f>
        <v>0.06</v>
      </c>
      <c r="N340" s="1332">
        <f t="shared" si="25"/>
        <v>0.23148148148148148</v>
      </c>
      <c r="O340" s="1352"/>
      <c r="P340" s="1353" t="str">
        <f>IF($D340="Logistics",VLOOKUP($O340,'Lower Hot Cell Logistics'!$C$4:$D$69,2,FALSE),"N/A")</f>
        <v>N/A</v>
      </c>
      <c r="R340"/>
      <c r="S340"/>
    </row>
    <row r="341" spans="1:19" s="89" customFormat="1" ht="15" hidden="1" customHeight="1" outlineLevel="1" x14ac:dyDescent="0.4">
      <c r="A341" s="1224"/>
      <c r="B341" s="3815"/>
      <c r="C341" s="1362" t="s">
        <v>2212</v>
      </c>
      <c r="D341" s="1294" t="s">
        <v>3</v>
      </c>
      <c r="E341" s="1330">
        <f t="shared" si="22"/>
        <v>0.88000000000000012</v>
      </c>
      <c r="F341" s="1330">
        <f>IF($D341="Trigger",VLOOKUP("*"&amp;$C341&amp;"*",'Lower Hot Cell Weld Failure'!$D$354:$G$373,4,FALSE),E341+F340)</f>
        <v>109.83142732412779</v>
      </c>
      <c r="G341" s="1722"/>
      <c r="H341" s="2219" t="s">
        <v>263</v>
      </c>
      <c r="I341" s="1724"/>
      <c r="J341" s="1294"/>
      <c r="K341" s="1294"/>
      <c r="L341" s="2042" t="str">
        <f>IFERROR(INDEX('Lower Hot Cell Logistics'!$I$13:$O$19,MATCH($J341,'Lower Hot Cell Logistics'!$H$13:$H$19,0),MATCH($K341,'Lower Hot Cell Logistics'!$H$13:$H$19,0)),"N/A")</f>
        <v>N/A</v>
      </c>
      <c r="M341" s="2220" t="str">
        <f>IFERROR(VLOOKUP($I341,'Lower Hot Cell Logistics'!$H$4:$I$8,2,FALSE),"N/A")</f>
        <v>N/A</v>
      </c>
      <c r="N341" s="1332" t="str">
        <f t="shared" si="25"/>
        <v>N/A</v>
      </c>
      <c r="O341" s="1352" t="s">
        <v>2144</v>
      </c>
      <c r="P341" s="1353">
        <f>IF($D341="Logistics",VLOOKUP($O341,'Lower Hot Cell Logistics'!$C$4:$D$69,2,FALSE),"N/A")</f>
        <v>0.88000000000000012</v>
      </c>
      <c r="R341"/>
      <c r="S341"/>
    </row>
    <row r="342" spans="1:19" s="89" customFormat="1" ht="14.6" hidden="1" outlineLevel="1" x14ac:dyDescent="0.4">
      <c r="A342" s="1224"/>
      <c r="B342" s="3815"/>
      <c r="C342" s="1294" t="s">
        <v>2189</v>
      </c>
      <c r="D342" s="1294" t="s">
        <v>778</v>
      </c>
      <c r="E342" s="1292">
        <f t="shared" si="22"/>
        <v>0.69444444444444442</v>
      </c>
      <c r="F342" s="1292">
        <f>IF($D342="Trigger",VLOOKUP("*"&amp;$C342&amp;"*",'Lower Hot Cell Weld Failure'!$D$354:$G$373,4,FALSE),E342+F341)</f>
        <v>110.52587176857223</v>
      </c>
      <c r="G342" s="862"/>
      <c r="H342" s="1328" t="s">
        <v>263</v>
      </c>
      <c r="I342" s="1724" t="s">
        <v>2171</v>
      </c>
      <c r="J342" s="1294" t="s">
        <v>799</v>
      </c>
      <c r="K342" s="1294" t="s">
        <v>451</v>
      </c>
      <c r="L342" s="865">
        <f>IFERROR(INDEX('Lower Hot Cell Logistics'!$I$13:$O$19,MATCH($J342,'Lower Hot Cell Logistics'!$H$13:$H$19,0),MATCH($K342,'Lower Hot Cell Logistics'!$H$13:$H$19,0)),"N/A")</f>
        <v>50</v>
      </c>
      <c r="M342" s="865">
        <f>IFERROR(VLOOKUP($I342,'Lower Hot Cell Logistics'!$H$4:$I$8,2,FALSE),"N/A")</f>
        <v>0.02</v>
      </c>
      <c r="N342" s="2197">
        <f t="shared" si="25"/>
        <v>0.69444444444444442</v>
      </c>
      <c r="O342" s="1331"/>
      <c r="P342" s="1332" t="str">
        <f>IF($D342="Logistics",VLOOKUP($O342,'Lower Hot Cell Logistics'!$C$4:$D$69,2,FALSE),"N/A")</f>
        <v>N/A</v>
      </c>
      <c r="R342"/>
      <c r="S342"/>
    </row>
    <row r="343" spans="1:19" s="89" customFormat="1" ht="26.6" hidden="1" outlineLevel="1" thickBot="1" x14ac:dyDescent="0.45">
      <c r="A343" s="1224"/>
      <c r="B343" s="3816"/>
      <c r="C343" s="1340" t="str">
        <f>B339</f>
        <v>RIB pipe module collected; Pipe Module handling System Moved to Lower Port</v>
      </c>
      <c r="D343" s="1340" t="s">
        <v>11</v>
      </c>
      <c r="E343" s="1295">
        <f t="shared" si="22"/>
        <v>0</v>
      </c>
      <c r="F343" s="1295">
        <f>IF($D343="Trigger",VLOOKUP("*"&amp;$C343&amp;"*",'Lower Hot Cell Weld Failure'!$D$354:$G$373,4,FALSE),E343+F342)</f>
        <v>110.52587176857223</v>
      </c>
      <c r="G343" s="839"/>
      <c r="H343" s="1341" t="s">
        <v>263</v>
      </c>
      <c r="I343" s="1727"/>
      <c r="J343" s="1340"/>
      <c r="K343" s="1340"/>
      <c r="L343" s="842" t="str">
        <f>IFERROR(INDEX('Lower Hot Cell Logistics'!$I$13:$O$19,MATCH($J343,'Lower Hot Cell Logistics'!$H$13:$H$19,0),MATCH($K343,'Lower Hot Cell Logistics'!$H$13:$H$19,0)),"N/A")</f>
        <v>N/A</v>
      </c>
      <c r="M343" s="842" t="str">
        <f>IFERROR(VLOOKUP($I343,'Lower Hot Cell Logistics'!$H$4:$I$8,2,FALSE),"N/A")</f>
        <v>N/A</v>
      </c>
      <c r="N343" s="2199" t="str">
        <f t="shared" si="25"/>
        <v>N/A</v>
      </c>
      <c r="O343" s="1344"/>
      <c r="P343" s="1345" t="str">
        <f>IF($D343="Logistics",VLOOKUP($O343,'Lower Hot Cell Logistics'!$C$4:$D$69,2,FALSE),"N/A")</f>
        <v>N/A</v>
      </c>
      <c r="R343"/>
      <c r="S343"/>
    </row>
    <row r="344" spans="1:19" s="2121" customFormat="1" ht="12.75" hidden="1" customHeight="1" outlineLevel="1" x14ac:dyDescent="0.4">
      <c r="A344" s="1224"/>
      <c r="B344" s="3787" t="s">
        <v>1880</v>
      </c>
      <c r="C344" s="566" t="s">
        <v>2346</v>
      </c>
      <c r="D344" s="566" t="s">
        <v>907</v>
      </c>
      <c r="E344" s="1175">
        <f t="shared" si="22"/>
        <v>0</v>
      </c>
      <c r="F344" s="621">
        <f>IF($D344="Trigger",VLOOKUP("*"&amp;$C344&amp;"*",'Lower Hot Cell Weld Failure'!$D$354:$G$373,4,FALSE),E344+F343)</f>
        <v>0</v>
      </c>
      <c r="G344" s="568"/>
      <c r="H344" s="569" t="str">
        <f>IF(D344="operation",VLOOKUP(G344,#REF!,5,FALSE), "N/A")</f>
        <v>N/A</v>
      </c>
      <c r="I344" s="566"/>
      <c r="J344" s="566"/>
      <c r="K344" s="566"/>
      <c r="L344" s="1175" t="str">
        <f>IFERROR(INDEX('Lower Hot Cell Logistics'!$I$13:$O$19,MATCH($J344,'Lower Hot Cell Logistics'!$H$13:$H$19,0),MATCH($K344,'Lower Hot Cell Logistics'!$H$13:$H$19,0)),"N/A")</f>
        <v>N/A</v>
      </c>
      <c r="M344" s="1175" t="str">
        <f>IFERROR(VLOOKUP($I344,'Lower Hot Cell Logistics'!$H$4:$I$8,2,FALSE),"N/A")</f>
        <v>N/A</v>
      </c>
      <c r="N344" s="1175" t="str">
        <f t="shared" ref="N344:N355" si="26">IF(D344="Movement",IFERROR((L344/M344)/(60*60),"Error"),"N/A")</f>
        <v>N/A</v>
      </c>
      <c r="O344" s="620"/>
      <c r="P344" s="621" t="str">
        <f>IF($D344="Logistics",VLOOKUP($O344,'Lower Hot Cell Logistics'!$C$4:$D$69,2,FALSE),"N/A")</f>
        <v>N/A</v>
      </c>
    </row>
    <row r="345" spans="1:19" s="2121" customFormat="1" ht="12.75" hidden="1" customHeight="1" outlineLevel="1" x14ac:dyDescent="0.4">
      <c r="A345" s="1224"/>
      <c r="B345" s="3786"/>
      <c r="C345" s="573" t="s">
        <v>1945</v>
      </c>
      <c r="D345" s="573" t="s">
        <v>251</v>
      </c>
      <c r="E345" s="1176">
        <f t="shared" si="22"/>
        <v>56.503779497213472</v>
      </c>
      <c r="F345" s="580">
        <f>IF($D345="Trigger",VLOOKUP("*"&amp;$C345&amp;"*",'Lower Hot Cell Weld Failure'!$D$354:$G$373,4,FALSE),E345+F344)</f>
        <v>56.503779497213472</v>
      </c>
      <c r="G345" s="575" t="s">
        <v>141</v>
      </c>
      <c r="H345" s="580">
        <v>56.503779497213472</v>
      </c>
      <c r="I345" s="573"/>
      <c r="J345" s="573"/>
      <c r="K345" s="573"/>
      <c r="L345" s="1176" t="str">
        <f>IFERROR(INDEX('Lower Hot Cell Logistics'!$I$13:$O$19,MATCH($J345,'Lower Hot Cell Logistics'!$H$13:$H$19,0),MATCH($K345,'Lower Hot Cell Logistics'!$H$13:$H$19,0)),"N/A")</f>
        <v>N/A</v>
      </c>
      <c r="M345" s="1176" t="str">
        <f>IFERROR(VLOOKUP($I345,'Lower Hot Cell Logistics'!$H$4:$I$8,2,FALSE),"N/A")</f>
        <v>N/A</v>
      </c>
      <c r="N345" s="1176" t="str">
        <f t="shared" si="26"/>
        <v>N/A</v>
      </c>
      <c r="O345" s="579"/>
      <c r="P345" s="580" t="str">
        <f>IF($D345="Logistics",VLOOKUP($O345,'Lower Hot Cell Logistics'!$C$4:$D$69,2,FALSE),"N/A")</f>
        <v>N/A</v>
      </c>
    </row>
    <row r="346" spans="1:19" s="2121" customFormat="1" ht="13.5" hidden="1" customHeight="1" outlineLevel="1" thickBot="1" x14ac:dyDescent="0.45">
      <c r="A346" s="1224"/>
      <c r="B346" s="3788"/>
      <c r="C346" s="584" t="str">
        <f>B344</f>
        <v>RIB Blanket segment installed</v>
      </c>
      <c r="D346" s="584" t="s">
        <v>11</v>
      </c>
      <c r="E346" s="1179">
        <f t="shared" si="22"/>
        <v>0</v>
      </c>
      <c r="F346" s="591">
        <f>IF($D346="Trigger",VLOOKUP("*"&amp;$C346&amp;"*",'Lower Hot Cell Weld Failure'!$D$354:$G$373,4,FALSE),E346+F345)</f>
        <v>56.503779497213472</v>
      </c>
      <c r="G346" s="586"/>
      <c r="H346" s="587" t="str">
        <f>IF(D346="operation",VLOOKUP(G346,#REF!,5,FALSE), "N/A")</f>
        <v>N/A</v>
      </c>
      <c r="I346" s="584"/>
      <c r="J346" s="584"/>
      <c r="K346" s="584"/>
      <c r="L346" s="1179" t="str">
        <f>IFERROR(INDEX('Lower Hot Cell Logistics'!$I$13:$O$19,MATCH($J346,'Lower Hot Cell Logistics'!$H$13:$H$19,0),MATCH($K346,'Lower Hot Cell Logistics'!$H$13:$H$19,0)),"N/A")</f>
        <v>N/A</v>
      </c>
      <c r="M346" s="1179" t="str">
        <f>IFERROR(VLOOKUP($I346,'Lower Hot Cell Logistics'!$H$4:$I$8,2,FALSE),"N/A")</f>
        <v>N/A</v>
      </c>
      <c r="N346" s="1179" t="str">
        <f t="shared" si="26"/>
        <v>N/A</v>
      </c>
      <c r="O346" s="590"/>
      <c r="P346" s="591" t="str">
        <f>IF($D346="Logistics",VLOOKUP($O346,'Lower Hot Cell Logistics'!$C$4:$D$69,2,FALSE),"N/A")</f>
        <v>N/A</v>
      </c>
    </row>
    <row r="347" spans="1:19" s="2121" customFormat="1" ht="12.75" hidden="1" customHeight="1" outlineLevel="1" x14ac:dyDescent="0.4">
      <c r="A347" s="1224"/>
      <c r="B347" s="3787" t="s">
        <v>1894</v>
      </c>
      <c r="C347" s="566" t="s">
        <v>2346</v>
      </c>
      <c r="D347" s="566" t="s">
        <v>907</v>
      </c>
      <c r="E347" s="1175">
        <f t="shared" si="22"/>
        <v>0</v>
      </c>
      <c r="F347" s="621">
        <f>IF($D347="Trigger",VLOOKUP("*"&amp;$C347&amp;"*",'Lower Hot Cell Weld Failure'!$D$354:$G$373,4,FALSE),E347+F346)</f>
        <v>0</v>
      </c>
      <c r="G347" s="568"/>
      <c r="H347" s="569" t="str">
        <f>IF(D347="operation",VLOOKUP(G347,#REF!,5,FALSE), "N/A")</f>
        <v>N/A</v>
      </c>
      <c r="I347" s="566"/>
      <c r="J347" s="566"/>
      <c r="K347" s="566"/>
      <c r="L347" s="1175" t="str">
        <f>IFERROR(INDEX('Lower Hot Cell Logistics'!$I$13:$O$19,MATCH($J347,'Lower Hot Cell Logistics'!$H$13:$H$19,0),MATCH($K347,'Lower Hot Cell Logistics'!$H$13:$H$19,0)),"N/A")</f>
        <v>N/A</v>
      </c>
      <c r="M347" s="1175" t="str">
        <f>IFERROR(VLOOKUP($I347,'Lower Hot Cell Logistics'!$H$4:$I$8,2,FALSE),"N/A")</f>
        <v>N/A</v>
      </c>
      <c r="N347" s="1175" t="str">
        <f t="shared" si="26"/>
        <v>N/A</v>
      </c>
      <c r="O347" s="620"/>
      <c r="P347" s="621" t="str">
        <f>IF($D347="Logistics",VLOOKUP($O347,'Lower Hot Cell Logistics'!$C$4:$D$69,2,FALSE),"N/A")</f>
        <v>N/A</v>
      </c>
    </row>
    <row r="348" spans="1:19" s="2121" customFormat="1" ht="12.75" hidden="1" customHeight="1" outlineLevel="1" x14ac:dyDescent="0.4">
      <c r="A348" s="1224"/>
      <c r="B348" s="3786"/>
      <c r="C348" s="573" t="s">
        <v>1945</v>
      </c>
      <c r="D348" s="573" t="s">
        <v>251</v>
      </c>
      <c r="E348" s="1176">
        <f t="shared" si="22"/>
        <v>84.099335052769007</v>
      </c>
      <c r="F348" s="580">
        <f>IF($D348="Trigger",VLOOKUP("*"&amp;$C348&amp;"*",'Lower Hot Cell Weld Failure'!$D$354:$G$373,4,FALSE),E348+F347)</f>
        <v>84.099335052769007</v>
      </c>
      <c r="G348" s="575" t="s">
        <v>1085</v>
      </c>
      <c r="H348" s="580">
        <v>84.099335052769007</v>
      </c>
      <c r="I348" s="573"/>
      <c r="J348" s="573"/>
      <c r="K348" s="573"/>
      <c r="L348" s="1176" t="str">
        <f>IFERROR(INDEX('Lower Hot Cell Logistics'!$I$13:$O$19,MATCH($J348,'Lower Hot Cell Logistics'!$H$13:$H$19,0),MATCH($K348,'Lower Hot Cell Logistics'!$H$13:$H$19,0)),"N/A")</f>
        <v>N/A</v>
      </c>
      <c r="M348" s="1176" t="str">
        <f>IFERROR(VLOOKUP($I348,'Lower Hot Cell Logistics'!$H$4:$I$8,2,FALSE),"N/A")</f>
        <v>N/A</v>
      </c>
      <c r="N348" s="1176" t="str">
        <f t="shared" si="26"/>
        <v>N/A</v>
      </c>
      <c r="O348" s="579"/>
      <c r="P348" s="580" t="str">
        <f>IF($D348="Logistics",VLOOKUP($O348,'Lower Hot Cell Logistics'!$C$4:$D$69,2,FALSE),"N/A")</f>
        <v>N/A</v>
      </c>
    </row>
    <row r="349" spans="1:19" s="2121" customFormat="1" ht="13.5" hidden="1" customHeight="1" outlineLevel="1" thickBot="1" x14ac:dyDescent="0.45">
      <c r="A349" s="1224"/>
      <c r="B349" s="3788"/>
      <c r="C349" s="584" t="str">
        <f>B347</f>
        <v>RIB Upper Port Pipe Module installed</v>
      </c>
      <c r="D349" s="584" t="s">
        <v>11</v>
      </c>
      <c r="E349" s="1179">
        <f t="shared" si="22"/>
        <v>0</v>
      </c>
      <c r="F349" s="591">
        <f>IF($D349="Trigger",VLOOKUP("*"&amp;$C349&amp;"*",'Lower Hot Cell Weld Failure'!$D$354:$G$373,4,FALSE),E349+F348)</f>
        <v>84.099335052769007</v>
      </c>
      <c r="G349" s="586"/>
      <c r="H349" s="587" t="str">
        <f>IF(D349="operation",VLOOKUP(G349,#REF!,5,FALSE), "N/A")</f>
        <v>N/A</v>
      </c>
      <c r="I349" s="584"/>
      <c r="J349" s="584"/>
      <c r="K349" s="584"/>
      <c r="L349" s="1179" t="str">
        <f>IFERROR(INDEX('Lower Hot Cell Logistics'!$I$13:$O$19,MATCH($J349,'Lower Hot Cell Logistics'!$H$13:$H$19,0),MATCH($K349,'Lower Hot Cell Logistics'!$H$13:$H$19,0)),"N/A")</f>
        <v>N/A</v>
      </c>
      <c r="M349" s="1179" t="str">
        <f>IFERROR(VLOOKUP($I349,'Lower Hot Cell Logistics'!$H$4:$I$8,2,FALSE),"N/A")</f>
        <v>N/A</v>
      </c>
      <c r="N349" s="1179" t="str">
        <f t="shared" si="26"/>
        <v>N/A</v>
      </c>
      <c r="O349" s="590"/>
      <c r="P349" s="591" t="str">
        <f>IF($D349="Logistics",VLOOKUP($O349,'Lower Hot Cell Logistics'!$C$4:$D$69,2,FALSE),"N/A")</f>
        <v>N/A</v>
      </c>
    </row>
    <row r="350" spans="1:19" s="2121" customFormat="1" ht="12.75" hidden="1" customHeight="1" outlineLevel="1" x14ac:dyDescent="0.4">
      <c r="A350" s="1224"/>
      <c r="B350" s="3787" t="s">
        <v>1881</v>
      </c>
      <c r="C350" s="566" t="s">
        <v>2346</v>
      </c>
      <c r="D350" s="566" t="s">
        <v>907</v>
      </c>
      <c r="E350" s="1175">
        <f t="shared" si="22"/>
        <v>0</v>
      </c>
      <c r="F350" s="621">
        <f>IF($D350="Trigger",VLOOKUP("*"&amp;$C350&amp;"*",'Lower Hot Cell Weld Failure'!$D$277:$G$302,4,FALSE),E350+F349)</f>
        <v>0</v>
      </c>
      <c r="G350" s="568"/>
      <c r="H350" s="569" t="str">
        <f>IF(D350="operation",VLOOKUP(G350,#REF!,5,FALSE), "N/A")</f>
        <v>N/A</v>
      </c>
      <c r="I350" s="566"/>
      <c r="J350" s="566"/>
      <c r="K350" s="566"/>
      <c r="L350" s="1175" t="str">
        <f>IFERROR(INDEX('Lower Hot Cell Logistics'!$I$13:$O$19,MATCH($J350,'Lower Hot Cell Logistics'!$H$13:$H$19,0),MATCH($K350,'Lower Hot Cell Logistics'!$H$13:$H$19,0)),"N/A")</f>
        <v>N/A</v>
      </c>
      <c r="M350" s="1175" t="str">
        <f>IFERROR(VLOOKUP($I350,'Lower Hot Cell Logistics'!$H$4:$I$8,2,FALSE),"N/A")</f>
        <v>N/A</v>
      </c>
      <c r="N350" s="1175" t="str">
        <f t="shared" si="26"/>
        <v>N/A</v>
      </c>
      <c r="O350" s="620"/>
      <c r="P350" s="621" t="str">
        <f>IF($D350="Logistics",VLOOKUP($O350,'Lower Hot Cell Logistics'!$C$4:$D$69,2,FALSE),"N/A")</f>
        <v>N/A</v>
      </c>
    </row>
    <row r="351" spans="1:19" s="2121" customFormat="1" ht="12.75" hidden="1" customHeight="1" outlineLevel="1" x14ac:dyDescent="0.4">
      <c r="A351" s="1224"/>
      <c r="B351" s="3786"/>
      <c r="C351" s="573" t="s">
        <v>1945</v>
      </c>
      <c r="D351" s="573" t="s">
        <v>251</v>
      </c>
      <c r="E351" s="1176">
        <f t="shared" si="22"/>
        <v>91.097281216649151</v>
      </c>
      <c r="F351" s="580">
        <f>IF($D351="Trigger",VLOOKUP("*"&amp;$C351&amp;"*",'Lower Hot Cell Weld Failure'!$D$277:$G$302,4,FALSE),E351+F350)</f>
        <v>91.097281216649151</v>
      </c>
      <c r="G351" s="575" t="s">
        <v>139</v>
      </c>
      <c r="H351" s="580">
        <v>91.097281216649151</v>
      </c>
      <c r="I351" s="573"/>
      <c r="J351" s="573"/>
      <c r="K351" s="573"/>
      <c r="L351" s="1176" t="str">
        <f>IFERROR(INDEX('Lower Hot Cell Logistics'!$I$13:$O$19,MATCH($J351,'Lower Hot Cell Logistics'!$H$13:$H$19,0),MATCH($K351,'Lower Hot Cell Logistics'!$H$13:$H$19,0)),"N/A")</f>
        <v>N/A</v>
      </c>
      <c r="M351" s="1176" t="str">
        <f>IFERROR(VLOOKUP($I351,'Lower Hot Cell Logistics'!$H$4:$I$8,2,FALSE),"N/A")</f>
        <v>N/A</v>
      </c>
      <c r="N351" s="1176" t="str">
        <f t="shared" si="26"/>
        <v>N/A</v>
      </c>
      <c r="O351" s="579"/>
      <c r="P351" s="580" t="str">
        <f>IF($D351="Logistics",VLOOKUP($O351,'Lower Hot Cell Logistics'!$C$4:$D$69,2,FALSE),"N/A")</f>
        <v>N/A</v>
      </c>
    </row>
    <row r="352" spans="1:19" s="2121" customFormat="1" ht="13.5" hidden="1" customHeight="1" outlineLevel="1" thickBot="1" x14ac:dyDescent="0.45">
      <c r="A352" s="1224"/>
      <c r="B352" s="3788"/>
      <c r="C352" s="584" t="str">
        <f>B350</f>
        <v>LIB Blanket segment installed</v>
      </c>
      <c r="D352" s="584" t="s">
        <v>11</v>
      </c>
      <c r="E352" s="1179">
        <f t="shared" si="22"/>
        <v>0</v>
      </c>
      <c r="F352" s="591">
        <f>IF($D352="Trigger",VLOOKUP("*"&amp;$C352&amp;"*",'Lower Hot Cell Weld Failure'!$D$277:$G$302,4,FALSE),E352+F351)</f>
        <v>91.097281216649151</v>
      </c>
      <c r="G352" s="586"/>
      <c r="H352" s="587" t="str">
        <f>IF(D352="operation",VLOOKUP(G352,#REF!,5,FALSE), "N/A")</f>
        <v>N/A</v>
      </c>
      <c r="I352" s="584"/>
      <c r="J352" s="584"/>
      <c r="K352" s="584"/>
      <c r="L352" s="1179" t="str">
        <f>IFERROR(INDEX('Lower Hot Cell Logistics'!$I$13:$O$19,MATCH($J352,'Lower Hot Cell Logistics'!$H$13:$H$19,0),MATCH($K352,'Lower Hot Cell Logistics'!$H$13:$H$19,0)),"N/A")</f>
        <v>N/A</v>
      </c>
      <c r="M352" s="1179" t="str">
        <f>IFERROR(VLOOKUP($I352,'Lower Hot Cell Logistics'!$H$4:$I$8,2,FALSE),"N/A")</f>
        <v>N/A</v>
      </c>
      <c r="N352" s="1179" t="str">
        <f t="shared" si="26"/>
        <v>N/A</v>
      </c>
      <c r="O352" s="590"/>
      <c r="P352" s="591" t="str">
        <f>IF($D352="Logistics",VLOOKUP($O352,'Lower Hot Cell Logistics'!$C$4:$D$69,2,FALSE),"N/A")</f>
        <v>N/A</v>
      </c>
    </row>
    <row r="353" spans="1:19" s="2121" customFormat="1" ht="12.75" hidden="1" customHeight="1" outlineLevel="1" x14ac:dyDescent="0.4">
      <c r="A353" s="1224"/>
      <c r="B353" s="3787" t="s">
        <v>1951</v>
      </c>
      <c r="C353" s="566" t="s">
        <v>2346</v>
      </c>
      <c r="D353" s="566" t="s">
        <v>907</v>
      </c>
      <c r="E353" s="1175">
        <f t="shared" si="22"/>
        <v>0</v>
      </c>
      <c r="F353" s="621">
        <f>IF($D353="Trigger",VLOOKUP("*"&amp;$C353&amp;"*",'Lower Hot Cell Weld Failure'!$D$277:$G$302,4,FALSE),E353+F352)</f>
        <v>0</v>
      </c>
      <c r="G353" s="568"/>
      <c r="H353" s="569" t="str">
        <f>IF(D353="operation",VLOOKUP(G353,#REF!,5,FALSE), "N/A")</f>
        <v>N/A</v>
      </c>
      <c r="I353" s="566"/>
      <c r="J353" s="566"/>
      <c r="K353" s="566"/>
      <c r="L353" s="1175" t="str">
        <f>IFERROR(INDEX('Lower Hot Cell Logistics'!$I$13:$O$19,MATCH($J353,'Lower Hot Cell Logistics'!$H$13:$H$19,0),MATCH($K353,'Lower Hot Cell Logistics'!$H$13:$H$19,0)),"N/A")</f>
        <v>N/A</v>
      </c>
      <c r="M353" s="1175" t="str">
        <f>IFERROR(VLOOKUP($I353,'Lower Hot Cell Logistics'!$H$4:$I$8,2,FALSE),"N/A")</f>
        <v>N/A</v>
      </c>
      <c r="N353" s="1175" t="str">
        <f t="shared" si="26"/>
        <v>N/A</v>
      </c>
      <c r="O353" s="620"/>
      <c r="P353" s="621" t="str">
        <f>IF($D353="Logistics",VLOOKUP($O353,'Lower Hot Cell Logistics'!$C$4:$D$69,2,FALSE),"N/A")</f>
        <v>N/A</v>
      </c>
    </row>
    <row r="354" spans="1:19" s="2121" customFormat="1" ht="12.75" hidden="1" customHeight="1" outlineLevel="1" x14ac:dyDescent="0.4">
      <c r="A354" s="1224"/>
      <c r="B354" s="3786"/>
      <c r="C354" s="573" t="s">
        <v>1945</v>
      </c>
      <c r="D354" s="573" t="s">
        <v>251</v>
      </c>
      <c r="E354" s="1176">
        <f t="shared" si="22"/>
        <v>168.61620943515601</v>
      </c>
      <c r="F354" s="580">
        <f>IF($D354="Trigger",VLOOKUP("*"&amp;$C354&amp;"*",'Lower Hot Cell Weld Failure'!$D$277:$G$302,4,FALSE),E354+F353)</f>
        <v>168.61620943515601</v>
      </c>
      <c r="G354" s="575" t="s">
        <v>1088</v>
      </c>
      <c r="H354" s="580">
        <v>168.61620943515601</v>
      </c>
      <c r="I354" s="573"/>
      <c r="J354" s="573"/>
      <c r="K354" s="573"/>
      <c r="L354" s="1176" t="str">
        <f>IFERROR(INDEX('Lower Hot Cell Logistics'!$I$13:$O$19,MATCH($J354,'Lower Hot Cell Logistics'!$H$13:$H$19,0),MATCH($K354,'Lower Hot Cell Logistics'!$H$13:$H$19,0)),"N/A")</f>
        <v>N/A</v>
      </c>
      <c r="M354" s="1176" t="str">
        <f>IFERROR(VLOOKUP($I354,'Lower Hot Cell Logistics'!$H$4:$I$8,2,FALSE),"N/A")</f>
        <v>N/A</v>
      </c>
      <c r="N354" s="1176" t="str">
        <f t="shared" si="26"/>
        <v>N/A</v>
      </c>
      <c r="O354" s="579"/>
      <c r="P354" s="580" t="str">
        <f>IF($D354="Logistics",VLOOKUP($O354,'Lower Hot Cell Logistics'!$C$4:$D$69,2,FALSE),"N/A")</f>
        <v>N/A</v>
      </c>
    </row>
    <row r="355" spans="1:19" s="2121" customFormat="1" ht="13.5" hidden="1" customHeight="1" outlineLevel="1" thickBot="1" x14ac:dyDescent="0.45">
      <c r="A355" s="1224"/>
      <c r="B355" s="3788"/>
      <c r="C355" s="584" t="str">
        <f>B353</f>
        <v>LIB Upper Port Pipe Module installed</v>
      </c>
      <c r="D355" s="584" t="s">
        <v>11</v>
      </c>
      <c r="E355" s="1179">
        <f t="shared" si="22"/>
        <v>0</v>
      </c>
      <c r="F355" s="591">
        <f>IF($D355="Trigger",VLOOKUP("*"&amp;$C355&amp;"*",'Lower Hot Cell Weld Failure'!$D$277:$G$302,4,FALSE),E355+F354)</f>
        <v>168.61620943515601</v>
      </c>
      <c r="G355" s="586"/>
      <c r="H355" s="587" t="str">
        <f>IF(D355="operation",VLOOKUP(G355,#REF!,5,FALSE), "N/A")</f>
        <v>N/A</v>
      </c>
      <c r="I355" s="584"/>
      <c r="J355" s="584"/>
      <c r="K355" s="584"/>
      <c r="L355" s="1179" t="str">
        <f>IFERROR(INDEX('Lower Hot Cell Logistics'!$I$13:$O$19,MATCH($J355,'Lower Hot Cell Logistics'!$H$13:$H$19,0),MATCH($K355,'Lower Hot Cell Logistics'!$H$13:$H$19,0)),"N/A")</f>
        <v>N/A</v>
      </c>
      <c r="M355" s="1179" t="str">
        <f>IFERROR(VLOOKUP($I355,'Lower Hot Cell Logistics'!$H$4:$I$8,2,FALSE),"N/A")</f>
        <v>N/A</v>
      </c>
      <c r="N355" s="1179" t="str">
        <f t="shared" si="26"/>
        <v>N/A</v>
      </c>
      <c r="O355" s="590"/>
      <c r="P355" s="591" t="str">
        <f>IF($D355="Logistics",VLOOKUP($O355,'Lower Hot Cell Logistics'!$C$4:$D$69,2,FALSE),"N/A")</f>
        <v>N/A</v>
      </c>
    </row>
    <row r="356" spans="1:19" s="2121" customFormat="1" ht="13.3" collapsed="1" thickBot="1" x14ac:dyDescent="0.45">
      <c r="A356" s="1228"/>
      <c r="B356" s="1566"/>
      <c r="C356" s="1229"/>
      <c r="D356" s="1229"/>
      <c r="E356" s="1229"/>
      <c r="F356" s="1229"/>
      <c r="G356" s="1229"/>
      <c r="H356" s="1567"/>
      <c r="I356" s="1229"/>
      <c r="J356" s="1229"/>
      <c r="K356" s="1229"/>
      <c r="L356" s="1230"/>
      <c r="M356" s="1230"/>
      <c r="N356" s="1230"/>
      <c r="O356" s="1229"/>
      <c r="P356" s="1231"/>
    </row>
    <row r="357" spans="1:19" s="2121" customFormat="1" x14ac:dyDescent="0.4">
      <c r="A357" s="2140"/>
      <c r="B357" s="2141" t="s">
        <v>2352</v>
      </c>
      <c r="C357" s="2141"/>
      <c r="D357" s="2141"/>
      <c r="E357" s="2141"/>
      <c r="F357" s="2141"/>
      <c r="G357" s="2141"/>
      <c r="H357" s="2141"/>
      <c r="I357" s="2141"/>
      <c r="J357" s="2141"/>
      <c r="K357" s="2141"/>
      <c r="L357" s="2141"/>
      <c r="M357" s="2141"/>
      <c r="N357" s="2141"/>
      <c r="O357" s="2141"/>
      <c r="P357" s="2142"/>
    </row>
    <row r="358" spans="1:19" s="2121" customFormat="1" ht="13.3" hidden="1" outlineLevel="1" thickBot="1" x14ac:dyDescent="0.45">
      <c r="A358" s="2143"/>
      <c r="B358" s="2144"/>
      <c r="C358" s="2145"/>
      <c r="D358" s="2145"/>
      <c r="E358" s="2145"/>
      <c r="F358" s="2145"/>
      <c r="G358" s="2145"/>
      <c r="H358" s="2146"/>
      <c r="I358" s="2145"/>
      <c r="J358" s="2145"/>
      <c r="K358" s="2145"/>
      <c r="L358" s="2147"/>
      <c r="M358" s="2147"/>
      <c r="N358" s="2147"/>
      <c r="O358" s="2145"/>
      <c r="P358" s="2148"/>
    </row>
    <row r="359" spans="1:19" s="89" customFormat="1" ht="15" hidden="1" customHeight="1" outlineLevel="1" x14ac:dyDescent="0.4">
      <c r="A359" s="2143"/>
      <c r="B359" s="3787" t="s">
        <v>2297</v>
      </c>
      <c r="C359" s="617" t="s">
        <v>2292</v>
      </c>
      <c r="D359" s="617" t="s">
        <v>907</v>
      </c>
      <c r="E359" s="567">
        <f t="shared" ref="E359:E392" si="27">MAX($P359,$N359,$H359)</f>
        <v>0</v>
      </c>
      <c r="F359" s="567">
        <f>IF($D359="Trigger",VLOOKUP("*"&amp;$C359&amp;"*",'Lower Hot Cell Weld Failure'!$D$242:$G$254,4,FALSE),E359+F358)</f>
        <v>0</v>
      </c>
      <c r="G359" s="568"/>
      <c r="H359" s="569" t="s">
        <v>263</v>
      </c>
      <c r="I359" s="1270"/>
      <c r="J359" s="617"/>
      <c r="K359" s="617"/>
      <c r="L359" s="570" t="str">
        <f>IFERROR(INDEX('Lower Hot Cell Logistics'!$I$13:$O$19,MATCH($J359,'Lower Hot Cell Logistics'!$H$13:$H$19,0),MATCH($K359,'Lower Hot Cell Logistics'!$H$13:$H$19,0)),"N/A")</f>
        <v>N/A</v>
      </c>
      <c r="M359" s="802" t="str">
        <f>IFERROR(VLOOKUP($I359,'Lower Hot Cell Logistics'!$H$4:$I$8,2,FALSE),"N/A")</f>
        <v>N/A</v>
      </c>
      <c r="N359" s="1182" t="str">
        <f t="shared" ref="N359:N368" si="28">IF(D359="Movement",IFERROR((L359/M359)/(60*60),"Error"),"N/A")</f>
        <v>N/A</v>
      </c>
      <c r="O359" s="620"/>
      <c r="P359" s="621" t="str">
        <f>IF($D359="Logistics",VLOOKUP($O359,'Lower Hot Cell Logistics'!$C$4:$D$69,2,FALSE),"N/A")</f>
        <v>N/A</v>
      </c>
      <c r="R359"/>
      <c r="S359"/>
    </row>
    <row r="360" spans="1:19" s="89" customFormat="1" ht="15" hidden="1" customHeight="1" outlineLevel="1" x14ac:dyDescent="0.4">
      <c r="A360" s="2143"/>
      <c r="B360" s="3786"/>
      <c r="C360" s="1275" t="s">
        <v>2141</v>
      </c>
      <c r="D360" s="572" t="s">
        <v>778</v>
      </c>
      <c r="E360" s="578">
        <f t="shared" si="27"/>
        <v>0.69444444444444442</v>
      </c>
      <c r="F360" s="578">
        <f>IF($D360="Trigger",VLOOKUP("*"&amp;$C360&amp;"*",'Lower Hot Cell Weld Failure'!$D$242:$G$254,4,FALSE),E360+F359)</f>
        <v>0.69444444444444442</v>
      </c>
      <c r="G360" s="872"/>
      <c r="H360" s="2221" t="s">
        <v>263</v>
      </c>
      <c r="I360" s="1281" t="s">
        <v>1826</v>
      </c>
      <c r="J360" s="572" t="s">
        <v>451</v>
      </c>
      <c r="K360" s="572" t="s">
        <v>831</v>
      </c>
      <c r="L360" s="1176">
        <f>IFERROR(INDEX('Lower Hot Cell Logistics'!$I$13:$O$19,MATCH($J360,'Lower Hot Cell Logistics'!$H$13:$H$19,0),MATCH($K360,'Lower Hot Cell Logistics'!$H$13:$H$19,0)),"N/A")</f>
        <v>50</v>
      </c>
      <c r="M360" s="2222">
        <f>IFERROR(VLOOKUP($I360,'Lower Hot Cell Logistics'!$H$4:$I$8,2,FALSE),"N/A")</f>
        <v>0.02</v>
      </c>
      <c r="N360" s="580">
        <f t="shared" si="28"/>
        <v>0.69444444444444442</v>
      </c>
      <c r="O360" s="631"/>
      <c r="P360" s="632" t="str">
        <f>IF($D360="Logistics",VLOOKUP($O360,'Lower Hot Cell Logistics'!$C$4:$D$69,2,FALSE),"N/A")</f>
        <v>N/A</v>
      </c>
      <c r="R360"/>
      <c r="S360"/>
    </row>
    <row r="361" spans="1:19" s="89" customFormat="1" ht="15" hidden="1" customHeight="1" outlineLevel="1" x14ac:dyDescent="0.4">
      <c r="A361" s="2143"/>
      <c r="B361" s="3786"/>
      <c r="C361" s="1275" t="s">
        <v>1757</v>
      </c>
      <c r="D361" s="572" t="s">
        <v>3</v>
      </c>
      <c r="E361" s="578">
        <f t="shared" si="27"/>
        <v>0.88000000000000012</v>
      </c>
      <c r="F361" s="578">
        <f>IF($D361="Trigger",VLOOKUP("*"&amp;$C361&amp;"*",'Lower Hot Cell Weld Failure'!$D$242:$G$254,4,FALSE),E361+F360)</f>
        <v>1.5744444444444445</v>
      </c>
      <c r="G361" s="872"/>
      <c r="H361" s="2221" t="s">
        <v>263</v>
      </c>
      <c r="I361" s="1281"/>
      <c r="J361" s="572"/>
      <c r="K361" s="572"/>
      <c r="L361" s="1176" t="str">
        <f>IFERROR(INDEX('Lower Hot Cell Logistics'!$I$13:$O$19,MATCH($J361,'Lower Hot Cell Logistics'!$H$13:$H$19,0),MATCH($K361,'Lower Hot Cell Logistics'!$H$13:$H$19,0)),"N/A")</f>
        <v>N/A</v>
      </c>
      <c r="M361" s="2222" t="str">
        <f>IFERROR(VLOOKUP($I361,'Lower Hot Cell Logistics'!$H$4:$I$8,2,FALSE),"N/A")</f>
        <v>N/A</v>
      </c>
      <c r="N361" s="580" t="str">
        <f t="shared" si="28"/>
        <v>N/A</v>
      </c>
      <c r="O361" s="631" t="s">
        <v>2144</v>
      </c>
      <c r="P361" s="632">
        <f>IF($D361="Logistics",VLOOKUP($O361,'Lower Hot Cell Logistics'!$C$4:$D$69,2,FALSE),"N/A")</f>
        <v>0.88000000000000012</v>
      </c>
      <c r="R361"/>
      <c r="S361"/>
    </row>
    <row r="362" spans="1:19" s="89" customFormat="1" ht="14.6" hidden="1" outlineLevel="1" x14ac:dyDescent="0.4">
      <c r="A362" s="2143"/>
      <c r="B362" s="3786"/>
      <c r="C362" s="572" t="s">
        <v>2189</v>
      </c>
      <c r="D362" s="572" t="s">
        <v>778</v>
      </c>
      <c r="E362" s="578">
        <f t="shared" si="27"/>
        <v>0.23148148148148148</v>
      </c>
      <c r="F362" s="578">
        <f>IF($D362="Trigger",VLOOKUP("*"&amp;$C362&amp;"*",'Lower Hot Cell Weld Failure'!$D$242:$G$254,4,FALSE),E362+F361)</f>
        <v>1.8059259259259259</v>
      </c>
      <c r="G362" s="575"/>
      <c r="H362" s="576" t="s">
        <v>263</v>
      </c>
      <c r="I362" s="1281" t="s">
        <v>2190</v>
      </c>
      <c r="J362" s="572" t="s">
        <v>799</v>
      </c>
      <c r="K362" s="572" t="s">
        <v>451</v>
      </c>
      <c r="L362" s="853">
        <f>IFERROR(INDEX('Lower Hot Cell Logistics'!$I$13:$O$19,MATCH($J362,'Lower Hot Cell Logistics'!$H$13:$H$19,0),MATCH($K362,'Lower Hot Cell Logistics'!$H$13:$H$19,0)),"N/A")</f>
        <v>50</v>
      </c>
      <c r="M362" s="853">
        <f>IFERROR(VLOOKUP($I362,'Lower Hot Cell Logistics'!$H$4:$I$8,2,FALSE),"N/A")</f>
        <v>0.06</v>
      </c>
      <c r="N362" s="1180">
        <f t="shared" si="28"/>
        <v>0.23148148148148148</v>
      </c>
      <c r="O362" s="579"/>
      <c r="P362" s="580" t="str">
        <f>IF($D362="Logistics",VLOOKUP($O362,'Lower Hot Cell Logistics'!$C$4:$D$69,2,FALSE),"N/A")</f>
        <v>N/A</v>
      </c>
      <c r="R362"/>
      <c r="S362"/>
    </row>
    <row r="363" spans="1:19" s="89" customFormat="1" ht="26.6" hidden="1" outlineLevel="1" thickBot="1" x14ac:dyDescent="0.45">
      <c r="A363" s="2143"/>
      <c r="B363" s="3788"/>
      <c r="C363" s="583" t="str">
        <f>B359</f>
        <v>New RIB pipe module stored;  Pipe Module handling System Moved to Lower Port</v>
      </c>
      <c r="D363" s="583" t="s">
        <v>11</v>
      </c>
      <c r="E363" s="585">
        <f t="shared" si="27"/>
        <v>0</v>
      </c>
      <c r="F363" s="585">
        <f>IF($D363="Trigger",VLOOKUP("*"&amp;$C363&amp;"*",'Lower Hot Cell Weld Failure'!$D$242:$G$254,4,FALSE),E363+F362)</f>
        <v>1.8059259259259259</v>
      </c>
      <c r="G363" s="586"/>
      <c r="H363" s="587" t="s">
        <v>263</v>
      </c>
      <c r="I363" s="1720"/>
      <c r="J363" s="583"/>
      <c r="K363" s="583"/>
      <c r="L363" s="814" t="str">
        <f>IFERROR(INDEX('Lower Hot Cell Logistics'!$I$13:$O$19,MATCH($J363,'Lower Hot Cell Logistics'!$H$13:$H$19,0),MATCH($K363,'Lower Hot Cell Logistics'!$H$13:$H$19,0)),"N/A")</f>
        <v>N/A</v>
      </c>
      <c r="M363" s="814" t="str">
        <f>IFERROR(VLOOKUP($I363,'Lower Hot Cell Logistics'!$H$4:$I$8,2,FALSE),"N/A")</f>
        <v>N/A</v>
      </c>
      <c r="N363" s="1181" t="str">
        <f t="shared" si="28"/>
        <v>N/A</v>
      </c>
      <c r="O363" s="590"/>
      <c r="P363" s="591" t="str">
        <f>IF($D363="Logistics",VLOOKUP($O363,'Lower Hot Cell Logistics'!$C$4:$D$69,2,FALSE),"N/A")</f>
        <v>N/A</v>
      </c>
      <c r="R363"/>
      <c r="S363"/>
    </row>
    <row r="364" spans="1:19" s="89" customFormat="1" ht="15" hidden="1" customHeight="1" outlineLevel="1" x14ac:dyDescent="0.4">
      <c r="A364" s="2143"/>
      <c r="B364" s="3814" t="s">
        <v>2353</v>
      </c>
      <c r="C364" s="1324" t="s">
        <v>2296</v>
      </c>
      <c r="D364" s="1324" t="s">
        <v>907</v>
      </c>
      <c r="E364" s="1291">
        <f t="shared" si="27"/>
        <v>0</v>
      </c>
      <c r="F364" s="1291">
        <f>IF($D364="Trigger",VLOOKUP("*"&amp;$C364&amp;"*",'Lower Hot Cell Weld Failure'!$D$242:$G$254,4,FALSE),E364+F363)</f>
        <v>26.935934119456778</v>
      </c>
      <c r="G364" s="825"/>
      <c r="H364" s="1323" t="s">
        <v>263</v>
      </c>
      <c r="I364" s="1721"/>
      <c r="J364" s="1324"/>
      <c r="K364" s="1324"/>
      <c r="L364" s="828" t="str">
        <f>IFERROR(INDEX('Lower Hot Cell Logistics'!$I$13:$O$19,MATCH($J364,'Lower Hot Cell Logistics'!$H$13:$H$19,0),MATCH($K364,'Lower Hot Cell Logistics'!$H$13:$H$19,0)),"N/A")</f>
        <v>N/A</v>
      </c>
      <c r="M364" s="827" t="str">
        <f>IFERROR(VLOOKUP($I364,'Lower Hot Cell Logistics'!$H$4:$I$8,2,FALSE),"N/A")</f>
        <v>N/A</v>
      </c>
      <c r="N364" s="2200" t="str">
        <f t="shared" si="28"/>
        <v>N/A</v>
      </c>
      <c r="O364" s="1327"/>
      <c r="P364" s="824" t="str">
        <f>IF($D364="Logistics",VLOOKUP($O364,'Lower Hot Cell Logistics'!$C$4:$D$69,2,FALSE),"N/A")</f>
        <v>N/A</v>
      </c>
      <c r="R364"/>
      <c r="S364"/>
    </row>
    <row r="365" spans="1:19" s="89" customFormat="1" ht="15" hidden="1" customHeight="1" outlineLevel="1" x14ac:dyDescent="0.4">
      <c r="A365" s="2143"/>
      <c r="B365" s="3815"/>
      <c r="C365" s="1362" t="s">
        <v>2141</v>
      </c>
      <c r="D365" s="1294" t="s">
        <v>778</v>
      </c>
      <c r="E365" s="1330">
        <f t="shared" si="27"/>
        <v>0.69444444444444442</v>
      </c>
      <c r="F365" s="1330">
        <f>IF($D365="Trigger",VLOOKUP("*"&amp;$C365&amp;"*",'Lower Hot Cell Weld Failure'!$D$242:$G$254,4,FALSE),E365+F364)</f>
        <v>27.630378563901221</v>
      </c>
      <c r="G365" s="1722"/>
      <c r="H365" s="2219" t="s">
        <v>263</v>
      </c>
      <c r="I365" s="1724" t="s">
        <v>1826</v>
      </c>
      <c r="J365" s="1294" t="s">
        <v>451</v>
      </c>
      <c r="K365" s="1294" t="s">
        <v>831</v>
      </c>
      <c r="L365" s="2042">
        <f>IFERROR(INDEX('Lower Hot Cell Logistics'!$I$13:$O$19,MATCH($J365,'Lower Hot Cell Logistics'!$H$13:$H$19,0),MATCH($K365,'Lower Hot Cell Logistics'!$H$13:$H$19,0)),"N/A")</f>
        <v>50</v>
      </c>
      <c r="M365" s="2220">
        <f>IFERROR(VLOOKUP($I365,'Lower Hot Cell Logistics'!$H$4:$I$8,2,FALSE),"N/A")</f>
        <v>0.02</v>
      </c>
      <c r="N365" s="1332">
        <f t="shared" si="28"/>
        <v>0.69444444444444442</v>
      </c>
      <c r="O365" s="1352"/>
      <c r="P365" s="1353" t="str">
        <f>IF($D365="Logistics",VLOOKUP($O365,'Lower Hot Cell Logistics'!$C$4:$D$69,2,FALSE),"N/A")</f>
        <v>N/A</v>
      </c>
      <c r="R365"/>
      <c r="S365"/>
    </row>
    <row r="366" spans="1:19" s="89" customFormat="1" ht="15" hidden="1" customHeight="1" outlineLevel="1" x14ac:dyDescent="0.4">
      <c r="A366" s="2143"/>
      <c r="B366" s="3815"/>
      <c r="C366" s="1362" t="s">
        <v>1757</v>
      </c>
      <c r="D366" s="1294" t="s">
        <v>3</v>
      </c>
      <c r="E366" s="1330">
        <f t="shared" si="27"/>
        <v>0.88000000000000012</v>
      </c>
      <c r="F366" s="1330">
        <f>IF($D366="Trigger",VLOOKUP("*"&amp;$C366&amp;"*",'Lower Hot Cell Weld Failure'!$D$242:$G$254,4,FALSE),E366+F365)</f>
        <v>28.51037856390122</v>
      </c>
      <c r="G366" s="1722"/>
      <c r="H366" s="2219" t="s">
        <v>263</v>
      </c>
      <c r="I366" s="1724"/>
      <c r="J366" s="1294"/>
      <c r="K366" s="1294"/>
      <c r="L366" s="2042" t="str">
        <f>IFERROR(INDEX('Lower Hot Cell Logistics'!$I$13:$O$19,MATCH($J366,'Lower Hot Cell Logistics'!$H$13:$H$19,0),MATCH($K366,'Lower Hot Cell Logistics'!$H$13:$H$19,0)),"N/A")</f>
        <v>N/A</v>
      </c>
      <c r="M366" s="2220" t="str">
        <f>IFERROR(VLOOKUP($I366,'Lower Hot Cell Logistics'!$H$4:$I$8,2,FALSE),"N/A")</f>
        <v>N/A</v>
      </c>
      <c r="N366" s="1332" t="str">
        <f t="shared" si="28"/>
        <v>N/A</v>
      </c>
      <c r="O366" s="1352" t="s">
        <v>2144</v>
      </c>
      <c r="P366" s="1353">
        <f>IF($D366="Logistics",VLOOKUP($O366,'Lower Hot Cell Logistics'!$C$4:$D$69,2,FALSE),"N/A")</f>
        <v>0.88000000000000012</v>
      </c>
      <c r="R366"/>
      <c r="S366"/>
    </row>
    <row r="367" spans="1:19" s="89" customFormat="1" ht="14.6" hidden="1" outlineLevel="1" x14ac:dyDescent="0.4">
      <c r="A367" s="2143"/>
      <c r="B367" s="3815"/>
      <c r="C367" s="1294" t="s">
        <v>2189</v>
      </c>
      <c r="D367" s="1294" t="s">
        <v>778</v>
      </c>
      <c r="E367" s="1292">
        <f t="shared" si="27"/>
        <v>0.23148148148148148</v>
      </c>
      <c r="F367" s="1292">
        <f>IF($D367="Trigger",VLOOKUP("*"&amp;$C367&amp;"*",'Lower Hot Cell Weld Failure'!$D$242:$G$254,4,FALSE),E367+F366)</f>
        <v>28.741860045382701</v>
      </c>
      <c r="G367" s="862"/>
      <c r="H367" s="1328" t="s">
        <v>263</v>
      </c>
      <c r="I367" s="1724" t="s">
        <v>2190</v>
      </c>
      <c r="J367" s="1294" t="s">
        <v>799</v>
      </c>
      <c r="K367" s="1294" t="s">
        <v>451</v>
      </c>
      <c r="L367" s="865">
        <f>IFERROR(INDEX('Lower Hot Cell Logistics'!$I$13:$O$19,MATCH($J367,'Lower Hot Cell Logistics'!$H$13:$H$19,0),MATCH($K367,'Lower Hot Cell Logistics'!$H$13:$H$19,0)),"N/A")</f>
        <v>50</v>
      </c>
      <c r="M367" s="865">
        <f>IFERROR(VLOOKUP($I367,'Lower Hot Cell Logistics'!$H$4:$I$8,2,FALSE),"N/A")</f>
        <v>0.06</v>
      </c>
      <c r="N367" s="2197">
        <f t="shared" si="28"/>
        <v>0.23148148148148148</v>
      </c>
      <c r="O367" s="1331"/>
      <c r="P367" s="1332" t="str">
        <f>IF($D367="Logistics",VLOOKUP($O367,'Lower Hot Cell Logistics'!$C$4:$D$69,2,FALSE),"N/A")</f>
        <v>N/A</v>
      </c>
      <c r="R367"/>
      <c r="S367"/>
    </row>
    <row r="368" spans="1:19" s="89" customFormat="1" ht="26.6" hidden="1" outlineLevel="1" thickBot="1" x14ac:dyDescent="0.45">
      <c r="A368" s="2143"/>
      <c r="B368" s="3816"/>
      <c r="C368" s="1340" t="str">
        <f>B364</f>
        <v>RIB Inner Port pipe module stored;  Pipe Module handling System Moved to Lower Port</v>
      </c>
      <c r="D368" s="1340" t="s">
        <v>11</v>
      </c>
      <c r="E368" s="1295">
        <f t="shared" si="27"/>
        <v>0</v>
      </c>
      <c r="F368" s="1295">
        <f>IF($D368="Trigger",VLOOKUP("*"&amp;$C368&amp;"*",'Lower Hot Cell Weld Failure'!$D$242:$G$254,4,FALSE),E368+F367)</f>
        <v>28.741860045382701</v>
      </c>
      <c r="G368" s="839"/>
      <c r="H368" s="1341" t="s">
        <v>263</v>
      </c>
      <c r="I368" s="1727"/>
      <c r="J368" s="1340"/>
      <c r="K368" s="1340"/>
      <c r="L368" s="842" t="str">
        <f>IFERROR(INDEX('Lower Hot Cell Logistics'!$I$13:$O$19,MATCH($J368,'Lower Hot Cell Logistics'!$H$13:$H$19,0),MATCH($K368,'Lower Hot Cell Logistics'!$H$13:$H$19,0)),"N/A")</f>
        <v>N/A</v>
      </c>
      <c r="M368" s="842" t="str">
        <f>IFERROR(VLOOKUP($I368,'Lower Hot Cell Logistics'!$H$4:$I$8,2,FALSE),"N/A")</f>
        <v>N/A</v>
      </c>
      <c r="N368" s="2199" t="str">
        <f t="shared" si="28"/>
        <v>N/A</v>
      </c>
      <c r="O368" s="1344"/>
      <c r="P368" s="1345" t="str">
        <f>IF($D368="Logistics",VLOOKUP($O368,'Lower Hot Cell Logistics'!$C$4:$D$69,2,FALSE),"N/A")</f>
        <v>N/A</v>
      </c>
      <c r="R368"/>
      <c r="S368"/>
    </row>
    <row r="369" spans="1:19" s="89" customFormat="1" ht="14.6" hidden="1" outlineLevel="1" x14ac:dyDescent="0.4">
      <c r="A369" s="2143"/>
      <c r="B369" s="3814" t="s">
        <v>2286</v>
      </c>
      <c r="C369" s="1324" t="s">
        <v>2296</v>
      </c>
      <c r="D369" s="1324" t="s">
        <v>907</v>
      </c>
      <c r="E369" s="1291">
        <f t="shared" si="27"/>
        <v>0</v>
      </c>
      <c r="F369" s="1291">
        <f>IF($D369="Trigger",VLOOKUP("*"&amp;$C369&amp;"*",'Lower Hot Cell Weld Failure'!$D$242:$G$254,4,FALSE),E369+F368)</f>
        <v>26.935934119456778</v>
      </c>
      <c r="G369" s="825"/>
      <c r="H369" s="1323" t="s">
        <v>263</v>
      </c>
      <c r="I369" s="1721"/>
      <c r="J369" s="1324"/>
      <c r="K369" s="1324"/>
      <c r="L369" s="828" t="str">
        <f>IFERROR(INDEX('Lower Hot Cell Logistics'!$I$13:$O$19,MATCH($J369,'Lower Hot Cell Logistics'!$H$13:$H$19,0),MATCH($K369,'Lower Hot Cell Logistics'!$H$13:$H$19,0)),"N/A")</f>
        <v>N/A</v>
      </c>
      <c r="M369" s="828" t="str">
        <f>IFERROR(VLOOKUP($I369,'Lower Hot Cell Logistics'!$H$4:$I$8,2,FALSE),"N/A")</f>
        <v>N/A</v>
      </c>
      <c r="N369" s="2200" t="str">
        <f t="shared" ref="N369:N379" si="29">IF(D369="Movement",IFERROR((L369/M369)/(60*60),"Error"),"N/A")</f>
        <v>N/A</v>
      </c>
      <c r="O369" s="1327"/>
      <c r="P369" s="824" t="str">
        <f>IF($D369="Logistics",VLOOKUP($O369,'Lower Hot Cell Logistics'!$C$4:$D$69,2,FALSE),"N/A")</f>
        <v>N/A</v>
      </c>
      <c r="R369"/>
      <c r="S369"/>
    </row>
    <row r="370" spans="1:19" s="89" customFormat="1" ht="14.6" hidden="1" outlineLevel="1" x14ac:dyDescent="0.4">
      <c r="A370" s="2143"/>
      <c r="B370" s="3815"/>
      <c r="C370" s="1294" t="s">
        <v>2344</v>
      </c>
      <c r="D370" s="1294" t="s">
        <v>778</v>
      </c>
      <c r="E370" s="1292">
        <f t="shared" si="27"/>
        <v>0.69444444444444442</v>
      </c>
      <c r="F370" s="1292">
        <f>IF($D370="Trigger",VLOOKUP("*"&amp;$C370&amp;"*",'Lower Hot Cell Weld Failure'!$D$242:$G$254,4,FALSE),E370+F369)</f>
        <v>27.630378563901221</v>
      </c>
      <c r="G370" s="862"/>
      <c r="H370" s="1328" t="s">
        <v>263</v>
      </c>
      <c r="I370" s="1724" t="s">
        <v>1826</v>
      </c>
      <c r="J370" s="1294" t="s">
        <v>451</v>
      </c>
      <c r="K370" s="1294" t="s">
        <v>914</v>
      </c>
      <c r="L370" s="865">
        <f>IFERROR(INDEX('Lower Hot Cell Logistics'!$I$13:$O$19,MATCH($J370,'Lower Hot Cell Logistics'!$H$13:$H$19,0),MATCH($K370,'Lower Hot Cell Logistics'!$H$13:$H$19,0)),"N/A")</f>
        <v>50</v>
      </c>
      <c r="M370" s="865">
        <f>IFERROR(VLOOKUP($I370,'Lower Hot Cell Logistics'!$H$4:$I$8,2,FALSE),"N/A")</f>
        <v>0.02</v>
      </c>
      <c r="N370" s="2197">
        <f t="shared" si="29"/>
        <v>0.69444444444444442</v>
      </c>
      <c r="O370" s="1331"/>
      <c r="P370" s="1332" t="str">
        <f>IF($D370="Logistics",VLOOKUP($O370,'Lower Hot Cell Logistics'!$C$4:$D$69,2,FALSE),"N/A")</f>
        <v>N/A</v>
      </c>
      <c r="R370"/>
      <c r="S370"/>
    </row>
    <row r="371" spans="1:19" s="89" customFormat="1" ht="14.6" hidden="1" outlineLevel="1" x14ac:dyDescent="0.4">
      <c r="A371" s="2143"/>
      <c r="B371" s="3815"/>
      <c r="C371" s="1294" t="s">
        <v>2345</v>
      </c>
      <c r="D371" s="1294" t="s">
        <v>3</v>
      </c>
      <c r="E371" s="1292">
        <f t="shared" si="27"/>
        <v>0.88000000000000012</v>
      </c>
      <c r="F371" s="1292">
        <f>IF($D371="Trigger",VLOOKUP("*"&amp;$C371&amp;"*",'Lower Hot Cell Weld Failure'!$D$242:$G$254,4,FALSE),E371+F370)</f>
        <v>28.51037856390122</v>
      </c>
      <c r="G371" s="862"/>
      <c r="H371" s="1328" t="s">
        <v>263</v>
      </c>
      <c r="I371" s="1724"/>
      <c r="J371" s="1294"/>
      <c r="K371" s="1294"/>
      <c r="L371" s="865" t="str">
        <f>IFERROR(INDEX('Lower Hot Cell Logistics'!$I$13:$O$19,MATCH($J371,'Lower Hot Cell Logistics'!$H$13:$H$19,0),MATCH($K371,'Lower Hot Cell Logistics'!$H$13:$H$19,0)),"N/A")</f>
        <v>N/A</v>
      </c>
      <c r="M371" s="865" t="str">
        <f>IFERROR(VLOOKUP($I371,'Lower Hot Cell Logistics'!$H$4:$I$8,2,FALSE),"N/A")</f>
        <v>N/A</v>
      </c>
      <c r="N371" s="2197" t="str">
        <f t="shared" si="29"/>
        <v>N/A</v>
      </c>
      <c r="O371" s="1331" t="s">
        <v>2144</v>
      </c>
      <c r="P371" s="1332">
        <f>IF($D371="Logistics",VLOOKUP($O371,'Lower Hot Cell Logistics'!$C$4:$D$69,2,FALSE),"N/A")</f>
        <v>0.88000000000000012</v>
      </c>
      <c r="R371"/>
      <c r="S371"/>
    </row>
    <row r="372" spans="1:19" s="89" customFormat="1" ht="14.6" hidden="1" outlineLevel="1" x14ac:dyDescent="0.4">
      <c r="A372" s="2143"/>
      <c r="B372" s="3815"/>
      <c r="C372" s="1294" t="s">
        <v>2207</v>
      </c>
      <c r="D372" s="1294" t="s">
        <v>778</v>
      </c>
      <c r="E372" s="1292">
        <f t="shared" si="27"/>
        <v>9.2592592592592601E-2</v>
      </c>
      <c r="F372" s="1292">
        <f>IF($D372="Trigger",VLOOKUP("*"&amp;$C372&amp;"*",'Lower Hot Cell Weld Failure'!$D$242:$G$254,4,FALSE),E372+F371)</f>
        <v>28.602971156493812</v>
      </c>
      <c r="G372" s="862"/>
      <c r="H372" s="1328" t="s">
        <v>263</v>
      </c>
      <c r="I372" s="1724" t="s">
        <v>2142</v>
      </c>
      <c r="J372" s="1294" t="s">
        <v>799</v>
      </c>
      <c r="K372" s="1294" t="s">
        <v>1957</v>
      </c>
      <c r="L372" s="865">
        <f>IFERROR(INDEX('Lower Hot Cell Logistics'!$I$13:$O$19,MATCH($J372,'Lower Hot Cell Logistics'!$H$13:$H$19,0),MATCH($K372,'Lower Hot Cell Logistics'!$H$13:$H$19,0)),"N/A")</f>
        <v>20</v>
      </c>
      <c r="M372" s="865">
        <f>IFERROR(VLOOKUP($I372,'Lower Hot Cell Logistics'!$H$4:$I$8,2,FALSE),"N/A")</f>
        <v>0.06</v>
      </c>
      <c r="N372" s="2197">
        <f t="shared" si="29"/>
        <v>9.2592592592592601E-2</v>
      </c>
      <c r="O372" s="1331"/>
      <c r="P372" s="1332" t="str">
        <f>IF($D372="Logistics",VLOOKUP($O372,'Lower Hot Cell Logistics'!$C$4:$D$69,2,FALSE),"N/A")</f>
        <v>N/A</v>
      </c>
      <c r="R372"/>
      <c r="S372"/>
    </row>
    <row r="373" spans="1:19" s="89" customFormat="1" ht="14.6" hidden="1" outlineLevel="1" x14ac:dyDescent="0.4">
      <c r="A373" s="2143"/>
      <c r="B373" s="3815"/>
      <c r="C373" s="1346" t="s">
        <v>2208</v>
      </c>
      <c r="D373" s="1346" t="s">
        <v>3</v>
      </c>
      <c r="E373" s="1292">
        <f t="shared" si="27"/>
        <v>0.68</v>
      </c>
      <c r="F373" s="1292">
        <f>IF($D373="Trigger",VLOOKUP("*"&amp;$C373&amp;"*",'Lower Hot Cell Weld Failure'!$D$242:$G$254,4,FALSE),E373+F372)</f>
        <v>29.282971156493812</v>
      </c>
      <c r="G373" s="862"/>
      <c r="H373" s="1328" t="s">
        <v>263</v>
      </c>
      <c r="I373" s="1724"/>
      <c r="J373" s="1294"/>
      <c r="K373" s="1294"/>
      <c r="L373" s="865" t="str">
        <f>IFERROR(INDEX('Lower Hot Cell Logistics'!$I$13:$O$19,MATCH($J373,'Lower Hot Cell Logistics'!$H$13:$H$19,0),MATCH($K373,'Lower Hot Cell Logistics'!$H$13:$H$19,0)),"N/A")</f>
        <v>N/A</v>
      </c>
      <c r="M373" s="865" t="str">
        <f>IFERROR(VLOOKUP($I373,'Lower Hot Cell Logistics'!$H$4:$I$8,2,FALSE),"N/A")</f>
        <v>N/A</v>
      </c>
      <c r="N373" s="2197" t="str">
        <f t="shared" si="29"/>
        <v>N/A</v>
      </c>
      <c r="O373" s="1331" t="s">
        <v>2139</v>
      </c>
      <c r="P373" s="1332">
        <f>IF($D373="Logistics",VLOOKUP($O373,'Lower Hot Cell Logistics'!$C$4:$D$69,2,FALSE),"N/A")</f>
        <v>0.68</v>
      </c>
      <c r="R373"/>
      <c r="S373"/>
    </row>
    <row r="374" spans="1:19" s="89" customFormat="1" ht="14.6" hidden="1" outlineLevel="1" x14ac:dyDescent="0.4">
      <c r="A374" s="2143"/>
      <c r="B374" s="3815"/>
      <c r="C374" s="1346" t="s">
        <v>2209</v>
      </c>
      <c r="D374" s="1346" t="s">
        <v>778</v>
      </c>
      <c r="E374" s="1292">
        <f t="shared" si="27"/>
        <v>0.69444444444444442</v>
      </c>
      <c r="F374" s="1292">
        <f>IF($D374="Trigger",VLOOKUP("*"&amp;$C374&amp;"*",'Lower Hot Cell Weld Failure'!$D$242:$G$254,4,FALSE),E374+F373)</f>
        <v>29.977415600938254</v>
      </c>
      <c r="G374" s="862"/>
      <c r="H374" s="1328" t="s">
        <v>263</v>
      </c>
      <c r="I374" s="1724" t="s">
        <v>2171</v>
      </c>
      <c r="J374" s="1294" t="s">
        <v>1957</v>
      </c>
      <c r="K374" s="1294" t="s">
        <v>451</v>
      </c>
      <c r="L374" s="865">
        <f>IFERROR(INDEX('Lower Hot Cell Logistics'!$I$13:$O$19,MATCH($J374,'Lower Hot Cell Logistics'!$H$13:$H$19,0),MATCH($K374,'Lower Hot Cell Logistics'!$H$13:$H$19,0)),"N/A")</f>
        <v>50</v>
      </c>
      <c r="M374" s="865">
        <f>IFERROR(VLOOKUP($I374,'Lower Hot Cell Logistics'!$H$4:$I$8,2,FALSE),"N/A")</f>
        <v>0.02</v>
      </c>
      <c r="N374" s="2197">
        <f t="shared" si="29"/>
        <v>0.69444444444444442</v>
      </c>
      <c r="O374" s="1331"/>
      <c r="P374" s="1332" t="str">
        <f>IF($D374="Logistics",VLOOKUP($O374,'Lower Hot Cell Logistics'!$C$4:$D$69,2,FALSE),"N/A")</f>
        <v>N/A</v>
      </c>
      <c r="R374"/>
      <c r="S374"/>
    </row>
    <row r="375" spans="1:19" s="89" customFormat="1" ht="26.6" hidden="1" outlineLevel="1" thickBot="1" x14ac:dyDescent="0.45">
      <c r="A375" s="2143"/>
      <c r="B375" s="3816"/>
      <c r="C375" s="1340" t="str">
        <f>B369</f>
        <v>LIB Inner pipe module stored;  Replacement RIB Inner Port Pipe Module collected; Transporter moved to port</v>
      </c>
      <c r="D375" s="1340" t="s">
        <v>11</v>
      </c>
      <c r="E375" s="1295">
        <f t="shared" si="27"/>
        <v>0</v>
      </c>
      <c r="F375" s="1295">
        <f>IF($D375="Trigger",VLOOKUP("*"&amp;$C375&amp;"*",'Lower Hot Cell Weld Failure'!$D$242:$G$254,4,FALSE),E375+F374)</f>
        <v>29.977415600938254</v>
      </c>
      <c r="G375" s="839"/>
      <c r="H375" s="1341" t="s">
        <v>263</v>
      </c>
      <c r="I375" s="1727"/>
      <c r="J375" s="1340"/>
      <c r="K375" s="1340"/>
      <c r="L375" s="842" t="str">
        <f>IFERROR(INDEX('Lower Hot Cell Logistics'!$I$13:$O$19,MATCH($J375,'Lower Hot Cell Logistics'!$H$13:$H$19,0),MATCH($K375,'Lower Hot Cell Logistics'!$H$13:$H$19,0)),"N/A")</f>
        <v>N/A</v>
      </c>
      <c r="M375" s="842" t="str">
        <f>IFERROR(VLOOKUP($I375,'Lower Hot Cell Logistics'!$H$4:$I$8,2,FALSE),"N/A")</f>
        <v>N/A</v>
      </c>
      <c r="N375" s="2199" t="str">
        <f t="shared" si="29"/>
        <v>N/A</v>
      </c>
      <c r="O375" s="1344"/>
      <c r="P375" s="1345" t="str">
        <f>IF($D375="Logistics",VLOOKUP($O375,'Lower Hot Cell Logistics'!$C$4:$D$69,2,FALSE),"N/A")</f>
        <v>N/A</v>
      </c>
      <c r="R375"/>
      <c r="S375"/>
    </row>
    <row r="376" spans="1:19" s="89" customFormat="1" ht="15" hidden="1" customHeight="1" outlineLevel="1" x14ac:dyDescent="0.4">
      <c r="A376" s="2143"/>
      <c r="B376" s="3787" t="s">
        <v>2301</v>
      </c>
      <c r="C376" s="617" t="s">
        <v>2210</v>
      </c>
      <c r="D376" s="617" t="s">
        <v>907</v>
      </c>
      <c r="E376" s="567">
        <f t="shared" si="27"/>
        <v>0</v>
      </c>
      <c r="F376" s="567">
        <f>IF($D376="Trigger",VLOOKUP("*"&amp;$C376&amp;"*",'Lower Hot Cell Weld Failure'!$D$242:$G$254,4,FALSE),E376+F375)</f>
        <v>126.34261046864347</v>
      </c>
      <c r="G376" s="568"/>
      <c r="H376" s="569" t="s">
        <v>263</v>
      </c>
      <c r="I376" s="1270"/>
      <c r="J376" s="617"/>
      <c r="K376" s="617"/>
      <c r="L376" s="570" t="str">
        <f>IFERROR(INDEX('Lower Hot Cell Logistics'!$I$13:$O$19,MATCH($J376,'Lower Hot Cell Logistics'!$H$13:$H$19,0),MATCH($K376,'Lower Hot Cell Logistics'!$H$13:$H$19,0)),"N/A")</f>
        <v>N/A</v>
      </c>
      <c r="M376" s="802" t="str">
        <f>IFERROR(VLOOKUP($I376,'Lower Hot Cell Logistics'!$H$4:$I$8,2,FALSE),"N/A")</f>
        <v>N/A</v>
      </c>
      <c r="N376" s="1182" t="str">
        <f t="shared" si="29"/>
        <v>N/A</v>
      </c>
      <c r="O376" s="620"/>
      <c r="P376" s="621" t="str">
        <f>IF($D376="Logistics",VLOOKUP($O376,'Lower Hot Cell Logistics'!$C$4:$D$69,2,FALSE),"N/A")</f>
        <v>N/A</v>
      </c>
      <c r="R376"/>
      <c r="S376"/>
    </row>
    <row r="377" spans="1:19" s="89" customFormat="1" ht="15" hidden="1" customHeight="1" outlineLevel="1" x14ac:dyDescent="0.4">
      <c r="A377" s="2143"/>
      <c r="B377" s="3786"/>
      <c r="C377" s="1275" t="s">
        <v>2211</v>
      </c>
      <c r="D377" s="572" t="s">
        <v>778</v>
      </c>
      <c r="E377" s="578">
        <f t="shared" si="27"/>
        <v>0.23148148148148148</v>
      </c>
      <c r="F377" s="578">
        <f>IF($D377="Trigger",VLOOKUP("*"&amp;$C377&amp;"*",'Lower Hot Cell Weld Failure'!$D$242:$G$254,4,FALSE),E377+F376)</f>
        <v>126.57409195012495</v>
      </c>
      <c r="G377" s="872"/>
      <c r="H377" s="2221" t="s">
        <v>263</v>
      </c>
      <c r="I377" s="1281" t="s">
        <v>2142</v>
      </c>
      <c r="J377" s="572" t="s">
        <v>451</v>
      </c>
      <c r="K377" s="572" t="s">
        <v>1965</v>
      </c>
      <c r="L377" s="1176">
        <f>IFERROR(INDEX('Lower Hot Cell Logistics'!$I$13:$O$19,MATCH($J377,'Lower Hot Cell Logistics'!$H$13:$H$19,0),MATCH($K377,'Lower Hot Cell Logistics'!$H$13:$H$19,0)),"N/A")</f>
        <v>50</v>
      </c>
      <c r="M377" s="2222">
        <f>IFERROR(VLOOKUP($I377,'Lower Hot Cell Logistics'!$H$4:$I$8,2,FALSE),"N/A")</f>
        <v>0.06</v>
      </c>
      <c r="N377" s="580">
        <f t="shared" si="29"/>
        <v>0.23148148148148148</v>
      </c>
      <c r="O377" s="631"/>
      <c r="P377" s="632" t="str">
        <f>IF($D377="Logistics",VLOOKUP($O377,'Lower Hot Cell Logistics'!$C$4:$D$69,2,FALSE),"N/A")</f>
        <v>N/A</v>
      </c>
      <c r="R377"/>
      <c r="S377"/>
    </row>
    <row r="378" spans="1:19" s="89" customFormat="1" ht="15" hidden="1" customHeight="1" outlineLevel="1" x14ac:dyDescent="0.4">
      <c r="A378" s="2143"/>
      <c r="B378" s="3786"/>
      <c r="C378" s="1275" t="s">
        <v>2212</v>
      </c>
      <c r="D378" s="572" t="s">
        <v>3</v>
      </c>
      <c r="E378" s="578">
        <f t="shared" si="27"/>
        <v>0.68</v>
      </c>
      <c r="F378" s="578">
        <f>IF($D378="Trigger",VLOOKUP("*"&amp;$C378&amp;"*",'Lower Hot Cell Weld Failure'!$D$242:$G$254,4,FALSE),E378+F377)</f>
        <v>127.25409195012496</v>
      </c>
      <c r="G378" s="872"/>
      <c r="H378" s="2221" t="s">
        <v>263</v>
      </c>
      <c r="I378" s="1281"/>
      <c r="J378" s="572"/>
      <c r="K378" s="572"/>
      <c r="L378" s="1176" t="str">
        <f>IFERROR(INDEX('Lower Hot Cell Logistics'!$I$13:$O$19,MATCH($J378,'Lower Hot Cell Logistics'!$H$13:$H$19,0),MATCH($K378,'Lower Hot Cell Logistics'!$H$13:$H$19,0)),"N/A")</f>
        <v>N/A</v>
      </c>
      <c r="M378" s="2222" t="str">
        <f>IFERROR(VLOOKUP($I378,'Lower Hot Cell Logistics'!$H$4:$I$8,2,FALSE),"N/A")</f>
        <v>N/A</v>
      </c>
      <c r="N378" s="580" t="str">
        <f t="shared" si="29"/>
        <v>N/A</v>
      </c>
      <c r="O378" s="631" t="s">
        <v>2139</v>
      </c>
      <c r="P378" s="632">
        <f>IF($D378="Logistics",VLOOKUP($O378,'Lower Hot Cell Logistics'!$C$4:$D$69,2,FALSE),"N/A")</f>
        <v>0.68</v>
      </c>
      <c r="R378"/>
      <c r="S378"/>
    </row>
    <row r="379" spans="1:19" s="89" customFormat="1" ht="14.6" hidden="1" outlineLevel="1" x14ac:dyDescent="0.4">
      <c r="A379" s="2143"/>
      <c r="B379" s="3786"/>
      <c r="C379" s="572" t="s">
        <v>2189</v>
      </c>
      <c r="D379" s="572" t="s">
        <v>778</v>
      </c>
      <c r="E379" s="574">
        <f t="shared" si="27"/>
        <v>0.69444444444444442</v>
      </c>
      <c r="F379" s="574">
        <f>IF($D379="Trigger",VLOOKUP("*"&amp;$C379&amp;"*",'Lower Hot Cell Weld Failure'!$D$242:$G$254,4,FALSE),E379+F378)</f>
        <v>127.9485363945694</v>
      </c>
      <c r="G379" s="575"/>
      <c r="H379" s="576" t="s">
        <v>263</v>
      </c>
      <c r="I379" s="1281" t="s">
        <v>2171</v>
      </c>
      <c r="J379" s="572" t="s">
        <v>799</v>
      </c>
      <c r="K379" s="572" t="s">
        <v>451</v>
      </c>
      <c r="L379" s="853">
        <f>IFERROR(INDEX('Lower Hot Cell Logistics'!$I$13:$O$19,MATCH($J379,'Lower Hot Cell Logistics'!$H$13:$H$19,0),MATCH($K379,'Lower Hot Cell Logistics'!$H$13:$H$19,0)),"N/A")</f>
        <v>50</v>
      </c>
      <c r="M379" s="853">
        <f>IFERROR(VLOOKUP($I379,'Lower Hot Cell Logistics'!$H$4:$I$8,2,FALSE),"N/A")</f>
        <v>0.02</v>
      </c>
      <c r="N379" s="1180">
        <f t="shared" si="29"/>
        <v>0.69444444444444442</v>
      </c>
      <c r="O379" s="579"/>
      <c r="P379" s="580" t="str">
        <f>IF($D379="Logistics",VLOOKUP($O379,'Lower Hot Cell Logistics'!$C$4:$D$69,2,FALSE),"N/A")</f>
        <v>N/A</v>
      </c>
      <c r="R379"/>
      <c r="S379"/>
    </row>
    <row r="380" spans="1:19" s="89" customFormat="1" ht="26.6" hidden="1" outlineLevel="1" thickBot="1" x14ac:dyDescent="0.45">
      <c r="A380" s="2143"/>
      <c r="B380" s="3788"/>
      <c r="C380" s="583" t="str">
        <f>B376</f>
        <v>LIB Inner pipe module module collected; Pipe Module handling System Moved to Lower Port</v>
      </c>
      <c r="D380" s="583" t="s">
        <v>11</v>
      </c>
      <c r="E380" s="585">
        <f t="shared" si="27"/>
        <v>0</v>
      </c>
      <c r="F380" s="585">
        <f>IF($D380="Trigger",VLOOKUP("*"&amp;$C380&amp;"*",'Lower Hot Cell Weld Failure'!$D$242:$G$254,4,FALSE),E380+F379)</f>
        <v>127.9485363945694</v>
      </c>
      <c r="G380" s="586"/>
      <c r="H380" s="587" t="s">
        <v>263</v>
      </c>
      <c r="I380" s="1720"/>
      <c r="J380" s="583"/>
      <c r="K380" s="583"/>
      <c r="L380" s="814" t="str">
        <f>IFERROR(INDEX('Lower Hot Cell Logistics'!$I$13:$O$19,MATCH($J380,'Lower Hot Cell Logistics'!$H$13:$H$19,0),MATCH($K380,'Lower Hot Cell Logistics'!$H$13:$H$19,0)),"N/A")</f>
        <v>N/A</v>
      </c>
      <c r="M380" s="814" t="str">
        <f>IFERROR(VLOOKUP($I380,'Lower Hot Cell Logistics'!$H$4:$I$8,2,FALSE),"N/A")</f>
        <v>N/A</v>
      </c>
      <c r="N380" s="1181" t="str">
        <f>IF(D380="Movement",IFERROR((L380/M380)/(60*60),"Error"),"N/A")</f>
        <v>N/A</v>
      </c>
      <c r="O380" s="590"/>
      <c r="P380" s="591" t="str">
        <f>IF($D380="Logistics",VLOOKUP($O380,'Lower Hot Cell Logistics'!$C$4:$D$69,2,FALSE),"N/A")</f>
        <v>N/A</v>
      </c>
      <c r="R380"/>
      <c r="S380"/>
    </row>
    <row r="381" spans="1:19" s="2121" customFormat="1" ht="12.75" hidden="1" customHeight="1" outlineLevel="1" x14ac:dyDescent="0.4">
      <c r="A381" s="2143"/>
      <c r="B381" s="3787" t="s">
        <v>1880</v>
      </c>
      <c r="C381" s="566" t="s">
        <v>2346</v>
      </c>
      <c r="D381" s="566" t="s">
        <v>907</v>
      </c>
      <c r="E381" s="1175">
        <f t="shared" si="27"/>
        <v>0</v>
      </c>
      <c r="F381" s="621">
        <f>IF($D381="Trigger",VLOOKUP("*"&amp;$C381&amp;"*",'Lower Hot Cell Weld Failure'!$D$354:$G$373,4,FALSE),E381+#REF!)</f>
        <v>0</v>
      </c>
      <c r="G381" s="568"/>
      <c r="H381" s="569" t="str">
        <f>IF(D381="operation",VLOOKUP(G381,#REF!,5,FALSE), "N/A")</f>
        <v>N/A</v>
      </c>
      <c r="I381" s="566"/>
      <c r="J381" s="566"/>
      <c r="K381" s="566"/>
      <c r="L381" s="1175" t="str">
        <f>IFERROR(INDEX('Lower Hot Cell Logistics'!$I$13:$O$19,MATCH($J381,'Lower Hot Cell Logistics'!$H$13:$H$19,0),MATCH($K381,'Lower Hot Cell Logistics'!$H$13:$H$19,0)),"N/A")</f>
        <v>N/A</v>
      </c>
      <c r="M381" s="1175" t="str">
        <f>IFERROR(VLOOKUP($I381,'Lower Hot Cell Logistics'!$H$4:$I$8,2,FALSE),"N/A")</f>
        <v>N/A</v>
      </c>
      <c r="N381" s="1175" t="str">
        <f t="shared" ref="N381:N392" si="30">IF(D381="Movement",IFERROR((L381/M381)/(60*60),"Error"),"N/A")</f>
        <v>N/A</v>
      </c>
      <c r="O381" s="620"/>
      <c r="P381" s="621" t="str">
        <f>IF($D381="Logistics",VLOOKUP($O381,'Lower Hot Cell Logistics'!$C$4:$D$69,2,FALSE),"N/A")</f>
        <v>N/A</v>
      </c>
    </row>
    <row r="382" spans="1:19" s="2121" customFormat="1" ht="12.75" hidden="1" customHeight="1" outlineLevel="1" x14ac:dyDescent="0.4">
      <c r="A382" s="2143"/>
      <c r="B382" s="3786"/>
      <c r="C382" s="573" t="s">
        <v>1945</v>
      </c>
      <c r="D382" s="573" t="s">
        <v>251</v>
      </c>
      <c r="E382" s="1176">
        <f t="shared" si="27"/>
        <v>56.503779497213472</v>
      </c>
      <c r="F382" s="580">
        <f>IF($D382="Trigger",VLOOKUP("*"&amp;$C382&amp;"*",'Lower Hot Cell Weld Failure'!$D$354:$G$373,4,FALSE),E382+F381)</f>
        <v>56.503779497213472</v>
      </c>
      <c r="G382" s="575" t="s">
        <v>141</v>
      </c>
      <c r="H382" s="580">
        <v>56.503779497213472</v>
      </c>
      <c r="I382" s="573"/>
      <c r="J382" s="573"/>
      <c r="K382" s="573"/>
      <c r="L382" s="1176" t="str">
        <f>IFERROR(INDEX('Lower Hot Cell Logistics'!$I$13:$O$19,MATCH($J382,'Lower Hot Cell Logistics'!$H$13:$H$19,0),MATCH($K382,'Lower Hot Cell Logistics'!$H$13:$H$19,0)),"N/A")</f>
        <v>N/A</v>
      </c>
      <c r="M382" s="1176" t="str">
        <f>IFERROR(VLOOKUP($I382,'Lower Hot Cell Logistics'!$H$4:$I$8,2,FALSE),"N/A")</f>
        <v>N/A</v>
      </c>
      <c r="N382" s="1176" t="str">
        <f t="shared" si="30"/>
        <v>N/A</v>
      </c>
      <c r="O382" s="579"/>
      <c r="P382" s="580" t="str">
        <f>IF($D382="Logistics",VLOOKUP($O382,'Lower Hot Cell Logistics'!$C$4:$D$69,2,FALSE),"N/A")</f>
        <v>N/A</v>
      </c>
    </row>
    <row r="383" spans="1:19" s="2121" customFormat="1" ht="13.5" hidden="1" customHeight="1" outlineLevel="1" thickBot="1" x14ac:dyDescent="0.45">
      <c r="A383" s="2143"/>
      <c r="B383" s="3788"/>
      <c r="C383" s="584" t="str">
        <f>B381</f>
        <v>RIB Blanket segment installed</v>
      </c>
      <c r="D383" s="584" t="s">
        <v>11</v>
      </c>
      <c r="E383" s="1179">
        <f t="shared" si="27"/>
        <v>0</v>
      </c>
      <c r="F383" s="591">
        <f>IF($D383="Trigger",VLOOKUP("*"&amp;$C383&amp;"*",'Lower Hot Cell Weld Failure'!$D$354:$G$373,4,FALSE),E383+F382)</f>
        <v>56.503779497213472</v>
      </c>
      <c r="G383" s="586"/>
      <c r="H383" s="587" t="str">
        <f>IF(D383="operation",VLOOKUP(G383,#REF!,5,FALSE), "N/A")</f>
        <v>N/A</v>
      </c>
      <c r="I383" s="584"/>
      <c r="J383" s="584"/>
      <c r="K383" s="584"/>
      <c r="L383" s="1179" t="str">
        <f>IFERROR(INDEX('Lower Hot Cell Logistics'!$I$13:$O$19,MATCH($J383,'Lower Hot Cell Logistics'!$H$13:$H$19,0),MATCH($K383,'Lower Hot Cell Logistics'!$H$13:$H$19,0)),"N/A")</f>
        <v>N/A</v>
      </c>
      <c r="M383" s="1179" t="str">
        <f>IFERROR(VLOOKUP($I383,'Lower Hot Cell Logistics'!$H$4:$I$8,2,FALSE),"N/A")</f>
        <v>N/A</v>
      </c>
      <c r="N383" s="1179" t="str">
        <f t="shared" si="30"/>
        <v>N/A</v>
      </c>
      <c r="O383" s="590"/>
      <c r="P383" s="591" t="str">
        <f>IF($D383="Logistics",VLOOKUP($O383,'Lower Hot Cell Logistics'!$C$4:$D$69,2,FALSE),"N/A")</f>
        <v>N/A</v>
      </c>
    </row>
    <row r="384" spans="1:19" s="2121" customFormat="1" ht="12.75" hidden="1" customHeight="1" outlineLevel="1" x14ac:dyDescent="0.4">
      <c r="A384" s="2143"/>
      <c r="B384" s="3787" t="s">
        <v>1894</v>
      </c>
      <c r="C384" s="566" t="s">
        <v>2346</v>
      </c>
      <c r="D384" s="566" t="s">
        <v>907</v>
      </c>
      <c r="E384" s="1175">
        <f t="shared" si="27"/>
        <v>0</v>
      </c>
      <c r="F384" s="621">
        <f>IF($D384="Trigger",VLOOKUP("*"&amp;$C384&amp;"*",'Lower Hot Cell Weld Failure'!$D$354:$G$373,4,FALSE),E384+F383)</f>
        <v>0</v>
      </c>
      <c r="G384" s="568"/>
      <c r="H384" s="569" t="str">
        <f>IF(D384="operation",VLOOKUP(G384,#REF!,5,FALSE), "N/A")</f>
        <v>N/A</v>
      </c>
      <c r="I384" s="566"/>
      <c r="J384" s="566"/>
      <c r="K384" s="566"/>
      <c r="L384" s="1175" t="str">
        <f>IFERROR(INDEX('Lower Hot Cell Logistics'!$I$13:$O$19,MATCH($J384,'Lower Hot Cell Logistics'!$H$13:$H$19,0),MATCH($K384,'Lower Hot Cell Logistics'!$H$13:$H$19,0)),"N/A")</f>
        <v>N/A</v>
      </c>
      <c r="M384" s="1175" t="str">
        <f>IFERROR(VLOOKUP($I384,'Lower Hot Cell Logistics'!$H$4:$I$8,2,FALSE),"N/A")</f>
        <v>N/A</v>
      </c>
      <c r="N384" s="1175" t="str">
        <f t="shared" si="30"/>
        <v>N/A</v>
      </c>
      <c r="O384" s="620"/>
      <c r="P384" s="621" t="str">
        <f>IF($D384="Logistics",VLOOKUP($O384,'Lower Hot Cell Logistics'!$C$4:$D$69,2,FALSE),"N/A")</f>
        <v>N/A</v>
      </c>
    </row>
    <row r="385" spans="1:19" s="2121" customFormat="1" ht="12.75" hidden="1" customHeight="1" outlineLevel="1" x14ac:dyDescent="0.4">
      <c r="A385" s="2143"/>
      <c r="B385" s="3786"/>
      <c r="C385" s="573" t="s">
        <v>1945</v>
      </c>
      <c r="D385" s="573" t="s">
        <v>251</v>
      </c>
      <c r="E385" s="1176">
        <f t="shared" si="27"/>
        <v>84.099335052769007</v>
      </c>
      <c r="F385" s="580">
        <f>IF($D385="Trigger",VLOOKUP("*"&amp;$C385&amp;"*",'Lower Hot Cell Weld Failure'!$D$354:$G$373,4,FALSE),E385+F384)</f>
        <v>84.099335052769007</v>
      </c>
      <c r="G385" s="575" t="s">
        <v>1085</v>
      </c>
      <c r="H385" s="580">
        <v>84.099335052769007</v>
      </c>
      <c r="I385" s="573"/>
      <c r="J385" s="573"/>
      <c r="K385" s="573"/>
      <c r="L385" s="1176" t="str">
        <f>IFERROR(INDEX('Lower Hot Cell Logistics'!$I$13:$O$19,MATCH($J385,'Lower Hot Cell Logistics'!$H$13:$H$19,0),MATCH($K385,'Lower Hot Cell Logistics'!$H$13:$H$19,0)),"N/A")</f>
        <v>N/A</v>
      </c>
      <c r="M385" s="1176" t="str">
        <f>IFERROR(VLOOKUP($I385,'Lower Hot Cell Logistics'!$H$4:$I$8,2,FALSE),"N/A")</f>
        <v>N/A</v>
      </c>
      <c r="N385" s="1176" t="str">
        <f t="shared" si="30"/>
        <v>N/A</v>
      </c>
      <c r="O385" s="579"/>
      <c r="P385" s="580" t="str">
        <f>IF($D385="Logistics",VLOOKUP($O385,'Lower Hot Cell Logistics'!$C$4:$D$69,2,FALSE),"N/A")</f>
        <v>N/A</v>
      </c>
    </row>
    <row r="386" spans="1:19" s="2121" customFormat="1" ht="13.5" hidden="1" customHeight="1" outlineLevel="1" thickBot="1" x14ac:dyDescent="0.45">
      <c r="A386" s="2143"/>
      <c r="B386" s="3788"/>
      <c r="C386" s="584" t="str">
        <f>B384</f>
        <v>RIB Upper Port Pipe Module installed</v>
      </c>
      <c r="D386" s="584" t="s">
        <v>11</v>
      </c>
      <c r="E386" s="1179">
        <f t="shared" si="27"/>
        <v>0</v>
      </c>
      <c r="F386" s="591">
        <f>IF($D386="Trigger",VLOOKUP("*"&amp;$C386&amp;"*",'Lower Hot Cell Weld Failure'!$D$354:$G$373,4,FALSE),E386+F385)</f>
        <v>84.099335052769007</v>
      </c>
      <c r="G386" s="586"/>
      <c r="H386" s="587" t="str">
        <f>IF(D386="operation",VLOOKUP(G386,#REF!,5,FALSE), "N/A")</f>
        <v>N/A</v>
      </c>
      <c r="I386" s="584"/>
      <c r="J386" s="584"/>
      <c r="K386" s="584"/>
      <c r="L386" s="1179" t="str">
        <f>IFERROR(INDEX('Lower Hot Cell Logistics'!$I$13:$O$19,MATCH($J386,'Lower Hot Cell Logistics'!$H$13:$H$19,0),MATCH($K386,'Lower Hot Cell Logistics'!$H$13:$H$19,0)),"N/A")</f>
        <v>N/A</v>
      </c>
      <c r="M386" s="1179" t="str">
        <f>IFERROR(VLOOKUP($I386,'Lower Hot Cell Logistics'!$H$4:$I$8,2,FALSE),"N/A")</f>
        <v>N/A</v>
      </c>
      <c r="N386" s="1179" t="str">
        <f t="shared" si="30"/>
        <v>N/A</v>
      </c>
      <c r="O386" s="590"/>
      <c r="P386" s="591" t="str">
        <f>IF($D386="Logistics",VLOOKUP($O386,'Lower Hot Cell Logistics'!$C$4:$D$69,2,FALSE),"N/A")</f>
        <v>N/A</v>
      </c>
    </row>
    <row r="387" spans="1:19" s="2121" customFormat="1" ht="12.75" hidden="1" customHeight="1" outlineLevel="1" x14ac:dyDescent="0.4">
      <c r="A387" s="2143"/>
      <c r="B387" s="3787" t="s">
        <v>1881</v>
      </c>
      <c r="C387" s="566" t="s">
        <v>2346</v>
      </c>
      <c r="D387" s="566" t="s">
        <v>907</v>
      </c>
      <c r="E387" s="1175">
        <f t="shared" si="27"/>
        <v>0</v>
      </c>
      <c r="F387" s="621">
        <f>IF($D387="Trigger",VLOOKUP("*"&amp;$C387&amp;"*",'Lower Hot Cell Weld Failure'!$D$277:$G$302,4,FALSE),E387+F386)</f>
        <v>0</v>
      </c>
      <c r="G387" s="568"/>
      <c r="H387" s="569" t="str">
        <f>IF(D387="operation",VLOOKUP(G387,#REF!,5,FALSE), "N/A")</f>
        <v>N/A</v>
      </c>
      <c r="I387" s="566"/>
      <c r="J387" s="566"/>
      <c r="K387" s="566"/>
      <c r="L387" s="1175" t="str">
        <f>IFERROR(INDEX('Lower Hot Cell Logistics'!$I$13:$O$19,MATCH($J387,'Lower Hot Cell Logistics'!$H$13:$H$19,0),MATCH($K387,'Lower Hot Cell Logistics'!$H$13:$H$19,0)),"N/A")</f>
        <v>N/A</v>
      </c>
      <c r="M387" s="1175" t="str">
        <f>IFERROR(VLOOKUP($I387,'Lower Hot Cell Logistics'!$H$4:$I$8,2,FALSE),"N/A")</f>
        <v>N/A</v>
      </c>
      <c r="N387" s="1175" t="str">
        <f t="shared" si="30"/>
        <v>N/A</v>
      </c>
      <c r="O387" s="620"/>
      <c r="P387" s="621" t="str">
        <f>IF($D387="Logistics",VLOOKUP($O387,'Lower Hot Cell Logistics'!$C$4:$D$69,2,FALSE),"N/A")</f>
        <v>N/A</v>
      </c>
    </row>
    <row r="388" spans="1:19" s="2121" customFormat="1" ht="12.75" hidden="1" customHeight="1" outlineLevel="1" x14ac:dyDescent="0.4">
      <c r="A388" s="2143"/>
      <c r="B388" s="3786"/>
      <c r="C388" s="573" t="s">
        <v>1945</v>
      </c>
      <c r="D388" s="573" t="s">
        <v>251</v>
      </c>
      <c r="E388" s="1176">
        <f t="shared" si="27"/>
        <v>91.097281216649151</v>
      </c>
      <c r="F388" s="580">
        <f>IF($D388="Trigger",VLOOKUP("*"&amp;$C388&amp;"*",'Lower Hot Cell Weld Failure'!$D$277:$G$302,4,FALSE),E388+F387)</f>
        <v>91.097281216649151</v>
      </c>
      <c r="G388" s="575" t="s">
        <v>139</v>
      </c>
      <c r="H388" s="580">
        <v>91.097281216649151</v>
      </c>
      <c r="I388" s="573"/>
      <c r="J388" s="573"/>
      <c r="K388" s="573"/>
      <c r="L388" s="1176" t="str">
        <f>IFERROR(INDEX('Lower Hot Cell Logistics'!$I$13:$O$19,MATCH($J388,'Lower Hot Cell Logistics'!$H$13:$H$19,0),MATCH($K388,'Lower Hot Cell Logistics'!$H$13:$H$19,0)),"N/A")</f>
        <v>N/A</v>
      </c>
      <c r="M388" s="1176" t="str">
        <f>IFERROR(VLOOKUP($I388,'Lower Hot Cell Logistics'!$H$4:$I$8,2,FALSE),"N/A")</f>
        <v>N/A</v>
      </c>
      <c r="N388" s="1176" t="str">
        <f t="shared" si="30"/>
        <v>N/A</v>
      </c>
      <c r="O388" s="579"/>
      <c r="P388" s="580" t="str">
        <f>IF($D388="Logistics",VLOOKUP($O388,'Lower Hot Cell Logistics'!$C$4:$D$69,2,FALSE),"N/A")</f>
        <v>N/A</v>
      </c>
    </row>
    <row r="389" spans="1:19" s="2121" customFormat="1" ht="13.5" hidden="1" customHeight="1" outlineLevel="1" thickBot="1" x14ac:dyDescent="0.45">
      <c r="A389" s="2143"/>
      <c r="B389" s="3788"/>
      <c r="C389" s="584" t="str">
        <f>B387</f>
        <v>LIB Blanket segment installed</v>
      </c>
      <c r="D389" s="584" t="s">
        <v>11</v>
      </c>
      <c r="E389" s="1179">
        <f t="shared" si="27"/>
        <v>0</v>
      </c>
      <c r="F389" s="591">
        <f>IF($D389="Trigger",VLOOKUP("*"&amp;$C389&amp;"*",'Lower Hot Cell Weld Failure'!$D$277:$G$302,4,FALSE),E389+F388)</f>
        <v>91.097281216649151</v>
      </c>
      <c r="G389" s="586"/>
      <c r="H389" s="587" t="str">
        <f>IF(D389="operation",VLOOKUP(G389,#REF!,5,FALSE), "N/A")</f>
        <v>N/A</v>
      </c>
      <c r="I389" s="584"/>
      <c r="J389" s="584"/>
      <c r="K389" s="584"/>
      <c r="L389" s="1179" t="str">
        <f>IFERROR(INDEX('Lower Hot Cell Logistics'!$I$13:$O$19,MATCH($J389,'Lower Hot Cell Logistics'!$H$13:$H$19,0),MATCH($K389,'Lower Hot Cell Logistics'!$H$13:$H$19,0)),"N/A")</f>
        <v>N/A</v>
      </c>
      <c r="M389" s="1179" t="str">
        <f>IFERROR(VLOOKUP($I389,'Lower Hot Cell Logistics'!$H$4:$I$8,2,FALSE),"N/A")</f>
        <v>N/A</v>
      </c>
      <c r="N389" s="1179" t="str">
        <f t="shared" si="30"/>
        <v>N/A</v>
      </c>
      <c r="O389" s="590"/>
      <c r="P389" s="591" t="str">
        <f>IF($D389="Logistics",VLOOKUP($O389,'Lower Hot Cell Logistics'!$C$4:$D$69,2,FALSE),"N/A")</f>
        <v>N/A</v>
      </c>
    </row>
    <row r="390" spans="1:19" s="2121" customFormat="1" ht="12.75" hidden="1" customHeight="1" outlineLevel="1" x14ac:dyDescent="0.4">
      <c r="A390" s="2143"/>
      <c r="B390" s="3787" t="s">
        <v>1951</v>
      </c>
      <c r="C390" s="566" t="s">
        <v>2346</v>
      </c>
      <c r="D390" s="566" t="s">
        <v>907</v>
      </c>
      <c r="E390" s="1175">
        <f t="shared" si="27"/>
        <v>0</v>
      </c>
      <c r="F390" s="621">
        <f>IF($D390="Trigger",VLOOKUP("*"&amp;$C390&amp;"*",'Lower Hot Cell Weld Failure'!$D$277:$G$302,4,FALSE),E390+F389)</f>
        <v>0</v>
      </c>
      <c r="G390" s="568"/>
      <c r="H390" s="569" t="str">
        <f>IF(D390="operation",VLOOKUP(G390,#REF!,5,FALSE), "N/A")</f>
        <v>N/A</v>
      </c>
      <c r="I390" s="566"/>
      <c r="J390" s="566"/>
      <c r="K390" s="566"/>
      <c r="L390" s="1175" t="str">
        <f>IFERROR(INDEX('Lower Hot Cell Logistics'!$I$13:$O$19,MATCH($J390,'Lower Hot Cell Logistics'!$H$13:$H$19,0),MATCH($K390,'Lower Hot Cell Logistics'!$H$13:$H$19,0)),"N/A")</f>
        <v>N/A</v>
      </c>
      <c r="M390" s="1175" t="str">
        <f>IFERROR(VLOOKUP($I390,'Lower Hot Cell Logistics'!$H$4:$I$8,2,FALSE),"N/A")</f>
        <v>N/A</v>
      </c>
      <c r="N390" s="1175" t="str">
        <f t="shared" si="30"/>
        <v>N/A</v>
      </c>
      <c r="O390" s="620"/>
      <c r="P390" s="621" t="str">
        <f>IF($D390="Logistics",VLOOKUP($O390,'Lower Hot Cell Logistics'!$C$4:$D$69,2,FALSE),"N/A")</f>
        <v>N/A</v>
      </c>
    </row>
    <row r="391" spans="1:19" s="2121" customFormat="1" ht="12.75" hidden="1" customHeight="1" outlineLevel="1" x14ac:dyDescent="0.4">
      <c r="A391" s="2143"/>
      <c r="B391" s="3786"/>
      <c r="C391" s="573" t="s">
        <v>1945</v>
      </c>
      <c r="D391" s="573" t="s">
        <v>251</v>
      </c>
      <c r="E391" s="1176">
        <f t="shared" si="27"/>
        <v>168.61620943515601</v>
      </c>
      <c r="F391" s="580">
        <f>IF($D391="Trigger",VLOOKUP("*"&amp;$C391&amp;"*",'Lower Hot Cell Weld Failure'!$D$277:$G$302,4,FALSE),E391+F390)</f>
        <v>168.61620943515601</v>
      </c>
      <c r="G391" s="575" t="s">
        <v>1088</v>
      </c>
      <c r="H391" s="580">
        <v>168.61620943515601</v>
      </c>
      <c r="I391" s="573"/>
      <c r="J391" s="573"/>
      <c r="K391" s="573"/>
      <c r="L391" s="1176" t="str">
        <f>IFERROR(INDEX('Lower Hot Cell Logistics'!$I$13:$O$19,MATCH($J391,'Lower Hot Cell Logistics'!$H$13:$H$19,0),MATCH($K391,'Lower Hot Cell Logistics'!$H$13:$H$19,0)),"N/A")</f>
        <v>N/A</v>
      </c>
      <c r="M391" s="1176" t="str">
        <f>IFERROR(VLOOKUP($I391,'Lower Hot Cell Logistics'!$H$4:$I$8,2,FALSE),"N/A")</f>
        <v>N/A</v>
      </c>
      <c r="N391" s="1176" t="str">
        <f t="shared" si="30"/>
        <v>N/A</v>
      </c>
      <c r="O391" s="579"/>
      <c r="P391" s="580" t="str">
        <f>IF($D391="Logistics",VLOOKUP($O391,'Lower Hot Cell Logistics'!$C$4:$D$69,2,FALSE),"N/A")</f>
        <v>N/A</v>
      </c>
    </row>
    <row r="392" spans="1:19" s="2121" customFormat="1" ht="13.5" hidden="1" customHeight="1" outlineLevel="1" thickBot="1" x14ac:dyDescent="0.45">
      <c r="A392" s="2143"/>
      <c r="B392" s="3788"/>
      <c r="C392" s="584" t="str">
        <f>B390</f>
        <v>LIB Upper Port Pipe Module installed</v>
      </c>
      <c r="D392" s="584" t="s">
        <v>11</v>
      </c>
      <c r="E392" s="1179">
        <f t="shared" si="27"/>
        <v>0</v>
      </c>
      <c r="F392" s="591">
        <f>IF($D392="Trigger",VLOOKUP("*"&amp;$C392&amp;"*",'Lower Hot Cell Weld Failure'!$D$277:$G$302,4,FALSE),E392+F391)</f>
        <v>168.61620943515601</v>
      </c>
      <c r="G392" s="586"/>
      <c r="H392" s="587" t="str">
        <f>IF(D392="operation",VLOOKUP(G392,#REF!,5,FALSE), "N/A")</f>
        <v>N/A</v>
      </c>
      <c r="I392" s="584"/>
      <c r="J392" s="584"/>
      <c r="K392" s="584"/>
      <c r="L392" s="1179" t="str">
        <f>IFERROR(INDEX('Lower Hot Cell Logistics'!$I$13:$O$19,MATCH($J392,'Lower Hot Cell Logistics'!$H$13:$H$19,0),MATCH($K392,'Lower Hot Cell Logistics'!$H$13:$H$19,0)),"N/A")</f>
        <v>N/A</v>
      </c>
      <c r="M392" s="1179" t="str">
        <f>IFERROR(VLOOKUP($I392,'Lower Hot Cell Logistics'!$H$4:$I$8,2,FALSE),"N/A")</f>
        <v>N/A</v>
      </c>
      <c r="N392" s="1179" t="str">
        <f t="shared" si="30"/>
        <v>N/A</v>
      </c>
      <c r="O392" s="590"/>
      <c r="P392" s="591" t="str">
        <f>IF($D392="Logistics",VLOOKUP($O392,'Lower Hot Cell Logistics'!$C$4:$D$69,2,FALSE),"N/A")</f>
        <v>N/A</v>
      </c>
    </row>
    <row r="393" spans="1:19" s="2121" customFormat="1" ht="13.3" collapsed="1" thickBot="1" x14ac:dyDescent="0.45">
      <c r="A393" s="2149"/>
      <c r="B393" s="2150"/>
      <c r="C393" s="2151"/>
      <c r="D393" s="2151"/>
      <c r="E393" s="2151"/>
      <c r="F393" s="2151"/>
      <c r="G393" s="2151"/>
      <c r="H393" s="2152"/>
      <c r="I393" s="2151"/>
      <c r="J393" s="2151"/>
      <c r="K393" s="2151"/>
      <c r="L393" s="2153"/>
      <c r="M393" s="2153"/>
      <c r="N393" s="2153"/>
      <c r="O393" s="2151"/>
      <c r="P393" s="2154"/>
    </row>
    <row r="394" spans="1:19" s="2121" customFormat="1" x14ac:dyDescent="0.4">
      <c r="A394" s="2333"/>
      <c r="B394" s="2334" t="s">
        <v>2354</v>
      </c>
      <c r="C394" s="2334"/>
      <c r="D394" s="2334"/>
      <c r="E394" s="2334"/>
      <c r="F394" s="2334"/>
      <c r="G394" s="2334"/>
      <c r="H394" s="2334"/>
      <c r="I394" s="2334"/>
      <c r="J394" s="2334"/>
      <c r="K394" s="2334"/>
      <c r="L394" s="2334"/>
      <c r="M394" s="2334"/>
      <c r="N394" s="2334"/>
      <c r="O394" s="2334"/>
      <c r="P394" s="2335"/>
    </row>
    <row r="395" spans="1:19" s="2121" customFormat="1" ht="13.3" hidden="1" outlineLevel="1" thickBot="1" x14ac:dyDescent="0.45">
      <c r="A395" s="2336"/>
      <c r="B395" s="2337"/>
      <c r="C395" s="2338"/>
      <c r="D395" s="2338"/>
      <c r="E395" s="2338"/>
      <c r="F395" s="2338"/>
      <c r="G395" s="2338"/>
      <c r="H395" s="2339"/>
      <c r="I395" s="2338"/>
      <c r="J395" s="2338"/>
      <c r="K395" s="2338"/>
      <c r="L395" s="2340"/>
      <c r="M395" s="2340"/>
      <c r="N395" s="2340"/>
      <c r="O395" s="2338"/>
      <c r="P395" s="2341"/>
    </row>
    <row r="396" spans="1:19" s="89" customFormat="1" ht="15" hidden="1" customHeight="1" outlineLevel="1" x14ac:dyDescent="0.4">
      <c r="A396" s="2336"/>
      <c r="B396" s="3787" t="s">
        <v>2316</v>
      </c>
      <c r="C396" s="617" t="s">
        <v>2317</v>
      </c>
      <c r="D396" s="617" t="s">
        <v>907</v>
      </c>
      <c r="E396" s="567">
        <f t="shared" ref="E396:E406" si="31">MAX($P396,$N396,$H396)</f>
        <v>0</v>
      </c>
      <c r="F396" s="567">
        <f>IF($D396="Trigger",VLOOKUP("*"&amp;$C396&amp;"*",'Lower Hot Cell Weld Failure'!$D$354:$G$373,4,FALSE),E396+#REF!)</f>
        <v>0</v>
      </c>
      <c r="G396" s="568"/>
      <c r="H396" s="569" t="s">
        <v>263</v>
      </c>
      <c r="I396" s="1270"/>
      <c r="J396" s="617"/>
      <c r="K396" s="617"/>
      <c r="L396" s="570" t="str">
        <f>IFERROR(INDEX('Lower Hot Cell Logistics'!$I$13:$O$19,MATCH($J396,'Lower Hot Cell Logistics'!$H$13:$H$19,0),MATCH($K396,'Lower Hot Cell Logistics'!$H$13:$H$19,0)),"N/A")</f>
        <v>N/A</v>
      </c>
      <c r="M396" s="802" t="str">
        <f>IFERROR(VLOOKUP($I396,'Lower Hot Cell Logistics'!$H$4:$I$8,2,FALSE),"N/A")</f>
        <v>N/A</v>
      </c>
      <c r="N396" s="1182" t="str">
        <f>IF(D396="Movement",IFERROR((L396/M396)/(60*60),"Error"),"N/A")</f>
        <v>N/A</v>
      </c>
      <c r="O396" s="620"/>
      <c r="P396" s="621" t="str">
        <f>IF($D396="Logistics",VLOOKUP($O396,'Lower Hot Cell Logistics'!$C$4:$D$69,2,FALSE),"N/A")</f>
        <v>N/A</v>
      </c>
      <c r="R396"/>
      <c r="S396"/>
    </row>
    <row r="397" spans="1:19" s="89" customFormat="1" ht="15" hidden="1" customHeight="1" outlineLevel="1" x14ac:dyDescent="0.4">
      <c r="A397" s="2336"/>
      <c r="B397" s="3786"/>
      <c r="C397" s="1275" t="s">
        <v>2141</v>
      </c>
      <c r="D397" s="572" t="s">
        <v>778</v>
      </c>
      <c r="E397" s="578">
        <f t="shared" si="31"/>
        <v>0.69444444444444442</v>
      </c>
      <c r="F397" s="578">
        <f>IF($D397="Trigger",VLOOKUP("*"&amp;$C397&amp;"*",'Lower Hot Cell Weld Failure'!$D$354:$G$373,4,FALSE),E397+F396)</f>
        <v>0.69444444444444442</v>
      </c>
      <c r="G397" s="872"/>
      <c r="H397" s="2221" t="s">
        <v>263</v>
      </c>
      <c r="I397" s="1281" t="s">
        <v>1826</v>
      </c>
      <c r="J397" s="572" t="s">
        <v>451</v>
      </c>
      <c r="K397" s="572" t="s">
        <v>831</v>
      </c>
      <c r="L397" s="1176">
        <f>IFERROR(INDEX('Lower Hot Cell Logistics'!$I$13:$O$19,MATCH($J397,'Lower Hot Cell Logistics'!$H$13:$H$19,0),MATCH($K397,'Lower Hot Cell Logistics'!$H$13:$H$19,0)),"N/A")</f>
        <v>50</v>
      </c>
      <c r="M397" s="2222">
        <f>IFERROR(VLOOKUP($I397,'Lower Hot Cell Logistics'!$H$4:$I$8,2,FALSE),"N/A")</f>
        <v>0.02</v>
      </c>
      <c r="N397" s="580">
        <f>IF(D397="Movement",IFERROR((L397/M397)/(60*60),"Error"),"N/A")</f>
        <v>0.69444444444444442</v>
      </c>
      <c r="O397" s="631"/>
      <c r="P397" s="632" t="str">
        <f>IF($D397="Logistics",VLOOKUP($O397,'Lower Hot Cell Logistics'!$C$4:$D$69,2,FALSE),"N/A")</f>
        <v>N/A</v>
      </c>
      <c r="R397"/>
      <c r="S397"/>
    </row>
    <row r="398" spans="1:19" s="89" customFormat="1" ht="15" hidden="1" customHeight="1" outlineLevel="1" x14ac:dyDescent="0.4">
      <c r="A398" s="2336"/>
      <c r="B398" s="3786"/>
      <c r="C398" s="1275" t="s">
        <v>1757</v>
      </c>
      <c r="D398" s="572" t="s">
        <v>3</v>
      </c>
      <c r="E398" s="578">
        <f t="shared" si="31"/>
        <v>0.88000000000000012</v>
      </c>
      <c r="F398" s="578">
        <f>IF($D398="Trigger",VLOOKUP("*"&amp;$C398&amp;"*",'Lower Hot Cell Weld Failure'!$D$354:$G$373,4,FALSE),E398+F397)</f>
        <v>1.5744444444444445</v>
      </c>
      <c r="G398" s="872"/>
      <c r="H398" s="2221" t="s">
        <v>263</v>
      </c>
      <c r="I398" s="1281"/>
      <c r="J398" s="572"/>
      <c r="K398" s="572"/>
      <c r="L398" s="1176" t="str">
        <f>IFERROR(INDEX('Lower Hot Cell Logistics'!$I$13:$O$19,MATCH($J398,'Lower Hot Cell Logistics'!$H$13:$H$19,0),MATCH($K398,'Lower Hot Cell Logistics'!$H$13:$H$19,0)),"N/A")</f>
        <v>N/A</v>
      </c>
      <c r="M398" s="2222" t="str">
        <f>IFERROR(VLOOKUP($I398,'Lower Hot Cell Logistics'!$H$4:$I$8,2,FALSE),"N/A")</f>
        <v>N/A</v>
      </c>
      <c r="N398" s="580" t="str">
        <f>IF(D398="Movement",IFERROR((L398/M398)/(60*60),"Error"),"N/A")</f>
        <v>N/A</v>
      </c>
      <c r="O398" s="631" t="s">
        <v>2144</v>
      </c>
      <c r="P398" s="632">
        <f>IF($D398="Logistics",VLOOKUP($O398,'Lower Hot Cell Logistics'!$C$4:$D$69,2,FALSE),"N/A")</f>
        <v>0.88000000000000012</v>
      </c>
      <c r="R398"/>
      <c r="S398"/>
    </row>
    <row r="399" spans="1:19" s="89" customFormat="1" ht="14.6" hidden="1" outlineLevel="1" x14ac:dyDescent="0.4">
      <c r="A399" s="2336"/>
      <c r="B399" s="3786"/>
      <c r="C399" s="572" t="s">
        <v>2189</v>
      </c>
      <c r="D399" s="572" t="s">
        <v>778</v>
      </c>
      <c r="E399" s="578">
        <f t="shared" si="31"/>
        <v>0.23148148148148148</v>
      </c>
      <c r="F399" s="578">
        <f>IF($D399="Trigger",VLOOKUP("*"&amp;$C399&amp;"*",'Lower Hot Cell Weld Failure'!$D$354:$G$373,4,FALSE),E399+F398)</f>
        <v>1.8059259259259259</v>
      </c>
      <c r="G399" s="575"/>
      <c r="H399" s="576" t="s">
        <v>263</v>
      </c>
      <c r="I399" s="1281" t="s">
        <v>2190</v>
      </c>
      <c r="J399" s="572" t="s">
        <v>799</v>
      </c>
      <c r="K399" s="572" t="s">
        <v>451</v>
      </c>
      <c r="L399" s="853">
        <f>IFERROR(INDEX('Lower Hot Cell Logistics'!$I$13:$O$19,MATCH($J399,'Lower Hot Cell Logistics'!$H$13:$H$19,0),MATCH($K399,'Lower Hot Cell Logistics'!$H$13:$H$19,0)),"N/A")</f>
        <v>50</v>
      </c>
      <c r="M399" s="853">
        <f>IFERROR(VLOOKUP($I399,'Lower Hot Cell Logistics'!$H$4:$I$8,2,FALSE),"N/A")</f>
        <v>0.06</v>
      </c>
      <c r="N399" s="1180">
        <f>IF(D399="Movement",IFERROR((L399/M399)/(60*60),"Error"),"N/A")</f>
        <v>0.23148148148148148</v>
      </c>
      <c r="O399" s="579"/>
      <c r="P399" s="580" t="str">
        <f>IF($D399="Logistics",VLOOKUP($O399,'Lower Hot Cell Logistics'!$C$4:$D$69,2,FALSE),"N/A")</f>
        <v>N/A</v>
      </c>
      <c r="R399"/>
      <c r="S399"/>
    </row>
    <row r="400" spans="1:19" s="89" customFormat="1" ht="39.450000000000003" hidden="1" outlineLevel="1" thickBot="1" x14ac:dyDescent="0.45">
      <c r="A400" s="2336"/>
      <c r="B400" s="3788"/>
      <c r="C400" s="583" t="str">
        <f>B396</f>
        <v>New LIB Inner Port pipe module stored; Replacement RIB Inner Port Pipe collected; Hardware transporter moved to Lower Port</v>
      </c>
      <c r="D400" s="583" t="s">
        <v>11</v>
      </c>
      <c r="E400" s="585">
        <f t="shared" si="31"/>
        <v>0</v>
      </c>
      <c r="F400" s="585">
        <f>IF($D400="Trigger",VLOOKUP("*"&amp;$C400&amp;"*",'Lower Hot Cell Weld Failure'!$D$354:$G$373,4,FALSE),E400+F399)</f>
        <v>1.8059259259259259</v>
      </c>
      <c r="G400" s="586"/>
      <c r="H400" s="587" t="s">
        <v>263</v>
      </c>
      <c r="I400" s="1720"/>
      <c r="J400" s="583"/>
      <c r="K400" s="583"/>
      <c r="L400" s="814" t="str">
        <f>IFERROR(INDEX('Lower Hot Cell Logistics'!$I$13:$O$19,MATCH($J400,'Lower Hot Cell Logistics'!$H$13:$H$19,0),MATCH($K400,'Lower Hot Cell Logistics'!$H$13:$H$19,0)),"N/A")</f>
        <v>N/A</v>
      </c>
      <c r="M400" s="814" t="str">
        <f>IFERROR(VLOOKUP($I400,'Lower Hot Cell Logistics'!$H$4:$I$8,2,FALSE),"N/A")</f>
        <v>N/A</v>
      </c>
      <c r="N400" s="1181" t="str">
        <f>IF(D400="Movement",IFERROR((L400/M400)/(60*60),"Error"),"N/A")</f>
        <v>N/A</v>
      </c>
      <c r="O400" s="590"/>
      <c r="P400" s="591" t="str">
        <f>IF($D400="Logistics",VLOOKUP($O400,'Lower Hot Cell Logistics'!$C$4:$D$69,2,FALSE),"N/A")</f>
        <v>N/A</v>
      </c>
      <c r="R400"/>
      <c r="S400"/>
    </row>
    <row r="401" spans="1:16" s="2121" customFormat="1" ht="12.75" hidden="1" customHeight="1" outlineLevel="1" x14ac:dyDescent="0.4">
      <c r="A401" s="2336"/>
      <c r="B401" s="3787" t="s">
        <v>1880</v>
      </c>
      <c r="C401" s="566" t="s">
        <v>2346</v>
      </c>
      <c r="D401" s="566" t="s">
        <v>907</v>
      </c>
      <c r="E401" s="1175">
        <f t="shared" si="31"/>
        <v>0</v>
      </c>
      <c r="F401" s="621">
        <f>IF($D401="Trigger",VLOOKUP("*"&amp;$C401&amp;"*",'Lower Hot Cell Weld Failure'!$D$354:$G$373,4,FALSE),E401+#REF!)</f>
        <v>0</v>
      </c>
      <c r="G401" s="568"/>
      <c r="H401" s="569" t="str">
        <f>IF(D401="operation",VLOOKUP(G401,#REF!,5,FALSE), "N/A")</f>
        <v>N/A</v>
      </c>
      <c r="I401" s="566"/>
      <c r="J401" s="566"/>
      <c r="K401" s="566"/>
      <c r="L401" s="1175" t="str">
        <f>IFERROR(INDEX('Lower Hot Cell Logistics'!$I$13:$O$19,MATCH($J401,'Lower Hot Cell Logistics'!$H$13:$H$19,0),MATCH($K401,'Lower Hot Cell Logistics'!$H$13:$H$19,0)),"N/A")</f>
        <v>N/A</v>
      </c>
      <c r="M401" s="1175" t="str">
        <f>IFERROR(VLOOKUP($I401,'Lower Hot Cell Logistics'!$H$4:$I$8,2,FALSE),"N/A")</f>
        <v>N/A</v>
      </c>
      <c r="N401" s="1175" t="str">
        <f t="shared" ref="N401:N406" si="32">IF(D401="Movement",IFERROR((L401/M401)/(60*60),"Error"),"N/A")</f>
        <v>N/A</v>
      </c>
      <c r="O401" s="620"/>
      <c r="P401" s="621" t="str">
        <f>IF($D401="Logistics",VLOOKUP($O401,'Lower Hot Cell Logistics'!$C$4:$D$69,2,FALSE),"N/A")</f>
        <v>N/A</v>
      </c>
    </row>
    <row r="402" spans="1:16" s="2121" customFormat="1" ht="12.75" hidden="1" customHeight="1" outlineLevel="1" x14ac:dyDescent="0.4">
      <c r="A402" s="2336"/>
      <c r="B402" s="3786"/>
      <c r="C402" s="573" t="s">
        <v>1945</v>
      </c>
      <c r="D402" s="573" t="s">
        <v>251</v>
      </c>
      <c r="E402" s="1176">
        <f t="shared" si="31"/>
        <v>56.503779497213472</v>
      </c>
      <c r="F402" s="580">
        <f>IF($D402="Trigger",VLOOKUP("*"&amp;$C402&amp;"*",'Lower Hot Cell Weld Failure'!$D$354:$G$373,4,FALSE),E402+F401)</f>
        <v>56.503779497213472</v>
      </c>
      <c r="G402" s="575" t="s">
        <v>141</v>
      </c>
      <c r="H402" s="580">
        <v>56.503779497213472</v>
      </c>
      <c r="I402" s="573"/>
      <c r="J402" s="573"/>
      <c r="K402" s="573"/>
      <c r="L402" s="1176" t="str">
        <f>IFERROR(INDEX('Lower Hot Cell Logistics'!$I$13:$O$19,MATCH($J402,'Lower Hot Cell Logistics'!$H$13:$H$19,0),MATCH($K402,'Lower Hot Cell Logistics'!$H$13:$H$19,0)),"N/A")</f>
        <v>N/A</v>
      </c>
      <c r="M402" s="1176" t="str">
        <f>IFERROR(VLOOKUP($I402,'Lower Hot Cell Logistics'!$H$4:$I$8,2,FALSE),"N/A")</f>
        <v>N/A</v>
      </c>
      <c r="N402" s="1176" t="str">
        <f t="shared" si="32"/>
        <v>N/A</v>
      </c>
      <c r="O402" s="579"/>
      <c r="P402" s="580" t="str">
        <f>IF($D402="Logistics",VLOOKUP($O402,'Lower Hot Cell Logistics'!$C$4:$D$69,2,FALSE),"N/A")</f>
        <v>N/A</v>
      </c>
    </row>
    <row r="403" spans="1:16" s="2121" customFormat="1" ht="13.5" hidden="1" customHeight="1" outlineLevel="1" thickBot="1" x14ac:dyDescent="0.45">
      <c r="A403" s="2336"/>
      <c r="B403" s="3788"/>
      <c r="C403" s="584" t="str">
        <f>B401</f>
        <v>RIB Blanket segment installed</v>
      </c>
      <c r="D403" s="584" t="s">
        <v>11</v>
      </c>
      <c r="E403" s="1179">
        <f t="shared" si="31"/>
        <v>0</v>
      </c>
      <c r="F403" s="591">
        <f>IF($D403="Trigger",VLOOKUP("*"&amp;$C403&amp;"*",'Lower Hot Cell Weld Failure'!$D$354:$G$373,4,FALSE),E403+F402)</f>
        <v>56.503779497213472</v>
      </c>
      <c r="G403" s="586"/>
      <c r="H403" s="587" t="str">
        <f>IF(D403="operation",VLOOKUP(G403,#REF!,5,FALSE), "N/A")</f>
        <v>N/A</v>
      </c>
      <c r="I403" s="584"/>
      <c r="J403" s="584"/>
      <c r="K403" s="584"/>
      <c r="L403" s="1179" t="str">
        <f>IFERROR(INDEX('Lower Hot Cell Logistics'!$I$13:$O$19,MATCH($J403,'Lower Hot Cell Logistics'!$H$13:$H$19,0),MATCH($K403,'Lower Hot Cell Logistics'!$H$13:$H$19,0)),"N/A")</f>
        <v>N/A</v>
      </c>
      <c r="M403" s="1179" t="str">
        <f>IFERROR(VLOOKUP($I403,'Lower Hot Cell Logistics'!$H$4:$I$8,2,FALSE),"N/A")</f>
        <v>N/A</v>
      </c>
      <c r="N403" s="1179" t="str">
        <f t="shared" si="32"/>
        <v>N/A</v>
      </c>
      <c r="O403" s="590"/>
      <c r="P403" s="591" t="str">
        <f>IF($D403="Logistics",VLOOKUP($O403,'Lower Hot Cell Logistics'!$C$4:$D$69,2,FALSE),"N/A")</f>
        <v>N/A</v>
      </c>
    </row>
    <row r="404" spans="1:16" s="2121" customFormat="1" ht="12.75" hidden="1" customHeight="1" outlineLevel="1" x14ac:dyDescent="0.4">
      <c r="A404" s="2336"/>
      <c r="B404" s="3787" t="s">
        <v>1894</v>
      </c>
      <c r="C404" s="566" t="s">
        <v>2346</v>
      </c>
      <c r="D404" s="566" t="s">
        <v>907</v>
      </c>
      <c r="E404" s="1175">
        <f t="shared" si="31"/>
        <v>0</v>
      </c>
      <c r="F404" s="621">
        <f>IF($D404="Trigger",VLOOKUP("*"&amp;$C404&amp;"*",'Lower Hot Cell Weld Failure'!$D$354:$G$373,4,FALSE),E404+F403)</f>
        <v>0</v>
      </c>
      <c r="G404" s="568"/>
      <c r="H404" s="569" t="str">
        <f>IF(D404="operation",VLOOKUP(G404,#REF!,5,FALSE), "N/A")</f>
        <v>N/A</v>
      </c>
      <c r="I404" s="566"/>
      <c r="J404" s="566"/>
      <c r="K404" s="566"/>
      <c r="L404" s="1175" t="str">
        <f>IFERROR(INDEX('Lower Hot Cell Logistics'!$I$13:$O$19,MATCH($J404,'Lower Hot Cell Logistics'!$H$13:$H$19,0),MATCH($K404,'Lower Hot Cell Logistics'!$H$13:$H$19,0)),"N/A")</f>
        <v>N/A</v>
      </c>
      <c r="M404" s="1175" t="str">
        <f>IFERROR(VLOOKUP($I404,'Lower Hot Cell Logistics'!$H$4:$I$8,2,FALSE),"N/A")</f>
        <v>N/A</v>
      </c>
      <c r="N404" s="1175" t="str">
        <f t="shared" si="32"/>
        <v>N/A</v>
      </c>
      <c r="O404" s="620"/>
      <c r="P404" s="621" t="str">
        <f>IF($D404="Logistics",VLOOKUP($O404,'Lower Hot Cell Logistics'!$C$4:$D$69,2,FALSE),"N/A")</f>
        <v>N/A</v>
      </c>
    </row>
    <row r="405" spans="1:16" s="2121" customFormat="1" ht="12.75" hidden="1" customHeight="1" outlineLevel="1" x14ac:dyDescent="0.4">
      <c r="A405" s="2336"/>
      <c r="B405" s="3786"/>
      <c r="C405" s="573" t="s">
        <v>1945</v>
      </c>
      <c r="D405" s="573" t="s">
        <v>251</v>
      </c>
      <c r="E405" s="1176">
        <f t="shared" si="31"/>
        <v>84.099335052769007</v>
      </c>
      <c r="F405" s="580">
        <f>IF($D405="Trigger",VLOOKUP("*"&amp;$C405&amp;"*",'Lower Hot Cell Weld Failure'!$D$354:$G$373,4,FALSE),E405+F404)</f>
        <v>84.099335052769007</v>
      </c>
      <c r="G405" s="575" t="s">
        <v>1085</v>
      </c>
      <c r="H405" s="580">
        <v>84.099335052769007</v>
      </c>
      <c r="I405" s="573"/>
      <c r="J405" s="573"/>
      <c r="K405" s="573"/>
      <c r="L405" s="1176" t="str">
        <f>IFERROR(INDEX('Lower Hot Cell Logistics'!$I$13:$O$19,MATCH($J405,'Lower Hot Cell Logistics'!$H$13:$H$19,0),MATCH($K405,'Lower Hot Cell Logistics'!$H$13:$H$19,0)),"N/A")</f>
        <v>N/A</v>
      </c>
      <c r="M405" s="1176" t="str">
        <f>IFERROR(VLOOKUP($I405,'Lower Hot Cell Logistics'!$H$4:$I$8,2,FALSE),"N/A")</f>
        <v>N/A</v>
      </c>
      <c r="N405" s="1176" t="str">
        <f t="shared" si="32"/>
        <v>N/A</v>
      </c>
      <c r="O405" s="579"/>
      <c r="P405" s="580" t="str">
        <f>IF($D405="Logistics",VLOOKUP($O405,'Lower Hot Cell Logistics'!$C$4:$D$69,2,FALSE),"N/A")</f>
        <v>N/A</v>
      </c>
    </row>
    <row r="406" spans="1:16" s="2121" customFormat="1" ht="13.5" hidden="1" customHeight="1" outlineLevel="1" thickBot="1" x14ac:dyDescent="0.45">
      <c r="A406" s="2336"/>
      <c r="B406" s="3788"/>
      <c r="C406" s="584" t="str">
        <f>B404</f>
        <v>RIB Upper Port Pipe Module installed</v>
      </c>
      <c r="D406" s="584" t="s">
        <v>11</v>
      </c>
      <c r="E406" s="1179">
        <f t="shared" si="31"/>
        <v>0</v>
      </c>
      <c r="F406" s="591">
        <f>IF($D406="Trigger",VLOOKUP("*"&amp;$C406&amp;"*",'Lower Hot Cell Weld Failure'!$D$354:$G$373,4,FALSE),E406+F405)</f>
        <v>84.099335052769007</v>
      </c>
      <c r="G406" s="586"/>
      <c r="H406" s="587" t="str">
        <f>IF(D406="operation",VLOOKUP(G406,#REF!,5,FALSE), "N/A")</f>
        <v>N/A</v>
      </c>
      <c r="I406" s="584"/>
      <c r="J406" s="584"/>
      <c r="K406" s="584"/>
      <c r="L406" s="1179" t="str">
        <f>IFERROR(INDEX('Lower Hot Cell Logistics'!$I$13:$O$19,MATCH($J406,'Lower Hot Cell Logistics'!$H$13:$H$19,0),MATCH($K406,'Lower Hot Cell Logistics'!$H$13:$H$19,0)),"N/A")</f>
        <v>N/A</v>
      </c>
      <c r="M406" s="1179" t="str">
        <f>IFERROR(VLOOKUP($I406,'Lower Hot Cell Logistics'!$H$4:$I$8,2,FALSE),"N/A")</f>
        <v>N/A</v>
      </c>
      <c r="N406" s="1179" t="str">
        <f t="shared" si="32"/>
        <v>N/A</v>
      </c>
      <c r="O406" s="590"/>
      <c r="P406" s="591" t="str">
        <f>IF($D406="Logistics",VLOOKUP($O406,'Lower Hot Cell Logistics'!$C$4:$D$69,2,FALSE),"N/A")</f>
        <v>N/A</v>
      </c>
    </row>
    <row r="407" spans="1:16" s="2121" customFormat="1" ht="13.3" collapsed="1" thickBot="1" x14ac:dyDescent="0.45">
      <c r="A407" s="2342"/>
      <c r="B407" s="2343"/>
      <c r="C407" s="2344"/>
      <c r="D407" s="2344"/>
      <c r="E407" s="2344"/>
      <c r="F407" s="2344"/>
      <c r="G407" s="2344"/>
      <c r="H407" s="2345"/>
      <c r="I407" s="2344"/>
      <c r="J407" s="2344"/>
      <c r="K407" s="2344"/>
      <c r="L407" s="2346"/>
      <c r="M407" s="2346"/>
      <c r="N407" s="2346"/>
      <c r="O407" s="2344"/>
      <c r="P407" s="2347"/>
    </row>
    <row r="408" spans="1:16" s="2121" customFormat="1" x14ac:dyDescent="0.4">
      <c r="A408" s="2155"/>
      <c r="B408" s="2156" t="s">
        <v>1969</v>
      </c>
      <c r="C408" s="2156"/>
      <c r="D408" s="2156"/>
      <c r="E408" s="2156"/>
      <c r="F408" s="2156"/>
      <c r="G408" s="2156"/>
      <c r="H408" s="2156"/>
      <c r="I408" s="2156"/>
      <c r="J408" s="2156"/>
      <c r="K408" s="2156"/>
      <c r="L408" s="2156"/>
      <c r="M408" s="2156"/>
      <c r="N408" s="2156"/>
      <c r="O408" s="2156"/>
      <c r="P408" s="2157"/>
    </row>
    <row r="409" spans="1:16" s="2121" customFormat="1" ht="13.3" hidden="1" outlineLevel="1" thickBot="1" x14ac:dyDescent="0.45">
      <c r="A409" s="2158"/>
      <c r="B409" s="2159"/>
      <c r="C409" s="2160"/>
      <c r="D409" s="2160"/>
      <c r="E409" s="2160"/>
      <c r="F409" s="2160"/>
      <c r="G409" s="2160"/>
      <c r="H409" s="2161"/>
      <c r="I409" s="2160"/>
      <c r="J409" s="2160"/>
      <c r="K409" s="2160"/>
      <c r="L409" s="2162"/>
      <c r="M409" s="2162"/>
      <c r="N409" s="2162"/>
      <c r="O409" s="2160"/>
      <c r="P409" s="2163"/>
    </row>
    <row r="410" spans="1:16" s="2121" customFormat="1" ht="25.5" hidden="1" customHeight="1" outlineLevel="1" x14ac:dyDescent="0.4">
      <c r="A410" s="2158"/>
      <c r="B410" s="3787" t="s">
        <v>2324</v>
      </c>
      <c r="C410" s="566" t="s">
        <v>1907</v>
      </c>
      <c r="D410" s="566" t="s">
        <v>907</v>
      </c>
      <c r="E410" s="1175">
        <f>MAX($P410,$N410,$H410)</f>
        <v>0</v>
      </c>
      <c r="F410" s="621">
        <f>IF($D410="Trigger",VLOOKUP($C410,'Lower Hot Cell Weld Failure'!$D$396:$G$434,4,FALSE),E410+F409)</f>
        <v>0</v>
      </c>
      <c r="G410" s="568"/>
      <c r="H410" s="569" t="s">
        <v>263</v>
      </c>
      <c r="I410" s="566"/>
      <c r="J410" s="566"/>
      <c r="K410" s="566"/>
      <c r="L410" s="1175" t="str">
        <f>IFERROR(INDEX('Lower Hot Cell Logistics'!$I$13:$O$19,MATCH($J410,'Lower Hot Cell Logistics'!$H$13:$H$19,0),MATCH($K410,'Lower Hot Cell Logistics'!$H$13:$H$19,0)),"N/A")</f>
        <v>N/A</v>
      </c>
      <c r="M410" s="1175" t="str">
        <f>IFERROR(VLOOKUP($I410,'Lower Hot Cell Logistics'!$H$4:$I$8,2,FALSE),"N/A")</f>
        <v>N/A</v>
      </c>
      <c r="N410" s="1175" t="str">
        <f t="shared" ref="N410:N429" si="33">IF(D410="Movement",IFERROR((L410/M410)/(60*60),"Error"),"N/A")</f>
        <v>N/A</v>
      </c>
      <c r="O410" s="620"/>
      <c r="P410" s="621" t="str">
        <f>IF($D410="Logistics",VLOOKUP($O410,'Lower Hot Cell Logistics'!$C$4:$D$69,2,FALSE),"N/A")</f>
        <v>N/A</v>
      </c>
    </row>
    <row r="411" spans="1:16" s="2121" customFormat="1" ht="12.75" hidden="1" customHeight="1" outlineLevel="1" x14ac:dyDescent="0.4">
      <c r="A411" s="2158"/>
      <c r="B411" s="3786"/>
      <c r="C411" s="573" t="s">
        <v>2355</v>
      </c>
      <c r="D411" s="573" t="s">
        <v>778</v>
      </c>
      <c r="E411" s="1176">
        <f>MAX($P411,$N411,$H411)</f>
        <v>0.69444444444444442</v>
      </c>
      <c r="F411" s="580">
        <f>IF($D411="Trigger",VLOOKUP($C411,'Lower Hot Cell Weld Failure'!$D$396:$G$434,4,FALSE),E411+F410)</f>
        <v>0.69444444444444442</v>
      </c>
      <c r="G411" s="575"/>
      <c r="H411" s="576" t="s">
        <v>263</v>
      </c>
      <c r="I411" s="573" t="s">
        <v>2356</v>
      </c>
      <c r="J411" s="573" t="s">
        <v>451</v>
      </c>
      <c r="K411" s="573" t="s">
        <v>1957</v>
      </c>
      <c r="L411" s="1176">
        <f>IFERROR(INDEX('Lower Hot Cell Logistics'!$I$13:$O$19,MATCH($J411,'Lower Hot Cell Logistics'!$H$13:$H$19,0),MATCH($K411,'Lower Hot Cell Logistics'!$H$13:$H$19,0)),"N/A")</f>
        <v>50</v>
      </c>
      <c r="M411" s="1176">
        <f>IFERROR(VLOOKUP($I411,'Lower Hot Cell Logistics'!$H$4:$I$8,2,FALSE),"N/A")</f>
        <v>0.02</v>
      </c>
      <c r="N411" s="1176">
        <f t="shared" si="33"/>
        <v>0.69444444444444442</v>
      </c>
      <c r="O411" s="579"/>
      <c r="P411" s="580" t="str">
        <f>IF($D411="Logistics",VLOOKUP($O411,'Lower Hot Cell Logistics'!$C$4:$D$69,2,FALSE),"N/A")</f>
        <v>N/A</v>
      </c>
    </row>
    <row r="412" spans="1:16" s="2121" customFormat="1" ht="12.75" hidden="1" customHeight="1" outlineLevel="1" x14ac:dyDescent="0.4">
      <c r="A412" s="2158"/>
      <c r="B412" s="3786"/>
      <c r="C412" s="573" t="s">
        <v>1959</v>
      </c>
      <c r="D412" s="573" t="s">
        <v>3</v>
      </c>
      <c r="E412" s="1176">
        <f>MAX($P412,$N412,$H412)</f>
        <v>0.88000000000000012</v>
      </c>
      <c r="F412" s="580">
        <f>IF($D412="Trigger",VLOOKUP($C412,'Lower Hot Cell Weld Failure'!$D$396:$G$434,4,FALSE),E412+F411)</f>
        <v>1.5744444444444445</v>
      </c>
      <c r="G412" s="575"/>
      <c r="H412" s="576" t="s">
        <v>263</v>
      </c>
      <c r="I412" s="573"/>
      <c r="J412" s="573"/>
      <c r="K412" s="573"/>
      <c r="L412" s="1176" t="str">
        <f>IFERROR(INDEX('Lower Hot Cell Logistics'!$I$13:$O$19,MATCH($J412,'Lower Hot Cell Logistics'!$H$13:$H$19,0),MATCH($K412,'Lower Hot Cell Logistics'!$H$13:$H$19,0)),"N/A")</f>
        <v>N/A</v>
      </c>
      <c r="M412" s="1176" t="str">
        <f>IFERROR(VLOOKUP($I412,'Lower Hot Cell Logistics'!$H$4:$I$8,2,FALSE),"N/A")</f>
        <v>N/A</v>
      </c>
      <c r="N412" s="1176" t="str">
        <f t="shared" si="33"/>
        <v>N/A</v>
      </c>
      <c r="O412" s="579" t="s">
        <v>2144</v>
      </c>
      <c r="P412" s="580">
        <f>IF($D412="Logistics",VLOOKUP($O412,'Lower Hot Cell Logistics'!$C$4:$D$69,2,FALSE),"N/A")</f>
        <v>0.88000000000000012</v>
      </c>
    </row>
    <row r="413" spans="1:16" s="2121" customFormat="1" ht="12.75" hidden="1" customHeight="1" outlineLevel="1" x14ac:dyDescent="0.4">
      <c r="A413" s="2158"/>
      <c r="B413" s="3786"/>
      <c r="C413" s="582" t="s">
        <v>2357</v>
      </c>
      <c r="D413" s="573" t="s">
        <v>3</v>
      </c>
      <c r="E413" s="1176">
        <f t="shared" ref="E413:E486" si="34">MAX($P413,$N413,$H413)</f>
        <v>0.88000000000000012</v>
      </c>
      <c r="F413" s="580">
        <f>IF($D413="Trigger",VLOOKUP($C413,'Lower Hot Cell Weld Failure'!$D$396:$G$434,4,FALSE),E413+F412)</f>
        <v>2.4544444444444444</v>
      </c>
      <c r="G413" s="575"/>
      <c r="H413" s="576" t="s">
        <v>263</v>
      </c>
      <c r="I413" s="573"/>
      <c r="J413" s="573"/>
      <c r="K413" s="573"/>
      <c r="L413" s="1176" t="str">
        <f>IFERROR(INDEX('Lower Hot Cell Logistics'!$I$13:$O$19,MATCH($J413,'Lower Hot Cell Logistics'!$H$13:$H$19,0),MATCH($K413,'Lower Hot Cell Logistics'!$H$13:$H$19,0)),"N/A")</f>
        <v>N/A</v>
      </c>
      <c r="M413" s="1176" t="str">
        <f>IFERROR(VLOOKUP($I413,'Lower Hot Cell Logistics'!$H$4:$I$8,2,FALSE),"N/A")</f>
        <v>N/A</v>
      </c>
      <c r="N413" s="1176" t="str">
        <f t="shared" si="33"/>
        <v>N/A</v>
      </c>
      <c r="O413" s="579" t="s">
        <v>2144</v>
      </c>
      <c r="P413" s="580">
        <f>IF($D413="Logistics",VLOOKUP($O413,'Lower Hot Cell Logistics'!$C$4:$D$69,2,FALSE),"N/A")</f>
        <v>0.88000000000000012</v>
      </c>
    </row>
    <row r="414" spans="1:16" ht="12.75" hidden="1" customHeight="1" outlineLevel="1" x14ac:dyDescent="0.4">
      <c r="A414" s="2158"/>
      <c r="B414" s="3786"/>
      <c r="C414" s="582" t="s">
        <v>2358</v>
      </c>
      <c r="D414" s="573" t="s">
        <v>3</v>
      </c>
      <c r="E414" s="1176">
        <f t="shared" si="34"/>
        <v>0.68</v>
      </c>
      <c r="F414" s="580">
        <f>IF($D414="Trigger",VLOOKUP($C414,'Lower Hot Cell Weld Failure'!$D$396:$G$434,4,FALSE),E414+F413)</f>
        <v>3.1344444444444446</v>
      </c>
      <c r="G414" s="575"/>
      <c r="H414" s="576" t="s">
        <v>263</v>
      </c>
      <c r="I414" s="573"/>
      <c r="J414" s="573"/>
      <c r="K414" s="573"/>
      <c r="L414" s="1176" t="str">
        <f>IFERROR(INDEX('Lower Hot Cell Logistics'!$I$13:$O$19,MATCH($J414,'Lower Hot Cell Logistics'!$H$13:$H$19,0),MATCH($K414,'Lower Hot Cell Logistics'!$H$13:$H$19,0)),"N/A")</f>
        <v>N/A</v>
      </c>
      <c r="M414" s="1176" t="str">
        <f>IFERROR(VLOOKUP($I414,'Lower Hot Cell Logistics'!$H$4:$I$8,2,FALSE),"N/A")</f>
        <v>N/A</v>
      </c>
      <c r="N414" s="1176" t="str">
        <f t="shared" si="33"/>
        <v>N/A</v>
      </c>
      <c r="O414" s="579" t="s">
        <v>2139</v>
      </c>
      <c r="P414" s="580">
        <f>IF($D414="Logistics",VLOOKUP($O414,'Lower Hot Cell Logistics'!$C$4:$D$69,2,FALSE),"N/A")</f>
        <v>0.68</v>
      </c>
    </row>
    <row r="415" spans="1:16" ht="25.5" hidden="1" customHeight="1" outlineLevel="1" x14ac:dyDescent="0.4">
      <c r="A415" s="2158"/>
      <c r="B415" s="3786"/>
      <c r="C415" s="582" t="s">
        <v>2359</v>
      </c>
      <c r="D415" s="573" t="s">
        <v>778</v>
      </c>
      <c r="E415" s="1176">
        <f t="shared" si="34"/>
        <v>0.23148148148148148</v>
      </c>
      <c r="F415" s="580">
        <f>IF($D415="Trigger",VLOOKUP($C415,'Lower Hot Cell Weld Failure'!$D$396:$G$434,4,FALSE),E415+F414)</f>
        <v>3.365925925925926</v>
      </c>
      <c r="G415" s="575"/>
      <c r="H415" s="576" t="s">
        <v>263</v>
      </c>
      <c r="I415" s="573" t="s">
        <v>2137</v>
      </c>
      <c r="J415" s="573" t="s">
        <v>1975</v>
      </c>
      <c r="K415" s="573" t="s">
        <v>451</v>
      </c>
      <c r="L415" s="1176">
        <f>IFERROR(INDEX('Lower Hot Cell Logistics'!$I$13:$O$19,MATCH($J415,'Lower Hot Cell Logistics'!$H$13:$H$19,0),MATCH($K415,'Lower Hot Cell Logistics'!$H$13:$H$19,0)),"N/A")</f>
        <v>50</v>
      </c>
      <c r="M415" s="1176">
        <f>IFERROR(VLOOKUP($I415,'Lower Hot Cell Logistics'!$H$4:$I$8,2,FALSE),"N/A")</f>
        <v>0.06</v>
      </c>
      <c r="N415" s="1176">
        <f t="shared" si="33"/>
        <v>0.23148148148148148</v>
      </c>
      <c r="O415" s="579"/>
      <c r="P415" s="580" t="str">
        <f>IF($D415="Logistics",VLOOKUP($O415,'Lower Hot Cell Logistics'!$C$4:$D$69,2,FALSE),"N/A")</f>
        <v>N/A</v>
      </c>
    </row>
    <row r="416" spans="1:16" ht="26.25" hidden="1" customHeight="1" outlineLevel="1" thickBot="1" x14ac:dyDescent="0.45">
      <c r="A416" s="2158"/>
      <c r="B416" s="3788"/>
      <c r="C416" s="584" t="str">
        <f>B410</f>
        <v>Current payload stored; Divertor pipe module transporter collected; transporter moved to Divertor Port</v>
      </c>
      <c r="D416" s="584" t="s">
        <v>11</v>
      </c>
      <c r="E416" s="1179">
        <f t="shared" si="34"/>
        <v>0</v>
      </c>
      <c r="F416" s="591">
        <f>IF($D416="Trigger",VLOOKUP($C416,'Lower Hot Cell Weld Failure'!$D$396:$G$434,4,FALSE),E416+F415)</f>
        <v>3.365925925925926</v>
      </c>
      <c r="G416" s="586"/>
      <c r="H416" s="587" t="s">
        <v>263</v>
      </c>
      <c r="I416" s="584"/>
      <c r="J416" s="584"/>
      <c r="K416" s="584"/>
      <c r="L416" s="1179" t="str">
        <f>IFERROR(INDEX('Lower Hot Cell Logistics'!$I$13:$O$19,MATCH($J416,'Lower Hot Cell Logistics'!$H$13:$H$19,0),MATCH($K416,'Lower Hot Cell Logistics'!$H$13:$H$19,0)),"N/A")</f>
        <v>N/A</v>
      </c>
      <c r="M416" s="1179" t="str">
        <f>IFERROR(VLOOKUP($I416,'Lower Hot Cell Logistics'!$H$4:$I$8,2,FALSE),"N/A")</f>
        <v>N/A</v>
      </c>
      <c r="N416" s="1179" t="str">
        <f t="shared" si="33"/>
        <v>N/A</v>
      </c>
      <c r="O416" s="590"/>
      <c r="P416" s="591" t="str">
        <f>IF($D416="Logistics",VLOOKUP($O416,'Lower Hot Cell Logistics'!$C$4:$D$69,2,FALSE),"N/A")</f>
        <v>N/A</v>
      </c>
    </row>
    <row r="417" spans="1:19" s="89" customFormat="1" ht="15" hidden="1" customHeight="1" outlineLevel="1" x14ac:dyDescent="0.4">
      <c r="A417" s="2158"/>
      <c r="B417" s="3814" t="s">
        <v>2325</v>
      </c>
      <c r="C417" s="1324" t="s">
        <v>2322</v>
      </c>
      <c r="D417" s="1324" t="s">
        <v>907</v>
      </c>
      <c r="E417" s="1291">
        <f t="shared" si="34"/>
        <v>0</v>
      </c>
      <c r="F417" s="1291">
        <f>IF($D417="Trigger",VLOOKUP($C417,'Lower Hot Cell Weld Failure'!$D$396:$G$434,4,FALSE),E417+F416)</f>
        <v>13.202967059728389</v>
      </c>
      <c r="G417" s="825"/>
      <c r="H417" s="1323" t="s">
        <v>263</v>
      </c>
      <c r="I417" s="1721"/>
      <c r="J417" s="1324"/>
      <c r="K417" s="1324"/>
      <c r="L417" s="828" t="str">
        <f>IFERROR(INDEX('Lower Hot Cell Logistics'!$I$13:$O$19,MATCH($J417,'Lower Hot Cell Logistics'!$H$13:$H$19,0),MATCH($K417,'Lower Hot Cell Logistics'!$H$13:$H$19,0)),"N/A")</f>
        <v>N/A</v>
      </c>
      <c r="M417" s="827" t="str">
        <f>IFERROR(VLOOKUP($I417,'Lower Hot Cell Logistics'!$H$4:$I$8,2,FALSE),"N/A")</f>
        <v>N/A</v>
      </c>
      <c r="N417" s="2200" t="str">
        <f t="shared" si="33"/>
        <v>N/A</v>
      </c>
      <c r="O417" s="1327"/>
      <c r="P417" s="824" t="str">
        <f>IF($D417="Logistics",VLOOKUP($O417,'Lower Hot Cell Logistics'!$C$4:$D$69,2,FALSE),"N/A")</f>
        <v>N/A</v>
      </c>
      <c r="R417"/>
      <c r="S417"/>
    </row>
    <row r="418" spans="1:19" s="89" customFormat="1" ht="15" hidden="1" customHeight="1" outlineLevel="1" x14ac:dyDescent="0.4">
      <c r="A418" s="2158"/>
      <c r="B418" s="3815"/>
      <c r="C418" s="1362" t="s">
        <v>2141</v>
      </c>
      <c r="D418" s="1294" t="s">
        <v>778</v>
      </c>
      <c r="E418" s="1330">
        <f t="shared" si="34"/>
        <v>0.69444444444444442</v>
      </c>
      <c r="F418" s="1330">
        <f>IF($D418="Trigger",VLOOKUP($C418,'Lower Hot Cell Weld Failure'!$D$396:$G$434,4,FALSE),E418+F417)</f>
        <v>13.897411504172833</v>
      </c>
      <c r="G418" s="1722"/>
      <c r="H418" s="2219" t="s">
        <v>263</v>
      </c>
      <c r="I418" s="1724" t="s">
        <v>2171</v>
      </c>
      <c r="J418" s="1294" t="s">
        <v>451</v>
      </c>
      <c r="K418" s="1294" t="s">
        <v>831</v>
      </c>
      <c r="L418" s="2042">
        <f>IFERROR(INDEX('Lower Hot Cell Logistics'!$I$13:$O$19,MATCH($J418,'Lower Hot Cell Logistics'!$H$13:$H$19,0),MATCH($K418,'Lower Hot Cell Logistics'!$H$13:$H$19,0)),"N/A")</f>
        <v>50</v>
      </c>
      <c r="M418" s="2220">
        <f>IFERROR(VLOOKUP($I418,'Lower Hot Cell Logistics'!$H$4:$I$8,2,FALSE),"N/A")</f>
        <v>0.02</v>
      </c>
      <c r="N418" s="1332">
        <f t="shared" si="33"/>
        <v>0.69444444444444442</v>
      </c>
      <c r="O418" s="1352"/>
      <c r="P418" s="1353" t="str">
        <f>IF($D418="Logistics",VLOOKUP($O418,'Lower Hot Cell Logistics'!$C$4:$D$69,2,FALSE),"N/A")</f>
        <v>N/A</v>
      </c>
      <c r="R418"/>
      <c r="S418"/>
    </row>
    <row r="419" spans="1:19" s="89" customFormat="1" ht="15" hidden="1" customHeight="1" outlineLevel="1" x14ac:dyDescent="0.4">
      <c r="A419" s="2158"/>
      <c r="B419" s="3815"/>
      <c r="C419" s="1362" t="s">
        <v>1988</v>
      </c>
      <c r="D419" s="1294" t="s">
        <v>3</v>
      </c>
      <c r="E419" s="1330">
        <f t="shared" si="34"/>
        <v>0.88000000000000012</v>
      </c>
      <c r="F419" s="1330">
        <f>IF($D419="Trigger",VLOOKUP($C419,'Lower Hot Cell Weld Failure'!$D$396:$G$434,4,FALSE),E419+F418)</f>
        <v>14.777411504172834</v>
      </c>
      <c r="G419" s="1722"/>
      <c r="H419" s="2219" t="s">
        <v>263</v>
      </c>
      <c r="I419" s="1724"/>
      <c r="J419" s="1294"/>
      <c r="K419" s="1294"/>
      <c r="L419" s="2042" t="str">
        <f>IFERROR(INDEX('Lower Hot Cell Logistics'!$I$13:$O$19,MATCH($J419,'Lower Hot Cell Logistics'!$H$13:$H$19,0),MATCH($K419,'Lower Hot Cell Logistics'!$H$13:$H$19,0)),"N/A")</f>
        <v>N/A</v>
      </c>
      <c r="M419" s="2220" t="str">
        <f>IFERROR(VLOOKUP($I419,'Lower Hot Cell Logistics'!$H$4:$I$8,2,FALSE),"N/A")</f>
        <v>N/A</v>
      </c>
      <c r="N419" s="1332" t="str">
        <f t="shared" si="33"/>
        <v>N/A</v>
      </c>
      <c r="O419" s="1352" t="s">
        <v>2144</v>
      </c>
      <c r="P419" s="1353">
        <f>IF($D419="Logistics",VLOOKUP($O419,'Lower Hot Cell Logistics'!$C$4:$D$69,2,FALSE),"N/A")</f>
        <v>0.88000000000000012</v>
      </c>
      <c r="R419"/>
      <c r="S419"/>
    </row>
    <row r="420" spans="1:19" s="89" customFormat="1" ht="14.6" hidden="1" outlineLevel="1" x14ac:dyDescent="0.4">
      <c r="A420" s="2158"/>
      <c r="B420" s="3815"/>
      <c r="C420" s="1294" t="s">
        <v>2162</v>
      </c>
      <c r="D420" s="1294" t="s">
        <v>778</v>
      </c>
      <c r="E420" s="1292">
        <f t="shared" si="34"/>
        <v>0.69444444444444442</v>
      </c>
      <c r="F420" s="1330">
        <f>IF($D420="Trigger",VLOOKUP($C420,'Lower Hot Cell Weld Failure'!$D$396:$G$434,4,FALSE),E420+F419)</f>
        <v>15.471855948617279</v>
      </c>
      <c r="G420" s="862"/>
      <c r="H420" s="1328" t="s">
        <v>263</v>
      </c>
      <c r="I420" s="1724" t="s">
        <v>1826</v>
      </c>
      <c r="J420" s="1294" t="s">
        <v>799</v>
      </c>
      <c r="K420" s="1294" t="s">
        <v>451</v>
      </c>
      <c r="L420" s="865">
        <f>IFERROR(INDEX('Lower Hot Cell Logistics'!$I$13:$O$19,MATCH($J420,'Lower Hot Cell Logistics'!$H$13:$H$19,0),MATCH($K420,'Lower Hot Cell Logistics'!$H$13:$H$19,0)),"N/A")</f>
        <v>50</v>
      </c>
      <c r="M420" s="865">
        <f>IFERROR(VLOOKUP($I420,'Lower Hot Cell Logistics'!$H$4:$I$8,2,FALSE),"N/A")</f>
        <v>0.02</v>
      </c>
      <c r="N420" s="2197">
        <f t="shared" si="33"/>
        <v>0.69444444444444442</v>
      </c>
      <c r="O420" s="1331"/>
      <c r="P420" s="1332" t="str">
        <f>IF($D420="Logistics",VLOOKUP($O420,'Lower Hot Cell Logistics'!$C$4:$D$69,2,FALSE),"N/A")</f>
        <v>N/A</v>
      </c>
      <c r="R420"/>
      <c r="S420"/>
    </row>
    <row r="421" spans="1:19" s="89" customFormat="1" ht="26.6" hidden="1" outlineLevel="1" thickBot="1" x14ac:dyDescent="0.45">
      <c r="A421" s="2158"/>
      <c r="B421" s="3816"/>
      <c r="C421" s="1340" t="str">
        <f>B417</f>
        <v>Central Divertor pipe module stored and transporter moved to divertor Port</v>
      </c>
      <c r="D421" s="1340" t="s">
        <v>11</v>
      </c>
      <c r="E421" s="1295">
        <f t="shared" si="34"/>
        <v>0</v>
      </c>
      <c r="F421" s="1295">
        <f>IF($D421="Trigger",VLOOKUP($C421,'Lower Hot Cell Weld Failure'!$D$396:$G$434,4,FALSE),E421+F420)</f>
        <v>15.471855948617279</v>
      </c>
      <c r="G421" s="839"/>
      <c r="H421" s="1341" t="s">
        <v>263</v>
      </c>
      <c r="I421" s="1727"/>
      <c r="J421" s="1340"/>
      <c r="K421" s="1340"/>
      <c r="L421" s="842" t="str">
        <f>IFERROR(INDEX('Lower Hot Cell Logistics'!$I$13:$O$19,MATCH($J421,'Lower Hot Cell Logistics'!$H$13:$H$19,0),MATCH($K421,'Lower Hot Cell Logistics'!$H$13:$H$19,0)),"N/A")</f>
        <v>N/A</v>
      </c>
      <c r="M421" s="842" t="str">
        <f>IFERROR(VLOOKUP($I421,'Lower Hot Cell Logistics'!$H$4:$I$8,2,FALSE),"N/A")</f>
        <v>N/A</v>
      </c>
      <c r="N421" s="2199" t="str">
        <f t="shared" si="33"/>
        <v>N/A</v>
      </c>
      <c r="O421" s="1344"/>
      <c r="P421" s="1345" t="str">
        <f>IF($D421="Logistics",VLOOKUP($O421,'Lower Hot Cell Logistics'!$C$4:$D$69,2,FALSE),"N/A")</f>
        <v>N/A</v>
      </c>
      <c r="R421"/>
      <c r="S421"/>
    </row>
    <row r="422" spans="1:19" s="89" customFormat="1" ht="15" hidden="1" customHeight="1" outlineLevel="1" x14ac:dyDescent="0.4">
      <c r="A422" s="2158"/>
      <c r="B422" s="3787" t="s">
        <v>2326</v>
      </c>
      <c r="C422" s="617" t="s">
        <v>2163</v>
      </c>
      <c r="D422" s="617" t="s">
        <v>907</v>
      </c>
      <c r="E422" s="567">
        <f t="shared" si="34"/>
        <v>0</v>
      </c>
      <c r="F422" s="567">
        <f>IF($D422="Trigger",VLOOKUP($C422,'Lower Hot Cell Weld Failure'!$D$396:$G$434,4,FALSE),E422+F421)</f>
        <v>26.335934119456777</v>
      </c>
      <c r="G422" s="568"/>
      <c r="H422" s="569" t="s">
        <v>263</v>
      </c>
      <c r="I422" s="1270"/>
      <c r="J422" s="617"/>
      <c r="K422" s="617"/>
      <c r="L422" s="570" t="str">
        <f>IFERROR(INDEX('Lower Hot Cell Logistics'!$I$13:$O$19,MATCH($J422,'Lower Hot Cell Logistics'!$H$13:$H$19,0),MATCH($K422,'Lower Hot Cell Logistics'!$H$13:$H$19,0)),"N/A")</f>
        <v>N/A</v>
      </c>
      <c r="M422" s="802" t="str">
        <f>IFERROR(VLOOKUP($I422,'Lower Hot Cell Logistics'!$H$4:$I$8,2,FALSE),"N/A")</f>
        <v>N/A</v>
      </c>
      <c r="N422" s="1182" t="str">
        <f t="shared" si="33"/>
        <v>N/A</v>
      </c>
      <c r="O422" s="620"/>
      <c r="P422" s="621" t="str">
        <f>IF($D422="Logistics",VLOOKUP($O422,'Lower Hot Cell Logistics'!$C$4:$D$69,2,FALSE),"N/A")</f>
        <v>N/A</v>
      </c>
      <c r="R422"/>
      <c r="S422"/>
    </row>
    <row r="423" spans="1:19" s="89" customFormat="1" ht="15" hidden="1" customHeight="1" outlineLevel="1" x14ac:dyDescent="0.4">
      <c r="A423" s="2158"/>
      <c r="B423" s="3786"/>
      <c r="C423" s="2348" t="s">
        <v>2141</v>
      </c>
      <c r="D423" s="572" t="s">
        <v>778</v>
      </c>
      <c r="E423" s="578">
        <f t="shared" si="34"/>
        <v>0.23148148148148148</v>
      </c>
      <c r="F423" s="578">
        <f>IF($D423="Trigger",VLOOKUP($C423,'Lower Hot Cell Weld Failure'!$D$396:$G$434,4,FALSE),E423+F422)</f>
        <v>26.567415600938258</v>
      </c>
      <c r="G423" s="872"/>
      <c r="H423" s="2221" t="s">
        <v>263</v>
      </c>
      <c r="I423" s="1281" t="s">
        <v>2142</v>
      </c>
      <c r="J423" s="572" t="s">
        <v>451</v>
      </c>
      <c r="K423" s="572" t="s">
        <v>2164</v>
      </c>
      <c r="L423" s="1176">
        <f>IFERROR(INDEX('Lower Hot Cell Logistics'!$I$13:$O$19,MATCH($J423,'Lower Hot Cell Logistics'!$H$13:$H$19,0),MATCH($K423,'Lower Hot Cell Logistics'!$H$13:$H$19,0)),"N/A")</f>
        <v>50</v>
      </c>
      <c r="M423" s="2222">
        <f>IFERROR(VLOOKUP($I423,'Lower Hot Cell Logistics'!$H$4:$I$8,2,FALSE),"N/A")</f>
        <v>0.06</v>
      </c>
      <c r="N423" s="580">
        <f t="shared" si="33"/>
        <v>0.23148148148148148</v>
      </c>
      <c r="O423" s="631"/>
      <c r="P423" s="632" t="str">
        <f>IF($D423="Logistics",VLOOKUP($O423,'Lower Hot Cell Logistics'!$C$4:$D$69,2,FALSE),"N/A")</f>
        <v>N/A</v>
      </c>
      <c r="R423"/>
      <c r="S423"/>
    </row>
    <row r="424" spans="1:19" s="89" customFormat="1" ht="15" hidden="1" customHeight="1" outlineLevel="1" x14ac:dyDescent="0.4">
      <c r="A424" s="2158"/>
      <c r="B424" s="3786"/>
      <c r="C424" s="1275" t="s">
        <v>1757</v>
      </c>
      <c r="D424" s="572" t="s">
        <v>3</v>
      </c>
      <c r="E424" s="578">
        <f t="shared" si="34"/>
        <v>0.88000000000000012</v>
      </c>
      <c r="F424" s="578">
        <f>IF($D424="Trigger",VLOOKUP($C424,'Lower Hot Cell Weld Failure'!$D$396:$G$434,4,FALSE),E424+F423)</f>
        <v>27.447415600938257</v>
      </c>
      <c r="G424" s="872"/>
      <c r="H424" s="2221" t="s">
        <v>263</v>
      </c>
      <c r="I424" s="1281"/>
      <c r="J424" s="572"/>
      <c r="K424" s="572"/>
      <c r="L424" s="1176" t="str">
        <f>IFERROR(INDEX('Lower Hot Cell Logistics'!$I$13:$O$19,MATCH($J424,'Lower Hot Cell Logistics'!$H$13:$H$19,0),MATCH($K424,'Lower Hot Cell Logistics'!$H$13:$H$19,0)),"N/A")</f>
        <v>N/A</v>
      </c>
      <c r="M424" s="2222" t="str">
        <f>IFERROR(VLOOKUP($I424,'Lower Hot Cell Logistics'!$H$4:$I$8,2,FALSE),"N/A")</f>
        <v>N/A</v>
      </c>
      <c r="N424" s="580" t="str">
        <f t="shared" si="33"/>
        <v>N/A</v>
      </c>
      <c r="O424" s="631" t="s">
        <v>2144</v>
      </c>
      <c r="P424" s="632">
        <f>IF($D424="Logistics",VLOOKUP($O424,'Lower Hot Cell Logistics'!$C$4:$D$69,2,FALSE),"N/A")</f>
        <v>0.88000000000000012</v>
      </c>
      <c r="R424"/>
      <c r="S424"/>
    </row>
    <row r="425" spans="1:19" s="89" customFormat="1" ht="15" hidden="1" customHeight="1" outlineLevel="1" x14ac:dyDescent="0.4">
      <c r="A425" s="2158"/>
      <c r="B425" s="3786"/>
      <c r="C425" s="1275" t="s">
        <v>2165</v>
      </c>
      <c r="D425" s="572" t="s">
        <v>778</v>
      </c>
      <c r="E425" s="578">
        <f t="shared" si="34"/>
        <v>2.7777777777777776E-2</v>
      </c>
      <c r="F425" s="578">
        <f>IF($D425="Trigger",VLOOKUP($C425,'Lower Hot Cell Weld Failure'!$D$396:$G$434,4,FALSE),E425+F424)</f>
        <v>27.475193378716035</v>
      </c>
      <c r="G425" s="872"/>
      <c r="H425" s="2221" t="s">
        <v>263</v>
      </c>
      <c r="I425" s="1281" t="s">
        <v>2166</v>
      </c>
      <c r="J425" s="572" t="s">
        <v>2164</v>
      </c>
      <c r="K425" s="572" t="s">
        <v>914</v>
      </c>
      <c r="L425" s="1176">
        <f>IFERROR(INDEX('Lower Hot Cell Logistics'!$I$13:$O$19,MATCH($J425,'Lower Hot Cell Logistics'!$H$13:$H$19,0),MATCH($K425,'Lower Hot Cell Logistics'!$H$13:$H$19,0)),"N/A")</f>
        <v>20</v>
      </c>
      <c r="M425" s="2222">
        <f>IFERROR(VLOOKUP($I425,'Lower Hot Cell Logistics'!$H$4:$I$8,2,FALSE),"N/A")</f>
        <v>0.2</v>
      </c>
      <c r="N425" s="580">
        <f t="shared" si="33"/>
        <v>2.7777777777777776E-2</v>
      </c>
      <c r="O425" s="631"/>
      <c r="P425" s="632" t="str">
        <f>IF($D425="Logistics",VLOOKUP($O425,'Lower Hot Cell Logistics'!$C$4:$D$69,2,FALSE),"N/A")</f>
        <v>N/A</v>
      </c>
      <c r="R425"/>
      <c r="S425"/>
    </row>
    <row r="426" spans="1:19" s="89" customFormat="1" ht="15" hidden="1" customHeight="1" outlineLevel="1" x14ac:dyDescent="0.4">
      <c r="A426" s="2158"/>
      <c r="B426" s="3786"/>
      <c r="C426" s="1275" t="s">
        <v>2167</v>
      </c>
      <c r="D426" s="572" t="s">
        <v>3</v>
      </c>
      <c r="E426" s="578">
        <f t="shared" si="34"/>
        <v>0.88000000000000012</v>
      </c>
      <c r="F426" s="578">
        <f>IF($D426="Trigger",VLOOKUP($C426,'Lower Hot Cell Weld Failure'!$D$396:$G$434,4,FALSE),E426+F425)</f>
        <v>28.355193378716034</v>
      </c>
      <c r="G426" s="872"/>
      <c r="H426" s="2221" t="s">
        <v>263</v>
      </c>
      <c r="I426" s="1281"/>
      <c r="J426" s="572"/>
      <c r="K426" s="572"/>
      <c r="L426" s="1176" t="str">
        <f>IFERROR(INDEX('Lower Hot Cell Logistics'!$I$13:$O$19,MATCH($J426,'Lower Hot Cell Logistics'!$H$13:$H$19,0),MATCH($K426,'Lower Hot Cell Logistics'!$H$13:$H$19,0)),"N/A")</f>
        <v>N/A</v>
      </c>
      <c r="M426" s="2222" t="str">
        <f>IFERROR(VLOOKUP($I426,'Lower Hot Cell Logistics'!$H$4:$I$8,2,FALSE),"N/A")</f>
        <v>N/A</v>
      </c>
      <c r="N426" s="580" t="str">
        <f t="shared" si="33"/>
        <v>N/A</v>
      </c>
      <c r="O426" s="631" t="s">
        <v>2168</v>
      </c>
      <c r="P426" s="632">
        <f>IF($D426="Logistics",VLOOKUP($O426,'Lower Hot Cell Logistics'!$C$4:$D$69,2,FALSE),"N/A")</f>
        <v>0.88000000000000012</v>
      </c>
      <c r="R426"/>
      <c r="S426"/>
    </row>
    <row r="427" spans="1:19" s="89" customFormat="1" ht="15" hidden="1" customHeight="1" outlineLevel="1" x14ac:dyDescent="0.4">
      <c r="A427" s="2158"/>
      <c r="B427" s="3786"/>
      <c r="C427" s="1275" t="s">
        <v>2145</v>
      </c>
      <c r="D427" s="572" t="s">
        <v>778</v>
      </c>
      <c r="E427" s="578">
        <f t="shared" si="34"/>
        <v>2.7777777777777776E-2</v>
      </c>
      <c r="F427" s="578">
        <f>IF($D427="Trigger",VLOOKUP($C427,'Lower Hot Cell Weld Failure'!$D$396:$G$434,4,FALSE),E427+F426)</f>
        <v>28.382971156493813</v>
      </c>
      <c r="G427" s="872"/>
      <c r="H427" s="2221" t="s">
        <v>263</v>
      </c>
      <c r="I427" s="1281" t="s">
        <v>2146</v>
      </c>
      <c r="J427" s="572" t="s">
        <v>914</v>
      </c>
      <c r="K427" s="572" t="s">
        <v>799</v>
      </c>
      <c r="L427" s="1176">
        <f>IFERROR(INDEX('Lower Hot Cell Logistics'!$I$13:$O$19,MATCH($J427,'Lower Hot Cell Logistics'!$H$13:$H$19,0),MATCH($K427,'Lower Hot Cell Logistics'!$H$13:$H$19,0)),"N/A")</f>
        <v>20</v>
      </c>
      <c r="M427" s="2222">
        <f>IFERROR(VLOOKUP($I427,'Lower Hot Cell Logistics'!$H$4:$I$8,2,FALSE),"N/A")</f>
        <v>0.2</v>
      </c>
      <c r="N427" s="580">
        <f t="shared" si="33"/>
        <v>2.7777777777777776E-2</v>
      </c>
      <c r="O427" s="631"/>
      <c r="P427" s="632" t="str">
        <f>IF($D427="Logistics",VLOOKUP($O427,'Lower Hot Cell Logistics'!$C$4:$D$69,2,FALSE),"N/A")</f>
        <v>N/A</v>
      </c>
      <c r="R427"/>
      <c r="S427"/>
    </row>
    <row r="428" spans="1:19" s="89" customFormat="1" ht="14.6" hidden="1" outlineLevel="1" x14ac:dyDescent="0.4">
      <c r="A428" s="2158"/>
      <c r="B428" s="3786"/>
      <c r="C428" s="572" t="s">
        <v>2169</v>
      </c>
      <c r="D428" s="572" t="s">
        <v>3</v>
      </c>
      <c r="E428" s="574">
        <f t="shared" si="34"/>
        <v>0.68</v>
      </c>
      <c r="F428" s="574">
        <f>IF($D428="Trigger",VLOOKUP($C428,'Lower Hot Cell Weld Failure'!$D$396:$G$434,4,FALSE),E428+F427)</f>
        <v>29.062971156493813</v>
      </c>
      <c r="G428" s="575"/>
      <c r="H428" s="576" t="s">
        <v>263</v>
      </c>
      <c r="I428" s="1281"/>
      <c r="J428" s="572"/>
      <c r="K428" s="572"/>
      <c r="L428" s="853" t="str">
        <f>IFERROR(INDEX('Lower Hot Cell Logistics'!$I$13:$O$19,MATCH($J428,'Lower Hot Cell Logistics'!$H$13:$H$19,0),MATCH($K428,'Lower Hot Cell Logistics'!$H$13:$H$19,0)),"N/A")</f>
        <v>N/A</v>
      </c>
      <c r="M428" s="852" t="str">
        <f>IFERROR(VLOOKUP($I428,'Lower Hot Cell Logistics'!$H$4:$I$8,2,FALSE),"N/A")</f>
        <v>N/A</v>
      </c>
      <c r="N428" s="1180" t="str">
        <f t="shared" si="33"/>
        <v>N/A</v>
      </c>
      <c r="O428" s="579" t="s">
        <v>2148</v>
      </c>
      <c r="P428" s="580">
        <f>IF($D428="Logistics",VLOOKUP($O428,'Lower Hot Cell Logistics'!$C$4:$D$69,2,FALSE),"N/A")</f>
        <v>0.68</v>
      </c>
      <c r="R428"/>
      <c r="S428"/>
    </row>
    <row r="429" spans="1:19" s="89" customFormat="1" ht="14.6" hidden="1" outlineLevel="1" x14ac:dyDescent="0.4">
      <c r="A429" s="2158"/>
      <c r="B429" s="3786"/>
      <c r="C429" s="572" t="s">
        <v>2162</v>
      </c>
      <c r="D429" s="572" t="s">
        <v>778</v>
      </c>
      <c r="E429" s="574">
        <f t="shared" si="34"/>
        <v>0.69444444444444442</v>
      </c>
      <c r="F429" s="574">
        <f>IF($D429="Trigger",VLOOKUP($C429,'Lower Hot Cell Weld Failure'!$D$396:$G$434,4,FALSE),E429+F428)</f>
        <v>29.757415600938256</v>
      </c>
      <c r="G429" s="575"/>
      <c r="H429" s="576" t="s">
        <v>263</v>
      </c>
      <c r="I429" s="1281" t="s">
        <v>1826</v>
      </c>
      <c r="J429" s="572" t="s">
        <v>799</v>
      </c>
      <c r="K429" s="572" t="s">
        <v>451</v>
      </c>
      <c r="L429" s="853">
        <f>IFERROR(INDEX('Lower Hot Cell Logistics'!$I$13:$O$19,MATCH($J429,'Lower Hot Cell Logistics'!$H$13:$H$19,0),MATCH($K429,'Lower Hot Cell Logistics'!$H$13:$H$19,0)),"N/A")</f>
        <v>50</v>
      </c>
      <c r="M429" s="853">
        <f>IFERROR(VLOOKUP($I429,'Lower Hot Cell Logistics'!$H$4:$I$8,2,FALSE),"N/A")</f>
        <v>0.02</v>
      </c>
      <c r="N429" s="1180">
        <f t="shared" si="33"/>
        <v>0.69444444444444442</v>
      </c>
      <c r="O429" s="579"/>
      <c r="P429" s="580" t="str">
        <f>IF($D429="Logistics",VLOOKUP($O429,'Lower Hot Cell Logistics'!$C$4:$D$69,2,FALSE),"N/A")</f>
        <v>N/A</v>
      </c>
      <c r="R429"/>
      <c r="S429"/>
    </row>
    <row r="430" spans="1:19" s="89" customFormat="1" ht="39.450000000000003" hidden="1" outlineLevel="1" thickBot="1" x14ac:dyDescent="0.45">
      <c r="A430" s="2158"/>
      <c r="B430" s="3788"/>
      <c r="C430" s="583" t="str">
        <f>B422</f>
        <v>Left Divertor Pipework Module Stored; pipe module handling system stored; Divertor cassette transporter collected and moved to Lower Port</v>
      </c>
      <c r="D430" s="583" t="s">
        <v>11</v>
      </c>
      <c r="E430" s="585">
        <f t="shared" si="34"/>
        <v>0</v>
      </c>
      <c r="F430" s="585">
        <f>IF($D430="Trigger",VLOOKUP($C430,'Lower Hot Cell Weld Failure'!$D$396:$G$434,4,FALSE),E430+F429)</f>
        <v>29.757415600938256</v>
      </c>
      <c r="G430" s="586"/>
      <c r="H430" s="587" t="s">
        <v>263</v>
      </c>
      <c r="I430" s="1720"/>
      <c r="J430" s="583"/>
      <c r="K430" s="583"/>
      <c r="L430" s="814" t="str">
        <f>IFERROR(INDEX('Lower Hot Cell Logistics'!$I$13:$O$19,MATCH($J430,'Lower Hot Cell Logistics'!$H$13:$H$19,0),MATCH($K430,'Lower Hot Cell Logistics'!$H$13:$H$19,0)),"N/A")</f>
        <v>N/A</v>
      </c>
      <c r="M430" s="814" t="str">
        <f>IFERROR(VLOOKUP($I430,'Lower Hot Cell Logistics'!$H$4:$I$8,2,FALSE),"N/A")</f>
        <v>N/A</v>
      </c>
      <c r="N430" s="1181" t="str">
        <f>IF(D430="Movement",IFERROR((L430/M430)/(60*60),"Error"),"N/A")</f>
        <v>N/A</v>
      </c>
      <c r="O430" s="590"/>
      <c r="P430" s="591" t="str">
        <f>IF($D430="Logistics",VLOOKUP($O430,'Lower Hot Cell Logistics'!$C$4:$D$69,2,FALSE),"N/A")</f>
        <v>N/A</v>
      </c>
      <c r="R430"/>
      <c r="S430"/>
    </row>
    <row r="431" spans="1:19" s="89" customFormat="1" ht="15" hidden="1" customHeight="1" outlineLevel="1" x14ac:dyDescent="0.4">
      <c r="A431" s="2158"/>
      <c r="B431" s="3814" t="s">
        <v>2328</v>
      </c>
      <c r="C431" s="1324" t="s">
        <v>2163</v>
      </c>
      <c r="D431" s="1324" t="s">
        <v>907</v>
      </c>
      <c r="E431" s="1291">
        <f t="shared" si="34"/>
        <v>0</v>
      </c>
      <c r="F431" s="1291">
        <f>IF($D431="Trigger",VLOOKUP($C431,'Lower Hot Cell Weld Failure'!$D$396:$G$434,4,FALSE),E431+F430)</f>
        <v>26.335934119456777</v>
      </c>
      <c r="G431" s="825"/>
      <c r="H431" s="1323" t="s">
        <v>263</v>
      </c>
      <c r="I431" s="1721"/>
      <c r="J431" s="1324"/>
      <c r="K431" s="1324"/>
      <c r="L431" s="828" t="str">
        <f>IFERROR(INDEX('Lower Hot Cell Logistics'!$I$13:$O$19,MATCH($J431,'Lower Hot Cell Logistics'!$H$13:$H$19,0),MATCH($K431,'Lower Hot Cell Logistics'!$H$13:$H$19,0)),"N/A")</f>
        <v>N/A</v>
      </c>
      <c r="M431" s="827" t="str">
        <f>IFERROR(VLOOKUP($I431,'Lower Hot Cell Logistics'!$H$4:$I$8,2,FALSE),"N/A")</f>
        <v>N/A</v>
      </c>
      <c r="N431" s="2200" t="str">
        <f t="shared" ref="N431:N438" si="35">IF(D431="Movement",IFERROR((L431/M431)/(60*60),"Error"),"N/A")</f>
        <v>N/A</v>
      </c>
      <c r="O431" s="1327"/>
      <c r="P431" s="824" t="str">
        <f>IF($D431="Logistics",VLOOKUP($O431,'Lower Hot Cell Logistics'!$C$4:$D$69,2,FALSE),"N/A")</f>
        <v>N/A</v>
      </c>
      <c r="R431"/>
      <c r="S431"/>
    </row>
    <row r="432" spans="1:19" s="89" customFormat="1" ht="15" hidden="1" customHeight="1" outlineLevel="1" x14ac:dyDescent="0.4">
      <c r="A432" s="2158"/>
      <c r="B432" s="3815"/>
      <c r="C432" s="2349" t="s">
        <v>2141</v>
      </c>
      <c r="D432" s="1294" t="s">
        <v>778</v>
      </c>
      <c r="E432" s="1330">
        <f t="shared" si="34"/>
        <v>0.23148148148148148</v>
      </c>
      <c r="F432" s="1330">
        <f>IF($D432="Trigger",VLOOKUP($C432,'Lower Hot Cell Weld Failure'!$D$396:$G$434,4,FALSE),E432+F431)</f>
        <v>26.567415600938258</v>
      </c>
      <c r="G432" s="1722"/>
      <c r="H432" s="2219" t="s">
        <v>263</v>
      </c>
      <c r="I432" s="1724" t="s">
        <v>2142</v>
      </c>
      <c r="J432" s="1294" t="s">
        <v>451</v>
      </c>
      <c r="K432" s="1294" t="s">
        <v>2164</v>
      </c>
      <c r="L432" s="2042">
        <f>IFERROR(INDEX('Lower Hot Cell Logistics'!$I$13:$O$19,MATCH($J432,'Lower Hot Cell Logistics'!$H$13:$H$19,0),MATCH($K432,'Lower Hot Cell Logistics'!$H$13:$H$19,0)),"N/A")</f>
        <v>50</v>
      </c>
      <c r="M432" s="2220">
        <f>IFERROR(VLOOKUP($I432,'Lower Hot Cell Logistics'!$H$4:$I$8,2,FALSE),"N/A")</f>
        <v>0.06</v>
      </c>
      <c r="N432" s="1332">
        <f t="shared" si="35"/>
        <v>0.23148148148148148</v>
      </c>
      <c r="O432" s="1352"/>
      <c r="P432" s="1353" t="str">
        <f>IF($D432="Logistics",VLOOKUP($O432,'Lower Hot Cell Logistics'!$C$4:$D$69,2,FALSE),"N/A")</f>
        <v>N/A</v>
      </c>
      <c r="R432"/>
      <c r="S432"/>
    </row>
    <row r="433" spans="1:19" s="89" customFormat="1" ht="15" hidden="1" customHeight="1" outlineLevel="1" x14ac:dyDescent="0.4">
      <c r="A433" s="2158"/>
      <c r="B433" s="3815"/>
      <c r="C433" s="1362" t="s">
        <v>1757</v>
      </c>
      <c r="D433" s="1294" t="s">
        <v>3</v>
      </c>
      <c r="E433" s="1330">
        <f t="shared" si="34"/>
        <v>0.88000000000000012</v>
      </c>
      <c r="F433" s="1330">
        <f>IF($D433="Trigger",VLOOKUP($C433,'Lower Hot Cell Weld Failure'!$D$396:$G$434,4,FALSE),E433+F432)</f>
        <v>27.447415600938257</v>
      </c>
      <c r="G433" s="1722"/>
      <c r="H433" s="2219" t="s">
        <v>263</v>
      </c>
      <c r="I433" s="1724"/>
      <c r="J433" s="1294"/>
      <c r="K433" s="1294"/>
      <c r="L433" s="2042" t="str">
        <f>IFERROR(INDEX('Lower Hot Cell Logistics'!$I$13:$O$19,MATCH($J433,'Lower Hot Cell Logistics'!$H$13:$H$19,0),MATCH($K433,'Lower Hot Cell Logistics'!$H$13:$H$19,0)),"N/A")</f>
        <v>N/A</v>
      </c>
      <c r="M433" s="2220" t="str">
        <f>IFERROR(VLOOKUP($I433,'Lower Hot Cell Logistics'!$H$4:$I$8,2,FALSE),"N/A")</f>
        <v>N/A</v>
      </c>
      <c r="N433" s="1332" t="str">
        <f t="shared" si="35"/>
        <v>N/A</v>
      </c>
      <c r="O433" s="1352" t="s">
        <v>2144</v>
      </c>
      <c r="P433" s="1353">
        <f>IF($D433="Logistics",VLOOKUP($O433,'Lower Hot Cell Logistics'!$C$4:$D$69,2,FALSE),"N/A")</f>
        <v>0.88000000000000012</v>
      </c>
      <c r="R433"/>
      <c r="S433"/>
    </row>
    <row r="434" spans="1:19" s="89" customFormat="1" ht="15" hidden="1" customHeight="1" outlineLevel="1" x14ac:dyDescent="0.4">
      <c r="A434" s="2158"/>
      <c r="B434" s="3815"/>
      <c r="C434" s="1362" t="s">
        <v>2165</v>
      </c>
      <c r="D434" s="1294" t="s">
        <v>778</v>
      </c>
      <c r="E434" s="1330">
        <f t="shared" si="34"/>
        <v>2.7777777777777776E-2</v>
      </c>
      <c r="F434" s="1330">
        <f>IF($D434="Trigger",VLOOKUP($C434,'Lower Hot Cell Weld Failure'!$D$396:$G$434,4,FALSE),E434+F433)</f>
        <v>27.475193378716035</v>
      </c>
      <c r="G434" s="1722"/>
      <c r="H434" s="2219" t="s">
        <v>263</v>
      </c>
      <c r="I434" s="1724" t="s">
        <v>2166</v>
      </c>
      <c r="J434" s="1294" t="s">
        <v>2164</v>
      </c>
      <c r="K434" s="1294" t="s">
        <v>914</v>
      </c>
      <c r="L434" s="2042">
        <f>IFERROR(INDEX('Lower Hot Cell Logistics'!$I$13:$O$19,MATCH($J434,'Lower Hot Cell Logistics'!$H$13:$H$19,0),MATCH($K434,'Lower Hot Cell Logistics'!$H$13:$H$19,0)),"N/A")</f>
        <v>20</v>
      </c>
      <c r="M434" s="2220">
        <f>IFERROR(VLOOKUP($I434,'Lower Hot Cell Logistics'!$H$4:$I$8,2,FALSE),"N/A")</f>
        <v>0.2</v>
      </c>
      <c r="N434" s="1332">
        <f t="shared" si="35"/>
        <v>2.7777777777777776E-2</v>
      </c>
      <c r="O434" s="1352"/>
      <c r="P434" s="1353" t="str">
        <f>IF($D434="Logistics",VLOOKUP($O434,'Lower Hot Cell Logistics'!$C$4:$D$69,2,FALSE),"N/A")</f>
        <v>N/A</v>
      </c>
      <c r="R434"/>
      <c r="S434"/>
    </row>
    <row r="435" spans="1:19" s="89" customFormat="1" ht="15" hidden="1" customHeight="1" outlineLevel="1" x14ac:dyDescent="0.4">
      <c r="A435" s="2158"/>
      <c r="B435" s="3815"/>
      <c r="C435" s="1362" t="s">
        <v>2167</v>
      </c>
      <c r="D435" s="1294" t="s">
        <v>3</v>
      </c>
      <c r="E435" s="1330">
        <f t="shared" si="34"/>
        <v>0.88000000000000012</v>
      </c>
      <c r="F435" s="1330">
        <f>IF($D435="Trigger",VLOOKUP($C435,'Lower Hot Cell Weld Failure'!$D$396:$G$434,4,FALSE),E435+F434)</f>
        <v>28.355193378716034</v>
      </c>
      <c r="G435" s="1722"/>
      <c r="H435" s="2219" t="s">
        <v>263</v>
      </c>
      <c r="I435" s="1724"/>
      <c r="J435" s="1294"/>
      <c r="K435" s="1294"/>
      <c r="L435" s="2042" t="str">
        <f>IFERROR(INDEX('Lower Hot Cell Logistics'!$I$13:$O$19,MATCH($J435,'Lower Hot Cell Logistics'!$H$13:$H$19,0),MATCH($K435,'Lower Hot Cell Logistics'!$H$13:$H$19,0)),"N/A")</f>
        <v>N/A</v>
      </c>
      <c r="M435" s="2220" t="str">
        <f>IFERROR(VLOOKUP($I435,'Lower Hot Cell Logistics'!$H$4:$I$8,2,FALSE),"N/A")</f>
        <v>N/A</v>
      </c>
      <c r="N435" s="1332" t="str">
        <f t="shared" si="35"/>
        <v>N/A</v>
      </c>
      <c r="O435" s="1352" t="s">
        <v>2168</v>
      </c>
      <c r="P435" s="1353">
        <f>IF($D435="Logistics",VLOOKUP($O435,'Lower Hot Cell Logistics'!$C$4:$D$69,2,FALSE),"N/A")</f>
        <v>0.88000000000000012</v>
      </c>
      <c r="R435"/>
      <c r="S435"/>
    </row>
    <row r="436" spans="1:19" s="89" customFormat="1" ht="15" hidden="1" customHeight="1" outlineLevel="1" x14ac:dyDescent="0.4">
      <c r="A436" s="2158"/>
      <c r="B436" s="3815"/>
      <c r="C436" s="1362" t="s">
        <v>2145</v>
      </c>
      <c r="D436" s="1294" t="s">
        <v>778</v>
      </c>
      <c r="E436" s="1330">
        <f t="shared" si="34"/>
        <v>2.7777777777777776E-2</v>
      </c>
      <c r="F436" s="1330">
        <f>IF($D436="Trigger",VLOOKUP($C436,'Lower Hot Cell Weld Failure'!$D$396:$G$434,4,FALSE),E436+F435)</f>
        <v>28.382971156493813</v>
      </c>
      <c r="G436" s="1722"/>
      <c r="H436" s="2219" t="s">
        <v>263</v>
      </c>
      <c r="I436" s="1724" t="s">
        <v>2146</v>
      </c>
      <c r="J436" s="1294" t="s">
        <v>914</v>
      </c>
      <c r="K436" s="1294" t="s">
        <v>799</v>
      </c>
      <c r="L436" s="2042">
        <f>IFERROR(INDEX('Lower Hot Cell Logistics'!$I$13:$O$19,MATCH($J436,'Lower Hot Cell Logistics'!$H$13:$H$19,0),MATCH($K436,'Lower Hot Cell Logistics'!$H$13:$H$19,0)),"N/A")</f>
        <v>20</v>
      </c>
      <c r="M436" s="2220">
        <f>IFERROR(VLOOKUP($I436,'Lower Hot Cell Logistics'!$H$4:$I$8,2,FALSE),"N/A")</f>
        <v>0.2</v>
      </c>
      <c r="N436" s="1332">
        <f t="shared" si="35"/>
        <v>2.7777777777777776E-2</v>
      </c>
      <c r="O436" s="1352"/>
      <c r="P436" s="1353" t="str">
        <f>IF($D436="Logistics",VLOOKUP($O436,'Lower Hot Cell Logistics'!$C$4:$D$69,2,FALSE),"N/A")</f>
        <v>N/A</v>
      </c>
      <c r="R436"/>
      <c r="S436"/>
    </row>
    <row r="437" spans="1:19" s="89" customFormat="1" ht="14.6" hidden="1" outlineLevel="1" x14ac:dyDescent="0.4">
      <c r="A437" s="2158"/>
      <c r="B437" s="3815"/>
      <c r="C437" s="1294" t="s">
        <v>2169</v>
      </c>
      <c r="D437" s="1294" t="s">
        <v>3</v>
      </c>
      <c r="E437" s="1292">
        <f t="shared" si="34"/>
        <v>0.68</v>
      </c>
      <c r="F437" s="1292">
        <f>IF($D437="Trigger",VLOOKUP($C437,'Lower Hot Cell Weld Failure'!$D$396:$G$434,4,FALSE),E437+F436)</f>
        <v>29.062971156493813</v>
      </c>
      <c r="G437" s="862"/>
      <c r="H437" s="1328" t="s">
        <v>263</v>
      </c>
      <c r="I437" s="1724"/>
      <c r="J437" s="1294"/>
      <c r="K437" s="1294"/>
      <c r="L437" s="865" t="str">
        <f>IFERROR(INDEX('Lower Hot Cell Logistics'!$I$13:$O$19,MATCH($J437,'Lower Hot Cell Logistics'!$H$13:$H$19,0),MATCH($K437,'Lower Hot Cell Logistics'!$H$13:$H$19,0)),"N/A")</f>
        <v>N/A</v>
      </c>
      <c r="M437" s="864" t="str">
        <f>IFERROR(VLOOKUP($I437,'Lower Hot Cell Logistics'!$H$4:$I$8,2,FALSE),"N/A")</f>
        <v>N/A</v>
      </c>
      <c r="N437" s="2197" t="str">
        <f t="shared" si="35"/>
        <v>N/A</v>
      </c>
      <c r="O437" s="1331" t="s">
        <v>2148</v>
      </c>
      <c r="P437" s="1332">
        <f>IF($D437="Logistics",VLOOKUP($O437,'Lower Hot Cell Logistics'!$C$4:$D$69,2,FALSE),"N/A")</f>
        <v>0.68</v>
      </c>
      <c r="R437"/>
      <c r="S437"/>
    </row>
    <row r="438" spans="1:19" s="89" customFormat="1" ht="14.6" hidden="1" outlineLevel="1" x14ac:dyDescent="0.4">
      <c r="A438" s="2158"/>
      <c r="B438" s="3815"/>
      <c r="C438" s="1294" t="s">
        <v>2162</v>
      </c>
      <c r="D438" s="1294" t="s">
        <v>778</v>
      </c>
      <c r="E438" s="1292">
        <f t="shared" si="34"/>
        <v>0.69444444444444442</v>
      </c>
      <c r="F438" s="1292">
        <f>IF($D438="Trigger",VLOOKUP($C438,'Lower Hot Cell Weld Failure'!$D$396:$G$434,4,FALSE),E438+F437)</f>
        <v>29.757415600938256</v>
      </c>
      <c r="G438" s="862"/>
      <c r="H438" s="1328" t="s">
        <v>263</v>
      </c>
      <c r="I438" s="1724" t="s">
        <v>1826</v>
      </c>
      <c r="J438" s="1294" t="s">
        <v>799</v>
      </c>
      <c r="K438" s="1294" t="s">
        <v>451</v>
      </c>
      <c r="L438" s="865">
        <f>IFERROR(INDEX('Lower Hot Cell Logistics'!$I$13:$O$19,MATCH($J438,'Lower Hot Cell Logistics'!$H$13:$H$19,0),MATCH($K438,'Lower Hot Cell Logistics'!$H$13:$H$19,0)),"N/A")</f>
        <v>50</v>
      </c>
      <c r="M438" s="865">
        <f>IFERROR(VLOOKUP($I438,'Lower Hot Cell Logistics'!$H$4:$I$8,2,FALSE),"N/A")</f>
        <v>0.02</v>
      </c>
      <c r="N438" s="2197">
        <f t="shared" si="35"/>
        <v>0.69444444444444442</v>
      </c>
      <c r="O438" s="1331"/>
      <c r="P438" s="1332" t="str">
        <f>IF($D438="Logistics",VLOOKUP($O438,'Lower Hot Cell Logistics'!$C$4:$D$69,2,FALSE),"N/A")</f>
        <v>N/A</v>
      </c>
      <c r="R438"/>
      <c r="S438"/>
    </row>
    <row r="439" spans="1:19" s="89" customFormat="1" ht="39.450000000000003" hidden="1" outlineLevel="1" thickBot="1" x14ac:dyDescent="0.45">
      <c r="A439" s="2158"/>
      <c r="B439" s="3816"/>
      <c r="C439" s="1340" t="str">
        <f>B431</f>
        <v>Right Divertor Pipework Module Stored; pipe module handling system stored; Divertor cassette transporter collected and moved to Lower Port</v>
      </c>
      <c r="D439" s="1340" t="s">
        <v>11</v>
      </c>
      <c r="E439" s="1295">
        <f t="shared" si="34"/>
        <v>0</v>
      </c>
      <c r="F439" s="1295">
        <f>IF($D439="Trigger",VLOOKUP($C439,'Lower Hot Cell Weld Failure'!$D$396:$G$434,4,FALSE),E439+F438)</f>
        <v>29.757415600938256</v>
      </c>
      <c r="G439" s="839"/>
      <c r="H439" s="1341" t="s">
        <v>263</v>
      </c>
      <c r="I439" s="1727"/>
      <c r="J439" s="1340"/>
      <c r="K439" s="1340"/>
      <c r="L439" s="842" t="str">
        <f>IFERROR(INDEX('Lower Hot Cell Logistics'!$I$13:$O$19,MATCH($J439,'Lower Hot Cell Logistics'!$H$13:$H$19,0),MATCH($K439,'Lower Hot Cell Logistics'!$H$13:$H$19,0)),"N/A")</f>
        <v>N/A</v>
      </c>
      <c r="M439" s="842" t="str">
        <f>IFERROR(VLOOKUP($I439,'Lower Hot Cell Logistics'!$H$4:$I$8,2,FALSE),"N/A")</f>
        <v>N/A</v>
      </c>
      <c r="N439" s="2199" t="str">
        <f>IF(D439="Movement",IFERROR((L439/M439)/(60*60),"Error"),"N/A")</f>
        <v>N/A</v>
      </c>
      <c r="O439" s="1344"/>
      <c r="P439" s="1345" t="str">
        <f>IF($D439="Logistics",VLOOKUP($O439,'Lower Hot Cell Logistics'!$C$4:$D$69,2,FALSE),"N/A")</f>
        <v>N/A</v>
      </c>
      <c r="R439"/>
      <c r="S439"/>
    </row>
    <row r="440" spans="1:19" s="89" customFormat="1" ht="15" hidden="1" customHeight="1" outlineLevel="1" x14ac:dyDescent="0.4">
      <c r="A440" s="2158"/>
      <c r="B440" s="3787" t="s">
        <v>2329</v>
      </c>
      <c r="C440" s="617" t="s">
        <v>2360</v>
      </c>
      <c r="D440" s="617" t="s">
        <v>907</v>
      </c>
      <c r="E440" s="567">
        <f t="shared" si="34"/>
        <v>0</v>
      </c>
      <c r="F440" s="567">
        <f>IF($D440="Trigger",VLOOKUP($C440,'Lower Hot Cell Weld Failure'!$D$396:$G$434,4,FALSE),E440+F439)</f>
        <v>51.568901179185161</v>
      </c>
      <c r="G440" s="568"/>
      <c r="H440" s="569" t="s">
        <v>263</v>
      </c>
      <c r="I440" s="1270"/>
      <c r="J440" s="617"/>
      <c r="K440" s="617"/>
      <c r="L440" s="570" t="str">
        <f>IFERROR(INDEX('Lower Hot Cell Logistics'!$I$13:$O$19,MATCH($J440,'Lower Hot Cell Logistics'!$H$13:$H$19,0),MATCH($K440,'Lower Hot Cell Logistics'!$H$13:$H$19,0)),"N/A")</f>
        <v>N/A</v>
      </c>
      <c r="M440" s="802" t="str">
        <f>IFERROR(VLOOKUP($I440,'Lower Hot Cell Logistics'!$H$4:$I$8,2,FALSE),"N/A")</f>
        <v>N/A</v>
      </c>
      <c r="N440" s="1182" t="str">
        <f t="shared" ref="N440:N471" si="36">IF(D440="Movement",IFERROR((L440/M440)/(60*60),"Error"),"N/A")</f>
        <v>N/A</v>
      </c>
      <c r="O440" s="620"/>
      <c r="P440" s="621" t="str">
        <f>IF($D440="Logistics",VLOOKUP($O440,'Lower Hot Cell Logistics'!$C$4:$D$69,2,FALSE),"N/A")</f>
        <v>N/A</v>
      </c>
      <c r="R440"/>
      <c r="S440"/>
    </row>
    <row r="441" spans="1:19" s="89" customFormat="1" ht="15" hidden="1" customHeight="1" outlineLevel="1" x14ac:dyDescent="0.4">
      <c r="A441" s="2158"/>
      <c r="B441" s="3786"/>
      <c r="C441" s="1275" t="s">
        <v>2141</v>
      </c>
      <c r="D441" s="572" t="s">
        <v>778</v>
      </c>
      <c r="E441" s="578">
        <f t="shared" si="34"/>
        <v>0.69444444444444442</v>
      </c>
      <c r="F441" s="578">
        <f>IF($D441="Trigger",VLOOKUP($C441,'Lower Hot Cell Weld Failure'!$D$396:$G$434,4,FALSE),E441+F440)</f>
        <v>52.263345623629604</v>
      </c>
      <c r="G441" s="872"/>
      <c r="H441" s="2221" t="s">
        <v>263</v>
      </c>
      <c r="I441" s="1281" t="s">
        <v>2171</v>
      </c>
      <c r="J441" s="572" t="s">
        <v>451</v>
      </c>
      <c r="K441" s="572" t="s">
        <v>831</v>
      </c>
      <c r="L441" s="1176">
        <f>IFERROR(INDEX('Lower Hot Cell Logistics'!$I$13:$O$19,MATCH($J441,'Lower Hot Cell Logistics'!$H$13:$H$19,0),MATCH($K441,'Lower Hot Cell Logistics'!$H$13:$H$19,0)),"N/A")</f>
        <v>50</v>
      </c>
      <c r="M441" s="2222">
        <f>IFERROR(VLOOKUP($I441,'Lower Hot Cell Logistics'!$H$4:$I$8,2,FALSE),"N/A")</f>
        <v>0.02</v>
      </c>
      <c r="N441" s="580">
        <f t="shared" si="36"/>
        <v>0.69444444444444442</v>
      </c>
      <c r="O441" s="631"/>
      <c r="P441" s="632" t="str">
        <f>IF($D441="Logistics",VLOOKUP($O441,'Lower Hot Cell Logistics'!$C$4:$D$69,2,FALSE),"N/A")</f>
        <v>N/A</v>
      </c>
      <c r="R441"/>
      <c r="S441"/>
    </row>
    <row r="442" spans="1:19" s="89" customFormat="1" ht="15" hidden="1" customHeight="1" outlineLevel="1" x14ac:dyDescent="0.4">
      <c r="A442" s="2158"/>
      <c r="B442" s="3786"/>
      <c r="C442" s="1275" t="s">
        <v>1988</v>
      </c>
      <c r="D442" s="572" t="s">
        <v>3</v>
      </c>
      <c r="E442" s="578">
        <f t="shared" si="34"/>
        <v>0.88000000000000012</v>
      </c>
      <c r="F442" s="578">
        <f>IF($D442="Trigger",VLOOKUP($C442,'Lower Hot Cell Weld Failure'!$D$396:$G$434,4,FALSE),E442+F441)</f>
        <v>53.143345623629607</v>
      </c>
      <c r="G442" s="872"/>
      <c r="H442" s="2221" t="s">
        <v>263</v>
      </c>
      <c r="I442" s="1281"/>
      <c r="J442" s="572"/>
      <c r="K442" s="572"/>
      <c r="L442" s="1176" t="str">
        <f>IFERROR(INDEX('Lower Hot Cell Logistics'!$I$13:$O$19,MATCH($J442,'Lower Hot Cell Logistics'!$H$13:$H$19,0),MATCH($K442,'Lower Hot Cell Logistics'!$H$13:$H$19,0)),"N/A")</f>
        <v>N/A</v>
      </c>
      <c r="M442" s="2222" t="str">
        <f>IFERROR(VLOOKUP($I442,'Lower Hot Cell Logistics'!$H$4:$I$8,2,FALSE),"N/A")</f>
        <v>N/A</v>
      </c>
      <c r="N442" s="580" t="str">
        <f t="shared" si="36"/>
        <v>N/A</v>
      </c>
      <c r="O442" s="631" t="s">
        <v>2144</v>
      </c>
      <c r="P442" s="632">
        <f>IF($D442="Logistics",VLOOKUP($O442,'Lower Hot Cell Logistics'!$C$4:$D$69,2,FALSE),"N/A")</f>
        <v>0.88000000000000012</v>
      </c>
      <c r="R442"/>
      <c r="S442"/>
    </row>
    <row r="443" spans="1:19" s="89" customFormat="1" ht="14.6" hidden="1" outlineLevel="1" x14ac:dyDescent="0.4">
      <c r="A443" s="2158"/>
      <c r="B443" s="3786"/>
      <c r="C443" s="572" t="s">
        <v>2162</v>
      </c>
      <c r="D443" s="572" t="s">
        <v>778</v>
      </c>
      <c r="E443" s="574">
        <f t="shared" si="34"/>
        <v>0.69444444444444442</v>
      </c>
      <c r="F443" s="578">
        <f>IF($D443="Trigger",VLOOKUP($C443,'Lower Hot Cell Weld Failure'!$D$396:$G$434,4,FALSE),E443+F442)</f>
        <v>53.83779006807405</v>
      </c>
      <c r="G443" s="575"/>
      <c r="H443" s="576" t="s">
        <v>263</v>
      </c>
      <c r="I443" s="1281" t="s">
        <v>1826</v>
      </c>
      <c r="J443" s="572" t="s">
        <v>799</v>
      </c>
      <c r="K443" s="572" t="s">
        <v>451</v>
      </c>
      <c r="L443" s="853">
        <f>IFERROR(INDEX('Lower Hot Cell Logistics'!$I$13:$O$19,MATCH($J443,'Lower Hot Cell Logistics'!$H$13:$H$19,0),MATCH($K443,'Lower Hot Cell Logistics'!$H$13:$H$19,0)),"N/A")</f>
        <v>50</v>
      </c>
      <c r="M443" s="853">
        <f>IFERROR(VLOOKUP($I443,'Lower Hot Cell Logistics'!$H$4:$I$8,2,FALSE),"N/A")</f>
        <v>0.02</v>
      </c>
      <c r="N443" s="1180">
        <f t="shared" si="36"/>
        <v>0.69444444444444442</v>
      </c>
      <c r="O443" s="579"/>
      <c r="P443" s="580" t="str">
        <f>IF($D443="Logistics",VLOOKUP($O443,'Lower Hot Cell Logistics'!$C$4:$D$69,2,FALSE),"N/A")</f>
        <v>N/A</v>
      </c>
      <c r="R443"/>
      <c r="S443"/>
    </row>
    <row r="444" spans="1:19" s="89" customFormat="1" ht="26.6" hidden="1" outlineLevel="1" thickBot="1" x14ac:dyDescent="0.45">
      <c r="A444" s="2158"/>
      <c r="B444" s="3788"/>
      <c r="C444" s="583" t="str">
        <f>B440</f>
        <v>Central Divertor cassette stored and transporter moved to divertor Port</v>
      </c>
      <c r="D444" s="583" t="s">
        <v>11</v>
      </c>
      <c r="E444" s="585">
        <f t="shared" si="34"/>
        <v>0</v>
      </c>
      <c r="F444" s="585">
        <f>IF($D444="Trigger",VLOOKUP($C444,'Lower Hot Cell Weld Failure'!$D$396:$G$434,4,FALSE),E444+F443)</f>
        <v>53.83779006807405</v>
      </c>
      <c r="G444" s="586"/>
      <c r="H444" s="587" t="s">
        <v>263</v>
      </c>
      <c r="I444" s="1720"/>
      <c r="J444" s="583"/>
      <c r="K444" s="583"/>
      <c r="L444" s="814" t="str">
        <f>IFERROR(INDEX('Lower Hot Cell Logistics'!$I$13:$O$19,MATCH($J444,'Lower Hot Cell Logistics'!$H$13:$H$19,0),MATCH($K444,'Lower Hot Cell Logistics'!$H$13:$H$19,0)),"N/A")</f>
        <v>N/A</v>
      </c>
      <c r="M444" s="814" t="str">
        <f>IFERROR(VLOOKUP($I444,'Lower Hot Cell Logistics'!$H$4:$I$8,2,FALSE),"N/A")</f>
        <v>N/A</v>
      </c>
      <c r="N444" s="1181" t="str">
        <f t="shared" si="36"/>
        <v>N/A</v>
      </c>
      <c r="O444" s="590"/>
      <c r="P444" s="591" t="str">
        <f>IF($D444="Logistics",VLOOKUP($O444,'Lower Hot Cell Logistics'!$C$4:$D$69,2,FALSE),"N/A")</f>
        <v>N/A</v>
      </c>
      <c r="R444"/>
      <c r="S444"/>
    </row>
    <row r="445" spans="1:19" s="89" customFormat="1" ht="15" hidden="1" customHeight="1" outlineLevel="1" x14ac:dyDescent="0.4">
      <c r="A445" s="2158"/>
      <c r="B445" s="3814" t="s">
        <v>2330</v>
      </c>
      <c r="C445" s="1324" t="s">
        <v>2361</v>
      </c>
      <c r="D445" s="1324" t="s">
        <v>907</v>
      </c>
      <c r="E445" s="1291">
        <f t="shared" si="34"/>
        <v>0</v>
      </c>
      <c r="F445" s="1291">
        <f>IF($D445="Trigger",VLOOKUP($C445,'Lower Hot Cell Weld Failure'!$D$396:$G$434,4,FALSE),E445+F444)</f>
        <v>54.348901179185162</v>
      </c>
      <c r="G445" s="825"/>
      <c r="H445" s="1323" t="s">
        <v>263</v>
      </c>
      <c r="I445" s="1721"/>
      <c r="J445" s="1324"/>
      <c r="K445" s="1324"/>
      <c r="L445" s="828" t="str">
        <f>IFERROR(INDEX('Lower Hot Cell Logistics'!$I$13:$O$19,MATCH($J445,'Lower Hot Cell Logistics'!$H$13:$H$19,0),MATCH($K445,'Lower Hot Cell Logistics'!$H$13:$H$19,0)),"N/A")</f>
        <v>N/A</v>
      </c>
      <c r="M445" s="827" t="str">
        <f>IFERROR(VLOOKUP($I445,'Lower Hot Cell Logistics'!$H$4:$I$8,2,FALSE),"N/A")</f>
        <v>N/A</v>
      </c>
      <c r="N445" s="2200" t="str">
        <f t="shared" si="36"/>
        <v>N/A</v>
      </c>
      <c r="O445" s="1327"/>
      <c r="P445" s="824" t="str">
        <f>IF($D445="Logistics",VLOOKUP($O445,'Lower Hot Cell Logistics'!$C$4:$D$69,2,FALSE),"N/A")</f>
        <v>N/A</v>
      </c>
      <c r="R445"/>
      <c r="S445"/>
    </row>
    <row r="446" spans="1:19" s="89" customFormat="1" ht="15" hidden="1" customHeight="1" outlineLevel="1" x14ac:dyDescent="0.4">
      <c r="A446" s="2158"/>
      <c r="B446" s="3815"/>
      <c r="C446" s="1362" t="s">
        <v>2141</v>
      </c>
      <c r="D446" s="1294" t="s">
        <v>778</v>
      </c>
      <c r="E446" s="1330">
        <f t="shared" si="34"/>
        <v>0.69444444444444442</v>
      </c>
      <c r="F446" s="1330">
        <f>IF($D446="Trigger",VLOOKUP($C446,'Lower Hot Cell Weld Failure'!$D$396:$G$434,4,FALSE),E446+F445)</f>
        <v>55.043345623629605</v>
      </c>
      <c r="G446" s="1722"/>
      <c r="H446" s="2219" t="s">
        <v>263</v>
      </c>
      <c r="I446" s="1724" t="s">
        <v>2171</v>
      </c>
      <c r="J446" s="1294" t="s">
        <v>451</v>
      </c>
      <c r="K446" s="1294" t="s">
        <v>831</v>
      </c>
      <c r="L446" s="2042">
        <f>IFERROR(INDEX('Lower Hot Cell Logistics'!$I$13:$O$19,MATCH($J446,'Lower Hot Cell Logistics'!$H$13:$H$19,0),MATCH($K446,'Lower Hot Cell Logistics'!$H$13:$H$19,0)),"N/A")</f>
        <v>50</v>
      </c>
      <c r="M446" s="2220">
        <f>IFERROR(VLOOKUP($I446,'Lower Hot Cell Logistics'!$H$4:$I$8,2,FALSE),"N/A")</f>
        <v>0.02</v>
      </c>
      <c r="N446" s="1332">
        <f t="shared" si="36"/>
        <v>0.69444444444444442</v>
      </c>
      <c r="O446" s="1352"/>
      <c r="P446" s="1353" t="str">
        <f>IF($D446="Logistics",VLOOKUP($O446,'Lower Hot Cell Logistics'!$C$4:$D$69,2,FALSE),"N/A")</f>
        <v>N/A</v>
      </c>
      <c r="R446"/>
      <c r="S446"/>
    </row>
    <row r="447" spans="1:19" s="89" customFormat="1" ht="15" hidden="1" customHeight="1" outlineLevel="1" x14ac:dyDescent="0.4">
      <c r="A447" s="2158"/>
      <c r="B447" s="3815"/>
      <c r="C447" s="1362" t="s">
        <v>1988</v>
      </c>
      <c r="D447" s="1294" t="s">
        <v>3</v>
      </c>
      <c r="E447" s="1330">
        <f t="shared" si="34"/>
        <v>0.88000000000000012</v>
      </c>
      <c r="F447" s="1330">
        <f>IF($D447="Trigger",VLOOKUP($C447,'Lower Hot Cell Weld Failure'!$D$396:$G$434,4,FALSE),E447+F446)</f>
        <v>55.923345623629608</v>
      </c>
      <c r="G447" s="1722"/>
      <c r="H447" s="2219" t="s">
        <v>263</v>
      </c>
      <c r="I447" s="1724"/>
      <c r="J447" s="1294"/>
      <c r="K447" s="1294"/>
      <c r="L447" s="2042" t="str">
        <f>IFERROR(INDEX('Lower Hot Cell Logistics'!$I$13:$O$19,MATCH($J447,'Lower Hot Cell Logistics'!$H$13:$H$19,0),MATCH($K447,'Lower Hot Cell Logistics'!$H$13:$H$19,0)),"N/A")</f>
        <v>N/A</v>
      </c>
      <c r="M447" s="2220" t="str">
        <f>IFERROR(VLOOKUP($I447,'Lower Hot Cell Logistics'!$H$4:$I$8,2,FALSE),"N/A")</f>
        <v>N/A</v>
      </c>
      <c r="N447" s="1332" t="str">
        <f t="shared" si="36"/>
        <v>N/A</v>
      </c>
      <c r="O447" s="1352" t="s">
        <v>2144</v>
      </c>
      <c r="P447" s="1353">
        <f>IF($D447="Logistics",VLOOKUP($O447,'Lower Hot Cell Logistics'!$C$4:$D$69,2,FALSE),"N/A")</f>
        <v>0.88000000000000012</v>
      </c>
      <c r="R447"/>
      <c r="S447"/>
    </row>
    <row r="448" spans="1:19" s="89" customFormat="1" ht="15" hidden="1" customHeight="1" outlineLevel="1" x14ac:dyDescent="0.4">
      <c r="A448" s="2158"/>
      <c r="B448" s="3815"/>
      <c r="C448" s="1362" t="s">
        <v>2362</v>
      </c>
      <c r="D448" s="1294" t="s">
        <v>778</v>
      </c>
      <c r="E448" s="1330">
        <f t="shared" si="34"/>
        <v>4.6296296296296301E-2</v>
      </c>
      <c r="F448" s="1330">
        <f>IF($D448="Trigger",VLOOKUP($C448,'Lower Hot Cell Weld Failure'!$D$396:$G$434,4,FALSE),E448+F447)</f>
        <v>55.969641919925905</v>
      </c>
      <c r="G448" s="1722"/>
      <c r="H448" s="2219" t="s">
        <v>263</v>
      </c>
      <c r="I448" s="1724" t="s">
        <v>2142</v>
      </c>
      <c r="J448" s="1294" t="s">
        <v>831</v>
      </c>
      <c r="K448" s="1294" t="s">
        <v>858</v>
      </c>
      <c r="L448" s="2042">
        <f>IFERROR(INDEX('Lower Hot Cell Logistics'!$I$13:$O$19,MATCH($J448,'Lower Hot Cell Logistics'!$H$13:$H$19,0),MATCH($K448,'Lower Hot Cell Logistics'!$H$13:$H$19,0)),"N/A")</f>
        <v>10</v>
      </c>
      <c r="M448" s="2220">
        <f>IFERROR(VLOOKUP($I448,'Lower Hot Cell Logistics'!$H$4:$I$8,2,FALSE),"N/A")</f>
        <v>0.06</v>
      </c>
      <c r="N448" s="1332">
        <f t="shared" si="36"/>
        <v>4.6296296296296301E-2</v>
      </c>
      <c r="O448" s="1352"/>
      <c r="P448" s="1353" t="str">
        <f>IF($D448="Logistics",VLOOKUP($O448,'Lower Hot Cell Logistics'!$C$4:$D$69,2,FALSE),"N/A")</f>
        <v>N/A</v>
      </c>
      <c r="R448"/>
      <c r="S448"/>
    </row>
    <row r="449" spans="1:19" s="89" customFormat="1" ht="15" hidden="1" customHeight="1" outlineLevel="1" x14ac:dyDescent="0.4">
      <c r="A449" s="2158"/>
      <c r="B449" s="3815"/>
      <c r="C449" s="1362" t="s">
        <v>2363</v>
      </c>
      <c r="D449" s="1294" t="s">
        <v>3</v>
      </c>
      <c r="E449" s="1330">
        <f t="shared" si="34"/>
        <v>0.68</v>
      </c>
      <c r="F449" s="1330">
        <f>IF($D449="Trigger",VLOOKUP($C449,'Lower Hot Cell Weld Failure'!$D$396:$G$434,4,FALSE),E449+F448)</f>
        <v>56.649641919925905</v>
      </c>
      <c r="G449" s="1722"/>
      <c r="H449" s="2219" t="s">
        <v>263</v>
      </c>
      <c r="I449" s="1724"/>
      <c r="J449" s="1294"/>
      <c r="K449" s="1294"/>
      <c r="L449" s="2042" t="str">
        <f>IFERROR(INDEX('Lower Hot Cell Logistics'!$I$13:$O$19,MATCH($J449,'Lower Hot Cell Logistics'!$H$13:$H$19,0),MATCH($K449,'Lower Hot Cell Logistics'!$H$13:$H$19,0)),"N/A")</f>
        <v>N/A</v>
      </c>
      <c r="M449" s="2220" t="str">
        <f>IFERROR(VLOOKUP($I449,'Lower Hot Cell Logistics'!$H$4:$I$8,2,FALSE),"N/A")</f>
        <v>N/A</v>
      </c>
      <c r="N449" s="1332" t="str">
        <f t="shared" si="36"/>
        <v>N/A</v>
      </c>
      <c r="O449" s="1352" t="s">
        <v>2139</v>
      </c>
      <c r="P449" s="1353">
        <f>IF($D449="Logistics",VLOOKUP($O449,'Lower Hot Cell Logistics'!$C$4:$D$69,2,FALSE),"N/A")</f>
        <v>0.68</v>
      </c>
      <c r="R449"/>
      <c r="S449"/>
    </row>
    <row r="450" spans="1:19" s="89" customFormat="1" ht="14.6" hidden="1" outlineLevel="1" x14ac:dyDescent="0.4">
      <c r="A450" s="2158"/>
      <c r="B450" s="3815"/>
      <c r="C450" s="1294" t="s">
        <v>2162</v>
      </c>
      <c r="D450" s="1294" t="s">
        <v>778</v>
      </c>
      <c r="E450" s="1292">
        <f t="shared" si="34"/>
        <v>0.69444444444444442</v>
      </c>
      <c r="F450" s="1330">
        <f>IF($D450="Trigger",VLOOKUP($C450,'Lower Hot Cell Weld Failure'!$D$396:$G$434,4,FALSE),E450+F449)</f>
        <v>57.344086364370348</v>
      </c>
      <c r="G450" s="862"/>
      <c r="H450" s="1328" t="s">
        <v>263</v>
      </c>
      <c r="I450" s="1724" t="s">
        <v>1826</v>
      </c>
      <c r="J450" s="1294" t="s">
        <v>799</v>
      </c>
      <c r="K450" s="1294" t="s">
        <v>451</v>
      </c>
      <c r="L450" s="865">
        <f>IFERROR(INDEX('Lower Hot Cell Logistics'!$I$13:$O$19,MATCH($J450,'Lower Hot Cell Logistics'!$H$13:$H$19,0),MATCH($K450,'Lower Hot Cell Logistics'!$H$13:$H$19,0)),"N/A")</f>
        <v>50</v>
      </c>
      <c r="M450" s="865">
        <f>IFERROR(VLOOKUP($I450,'Lower Hot Cell Logistics'!$H$4:$I$8,2,FALSE),"N/A")</f>
        <v>0.02</v>
      </c>
      <c r="N450" s="2197">
        <f t="shared" si="36"/>
        <v>0.69444444444444442</v>
      </c>
      <c r="O450" s="1331"/>
      <c r="P450" s="1332" t="str">
        <f>IF($D450="Logistics",VLOOKUP($O450,'Lower Hot Cell Logistics'!$C$4:$D$69,2,FALSE),"N/A")</f>
        <v>N/A</v>
      </c>
      <c r="R450"/>
      <c r="S450"/>
    </row>
    <row r="451" spans="1:19" s="89" customFormat="1" ht="26.6" hidden="1" outlineLevel="1" thickBot="1" x14ac:dyDescent="0.45">
      <c r="A451" s="2158"/>
      <c r="B451" s="3816"/>
      <c r="C451" s="1340" t="str">
        <f>B445</f>
        <v>Left Divertor cassette stored; replacement right divertor cassette collected; transporter moved to divertor Port</v>
      </c>
      <c r="D451" s="1340" t="s">
        <v>11</v>
      </c>
      <c r="E451" s="1295">
        <f t="shared" si="34"/>
        <v>0</v>
      </c>
      <c r="F451" s="1295">
        <f>IF($D451="Trigger",VLOOKUP($C451,'Lower Hot Cell Weld Failure'!$D$396:$G$434,4,FALSE),E451+F450)</f>
        <v>57.344086364370348</v>
      </c>
      <c r="G451" s="839"/>
      <c r="H451" s="1341" t="s">
        <v>263</v>
      </c>
      <c r="I451" s="1727"/>
      <c r="J451" s="1340"/>
      <c r="K451" s="1340"/>
      <c r="L451" s="842" t="str">
        <f>IFERROR(INDEX('Lower Hot Cell Logistics'!$I$13:$O$19,MATCH($J451,'Lower Hot Cell Logistics'!$H$13:$H$19,0),MATCH($K451,'Lower Hot Cell Logistics'!$H$13:$H$19,0)),"N/A")</f>
        <v>N/A</v>
      </c>
      <c r="M451" s="842" t="str">
        <f>IFERROR(VLOOKUP($I451,'Lower Hot Cell Logistics'!$H$4:$I$8,2,FALSE),"N/A")</f>
        <v>N/A</v>
      </c>
      <c r="N451" s="2199" t="str">
        <f t="shared" si="36"/>
        <v>N/A</v>
      </c>
      <c r="O451" s="1344"/>
      <c r="P451" s="1345" t="str">
        <f>IF($D451="Logistics",VLOOKUP($O451,'Lower Hot Cell Logistics'!$C$4:$D$69,2,FALSE),"N/A")</f>
        <v>N/A</v>
      </c>
      <c r="R451"/>
      <c r="S451"/>
    </row>
    <row r="452" spans="1:19" s="89" customFormat="1" ht="15" hidden="1" customHeight="1" outlineLevel="1" x14ac:dyDescent="0.4">
      <c r="A452" s="2158"/>
      <c r="B452" s="3787" t="s">
        <v>2364</v>
      </c>
      <c r="C452" s="617" t="s">
        <v>2036</v>
      </c>
      <c r="D452" s="617" t="s">
        <v>907</v>
      </c>
      <c r="E452" s="567">
        <f t="shared" si="34"/>
        <v>0</v>
      </c>
      <c r="F452" s="567">
        <f>IF($D452="Trigger",VLOOKUP($C452,'Lower Hot Cell Weld Failure'!$D$396:$G$434,4,FALSE),E452+F451)</f>
        <v>56.528901179185162</v>
      </c>
      <c r="G452" s="568"/>
      <c r="H452" s="569" t="s">
        <v>263</v>
      </c>
      <c r="I452" s="1270"/>
      <c r="J452" s="617"/>
      <c r="K452" s="617"/>
      <c r="L452" s="570" t="str">
        <f>IFERROR(INDEX('Lower Hot Cell Logistics'!$I$13:$O$19,MATCH($J452,'Lower Hot Cell Logistics'!$H$13:$H$19,0),MATCH($K452,'Lower Hot Cell Logistics'!$H$13:$H$19,0)),"N/A")</f>
        <v>N/A</v>
      </c>
      <c r="M452" s="802" t="str">
        <f>IFERROR(VLOOKUP($I452,'Lower Hot Cell Logistics'!$H$4:$I$8,2,FALSE),"N/A")</f>
        <v>N/A</v>
      </c>
      <c r="N452" s="1182" t="str">
        <f t="shared" si="36"/>
        <v>N/A</v>
      </c>
      <c r="O452" s="620"/>
      <c r="P452" s="621" t="str">
        <f>IF($D452="Logistics",VLOOKUP($O452,'Lower Hot Cell Logistics'!$C$4:$D$69,2,FALSE),"N/A")</f>
        <v>N/A</v>
      </c>
      <c r="R452"/>
      <c r="S452"/>
    </row>
    <row r="453" spans="1:19" s="89" customFormat="1" ht="15" hidden="1" customHeight="1" outlineLevel="1" x14ac:dyDescent="0.4">
      <c r="A453" s="2158"/>
      <c r="B453" s="3786"/>
      <c r="C453" s="1275" t="s">
        <v>2141</v>
      </c>
      <c r="D453" s="572" t="s">
        <v>778</v>
      </c>
      <c r="E453" s="578">
        <f t="shared" si="34"/>
        <v>0.69444444444444442</v>
      </c>
      <c r="F453" s="578">
        <f>IF($D453="Trigger",VLOOKUP($C453,'Lower Hot Cell Weld Failure'!$D$396:$G$434,4,FALSE),E453+F452)</f>
        <v>57.223345623629605</v>
      </c>
      <c r="G453" s="872"/>
      <c r="H453" s="2221" t="s">
        <v>263</v>
      </c>
      <c r="I453" s="1281" t="s">
        <v>2171</v>
      </c>
      <c r="J453" s="572" t="s">
        <v>451</v>
      </c>
      <c r="K453" s="572" t="s">
        <v>831</v>
      </c>
      <c r="L453" s="1176">
        <f>IFERROR(INDEX('Lower Hot Cell Logistics'!$I$13:$O$19,MATCH($J453,'Lower Hot Cell Logistics'!$H$13:$H$19,0),MATCH($K453,'Lower Hot Cell Logistics'!$H$13:$H$19,0)),"N/A")</f>
        <v>50</v>
      </c>
      <c r="M453" s="2222">
        <f>IFERROR(VLOOKUP($I453,'Lower Hot Cell Logistics'!$H$4:$I$8,2,FALSE),"N/A")</f>
        <v>0.02</v>
      </c>
      <c r="N453" s="580">
        <f t="shared" si="36"/>
        <v>0.69444444444444442</v>
      </c>
      <c r="O453" s="631"/>
      <c r="P453" s="632" t="str">
        <f>IF($D453="Logistics",VLOOKUP($O453,'Lower Hot Cell Logistics'!$C$4:$D$69,2,FALSE),"N/A")</f>
        <v>N/A</v>
      </c>
      <c r="R453"/>
      <c r="S453"/>
    </row>
    <row r="454" spans="1:19" s="89" customFormat="1" ht="15" hidden="1" customHeight="1" outlineLevel="1" x14ac:dyDescent="0.4">
      <c r="A454" s="2158"/>
      <c r="B454" s="3786"/>
      <c r="C454" s="1275" t="s">
        <v>1988</v>
      </c>
      <c r="D454" s="572" t="s">
        <v>3</v>
      </c>
      <c r="E454" s="578">
        <f t="shared" si="34"/>
        <v>0.88000000000000012</v>
      </c>
      <c r="F454" s="578">
        <f>IF($D454="Trigger",VLOOKUP($C454,'Lower Hot Cell Weld Failure'!$D$396:$G$434,4,FALSE),E454+F453)</f>
        <v>58.103345623629608</v>
      </c>
      <c r="G454" s="872"/>
      <c r="H454" s="2221" t="s">
        <v>263</v>
      </c>
      <c r="I454" s="1281"/>
      <c r="J454" s="572"/>
      <c r="K454" s="572"/>
      <c r="L454" s="1176" t="str">
        <f>IFERROR(INDEX('Lower Hot Cell Logistics'!$I$13:$O$19,MATCH($J454,'Lower Hot Cell Logistics'!$H$13:$H$19,0),MATCH($K454,'Lower Hot Cell Logistics'!$H$13:$H$19,0)),"N/A")</f>
        <v>N/A</v>
      </c>
      <c r="M454" s="2222" t="str">
        <f>IFERROR(VLOOKUP($I454,'Lower Hot Cell Logistics'!$H$4:$I$8,2,FALSE),"N/A")</f>
        <v>N/A</v>
      </c>
      <c r="N454" s="580" t="str">
        <f t="shared" si="36"/>
        <v>N/A</v>
      </c>
      <c r="O454" s="631" t="s">
        <v>2144</v>
      </c>
      <c r="P454" s="632">
        <f>IF($D454="Logistics",VLOOKUP($O454,'Lower Hot Cell Logistics'!$C$4:$D$69,2,FALSE),"N/A")</f>
        <v>0.88000000000000012</v>
      </c>
      <c r="R454"/>
      <c r="S454"/>
    </row>
    <row r="455" spans="1:19" s="89" customFormat="1" ht="15" hidden="1" customHeight="1" outlineLevel="1" x14ac:dyDescent="0.4">
      <c r="A455" s="2158"/>
      <c r="B455" s="3786"/>
      <c r="C455" s="1275" t="s">
        <v>2362</v>
      </c>
      <c r="D455" s="572" t="s">
        <v>778</v>
      </c>
      <c r="E455" s="578">
        <f t="shared" si="34"/>
        <v>4.6296296296296301E-2</v>
      </c>
      <c r="F455" s="578">
        <f>IF($D455="Trigger",VLOOKUP($C455,'Lower Hot Cell Weld Failure'!$D$396:$G$434,4,FALSE),E455+F454)</f>
        <v>58.149641919925905</v>
      </c>
      <c r="G455" s="872"/>
      <c r="H455" s="2221" t="s">
        <v>263</v>
      </c>
      <c r="I455" s="1281" t="s">
        <v>2142</v>
      </c>
      <c r="J455" s="572" t="s">
        <v>831</v>
      </c>
      <c r="K455" s="572" t="s">
        <v>858</v>
      </c>
      <c r="L455" s="1176">
        <f>IFERROR(INDEX('Lower Hot Cell Logistics'!$I$13:$O$19,MATCH($J455,'Lower Hot Cell Logistics'!$H$13:$H$19,0),MATCH($K455,'Lower Hot Cell Logistics'!$H$13:$H$19,0)),"N/A")</f>
        <v>10</v>
      </c>
      <c r="M455" s="2222">
        <f>IFERROR(VLOOKUP($I455,'Lower Hot Cell Logistics'!$H$4:$I$8,2,FALSE),"N/A")</f>
        <v>0.06</v>
      </c>
      <c r="N455" s="580">
        <f t="shared" si="36"/>
        <v>4.6296296296296301E-2</v>
      </c>
      <c r="O455" s="631"/>
      <c r="P455" s="632" t="str">
        <f>IF($D455="Logistics",VLOOKUP($O455,'Lower Hot Cell Logistics'!$C$4:$D$69,2,FALSE),"N/A")</f>
        <v>N/A</v>
      </c>
      <c r="R455"/>
      <c r="S455"/>
    </row>
    <row r="456" spans="1:19" s="89" customFormat="1" ht="15" hidden="1" customHeight="1" outlineLevel="1" x14ac:dyDescent="0.4">
      <c r="A456" s="2158"/>
      <c r="B456" s="3786"/>
      <c r="C456" s="1275" t="s">
        <v>2363</v>
      </c>
      <c r="D456" s="572" t="s">
        <v>3</v>
      </c>
      <c r="E456" s="578">
        <f t="shared" si="34"/>
        <v>0.68</v>
      </c>
      <c r="F456" s="578">
        <f>IF($D456="Trigger",VLOOKUP($C456,'Lower Hot Cell Weld Failure'!$D$396:$G$434,4,FALSE),E456+F455)</f>
        <v>58.829641919925905</v>
      </c>
      <c r="G456" s="872"/>
      <c r="H456" s="2221" t="s">
        <v>263</v>
      </c>
      <c r="I456" s="1281"/>
      <c r="J456" s="572"/>
      <c r="K456" s="572"/>
      <c r="L456" s="1176" t="str">
        <f>IFERROR(INDEX('Lower Hot Cell Logistics'!$I$13:$O$19,MATCH($J456,'Lower Hot Cell Logistics'!$H$13:$H$19,0),MATCH($K456,'Lower Hot Cell Logistics'!$H$13:$H$19,0)),"N/A")</f>
        <v>N/A</v>
      </c>
      <c r="M456" s="2222" t="str">
        <f>IFERROR(VLOOKUP($I456,'Lower Hot Cell Logistics'!$H$4:$I$8,2,FALSE),"N/A")</f>
        <v>N/A</v>
      </c>
      <c r="N456" s="580" t="str">
        <f t="shared" si="36"/>
        <v>N/A</v>
      </c>
      <c r="O456" s="631" t="s">
        <v>2139</v>
      </c>
      <c r="P456" s="632">
        <f>IF($D456="Logistics",VLOOKUP($O456,'Lower Hot Cell Logistics'!$C$4:$D$69,2,FALSE),"N/A")</f>
        <v>0.68</v>
      </c>
      <c r="R456"/>
      <c r="S456"/>
    </row>
    <row r="457" spans="1:19" s="89" customFormat="1" ht="14.6" hidden="1" outlineLevel="1" x14ac:dyDescent="0.4">
      <c r="A457" s="2158"/>
      <c r="B457" s="3786"/>
      <c r="C457" s="572" t="s">
        <v>2162</v>
      </c>
      <c r="D457" s="572" t="s">
        <v>778</v>
      </c>
      <c r="E457" s="574">
        <f t="shared" si="34"/>
        <v>0.69444444444444442</v>
      </c>
      <c r="F457" s="578">
        <f>IF($D457="Trigger",VLOOKUP($C457,'Lower Hot Cell Weld Failure'!$D$396:$G$434,4,FALSE),E457+F456)</f>
        <v>59.524086364370348</v>
      </c>
      <c r="G457" s="575"/>
      <c r="H457" s="576" t="s">
        <v>263</v>
      </c>
      <c r="I457" s="1281" t="s">
        <v>1826</v>
      </c>
      <c r="J457" s="572" t="s">
        <v>799</v>
      </c>
      <c r="K457" s="572" t="s">
        <v>451</v>
      </c>
      <c r="L457" s="853">
        <f>IFERROR(INDEX('Lower Hot Cell Logistics'!$I$13:$O$19,MATCH($J457,'Lower Hot Cell Logistics'!$H$13:$H$19,0),MATCH($K457,'Lower Hot Cell Logistics'!$H$13:$H$19,0)),"N/A")</f>
        <v>50</v>
      </c>
      <c r="M457" s="853">
        <f>IFERROR(VLOOKUP($I457,'Lower Hot Cell Logistics'!$H$4:$I$8,2,FALSE),"N/A")</f>
        <v>0.02</v>
      </c>
      <c r="N457" s="1180">
        <f t="shared" si="36"/>
        <v>0.69444444444444442</v>
      </c>
      <c r="O457" s="579"/>
      <c r="P457" s="580" t="str">
        <f>IF($D457="Logistics",VLOOKUP($O457,'Lower Hot Cell Logistics'!$C$4:$D$69,2,FALSE),"N/A")</f>
        <v>N/A</v>
      </c>
      <c r="R457"/>
      <c r="S457"/>
    </row>
    <row r="458" spans="1:19" s="89" customFormat="1" ht="26.6" hidden="1" outlineLevel="1" thickBot="1" x14ac:dyDescent="0.45">
      <c r="A458" s="2158"/>
      <c r="B458" s="3788"/>
      <c r="C458" s="583" t="str">
        <f>B452</f>
        <v>Right Divertor cassette stored; replacement Left divertor cassette collected; transporter moved to divertor Port</v>
      </c>
      <c r="D458" s="583" t="s">
        <v>11</v>
      </c>
      <c r="E458" s="585">
        <f t="shared" si="34"/>
        <v>0</v>
      </c>
      <c r="F458" s="585">
        <f>IF($D458="Trigger",VLOOKUP($C458,'Lower Hot Cell Weld Failure'!$D$396:$G$434,4,FALSE),E458+F457)</f>
        <v>59.524086364370348</v>
      </c>
      <c r="G458" s="586"/>
      <c r="H458" s="587" t="s">
        <v>263</v>
      </c>
      <c r="I458" s="1720"/>
      <c r="J458" s="583"/>
      <c r="K458" s="583"/>
      <c r="L458" s="814" t="str">
        <f>IFERROR(INDEX('Lower Hot Cell Logistics'!$I$13:$O$19,MATCH($J458,'Lower Hot Cell Logistics'!$H$13:$H$19,0),MATCH($K458,'Lower Hot Cell Logistics'!$H$13:$H$19,0)),"N/A")</f>
        <v>N/A</v>
      </c>
      <c r="M458" s="814" t="str">
        <f>IFERROR(VLOOKUP($I458,'Lower Hot Cell Logistics'!$H$4:$I$8,2,FALSE),"N/A")</f>
        <v>N/A</v>
      </c>
      <c r="N458" s="1181" t="str">
        <f t="shared" si="36"/>
        <v>N/A</v>
      </c>
      <c r="O458" s="590"/>
      <c r="P458" s="591" t="str">
        <f>IF($D458="Logistics",VLOOKUP($O458,'Lower Hot Cell Logistics'!$C$4:$D$69,2,FALSE),"N/A")</f>
        <v>N/A</v>
      </c>
      <c r="R458"/>
      <c r="S458"/>
    </row>
    <row r="459" spans="1:19" s="89" customFormat="1" ht="15" hidden="1" customHeight="1" outlineLevel="1" x14ac:dyDescent="0.4">
      <c r="A459" s="2158"/>
      <c r="B459" s="3814" t="s">
        <v>2332</v>
      </c>
      <c r="C459" s="1324" t="s">
        <v>2365</v>
      </c>
      <c r="D459" s="1324" t="s">
        <v>907</v>
      </c>
      <c r="E459" s="1291">
        <f t="shared" si="34"/>
        <v>0</v>
      </c>
      <c r="F459" s="1291">
        <f>IF($D459="Trigger",VLOOKUP($C459,'Lower Hot Cell Weld Failure'!$D$396:$G$434,4,FALSE),E459+F458)</f>
        <v>59.524086364370348</v>
      </c>
      <c r="G459" s="825"/>
      <c r="H459" s="1323" t="s">
        <v>263</v>
      </c>
      <c r="I459" s="1721"/>
      <c r="J459" s="1324"/>
      <c r="K459" s="1324"/>
      <c r="L459" s="828" t="str">
        <f>IFERROR(INDEX('Lower Hot Cell Logistics'!$I$13:$O$19,MATCH($J459,'Lower Hot Cell Logistics'!$H$13:$H$19,0),MATCH($K459,'Lower Hot Cell Logistics'!$H$13:$H$19,0)),"N/A")</f>
        <v>N/A</v>
      </c>
      <c r="M459" s="827" t="str">
        <f>IFERROR(VLOOKUP($I459,'Lower Hot Cell Logistics'!$H$4:$I$8,2,FALSE),"N/A")</f>
        <v>N/A</v>
      </c>
      <c r="N459" s="2200" t="str">
        <f t="shared" si="36"/>
        <v>N/A</v>
      </c>
      <c r="O459" s="1327"/>
      <c r="P459" s="824" t="str">
        <f>IF($D459="Logistics",VLOOKUP($O459,'Lower Hot Cell Logistics'!$C$4:$D$69,2,FALSE),"N/A")</f>
        <v>N/A</v>
      </c>
      <c r="R459"/>
      <c r="S459"/>
    </row>
    <row r="460" spans="1:19" s="89" customFormat="1" ht="15" hidden="1" customHeight="1" outlineLevel="1" x14ac:dyDescent="0.4">
      <c r="A460" s="2158"/>
      <c r="B460" s="3815"/>
      <c r="C460" s="1362" t="s">
        <v>2141</v>
      </c>
      <c r="D460" s="1294" t="s">
        <v>778</v>
      </c>
      <c r="E460" s="1330">
        <f t="shared" si="34"/>
        <v>0.69444444444444442</v>
      </c>
      <c r="F460" s="1330">
        <f>IF($D460="Trigger",VLOOKUP($C460,'Lower Hot Cell Weld Failure'!$D$396:$G$434,4,FALSE),E460+F459)</f>
        <v>60.218530808814791</v>
      </c>
      <c r="G460" s="1722"/>
      <c r="H460" s="2219" t="s">
        <v>263</v>
      </c>
      <c r="I460" s="1724" t="s">
        <v>2171</v>
      </c>
      <c r="J460" s="1294" t="s">
        <v>451</v>
      </c>
      <c r="K460" s="1294" t="s">
        <v>831</v>
      </c>
      <c r="L460" s="2042">
        <f>IFERROR(INDEX('Lower Hot Cell Logistics'!$I$13:$O$19,MATCH($J460,'Lower Hot Cell Logistics'!$H$13:$H$19,0),MATCH($K460,'Lower Hot Cell Logistics'!$H$13:$H$19,0)),"N/A")</f>
        <v>50</v>
      </c>
      <c r="M460" s="2220">
        <f>IFERROR(VLOOKUP($I460,'Lower Hot Cell Logistics'!$H$4:$I$8,2,FALSE),"N/A")</f>
        <v>0.02</v>
      </c>
      <c r="N460" s="1332">
        <f t="shared" si="36"/>
        <v>0.69444444444444442</v>
      </c>
      <c r="O460" s="1352"/>
      <c r="P460" s="1353" t="str">
        <f>IF($D460="Logistics",VLOOKUP($O460,'Lower Hot Cell Logistics'!$C$4:$D$69,2,FALSE),"N/A")</f>
        <v>N/A</v>
      </c>
      <c r="R460"/>
      <c r="S460"/>
    </row>
    <row r="461" spans="1:19" s="89" customFormat="1" ht="15" hidden="1" customHeight="1" outlineLevel="1" x14ac:dyDescent="0.4">
      <c r="A461" s="2158"/>
      <c r="B461" s="3815"/>
      <c r="C461" s="1362" t="s">
        <v>1988</v>
      </c>
      <c r="D461" s="1294" t="s">
        <v>3</v>
      </c>
      <c r="E461" s="1330">
        <f t="shared" si="34"/>
        <v>0.88000000000000012</v>
      </c>
      <c r="F461" s="1330">
        <f>IF($D461="Trigger",VLOOKUP($C461,'Lower Hot Cell Weld Failure'!$D$396:$G$434,4,FALSE),E461+F460)</f>
        <v>61.098530808814793</v>
      </c>
      <c r="G461" s="1722"/>
      <c r="H461" s="2219" t="s">
        <v>263</v>
      </c>
      <c r="I461" s="1724"/>
      <c r="J461" s="1294"/>
      <c r="K461" s="1294"/>
      <c r="L461" s="2042" t="str">
        <f>IFERROR(INDEX('Lower Hot Cell Logistics'!$I$13:$O$19,MATCH($J461,'Lower Hot Cell Logistics'!$H$13:$H$19,0),MATCH($K461,'Lower Hot Cell Logistics'!$H$13:$H$19,0)),"N/A")</f>
        <v>N/A</v>
      </c>
      <c r="M461" s="2220" t="str">
        <f>IFERROR(VLOOKUP($I461,'Lower Hot Cell Logistics'!$H$4:$I$8,2,FALSE),"N/A")</f>
        <v>N/A</v>
      </c>
      <c r="N461" s="1332" t="str">
        <f t="shared" si="36"/>
        <v>N/A</v>
      </c>
      <c r="O461" s="1352" t="s">
        <v>2144</v>
      </c>
      <c r="P461" s="1353">
        <f>IF($D461="Logistics",VLOOKUP($O461,'Lower Hot Cell Logistics'!$C$4:$D$69,2,FALSE),"N/A")</f>
        <v>0.88000000000000012</v>
      </c>
      <c r="R461"/>
      <c r="S461"/>
    </row>
    <row r="462" spans="1:19" s="89" customFormat="1" ht="14.6" hidden="1" outlineLevel="1" x14ac:dyDescent="0.4">
      <c r="A462" s="2158"/>
      <c r="B462" s="3815"/>
      <c r="C462" s="1294" t="s">
        <v>2162</v>
      </c>
      <c r="D462" s="1294" t="s">
        <v>778</v>
      </c>
      <c r="E462" s="1292">
        <f t="shared" si="34"/>
        <v>0.69444444444444442</v>
      </c>
      <c r="F462" s="1330">
        <f>IF($D462="Trigger",VLOOKUP($C462,'Lower Hot Cell Weld Failure'!$D$396:$G$434,4,FALSE),E462+F461)</f>
        <v>61.792975253259236</v>
      </c>
      <c r="G462" s="862"/>
      <c r="H462" s="1328" t="s">
        <v>263</v>
      </c>
      <c r="I462" s="1724" t="s">
        <v>1826</v>
      </c>
      <c r="J462" s="1294" t="s">
        <v>799</v>
      </c>
      <c r="K462" s="1294" t="s">
        <v>451</v>
      </c>
      <c r="L462" s="865">
        <f>IFERROR(INDEX('Lower Hot Cell Logistics'!$I$13:$O$19,MATCH($J462,'Lower Hot Cell Logistics'!$H$13:$H$19,0),MATCH($K462,'Lower Hot Cell Logistics'!$H$13:$H$19,0)),"N/A")</f>
        <v>50</v>
      </c>
      <c r="M462" s="865">
        <f>IFERROR(VLOOKUP($I462,'Lower Hot Cell Logistics'!$H$4:$I$8,2,FALSE),"N/A")</f>
        <v>0.02</v>
      </c>
      <c r="N462" s="2197">
        <f t="shared" si="36"/>
        <v>0.69444444444444442</v>
      </c>
      <c r="O462" s="1331"/>
      <c r="P462" s="1332" t="str">
        <f>IF($D462="Logistics",VLOOKUP($O462,'Lower Hot Cell Logistics'!$C$4:$D$69,2,FALSE),"N/A")</f>
        <v>N/A</v>
      </c>
      <c r="R462"/>
      <c r="S462"/>
    </row>
    <row r="463" spans="1:19" s="89" customFormat="1" ht="26.6" hidden="1" outlineLevel="1" thickBot="1" x14ac:dyDescent="0.45">
      <c r="A463" s="2158"/>
      <c r="B463" s="3816"/>
      <c r="C463" s="1340" t="str">
        <f>B459</f>
        <v>Replacement Central Divertor cassette collected and transporter moved to divertor Port</v>
      </c>
      <c r="D463" s="1340" t="s">
        <v>11</v>
      </c>
      <c r="E463" s="1295">
        <f t="shared" si="34"/>
        <v>0</v>
      </c>
      <c r="F463" s="1295">
        <f>IF($D463="Trigger",VLOOKUP($C463,'Lower Hot Cell Weld Failure'!$D$396:$G$434,4,FALSE),E463+F462)</f>
        <v>61.792975253259236</v>
      </c>
      <c r="G463" s="839"/>
      <c r="H463" s="1341" t="s">
        <v>263</v>
      </c>
      <c r="I463" s="1727"/>
      <c r="J463" s="1340"/>
      <c r="K463" s="1340"/>
      <c r="L463" s="842" t="str">
        <f>IFERROR(INDEX('Lower Hot Cell Logistics'!$I$13:$O$19,MATCH($J463,'Lower Hot Cell Logistics'!$H$13:$H$19,0),MATCH($K463,'Lower Hot Cell Logistics'!$H$13:$H$19,0)),"N/A")</f>
        <v>N/A</v>
      </c>
      <c r="M463" s="842" t="str">
        <f>IFERROR(VLOOKUP($I463,'Lower Hot Cell Logistics'!$H$4:$I$8,2,FALSE),"N/A")</f>
        <v>N/A</v>
      </c>
      <c r="N463" s="2199" t="str">
        <f t="shared" si="36"/>
        <v>N/A</v>
      </c>
      <c r="O463" s="1344"/>
      <c r="P463" s="1345" t="str">
        <f>IF($D463="Logistics",VLOOKUP($O463,'Lower Hot Cell Logistics'!$C$4:$D$69,2,FALSE),"N/A")</f>
        <v>N/A</v>
      </c>
      <c r="R463"/>
      <c r="S463"/>
    </row>
    <row r="464" spans="1:19" s="89" customFormat="1" ht="15" hidden="1" customHeight="1" outlineLevel="1" x14ac:dyDescent="0.4">
      <c r="A464" s="2158"/>
      <c r="B464" s="3787" t="s">
        <v>2333</v>
      </c>
      <c r="C464" s="617" t="s">
        <v>2366</v>
      </c>
      <c r="D464" s="617" t="s">
        <v>907</v>
      </c>
      <c r="E464" s="567">
        <f t="shared" si="34"/>
        <v>0</v>
      </c>
      <c r="F464" s="567">
        <f>IF($D464="Trigger",VLOOKUP($C464,'Lower Hot Cell Weld Failure'!$D$396:$G$434,4,FALSE),E464+F463)</f>
        <v>61.704086364370347</v>
      </c>
      <c r="G464" s="568"/>
      <c r="H464" s="569" t="s">
        <v>263</v>
      </c>
      <c r="I464" s="1270"/>
      <c r="J464" s="617"/>
      <c r="K464" s="617"/>
      <c r="L464" s="570" t="str">
        <f>IFERROR(INDEX('Lower Hot Cell Logistics'!$I$13:$O$19,MATCH($J464,'Lower Hot Cell Logistics'!$H$13:$H$19,0),MATCH($K464,'Lower Hot Cell Logistics'!$H$13:$H$19,0)),"N/A")</f>
        <v>N/A</v>
      </c>
      <c r="M464" s="802" t="str">
        <f>IFERROR(VLOOKUP($I464,'Lower Hot Cell Logistics'!$H$4:$I$8,2,FALSE),"N/A")</f>
        <v>N/A</v>
      </c>
      <c r="N464" s="1182" t="str">
        <f t="shared" si="36"/>
        <v>N/A</v>
      </c>
      <c r="O464" s="620"/>
      <c r="P464" s="621" t="str">
        <f>IF($D464="Logistics",VLOOKUP($O464,'Lower Hot Cell Logistics'!$C$4:$D$69,2,FALSE),"N/A")</f>
        <v>N/A</v>
      </c>
      <c r="R464"/>
      <c r="S464"/>
    </row>
    <row r="465" spans="1:19" s="89" customFormat="1" ht="15" hidden="1" customHeight="1" outlineLevel="1" x14ac:dyDescent="0.4">
      <c r="A465" s="2158"/>
      <c r="B465" s="3786"/>
      <c r="C465" s="1275" t="s">
        <v>2141</v>
      </c>
      <c r="D465" s="572" t="s">
        <v>778</v>
      </c>
      <c r="E465" s="578">
        <f t="shared" si="34"/>
        <v>0.23148148148148148</v>
      </c>
      <c r="F465" s="578">
        <f>IF($D465="Trigger",VLOOKUP($C465,'Lower Hot Cell Weld Failure'!$D$396:$G$434,4,FALSE),E465+F464)</f>
        <v>61.935567845851828</v>
      </c>
      <c r="G465" s="872"/>
      <c r="H465" s="2221" t="s">
        <v>263</v>
      </c>
      <c r="I465" s="1281" t="s">
        <v>2142</v>
      </c>
      <c r="J465" s="572" t="s">
        <v>451</v>
      </c>
      <c r="K465" s="572" t="s">
        <v>2164</v>
      </c>
      <c r="L465" s="1176">
        <f>IFERROR(INDEX('Lower Hot Cell Logistics'!$I$13:$O$19,MATCH($J465,'Lower Hot Cell Logistics'!$H$13:$H$19,0),MATCH($K465,'Lower Hot Cell Logistics'!$H$13:$H$19,0)),"N/A")</f>
        <v>50</v>
      </c>
      <c r="M465" s="2222">
        <f>IFERROR(VLOOKUP($I465,'Lower Hot Cell Logistics'!$H$4:$I$8,2,FALSE),"N/A")</f>
        <v>0.06</v>
      </c>
      <c r="N465" s="580">
        <f t="shared" si="36"/>
        <v>0.23148148148148148</v>
      </c>
      <c r="O465" s="631"/>
      <c r="P465" s="632" t="str">
        <f>IF($D465="Logistics",VLOOKUP($O465,'Lower Hot Cell Logistics'!$C$4:$D$69,2,FALSE),"N/A")</f>
        <v>N/A</v>
      </c>
      <c r="R465"/>
      <c r="S465"/>
    </row>
    <row r="466" spans="1:19" s="89" customFormat="1" ht="15" hidden="1" customHeight="1" outlineLevel="1" x14ac:dyDescent="0.4">
      <c r="A466" s="2158"/>
      <c r="B466" s="3786"/>
      <c r="C466" s="1275" t="s">
        <v>1757</v>
      </c>
      <c r="D466" s="572" t="s">
        <v>3</v>
      </c>
      <c r="E466" s="578">
        <f t="shared" si="34"/>
        <v>0.88000000000000012</v>
      </c>
      <c r="F466" s="578">
        <f>IF($D466="Trigger",VLOOKUP($C466,'Lower Hot Cell Weld Failure'!$D$396:$G$434,4,FALSE),E466+F465)</f>
        <v>62.815567845851831</v>
      </c>
      <c r="G466" s="872"/>
      <c r="H466" s="2221" t="s">
        <v>263</v>
      </c>
      <c r="I466" s="1281"/>
      <c r="J466" s="572"/>
      <c r="K466" s="572"/>
      <c r="L466" s="1176" t="str">
        <f>IFERROR(INDEX('Lower Hot Cell Logistics'!$I$13:$O$19,MATCH($J466,'Lower Hot Cell Logistics'!$H$13:$H$19,0),MATCH($K466,'Lower Hot Cell Logistics'!$H$13:$H$19,0)),"N/A")</f>
        <v>N/A</v>
      </c>
      <c r="M466" s="2222" t="str">
        <f>IFERROR(VLOOKUP($I466,'Lower Hot Cell Logistics'!$H$4:$I$8,2,FALSE),"N/A")</f>
        <v>N/A</v>
      </c>
      <c r="N466" s="580" t="str">
        <f t="shared" si="36"/>
        <v>N/A</v>
      </c>
      <c r="O466" s="631" t="s">
        <v>2144</v>
      </c>
      <c r="P466" s="632">
        <f>IF($D466="Logistics",VLOOKUP($O466,'Lower Hot Cell Logistics'!$C$4:$D$69,2,FALSE),"N/A")</f>
        <v>0.88000000000000012</v>
      </c>
      <c r="R466"/>
      <c r="S466"/>
    </row>
    <row r="467" spans="1:19" s="89" customFormat="1" ht="15" hidden="1" customHeight="1" outlineLevel="1" x14ac:dyDescent="0.4">
      <c r="A467" s="2158"/>
      <c r="B467" s="3786"/>
      <c r="C467" s="1275" t="s">
        <v>2165</v>
      </c>
      <c r="D467" s="572" t="s">
        <v>778</v>
      </c>
      <c r="E467" s="578">
        <f t="shared" si="34"/>
        <v>2.7777777777777776E-2</v>
      </c>
      <c r="F467" s="578">
        <f>IF($D467="Trigger",VLOOKUP($C467,'Lower Hot Cell Weld Failure'!$D$396:$G$434,4,FALSE),E467+F466)</f>
        <v>62.84334562362961</v>
      </c>
      <c r="G467" s="872"/>
      <c r="H467" s="2221" t="s">
        <v>263</v>
      </c>
      <c r="I467" s="1281" t="s">
        <v>2166</v>
      </c>
      <c r="J467" s="572" t="s">
        <v>2164</v>
      </c>
      <c r="K467" s="572" t="s">
        <v>914</v>
      </c>
      <c r="L467" s="1176">
        <f>IFERROR(INDEX('Lower Hot Cell Logistics'!$I$13:$O$19,MATCH($J467,'Lower Hot Cell Logistics'!$H$13:$H$19,0),MATCH($K467,'Lower Hot Cell Logistics'!$H$13:$H$19,0)),"N/A")</f>
        <v>20</v>
      </c>
      <c r="M467" s="2222">
        <f>IFERROR(VLOOKUP($I467,'Lower Hot Cell Logistics'!$H$4:$I$8,2,FALSE),"N/A")</f>
        <v>0.2</v>
      </c>
      <c r="N467" s="580">
        <f t="shared" si="36"/>
        <v>2.7777777777777776E-2</v>
      </c>
      <c r="O467" s="631"/>
      <c r="P467" s="632" t="str">
        <f>IF($D467="Logistics",VLOOKUP($O467,'Lower Hot Cell Logistics'!$C$4:$D$69,2,FALSE),"N/A")</f>
        <v>N/A</v>
      </c>
      <c r="R467"/>
      <c r="S467"/>
    </row>
    <row r="468" spans="1:19" s="89" customFormat="1" ht="15" hidden="1" customHeight="1" outlineLevel="1" x14ac:dyDescent="0.4">
      <c r="A468" s="2158"/>
      <c r="B468" s="3786"/>
      <c r="C468" s="1275" t="s">
        <v>2167</v>
      </c>
      <c r="D468" s="572" t="s">
        <v>3</v>
      </c>
      <c r="E468" s="578">
        <f t="shared" si="34"/>
        <v>0.88000000000000012</v>
      </c>
      <c r="F468" s="578">
        <f>IF($D468="Trigger",VLOOKUP($C468,'Lower Hot Cell Weld Failure'!$D$396:$G$434,4,FALSE),E468+F467)</f>
        <v>63.723345623629612</v>
      </c>
      <c r="G468" s="872"/>
      <c r="H468" s="2221" t="s">
        <v>263</v>
      </c>
      <c r="I468" s="1281"/>
      <c r="J468" s="572"/>
      <c r="K468" s="572"/>
      <c r="L468" s="1176" t="str">
        <f>IFERROR(INDEX('Lower Hot Cell Logistics'!$I$13:$O$19,MATCH($J468,'Lower Hot Cell Logistics'!$H$13:$H$19,0),MATCH($K468,'Lower Hot Cell Logistics'!$H$13:$H$19,0)),"N/A")</f>
        <v>N/A</v>
      </c>
      <c r="M468" s="2222" t="str">
        <f>IFERROR(VLOOKUP($I468,'Lower Hot Cell Logistics'!$H$4:$I$8,2,FALSE),"N/A")</f>
        <v>N/A</v>
      </c>
      <c r="N468" s="580" t="str">
        <f t="shared" si="36"/>
        <v>N/A</v>
      </c>
      <c r="O468" s="631" t="s">
        <v>2168</v>
      </c>
      <c r="P468" s="632">
        <f>IF($D468="Logistics",VLOOKUP($O468,'Lower Hot Cell Logistics'!$C$4:$D$69,2,FALSE),"N/A")</f>
        <v>0.88000000000000012</v>
      </c>
      <c r="R468"/>
      <c r="S468"/>
    </row>
    <row r="469" spans="1:19" s="89" customFormat="1" ht="15" hidden="1" customHeight="1" outlineLevel="1" x14ac:dyDescent="0.4">
      <c r="A469" s="2158"/>
      <c r="B469" s="3786"/>
      <c r="C469" s="1275" t="s">
        <v>2145</v>
      </c>
      <c r="D469" s="572" t="s">
        <v>778</v>
      </c>
      <c r="E469" s="578">
        <f t="shared" si="34"/>
        <v>2.7777777777777776E-2</v>
      </c>
      <c r="F469" s="578">
        <f>IF($D469="Trigger",VLOOKUP($C469,'Lower Hot Cell Weld Failure'!$D$396:$G$434,4,FALSE),E469+F468)</f>
        <v>63.751123401407391</v>
      </c>
      <c r="G469" s="872"/>
      <c r="H469" s="2221" t="s">
        <v>263</v>
      </c>
      <c r="I469" s="1281" t="s">
        <v>2146</v>
      </c>
      <c r="J469" s="572" t="s">
        <v>914</v>
      </c>
      <c r="K469" s="572" t="s">
        <v>799</v>
      </c>
      <c r="L469" s="1176">
        <f>IFERROR(INDEX('Lower Hot Cell Logistics'!$I$13:$O$19,MATCH($J469,'Lower Hot Cell Logistics'!$H$13:$H$19,0),MATCH($K469,'Lower Hot Cell Logistics'!$H$13:$H$19,0)),"N/A")</f>
        <v>20</v>
      </c>
      <c r="M469" s="2222">
        <f>IFERROR(VLOOKUP($I469,'Lower Hot Cell Logistics'!$H$4:$I$8,2,FALSE),"N/A")</f>
        <v>0.2</v>
      </c>
      <c r="N469" s="580">
        <f t="shared" si="36"/>
        <v>2.7777777777777776E-2</v>
      </c>
      <c r="O469" s="631"/>
      <c r="P469" s="632" t="str">
        <f>IF($D469="Logistics",VLOOKUP($O469,'Lower Hot Cell Logistics'!$C$4:$D$69,2,FALSE),"N/A")</f>
        <v>N/A</v>
      </c>
      <c r="R469"/>
      <c r="S469"/>
    </row>
    <row r="470" spans="1:19" s="89" customFormat="1" ht="14.6" hidden="1" outlineLevel="1" x14ac:dyDescent="0.4">
      <c r="A470" s="2158"/>
      <c r="B470" s="3786"/>
      <c r="C470" s="572" t="s">
        <v>2169</v>
      </c>
      <c r="D470" s="572" t="s">
        <v>3</v>
      </c>
      <c r="E470" s="574">
        <f t="shared" si="34"/>
        <v>0.68</v>
      </c>
      <c r="F470" s="574">
        <f>IF($D470="Trigger",VLOOKUP($C470,'Lower Hot Cell Weld Failure'!$D$396:$G$434,4,FALSE),E470+F469)</f>
        <v>64.43112340140739</v>
      </c>
      <c r="G470" s="575"/>
      <c r="H470" s="576" t="s">
        <v>263</v>
      </c>
      <c r="I470" s="1281"/>
      <c r="J470" s="572"/>
      <c r="K470" s="572"/>
      <c r="L470" s="853" t="str">
        <f>IFERROR(INDEX('Lower Hot Cell Logistics'!$I$13:$O$19,MATCH($J470,'Lower Hot Cell Logistics'!$H$13:$H$19,0),MATCH($K470,'Lower Hot Cell Logistics'!$H$13:$H$19,0)),"N/A")</f>
        <v>N/A</v>
      </c>
      <c r="M470" s="852" t="str">
        <f>IFERROR(VLOOKUP($I470,'Lower Hot Cell Logistics'!$H$4:$I$8,2,FALSE),"N/A")</f>
        <v>N/A</v>
      </c>
      <c r="N470" s="1180" t="str">
        <f t="shared" si="36"/>
        <v>N/A</v>
      </c>
      <c r="O470" s="579" t="s">
        <v>2148</v>
      </c>
      <c r="P470" s="580">
        <f>IF($D470="Logistics",VLOOKUP($O470,'Lower Hot Cell Logistics'!$C$4:$D$69,2,FALSE),"N/A")</f>
        <v>0.68</v>
      </c>
      <c r="R470"/>
      <c r="S470"/>
    </row>
    <row r="471" spans="1:19" s="89" customFormat="1" ht="14.6" hidden="1" outlineLevel="1" x14ac:dyDescent="0.4">
      <c r="A471" s="2158"/>
      <c r="B471" s="3786"/>
      <c r="C471" s="572" t="s">
        <v>2162</v>
      </c>
      <c r="D471" s="572" t="s">
        <v>778</v>
      </c>
      <c r="E471" s="574">
        <f t="shared" si="34"/>
        <v>0.69444444444444442</v>
      </c>
      <c r="F471" s="574">
        <f>IF($D471="Trigger",VLOOKUP($C471,'Lower Hot Cell Weld Failure'!$D$396:$G$434,4,FALSE),E471+F470)</f>
        <v>65.125567845851833</v>
      </c>
      <c r="G471" s="575"/>
      <c r="H471" s="576" t="s">
        <v>263</v>
      </c>
      <c r="I471" s="1281" t="s">
        <v>1826</v>
      </c>
      <c r="J471" s="572" t="s">
        <v>799</v>
      </c>
      <c r="K471" s="572" t="s">
        <v>451</v>
      </c>
      <c r="L471" s="853">
        <f>IFERROR(INDEX('Lower Hot Cell Logistics'!$I$13:$O$19,MATCH($J471,'Lower Hot Cell Logistics'!$H$13:$H$19,0),MATCH($K471,'Lower Hot Cell Logistics'!$H$13:$H$19,0)),"N/A")</f>
        <v>50</v>
      </c>
      <c r="M471" s="853">
        <f>IFERROR(VLOOKUP($I471,'Lower Hot Cell Logistics'!$H$4:$I$8,2,FALSE),"N/A")</f>
        <v>0.02</v>
      </c>
      <c r="N471" s="1180">
        <f t="shared" si="36"/>
        <v>0.69444444444444442</v>
      </c>
      <c r="O471" s="579"/>
      <c r="P471" s="580" t="str">
        <f>IF($D471="Logistics",VLOOKUP($O471,'Lower Hot Cell Logistics'!$C$4:$D$69,2,FALSE),"N/A")</f>
        <v>N/A</v>
      </c>
      <c r="R471"/>
      <c r="S471"/>
    </row>
    <row r="472" spans="1:19" s="89" customFormat="1" ht="39.450000000000003" hidden="1" outlineLevel="1" thickBot="1" x14ac:dyDescent="0.45">
      <c r="A472" s="2158"/>
      <c r="B472" s="3788"/>
      <c r="C472" s="583" t="str">
        <f>B464</f>
        <v>Divertor handling system stored; pipe module handling system collected; Replacement right divertor cassette pipe module collected and moved to Lower Port</v>
      </c>
      <c r="D472" s="583" t="s">
        <v>11</v>
      </c>
      <c r="E472" s="585">
        <f t="shared" si="34"/>
        <v>0</v>
      </c>
      <c r="F472" s="585">
        <f>IF($D472="Trigger",VLOOKUP($C472,'Lower Hot Cell Weld Failure'!$D$396:$G$434,4,FALSE),E472+F471)</f>
        <v>65.125567845851833</v>
      </c>
      <c r="G472" s="586"/>
      <c r="H472" s="587" t="s">
        <v>263</v>
      </c>
      <c r="I472" s="1720"/>
      <c r="J472" s="583"/>
      <c r="K472" s="583"/>
      <c r="L472" s="814" t="str">
        <f>IFERROR(INDEX('Lower Hot Cell Logistics'!$I$13:$O$19,MATCH($J472,'Lower Hot Cell Logistics'!$H$13:$H$19,0),MATCH($K472,'Lower Hot Cell Logistics'!$H$13:$H$19,0)),"N/A")</f>
        <v>N/A</v>
      </c>
      <c r="M472" s="814" t="str">
        <f>IFERROR(VLOOKUP($I472,'Lower Hot Cell Logistics'!$H$4:$I$8,2,FALSE),"N/A")</f>
        <v>N/A</v>
      </c>
      <c r="N472" s="1181" t="str">
        <f>IF(D472="Movement",IFERROR((L472/M472)/(60*60),"Error"),"N/A")</f>
        <v>N/A</v>
      </c>
      <c r="O472" s="590"/>
      <c r="P472" s="591" t="str">
        <f>IF($D472="Logistics",VLOOKUP($O472,'Lower Hot Cell Logistics'!$C$4:$D$69,2,FALSE),"N/A")</f>
        <v>N/A</v>
      </c>
      <c r="R472"/>
      <c r="S472"/>
    </row>
    <row r="473" spans="1:19" s="89" customFormat="1" ht="15" hidden="1" customHeight="1" outlineLevel="1" x14ac:dyDescent="0.4">
      <c r="A473" s="2158"/>
      <c r="B473" s="3814" t="s">
        <v>2335</v>
      </c>
      <c r="C473" s="1324" t="s">
        <v>2365</v>
      </c>
      <c r="D473" s="1324" t="s">
        <v>907</v>
      </c>
      <c r="E473" s="1291">
        <f t="shared" si="34"/>
        <v>0</v>
      </c>
      <c r="F473" s="1291">
        <f>IF($D473="Trigger",VLOOKUP($C473,'Lower Hot Cell Weld Failure'!$D$396:$G$434,4,FALSE),E473+F472)</f>
        <v>59.524086364370348</v>
      </c>
      <c r="G473" s="825"/>
      <c r="H473" s="1323" t="s">
        <v>263</v>
      </c>
      <c r="I473" s="1721"/>
      <c r="J473" s="1324"/>
      <c r="K473" s="1324"/>
      <c r="L473" s="828" t="str">
        <f>IFERROR(INDEX('Lower Hot Cell Logistics'!$I$13:$O$19,MATCH($J473,'Lower Hot Cell Logistics'!$H$13:$H$19,0),MATCH($K473,'Lower Hot Cell Logistics'!$H$13:$H$19,0)),"N/A")</f>
        <v>N/A</v>
      </c>
      <c r="M473" s="827" t="str">
        <f>IFERROR(VLOOKUP($I473,'Lower Hot Cell Logistics'!$H$4:$I$8,2,FALSE),"N/A")</f>
        <v>N/A</v>
      </c>
      <c r="N473" s="2200" t="str">
        <f t="shared" ref="N473:N480" si="37">IF(D473="Movement",IFERROR((L473/M473)/(60*60),"Error"),"N/A")</f>
        <v>N/A</v>
      </c>
      <c r="O473" s="1327"/>
      <c r="P473" s="824" t="str">
        <f>IF($D473="Logistics",VLOOKUP($O473,'Lower Hot Cell Logistics'!$C$4:$D$69,2,FALSE),"N/A")</f>
        <v>N/A</v>
      </c>
      <c r="R473"/>
      <c r="S473"/>
    </row>
    <row r="474" spans="1:19" s="89" customFormat="1" ht="15" hidden="1" customHeight="1" outlineLevel="1" x14ac:dyDescent="0.4">
      <c r="A474" s="2158"/>
      <c r="B474" s="3815"/>
      <c r="C474" s="1362" t="s">
        <v>2141</v>
      </c>
      <c r="D474" s="1294" t="s">
        <v>778</v>
      </c>
      <c r="E474" s="1330">
        <f t="shared" si="34"/>
        <v>0.23148148148148148</v>
      </c>
      <c r="F474" s="1330">
        <f>IF($D474="Trigger",VLOOKUP($C474,'Lower Hot Cell Weld Failure'!$D$396:$G$434,4,FALSE),E474+F473)</f>
        <v>59.755567845851829</v>
      </c>
      <c r="G474" s="1722"/>
      <c r="H474" s="2219" t="s">
        <v>263</v>
      </c>
      <c r="I474" s="1724" t="s">
        <v>2142</v>
      </c>
      <c r="J474" s="1294" t="s">
        <v>451</v>
      </c>
      <c r="K474" s="1294" t="s">
        <v>2164</v>
      </c>
      <c r="L474" s="2042">
        <f>IFERROR(INDEX('Lower Hot Cell Logistics'!$I$13:$O$19,MATCH($J474,'Lower Hot Cell Logistics'!$H$13:$H$19,0),MATCH($K474,'Lower Hot Cell Logistics'!$H$13:$H$19,0)),"N/A")</f>
        <v>50</v>
      </c>
      <c r="M474" s="2220">
        <f>IFERROR(VLOOKUP($I474,'Lower Hot Cell Logistics'!$H$4:$I$8,2,FALSE),"N/A")</f>
        <v>0.06</v>
      </c>
      <c r="N474" s="1332">
        <f t="shared" si="37"/>
        <v>0.23148148148148148</v>
      </c>
      <c r="O474" s="1352"/>
      <c r="P474" s="1353" t="str">
        <f>IF($D474="Logistics",VLOOKUP($O474,'Lower Hot Cell Logistics'!$C$4:$D$69,2,FALSE),"N/A")</f>
        <v>N/A</v>
      </c>
      <c r="R474"/>
      <c r="S474"/>
    </row>
    <row r="475" spans="1:19" s="89" customFormat="1" ht="15" hidden="1" customHeight="1" outlineLevel="1" x14ac:dyDescent="0.4">
      <c r="A475" s="2158"/>
      <c r="B475" s="3815"/>
      <c r="C475" s="1362" t="s">
        <v>1757</v>
      </c>
      <c r="D475" s="1294" t="s">
        <v>3</v>
      </c>
      <c r="E475" s="1330">
        <f t="shared" si="34"/>
        <v>0.88000000000000012</v>
      </c>
      <c r="F475" s="1330">
        <f>IF($D475="Trigger",VLOOKUP($C475,'Lower Hot Cell Weld Failure'!$D$396:$G$434,4,FALSE),E475+F474)</f>
        <v>60.635567845851831</v>
      </c>
      <c r="G475" s="1722"/>
      <c r="H475" s="2219" t="s">
        <v>263</v>
      </c>
      <c r="I475" s="1724"/>
      <c r="J475" s="1294"/>
      <c r="K475" s="1294"/>
      <c r="L475" s="2042" t="str">
        <f>IFERROR(INDEX('Lower Hot Cell Logistics'!$I$13:$O$19,MATCH($J475,'Lower Hot Cell Logistics'!$H$13:$H$19,0),MATCH($K475,'Lower Hot Cell Logistics'!$H$13:$H$19,0)),"N/A")</f>
        <v>N/A</v>
      </c>
      <c r="M475" s="2220" t="str">
        <f>IFERROR(VLOOKUP($I475,'Lower Hot Cell Logistics'!$H$4:$I$8,2,FALSE),"N/A")</f>
        <v>N/A</v>
      </c>
      <c r="N475" s="1332" t="str">
        <f t="shared" si="37"/>
        <v>N/A</v>
      </c>
      <c r="O475" s="1352" t="s">
        <v>2144</v>
      </c>
      <c r="P475" s="1353">
        <f>IF($D475="Logistics",VLOOKUP($O475,'Lower Hot Cell Logistics'!$C$4:$D$69,2,FALSE),"N/A")</f>
        <v>0.88000000000000012</v>
      </c>
      <c r="R475"/>
      <c r="S475"/>
    </row>
    <row r="476" spans="1:19" s="89" customFormat="1" ht="15" hidden="1" customHeight="1" outlineLevel="1" x14ac:dyDescent="0.4">
      <c r="A476" s="2158"/>
      <c r="B476" s="3815"/>
      <c r="C476" s="1362" t="s">
        <v>2165</v>
      </c>
      <c r="D476" s="1294" t="s">
        <v>778</v>
      </c>
      <c r="E476" s="1330">
        <f t="shared" si="34"/>
        <v>2.7777777777777776E-2</v>
      </c>
      <c r="F476" s="1330">
        <f>IF($D476="Trigger",VLOOKUP($C476,'Lower Hot Cell Weld Failure'!$D$396:$G$434,4,FALSE),E476+F475)</f>
        <v>60.66334562362961</v>
      </c>
      <c r="G476" s="1722"/>
      <c r="H476" s="2219" t="s">
        <v>263</v>
      </c>
      <c r="I476" s="1724" t="s">
        <v>2166</v>
      </c>
      <c r="J476" s="1294" t="s">
        <v>2164</v>
      </c>
      <c r="K476" s="1294" t="s">
        <v>914</v>
      </c>
      <c r="L476" s="2042">
        <f>IFERROR(INDEX('Lower Hot Cell Logistics'!$I$13:$O$19,MATCH($J476,'Lower Hot Cell Logistics'!$H$13:$H$19,0),MATCH($K476,'Lower Hot Cell Logistics'!$H$13:$H$19,0)),"N/A")</f>
        <v>20</v>
      </c>
      <c r="M476" s="2220">
        <f>IFERROR(VLOOKUP($I476,'Lower Hot Cell Logistics'!$H$4:$I$8,2,FALSE),"N/A")</f>
        <v>0.2</v>
      </c>
      <c r="N476" s="1332">
        <f t="shared" si="37"/>
        <v>2.7777777777777776E-2</v>
      </c>
      <c r="O476" s="1352"/>
      <c r="P476" s="1353" t="str">
        <f>IF($D476="Logistics",VLOOKUP($O476,'Lower Hot Cell Logistics'!$C$4:$D$69,2,FALSE),"N/A")</f>
        <v>N/A</v>
      </c>
      <c r="R476"/>
      <c r="S476"/>
    </row>
    <row r="477" spans="1:19" s="89" customFormat="1" ht="15" hidden="1" customHeight="1" outlineLevel="1" x14ac:dyDescent="0.4">
      <c r="A477" s="2158"/>
      <c r="B477" s="3815"/>
      <c r="C477" s="1362" t="s">
        <v>2167</v>
      </c>
      <c r="D477" s="1294" t="s">
        <v>3</v>
      </c>
      <c r="E477" s="1330">
        <f t="shared" si="34"/>
        <v>0.88000000000000012</v>
      </c>
      <c r="F477" s="1330">
        <f>IF($D477="Trigger",VLOOKUP($C477,'Lower Hot Cell Weld Failure'!$D$396:$G$434,4,FALSE),E477+F476)</f>
        <v>61.543345623629612</v>
      </c>
      <c r="G477" s="1722"/>
      <c r="H477" s="2219" t="s">
        <v>263</v>
      </c>
      <c r="I477" s="1724"/>
      <c r="J477" s="1294"/>
      <c r="K477" s="1294"/>
      <c r="L477" s="2042" t="str">
        <f>IFERROR(INDEX('Lower Hot Cell Logistics'!$I$13:$O$19,MATCH($J477,'Lower Hot Cell Logistics'!$H$13:$H$19,0),MATCH($K477,'Lower Hot Cell Logistics'!$H$13:$H$19,0)),"N/A")</f>
        <v>N/A</v>
      </c>
      <c r="M477" s="2220" t="str">
        <f>IFERROR(VLOOKUP($I477,'Lower Hot Cell Logistics'!$H$4:$I$8,2,FALSE),"N/A")</f>
        <v>N/A</v>
      </c>
      <c r="N477" s="1332" t="str">
        <f t="shared" si="37"/>
        <v>N/A</v>
      </c>
      <c r="O477" s="1352" t="s">
        <v>2168</v>
      </c>
      <c r="P477" s="1353">
        <f>IF($D477="Logistics",VLOOKUP($O477,'Lower Hot Cell Logistics'!$C$4:$D$69,2,FALSE),"N/A")</f>
        <v>0.88000000000000012</v>
      </c>
      <c r="R477"/>
      <c r="S477"/>
    </row>
    <row r="478" spans="1:19" s="89" customFormat="1" ht="15" hidden="1" customHeight="1" outlineLevel="1" x14ac:dyDescent="0.4">
      <c r="A478" s="2158"/>
      <c r="B478" s="3815"/>
      <c r="C478" s="1362" t="s">
        <v>2145</v>
      </c>
      <c r="D478" s="1294" t="s">
        <v>778</v>
      </c>
      <c r="E478" s="1330">
        <f t="shared" si="34"/>
        <v>2.7777777777777776E-2</v>
      </c>
      <c r="F478" s="1330">
        <f>IF($D478="Trigger",VLOOKUP($C478,'Lower Hot Cell Weld Failure'!$D$396:$G$434,4,FALSE),E478+F477)</f>
        <v>61.571123401407391</v>
      </c>
      <c r="G478" s="1722"/>
      <c r="H478" s="2219" t="s">
        <v>263</v>
      </c>
      <c r="I478" s="1724" t="s">
        <v>2146</v>
      </c>
      <c r="J478" s="1294" t="s">
        <v>914</v>
      </c>
      <c r="K478" s="1294" t="s">
        <v>799</v>
      </c>
      <c r="L478" s="2042">
        <f>IFERROR(INDEX('Lower Hot Cell Logistics'!$I$13:$O$19,MATCH($J478,'Lower Hot Cell Logistics'!$H$13:$H$19,0),MATCH($K478,'Lower Hot Cell Logistics'!$H$13:$H$19,0)),"N/A")</f>
        <v>20</v>
      </c>
      <c r="M478" s="2220">
        <f>IFERROR(VLOOKUP($I478,'Lower Hot Cell Logistics'!$H$4:$I$8,2,FALSE),"N/A")</f>
        <v>0.2</v>
      </c>
      <c r="N478" s="1332">
        <f t="shared" si="37"/>
        <v>2.7777777777777776E-2</v>
      </c>
      <c r="O478" s="1352"/>
      <c r="P478" s="1353" t="str">
        <f>IF($D478="Logistics",VLOOKUP($O478,'Lower Hot Cell Logistics'!$C$4:$D$69,2,FALSE),"N/A")</f>
        <v>N/A</v>
      </c>
      <c r="R478"/>
      <c r="S478"/>
    </row>
    <row r="479" spans="1:19" s="89" customFormat="1" ht="14.6" hidden="1" outlineLevel="1" x14ac:dyDescent="0.4">
      <c r="A479" s="2158"/>
      <c r="B479" s="3815"/>
      <c r="C479" s="1294" t="s">
        <v>2169</v>
      </c>
      <c r="D479" s="1294" t="s">
        <v>3</v>
      </c>
      <c r="E479" s="1292">
        <f t="shared" si="34"/>
        <v>0.68</v>
      </c>
      <c r="F479" s="1292">
        <f>IF($D479="Trigger",VLOOKUP($C479,'Lower Hot Cell Weld Failure'!$D$396:$G$434,4,FALSE),E479+F478)</f>
        <v>62.251123401407391</v>
      </c>
      <c r="G479" s="862"/>
      <c r="H479" s="1328" t="s">
        <v>263</v>
      </c>
      <c r="I479" s="1724"/>
      <c r="J479" s="1294"/>
      <c r="K479" s="1294"/>
      <c r="L479" s="865" t="str">
        <f>IFERROR(INDEX('Lower Hot Cell Logistics'!$I$13:$O$19,MATCH($J479,'Lower Hot Cell Logistics'!$H$13:$H$19,0),MATCH($K479,'Lower Hot Cell Logistics'!$H$13:$H$19,0)),"N/A")</f>
        <v>N/A</v>
      </c>
      <c r="M479" s="864" t="str">
        <f>IFERROR(VLOOKUP($I479,'Lower Hot Cell Logistics'!$H$4:$I$8,2,FALSE),"N/A")</f>
        <v>N/A</v>
      </c>
      <c r="N479" s="2197" t="str">
        <f t="shared" si="37"/>
        <v>N/A</v>
      </c>
      <c r="O479" s="1331" t="s">
        <v>2148</v>
      </c>
      <c r="P479" s="1332">
        <f>IF($D479="Logistics",VLOOKUP($O479,'Lower Hot Cell Logistics'!$C$4:$D$69,2,FALSE),"N/A")</f>
        <v>0.68</v>
      </c>
      <c r="R479"/>
      <c r="S479"/>
    </row>
    <row r="480" spans="1:19" s="89" customFormat="1" ht="14.6" hidden="1" outlineLevel="1" x14ac:dyDescent="0.4">
      <c r="A480" s="2158"/>
      <c r="B480" s="3815"/>
      <c r="C480" s="1294" t="s">
        <v>2162</v>
      </c>
      <c r="D480" s="1294" t="s">
        <v>778</v>
      </c>
      <c r="E480" s="1292">
        <f t="shared" si="34"/>
        <v>0.69444444444444442</v>
      </c>
      <c r="F480" s="1292">
        <f>IF($D480="Trigger",VLOOKUP($C480,'Lower Hot Cell Weld Failure'!$D$396:$G$434,4,FALSE),E480+F479)</f>
        <v>62.945567845851834</v>
      </c>
      <c r="G480" s="862"/>
      <c r="H480" s="1328" t="s">
        <v>263</v>
      </c>
      <c r="I480" s="1724" t="s">
        <v>1826</v>
      </c>
      <c r="J480" s="1294" t="s">
        <v>799</v>
      </c>
      <c r="K480" s="1294" t="s">
        <v>451</v>
      </c>
      <c r="L480" s="865">
        <f>IFERROR(INDEX('Lower Hot Cell Logistics'!$I$13:$O$19,MATCH($J480,'Lower Hot Cell Logistics'!$H$13:$H$19,0),MATCH($K480,'Lower Hot Cell Logistics'!$H$13:$H$19,0)),"N/A")</f>
        <v>50</v>
      </c>
      <c r="M480" s="865">
        <f>IFERROR(VLOOKUP($I480,'Lower Hot Cell Logistics'!$H$4:$I$8,2,FALSE),"N/A")</f>
        <v>0.02</v>
      </c>
      <c r="N480" s="2197">
        <f t="shared" si="37"/>
        <v>0.69444444444444442</v>
      </c>
      <c r="O480" s="1331"/>
      <c r="P480" s="1332" t="str">
        <f>IF($D480="Logistics",VLOOKUP($O480,'Lower Hot Cell Logistics'!$C$4:$D$69,2,FALSE),"N/A")</f>
        <v>N/A</v>
      </c>
      <c r="R480"/>
      <c r="S480"/>
    </row>
    <row r="481" spans="1:19" s="89" customFormat="1" ht="39.450000000000003" hidden="1" outlineLevel="1" thickBot="1" x14ac:dyDescent="0.45">
      <c r="A481" s="2158"/>
      <c r="B481" s="3816"/>
      <c r="C481" s="1340" t="str">
        <f>B473</f>
        <v>Divertor handling system stored; pipe module handling system collected; Replacement left divertor cassette pipe module collected and moved to Lower Port</v>
      </c>
      <c r="D481" s="1340" t="s">
        <v>11</v>
      </c>
      <c r="E481" s="1295">
        <f t="shared" si="34"/>
        <v>0</v>
      </c>
      <c r="F481" s="1295">
        <f>IF($D481="Trigger",VLOOKUP($C481,'Lower Hot Cell Weld Failure'!$D$396:$G$434,4,FALSE),E481+F480)</f>
        <v>62.945567845851834</v>
      </c>
      <c r="G481" s="839"/>
      <c r="H481" s="1341" t="s">
        <v>263</v>
      </c>
      <c r="I481" s="1727"/>
      <c r="J481" s="1340"/>
      <c r="K481" s="1340"/>
      <c r="L481" s="842" t="str">
        <f>IFERROR(INDEX('Lower Hot Cell Logistics'!$I$13:$O$19,MATCH($J481,'Lower Hot Cell Logistics'!$H$13:$H$19,0),MATCH($K481,'Lower Hot Cell Logistics'!$H$13:$H$19,0)),"N/A")</f>
        <v>N/A</v>
      </c>
      <c r="M481" s="842" t="str">
        <f>IFERROR(VLOOKUP($I481,'Lower Hot Cell Logistics'!$H$4:$I$8,2,FALSE),"N/A")</f>
        <v>N/A</v>
      </c>
      <c r="N481" s="2199" t="str">
        <f t="shared" ref="N481:N486" si="38">IF(D481="Movement",IFERROR((L481/M481)/(60*60),"Error"),"N/A")</f>
        <v>N/A</v>
      </c>
      <c r="O481" s="1344"/>
      <c r="P481" s="1345" t="str">
        <f>IF($D481="Logistics",VLOOKUP($O481,'Lower Hot Cell Logistics'!$C$4:$D$69,2,FALSE),"N/A")</f>
        <v>N/A</v>
      </c>
      <c r="R481"/>
      <c r="S481"/>
    </row>
    <row r="482" spans="1:19" s="89" customFormat="1" ht="15" hidden="1" customHeight="1" outlineLevel="1" x14ac:dyDescent="0.4">
      <c r="A482" s="2158"/>
      <c r="B482" s="3787" t="s">
        <v>2336</v>
      </c>
      <c r="C482" s="617" t="s">
        <v>2367</v>
      </c>
      <c r="D482" s="617" t="s">
        <v>907</v>
      </c>
      <c r="E482" s="567">
        <f t="shared" si="34"/>
        <v>0</v>
      </c>
      <c r="F482" s="567">
        <f>IF($D482="Trigger",VLOOKUP($C482,'Lower Hot Cell Weld Failure'!$D$396:$G$434,4,FALSE),E482+F481)</f>
        <v>73.787716299501383</v>
      </c>
      <c r="G482" s="568"/>
      <c r="H482" s="569" t="s">
        <v>263</v>
      </c>
      <c r="I482" s="1270"/>
      <c r="J482" s="617"/>
      <c r="K482" s="617"/>
      <c r="L482" s="570" t="str">
        <f>IFERROR(INDEX('Lower Hot Cell Logistics'!$I$13:$O$19,MATCH($J482,'Lower Hot Cell Logistics'!$H$13:$H$19,0),MATCH($K482,'Lower Hot Cell Logistics'!$H$13:$H$19,0)),"N/A")</f>
        <v>N/A</v>
      </c>
      <c r="M482" s="802" t="str">
        <f>IFERROR(VLOOKUP($I482,'Lower Hot Cell Logistics'!$H$4:$I$8,2,FALSE),"N/A")</f>
        <v>N/A</v>
      </c>
      <c r="N482" s="1182" t="str">
        <f t="shared" si="38"/>
        <v>N/A</v>
      </c>
      <c r="O482" s="620"/>
      <c r="P482" s="621" t="str">
        <f>IF($D482="Logistics",VLOOKUP($O482,'Lower Hot Cell Logistics'!$C$4:$D$69,2,FALSE),"N/A")</f>
        <v>N/A</v>
      </c>
      <c r="R482"/>
      <c r="S482"/>
    </row>
    <row r="483" spans="1:19" s="89" customFormat="1" ht="15" hidden="1" customHeight="1" outlineLevel="1" x14ac:dyDescent="0.4">
      <c r="A483" s="2158"/>
      <c r="B483" s="3786"/>
      <c r="C483" s="1275" t="s">
        <v>2141</v>
      </c>
      <c r="D483" s="572" t="s">
        <v>778</v>
      </c>
      <c r="E483" s="578">
        <f t="shared" si="34"/>
        <v>0.69444444444444442</v>
      </c>
      <c r="F483" s="578">
        <f>IF($D483="Trigger",VLOOKUP($C483,'Lower Hot Cell Weld Failure'!$D$396:$G$434,4,FALSE),E483+F482)</f>
        <v>74.482160743945826</v>
      </c>
      <c r="G483" s="872"/>
      <c r="H483" s="2221" t="s">
        <v>263</v>
      </c>
      <c r="I483" s="1281" t="s">
        <v>2171</v>
      </c>
      <c r="J483" s="572" t="s">
        <v>451</v>
      </c>
      <c r="K483" s="572" t="s">
        <v>831</v>
      </c>
      <c r="L483" s="1176">
        <f>IFERROR(INDEX('Lower Hot Cell Logistics'!$I$13:$O$19,MATCH($J483,'Lower Hot Cell Logistics'!$H$13:$H$19,0),MATCH($K483,'Lower Hot Cell Logistics'!$H$13:$H$19,0)),"N/A")</f>
        <v>50</v>
      </c>
      <c r="M483" s="2222">
        <f>IFERROR(VLOOKUP($I483,'Lower Hot Cell Logistics'!$H$4:$I$8,2,FALSE),"N/A")</f>
        <v>0.02</v>
      </c>
      <c r="N483" s="580">
        <f t="shared" si="38"/>
        <v>0.69444444444444442</v>
      </c>
      <c r="O483" s="631"/>
      <c r="P483" s="632" t="str">
        <f>IF($D483="Logistics",VLOOKUP($O483,'Lower Hot Cell Logistics'!$C$4:$D$69,2,FALSE),"N/A")</f>
        <v>N/A</v>
      </c>
      <c r="R483"/>
      <c r="S483"/>
    </row>
    <row r="484" spans="1:19" s="89" customFormat="1" ht="15" hidden="1" customHeight="1" outlineLevel="1" x14ac:dyDescent="0.4">
      <c r="A484" s="2158"/>
      <c r="B484" s="3786"/>
      <c r="C484" s="1275" t="s">
        <v>1988</v>
      </c>
      <c r="D484" s="572" t="s">
        <v>3</v>
      </c>
      <c r="E484" s="578">
        <f t="shared" si="34"/>
        <v>0.88000000000000012</v>
      </c>
      <c r="F484" s="578">
        <f>IF($D484="Trigger",VLOOKUP($C484,'Lower Hot Cell Weld Failure'!$D$396:$G$434,4,FALSE),E484+F483)</f>
        <v>75.362160743945822</v>
      </c>
      <c r="G484" s="872"/>
      <c r="H484" s="2221" t="s">
        <v>263</v>
      </c>
      <c r="I484" s="1281"/>
      <c r="J484" s="572"/>
      <c r="K484" s="572"/>
      <c r="L484" s="1176" t="str">
        <f>IFERROR(INDEX('Lower Hot Cell Logistics'!$I$13:$O$19,MATCH($J484,'Lower Hot Cell Logistics'!$H$13:$H$19,0),MATCH($K484,'Lower Hot Cell Logistics'!$H$13:$H$19,0)),"N/A")</f>
        <v>N/A</v>
      </c>
      <c r="M484" s="2222" t="str">
        <f>IFERROR(VLOOKUP($I484,'Lower Hot Cell Logistics'!$H$4:$I$8,2,FALSE),"N/A")</f>
        <v>N/A</v>
      </c>
      <c r="N484" s="580" t="str">
        <f t="shared" si="38"/>
        <v>N/A</v>
      </c>
      <c r="O484" s="631" t="s">
        <v>2144</v>
      </c>
      <c r="P484" s="632">
        <f>IF($D484="Logistics",VLOOKUP($O484,'Lower Hot Cell Logistics'!$C$4:$D$69,2,FALSE),"N/A")</f>
        <v>0.88000000000000012</v>
      </c>
      <c r="R484"/>
      <c r="S484"/>
    </row>
    <row r="485" spans="1:19" s="89" customFormat="1" ht="14.6" hidden="1" outlineLevel="1" x14ac:dyDescent="0.4">
      <c r="A485" s="2158"/>
      <c r="B485" s="3786"/>
      <c r="C485" s="572" t="s">
        <v>2162</v>
      </c>
      <c r="D485" s="572" t="s">
        <v>778</v>
      </c>
      <c r="E485" s="574">
        <f t="shared" si="34"/>
        <v>0.69444444444444442</v>
      </c>
      <c r="F485" s="578">
        <f>IF($D485="Trigger",VLOOKUP($C485,'Lower Hot Cell Weld Failure'!$D$396:$G$434,4,FALSE),E485+F484)</f>
        <v>76.056605188390265</v>
      </c>
      <c r="G485" s="575"/>
      <c r="H485" s="576" t="s">
        <v>263</v>
      </c>
      <c r="I485" s="1281" t="s">
        <v>1826</v>
      </c>
      <c r="J485" s="572" t="s">
        <v>799</v>
      </c>
      <c r="K485" s="572" t="s">
        <v>451</v>
      </c>
      <c r="L485" s="853">
        <f>IFERROR(INDEX('Lower Hot Cell Logistics'!$I$13:$O$19,MATCH($J485,'Lower Hot Cell Logistics'!$H$13:$H$19,0),MATCH($K485,'Lower Hot Cell Logistics'!$H$13:$H$19,0)),"N/A")</f>
        <v>50</v>
      </c>
      <c r="M485" s="853">
        <f>IFERROR(VLOOKUP($I485,'Lower Hot Cell Logistics'!$H$4:$I$8,2,FALSE),"N/A")</f>
        <v>0.02</v>
      </c>
      <c r="N485" s="1180">
        <f t="shared" si="38"/>
        <v>0.69444444444444442</v>
      </c>
      <c r="O485" s="579"/>
      <c r="P485" s="580" t="str">
        <f>IF($D485="Logistics",VLOOKUP($O485,'Lower Hot Cell Logistics'!$C$4:$D$69,2,FALSE),"N/A")</f>
        <v>N/A</v>
      </c>
      <c r="R485"/>
      <c r="S485"/>
    </row>
    <row r="486" spans="1:19" s="89" customFormat="1" ht="26.6" hidden="1" outlineLevel="1" thickBot="1" x14ac:dyDescent="0.45">
      <c r="A486" s="2158"/>
      <c r="B486" s="3788"/>
      <c r="C486" s="583" t="str">
        <f>B482</f>
        <v>Replacement Central Divertor pipe module collected and transporter moved to divertor Port</v>
      </c>
      <c r="D486" s="583" t="s">
        <v>11</v>
      </c>
      <c r="E486" s="585">
        <f t="shared" si="34"/>
        <v>0</v>
      </c>
      <c r="F486" s="585">
        <f>IF($D486="Trigger",VLOOKUP($C486,'Lower Hot Cell Weld Failure'!$D$396:$G$434,4,FALSE),E486+F485)</f>
        <v>76.056605188390265</v>
      </c>
      <c r="G486" s="586"/>
      <c r="H486" s="587" t="s">
        <v>263</v>
      </c>
      <c r="I486" s="1720"/>
      <c r="J486" s="583"/>
      <c r="K486" s="583"/>
      <c r="L486" s="814" t="str">
        <f>IFERROR(INDEX('Lower Hot Cell Logistics'!$I$13:$O$19,MATCH($J486,'Lower Hot Cell Logistics'!$H$13:$H$19,0),MATCH($K486,'Lower Hot Cell Logistics'!$H$13:$H$19,0)),"N/A")</f>
        <v>N/A</v>
      </c>
      <c r="M486" s="814" t="str">
        <f>IFERROR(VLOOKUP($I486,'Lower Hot Cell Logistics'!$H$4:$I$8,2,FALSE),"N/A")</f>
        <v>N/A</v>
      </c>
      <c r="N486" s="1181" t="str">
        <f t="shared" si="38"/>
        <v>N/A</v>
      </c>
      <c r="O486" s="590"/>
      <c r="P486" s="591" t="str">
        <f>IF($D486="Logistics",VLOOKUP($O486,'Lower Hot Cell Logistics'!$C$4:$D$69,2,FALSE),"N/A")</f>
        <v>N/A</v>
      </c>
      <c r="R486"/>
      <c r="S486"/>
    </row>
    <row r="487" spans="1:19" ht="13.3" collapsed="1" thickBot="1" x14ac:dyDescent="0.45">
      <c r="A487" s="2164"/>
      <c r="B487" s="2165"/>
      <c r="C487" s="2166"/>
      <c r="D487" s="2166"/>
      <c r="E487" s="2166"/>
      <c r="F487" s="2166"/>
      <c r="G487" s="2166"/>
      <c r="H487" s="2167"/>
      <c r="I487" s="2166"/>
      <c r="J487" s="2166"/>
      <c r="K487" s="2166"/>
      <c r="L487" s="2168"/>
      <c r="M487" s="2168"/>
      <c r="N487" s="2168"/>
      <c r="O487" s="2166"/>
      <c r="P487" s="2169"/>
    </row>
    <row r="488" spans="1:19" x14ac:dyDescent="0.4">
      <c r="A488" s="2170"/>
      <c r="B488" s="2171" t="s">
        <v>1985</v>
      </c>
      <c r="C488" s="2171"/>
      <c r="D488" s="2171"/>
      <c r="E488" s="2171"/>
      <c r="F488" s="2171"/>
      <c r="G488" s="2171"/>
      <c r="H488" s="2171"/>
      <c r="I488" s="2171"/>
      <c r="J488" s="2171"/>
      <c r="K488" s="2171"/>
      <c r="L488" s="2171"/>
      <c r="M488" s="2171"/>
      <c r="N488" s="2171"/>
      <c r="O488" s="2171"/>
      <c r="P488" s="2172"/>
    </row>
    <row r="489" spans="1:19" s="2121" customFormat="1" ht="13.3" hidden="1" outlineLevel="1" thickBot="1" x14ac:dyDescent="0.45">
      <c r="A489" s="2173"/>
      <c r="B489" s="2159"/>
      <c r="C489" s="2160"/>
      <c r="D489" s="2160"/>
      <c r="E489" s="2160"/>
      <c r="F489" s="2160"/>
      <c r="G489" s="2160"/>
      <c r="H489" s="2161"/>
      <c r="I489" s="2160"/>
      <c r="J489" s="2160"/>
      <c r="K489" s="2160"/>
      <c r="L489" s="2162"/>
      <c r="M489" s="2162"/>
      <c r="N489" s="2162"/>
      <c r="O489" s="2160"/>
      <c r="P489" s="2163"/>
    </row>
    <row r="490" spans="1:19" s="2121" customFormat="1" ht="25.5" hidden="1" customHeight="1" outlineLevel="1" x14ac:dyDescent="0.4">
      <c r="A490" s="2173"/>
      <c r="B490" s="3814" t="s">
        <v>2324</v>
      </c>
      <c r="C490" s="823" t="s">
        <v>1923</v>
      </c>
      <c r="D490" s="823" t="s">
        <v>907</v>
      </c>
      <c r="E490" s="2040">
        <f>MAX($P490,$N490,$H490)</f>
        <v>0</v>
      </c>
      <c r="F490" s="824">
        <f>IF($D490="Trigger",VLOOKUP($C490,'Lower Hot Cell Weld Failure'!$D$457:$G$490,4,FALSE),E490+F489)</f>
        <v>0</v>
      </c>
      <c r="G490" s="825"/>
      <c r="H490" s="1323" t="s">
        <v>263</v>
      </c>
      <c r="I490" s="823"/>
      <c r="J490" s="823"/>
      <c r="K490" s="823"/>
      <c r="L490" s="2040" t="str">
        <f>IFERROR(INDEX('Lower Hot Cell Logistics'!$I$13:$O$19,MATCH($J490,'Lower Hot Cell Logistics'!$H$13:$H$19,0),MATCH($K490,'Lower Hot Cell Logistics'!$H$13:$H$19,0)),"N/A")</f>
        <v>N/A</v>
      </c>
      <c r="M490" s="2040" t="str">
        <f>IFERROR(VLOOKUP($I490,'Lower Hot Cell Logistics'!$H$4:$I$8,2,FALSE),"N/A")</f>
        <v>N/A</v>
      </c>
      <c r="N490" s="2040" t="str">
        <f t="shared" ref="N490:N504" si="39">IF(D490="Movement",IFERROR((L490/M490)/(60*60),"Error"),"N/A")</f>
        <v>N/A</v>
      </c>
      <c r="O490" s="1327"/>
      <c r="P490" s="824" t="str">
        <f>IF($D490="Logistics",VLOOKUP($O490,'Lower Hot Cell Logistics'!$C$4:$D$69,2,FALSE),"N/A")</f>
        <v>N/A</v>
      </c>
    </row>
    <row r="491" spans="1:19" s="2121" customFormat="1" ht="12.75" hidden="1" customHeight="1" outlineLevel="1" x14ac:dyDescent="0.4">
      <c r="A491" s="2173"/>
      <c r="B491" s="3815"/>
      <c r="C491" s="860" t="s">
        <v>2355</v>
      </c>
      <c r="D491" s="860" t="s">
        <v>778</v>
      </c>
      <c r="E491" s="2042">
        <f>MAX($P491,$N491,$H491)</f>
        <v>0.69444444444444442</v>
      </c>
      <c r="F491" s="1332">
        <f>IF($D491="Trigger",VLOOKUP($C491,'Lower Hot Cell Weld Failure'!$D$457:$G$490,4,FALSE),E491+F490)</f>
        <v>0.69444444444444442</v>
      </c>
      <c r="G491" s="862"/>
      <c r="H491" s="1328" t="s">
        <v>263</v>
      </c>
      <c r="I491" s="860" t="s">
        <v>2356</v>
      </c>
      <c r="J491" s="860" t="s">
        <v>451</v>
      </c>
      <c r="K491" s="860" t="s">
        <v>1957</v>
      </c>
      <c r="L491" s="2042">
        <f>IFERROR(INDEX('Lower Hot Cell Logistics'!$I$13:$O$19,MATCH($J491,'Lower Hot Cell Logistics'!$H$13:$H$19,0),MATCH($K491,'Lower Hot Cell Logistics'!$H$13:$H$19,0)),"N/A")</f>
        <v>50</v>
      </c>
      <c r="M491" s="2042">
        <f>IFERROR(VLOOKUP($I491,'Lower Hot Cell Logistics'!$H$4:$I$8,2,FALSE),"N/A")</f>
        <v>0.02</v>
      </c>
      <c r="N491" s="2042">
        <f t="shared" si="39"/>
        <v>0.69444444444444442</v>
      </c>
      <c r="O491" s="1331"/>
      <c r="P491" s="1332" t="str">
        <f>IF($D491="Logistics",VLOOKUP($O491,'Lower Hot Cell Logistics'!$C$4:$D$69,2,FALSE),"N/A")</f>
        <v>N/A</v>
      </c>
    </row>
    <row r="492" spans="1:19" s="2121" customFormat="1" ht="12.75" hidden="1" customHeight="1" outlineLevel="1" x14ac:dyDescent="0.4">
      <c r="A492" s="2173"/>
      <c r="B492" s="3815"/>
      <c r="C492" s="860" t="s">
        <v>1959</v>
      </c>
      <c r="D492" s="860" t="s">
        <v>3</v>
      </c>
      <c r="E492" s="2042">
        <f>MAX($P492,$N492,$H492)</f>
        <v>0.88000000000000012</v>
      </c>
      <c r="F492" s="1332">
        <f>IF($D492="Trigger",VLOOKUP($C492,'Lower Hot Cell Weld Failure'!$D$457:$G$490,4,FALSE),E492+F491)</f>
        <v>1.5744444444444445</v>
      </c>
      <c r="G492" s="862"/>
      <c r="H492" s="1328" t="s">
        <v>263</v>
      </c>
      <c r="I492" s="860"/>
      <c r="J492" s="860"/>
      <c r="K492" s="860"/>
      <c r="L492" s="2042" t="str">
        <f>IFERROR(INDEX('Lower Hot Cell Logistics'!$I$13:$O$19,MATCH($J492,'Lower Hot Cell Logistics'!$H$13:$H$19,0),MATCH($K492,'Lower Hot Cell Logistics'!$H$13:$H$19,0)),"N/A")</f>
        <v>N/A</v>
      </c>
      <c r="M492" s="2042" t="str">
        <f>IFERROR(VLOOKUP($I492,'Lower Hot Cell Logistics'!$H$4:$I$8,2,FALSE),"N/A")</f>
        <v>N/A</v>
      </c>
      <c r="N492" s="2042" t="str">
        <f t="shared" si="39"/>
        <v>N/A</v>
      </c>
      <c r="O492" s="1331" t="s">
        <v>2144</v>
      </c>
      <c r="P492" s="1332">
        <f>IF($D492="Logistics",VLOOKUP($O492,'Lower Hot Cell Logistics'!$C$4:$D$69,2,FALSE),"N/A")</f>
        <v>0.88000000000000012</v>
      </c>
    </row>
    <row r="493" spans="1:19" s="2121" customFormat="1" ht="12.75" hidden="1" customHeight="1" outlineLevel="1" x14ac:dyDescent="0.4">
      <c r="A493" s="2173"/>
      <c r="B493" s="3815"/>
      <c r="C493" s="1897" t="s">
        <v>2357</v>
      </c>
      <c r="D493" s="860" t="s">
        <v>3</v>
      </c>
      <c r="E493" s="2042">
        <f t="shared" ref="E493:E556" si="40">MAX($P493,$N493,$H493)</f>
        <v>0.88000000000000012</v>
      </c>
      <c r="F493" s="1332">
        <f>IF($D493="Trigger",VLOOKUP($C493,'Lower Hot Cell Weld Failure'!$D$457:$G$490,4,FALSE),E493+F492)</f>
        <v>2.4544444444444444</v>
      </c>
      <c r="G493" s="862"/>
      <c r="H493" s="1328" t="s">
        <v>263</v>
      </c>
      <c r="I493" s="860"/>
      <c r="J493" s="860"/>
      <c r="K493" s="860"/>
      <c r="L493" s="2042" t="str">
        <f>IFERROR(INDEX('Lower Hot Cell Logistics'!$I$13:$O$19,MATCH($J493,'Lower Hot Cell Logistics'!$H$13:$H$19,0),MATCH($K493,'Lower Hot Cell Logistics'!$H$13:$H$19,0)),"N/A")</f>
        <v>N/A</v>
      </c>
      <c r="M493" s="2042" t="str">
        <f>IFERROR(VLOOKUP($I493,'Lower Hot Cell Logistics'!$H$4:$I$8,2,FALSE),"N/A")</f>
        <v>N/A</v>
      </c>
      <c r="N493" s="2042" t="str">
        <f t="shared" si="39"/>
        <v>N/A</v>
      </c>
      <c r="O493" s="1331" t="s">
        <v>2144</v>
      </c>
      <c r="P493" s="1332">
        <f>IF($D493="Logistics",VLOOKUP($O493,'Lower Hot Cell Logistics'!$C$4:$D$69,2,FALSE),"N/A")</f>
        <v>0.88000000000000012</v>
      </c>
    </row>
    <row r="494" spans="1:19" ht="12.75" hidden="1" customHeight="1" outlineLevel="1" x14ac:dyDescent="0.4">
      <c r="A494" s="2173"/>
      <c r="B494" s="3815"/>
      <c r="C494" s="1897" t="s">
        <v>2368</v>
      </c>
      <c r="D494" s="860" t="s">
        <v>3</v>
      </c>
      <c r="E494" s="2042">
        <f t="shared" si="40"/>
        <v>0.68</v>
      </c>
      <c r="F494" s="1332">
        <f>IF($D494="Trigger",VLOOKUP($C494,'Lower Hot Cell Weld Failure'!$D$457:$G$490,4,FALSE),E494+F493)</f>
        <v>3.1344444444444446</v>
      </c>
      <c r="G494" s="862"/>
      <c r="H494" s="1328" t="s">
        <v>263</v>
      </c>
      <c r="I494" s="860"/>
      <c r="J494" s="860"/>
      <c r="K494" s="860"/>
      <c r="L494" s="2042" t="str">
        <f>IFERROR(INDEX('Lower Hot Cell Logistics'!$I$13:$O$19,MATCH($J494,'Lower Hot Cell Logistics'!$H$13:$H$19,0),MATCH($K494,'Lower Hot Cell Logistics'!$H$13:$H$19,0)),"N/A")</f>
        <v>N/A</v>
      </c>
      <c r="M494" s="2042" t="str">
        <f>IFERROR(VLOOKUP($I494,'Lower Hot Cell Logistics'!$H$4:$I$8,2,FALSE),"N/A")</f>
        <v>N/A</v>
      </c>
      <c r="N494" s="2042" t="str">
        <f t="shared" si="39"/>
        <v>N/A</v>
      </c>
      <c r="O494" s="1331" t="s">
        <v>2139</v>
      </c>
      <c r="P494" s="1332">
        <f>IF($D494="Logistics",VLOOKUP($O494,'Lower Hot Cell Logistics'!$C$4:$D$69,2,FALSE),"N/A")</f>
        <v>0.68</v>
      </c>
    </row>
    <row r="495" spans="1:19" ht="25.5" hidden="1" customHeight="1" outlineLevel="1" x14ac:dyDescent="0.4">
      <c r="A495" s="2173"/>
      <c r="B495" s="3815"/>
      <c r="C495" s="1897" t="s">
        <v>2359</v>
      </c>
      <c r="D495" s="860" t="s">
        <v>778</v>
      </c>
      <c r="E495" s="2042">
        <f t="shared" si="40"/>
        <v>0.23148148148148148</v>
      </c>
      <c r="F495" s="1332">
        <f>IF($D495="Trigger",VLOOKUP($C495,'Lower Hot Cell Weld Failure'!$D$457:$G$490,4,FALSE),E495+F494)</f>
        <v>3.365925925925926</v>
      </c>
      <c r="G495" s="862"/>
      <c r="H495" s="1328" t="s">
        <v>263</v>
      </c>
      <c r="I495" s="860" t="s">
        <v>2137</v>
      </c>
      <c r="J495" s="860" t="s">
        <v>1975</v>
      </c>
      <c r="K495" s="860" t="s">
        <v>451</v>
      </c>
      <c r="L495" s="2042">
        <f>IFERROR(INDEX('Lower Hot Cell Logistics'!$I$13:$O$19,MATCH($J495,'Lower Hot Cell Logistics'!$H$13:$H$19,0),MATCH($K495,'Lower Hot Cell Logistics'!$H$13:$H$19,0)),"N/A")</f>
        <v>50</v>
      </c>
      <c r="M495" s="2042">
        <f>IFERROR(VLOOKUP($I495,'Lower Hot Cell Logistics'!$H$4:$I$8,2,FALSE),"N/A")</f>
        <v>0.06</v>
      </c>
      <c r="N495" s="2042">
        <f t="shared" si="39"/>
        <v>0.23148148148148148</v>
      </c>
      <c r="O495" s="1331"/>
      <c r="P495" s="1332" t="str">
        <f>IF($D495="Logistics",VLOOKUP($O495,'Lower Hot Cell Logistics'!$C$4:$D$69,2,FALSE),"N/A")</f>
        <v>N/A</v>
      </c>
    </row>
    <row r="496" spans="1:19" ht="26.25" hidden="1" customHeight="1" outlineLevel="1" thickBot="1" x14ac:dyDescent="0.45">
      <c r="A496" s="2173"/>
      <c r="B496" s="3816"/>
      <c r="C496" s="837" t="str">
        <f>B490</f>
        <v>Current payload stored; Divertor pipe module transporter collected; transporter moved to Divertor Port</v>
      </c>
      <c r="D496" s="837" t="s">
        <v>11</v>
      </c>
      <c r="E496" s="1922">
        <f t="shared" si="40"/>
        <v>0</v>
      </c>
      <c r="F496" s="1345">
        <f>IF($D496="Trigger",VLOOKUP($C496,'Lower Hot Cell Weld Failure'!$D$457:$G$490,4,FALSE),E496+F495)</f>
        <v>3.365925925925926</v>
      </c>
      <c r="G496" s="839"/>
      <c r="H496" s="1341" t="s">
        <v>263</v>
      </c>
      <c r="I496" s="837"/>
      <c r="J496" s="837"/>
      <c r="K496" s="837"/>
      <c r="L496" s="1922" t="str">
        <f>IFERROR(INDEX('Lower Hot Cell Logistics'!$I$13:$O$19,MATCH($J496,'Lower Hot Cell Logistics'!$H$13:$H$19,0),MATCH($K496,'Lower Hot Cell Logistics'!$H$13:$H$19,0)),"N/A")</f>
        <v>N/A</v>
      </c>
      <c r="M496" s="1922" t="str">
        <f>IFERROR(VLOOKUP($I496,'Lower Hot Cell Logistics'!$H$4:$I$8,2,FALSE),"N/A")</f>
        <v>N/A</v>
      </c>
      <c r="N496" s="1922" t="str">
        <f t="shared" si="39"/>
        <v>N/A</v>
      </c>
      <c r="O496" s="1344"/>
      <c r="P496" s="1345" t="str">
        <f>IF($D496="Logistics",VLOOKUP($O496,'Lower Hot Cell Logistics'!$C$4:$D$69,2,FALSE),"N/A")</f>
        <v>N/A</v>
      </c>
    </row>
    <row r="497" spans="1:19" s="89" customFormat="1" ht="15" hidden="1" customHeight="1" outlineLevel="1" x14ac:dyDescent="0.4">
      <c r="A497" s="2173"/>
      <c r="B497" s="3787" t="s">
        <v>2326</v>
      </c>
      <c r="C497" s="617" t="s">
        <v>2337</v>
      </c>
      <c r="D497" s="617" t="s">
        <v>907</v>
      </c>
      <c r="E497" s="567">
        <f t="shared" si="40"/>
        <v>0</v>
      </c>
      <c r="F497" s="567">
        <f>IF($D497="Trigger",VLOOKUP($C497,'Lower Hot Cell Weld Failure'!$D$457:$G$490,4,FALSE),E497+F496)</f>
        <v>13.202967059728389</v>
      </c>
      <c r="G497" s="568"/>
      <c r="H497" s="569" t="s">
        <v>263</v>
      </c>
      <c r="I497" s="1270"/>
      <c r="J497" s="617"/>
      <c r="K497" s="617"/>
      <c r="L497" s="570" t="str">
        <f>IFERROR(INDEX('Lower Hot Cell Logistics'!$I$13:$O$19,MATCH($J497,'Lower Hot Cell Logistics'!$H$13:$H$19,0),MATCH($K497,'Lower Hot Cell Logistics'!$H$13:$H$19,0)),"N/A")</f>
        <v>N/A</v>
      </c>
      <c r="M497" s="802" t="str">
        <f>IFERROR(VLOOKUP($I497,'Lower Hot Cell Logistics'!$H$4:$I$8,2,FALSE),"N/A")</f>
        <v>N/A</v>
      </c>
      <c r="N497" s="1182" t="str">
        <f t="shared" si="39"/>
        <v>N/A</v>
      </c>
      <c r="O497" s="620"/>
      <c r="P497" s="621" t="str">
        <f>IF($D497="Logistics",VLOOKUP($O497,'Lower Hot Cell Logistics'!$C$4:$D$69,2,FALSE),"N/A")</f>
        <v>N/A</v>
      </c>
      <c r="R497"/>
      <c r="S497"/>
    </row>
    <row r="498" spans="1:19" s="89" customFormat="1" ht="15" hidden="1" customHeight="1" outlineLevel="1" x14ac:dyDescent="0.4">
      <c r="A498" s="2173"/>
      <c r="B498" s="3786"/>
      <c r="C498" s="2348" t="s">
        <v>2141</v>
      </c>
      <c r="D498" s="572" t="s">
        <v>778</v>
      </c>
      <c r="E498" s="578">
        <f t="shared" si="40"/>
        <v>0.23148148148148148</v>
      </c>
      <c r="F498" s="578">
        <f>IF($D498="Trigger",VLOOKUP($C498,'Lower Hot Cell Weld Failure'!$D$457:$G$490,4,FALSE),E498+F497)</f>
        <v>13.43444854120987</v>
      </c>
      <c r="G498" s="872"/>
      <c r="H498" s="2221" t="s">
        <v>263</v>
      </c>
      <c r="I498" s="1281" t="s">
        <v>2142</v>
      </c>
      <c r="J498" s="572" t="s">
        <v>451</v>
      </c>
      <c r="K498" s="572" t="s">
        <v>2164</v>
      </c>
      <c r="L498" s="1176">
        <f>IFERROR(INDEX('Lower Hot Cell Logistics'!$I$13:$O$19,MATCH($J498,'Lower Hot Cell Logistics'!$H$13:$H$19,0),MATCH($K498,'Lower Hot Cell Logistics'!$H$13:$H$19,0)),"N/A")</f>
        <v>50</v>
      </c>
      <c r="M498" s="2222">
        <f>IFERROR(VLOOKUP($I498,'Lower Hot Cell Logistics'!$H$4:$I$8,2,FALSE),"N/A")</f>
        <v>0.06</v>
      </c>
      <c r="N498" s="580">
        <f t="shared" si="39"/>
        <v>0.23148148148148148</v>
      </c>
      <c r="O498" s="631"/>
      <c r="P498" s="632" t="str">
        <f>IF($D498="Logistics",VLOOKUP($O498,'Lower Hot Cell Logistics'!$C$4:$D$69,2,FALSE),"N/A")</f>
        <v>N/A</v>
      </c>
      <c r="R498"/>
      <c r="S498"/>
    </row>
    <row r="499" spans="1:19" s="89" customFormat="1" ht="15" hidden="1" customHeight="1" outlineLevel="1" x14ac:dyDescent="0.4">
      <c r="A499" s="2173"/>
      <c r="B499" s="3786"/>
      <c r="C499" s="1275" t="s">
        <v>1757</v>
      </c>
      <c r="D499" s="572" t="s">
        <v>3</v>
      </c>
      <c r="E499" s="578">
        <f t="shared" si="40"/>
        <v>0.88000000000000012</v>
      </c>
      <c r="F499" s="578">
        <f>IF($D499="Trigger",VLOOKUP($C499,'Lower Hot Cell Weld Failure'!$D$457:$G$490,4,FALSE),E499+F498)</f>
        <v>14.31444854120987</v>
      </c>
      <c r="G499" s="872"/>
      <c r="H499" s="2221" t="s">
        <v>263</v>
      </c>
      <c r="I499" s="1281"/>
      <c r="J499" s="572"/>
      <c r="K499" s="572"/>
      <c r="L499" s="1176" t="str">
        <f>IFERROR(INDEX('Lower Hot Cell Logistics'!$I$13:$O$19,MATCH($J499,'Lower Hot Cell Logistics'!$H$13:$H$19,0),MATCH($K499,'Lower Hot Cell Logistics'!$H$13:$H$19,0)),"N/A")</f>
        <v>N/A</v>
      </c>
      <c r="M499" s="2222" t="str">
        <f>IFERROR(VLOOKUP($I499,'Lower Hot Cell Logistics'!$H$4:$I$8,2,FALSE),"N/A")</f>
        <v>N/A</v>
      </c>
      <c r="N499" s="580" t="str">
        <f t="shared" si="39"/>
        <v>N/A</v>
      </c>
      <c r="O499" s="631" t="s">
        <v>2144</v>
      </c>
      <c r="P499" s="632">
        <f>IF($D499="Logistics",VLOOKUP($O499,'Lower Hot Cell Logistics'!$C$4:$D$69,2,FALSE),"N/A")</f>
        <v>0.88000000000000012</v>
      </c>
      <c r="R499"/>
      <c r="S499"/>
    </row>
    <row r="500" spans="1:19" s="89" customFormat="1" ht="15" hidden="1" customHeight="1" outlineLevel="1" x14ac:dyDescent="0.4">
      <c r="A500" s="2173"/>
      <c r="B500" s="3786"/>
      <c r="C500" s="1275" t="s">
        <v>2165</v>
      </c>
      <c r="D500" s="572" t="s">
        <v>778</v>
      </c>
      <c r="E500" s="578">
        <f t="shared" si="40"/>
        <v>2.7777777777777776E-2</v>
      </c>
      <c r="F500" s="578">
        <f>IF($D500="Trigger",VLOOKUP($C500,'Lower Hot Cell Weld Failure'!$D$457:$G$490,4,FALSE),E500+F499)</f>
        <v>14.342226318987649</v>
      </c>
      <c r="G500" s="872"/>
      <c r="H500" s="2221" t="s">
        <v>263</v>
      </c>
      <c r="I500" s="1281" t="s">
        <v>2166</v>
      </c>
      <c r="J500" s="572" t="s">
        <v>2164</v>
      </c>
      <c r="K500" s="572" t="s">
        <v>914</v>
      </c>
      <c r="L500" s="1176">
        <f>IFERROR(INDEX('Lower Hot Cell Logistics'!$I$13:$O$19,MATCH($J500,'Lower Hot Cell Logistics'!$H$13:$H$19,0),MATCH($K500,'Lower Hot Cell Logistics'!$H$13:$H$19,0)),"N/A")</f>
        <v>20</v>
      </c>
      <c r="M500" s="2222">
        <f>IFERROR(VLOOKUP($I500,'Lower Hot Cell Logistics'!$H$4:$I$8,2,FALSE),"N/A")</f>
        <v>0.2</v>
      </c>
      <c r="N500" s="580">
        <f t="shared" si="39"/>
        <v>2.7777777777777776E-2</v>
      </c>
      <c r="O500" s="631"/>
      <c r="P500" s="632" t="str">
        <f>IF($D500="Logistics",VLOOKUP($O500,'Lower Hot Cell Logistics'!$C$4:$D$69,2,FALSE),"N/A")</f>
        <v>N/A</v>
      </c>
      <c r="R500"/>
      <c r="S500"/>
    </row>
    <row r="501" spans="1:19" s="89" customFormat="1" ht="15" hidden="1" customHeight="1" outlineLevel="1" x14ac:dyDescent="0.4">
      <c r="A501" s="2173"/>
      <c r="B501" s="3786"/>
      <c r="C501" s="1275" t="s">
        <v>2167</v>
      </c>
      <c r="D501" s="572" t="s">
        <v>3</v>
      </c>
      <c r="E501" s="578">
        <f t="shared" si="40"/>
        <v>0.88000000000000012</v>
      </c>
      <c r="F501" s="578">
        <f>IF($D501="Trigger",VLOOKUP($C501,'Lower Hot Cell Weld Failure'!$D$457:$G$490,4,FALSE),E501+F500)</f>
        <v>15.22222631898765</v>
      </c>
      <c r="G501" s="872"/>
      <c r="H501" s="2221" t="s">
        <v>263</v>
      </c>
      <c r="I501" s="1281"/>
      <c r="J501" s="572"/>
      <c r="K501" s="572"/>
      <c r="L501" s="1176" t="str">
        <f>IFERROR(INDEX('Lower Hot Cell Logistics'!$I$13:$O$19,MATCH($J501,'Lower Hot Cell Logistics'!$H$13:$H$19,0),MATCH($K501,'Lower Hot Cell Logistics'!$H$13:$H$19,0)),"N/A")</f>
        <v>N/A</v>
      </c>
      <c r="M501" s="2222" t="str">
        <f>IFERROR(VLOOKUP($I501,'Lower Hot Cell Logistics'!$H$4:$I$8,2,FALSE),"N/A")</f>
        <v>N/A</v>
      </c>
      <c r="N501" s="580" t="str">
        <f t="shared" si="39"/>
        <v>N/A</v>
      </c>
      <c r="O501" s="631" t="s">
        <v>2168</v>
      </c>
      <c r="P501" s="632">
        <f>IF($D501="Logistics",VLOOKUP($O501,'Lower Hot Cell Logistics'!$C$4:$D$69,2,FALSE),"N/A")</f>
        <v>0.88000000000000012</v>
      </c>
      <c r="R501"/>
      <c r="S501"/>
    </row>
    <row r="502" spans="1:19" s="89" customFormat="1" ht="15" hidden="1" customHeight="1" outlineLevel="1" x14ac:dyDescent="0.4">
      <c r="A502" s="2173"/>
      <c r="B502" s="3786"/>
      <c r="C502" s="1275" t="s">
        <v>2145</v>
      </c>
      <c r="D502" s="572" t="s">
        <v>778</v>
      </c>
      <c r="E502" s="578">
        <f t="shared" si="40"/>
        <v>2.7777777777777776E-2</v>
      </c>
      <c r="F502" s="578">
        <f>IF($D502="Trigger",VLOOKUP($C502,'Lower Hot Cell Weld Failure'!$D$457:$G$490,4,FALSE),E502+F501)</f>
        <v>15.250004096765428</v>
      </c>
      <c r="G502" s="872"/>
      <c r="H502" s="2221" t="s">
        <v>263</v>
      </c>
      <c r="I502" s="1281" t="s">
        <v>2146</v>
      </c>
      <c r="J502" s="572" t="s">
        <v>914</v>
      </c>
      <c r="K502" s="572" t="s">
        <v>799</v>
      </c>
      <c r="L502" s="1176">
        <f>IFERROR(INDEX('Lower Hot Cell Logistics'!$I$13:$O$19,MATCH($J502,'Lower Hot Cell Logistics'!$H$13:$H$19,0),MATCH($K502,'Lower Hot Cell Logistics'!$H$13:$H$19,0)),"N/A")</f>
        <v>20</v>
      </c>
      <c r="M502" s="2222">
        <f>IFERROR(VLOOKUP($I502,'Lower Hot Cell Logistics'!$H$4:$I$8,2,FALSE),"N/A")</f>
        <v>0.2</v>
      </c>
      <c r="N502" s="580">
        <f t="shared" si="39"/>
        <v>2.7777777777777776E-2</v>
      </c>
      <c r="O502" s="631"/>
      <c r="P502" s="632" t="str">
        <f>IF($D502="Logistics",VLOOKUP($O502,'Lower Hot Cell Logistics'!$C$4:$D$69,2,FALSE),"N/A")</f>
        <v>N/A</v>
      </c>
      <c r="R502"/>
      <c r="S502"/>
    </row>
    <row r="503" spans="1:19" s="89" customFormat="1" ht="14.6" hidden="1" outlineLevel="1" x14ac:dyDescent="0.4">
      <c r="A503" s="2173"/>
      <c r="B503" s="3786"/>
      <c r="C503" s="572" t="s">
        <v>2169</v>
      </c>
      <c r="D503" s="572" t="s">
        <v>3</v>
      </c>
      <c r="E503" s="574">
        <f t="shared" si="40"/>
        <v>0.68</v>
      </c>
      <c r="F503" s="574">
        <f>IF($D503="Trigger",VLOOKUP($C503,'Lower Hot Cell Weld Failure'!$D$457:$G$490,4,FALSE),E503+F502)</f>
        <v>15.930004096765428</v>
      </c>
      <c r="G503" s="575"/>
      <c r="H503" s="576" t="s">
        <v>263</v>
      </c>
      <c r="I503" s="1281"/>
      <c r="J503" s="572"/>
      <c r="K503" s="572"/>
      <c r="L503" s="853" t="str">
        <f>IFERROR(INDEX('Lower Hot Cell Logistics'!$I$13:$O$19,MATCH($J503,'Lower Hot Cell Logistics'!$H$13:$H$19,0),MATCH($K503,'Lower Hot Cell Logistics'!$H$13:$H$19,0)),"N/A")</f>
        <v>N/A</v>
      </c>
      <c r="M503" s="852" t="str">
        <f>IFERROR(VLOOKUP($I503,'Lower Hot Cell Logistics'!$H$4:$I$8,2,FALSE),"N/A")</f>
        <v>N/A</v>
      </c>
      <c r="N503" s="1180" t="str">
        <f t="shared" si="39"/>
        <v>N/A</v>
      </c>
      <c r="O503" s="579" t="s">
        <v>2148</v>
      </c>
      <c r="P503" s="580">
        <f>IF($D503="Logistics",VLOOKUP($O503,'Lower Hot Cell Logistics'!$C$4:$D$69,2,FALSE),"N/A")</f>
        <v>0.68</v>
      </c>
      <c r="R503"/>
      <c r="S503"/>
    </row>
    <row r="504" spans="1:19" s="89" customFormat="1" ht="14.6" hidden="1" outlineLevel="1" x14ac:dyDescent="0.4">
      <c r="A504" s="2173"/>
      <c r="B504" s="3786"/>
      <c r="C504" s="572" t="s">
        <v>2162</v>
      </c>
      <c r="D504" s="572" t="s">
        <v>778</v>
      </c>
      <c r="E504" s="574">
        <f t="shared" si="40"/>
        <v>0.69444444444444442</v>
      </c>
      <c r="F504" s="574">
        <f>IF($D504="Trigger",VLOOKUP($C504,'Lower Hot Cell Weld Failure'!$D$457:$G$490,4,FALSE),E504+F503)</f>
        <v>16.624448541209873</v>
      </c>
      <c r="G504" s="575"/>
      <c r="H504" s="576" t="s">
        <v>263</v>
      </c>
      <c r="I504" s="1281" t="s">
        <v>1826</v>
      </c>
      <c r="J504" s="572" t="s">
        <v>799</v>
      </c>
      <c r="K504" s="572" t="s">
        <v>451</v>
      </c>
      <c r="L504" s="853">
        <f>IFERROR(INDEX('Lower Hot Cell Logistics'!$I$13:$O$19,MATCH($J504,'Lower Hot Cell Logistics'!$H$13:$H$19,0),MATCH($K504,'Lower Hot Cell Logistics'!$H$13:$H$19,0)),"N/A")</f>
        <v>50</v>
      </c>
      <c r="M504" s="853">
        <f>IFERROR(VLOOKUP($I504,'Lower Hot Cell Logistics'!$H$4:$I$8,2,FALSE),"N/A")</f>
        <v>0.02</v>
      </c>
      <c r="N504" s="1180">
        <f t="shared" si="39"/>
        <v>0.69444444444444442</v>
      </c>
      <c r="O504" s="579"/>
      <c r="P504" s="580" t="str">
        <f>IF($D504="Logistics",VLOOKUP($O504,'Lower Hot Cell Logistics'!$C$4:$D$69,2,FALSE),"N/A")</f>
        <v>N/A</v>
      </c>
      <c r="R504"/>
      <c r="S504"/>
    </row>
    <row r="505" spans="1:19" s="89" customFormat="1" ht="39.450000000000003" hidden="1" outlineLevel="1" thickBot="1" x14ac:dyDescent="0.45">
      <c r="A505" s="2173"/>
      <c r="B505" s="3788"/>
      <c r="C505" s="583" t="str">
        <f>B497</f>
        <v>Left Divertor Pipework Module Stored; pipe module handling system stored; Divertor cassette transporter collected and moved to Lower Port</v>
      </c>
      <c r="D505" s="583" t="s">
        <v>11</v>
      </c>
      <c r="E505" s="585">
        <f t="shared" si="40"/>
        <v>0</v>
      </c>
      <c r="F505" s="585">
        <f>IF($D505="Trigger",VLOOKUP($C505,'Lower Hot Cell Weld Failure'!$D$457:$G$490,4,FALSE),E505+F504)</f>
        <v>16.624448541209873</v>
      </c>
      <c r="G505" s="586"/>
      <c r="H505" s="587" t="s">
        <v>263</v>
      </c>
      <c r="I505" s="1720"/>
      <c r="J505" s="583"/>
      <c r="K505" s="583"/>
      <c r="L505" s="814" t="str">
        <f>IFERROR(INDEX('Lower Hot Cell Logistics'!$I$13:$O$19,MATCH($J505,'Lower Hot Cell Logistics'!$H$13:$H$19,0),MATCH($K505,'Lower Hot Cell Logistics'!$H$13:$H$19,0)),"N/A")</f>
        <v>N/A</v>
      </c>
      <c r="M505" s="814" t="str">
        <f>IFERROR(VLOOKUP($I505,'Lower Hot Cell Logistics'!$H$4:$I$8,2,FALSE),"N/A")</f>
        <v>N/A</v>
      </c>
      <c r="N505" s="1181" t="str">
        <f>IF(D505="Movement",IFERROR((L505/M505)/(60*60),"Error"),"N/A")</f>
        <v>N/A</v>
      </c>
      <c r="O505" s="590"/>
      <c r="P505" s="591" t="str">
        <f>IF($D505="Logistics",VLOOKUP($O505,'Lower Hot Cell Logistics'!$C$4:$D$69,2,FALSE),"N/A")</f>
        <v>N/A</v>
      </c>
      <c r="R505"/>
      <c r="S505"/>
    </row>
    <row r="506" spans="1:19" s="89" customFormat="1" ht="15" hidden="1" customHeight="1" outlineLevel="1" x14ac:dyDescent="0.4">
      <c r="A506" s="2173"/>
      <c r="B506" s="3814" t="s">
        <v>2328</v>
      </c>
      <c r="C506" s="1324" t="s">
        <v>2340</v>
      </c>
      <c r="D506" s="1324" t="s">
        <v>907</v>
      </c>
      <c r="E506" s="1291">
        <f t="shared" si="40"/>
        <v>0</v>
      </c>
      <c r="F506" s="1291">
        <f>IF($D506="Trigger",VLOOKUP($C506,'Lower Hot Cell Weld Failure'!$D$457:$G$490,4,FALSE),E506+F505)</f>
        <v>26.935934119456778</v>
      </c>
      <c r="G506" s="825"/>
      <c r="H506" s="1323" t="s">
        <v>263</v>
      </c>
      <c r="I506" s="1721"/>
      <c r="J506" s="1324"/>
      <c r="K506" s="1324"/>
      <c r="L506" s="828" t="str">
        <f>IFERROR(INDEX('Lower Hot Cell Logistics'!$I$13:$O$19,MATCH($J506,'Lower Hot Cell Logistics'!$H$13:$H$19,0),MATCH($K506,'Lower Hot Cell Logistics'!$H$13:$H$19,0)),"N/A")</f>
        <v>N/A</v>
      </c>
      <c r="M506" s="827" t="str">
        <f>IFERROR(VLOOKUP($I506,'Lower Hot Cell Logistics'!$H$4:$I$8,2,FALSE),"N/A")</f>
        <v>N/A</v>
      </c>
      <c r="N506" s="2200" t="str">
        <f t="shared" ref="N506:N513" si="41">IF(D506="Movement",IFERROR((L506/M506)/(60*60),"Error"),"N/A")</f>
        <v>N/A</v>
      </c>
      <c r="O506" s="1327"/>
      <c r="P506" s="824" t="str">
        <f>IF($D506="Logistics",VLOOKUP($O506,'Lower Hot Cell Logistics'!$C$4:$D$69,2,FALSE),"N/A")</f>
        <v>N/A</v>
      </c>
      <c r="R506"/>
      <c r="S506"/>
    </row>
    <row r="507" spans="1:19" s="89" customFormat="1" ht="15" hidden="1" customHeight="1" outlineLevel="1" x14ac:dyDescent="0.4">
      <c r="A507" s="2173"/>
      <c r="B507" s="3815"/>
      <c r="C507" s="2349" t="s">
        <v>2141</v>
      </c>
      <c r="D507" s="1294" t="s">
        <v>778</v>
      </c>
      <c r="E507" s="1330">
        <f t="shared" si="40"/>
        <v>0.23148148148148148</v>
      </c>
      <c r="F507" s="1330">
        <f>IF($D507="Trigger",VLOOKUP($C507,'Lower Hot Cell Weld Failure'!$D$457:$G$490,4,FALSE),E507+F506)</f>
        <v>27.167415600938259</v>
      </c>
      <c r="G507" s="1722"/>
      <c r="H507" s="2219" t="s">
        <v>263</v>
      </c>
      <c r="I507" s="1724" t="s">
        <v>2142</v>
      </c>
      <c r="J507" s="1294" t="s">
        <v>451</v>
      </c>
      <c r="K507" s="1294" t="s">
        <v>2164</v>
      </c>
      <c r="L507" s="2042">
        <f>IFERROR(INDEX('Lower Hot Cell Logistics'!$I$13:$O$19,MATCH($J507,'Lower Hot Cell Logistics'!$H$13:$H$19,0),MATCH($K507,'Lower Hot Cell Logistics'!$H$13:$H$19,0)),"N/A")</f>
        <v>50</v>
      </c>
      <c r="M507" s="2220">
        <f>IFERROR(VLOOKUP($I507,'Lower Hot Cell Logistics'!$H$4:$I$8,2,FALSE),"N/A")</f>
        <v>0.06</v>
      </c>
      <c r="N507" s="1332">
        <f t="shared" si="41"/>
        <v>0.23148148148148148</v>
      </c>
      <c r="O507" s="1352"/>
      <c r="P507" s="1353" t="str">
        <f>IF($D507="Logistics",VLOOKUP($O507,'Lower Hot Cell Logistics'!$C$4:$D$69,2,FALSE),"N/A")</f>
        <v>N/A</v>
      </c>
      <c r="R507"/>
      <c r="S507"/>
    </row>
    <row r="508" spans="1:19" s="89" customFormat="1" ht="15" hidden="1" customHeight="1" outlineLevel="1" x14ac:dyDescent="0.4">
      <c r="A508" s="2173"/>
      <c r="B508" s="3815"/>
      <c r="C508" s="1362" t="s">
        <v>1757</v>
      </c>
      <c r="D508" s="1294" t="s">
        <v>3</v>
      </c>
      <c r="E508" s="1330">
        <f t="shared" si="40"/>
        <v>0.88000000000000012</v>
      </c>
      <c r="F508" s="1330">
        <f>IF($D508="Trigger",VLOOKUP($C508,'Lower Hot Cell Weld Failure'!$D$457:$G$490,4,FALSE),E508+F507)</f>
        <v>28.047415600938258</v>
      </c>
      <c r="G508" s="1722"/>
      <c r="H508" s="2219" t="s">
        <v>263</v>
      </c>
      <c r="I508" s="1724"/>
      <c r="J508" s="1294"/>
      <c r="K508" s="1294"/>
      <c r="L508" s="2042" t="str">
        <f>IFERROR(INDEX('Lower Hot Cell Logistics'!$I$13:$O$19,MATCH($J508,'Lower Hot Cell Logistics'!$H$13:$H$19,0),MATCH($K508,'Lower Hot Cell Logistics'!$H$13:$H$19,0)),"N/A")</f>
        <v>N/A</v>
      </c>
      <c r="M508" s="2220" t="str">
        <f>IFERROR(VLOOKUP($I508,'Lower Hot Cell Logistics'!$H$4:$I$8,2,FALSE),"N/A")</f>
        <v>N/A</v>
      </c>
      <c r="N508" s="1332" t="str">
        <f t="shared" si="41"/>
        <v>N/A</v>
      </c>
      <c r="O508" s="1352" t="s">
        <v>2144</v>
      </c>
      <c r="P508" s="1353">
        <f>IF($D508="Logistics",VLOOKUP($O508,'Lower Hot Cell Logistics'!$C$4:$D$69,2,FALSE),"N/A")</f>
        <v>0.88000000000000012</v>
      </c>
      <c r="R508"/>
      <c r="S508"/>
    </row>
    <row r="509" spans="1:19" s="89" customFormat="1" ht="15" hidden="1" customHeight="1" outlineLevel="1" x14ac:dyDescent="0.4">
      <c r="A509" s="2173"/>
      <c r="B509" s="3815"/>
      <c r="C509" s="1362" t="s">
        <v>2165</v>
      </c>
      <c r="D509" s="1294" t="s">
        <v>778</v>
      </c>
      <c r="E509" s="1330">
        <f t="shared" si="40"/>
        <v>2.7777777777777776E-2</v>
      </c>
      <c r="F509" s="1330">
        <f>IF($D509="Trigger",VLOOKUP($C509,'Lower Hot Cell Weld Failure'!$D$457:$G$490,4,FALSE),E509+F508)</f>
        <v>28.075193378716037</v>
      </c>
      <c r="G509" s="1722"/>
      <c r="H509" s="2219" t="s">
        <v>263</v>
      </c>
      <c r="I509" s="1724" t="s">
        <v>2166</v>
      </c>
      <c r="J509" s="1294" t="s">
        <v>2164</v>
      </c>
      <c r="K509" s="1294" t="s">
        <v>914</v>
      </c>
      <c r="L509" s="2042">
        <f>IFERROR(INDEX('Lower Hot Cell Logistics'!$I$13:$O$19,MATCH($J509,'Lower Hot Cell Logistics'!$H$13:$H$19,0),MATCH($K509,'Lower Hot Cell Logistics'!$H$13:$H$19,0)),"N/A")</f>
        <v>20</v>
      </c>
      <c r="M509" s="2220">
        <f>IFERROR(VLOOKUP($I509,'Lower Hot Cell Logistics'!$H$4:$I$8,2,FALSE),"N/A")</f>
        <v>0.2</v>
      </c>
      <c r="N509" s="1332">
        <f t="shared" si="41"/>
        <v>2.7777777777777776E-2</v>
      </c>
      <c r="O509" s="1352"/>
      <c r="P509" s="1353" t="str">
        <f>IF($D509="Logistics",VLOOKUP($O509,'Lower Hot Cell Logistics'!$C$4:$D$69,2,FALSE),"N/A")</f>
        <v>N/A</v>
      </c>
      <c r="R509"/>
      <c r="S509"/>
    </row>
    <row r="510" spans="1:19" s="89" customFormat="1" ht="15" hidden="1" customHeight="1" outlineLevel="1" x14ac:dyDescent="0.4">
      <c r="A510" s="2173"/>
      <c r="B510" s="3815"/>
      <c r="C510" s="1362" t="s">
        <v>2167</v>
      </c>
      <c r="D510" s="1294" t="s">
        <v>3</v>
      </c>
      <c r="E510" s="1330">
        <f t="shared" si="40"/>
        <v>0.88000000000000012</v>
      </c>
      <c r="F510" s="1330">
        <f>IF($D510="Trigger",VLOOKUP($C510,'Lower Hot Cell Weld Failure'!$D$457:$G$490,4,FALSE),E510+F509)</f>
        <v>28.955193378716036</v>
      </c>
      <c r="G510" s="1722"/>
      <c r="H510" s="2219" t="s">
        <v>263</v>
      </c>
      <c r="I510" s="1724"/>
      <c r="J510" s="1294"/>
      <c r="K510" s="1294"/>
      <c r="L510" s="2042" t="str">
        <f>IFERROR(INDEX('Lower Hot Cell Logistics'!$I$13:$O$19,MATCH($J510,'Lower Hot Cell Logistics'!$H$13:$H$19,0),MATCH($K510,'Lower Hot Cell Logistics'!$H$13:$H$19,0)),"N/A")</f>
        <v>N/A</v>
      </c>
      <c r="M510" s="2220" t="str">
        <f>IFERROR(VLOOKUP($I510,'Lower Hot Cell Logistics'!$H$4:$I$8,2,FALSE),"N/A")</f>
        <v>N/A</v>
      </c>
      <c r="N510" s="1332" t="str">
        <f t="shared" si="41"/>
        <v>N/A</v>
      </c>
      <c r="O510" s="1352" t="s">
        <v>2168</v>
      </c>
      <c r="P510" s="1353">
        <f>IF($D510="Logistics",VLOOKUP($O510,'Lower Hot Cell Logistics'!$C$4:$D$69,2,FALSE),"N/A")</f>
        <v>0.88000000000000012</v>
      </c>
      <c r="R510"/>
      <c r="S510"/>
    </row>
    <row r="511" spans="1:19" s="89" customFormat="1" ht="15" hidden="1" customHeight="1" outlineLevel="1" x14ac:dyDescent="0.4">
      <c r="A511" s="2173"/>
      <c r="B511" s="3815"/>
      <c r="C511" s="1362" t="s">
        <v>2145</v>
      </c>
      <c r="D511" s="1294" t="s">
        <v>778</v>
      </c>
      <c r="E511" s="1330">
        <f t="shared" si="40"/>
        <v>2.7777777777777776E-2</v>
      </c>
      <c r="F511" s="1330">
        <f>IF($D511="Trigger",VLOOKUP($C511,'Lower Hot Cell Weld Failure'!$D$457:$G$490,4,FALSE),E511+F510)</f>
        <v>28.982971156493814</v>
      </c>
      <c r="G511" s="1722"/>
      <c r="H511" s="2219" t="s">
        <v>263</v>
      </c>
      <c r="I511" s="1724" t="s">
        <v>2146</v>
      </c>
      <c r="J511" s="1294" t="s">
        <v>914</v>
      </c>
      <c r="K511" s="1294" t="s">
        <v>799</v>
      </c>
      <c r="L511" s="2042">
        <f>IFERROR(INDEX('Lower Hot Cell Logistics'!$I$13:$O$19,MATCH($J511,'Lower Hot Cell Logistics'!$H$13:$H$19,0),MATCH($K511,'Lower Hot Cell Logistics'!$H$13:$H$19,0)),"N/A")</f>
        <v>20</v>
      </c>
      <c r="M511" s="2220">
        <f>IFERROR(VLOOKUP($I511,'Lower Hot Cell Logistics'!$H$4:$I$8,2,FALSE),"N/A")</f>
        <v>0.2</v>
      </c>
      <c r="N511" s="1332">
        <f t="shared" si="41"/>
        <v>2.7777777777777776E-2</v>
      </c>
      <c r="O511" s="1352"/>
      <c r="P511" s="1353" t="str">
        <f>IF($D511="Logistics",VLOOKUP($O511,'Lower Hot Cell Logistics'!$C$4:$D$69,2,FALSE),"N/A")</f>
        <v>N/A</v>
      </c>
      <c r="R511"/>
      <c r="S511"/>
    </row>
    <row r="512" spans="1:19" s="89" customFormat="1" ht="14.6" hidden="1" outlineLevel="1" x14ac:dyDescent="0.4">
      <c r="A512" s="2173"/>
      <c r="B512" s="3815"/>
      <c r="C512" s="1294" t="s">
        <v>2169</v>
      </c>
      <c r="D512" s="1294" t="s">
        <v>3</v>
      </c>
      <c r="E512" s="1292">
        <f t="shared" si="40"/>
        <v>0.68</v>
      </c>
      <c r="F512" s="1292">
        <f>IF($D512="Trigger",VLOOKUP($C512,'Lower Hot Cell Weld Failure'!$D$457:$G$490,4,FALSE),E512+F511)</f>
        <v>29.662971156493814</v>
      </c>
      <c r="G512" s="862"/>
      <c r="H512" s="1328" t="s">
        <v>263</v>
      </c>
      <c r="I512" s="1724"/>
      <c r="J512" s="1294"/>
      <c r="K512" s="1294"/>
      <c r="L512" s="865" t="str">
        <f>IFERROR(INDEX('Lower Hot Cell Logistics'!$I$13:$O$19,MATCH($J512,'Lower Hot Cell Logistics'!$H$13:$H$19,0),MATCH($K512,'Lower Hot Cell Logistics'!$H$13:$H$19,0)),"N/A")</f>
        <v>N/A</v>
      </c>
      <c r="M512" s="864" t="str">
        <f>IFERROR(VLOOKUP($I512,'Lower Hot Cell Logistics'!$H$4:$I$8,2,FALSE),"N/A")</f>
        <v>N/A</v>
      </c>
      <c r="N512" s="2197" t="str">
        <f t="shared" si="41"/>
        <v>N/A</v>
      </c>
      <c r="O512" s="1331" t="s">
        <v>2148</v>
      </c>
      <c r="P512" s="1332">
        <f>IF($D512="Logistics",VLOOKUP($O512,'Lower Hot Cell Logistics'!$C$4:$D$69,2,FALSE),"N/A")</f>
        <v>0.68</v>
      </c>
      <c r="R512"/>
      <c r="S512"/>
    </row>
    <row r="513" spans="1:19" s="89" customFormat="1" ht="14.6" hidden="1" outlineLevel="1" x14ac:dyDescent="0.4">
      <c r="A513" s="2173"/>
      <c r="B513" s="3815"/>
      <c r="C513" s="1294" t="s">
        <v>2162</v>
      </c>
      <c r="D513" s="1294" t="s">
        <v>778</v>
      </c>
      <c r="E513" s="1292">
        <f t="shared" si="40"/>
        <v>0.69444444444444442</v>
      </c>
      <c r="F513" s="1292">
        <f>IF($D513="Trigger",VLOOKUP($C513,'Lower Hot Cell Weld Failure'!$D$457:$G$490,4,FALSE),E513+F512)</f>
        <v>30.357415600938257</v>
      </c>
      <c r="G513" s="862"/>
      <c r="H513" s="1328" t="s">
        <v>263</v>
      </c>
      <c r="I513" s="1724" t="s">
        <v>1826</v>
      </c>
      <c r="J513" s="1294" t="s">
        <v>799</v>
      </c>
      <c r="K513" s="1294" t="s">
        <v>451</v>
      </c>
      <c r="L513" s="865">
        <f>IFERROR(INDEX('Lower Hot Cell Logistics'!$I$13:$O$19,MATCH($J513,'Lower Hot Cell Logistics'!$H$13:$H$19,0),MATCH($K513,'Lower Hot Cell Logistics'!$H$13:$H$19,0)),"N/A")</f>
        <v>50</v>
      </c>
      <c r="M513" s="865">
        <f>IFERROR(VLOOKUP($I513,'Lower Hot Cell Logistics'!$H$4:$I$8,2,FALSE),"N/A")</f>
        <v>0.02</v>
      </c>
      <c r="N513" s="2197">
        <f t="shared" si="41"/>
        <v>0.69444444444444442</v>
      </c>
      <c r="O513" s="1331"/>
      <c r="P513" s="1332" t="str">
        <f>IF($D513="Logistics",VLOOKUP($O513,'Lower Hot Cell Logistics'!$C$4:$D$69,2,FALSE),"N/A")</f>
        <v>N/A</v>
      </c>
      <c r="R513"/>
      <c r="S513"/>
    </row>
    <row r="514" spans="1:19" s="89" customFormat="1" ht="39.450000000000003" hidden="1" outlineLevel="1" thickBot="1" x14ac:dyDescent="0.45">
      <c r="A514" s="2173"/>
      <c r="B514" s="3816"/>
      <c r="C514" s="1340" t="str">
        <f>B506</f>
        <v>Right Divertor Pipework Module Stored; pipe module handling system stored; Divertor cassette transporter collected and moved to Lower Port</v>
      </c>
      <c r="D514" s="1340" t="s">
        <v>11</v>
      </c>
      <c r="E514" s="1295">
        <f t="shared" si="40"/>
        <v>0</v>
      </c>
      <c r="F514" s="1295">
        <f>IF($D514="Trigger",VLOOKUP($C514,'Lower Hot Cell Weld Failure'!$D$457:$G$490,4,FALSE),E514+F513)</f>
        <v>30.357415600938257</v>
      </c>
      <c r="G514" s="839"/>
      <c r="H514" s="1341" t="s">
        <v>263</v>
      </c>
      <c r="I514" s="1727"/>
      <c r="J514" s="1340"/>
      <c r="K514" s="1340"/>
      <c r="L514" s="842" t="str">
        <f>IFERROR(INDEX('Lower Hot Cell Logistics'!$I$13:$O$19,MATCH($J514,'Lower Hot Cell Logistics'!$H$13:$H$19,0),MATCH($K514,'Lower Hot Cell Logistics'!$H$13:$H$19,0)),"N/A")</f>
        <v>N/A</v>
      </c>
      <c r="M514" s="842" t="str">
        <f>IFERROR(VLOOKUP($I514,'Lower Hot Cell Logistics'!$H$4:$I$8,2,FALSE),"N/A")</f>
        <v>N/A</v>
      </c>
      <c r="N514" s="2199" t="str">
        <f>IF(D514="Movement",IFERROR((L514/M514)/(60*60),"Error"),"N/A")</f>
        <v>N/A</v>
      </c>
      <c r="O514" s="1344"/>
      <c r="P514" s="1345" t="str">
        <f>IF($D514="Logistics",VLOOKUP($O514,'Lower Hot Cell Logistics'!$C$4:$D$69,2,FALSE),"N/A")</f>
        <v>N/A</v>
      </c>
      <c r="R514"/>
      <c r="S514"/>
    </row>
    <row r="515" spans="1:19" s="89" customFormat="1" ht="15" hidden="1" customHeight="1" outlineLevel="1" x14ac:dyDescent="0.4">
      <c r="A515" s="2173"/>
      <c r="B515" s="3787" t="s">
        <v>2329</v>
      </c>
      <c r="C515" s="617" t="s">
        <v>2360</v>
      </c>
      <c r="D515" s="617" t="s">
        <v>907</v>
      </c>
      <c r="E515" s="567">
        <f t="shared" si="40"/>
        <v>0</v>
      </c>
      <c r="F515" s="567">
        <f>IF($D515="Trigger",VLOOKUP($C515,'Lower Hot Cell Weld Failure'!$D$457:$G$490,4,FALSE),E515+F514)</f>
        <v>38.435934119456775</v>
      </c>
      <c r="G515" s="568"/>
      <c r="H515" s="569" t="s">
        <v>263</v>
      </c>
      <c r="I515" s="1270"/>
      <c r="J515" s="617"/>
      <c r="K515" s="617"/>
      <c r="L515" s="570" t="str">
        <f>IFERROR(INDEX('Lower Hot Cell Logistics'!$I$13:$O$19,MATCH($J515,'Lower Hot Cell Logistics'!$H$13:$H$19,0),MATCH($K515,'Lower Hot Cell Logistics'!$H$13:$H$19,0)),"N/A")</f>
        <v>N/A</v>
      </c>
      <c r="M515" s="802" t="str">
        <f>IFERROR(VLOOKUP($I515,'Lower Hot Cell Logistics'!$H$4:$I$8,2,FALSE),"N/A")</f>
        <v>N/A</v>
      </c>
      <c r="N515" s="1182" t="str">
        <f t="shared" ref="N515:N546" si="42">IF(D515="Movement",IFERROR((L515/M515)/(60*60),"Error"),"N/A")</f>
        <v>N/A</v>
      </c>
      <c r="O515" s="620"/>
      <c r="P515" s="621" t="str">
        <f>IF($D515="Logistics",VLOOKUP($O515,'Lower Hot Cell Logistics'!$C$4:$D$69,2,FALSE),"N/A")</f>
        <v>N/A</v>
      </c>
      <c r="R515"/>
      <c r="S515"/>
    </row>
    <row r="516" spans="1:19" s="89" customFormat="1" ht="15" hidden="1" customHeight="1" outlineLevel="1" x14ac:dyDescent="0.4">
      <c r="A516" s="2173"/>
      <c r="B516" s="3786"/>
      <c r="C516" s="1275" t="s">
        <v>2141</v>
      </c>
      <c r="D516" s="572" t="s">
        <v>778</v>
      </c>
      <c r="E516" s="578">
        <f t="shared" si="40"/>
        <v>0.69444444444444442</v>
      </c>
      <c r="F516" s="578">
        <f>IF($D516="Trigger",VLOOKUP($C516,'Lower Hot Cell Weld Failure'!$D$457:$G$490,4,FALSE),E516+F515)</f>
        <v>39.130378563901218</v>
      </c>
      <c r="G516" s="872"/>
      <c r="H516" s="2221" t="s">
        <v>263</v>
      </c>
      <c r="I516" s="1281" t="s">
        <v>2171</v>
      </c>
      <c r="J516" s="572" t="s">
        <v>451</v>
      </c>
      <c r="K516" s="572" t="s">
        <v>831</v>
      </c>
      <c r="L516" s="1176">
        <f>IFERROR(INDEX('Lower Hot Cell Logistics'!$I$13:$O$19,MATCH($J516,'Lower Hot Cell Logistics'!$H$13:$H$19,0),MATCH($K516,'Lower Hot Cell Logistics'!$H$13:$H$19,0)),"N/A")</f>
        <v>50</v>
      </c>
      <c r="M516" s="2222">
        <f>IFERROR(VLOOKUP($I516,'Lower Hot Cell Logistics'!$H$4:$I$8,2,FALSE),"N/A")</f>
        <v>0.02</v>
      </c>
      <c r="N516" s="580">
        <f t="shared" si="42"/>
        <v>0.69444444444444442</v>
      </c>
      <c r="O516" s="631"/>
      <c r="P516" s="632" t="str">
        <f>IF($D516="Logistics",VLOOKUP($O516,'Lower Hot Cell Logistics'!$C$4:$D$69,2,FALSE),"N/A")</f>
        <v>N/A</v>
      </c>
      <c r="R516"/>
      <c r="S516"/>
    </row>
    <row r="517" spans="1:19" s="89" customFormat="1" ht="15" hidden="1" customHeight="1" outlineLevel="1" x14ac:dyDescent="0.4">
      <c r="A517" s="2173"/>
      <c r="B517" s="3786"/>
      <c r="C517" s="1275" t="s">
        <v>1988</v>
      </c>
      <c r="D517" s="572" t="s">
        <v>3</v>
      </c>
      <c r="E517" s="578">
        <f t="shared" si="40"/>
        <v>0.88000000000000012</v>
      </c>
      <c r="F517" s="578">
        <f>IF($D517="Trigger",VLOOKUP($C517,'Lower Hot Cell Weld Failure'!$D$457:$G$490,4,FALSE),E517+F516)</f>
        <v>40.01037856390122</v>
      </c>
      <c r="G517" s="872"/>
      <c r="H517" s="2221" t="s">
        <v>263</v>
      </c>
      <c r="I517" s="1281"/>
      <c r="J517" s="572"/>
      <c r="K517" s="572"/>
      <c r="L517" s="1176" t="str">
        <f>IFERROR(INDEX('Lower Hot Cell Logistics'!$I$13:$O$19,MATCH($J517,'Lower Hot Cell Logistics'!$H$13:$H$19,0),MATCH($K517,'Lower Hot Cell Logistics'!$H$13:$H$19,0)),"N/A")</f>
        <v>N/A</v>
      </c>
      <c r="M517" s="2222" t="str">
        <f>IFERROR(VLOOKUP($I517,'Lower Hot Cell Logistics'!$H$4:$I$8,2,FALSE),"N/A")</f>
        <v>N/A</v>
      </c>
      <c r="N517" s="580" t="str">
        <f t="shared" si="42"/>
        <v>N/A</v>
      </c>
      <c r="O517" s="631" t="s">
        <v>2144</v>
      </c>
      <c r="P517" s="632">
        <f>IF($D517="Logistics",VLOOKUP($O517,'Lower Hot Cell Logistics'!$C$4:$D$69,2,FALSE),"N/A")</f>
        <v>0.88000000000000012</v>
      </c>
      <c r="R517"/>
      <c r="S517"/>
    </row>
    <row r="518" spans="1:19" s="89" customFormat="1" ht="14.6" hidden="1" outlineLevel="1" x14ac:dyDescent="0.4">
      <c r="A518" s="2173"/>
      <c r="B518" s="3786"/>
      <c r="C518" s="572" t="s">
        <v>2162</v>
      </c>
      <c r="D518" s="572" t="s">
        <v>778</v>
      </c>
      <c r="E518" s="574">
        <f t="shared" si="40"/>
        <v>0.69444444444444442</v>
      </c>
      <c r="F518" s="578">
        <f>IF($D518="Trigger",VLOOKUP($C518,'Lower Hot Cell Weld Failure'!$D$457:$G$490,4,FALSE),E518+F517)</f>
        <v>40.704823008345663</v>
      </c>
      <c r="G518" s="575"/>
      <c r="H518" s="576" t="s">
        <v>263</v>
      </c>
      <c r="I518" s="1281" t="s">
        <v>1826</v>
      </c>
      <c r="J518" s="572" t="s">
        <v>799</v>
      </c>
      <c r="K518" s="572" t="s">
        <v>451</v>
      </c>
      <c r="L518" s="853">
        <f>IFERROR(INDEX('Lower Hot Cell Logistics'!$I$13:$O$19,MATCH($J518,'Lower Hot Cell Logistics'!$H$13:$H$19,0),MATCH($K518,'Lower Hot Cell Logistics'!$H$13:$H$19,0)),"N/A")</f>
        <v>50</v>
      </c>
      <c r="M518" s="853">
        <f>IFERROR(VLOOKUP($I518,'Lower Hot Cell Logistics'!$H$4:$I$8,2,FALSE),"N/A")</f>
        <v>0.02</v>
      </c>
      <c r="N518" s="1180">
        <f t="shared" si="42"/>
        <v>0.69444444444444442</v>
      </c>
      <c r="O518" s="579"/>
      <c r="P518" s="580" t="str">
        <f>IF($D518="Logistics",VLOOKUP($O518,'Lower Hot Cell Logistics'!$C$4:$D$69,2,FALSE),"N/A")</f>
        <v>N/A</v>
      </c>
      <c r="R518"/>
      <c r="S518"/>
    </row>
    <row r="519" spans="1:19" s="89" customFormat="1" ht="26.6" hidden="1" outlineLevel="1" thickBot="1" x14ac:dyDescent="0.45">
      <c r="A519" s="2173"/>
      <c r="B519" s="3788"/>
      <c r="C519" s="583" t="str">
        <f>B515</f>
        <v>Central Divertor cassette stored and transporter moved to divertor Port</v>
      </c>
      <c r="D519" s="583" t="s">
        <v>11</v>
      </c>
      <c r="E519" s="585">
        <f t="shared" si="40"/>
        <v>0</v>
      </c>
      <c r="F519" s="585">
        <f>IF($D519="Trigger",VLOOKUP($C519,'Lower Hot Cell Weld Failure'!$D$457:$G$490,4,FALSE),E519+F518)</f>
        <v>40.704823008345663</v>
      </c>
      <c r="G519" s="586"/>
      <c r="H519" s="587" t="s">
        <v>263</v>
      </c>
      <c r="I519" s="1720"/>
      <c r="J519" s="583"/>
      <c r="K519" s="583"/>
      <c r="L519" s="814" t="str">
        <f>IFERROR(INDEX('Lower Hot Cell Logistics'!$I$13:$O$19,MATCH($J519,'Lower Hot Cell Logistics'!$H$13:$H$19,0),MATCH($K519,'Lower Hot Cell Logistics'!$H$13:$H$19,0)),"N/A")</f>
        <v>N/A</v>
      </c>
      <c r="M519" s="814" t="str">
        <f>IFERROR(VLOOKUP($I519,'Lower Hot Cell Logistics'!$H$4:$I$8,2,FALSE),"N/A")</f>
        <v>N/A</v>
      </c>
      <c r="N519" s="1181" t="str">
        <f t="shared" si="42"/>
        <v>N/A</v>
      </c>
      <c r="O519" s="590"/>
      <c r="P519" s="591" t="str">
        <f>IF($D519="Logistics",VLOOKUP($O519,'Lower Hot Cell Logistics'!$C$4:$D$69,2,FALSE),"N/A")</f>
        <v>N/A</v>
      </c>
      <c r="R519"/>
      <c r="S519"/>
    </row>
    <row r="520" spans="1:19" s="89" customFormat="1" ht="15" hidden="1" customHeight="1" outlineLevel="1" x14ac:dyDescent="0.4">
      <c r="A520" s="2173"/>
      <c r="B520" s="3814" t="s">
        <v>2330</v>
      </c>
      <c r="C520" s="1324" t="s">
        <v>2361</v>
      </c>
      <c r="D520" s="1324" t="s">
        <v>907</v>
      </c>
      <c r="E520" s="1291">
        <f t="shared" si="40"/>
        <v>0</v>
      </c>
      <c r="F520" s="1291">
        <f>IF($D520="Trigger",VLOOKUP($C520,'Lower Hot Cell Weld Failure'!$D$457:$G$490,4,FALSE),E520+F519)</f>
        <v>41.215934119456776</v>
      </c>
      <c r="G520" s="825"/>
      <c r="H520" s="1323" t="s">
        <v>263</v>
      </c>
      <c r="I520" s="1721"/>
      <c r="J520" s="1324"/>
      <c r="K520" s="1324"/>
      <c r="L520" s="828" t="str">
        <f>IFERROR(INDEX('Lower Hot Cell Logistics'!$I$13:$O$19,MATCH($J520,'Lower Hot Cell Logistics'!$H$13:$H$19,0),MATCH($K520,'Lower Hot Cell Logistics'!$H$13:$H$19,0)),"N/A")</f>
        <v>N/A</v>
      </c>
      <c r="M520" s="827" t="str">
        <f>IFERROR(VLOOKUP($I520,'Lower Hot Cell Logistics'!$H$4:$I$8,2,FALSE),"N/A")</f>
        <v>N/A</v>
      </c>
      <c r="N520" s="2200" t="str">
        <f t="shared" si="42"/>
        <v>N/A</v>
      </c>
      <c r="O520" s="1327"/>
      <c r="P520" s="824" t="str">
        <f>IF($D520="Logistics",VLOOKUP($O520,'Lower Hot Cell Logistics'!$C$4:$D$69,2,FALSE),"N/A")</f>
        <v>N/A</v>
      </c>
      <c r="R520"/>
      <c r="S520"/>
    </row>
    <row r="521" spans="1:19" s="89" customFormat="1" ht="15" hidden="1" customHeight="1" outlineLevel="1" x14ac:dyDescent="0.4">
      <c r="A521" s="2173"/>
      <c r="B521" s="3815"/>
      <c r="C521" s="1362" t="s">
        <v>2141</v>
      </c>
      <c r="D521" s="1294" t="s">
        <v>778</v>
      </c>
      <c r="E521" s="1330">
        <f t="shared" si="40"/>
        <v>0.69444444444444442</v>
      </c>
      <c r="F521" s="1330">
        <f>IF($D521="Trigger",VLOOKUP($C521,'Lower Hot Cell Weld Failure'!$D$457:$G$490,4,FALSE),E521+F520)</f>
        <v>41.910378563901219</v>
      </c>
      <c r="G521" s="1722"/>
      <c r="H521" s="2219" t="s">
        <v>263</v>
      </c>
      <c r="I521" s="1724" t="s">
        <v>2171</v>
      </c>
      <c r="J521" s="1294" t="s">
        <v>451</v>
      </c>
      <c r="K521" s="1294" t="s">
        <v>831</v>
      </c>
      <c r="L521" s="2042">
        <f>IFERROR(INDEX('Lower Hot Cell Logistics'!$I$13:$O$19,MATCH($J521,'Lower Hot Cell Logistics'!$H$13:$H$19,0),MATCH($K521,'Lower Hot Cell Logistics'!$H$13:$H$19,0)),"N/A")</f>
        <v>50</v>
      </c>
      <c r="M521" s="2220">
        <f>IFERROR(VLOOKUP($I521,'Lower Hot Cell Logistics'!$H$4:$I$8,2,FALSE),"N/A")</f>
        <v>0.02</v>
      </c>
      <c r="N521" s="1332">
        <f t="shared" si="42"/>
        <v>0.69444444444444442</v>
      </c>
      <c r="O521" s="1352"/>
      <c r="P521" s="1353" t="str">
        <f>IF($D521="Logistics",VLOOKUP($O521,'Lower Hot Cell Logistics'!$C$4:$D$69,2,FALSE),"N/A")</f>
        <v>N/A</v>
      </c>
      <c r="R521"/>
      <c r="S521"/>
    </row>
    <row r="522" spans="1:19" s="89" customFormat="1" ht="15" hidden="1" customHeight="1" outlineLevel="1" x14ac:dyDescent="0.4">
      <c r="A522" s="2173"/>
      <c r="B522" s="3815"/>
      <c r="C522" s="1362" t="s">
        <v>1988</v>
      </c>
      <c r="D522" s="1294" t="s">
        <v>3</v>
      </c>
      <c r="E522" s="1330">
        <f t="shared" si="40"/>
        <v>0.88000000000000012</v>
      </c>
      <c r="F522" s="1330">
        <f>IF($D522="Trigger",VLOOKUP($C522,'Lower Hot Cell Weld Failure'!$D$457:$G$490,4,FALSE),E522+F521)</f>
        <v>42.790378563901221</v>
      </c>
      <c r="G522" s="1722"/>
      <c r="H522" s="2219" t="s">
        <v>263</v>
      </c>
      <c r="I522" s="1724"/>
      <c r="J522" s="1294"/>
      <c r="K522" s="1294"/>
      <c r="L522" s="2042" t="str">
        <f>IFERROR(INDEX('Lower Hot Cell Logistics'!$I$13:$O$19,MATCH($J522,'Lower Hot Cell Logistics'!$H$13:$H$19,0),MATCH($K522,'Lower Hot Cell Logistics'!$H$13:$H$19,0)),"N/A")</f>
        <v>N/A</v>
      </c>
      <c r="M522" s="2220" t="str">
        <f>IFERROR(VLOOKUP($I522,'Lower Hot Cell Logistics'!$H$4:$I$8,2,FALSE),"N/A")</f>
        <v>N/A</v>
      </c>
      <c r="N522" s="1332" t="str">
        <f t="shared" si="42"/>
        <v>N/A</v>
      </c>
      <c r="O522" s="1352" t="s">
        <v>2144</v>
      </c>
      <c r="P522" s="1353">
        <f>IF($D522="Logistics",VLOOKUP($O522,'Lower Hot Cell Logistics'!$C$4:$D$69,2,FALSE),"N/A")</f>
        <v>0.88000000000000012</v>
      </c>
      <c r="R522"/>
      <c r="S522"/>
    </row>
    <row r="523" spans="1:19" s="89" customFormat="1" ht="15" hidden="1" customHeight="1" outlineLevel="1" x14ac:dyDescent="0.4">
      <c r="A523" s="2173"/>
      <c r="B523" s="3815"/>
      <c r="C523" s="1362" t="s">
        <v>2362</v>
      </c>
      <c r="D523" s="1294" t="s">
        <v>778</v>
      </c>
      <c r="E523" s="1330">
        <f t="shared" si="40"/>
        <v>4.6296296296296301E-2</v>
      </c>
      <c r="F523" s="1330">
        <f>IF($D523="Trigger",VLOOKUP($C523,'Lower Hot Cell Weld Failure'!$D$457:$G$490,4,FALSE),E523+F522)</f>
        <v>42.836674860197519</v>
      </c>
      <c r="G523" s="1722"/>
      <c r="H523" s="2219" t="s">
        <v>263</v>
      </c>
      <c r="I523" s="1724" t="s">
        <v>2142</v>
      </c>
      <c r="J523" s="1294" t="s">
        <v>831</v>
      </c>
      <c r="K523" s="1294" t="s">
        <v>858</v>
      </c>
      <c r="L523" s="2042">
        <f>IFERROR(INDEX('Lower Hot Cell Logistics'!$I$13:$O$19,MATCH($J523,'Lower Hot Cell Logistics'!$H$13:$H$19,0),MATCH($K523,'Lower Hot Cell Logistics'!$H$13:$H$19,0)),"N/A")</f>
        <v>10</v>
      </c>
      <c r="M523" s="2220">
        <f>IFERROR(VLOOKUP($I523,'Lower Hot Cell Logistics'!$H$4:$I$8,2,FALSE),"N/A")</f>
        <v>0.06</v>
      </c>
      <c r="N523" s="1332">
        <f t="shared" si="42"/>
        <v>4.6296296296296301E-2</v>
      </c>
      <c r="O523" s="1352"/>
      <c r="P523" s="1353" t="str">
        <f>IF($D523="Logistics",VLOOKUP($O523,'Lower Hot Cell Logistics'!$C$4:$D$69,2,FALSE),"N/A")</f>
        <v>N/A</v>
      </c>
      <c r="R523"/>
      <c r="S523"/>
    </row>
    <row r="524" spans="1:19" s="89" customFormat="1" ht="15" hidden="1" customHeight="1" outlineLevel="1" x14ac:dyDescent="0.4">
      <c r="A524" s="2173"/>
      <c r="B524" s="3815"/>
      <c r="C524" s="1362" t="s">
        <v>2363</v>
      </c>
      <c r="D524" s="1294" t="s">
        <v>3</v>
      </c>
      <c r="E524" s="1330">
        <f t="shared" si="40"/>
        <v>0.68</v>
      </c>
      <c r="F524" s="1330">
        <f>IF($D524="Trigger",VLOOKUP($C524,'Lower Hot Cell Weld Failure'!$D$457:$G$490,4,FALSE),E524+F523)</f>
        <v>43.516674860197519</v>
      </c>
      <c r="G524" s="1722"/>
      <c r="H524" s="2219" t="s">
        <v>263</v>
      </c>
      <c r="I524" s="1724"/>
      <c r="J524" s="1294"/>
      <c r="K524" s="1294"/>
      <c r="L524" s="2042" t="str">
        <f>IFERROR(INDEX('Lower Hot Cell Logistics'!$I$13:$O$19,MATCH($J524,'Lower Hot Cell Logistics'!$H$13:$H$19,0),MATCH($K524,'Lower Hot Cell Logistics'!$H$13:$H$19,0)),"N/A")</f>
        <v>N/A</v>
      </c>
      <c r="M524" s="2220" t="str">
        <f>IFERROR(VLOOKUP($I524,'Lower Hot Cell Logistics'!$H$4:$I$8,2,FALSE),"N/A")</f>
        <v>N/A</v>
      </c>
      <c r="N524" s="1332" t="str">
        <f t="shared" si="42"/>
        <v>N/A</v>
      </c>
      <c r="O524" s="1352" t="s">
        <v>2139</v>
      </c>
      <c r="P524" s="1353">
        <f>IF($D524="Logistics",VLOOKUP($O524,'Lower Hot Cell Logistics'!$C$4:$D$69,2,FALSE),"N/A")</f>
        <v>0.68</v>
      </c>
      <c r="R524"/>
      <c r="S524"/>
    </row>
    <row r="525" spans="1:19" s="89" customFormat="1" ht="14.6" hidden="1" outlineLevel="1" x14ac:dyDescent="0.4">
      <c r="A525" s="2173"/>
      <c r="B525" s="3815"/>
      <c r="C525" s="1294" t="s">
        <v>2162</v>
      </c>
      <c r="D525" s="1294" t="s">
        <v>778</v>
      </c>
      <c r="E525" s="1292">
        <f t="shared" si="40"/>
        <v>0.69444444444444442</v>
      </c>
      <c r="F525" s="1330">
        <f>IF($D525="Trigger",VLOOKUP($C525,'Lower Hot Cell Weld Failure'!$D$457:$G$490,4,FALSE),E525+F524)</f>
        <v>44.211119304641961</v>
      </c>
      <c r="G525" s="862"/>
      <c r="H525" s="1328" t="s">
        <v>263</v>
      </c>
      <c r="I525" s="1724" t="s">
        <v>1826</v>
      </c>
      <c r="J525" s="1294" t="s">
        <v>799</v>
      </c>
      <c r="K525" s="1294" t="s">
        <v>451</v>
      </c>
      <c r="L525" s="865">
        <f>IFERROR(INDEX('Lower Hot Cell Logistics'!$I$13:$O$19,MATCH($J525,'Lower Hot Cell Logistics'!$H$13:$H$19,0),MATCH($K525,'Lower Hot Cell Logistics'!$H$13:$H$19,0)),"N/A")</f>
        <v>50</v>
      </c>
      <c r="M525" s="865">
        <f>IFERROR(VLOOKUP($I525,'Lower Hot Cell Logistics'!$H$4:$I$8,2,FALSE),"N/A")</f>
        <v>0.02</v>
      </c>
      <c r="N525" s="2197">
        <f t="shared" si="42"/>
        <v>0.69444444444444442</v>
      </c>
      <c r="O525" s="1331"/>
      <c r="P525" s="1332" t="str">
        <f>IF($D525="Logistics",VLOOKUP($O525,'Lower Hot Cell Logistics'!$C$4:$D$69,2,FALSE),"N/A")</f>
        <v>N/A</v>
      </c>
      <c r="R525"/>
      <c r="S525"/>
    </row>
    <row r="526" spans="1:19" s="89" customFormat="1" ht="26.6" hidden="1" outlineLevel="1" thickBot="1" x14ac:dyDescent="0.45">
      <c r="A526" s="2173"/>
      <c r="B526" s="3816"/>
      <c r="C526" s="1340" t="str">
        <f>B520</f>
        <v>Left Divertor cassette stored; replacement right divertor cassette collected; transporter moved to divertor Port</v>
      </c>
      <c r="D526" s="1340" t="s">
        <v>11</v>
      </c>
      <c r="E526" s="1295">
        <f t="shared" si="40"/>
        <v>0</v>
      </c>
      <c r="F526" s="1295">
        <f>IF($D526="Trigger",VLOOKUP($C526,'Lower Hot Cell Weld Failure'!$D$457:$G$490,4,FALSE),E526+F525)</f>
        <v>44.211119304641961</v>
      </c>
      <c r="G526" s="839"/>
      <c r="H526" s="1341" t="s">
        <v>263</v>
      </c>
      <c r="I526" s="1727"/>
      <c r="J526" s="1340"/>
      <c r="K526" s="1340"/>
      <c r="L526" s="842" t="str">
        <f>IFERROR(INDEX('Lower Hot Cell Logistics'!$I$13:$O$19,MATCH($J526,'Lower Hot Cell Logistics'!$H$13:$H$19,0),MATCH($K526,'Lower Hot Cell Logistics'!$H$13:$H$19,0)),"N/A")</f>
        <v>N/A</v>
      </c>
      <c r="M526" s="842" t="str">
        <f>IFERROR(VLOOKUP($I526,'Lower Hot Cell Logistics'!$H$4:$I$8,2,FALSE),"N/A")</f>
        <v>N/A</v>
      </c>
      <c r="N526" s="2199" t="str">
        <f t="shared" si="42"/>
        <v>N/A</v>
      </c>
      <c r="O526" s="1344"/>
      <c r="P526" s="1345" t="str">
        <f>IF($D526="Logistics",VLOOKUP($O526,'Lower Hot Cell Logistics'!$C$4:$D$69,2,FALSE),"N/A")</f>
        <v>N/A</v>
      </c>
      <c r="R526"/>
      <c r="S526"/>
    </row>
    <row r="527" spans="1:19" s="89" customFormat="1" ht="15" hidden="1" customHeight="1" outlineLevel="1" x14ac:dyDescent="0.4">
      <c r="A527" s="2173"/>
      <c r="B527" s="3787" t="s">
        <v>2364</v>
      </c>
      <c r="C527" s="617" t="s">
        <v>2036</v>
      </c>
      <c r="D527" s="617" t="s">
        <v>907</v>
      </c>
      <c r="E527" s="567">
        <f t="shared" si="40"/>
        <v>0</v>
      </c>
      <c r="F527" s="567">
        <f>IF($D527="Trigger",VLOOKUP($C527,'Lower Hot Cell Weld Failure'!$D$457:$G$490,4,FALSE),E527+F526)</f>
        <v>43.395934119456776</v>
      </c>
      <c r="G527" s="568"/>
      <c r="H527" s="569" t="s">
        <v>263</v>
      </c>
      <c r="I527" s="1270"/>
      <c r="J527" s="617"/>
      <c r="K527" s="617"/>
      <c r="L527" s="570" t="str">
        <f>IFERROR(INDEX('Lower Hot Cell Logistics'!$I$13:$O$19,MATCH($J527,'Lower Hot Cell Logistics'!$H$13:$H$19,0),MATCH($K527,'Lower Hot Cell Logistics'!$H$13:$H$19,0)),"N/A")</f>
        <v>N/A</v>
      </c>
      <c r="M527" s="802" t="str">
        <f>IFERROR(VLOOKUP($I527,'Lower Hot Cell Logistics'!$H$4:$I$8,2,FALSE),"N/A")</f>
        <v>N/A</v>
      </c>
      <c r="N527" s="1182" t="str">
        <f t="shared" si="42"/>
        <v>N/A</v>
      </c>
      <c r="O527" s="620"/>
      <c r="P527" s="621" t="str">
        <f>IF($D527="Logistics",VLOOKUP($O527,'Lower Hot Cell Logistics'!$C$4:$D$69,2,FALSE),"N/A")</f>
        <v>N/A</v>
      </c>
      <c r="R527"/>
      <c r="S527"/>
    </row>
    <row r="528" spans="1:19" s="89" customFormat="1" ht="15" hidden="1" customHeight="1" outlineLevel="1" x14ac:dyDescent="0.4">
      <c r="A528" s="2173"/>
      <c r="B528" s="3786"/>
      <c r="C528" s="1275" t="s">
        <v>2141</v>
      </c>
      <c r="D528" s="572" t="s">
        <v>778</v>
      </c>
      <c r="E528" s="578">
        <f t="shared" si="40"/>
        <v>0.69444444444444442</v>
      </c>
      <c r="F528" s="578">
        <f>IF($D528="Trigger",VLOOKUP($C528,'Lower Hot Cell Weld Failure'!$D$457:$G$490,4,FALSE),E528+F527)</f>
        <v>44.090378563901218</v>
      </c>
      <c r="G528" s="872"/>
      <c r="H528" s="2221" t="s">
        <v>263</v>
      </c>
      <c r="I528" s="1281" t="s">
        <v>2171</v>
      </c>
      <c r="J528" s="572" t="s">
        <v>451</v>
      </c>
      <c r="K528" s="572" t="s">
        <v>831</v>
      </c>
      <c r="L528" s="1176">
        <f>IFERROR(INDEX('Lower Hot Cell Logistics'!$I$13:$O$19,MATCH($J528,'Lower Hot Cell Logistics'!$H$13:$H$19,0),MATCH($K528,'Lower Hot Cell Logistics'!$H$13:$H$19,0)),"N/A")</f>
        <v>50</v>
      </c>
      <c r="M528" s="2222">
        <f>IFERROR(VLOOKUP($I528,'Lower Hot Cell Logistics'!$H$4:$I$8,2,FALSE),"N/A")</f>
        <v>0.02</v>
      </c>
      <c r="N528" s="580">
        <f t="shared" si="42"/>
        <v>0.69444444444444442</v>
      </c>
      <c r="O528" s="631"/>
      <c r="P528" s="632" t="str">
        <f>IF($D528="Logistics",VLOOKUP($O528,'Lower Hot Cell Logistics'!$C$4:$D$69,2,FALSE),"N/A")</f>
        <v>N/A</v>
      </c>
      <c r="R528"/>
      <c r="S528"/>
    </row>
    <row r="529" spans="1:19" s="89" customFormat="1" ht="15" hidden="1" customHeight="1" outlineLevel="1" x14ac:dyDescent="0.4">
      <c r="A529" s="2173"/>
      <c r="B529" s="3786"/>
      <c r="C529" s="1275" t="s">
        <v>1988</v>
      </c>
      <c r="D529" s="572" t="s">
        <v>3</v>
      </c>
      <c r="E529" s="578">
        <f t="shared" si="40"/>
        <v>0.88000000000000012</v>
      </c>
      <c r="F529" s="578">
        <f>IF($D529="Trigger",VLOOKUP($C529,'Lower Hot Cell Weld Failure'!$D$457:$G$490,4,FALSE),E529+F528)</f>
        <v>44.970378563901221</v>
      </c>
      <c r="G529" s="872"/>
      <c r="H529" s="2221" t="s">
        <v>263</v>
      </c>
      <c r="I529" s="1281"/>
      <c r="J529" s="572"/>
      <c r="K529" s="572"/>
      <c r="L529" s="1176" t="str">
        <f>IFERROR(INDEX('Lower Hot Cell Logistics'!$I$13:$O$19,MATCH($J529,'Lower Hot Cell Logistics'!$H$13:$H$19,0),MATCH($K529,'Lower Hot Cell Logistics'!$H$13:$H$19,0)),"N/A")</f>
        <v>N/A</v>
      </c>
      <c r="M529" s="2222" t="str">
        <f>IFERROR(VLOOKUP($I529,'Lower Hot Cell Logistics'!$H$4:$I$8,2,FALSE),"N/A")</f>
        <v>N/A</v>
      </c>
      <c r="N529" s="580" t="str">
        <f t="shared" si="42"/>
        <v>N/A</v>
      </c>
      <c r="O529" s="631" t="s">
        <v>2144</v>
      </c>
      <c r="P529" s="632">
        <f>IF($D529="Logistics",VLOOKUP($O529,'Lower Hot Cell Logistics'!$C$4:$D$69,2,FALSE),"N/A")</f>
        <v>0.88000000000000012</v>
      </c>
      <c r="R529"/>
      <c r="S529"/>
    </row>
    <row r="530" spans="1:19" s="89" customFormat="1" ht="15" hidden="1" customHeight="1" outlineLevel="1" x14ac:dyDescent="0.4">
      <c r="A530" s="2173"/>
      <c r="B530" s="3786"/>
      <c r="C530" s="1275" t="s">
        <v>2362</v>
      </c>
      <c r="D530" s="572" t="s">
        <v>778</v>
      </c>
      <c r="E530" s="578">
        <f t="shared" si="40"/>
        <v>4.6296296296296301E-2</v>
      </c>
      <c r="F530" s="578">
        <f>IF($D530="Trigger",VLOOKUP($C530,'Lower Hot Cell Weld Failure'!$D$457:$G$490,4,FALSE),E530+F529)</f>
        <v>45.016674860197519</v>
      </c>
      <c r="G530" s="872"/>
      <c r="H530" s="2221" t="s">
        <v>263</v>
      </c>
      <c r="I530" s="1281" t="s">
        <v>2142</v>
      </c>
      <c r="J530" s="572" t="s">
        <v>831</v>
      </c>
      <c r="K530" s="572" t="s">
        <v>858</v>
      </c>
      <c r="L530" s="1176">
        <f>IFERROR(INDEX('Lower Hot Cell Logistics'!$I$13:$O$19,MATCH($J530,'Lower Hot Cell Logistics'!$H$13:$H$19,0),MATCH($K530,'Lower Hot Cell Logistics'!$H$13:$H$19,0)),"N/A")</f>
        <v>10</v>
      </c>
      <c r="M530" s="2222">
        <f>IFERROR(VLOOKUP($I530,'Lower Hot Cell Logistics'!$H$4:$I$8,2,FALSE),"N/A")</f>
        <v>0.06</v>
      </c>
      <c r="N530" s="580">
        <f t="shared" si="42"/>
        <v>4.6296296296296301E-2</v>
      </c>
      <c r="O530" s="631"/>
      <c r="P530" s="632" t="str">
        <f>IF($D530="Logistics",VLOOKUP($O530,'Lower Hot Cell Logistics'!$C$4:$D$69,2,FALSE),"N/A")</f>
        <v>N/A</v>
      </c>
      <c r="R530"/>
      <c r="S530"/>
    </row>
    <row r="531" spans="1:19" s="89" customFormat="1" ht="15" hidden="1" customHeight="1" outlineLevel="1" x14ac:dyDescent="0.4">
      <c r="A531" s="2173"/>
      <c r="B531" s="3786"/>
      <c r="C531" s="1275" t="s">
        <v>2363</v>
      </c>
      <c r="D531" s="572" t="s">
        <v>3</v>
      </c>
      <c r="E531" s="578">
        <f t="shared" si="40"/>
        <v>0.68</v>
      </c>
      <c r="F531" s="578">
        <f>IF($D531="Trigger",VLOOKUP($C531,'Lower Hot Cell Weld Failure'!$D$457:$G$490,4,FALSE),E531+F530)</f>
        <v>45.696674860197518</v>
      </c>
      <c r="G531" s="872"/>
      <c r="H531" s="2221" t="s">
        <v>263</v>
      </c>
      <c r="I531" s="1281"/>
      <c r="J531" s="572"/>
      <c r="K531" s="572"/>
      <c r="L531" s="1176" t="str">
        <f>IFERROR(INDEX('Lower Hot Cell Logistics'!$I$13:$O$19,MATCH($J531,'Lower Hot Cell Logistics'!$H$13:$H$19,0),MATCH($K531,'Lower Hot Cell Logistics'!$H$13:$H$19,0)),"N/A")</f>
        <v>N/A</v>
      </c>
      <c r="M531" s="2222" t="str">
        <f>IFERROR(VLOOKUP($I531,'Lower Hot Cell Logistics'!$H$4:$I$8,2,FALSE),"N/A")</f>
        <v>N/A</v>
      </c>
      <c r="N531" s="580" t="str">
        <f t="shared" si="42"/>
        <v>N/A</v>
      </c>
      <c r="O531" s="631" t="s">
        <v>2139</v>
      </c>
      <c r="P531" s="632">
        <f>IF($D531="Logistics",VLOOKUP($O531,'Lower Hot Cell Logistics'!$C$4:$D$69,2,FALSE),"N/A")</f>
        <v>0.68</v>
      </c>
      <c r="R531"/>
      <c r="S531"/>
    </row>
    <row r="532" spans="1:19" s="89" customFormat="1" ht="14.6" hidden="1" outlineLevel="1" x14ac:dyDescent="0.4">
      <c r="A532" s="2173"/>
      <c r="B532" s="3786"/>
      <c r="C532" s="572" t="s">
        <v>2162</v>
      </c>
      <c r="D532" s="572" t="s">
        <v>778</v>
      </c>
      <c r="E532" s="574">
        <f t="shared" si="40"/>
        <v>0.69444444444444442</v>
      </c>
      <c r="F532" s="578">
        <f>IF($D532="Trigger",VLOOKUP($C532,'Lower Hot Cell Weld Failure'!$D$457:$G$490,4,FALSE),E532+F531)</f>
        <v>46.391119304641961</v>
      </c>
      <c r="G532" s="575"/>
      <c r="H532" s="576" t="s">
        <v>263</v>
      </c>
      <c r="I532" s="1281" t="s">
        <v>1826</v>
      </c>
      <c r="J532" s="572" t="s">
        <v>799</v>
      </c>
      <c r="K532" s="572" t="s">
        <v>451</v>
      </c>
      <c r="L532" s="853">
        <f>IFERROR(INDEX('Lower Hot Cell Logistics'!$I$13:$O$19,MATCH($J532,'Lower Hot Cell Logistics'!$H$13:$H$19,0),MATCH($K532,'Lower Hot Cell Logistics'!$H$13:$H$19,0)),"N/A")</f>
        <v>50</v>
      </c>
      <c r="M532" s="853">
        <f>IFERROR(VLOOKUP($I532,'Lower Hot Cell Logistics'!$H$4:$I$8,2,FALSE),"N/A")</f>
        <v>0.02</v>
      </c>
      <c r="N532" s="1180">
        <f t="shared" si="42"/>
        <v>0.69444444444444442</v>
      </c>
      <c r="O532" s="579"/>
      <c r="P532" s="580" t="str">
        <f>IF($D532="Logistics",VLOOKUP($O532,'Lower Hot Cell Logistics'!$C$4:$D$69,2,FALSE),"N/A")</f>
        <v>N/A</v>
      </c>
      <c r="R532"/>
      <c r="S532"/>
    </row>
    <row r="533" spans="1:19" s="89" customFormat="1" ht="26.6" hidden="1" outlineLevel="1" thickBot="1" x14ac:dyDescent="0.45">
      <c r="A533" s="2173"/>
      <c r="B533" s="3788"/>
      <c r="C533" s="583" t="str">
        <f>B527</f>
        <v>Right Divertor cassette stored; replacement Left divertor cassette collected; transporter moved to divertor Port</v>
      </c>
      <c r="D533" s="583" t="s">
        <v>11</v>
      </c>
      <c r="E533" s="585">
        <f t="shared" si="40"/>
        <v>0</v>
      </c>
      <c r="F533" s="585">
        <f>IF($D533="Trigger",VLOOKUP($C533,'Lower Hot Cell Weld Failure'!$D$457:$G$490,4,FALSE),E533+F532)</f>
        <v>46.391119304641961</v>
      </c>
      <c r="G533" s="586"/>
      <c r="H533" s="587" t="s">
        <v>263</v>
      </c>
      <c r="I533" s="1720"/>
      <c r="J533" s="583"/>
      <c r="K533" s="583"/>
      <c r="L533" s="814" t="str">
        <f>IFERROR(INDEX('Lower Hot Cell Logistics'!$I$13:$O$19,MATCH($J533,'Lower Hot Cell Logistics'!$H$13:$H$19,0),MATCH($K533,'Lower Hot Cell Logistics'!$H$13:$H$19,0)),"N/A")</f>
        <v>N/A</v>
      </c>
      <c r="M533" s="814" t="str">
        <f>IFERROR(VLOOKUP($I533,'Lower Hot Cell Logistics'!$H$4:$I$8,2,FALSE),"N/A")</f>
        <v>N/A</v>
      </c>
      <c r="N533" s="1181" t="str">
        <f t="shared" si="42"/>
        <v>N/A</v>
      </c>
      <c r="O533" s="590"/>
      <c r="P533" s="591" t="str">
        <f>IF($D533="Logistics",VLOOKUP($O533,'Lower Hot Cell Logistics'!$C$4:$D$69,2,FALSE),"N/A")</f>
        <v>N/A</v>
      </c>
      <c r="R533"/>
      <c r="S533"/>
    </row>
    <row r="534" spans="1:19" s="89" customFormat="1" ht="15" hidden="1" customHeight="1" outlineLevel="1" x14ac:dyDescent="0.4">
      <c r="A534" s="2173"/>
      <c r="B534" s="3814" t="s">
        <v>2332</v>
      </c>
      <c r="C534" s="1324" t="s">
        <v>2365</v>
      </c>
      <c r="D534" s="1324" t="s">
        <v>907</v>
      </c>
      <c r="E534" s="1291">
        <f t="shared" si="40"/>
        <v>0</v>
      </c>
      <c r="F534" s="1291">
        <f>IF($D534="Trigger",VLOOKUP($C534,'Lower Hot Cell Weld Failure'!$D$457:$G$490,4,FALSE),E534+F533)</f>
        <v>46.391119304641961</v>
      </c>
      <c r="G534" s="825"/>
      <c r="H534" s="1323" t="s">
        <v>263</v>
      </c>
      <c r="I534" s="1721"/>
      <c r="J534" s="1324"/>
      <c r="K534" s="1324"/>
      <c r="L534" s="828" t="str">
        <f>IFERROR(INDEX('Lower Hot Cell Logistics'!$I$13:$O$19,MATCH($J534,'Lower Hot Cell Logistics'!$H$13:$H$19,0),MATCH($K534,'Lower Hot Cell Logistics'!$H$13:$H$19,0)),"N/A")</f>
        <v>N/A</v>
      </c>
      <c r="M534" s="827" t="str">
        <f>IFERROR(VLOOKUP($I534,'Lower Hot Cell Logistics'!$H$4:$I$8,2,FALSE),"N/A")</f>
        <v>N/A</v>
      </c>
      <c r="N534" s="2200" t="str">
        <f t="shared" si="42"/>
        <v>N/A</v>
      </c>
      <c r="O534" s="1327"/>
      <c r="P534" s="824" t="str">
        <f>IF($D534="Logistics",VLOOKUP($O534,'Lower Hot Cell Logistics'!$C$4:$D$69,2,FALSE),"N/A")</f>
        <v>N/A</v>
      </c>
      <c r="R534"/>
      <c r="S534"/>
    </row>
    <row r="535" spans="1:19" s="89" customFormat="1" ht="15" hidden="1" customHeight="1" outlineLevel="1" x14ac:dyDescent="0.4">
      <c r="A535" s="2173"/>
      <c r="B535" s="3815"/>
      <c r="C535" s="1362" t="s">
        <v>2141</v>
      </c>
      <c r="D535" s="1294" t="s">
        <v>778</v>
      </c>
      <c r="E535" s="1330">
        <f t="shared" si="40"/>
        <v>0.69444444444444442</v>
      </c>
      <c r="F535" s="1330">
        <f>IF($D535="Trigger",VLOOKUP($C535,'Lower Hot Cell Weld Failure'!$D$457:$G$490,4,FALSE),E535+F534)</f>
        <v>47.085563749086404</v>
      </c>
      <c r="G535" s="1722"/>
      <c r="H535" s="2219" t="s">
        <v>263</v>
      </c>
      <c r="I535" s="1724" t="s">
        <v>2171</v>
      </c>
      <c r="J535" s="1294" t="s">
        <v>451</v>
      </c>
      <c r="K535" s="1294" t="s">
        <v>831</v>
      </c>
      <c r="L535" s="2042">
        <f>IFERROR(INDEX('Lower Hot Cell Logistics'!$I$13:$O$19,MATCH($J535,'Lower Hot Cell Logistics'!$H$13:$H$19,0),MATCH($K535,'Lower Hot Cell Logistics'!$H$13:$H$19,0)),"N/A")</f>
        <v>50</v>
      </c>
      <c r="M535" s="2220">
        <f>IFERROR(VLOOKUP($I535,'Lower Hot Cell Logistics'!$H$4:$I$8,2,FALSE),"N/A")</f>
        <v>0.02</v>
      </c>
      <c r="N535" s="1332">
        <f t="shared" si="42"/>
        <v>0.69444444444444442</v>
      </c>
      <c r="O535" s="1352"/>
      <c r="P535" s="1353" t="str">
        <f>IF($D535="Logistics",VLOOKUP($O535,'Lower Hot Cell Logistics'!$C$4:$D$69,2,FALSE),"N/A")</f>
        <v>N/A</v>
      </c>
      <c r="R535"/>
      <c r="S535"/>
    </row>
    <row r="536" spans="1:19" s="89" customFormat="1" ht="15" hidden="1" customHeight="1" outlineLevel="1" x14ac:dyDescent="0.4">
      <c r="A536" s="2173"/>
      <c r="B536" s="3815"/>
      <c r="C536" s="1362" t="s">
        <v>1988</v>
      </c>
      <c r="D536" s="1294" t="s">
        <v>3</v>
      </c>
      <c r="E536" s="1330">
        <f t="shared" si="40"/>
        <v>0.88000000000000012</v>
      </c>
      <c r="F536" s="1330">
        <f>IF($D536="Trigger",VLOOKUP($C536,'Lower Hot Cell Weld Failure'!$D$457:$G$490,4,FALSE),E536+F535)</f>
        <v>47.965563749086407</v>
      </c>
      <c r="G536" s="1722"/>
      <c r="H536" s="2219" t="s">
        <v>263</v>
      </c>
      <c r="I536" s="1724"/>
      <c r="J536" s="1294"/>
      <c r="K536" s="1294"/>
      <c r="L536" s="2042" t="str">
        <f>IFERROR(INDEX('Lower Hot Cell Logistics'!$I$13:$O$19,MATCH($J536,'Lower Hot Cell Logistics'!$H$13:$H$19,0),MATCH($K536,'Lower Hot Cell Logistics'!$H$13:$H$19,0)),"N/A")</f>
        <v>N/A</v>
      </c>
      <c r="M536" s="2220" t="str">
        <f>IFERROR(VLOOKUP($I536,'Lower Hot Cell Logistics'!$H$4:$I$8,2,FALSE),"N/A")</f>
        <v>N/A</v>
      </c>
      <c r="N536" s="1332" t="str">
        <f t="shared" si="42"/>
        <v>N/A</v>
      </c>
      <c r="O536" s="1352" t="s">
        <v>2144</v>
      </c>
      <c r="P536" s="1353">
        <f>IF($D536="Logistics",VLOOKUP($O536,'Lower Hot Cell Logistics'!$C$4:$D$69,2,FALSE),"N/A")</f>
        <v>0.88000000000000012</v>
      </c>
      <c r="R536"/>
      <c r="S536"/>
    </row>
    <row r="537" spans="1:19" s="89" customFormat="1" ht="14.6" hidden="1" outlineLevel="1" x14ac:dyDescent="0.4">
      <c r="A537" s="2173"/>
      <c r="B537" s="3815"/>
      <c r="C537" s="1294" t="s">
        <v>2162</v>
      </c>
      <c r="D537" s="1294" t="s">
        <v>778</v>
      </c>
      <c r="E537" s="1292">
        <f t="shared" si="40"/>
        <v>0.69444444444444442</v>
      </c>
      <c r="F537" s="1330">
        <f>IF($D537="Trigger",VLOOKUP($C537,'Lower Hot Cell Weld Failure'!$D$457:$G$490,4,FALSE),E537+F536)</f>
        <v>48.660008193530849</v>
      </c>
      <c r="G537" s="862"/>
      <c r="H537" s="1328" t="s">
        <v>263</v>
      </c>
      <c r="I537" s="1724" t="s">
        <v>1826</v>
      </c>
      <c r="J537" s="1294" t="s">
        <v>799</v>
      </c>
      <c r="K537" s="1294" t="s">
        <v>451</v>
      </c>
      <c r="L537" s="865">
        <f>IFERROR(INDEX('Lower Hot Cell Logistics'!$I$13:$O$19,MATCH($J537,'Lower Hot Cell Logistics'!$H$13:$H$19,0),MATCH($K537,'Lower Hot Cell Logistics'!$H$13:$H$19,0)),"N/A")</f>
        <v>50</v>
      </c>
      <c r="M537" s="865">
        <f>IFERROR(VLOOKUP($I537,'Lower Hot Cell Logistics'!$H$4:$I$8,2,FALSE),"N/A")</f>
        <v>0.02</v>
      </c>
      <c r="N537" s="2197">
        <f t="shared" si="42"/>
        <v>0.69444444444444442</v>
      </c>
      <c r="O537" s="1331"/>
      <c r="P537" s="1332" t="str">
        <f>IF($D537="Logistics",VLOOKUP($O537,'Lower Hot Cell Logistics'!$C$4:$D$69,2,FALSE),"N/A")</f>
        <v>N/A</v>
      </c>
      <c r="R537"/>
      <c r="S537"/>
    </row>
    <row r="538" spans="1:19" s="89" customFormat="1" ht="26.6" hidden="1" outlineLevel="1" thickBot="1" x14ac:dyDescent="0.45">
      <c r="A538" s="2173"/>
      <c r="B538" s="3816"/>
      <c r="C538" s="1340" t="str">
        <f>B534</f>
        <v>Replacement Central Divertor cassette collected and transporter moved to divertor Port</v>
      </c>
      <c r="D538" s="1340" t="s">
        <v>11</v>
      </c>
      <c r="E538" s="1295">
        <f t="shared" si="40"/>
        <v>0</v>
      </c>
      <c r="F538" s="1295">
        <f>IF($D538="Trigger",VLOOKUP($C538,'Lower Hot Cell Weld Failure'!$D$457:$G$490,4,FALSE),E538+F537)</f>
        <v>48.660008193530849</v>
      </c>
      <c r="G538" s="839"/>
      <c r="H538" s="1341" t="s">
        <v>263</v>
      </c>
      <c r="I538" s="1727"/>
      <c r="J538" s="1340"/>
      <c r="K538" s="1340"/>
      <c r="L538" s="842" t="str">
        <f>IFERROR(INDEX('Lower Hot Cell Logistics'!$I$13:$O$19,MATCH($J538,'Lower Hot Cell Logistics'!$H$13:$H$19,0),MATCH($K538,'Lower Hot Cell Logistics'!$H$13:$H$19,0)),"N/A")</f>
        <v>N/A</v>
      </c>
      <c r="M538" s="842" t="str">
        <f>IFERROR(VLOOKUP($I538,'Lower Hot Cell Logistics'!$H$4:$I$8,2,FALSE),"N/A")</f>
        <v>N/A</v>
      </c>
      <c r="N538" s="2199" t="str">
        <f t="shared" si="42"/>
        <v>N/A</v>
      </c>
      <c r="O538" s="1344"/>
      <c r="P538" s="1345" t="str">
        <f>IF($D538="Logistics",VLOOKUP($O538,'Lower Hot Cell Logistics'!$C$4:$D$69,2,FALSE),"N/A")</f>
        <v>N/A</v>
      </c>
      <c r="R538"/>
      <c r="S538"/>
    </row>
    <row r="539" spans="1:19" s="89" customFormat="1" ht="15" hidden="1" customHeight="1" outlineLevel="1" x14ac:dyDescent="0.4">
      <c r="A539" s="2173"/>
      <c r="B539" s="3787" t="s">
        <v>2333</v>
      </c>
      <c r="C539" s="617" t="s">
        <v>2366</v>
      </c>
      <c r="D539" s="617" t="s">
        <v>907</v>
      </c>
      <c r="E539" s="567">
        <f t="shared" si="40"/>
        <v>0</v>
      </c>
      <c r="F539" s="567">
        <f>IF($D539="Trigger",VLOOKUP($C539,'Lower Hot Cell Weld Failure'!$D$457:$G$490,4,FALSE),E539+F538)</f>
        <v>48.571119304641961</v>
      </c>
      <c r="G539" s="568"/>
      <c r="H539" s="569" t="s">
        <v>263</v>
      </c>
      <c r="I539" s="1270"/>
      <c r="J539" s="617"/>
      <c r="K539" s="617"/>
      <c r="L539" s="570" t="str">
        <f>IFERROR(INDEX('Lower Hot Cell Logistics'!$I$13:$O$19,MATCH($J539,'Lower Hot Cell Logistics'!$H$13:$H$19,0),MATCH($K539,'Lower Hot Cell Logistics'!$H$13:$H$19,0)),"N/A")</f>
        <v>N/A</v>
      </c>
      <c r="M539" s="802" t="str">
        <f>IFERROR(VLOOKUP($I539,'Lower Hot Cell Logistics'!$H$4:$I$8,2,FALSE),"N/A")</f>
        <v>N/A</v>
      </c>
      <c r="N539" s="1182" t="str">
        <f t="shared" si="42"/>
        <v>N/A</v>
      </c>
      <c r="O539" s="620"/>
      <c r="P539" s="621" t="str">
        <f>IF($D539="Logistics",VLOOKUP($O539,'Lower Hot Cell Logistics'!$C$4:$D$69,2,FALSE),"N/A")</f>
        <v>N/A</v>
      </c>
      <c r="R539"/>
      <c r="S539"/>
    </row>
    <row r="540" spans="1:19" s="89" customFormat="1" ht="15" hidden="1" customHeight="1" outlineLevel="1" x14ac:dyDescent="0.4">
      <c r="A540" s="2173"/>
      <c r="B540" s="3786"/>
      <c r="C540" s="1275" t="s">
        <v>2141</v>
      </c>
      <c r="D540" s="572" t="s">
        <v>778</v>
      </c>
      <c r="E540" s="578">
        <f t="shared" si="40"/>
        <v>0.23148148148148148</v>
      </c>
      <c r="F540" s="578">
        <f>IF($D540="Trigger",VLOOKUP($C540,'Lower Hot Cell Weld Failure'!$D$457:$G$490,4,FALSE),E540+F539)</f>
        <v>48.802600786123442</v>
      </c>
      <c r="G540" s="872"/>
      <c r="H540" s="2221" t="s">
        <v>263</v>
      </c>
      <c r="I540" s="1281" t="s">
        <v>2142</v>
      </c>
      <c r="J540" s="572" t="s">
        <v>451</v>
      </c>
      <c r="K540" s="572" t="s">
        <v>2164</v>
      </c>
      <c r="L540" s="1176">
        <f>IFERROR(INDEX('Lower Hot Cell Logistics'!$I$13:$O$19,MATCH($J540,'Lower Hot Cell Logistics'!$H$13:$H$19,0),MATCH($K540,'Lower Hot Cell Logistics'!$H$13:$H$19,0)),"N/A")</f>
        <v>50</v>
      </c>
      <c r="M540" s="2222">
        <f>IFERROR(VLOOKUP($I540,'Lower Hot Cell Logistics'!$H$4:$I$8,2,FALSE),"N/A")</f>
        <v>0.06</v>
      </c>
      <c r="N540" s="580">
        <f t="shared" si="42"/>
        <v>0.23148148148148148</v>
      </c>
      <c r="O540" s="631"/>
      <c r="P540" s="632" t="str">
        <f>IF($D540="Logistics",VLOOKUP($O540,'Lower Hot Cell Logistics'!$C$4:$D$69,2,FALSE),"N/A")</f>
        <v>N/A</v>
      </c>
      <c r="R540"/>
      <c r="S540"/>
    </row>
    <row r="541" spans="1:19" s="89" customFormat="1" ht="15" hidden="1" customHeight="1" outlineLevel="1" x14ac:dyDescent="0.4">
      <c r="A541" s="2173"/>
      <c r="B541" s="3786"/>
      <c r="C541" s="1275" t="s">
        <v>1757</v>
      </c>
      <c r="D541" s="572" t="s">
        <v>3</v>
      </c>
      <c r="E541" s="578">
        <f t="shared" si="40"/>
        <v>0.88000000000000012</v>
      </c>
      <c r="F541" s="578">
        <f>IF($D541="Trigger",VLOOKUP($C541,'Lower Hot Cell Weld Failure'!$D$457:$G$490,4,FALSE),E541+F540)</f>
        <v>49.682600786123444</v>
      </c>
      <c r="G541" s="872"/>
      <c r="H541" s="2221" t="s">
        <v>263</v>
      </c>
      <c r="I541" s="1281"/>
      <c r="J541" s="572"/>
      <c r="K541" s="572"/>
      <c r="L541" s="1176" t="str">
        <f>IFERROR(INDEX('Lower Hot Cell Logistics'!$I$13:$O$19,MATCH($J541,'Lower Hot Cell Logistics'!$H$13:$H$19,0),MATCH($K541,'Lower Hot Cell Logistics'!$H$13:$H$19,0)),"N/A")</f>
        <v>N/A</v>
      </c>
      <c r="M541" s="2222" t="str">
        <f>IFERROR(VLOOKUP($I541,'Lower Hot Cell Logistics'!$H$4:$I$8,2,FALSE),"N/A")</f>
        <v>N/A</v>
      </c>
      <c r="N541" s="580" t="str">
        <f t="shared" si="42"/>
        <v>N/A</v>
      </c>
      <c r="O541" s="631" t="s">
        <v>2144</v>
      </c>
      <c r="P541" s="632">
        <f>IF($D541="Logistics",VLOOKUP($O541,'Lower Hot Cell Logistics'!$C$4:$D$69,2,FALSE),"N/A")</f>
        <v>0.88000000000000012</v>
      </c>
      <c r="R541"/>
      <c r="S541"/>
    </row>
    <row r="542" spans="1:19" s="89" customFormat="1" ht="15" hidden="1" customHeight="1" outlineLevel="1" x14ac:dyDescent="0.4">
      <c r="A542" s="2173"/>
      <c r="B542" s="3786"/>
      <c r="C542" s="1275" t="s">
        <v>2165</v>
      </c>
      <c r="D542" s="572" t="s">
        <v>778</v>
      </c>
      <c r="E542" s="578">
        <f t="shared" si="40"/>
        <v>2.7777777777777776E-2</v>
      </c>
      <c r="F542" s="578">
        <f>IF($D542="Trigger",VLOOKUP($C542,'Lower Hot Cell Weld Failure'!$D$457:$G$490,4,FALSE),E542+F541)</f>
        <v>49.710378563901223</v>
      </c>
      <c r="G542" s="872"/>
      <c r="H542" s="2221" t="s">
        <v>263</v>
      </c>
      <c r="I542" s="1281" t="s">
        <v>2166</v>
      </c>
      <c r="J542" s="572" t="s">
        <v>2164</v>
      </c>
      <c r="K542" s="572" t="s">
        <v>914</v>
      </c>
      <c r="L542" s="1176">
        <f>IFERROR(INDEX('Lower Hot Cell Logistics'!$I$13:$O$19,MATCH($J542,'Lower Hot Cell Logistics'!$H$13:$H$19,0),MATCH($K542,'Lower Hot Cell Logistics'!$H$13:$H$19,0)),"N/A")</f>
        <v>20</v>
      </c>
      <c r="M542" s="2222">
        <f>IFERROR(VLOOKUP($I542,'Lower Hot Cell Logistics'!$H$4:$I$8,2,FALSE),"N/A")</f>
        <v>0.2</v>
      </c>
      <c r="N542" s="580">
        <f t="shared" si="42"/>
        <v>2.7777777777777776E-2</v>
      </c>
      <c r="O542" s="631"/>
      <c r="P542" s="632" t="str">
        <f>IF($D542="Logistics",VLOOKUP($O542,'Lower Hot Cell Logistics'!$C$4:$D$69,2,FALSE),"N/A")</f>
        <v>N/A</v>
      </c>
      <c r="R542"/>
      <c r="S542"/>
    </row>
    <row r="543" spans="1:19" s="89" customFormat="1" ht="15" hidden="1" customHeight="1" outlineLevel="1" x14ac:dyDescent="0.4">
      <c r="A543" s="2173"/>
      <c r="B543" s="3786"/>
      <c r="C543" s="1275" t="s">
        <v>2167</v>
      </c>
      <c r="D543" s="572" t="s">
        <v>3</v>
      </c>
      <c r="E543" s="578">
        <f t="shared" si="40"/>
        <v>0.88000000000000012</v>
      </c>
      <c r="F543" s="578">
        <f>IF($D543="Trigger",VLOOKUP($C543,'Lower Hot Cell Weld Failure'!$D$457:$G$490,4,FALSE),E543+F542)</f>
        <v>50.590378563901226</v>
      </c>
      <c r="G543" s="872"/>
      <c r="H543" s="2221" t="s">
        <v>263</v>
      </c>
      <c r="I543" s="1281"/>
      <c r="J543" s="572"/>
      <c r="K543" s="572"/>
      <c r="L543" s="1176" t="str">
        <f>IFERROR(INDEX('Lower Hot Cell Logistics'!$I$13:$O$19,MATCH($J543,'Lower Hot Cell Logistics'!$H$13:$H$19,0),MATCH($K543,'Lower Hot Cell Logistics'!$H$13:$H$19,0)),"N/A")</f>
        <v>N/A</v>
      </c>
      <c r="M543" s="2222" t="str">
        <f>IFERROR(VLOOKUP($I543,'Lower Hot Cell Logistics'!$H$4:$I$8,2,FALSE),"N/A")</f>
        <v>N/A</v>
      </c>
      <c r="N543" s="580" t="str">
        <f t="shared" si="42"/>
        <v>N/A</v>
      </c>
      <c r="O543" s="631" t="s">
        <v>2168</v>
      </c>
      <c r="P543" s="632">
        <f>IF($D543="Logistics",VLOOKUP($O543,'Lower Hot Cell Logistics'!$C$4:$D$69,2,FALSE),"N/A")</f>
        <v>0.88000000000000012</v>
      </c>
      <c r="R543"/>
      <c r="S543"/>
    </row>
    <row r="544" spans="1:19" s="89" customFormat="1" ht="15" hidden="1" customHeight="1" outlineLevel="1" x14ac:dyDescent="0.4">
      <c r="A544" s="2173"/>
      <c r="B544" s="3786"/>
      <c r="C544" s="1275" t="s">
        <v>2145</v>
      </c>
      <c r="D544" s="572" t="s">
        <v>778</v>
      </c>
      <c r="E544" s="578">
        <f t="shared" si="40"/>
        <v>2.7777777777777776E-2</v>
      </c>
      <c r="F544" s="578">
        <f>IF($D544="Trigger",VLOOKUP($C544,'Lower Hot Cell Weld Failure'!$D$457:$G$490,4,FALSE),E544+F543)</f>
        <v>50.618156341679004</v>
      </c>
      <c r="G544" s="872"/>
      <c r="H544" s="2221" t="s">
        <v>263</v>
      </c>
      <c r="I544" s="1281" t="s">
        <v>2146</v>
      </c>
      <c r="J544" s="572" t="s">
        <v>914</v>
      </c>
      <c r="K544" s="572" t="s">
        <v>799</v>
      </c>
      <c r="L544" s="1176">
        <f>IFERROR(INDEX('Lower Hot Cell Logistics'!$I$13:$O$19,MATCH($J544,'Lower Hot Cell Logistics'!$H$13:$H$19,0),MATCH($K544,'Lower Hot Cell Logistics'!$H$13:$H$19,0)),"N/A")</f>
        <v>20</v>
      </c>
      <c r="M544" s="2222">
        <f>IFERROR(VLOOKUP($I544,'Lower Hot Cell Logistics'!$H$4:$I$8,2,FALSE),"N/A")</f>
        <v>0.2</v>
      </c>
      <c r="N544" s="580">
        <f t="shared" si="42"/>
        <v>2.7777777777777776E-2</v>
      </c>
      <c r="O544" s="631"/>
      <c r="P544" s="632" t="str">
        <f>IF($D544="Logistics",VLOOKUP($O544,'Lower Hot Cell Logistics'!$C$4:$D$69,2,FALSE),"N/A")</f>
        <v>N/A</v>
      </c>
      <c r="R544"/>
      <c r="S544"/>
    </row>
    <row r="545" spans="1:19" s="89" customFormat="1" ht="14.6" hidden="1" outlineLevel="1" x14ac:dyDescent="0.4">
      <c r="A545" s="2173"/>
      <c r="B545" s="3786"/>
      <c r="C545" s="572" t="s">
        <v>2169</v>
      </c>
      <c r="D545" s="572" t="s">
        <v>3</v>
      </c>
      <c r="E545" s="574">
        <f t="shared" si="40"/>
        <v>0.68</v>
      </c>
      <c r="F545" s="574">
        <f>IF($D545="Trigger",VLOOKUP($C545,'Lower Hot Cell Weld Failure'!$D$457:$G$490,4,FALSE),E545+F544)</f>
        <v>51.298156341679004</v>
      </c>
      <c r="G545" s="575"/>
      <c r="H545" s="576" t="s">
        <v>263</v>
      </c>
      <c r="I545" s="1281"/>
      <c r="J545" s="572"/>
      <c r="K545" s="572"/>
      <c r="L545" s="853" t="str">
        <f>IFERROR(INDEX('Lower Hot Cell Logistics'!$I$13:$O$19,MATCH($J545,'Lower Hot Cell Logistics'!$H$13:$H$19,0),MATCH($K545,'Lower Hot Cell Logistics'!$H$13:$H$19,0)),"N/A")</f>
        <v>N/A</v>
      </c>
      <c r="M545" s="852" t="str">
        <f>IFERROR(VLOOKUP($I545,'Lower Hot Cell Logistics'!$H$4:$I$8,2,FALSE),"N/A")</f>
        <v>N/A</v>
      </c>
      <c r="N545" s="1180" t="str">
        <f t="shared" si="42"/>
        <v>N/A</v>
      </c>
      <c r="O545" s="579" t="s">
        <v>2148</v>
      </c>
      <c r="P545" s="580">
        <f>IF($D545="Logistics",VLOOKUP($O545,'Lower Hot Cell Logistics'!$C$4:$D$69,2,FALSE),"N/A")</f>
        <v>0.68</v>
      </c>
      <c r="R545"/>
      <c r="S545"/>
    </row>
    <row r="546" spans="1:19" s="89" customFormat="1" ht="14.6" hidden="1" outlineLevel="1" x14ac:dyDescent="0.4">
      <c r="A546" s="2173"/>
      <c r="B546" s="3786"/>
      <c r="C546" s="572" t="s">
        <v>2162</v>
      </c>
      <c r="D546" s="572" t="s">
        <v>778</v>
      </c>
      <c r="E546" s="574">
        <f t="shared" si="40"/>
        <v>0.69444444444444442</v>
      </c>
      <c r="F546" s="574">
        <f>IF($D546="Trigger",VLOOKUP($C546,'Lower Hot Cell Weld Failure'!$D$457:$G$490,4,FALSE),E546+F545)</f>
        <v>51.992600786123447</v>
      </c>
      <c r="G546" s="575"/>
      <c r="H546" s="576" t="s">
        <v>263</v>
      </c>
      <c r="I546" s="1281" t="s">
        <v>1826</v>
      </c>
      <c r="J546" s="572" t="s">
        <v>799</v>
      </c>
      <c r="K546" s="572" t="s">
        <v>451</v>
      </c>
      <c r="L546" s="853">
        <f>IFERROR(INDEX('Lower Hot Cell Logistics'!$I$13:$O$19,MATCH($J546,'Lower Hot Cell Logistics'!$H$13:$H$19,0),MATCH($K546,'Lower Hot Cell Logistics'!$H$13:$H$19,0)),"N/A")</f>
        <v>50</v>
      </c>
      <c r="M546" s="853">
        <f>IFERROR(VLOOKUP($I546,'Lower Hot Cell Logistics'!$H$4:$I$8,2,FALSE),"N/A")</f>
        <v>0.02</v>
      </c>
      <c r="N546" s="1180">
        <f t="shared" si="42"/>
        <v>0.69444444444444442</v>
      </c>
      <c r="O546" s="579"/>
      <c r="P546" s="580" t="str">
        <f>IF($D546="Logistics",VLOOKUP($O546,'Lower Hot Cell Logistics'!$C$4:$D$69,2,FALSE),"N/A")</f>
        <v>N/A</v>
      </c>
      <c r="R546"/>
      <c r="S546"/>
    </row>
    <row r="547" spans="1:19" s="89" customFormat="1" ht="39.450000000000003" hidden="1" outlineLevel="1" thickBot="1" x14ac:dyDescent="0.45">
      <c r="A547" s="2173"/>
      <c r="B547" s="3788"/>
      <c r="C547" s="583" t="str">
        <f>B539</f>
        <v>Divertor handling system stored; pipe module handling system collected; Replacement right divertor cassette pipe module collected and moved to Lower Port</v>
      </c>
      <c r="D547" s="583" t="s">
        <v>11</v>
      </c>
      <c r="E547" s="585">
        <f t="shared" si="40"/>
        <v>0</v>
      </c>
      <c r="F547" s="585">
        <f>IF($D547="Trigger",VLOOKUP($C547,'Lower Hot Cell Weld Failure'!$D$457:$G$490,4,FALSE),E547+F546)</f>
        <v>51.992600786123447</v>
      </c>
      <c r="G547" s="586"/>
      <c r="H547" s="587" t="s">
        <v>263</v>
      </c>
      <c r="I547" s="1720"/>
      <c r="J547" s="583"/>
      <c r="K547" s="583"/>
      <c r="L547" s="814" t="str">
        <f>IFERROR(INDEX('Lower Hot Cell Logistics'!$I$13:$O$19,MATCH($J547,'Lower Hot Cell Logistics'!$H$13:$H$19,0),MATCH($K547,'Lower Hot Cell Logistics'!$H$13:$H$19,0)),"N/A")</f>
        <v>N/A</v>
      </c>
      <c r="M547" s="814" t="str">
        <f>IFERROR(VLOOKUP($I547,'Lower Hot Cell Logistics'!$H$4:$I$8,2,FALSE),"N/A")</f>
        <v>N/A</v>
      </c>
      <c r="N547" s="1181" t="str">
        <f>IF(D547="Movement",IFERROR((L547/M547)/(60*60),"Error"),"N/A")</f>
        <v>N/A</v>
      </c>
      <c r="O547" s="590"/>
      <c r="P547" s="591" t="str">
        <f>IF($D547="Logistics",VLOOKUP($O547,'Lower Hot Cell Logistics'!$C$4:$D$69,2,FALSE),"N/A")</f>
        <v>N/A</v>
      </c>
      <c r="R547"/>
      <c r="S547"/>
    </row>
    <row r="548" spans="1:19" s="89" customFormat="1" ht="15" hidden="1" customHeight="1" outlineLevel="1" x14ac:dyDescent="0.4">
      <c r="A548" s="2173"/>
      <c r="B548" s="3814" t="s">
        <v>2335</v>
      </c>
      <c r="C548" s="1324" t="s">
        <v>2365</v>
      </c>
      <c r="D548" s="1324" t="s">
        <v>907</v>
      </c>
      <c r="E548" s="1291">
        <f t="shared" si="40"/>
        <v>0</v>
      </c>
      <c r="F548" s="1291">
        <f>IF($D548="Trigger",VLOOKUP($C548,'Lower Hot Cell Weld Failure'!$D$457:$G$490,4,FALSE),E548+F547)</f>
        <v>46.391119304641961</v>
      </c>
      <c r="G548" s="825"/>
      <c r="H548" s="1323" t="s">
        <v>263</v>
      </c>
      <c r="I548" s="1721"/>
      <c r="J548" s="1324"/>
      <c r="K548" s="1324"/>
      <c r="L548" s="828" t="str">
        <f>IFERROR(INDEX('Lower Hot Cell Logistics'!$I$13:$O$19,MATCH($J548,'Lower Hot Cell Logistics'!$H$13:$H$19,0),MATCH($K548,'Lower Hot Cell Logistics'!$H$13:$H$19,0)),"N/A")</f>
        <v>N/A</v>
      </c>
      <c r="M548" s="827" t="str">
        <f>IFERROR(VLOOKUP($I548,'Lower Hot Cell Logistics'!$H$4:$I$8,2,FALSE),"N/A")</f>
        <v>N/A</v>
      </c>
      <c r="N548" s="2200" t="str">
        <f t="shared" ref="N548:N555" si="43">IF(D548="Movement",IFERROR((L548/M548)/(60*60),"Error"),"N/A")</f>
        <v>N/A</v>
      </c>
      <c r="O548" s="1327"/>
      <c r="P548" s="824" t="str">
        <f>IF($D548="Logistics",VLOOKUP($O548,'Lower Hot Cell Logistics'!$C$4:$D$69,2,FALSE),"N/A")</f>
        <v>N/A</v>
      </c>
      <c r="R548"/>
      <c r="S548"/>
    </row>
    <row r="549" spans="1:19" s="89" customFormat="1" ht="15" hidden="1" customHeight="1" outlineLevel="1" x14ac:dyDescent="0.4">
      <c r="A549" s="2173"/>
      <c r="B549" s="3815"/>
      <c r="C549" s="1362" t="s">
        <v>2141</v>
      </c>
      <c r="D549" s="1294" t="s">
        <v>778</v>
      </c>
      <c r="E549" s="1330">
        <f t="shared" si="40"/>
        <v>0.23148148148148148</v>
      </c>
      <c r="F549" s="1330">
        <f>IF($D549="Trigger",VLOOKUP($C549,'Lower Hot Cell Weld Failure'!$D$457:$G$490,4,FALSE),E549+F548)</f>
        <v>46.622600786123442</v>
      </c>
      <c r="G549" s="1722"/>
      <c r="H549" s="2219" t="s">
        <v>263</v>
      </c>
      <c r="I549" s="1724" t="s">
        <v>2142</v>
      </c>
      <c r="J549" s="1294" t="s">
        <v>451</v>
      </c>
      <c r="K549" s="1294" t="s">
        <v>2164</v>
      </c>
      <c r="L549" s="2042">
        <f>IFERROR(INDEX('Lower Hot Cell Logistics'!$I$13:$O$19,MATCH($J549,'Lower Hot Cell Logistics'!$H$13:$H$19,0),MATCH($K549,'Lower Hot Cell Logistics'!$H$13:$H$19,0)),"N/A")</f>
        <v>50</v>
      </c>
      <c r="M549" s="2220">
        <f>IFERROR(VLOOKUP($I549,'Lower Hot Cell Logistics'!$H$4:$I$8,2,FALSE),"N/A")</f>
        <v>0.06</v>
      </c>
      <c r="N549" s="1332">
        <f t="shared" si="43"/>
        <v>0.23148148148148148</v>
      </c>
      <c r="O549" s="1352"/>
      <c r="P549" s="1353" t="str">
        <f>IF($D549="Logistics",VLOOKUP($O549,'Lower Hot Cell Logistics'!$C$4:$D$69,2,FALSE),"N/A")</f>
        <v>N/A</v>
      </c>
      <c r="R549"/>
      <c r="S549"/>
    </row>
    <row r="550" spans="1:19" s="89" customFormat="1" ht="15" hidden="1" customHeight="1" outlineLevel="1" x14ac:dyDescent="0.4">
      <c r="A550" s="2173"/>
      <c r="B550" s="3815"/>
      <c r="C550" s="1362" t="s">
        <v>1757</v>
      </c>
      <c r="D550" s="1294" t="s">
        <v>3</v>
      </c>
      <c r="E550" s="1330">
        <f t="shared" si="40"/>
        <v>0.88000000000000012</v>
      </c>
      <c r="F550" s="1330">
        <f>IF($D550="Trigger",VLOOKUP($C550,'Lower Hot Cell Weld Failure'!$D$457:$G$490,4,FALSE),E550+F549)</f>
        <v>47.502600786123445</v>
      </c>
      <c r="G550" s="1722"/>
      <c r="H550" s="2219" t="s">
        <v>263</v>
      </c>
      <c r="I550" s="1724"/>
      <c r="J550" s="1294"/>
      <c r="K550" s="1294"/>
      <c r="L550" s="2042" t="str">
        <f>IFERROR(INDEX('Lower Hot Cell Logistics'!$I$13:$O$19,MATCH($J550,'Lower Hot Cell Logistics'!$H$13:$H$19,0),MATCH($K550,'Lower Hot Cell Logistics'!$H$13:$H$19,0)),"N/A")</f>
        <v>N/A</v>
      </c>
      <c r="M550" s="2220" t="str">
        <f>IFERROR(VLOOKUP($I550,'Lower Hot Cell Logistics'!$H$4:$I$8,2,FALSE),"N/A")</f>
        <v>N/A</v>
      </c>
      <c r="N550" s="1332" t="str">
        <f t="shared" si="43"/>
        <v>N/A</v>
      </c>
      <c r="O550" s="1352" t="s">
        <v>2144</v>
      </c>
      <c r="P550" s="1353">
        <f>IF($D550="Logistics",VLOOKUP($O550,'Lower Hot Cell Logistics'!$C$4:$D$69,2,FALSE),"N/A")</f>
        <v>0.88000000000000012</v>
      </c>
      <c r="R550"/>
      <c r="S550"/>
    </row>
    <row r="551" spans="1:19" s="89" customFormat="1" ht="15" hidden="1" customHeight="1" outlineLevel="1" x14ac:dyDescent="0.4">
      <c r="A551" s="2173"/>
      <c r="B551" s="3815"/>
      <c r="C551" s="1362" t="s">
        <v>2165</v>
      </c>
      <c r="D551" s="1294" t="s">
        <v>778</v>
      </c>
      <c r="E551" s="1330">
        <f t="shared" si="40"/>
        <v>2.7777777777777776E-2</v>
      </c>
      <c r="F551" s="1330">
        <f>IF($D551="Trigger",VLOOKUP($C551,'Lower Hot Cell Weld Failure'!$D$457:$G$490,4,FALSE),E551+F550)</f>
        <v>47.530378563901223</v>
      </c>
      <c r="G551" s="1722"/>
      <c r="H551" s="2219" t="s">
        <v>263</v>
      </c>
      <c r="I551" s="1724" t="s">
        <v>2166</v>
      </c>
      <c r="J551" s="1294" t="s">
        <v>2164</v>
      </c>
      <c r="K551" s="1294" t="s">
        <v>914</v>
      </c>
      <c r="L551" s="2042">
        <f>IFERROR(INDEX('Lower Hot Cell Logistics'!$I$13:$O$19,MATCH($J551,'Lower Hot Cell Logistics'!$H$13:$H$19,0),MATCH($K551,'Lower Hot Cell Logistics'!$H$13:$H$19,0)),"N/A")</f>
        <v>20</v>
      </c>
      <c r="M551" s="2220">
        <f>IFERROR(VLOOKUP($I551,'Lower Hot Cell Logistics'!$H$4:$I$8,2,FALSE),"N/A")</f>
        <v>0.2</v>
      </c>
      <c r="N551" s="1332">
        <f t="shared" si="43"/>
        <v>2.7777777777777776E-2</v>
      </c>
      <c r="O551" s="1352"/>
      <c r="P551" s="1353" t="str">
        <f>IF($D551="Logistics",VLOOKUP($O551,'Lower Hot Cell Logistics'!$C$4:$D$69,2,FALSE),"N/A")</f>
        <v>N/A</v>
      </c>
      <c r="R551"/>
      <c r="S551"/>
    </row>
    <row r="552" spans="1:19" s="89" customFormat="1" ht="15" hidden="1" customHeight="1" outlineLevel="1" x14ac:dyDescent="0.4">
      <c r="A552" s="2173"/>
      <c r="B552" s="3815"/>
      <c r="C552" s="1362" t="s">
        <v>2167</v>
      </c>
      <c r="D552" s="1294" t="s">
        <v>3</v>
      </c>
      <c r="E552" s="1330">
        <f t="shared" si="40"/>
        <v>0.88000000000000012</v>
      </c>
      <c r="F552" s="1330">
        <f>IF($D552="Trigger",VLOOKUP($C552,'Lower Hot Cell Weld Failure'!$D$457:$G$490,4,FALSE),E552+F551)</f>
        <v>48.410378563901226</v>
      </c>
      <c r="G552" s="1722"/>
      <c r="H552" s="2219" t="s">
        <v>263</v>
      </c>
      <c r="I552" s="1724"/>
      <c r="J552" s="1294"/>
      <c r="K552" s="1294"/>
      <c r="L552" s="2042" t="str">
        <f>IFERROR(INDEX('Lower Hot Cell Logistics'!$I$13:$O$19,MATCH($J552,'Lower Hot Cell Logistics'!$H$13:$H$19,0),MATCH($K552,'Lower Hot Cell Logistics'!$H$13:$H$19,0)),"N/A")</f>
        <v>N/A</v>
      </c>
      <c r="M552" s="2220" t="str">
        <f>IFERROR(VLOOKUP($I552,'Lower Hot Cell Logistics'!$H$4:$I$8,2,FALSE),"N/A")</f>
        <v>N/A</v>
      </c>
      <c r="N552" s="1332" t="str">
        <f t="shared" si="43"/>
        <v>N/A</v>
      </c>
      <c r="O552" s="1352" t="s">
        <v>2168</v>
      </c>
      <c r="P552" s="1353">
        <f>IF($D552="Logistics",VLOOKUP($O552,'Lower Hot Cell Logistics'!$C$4:$D$69,2,FALSE),"N/A")</f>
        <v>0.88000000000000012</v>
      </c>
      <c r="R552"/>
      <c r="S552"/>
    </row>
    <row r="553" spans="1:19" s="89" customFormat="1" ht="15" hidden="1" customHeight="1" outlineLevel="1" x14ac:dyDescent="0.4">
      <c r="A553" s="2173"/>
      <c r="B553" s="3815"/>
      <c r="C553" s="1362" t="s">
        <v>2145</v>
      </c>
      <c r="D553" s="1294" t="s">
        <v>778</v>
      </c>
      <c r="E553" s="1330">
        <f t="shared" si="40"/>
        <v>2.7777777777777776E-2</v>
      </c>
      <c r="F553" s="1330">
        <f>IF($D553="Trigger",VLOOKUP($C553,'Lower Hot Cell Weld Failure'!$D$457:$G$490,4,FALSE),E553+F552)</f>
        <v>48.438156341679004</v>
      </c>
      <c r="G553" s="1722"/>
      <c r="H553" s="2219" t="s">
        <v>263</v>
      </c>
      <c r="I553" s="1724" t="s">
        <v>2146</v>
      </c>
      <c r="J553" s="1294" t="s">
        <v>914</v>
      </c>
      <c r="K553" s="1294" t="s">
        <v>799</v>
      </c>
      <c r="L553" s="2042">
        <f>IFERROR(INDEX('Lower Hot Cell Logistics'!$I$13:$O$19,MATCH($J553,'Lower Hot Cell Logistics'!$H$13:$H$19,0),MATCH($K553,'Lower Hot Cell Logistics'!$H$13:$H$19,0)),"N/A")</f>
        <v>20</v>
      </c>
      <c r="M553" s="2220">
        <f>IFERROR(VLOOKUP($I553,'Lower Hot Cell Logistics'!$H$4:$I$8,2,FALSE),"N/A")</f>
        <v>0.2</v>
      </c>
      <c r="N553" s="1332">
        <f t="shared" si="43"/>
        <v>2.7777777777777776E-2</v>
      </c>
      <c r="O553" s="1352"/>
      <c r="P553" s="1353" t="str">
        <f>IF($D553="Logistics",VLOOKUP($O553,'Lower Hot Cell Logistics'!$C$4:$D$69,2,FALSE),"N/A")</f>
        <v>N/A</v>
      </c>
      <c r="R553"/>
      <c r="S553"/>
    </row>
    <row r="554" spans="1:19" s="89" customFormat="1" ht="14.6" hidden="1" outlineLevel="1" x14ac:dyDescent="0.4">
      <c r="A554" s="2173"/>
      <c r="B554" s="3815"/>
      <c r="C554" s="1294" t="s">
        <v>2169</v>
      </c>
      <c r="D554" s="1294" t="s">
        <v>3</v>
      </c>
      <c r="E554" s="1292">
        <f t="shared" si="40"/>
        <v>0.68</v>
      </c>
      <c r="F554" s="1292">
        <f>IF($D554="Trigger",VLOOKUP($C554,'Lower Hot Cell Weld Failure'!$D$457:$G$490,4,FALSE),E554+F553)</f>
        <v>49.118156341679004</v>
      </c>
      <c r="G554" s="862"/>
      <c r="H554" s="1328" t="s">
        <v>263</v>
      </c>
      <c r="I554" s="1724"/>
      <c r="J554" s="1294"/>
      <c r="K554" s="1294"/>
      <c r="L554" s="865" t="str">
        <f>IFERROR(INDEX('Lower Hot Cell Logistics'!$I$13:$O$19,MATCH($J554,'Lower Hot Cell Logistics'!$H$13:$H$19,0),MATCH($K554,'Lower Hot Cell Logistics'!$H$13:$H$19,0)),"N/A")</f>
        <v>N/A</v>
      </c>
      <c r="M554" s="864" t="str">
        <f>IFERROR(VLOOKUP($I554,'Lower Hot Cell Logistics'!$H$4:$I$8,2,FALSE),"N/A")</f>
        <v>N/A</v>
      </c>
      <c r="N554" s="2197" t="str">
        <f t="shared" si="43"/>
        <v>N/A</v>
      </c>
      <c r="O554" s="1331" t="s">
        <v>2148</v>
      </c>
      <c r="P554" s="1332">
        <f>IF($D554="Logistics",VLOOKUP($O554,'Lower Hot Cell Logistics'!$C$4:$D$69,2,FALSE),"N/A")</f>
        <v>0.68</v>
      </c>
      <c r="R554"/>
      <c r="S554"/>
    </row>
    <row r="555" spans="1:19" s="89" customFormat="1" ht="14.6" hidden="1" outlineLevel="1" x14ac:dyDescent="0.4">
      <c r="A555" s="2173"/>
      <c r="B555" s="3815"/>
      <c r="C555" s="1294" t="s">
        <v>2162</v>
      </c>
      <c r="D555" s="1294" t="s">
        <v>778</v>
      </c>
      <c r="E555" s="1292">
        <f t="shared" si="40"/>
        <v>0.69444444444444442</v>
      </c>
      <c r="F555" s="1292">
        <f>IF($D555="Trigger",VLOOKUP($C555,'Lower Hot Cell Weld Failure'!$D$457:$G$490,4,FALSE),E555+F554)</f>
        <v>49.812600786123447</v>
      </c>
      <c r="G555" s="862"/>
      <c r="H555" s="1328" t="s">
        <v>263</v>
      </c>
      <c r="I555" s="1724" t="s">
        <v>1826</v>
      </c>
      <c r="J555" s="1294" t="s">
        <v>799</v>
      </c>
      <c r="K555" s="1294" t="s">
        <v>451</v>
      </c>
      <c r="L555" s="865">
        <f>IFERROR(INDEX('Lower Hot Cell Logistics'!$I$13:$O$19,MATCH($J555,'Lower Hot Cell Logistics'!$H$13:$H$19,0),MATCH($K555,'Lower Hot Cell Logistics'!$H$13:$H$19,0)),"N/A")</f>
        <v>50</v>
      </c>
      <c r="M555" s="865">
        <f>IFERROR(VLOOKUP($I555,'Lower Hot Cell Logistics'!$H$4:$I$8,2,FALSE),"N/A")</f>
        <v>0.02</v>
      </c>
      <c r="N555" s="2197">
        <f t="shared" si="43"/>
        <v>0.69444444444444442</v>
      </c>
      <c r="O555" s="1331"/>
      <c r="P555" s="1332" t="str">
        <f>IF($D555="Logistics",VLOOKUP($O555,'Lower Hot Cell Logistics'!$C$4:$D$69,2,FALSE),"N/A")</f>
        <v>N/A</v>
      </c>
      <c r="R555"/>
      <c r="S555"/>
    </row>
    <row r="556" spans="1:19" s="89" customFormat="1" ht="39.450000000000003" hidden="1" outlineLevel="1" thickBot="1" x14ac:dyDescent="0.45">
      <c r="A556" s="2173"/>
      <c r="B556" s="3816"/>
      <c r="C556" s="1340" t="str">
        <f>B548</f>
        <v>Divertor handling system stored; pipe module handling system collected; Replacement left divertor cassette pipe module collected and moved to Lower Port</v>
      </c>
      <c r="D556" s="1340" t="s">
        <v>11</v>
      </c>
      <c r="E556" s="1295">
        <f t="shared" si="40"/>
        <v>0</v>
      </c>
      <c r="F556" s="1295">
        <f>IF($D556="Trigger",VLOOKUP($C556,'Lower Hot Cell Weld Failure'!$D$457:$G$490,4,FALSE),E556+F555)</f>
        <v>49.812600786123447</v>
      </c>
      <c r="G556" s="839"/>
      <c r="H556" s="1341" t="s">
        <v>263</v>
      </c>
      <c r="I556" s="1727"/>
      <c r="J556" s="1340"/>
      <c r="K556" s="1340"/>
      <c r="L556" s="842" t="str">
        <f>IFERROR(INDEX('Lower Hot Cell Logistics'!$I$13:$O$19,MATCH($J556,'Lower Hot Cell Logistics'!$H$13:$H$19,0),MATCH($K556,'Lower Hot Cell Logistics'!$H$13:$H$19,0)),"N/A")</f>
        <v>N/A</v>
      </c>
      <c r="M556" s="842" t="str">
        <f>IFERROR(VLOOKUP($I556,'Lower Hot Cell Logistics'!$H$4:$I$8,2,FALSE),"N/A")</f>
        <v>N/A</v>
      </c>
      <c r="N556" s="2199" t="str">
        <f>IF(D556="Movement",IFERROR((L556/M556)/(60*60),"Error"),"N/A")</f>
        <v>N/A</v>
      </c>
      <c r="O556" s="1344"/>
      <c r="P556" s="1345" t="str">
        <f>IF($D556="Logistics",VLOOKUP($O556,'Lower Hot Cell Logistics'!$C$4:$D$69,2,FALSE),"N/A")</f>
        <v>N/A</v>
      </c>
      <c r="R556"/>
      <c r="S556"/>
    </row>
    <row r="557" spans="1:19" ht="13.3" collapsed="1" thickBot="1" x14ac:dyDescent="0.45">
      <c r="A557" s="2174"/>
      <c r="B557" s="2175"/>
      <c r="C557" s="2176"/>
      <c r="D557" s="2176"/>
      <c r="E557" s="2176"/>
      <c r="F557" s="2176"/>
      <c r="G557" s="2176"/>
      <c r="H557" s="2177"/>
      <c r="I557" s="2176"/>
      <c r="J557" s="2176"/>
      <c r="K557" s="2176"/>
      <c r="L557" s="2178"/>
      <c r="M557" s="2178"/>
      <c r="N557" s="2178"/>
      <c r="O557" s="2176"/>
      <c r="P557" s="2179"/>
    </row>
    <row r="558" spans="1:19" x14ac:dyDescent="0.4">
      <c r="A558" s="2180"/>
      <c r="B558" s="2181" t="s">
        <v>1994</v>
      </c>
      <c r="C558" s="2181"/>
      <c r="D558" s="2181"/>
      <c r="E558" s="2181"/>
      <c r="F558" s="2181"/>
      <c r="G558" s="2181"/>
      <c r="H558" s="2181"/>
      <c r="I558" s="2181"/>
      <c r="J558" s="2181"/>
      <c r="K558" s="2181"/>
      <c r="L558" s="2181"/>
      <c r="M558" s="2181"/>
      <c r="N558" s="2181"/>
      <c r="O558" s="2181"/>
      <c r="P558" s="2182"/>
    </row>
    <row r="559" spans="1:19" s="2121" customFormat="1" ht="25.5" hidden="1" customHeight="1" outlineLevel="1" x14ac:dyDescent="0.4">
      <c r="A559" s="2183"/>
      <c r="B559" s="3787" t="s">
        <v>2341</v>
      </c>
      <c r="C559" s="566" t="s">
        <v>1923</v>
      </c>
      <c r="D559" s="566" t="s">
        <v>907</v>
      </c>
      <c r="E559" s="1175">
        <f>MAX($P559,$N559,$H559)</f>
        <v>0</v>
      </c>
      <c r="F559" s="621">
        <f>IF($D559="Trigger",VLOOKUP($C559,'Lower Hot Cell Weld Failure'!$D$513:$G$540,4,FALSE),E559+F558)</f>
        <v>0</v>
      </c>
      <c r="G559" s="568"/>
      <c r="H559" s="569" t="s">
        <v>263</v>
      </c>
      <c r="I559" s="566"/>
      <c r="J559" s="566"/>
      <c r="K559" s="566"/>
      <c r="L559" s="1175" t="str">
        <f>IFERROR(INDEX('Lower Hot Cell Logistics'!$I$13:$O$19,MATCH($J559,'Lower Hot Cell Logistics'!$H$13:$H$19,0),MATCH($K559,'Lower Hot Cell Logistics'!$H$13:$H$19,0)),"N/A")</f>
        <v>N/A</v>
      </c>
      <c r="M559" s="1175" t="str">
        <f>IFERROR(VLOOKUP($I559,'Lower Hot Cell Logistics'!$H$4:$I$8,2,FALSE),"N/A")</f>
        <v>N/A</v>
      </c>
      <c r="N559" s="1175" t="str">
        <f t="shared" ref="N559:N573" si="44">IF(D559="Movement",IFERROR((L559/M559)/(60*60),"Error"),"N/A")</f>
        <v>N/A</v>
      </c>
      <c r="O559" s="620"/>
      <c r="P559" s="621" t="str">
        <f>IF($D559="Logistics",VLOOKUP($O559,'Lower Hot Cell Logistics'!$C$4:$D$69,2,FALSE),"N/A")</f>
        <v>N/A</v>
      </c>
    </row>
    <row r="560" spans="1:19" s="2121" customFormat="1" ht="12.75" hidden="1" customHeight="1" outlineLevel="1" x14ac:dyDescent="0.4">
      <c r="A560" s="2183"/>
      <c r="B560" s="3786"/>
      <c r="C560" s="573" t="s">
        <v>2355</v>
      </c>
      <c r="D560" s="573" t="s">
        <v>778</v>
      </c>
      <c r="E560" s="1176">
        <f>MAX($P560,$N560,$H560)</f>
        <v>0.69444444444444442</v>
      </c>
      <c r="F560" s="580">
        <f>IF($D560="Trigger",VLOOKUP($C560,'Lower Hot Cell Weld Failure'!$D$513:$G$540,4,FALSE),E560+F559)</f>
        <v>0.69444444444444442</v>
      </c>
      <c r="G560" s="575"/>
      <c r="H560" s="576" t="s">
        <v>263</v>
      </c>
      <c r="I560" s="573" t="s">
        <v>2356</v>
      </c>
      <c r="J560" s="573" t="s">
        <v>451</v>
      </c>
      <c r="K560" s="573" t="s">
        <v>1957</v>
      </c>
      <c r="L560" s="1176">
        <f>IFERROR(INDEX('Lower Hot Cell Logistics'!$I$13:$O$19,MATCH($J560,'Lower Hot Cell Logistics'!$H$13:$H$19,0),MATCH($K560,'Lower Hot Cell Logistics'!$H$13:$H$19,0)),"N/A")</f>
        <v>50</v>
      </c>
      <c r="M560" s="1176">
        <f>IFERROR(VLOOKUP($I560,'Lower Hot Cell Logistics'!$H$4:$I$8,2,FALSE),"N/A")</f>
        <v>0.02</v>
      </c>
      <c r="N560" s="1176">
        <f t="shared" si="44"/>
        <v>0.69444444444444442</v>
      </c>
      <c r="O560" s="579"/>
      <c r="P560" s="580" t="str">
        <f>IF($D560="Logistics",VLOOKUP($O560,'Lower Hot Cell Logistics'!$C$4:$D$69,2,FALSE),"N/A")</f>
        <v>N/A</v>
      </c>
    </row>
    <row r="561" spans="1:19" s="2121" customFormat="1" ht="12.75" hidden="1" customHeight="1" outlineLevel="1" x14ac:dyDescent="0.4">
      <c r="A561" s="2183"/>
      <c r="B561" s="3786"/>
      <c r="C561" s="573" t="s">
        <v>1959</v>
      </c>
      <c r="D561" s="573" t="s">
        <v>3</v>
      </c>
      <c r="E561" s="1176">
        <f>MAX($P561,$N561,$H561)</f>
        <v>0.88000000000000012</v>
      </c>
      <c r="F561" s="580">
        <f>IF($D561="Trigger",VLOOKUP($C561,'Lower Hot Cell Weld Failure'!$D$513:$G$540,4,FALSE),E561+F560)</f>
        <v>1.5744444444444445</v>
      </c>
      <c r="G561" s="575"/>
      <c r="H561" s="576" t="s">
        <v>263</v>
      </c>
      <c r="I561" s="573"/>
      <c r="J561" s="573"/>
      <c r="K561" s="573"/>
      <c r="L561" s="1176" t="str">
        <f>IFERROR(INDEX('Lower Hot Cell Logistics'!$I$13:$O$19,MATCH($J561,'Lower Hot Cell Logistics'!$H$13:$H$19,0),MATCH($K561,'Lower Hot Cell Logistics'!$H$13:$H$19,0)),"N/A")</f>
        <v>N/A</v>
      </c>
      <c r="M561" s="1176" t="str">
        <f>IFERROR(VLOOKUP($I561,'Lower Hot Cell Logistics'!$H$4:$I$8,2,FALSE),"N/A")</f>
        <v>N/A</v>
      </c>
      <c r="N561" s="1176" t="str">
        <f t="shared" si="44"/>
        <v>N/A</v>
      </c>
      <c r="O561" s="579" t="s">
        <v>2144</v>
      </c>
      <c r="P561" s="580">
        <f>IF($D561="Logistics",VLOOKUP($O561,'Lower Hot Cell Logistics'!$C$4:$D$69,2,FALSE),"N/A")</f>
        <v>0.88000000000000012</v>
      </c>
    </row>
    <row r="562" spans="1:19" s="2121" customFormat="1" ht="12.75" hidden="1" customHeight="1" outlineLevel="1" x14ac:dyDescent="0.4">
      <c r="A562" s="2183"/>
      <c r="B562" s="3786"/>
      <c r="C562" s="582" t="s">
        <v>2357</v>
      </c>
      <c r="D562" s="573" t="s">
        <v>3</v>
      </c>
      <c r="E562" s="1176">
        <f t="shared" ref="E562:E607" si="45">MAX($P562,$N562,$H562)</f>
        <v>0.88000000000000012</v>
      </c>
      <c r="F562" s="580">
        <f>IF($D562="Trigger",VLOOKUP($C562,'Lower Hot Cell Weld Failure'!$D$513:$G$540,4,FALSE),E562+F561)</f>
        <v>2.4544444444444444</v>
      </c>
      <c r="G562" s="575"/>
      <c r="H562" s="576" t="s">
        <v>263</v>
      </c>
      <c r="I562" s="573"/>
      <c r="J562" s="573"/>
      <c r="K562" s="573"/>
      <c r="L562" s="1176" t="str">
        <f>IFERROR(INDEX('Lower Hot Cell Logistics'!$I$13:$O$19,MATCH($J562,'Lower Hot Cell Logistics'!$H$13:$H$19,0),MATCH($K562,'Lower Hot Cell Logistics'!$H$13:$H$19,0)),"N/A")</f>
        <v>N/A</v>
      </c>
      <c r="M562" s="1176" t="str">
        <f>IFERROR(VLOOKUP($I562,'Lower Hot Cell Logistics'!$H$4:$I$8,2,FALSE),"N/A")</f>
        <v>N/A</v>
      </c>
      <c r="N562" s="1176" t="str">
        <f t="shared" si="44"/>
        <v>N/A</v>
      </c>
      <c r="O562" s="579" t="s">
        <v>2144</v>
      </c>
      <c r="P562" s="580">
        <f>IF($D562="Logistics",VLOOKUP($O562,'Lower Hot Cell Logistics'!$C$4:$D$69,2,FALSE),"N/A")</f>
        <v>0.88000000000000012</v>
      </c>
    </row>
    <row r="563" spans="1:19" ht="12.75" hidden="1" customHeight="1" outlineLevel="1" x14ac:dyDescent="0.4">
      <c r="A563" s="2183"/>
      <c r="B563" s="3786"/>
      <c r="C563" s="582" t="s">
        <v>2368</v>
      </c>
      <c r="D563" s="573" t="s">
        <v>3</v>
      </c>
      <c r="E563" s="1176">
        <f t="shared" si="45"/>
        <v>0.68</v>
      </c>
      <c r="F563" s="580">
        <f>IF($D563="Trigger",VLOOKUP($C563,'Lower Hot Cell Weld Failure'!$D$513:$G$540,4,FALSE),E563+F562)</f>
        <v>3.1344444444444446</v>
      </c>
      <c r="G563" s="575"/>
      <c r="H563" s="576" t="s">
        <v>263</v>
      </c>
      <c r="I563" s="573"/>
      <c r="J563" s="573"/>
      <c r="K563" s="573"/>
      <c r="L563" s="1176" t="str">
        <f>IFERROR(INDEX('Lower Hot Cell Logistics'!$I$13:$O$19,MATCH($J563,'Lower Hot Cell Logistics'!$H$13:$H$19,0),MATCH($K563,'Lower Hot Cell Logistics'!$H$13:$H$19,0)),"N/A")</f>
        <v>N/A</v>
      </c>
      <c r="M563" s="1176" t="str">
        <f>IFERROR(VLOOKUP($I563,'Lower Hot Cell Logistics'!$H$4:$I$8,2,FALSE),"N/A")</f>
        <v>N/A</v>
      </c>
      <c r="N563" s="1176" t="str">
        <f t="shared" si="44"/>
        <v>N/A</v>
      </c>
      <c r="O563" s="579" t="s">
        <v>2139</v>
      </c>
      <c r="P563" s="580">
        <f>IF($D563="Logistics",VLOOKUP($O563,'Lower Hot Cell Logistics'!$C$4:$D$69,2,FALSE),"N/A")</f>
        <v>0.68</v>
      </c>
    </row>
    <row r="564" spans="1:19" ht="25.5" hidden="1" customHeight="1" outlineLevel="1" x14ac:dyDescent="0.4">
      <c r="A564" s="2183"/>
      <c r="B564" s="3786"/>
      <c r="C564" s="582" t="s">
        <v>2359</v>
      </c>
      <c r="D564" s="573" t="s">
        <v>778</v>
      </c>
      <c r="E564" s="1176">
        <f t="shared" si="45"/>
        <v>0.23148148148148148</v>
      </c>
      <c r="F564" s="580">
        <f>IF($D564="Trigger",VLOOKUP($C564,'Lower Hot Cell Weld Failure'!$D$513:$G$540,4,FALSE),E564+F563)</f>
        <v>3.365925925925926</v>
      </c>
      <c r="G564" s="575"/>
      <c r="H564" s="576" t="s">
        <v>263</v>
      </c>
      <c r="I564" s="573" t="s">
        <v>2137</v>
      </c>
      <c r="J564" s="573" t="s">
        <v>1975</v>
      </c>
      <c r="K564" s="573" t="s">
        <v>451</v>
      </c>
      <c r="L564" s="1176">
        <f>IFERROR(INDEX('Lower Hot Cell Logistics'!$I$13:$O$19,MATCH($J564,'Lower Hot Cell Logistics'!$H$13:$H$19,0),MATCH($K564,'Lower Hot Cell Logistics'!$H$13:$H$19,0)),"N/A")</f>
        <v>50</v>
      </c>
      <c r="M564" s="1176">
        <f>IFERROR(VLOOKUP($I564,'Lower Hot Cell Logistics'!$H$4:$I$8,2,FALSE),"N/A")</f>
        <v>0.06</v>
      </c>
      <c r="N564" s="1176">
        <f t="shared" si="44"/>
        <v>0.23148148148148148</v>
      </c>
      <c r="O564" s="579"/>
      <c r="P564" s="580" t="str">
        <f>IF($D564="Logistics",VLOOKUP($O564,'Lower Hot Cell Logistics'!$C$4:$D$69,2,FALSE),"N/A")</f>
        <v>N/A</v>
      </c>
    </row>
    <row r="565" spans="1:19" ht="26.25" hidden="1" customHeight="1" outlineLevel="1" thickBot="1" x14ac:dyDescent="0.45">
      <c r="A565" s="2183"/>
      <c r="B565" s="3788"/>
      <c r="C565" s="584" t="str">
        <f>B559</f>
        <v>Current payload stored; Divertor cassette transporter collected; transporter moved to Divertor Port</v>
      </c>
      <c r="D565" s="584" t="s">
        <v>11</v>
      </c>
      <c r="E565" s="1179">
        <f t="shared" si="45"/>
        <v>0</v>
      </c>
      <c r="F565" s="591">
        <f>IF($D565="Trigger",VLOOKUP($C565,'Lower Hot Cell Weld Failure'!$D$513:$G$540,4,FALSE),E565+F564)</f>
        <v>3.365925925925926</v>
      </c>
      <c r="G565" s="586"/>
      <c r="H565" s="587" t="s">
        <v>263</v>
      </c>
      <c r="I565" s="584"/>
      <c r="J565" s="584"/>
      <c r="K565" s="584"/>
      <c r="L565" s="1179" t="str">
        <f>IFERROR(INDEX('Lower Hot Cell Logistics'!$I$13:$O$19,MATCH($J565,'Lower Hot Cell Logistics'!$H$13:$H$19,0),MATCH($K565,'Lower Hot Cell Logistics'!$H$13:$H$19,0)),"N/A")</f>
        <v>N/A</v>
      </c>
      <c r="M565" s="1179" t="str">
        <f>IFERROR(VLOOKUP($I565,'Lower Hot Cell Logistics'!$H$4:$I$8,2,FALSE),"N/A")</f>
        <v>N/A</v>
      </c>
      <c r="N565" s="1179" t="str">
        <f t="shared" si="44"/>
        <v>N/A</v>
      </c>
      <c r="O565" s="590"/>
      <c r="P565" s="591" t="str">
        <f>IF($D565="Logistics",VLOOKUP($O565,'Lower Hot Cell Logistics'!$C$4:$D$69,2,FALSE),"N/A")</f>
        <v>N/A</v>
      </c>
    </row>
    <row r="566" spans="1:19" s="89" customFormat="1" ht="15" hidden="1" customHeight="1" outlineLevel="1" x14ac:dyDescent="0.4">
      <c r="A566" s="2183"/>
      <c r="B566" s="3814" t="s">
        <v>2328</v>
      </c>
      <c r="C566" s="1324" t="s">
        <v>2340</v>
      </c>
      <c r="D566" s="1324" t="s">
        <v>907</v>
      </c>
      <c r="E566" s="1291">
        <f t="shared" si="45"/>
        <v>0</v>
      </c>
      <c r="F566" s="1291">
        <f>IF($D566="Trigger",VLOOKUP($C566,'Lower Hot Cell Weld Failure'!$D$513:$G$540,4,FALSE),E566+F565)</f>
        <v>13.202967059728389</v>
      </c>
      <c r="G566" s="825"/>
      <c r="H566" s="1323" t="s">
        <v>263</v>
      </c>
      <c r="I566" s="1721"/>
      <c r="J566" s="1324"/>
      <c r="K566" s="1324"/>
      <c r="L566" s="828" t="str">
        <f>IFERROR(INDEX('Lower Hot Cell Logistics'!$I$13:$O$19,MATCH($J566,'Lower Hot Cell Logistics'!$H$13:$H$19,0),MATCH($K566,'Lower Hot Cell Logistics'!$H$13:$H$19,0)),"N/A")</f>
        <v>N/A</v>
      </c>
      <c r="M566" s="827" t="str">
        <f>IFERROR(VLOOKUP($I566,'Lower Hot Cell Logistics'!$H$4:$I$8,2,FALSE),"N/A")</f>
        <v>N/A</v>
      </c>
      <c r="N566" s="2200" t="str">
        <f t="shared" si="44"/>
        <v>N/A</v>
      </c>
      <c r="O566" s="1327"/>
      <c r="P566" s="824" t="str">
        <f>IF($D566="Logistics",VLOOKUP($O566,'Lower Hot Cell Logistics'!$C$4:$D$69,2,FALSE),"N/A")</f>
        <v>N/A</v>
      </c>
      <c r="R566"/>
      <c r="S566"/>
    </row>
    <row r="567" spans="1:19" s="89" customFormat="1" ht="15" hidden="1" customHeight="1" outlineLevel="1" x14ac:dyDescent="0.4">
      <c r="A567" s="2183"/>
      <c r="B567" s="3815"/>
      <c r="C567" s="2349" t="s">
        <v>2141</v>
      </c>
      <c r="D567" s="1294" t="s">
        <v>778</v>
      </c>
      <c r="E567" s="1330">
        <f t="shared" si="45"/>
        <v>0.23148148148148148</v>
      </c>
      <c r="F567" s="1330">
        <f>IF($D567="Trigger",VLOOKUP($C567,'Lower Hot Cell Weld Failure'!$D$513:$G$540,4,FALSE),E567+F566)</f>
        <v>13.43444854120987</v>
      </c>
      <c r="G567" s="1722"/>
      <c r="H567" s="2219" t="s">
        <v>263</v>
      </c>
      <c r="I567" s="1724" t="s">
        <v>2142</v>
      </c>
      <c r="J567" s="1294" t="s">
        <v>451</v>
      </c>
      <c r="K567" s="1294" t="s">
        <v>2164</v>
      </c>
      <c r="L567" s="2042">
        <f>IFERROR(INDEX('Lower Hot Cell Logistics'!$I$13:$O$19,MATCH($J567,'Lower Hot Cell Logistics'!$H$13:$H$19,0),MATCH($K567,'Lower Hot Cell Logistics'!$H$13:$H$19,0)),"N/A")</f>
        <v>50</v>
      </c>
      <c r="M567" s="2220">
        <f>IFERROR(VLOOKUP($I567,'Lower Hot Cell Logistics'!$H$4:$I$8,2,FALSE),"N/A")</f>
        <v>0.06</v>
      </c>
      <c r="N567" s="1332">
        <f t="shared" si="44"/>
        <v>0.23148148148148148</v>
      </c>
      <c r="O567" s="1352"/>
      <c r="P567" s="1353" t="str">
        <f>IF($D567="Logistics",VLOOKUP($O567,'Lower Hot Cell Logistics'!$C$4:$D$69,2,FALSE),"N/A")</f>
        <v>N/A</v>
      </c>
      <c r="R567"/>
      <c r="S567"/>
    </row>
    <row r="568" spans="1:19" s="89" customFormat="1" ht="15" hidden="1" customHeight="1" outlineLevel="1" x14ac:dyDescent="0.4">
      <c r="A568" s="2183"/>
      <c r="B568" s="3815"/>
      <c r="C568" s="1362" t="s">
        <v>1757</v>
      </c>
      <c r="D568" s="1294" t="s">
        <v>3</v>
      </c>
      <c r="E568" s="1330">
        <f t="shared" si="45"/>
        <v>0.88000000000000012</v>
      </c>
      <c r="F568" s="1330">
        <f>IF($D568="Trigger",VLOOKUP($C568,'Lower Hot Cell Weld Failure'!$D$513:$G$540,4,FALSE),E568+F567)</f>
        <v>14.31444854120987</v>
      </c>
      <c r="G568" s="1722"/>
      <c r="H568" s="2219" t="s">
        <v>263</v>
      </c>
      <c r="I568" s="1724"/>
      <c r="J568" s="1294"/>
      <c r="K568" s="1294"/>
      <c r="L568" s="2042" t="str">
        <f>IFERROR(INDEX('Lower Hot Cell Logistics'!$I$13:$O$19,MATCH($J568,'Lower Hot Cell Logistics'!$H$13:$H$19,0),MATCH($K568,'Lower Hot Cell Logistics'!$H$13:$H$19,0)),"N/A")</f>
        <v>N/A</v>
      </c>
      <c r="M568" s="2220" t="str">
        <f>IFERROR(VLOOKUP($I568,'Lower Hot Cell Logistics'!$H$4:$I$8,2,FALSE),"N/A")</f>
        <v>N/A</v>
      </c>
      <c r="N568" s="1332" t="str">
        <f t="shared" si="44"/>
        <v>N/A</v>
      </c>
      <c r="O568" s="1352" t="s">
        <v>2144</v>
      </c>
      <c r="P568" s="1353">
        <f>IF($D568="Logistics",VLOOKUP($O568,'Lower Hot Cell Logistics'!$C$4:$D$69,2,FALSE),"N/A")</f>
        <v>0.88000000000000012</v>
      </c>
      <c r="R568"/>
      <c r="S568"/>
    </row>
    <row r="569" spans="1:19" s="89" customFormat="1" ht="15" hidden="1" customHeight="1" outlineLevel="1" x14ac:dyDescent="0.4">
      <c r="A569" s="2183"/>
      <c r="B569" s="3815"/>
      <c r="C569" s="1362" t="s">
        <v>2165</v>
      </c>
      <c r="D569" s="1294" t="s">
        <v>778</v>
      </c>
      <c r="E569" s="1330">
        <f t="shared" si="45"/>
        <v>2.7777777777777776E-2</v>
      </c>
      <c r="F569" s="1330">
        <f>IF($D569="Trigger",VLOOKUP($C569,'Lower Hot Cell Weld Failure'!$D$513:$G$540,4,FALSE),E569+F568)</f>
        <v>14.342226318987649</v>
      </c>
      <c r="G569" s="1722"/>
      <c r="H569" s="2219" t="s">
        <v>263</v>
      </c>
      <c r="I569" s="1724" t="s">
        <v>2166</v>
      </c>
      <c r="J569" s="1294" t="s">
        <v>2164</v>
      </c>
      <c r="K569" s="1294" t="s">
        <v>914</v>
      </c>
      <c r="L569" s="2042">
        <f>IFERROR(INDEX('Lower Hot Cell Logistics'!$I$13:$O$19,MATCH($J569,'Lower Hot Cell Logistics'!$H$13:$H$19,0),MATCH($K569,'Lower Hot Cell Logistics'!$H$13:$H$19,0)),"N/A")</f>
        <v>20</v>
      </c>
      <c r="M569" s="2220">
        <f>IFERROR(VLOOKUP($I569,'Lower Hot Cell Logistics'!$H$4:$I$8,2,FALSE),"N/A")</f>
        <v>0.2</v>
      </c>
      <c r="N569" s="1332">
        <f t="shared" si="44"/>
        <v>2.7777777777777776E-2</v>
      </c>
      <c r="O569" s="1352"/>
      <c r="P569" s="1353" t="str">
        <f>IF($D569="Logistics",VLOOKUP($O569,'Lower Hot Cell Logistics'!$C$4:$D$69,2,FALSE),"N/A")</f>
        <v>N/A</v>
      </c>
      <c r="R569"/>
      <c r="S569"/>
    </row>
    <row r="570" spans="1:19" s="89" customFormat="1" ht="15" hidden="1" customHeight="1" outlineLevel="1" x14ac:dyDescent="0.4">
      <c r="A570" s="2183"/>
      <c r="B570" s="3815"/>
      <c r="C570" s="1362" t="s">
        <v>2167</v>
      </c>
      <c r="D570" s="1294" t="s">
        <v>3</v>
      </c>
      <c r="E570" s="1330">
        <f t="shared" si="45"/>
        <v>0.88000000000000012</v>
      </c>
      <c r="F570" s="1330">
        <f>IF($D570="Trigger",VLOOKUP($C570,'Lower Hot Cell Weld Failure'!$D$513:$G$540,4,FALSE),E570+F569)</f>
        <v>15.22222631898765</v>
      </c>
      <c r="G570" s="1722"/>
      <c r="H570" s="2219" t="s">
        <v>263</v>
      </c>
      <c r="I570" s="1724"/>
      <c r="J570" s="1294"/>
      <c r="K570" s="1294"/>
      <c r="L570" s="2042" t="str">
        <f>IFERROR(INDEX('Lower Hot Cell Logistics'!$I$13:$O$19,MATCH($J570,'Lower Hot Cell Logistics'!$H$13:$H$19,0),MATCH($K570,'Lower Hot Cell Logistics'!$H$13:$H$19,0)),"N/A")</f>
        <v>N/A</v>
      </c>
      <c r="M570" s="2220" t="str">
        <f>IFERROR(VLOOKUP($I570,'Lower Hot Cell Logistics'!$H$4:$I$8,2,FALSE),"N/A")</f>
        <v>N/A</v>
      </c>
      <c r="N570" s="1332" t="str">
        <f t="shared" si="44"/>
        <v>N/A</v>
      </c>
      <c r="O570" s="1352" t="s">
        <v>2168</v>
      </c>
      <c r="P570" s="1353">
        <f>IF($D570="Logistics",VLOOKUP($O570,'Lower Hot Cell Logistics'!$C$4:$D$69,2,FALSE),"N/A")</f>
        <v>0.88000000000000012</v>
      </c>
      <c r="R570"/>
      <c r="S570"/>
    </row>
    <row r="571" spans="1:19" s="89" customFormat="1" ht="15" hidden="1" customHeight="1" outlineLevel="1" x14ac:dyDescent="0.4">
      <c r="A571" s="2183"/>
      <c r="B571" s="3815"/>
      <c r="C571" s="1362" t="s">
        <v>2145</v>
      </c>
      <c r="D571" s="1294" t="s">
        <v>778</v>
      </c>
      <c r="E571" s="1330">
        <f t="shared" si="45"/>
        <v>2.7777777777777776E-2</v>
      </c>
      <c r="F571" s="1330">
        <f>IF($D571="Trigger",VLOOKUP($C571,'Lower Hot Cell Weld Failure'!$D$513:$G$540,4,FALSE),E571+F570)</f>
        <v>15.250004096765428</v>
      </c>
      <c r="G571" s="1722"/>
      <c r="H571" s="2219" t="s">
        <v>263</v>
      </c>
      <c r="I571" s="1724" t="s">
        <v>2146</v>
      </c>
      <c r="J571" s="1294" t="s">
        <v>914</v>
      </c>
      <c r="K571" s="1294" t="s">
        <v>799</v>
      </c>
      <c r="L571" s="2042">
        <f>IFERROR(INDEX('Lower Hot Cell Logistics'!$I$13:$O$19,MATCH($J571,'Lower Hot Cell Logistics'!$H$13:$H$19,0),MATCH($K571,'Lower Hot Cell Logistics'!$H$13:$H$19,0)),"N/A")</f>
        <v>20</v>
      </c>
      <c r="M571" s="2220">
        <f>IFERROR(VLOOKUP($I571,'Lower Hot Cell Logistics'!$H$4:$I$8,2,FALSE),"N/A")</f>
        <v>0.2</v>
      </c>
      <c r="N571" s="1332">
        <f t="shared" si="44"/>
        <v>2.7777777777777776E-2</v>
      </c>
      <c r="O571" s="1352"/>
      <c r="P571" s="1353" t="str">
        <f>IF($D571="Logistics",VLOOKUP($O571,'Lower Hot Cell Logistics'!$C$4:$D$69,2,FALSE),"N/A")</f>
        <v>N/A</v>
      </c>
      <c r="R571"/>
      <c r="S571"/>
    </row>
    <row r="572" spans="1:19" s="89" customFormat="1" ht="14.6" hidden="1" outlineLevel="1" x14ac:dyDescent="0.4">
      <c r="A572" s="2183"/>
      <c r="B572" s="3815"/>
      <c r="C572" s="1294" t="s">
        <v>2169</v>
      </c>
      <c r="D572" s="1294" t="s">
        <v>3</v>
      </c>
      <c r="E572" s="1292">
        <f t="shared" si="45"/>
        <v>0.68</v>
      </c>
      <c r="F572" s="1292">
        <f>IF($D572="Trigger",VLOOKUP($C572,'Lower Hot Cell Weld Failure'!$D$513:$G$540,4,FALSE),E572+F571)</f>
        <v>15.930004096765428</v>
      </c>
      <c r="G572" s="862"/>
      <c r="H572" s="1328" t="s">
        <v>263</v>
      </c>
      <c r="I572" s="1724"/>
      <c r="J572" s="1294"/>
      <c r="K572" s="1294"/>
      <c r="L572" s="865" t="str">
        <f>IFERROR(INDEX('Lower Hot Cell Logistics'!$I$13:$O$19,MATCH($J572,'Lower Hot Cell Logistics'!$H$13:$H$19,0),MATCH($K572,'Lower Hot Cell Logistics'!$H$13:$H$19,0)),"N/A")</f>
        <v>N/A</v>
      </c>
      <c r="M572" s="864" t="str">
        <f>IFERROR(VLOOKUP($I572,'Lower Hot Cell Logistics'!$H$4:$I$8,2,FALSE),"N/A")</f>
        <v>N/A</v>
      </c>
      <c r="N572" s="2197" t="str">
        <f t="shared" si="44"/>
        <v>N/A</v>
      </c>
      <c r="O572" s="1331" t="s">
        <v>2148</v>
      </c>
      <c r="P572" s="1332">
        <f>IF($D572="Logistics",VLOOKUP($O572,'Lower Hot Cell Logistics'!$C$4:$D$69,2,FALSE),"N/A")</f>
        <v>0.68</v>
      </c>
      <c r="R572"/>
      <c r="S572"/>
    </row>
    <row r="573" spans="1:19" s="89" customFormat="1" ht="14.6" hidden="1" outlineLevel="1" x14ac:dyDescent="0.4">
      <c r="A573" s="2183"/>
      <c r="B573" s="3815"/>
      <c r="C573" s="1294" t="s">
        <v>2162</v>
      </c>
      <c r="D573" s="1294" t="s">
        <v>778</v>
      </c>
      <c r="E573" s="1292">
        <f t="shared" si="45"/>
        <v>0.69444444444444442</v>
      </c>
      <c r="F573" s="1292">
        <f>IF($D573="Trigger",VLOOKUP($C573,'Lower Hot Cell Weld Failure'!$D$513:$G$540,4,FALSE),E573+F572)</f>
        <v>16.624448541209873</v>
      </c>
      <c r="G573" s="862"/>
      <c r="H573" s="1328" t="s">
        <v>263</v>
      </c>
      <c r="I573" s="1724" t="s">
        <v>1826</v>
      </c>
      <c r="J573" s="1294" t="s">
        <v>799</v>
      </c>
      <c r="K573" s="1294" t="s">
        <v>451</v>
      </c>
      <c r="L573" s="865">
        <f>IFERROR(INDEX('Lower Hot Cell Logistics'!$I$13:$O$19,MATCH($J573,'Lower Hot Cell Logistics'!$H$13:$H$19,0),MATCH($K573,'Lower Hot Cell Logistics'!$H$13:$H$19,0)),"N/A")</f>
        <v>50</v>
      </c>
      <c r="M573" s="865">
        <f>IFERROR(VLOOKUP($I573,'Lower Hot Cell Logistics'!$H$4:$I$8,2,FALSE),"N/A")</f>
        <v>0.02</v>
      </c>
      <c r="N573" s="2197">
        <f t="shared" si="44"/>
        <v>0.69444444444444442</v>
      </c>
      <c r="O573" s="1331"/>
      <c r="P573" s="1332" t="str">
        <f>IF($D573="Logistics",VLOOKUP($O573,'Lower Hot Cell Logistics'!$C$4:$D$69,2,FALSE),"N/A")</f>
        <v>N/A</v>
      </c>
      <c r="R573"/>
      <c r="S573"/>
    </row>
    <row r="574" spans="1:19" s="89" customFormat="1" ht="39.450000000000003" hidden="1" outlineLevel="1" thickBot="1" x14ac:dyDescent="0.45">
      <c r="A574" s="2183"/>
      <c r="B574" s="3816"/>
      <c r="C574" s="1340" t="str">
        <f>B566</f>
        <v>Right Divertor Pipework Module Stored; pipe module handling system stored; Divertor cassette transporter collected and moved to Lower Port</v>
      </c>
      <c r="D574" s="1340" t="s">
        <v>11</v>
      </c>
      <c r="E574" s="1295">
        <f t="shared" si="45"/>
        <v>0</v>
      </c>
      <c r="F574" s="1295">
        <f>IF($D574="Trigger",VLOOKUP($C574,'Lower Hot Cell Weld Failure'!$D$513:$G$540,4,FALSE),E574+F573)</f>
        <v>16.624448541209873</v>
      </c>
      <c r="G574" s="839"/>
      <c r="H574" s="1341" t="s">
        <v>263</v>
      </c>
      <c r="I574" s="1727"/>
      <c r="J574" s="1340"/>
      <c r="K574" s="1340"/>
      <c r="L574" s="842" t="str">
        <f>IFERROR(INDEX('Lower Hot Cell Logistics'!$I$13:$O$19,MATCH($J574,'Lower Hot Cell Logistics'!$H$13:$H$19,0),MATCH($K574,'Lower Hot Cell Logistics'!$H$13:$H$19,0)),"N/A")</f>
        <v>N/A</v>
      </c>
      <c r="M574" s="842" t="str">
        <f>IFERROR(VLOOKUP($I574,'Lower Hot Cell Logistics'!$H$4:$I$8,2,FALSE),"N/A")</f>
        <v>N/A</v>
      </c>
      <c r="N574" s="2199" t="str">
        <f>IF(D574="Movement",IFERROR((L574/M574)/(60*60),"Error"),"N/A")</f>
        <v>N/A</v>
      </c>
      <c r="O574" s="1344"/>
      <c r="P574" s="1345" t="str">
        <f>IF($D574="Logistics",VLOOKUP($O574,'Lower Hot Cell Logistics'!$C$4:$D$69,2,FALSE),"N/A")</f>
        <v>N/A</v>
      </c>
      <c r="R574"/>
      <c r="S574"/>
    </row>
    <row r="575" spans="1:19" s="89" customFormat="1" ht="15" hidden="1" customHeight="1" outlineLevel="1" x14ac:dyDescent="0.4">
      <c r="A575" s="2183"/>
      <c r="B575" s="3787" t="s">
        <v>2329</v>
      </c>
      <c r="C575" s="617" t="s">
        <v>2360</v>
      </c>
      <c r="D575" s="617" t="s">
        <v>907</v>
      </c>
      <c r="E575" s="567">
        <f t="shared" si="45"/>
        <v>0</v>
      </c>
      <c r="F575" s="567">
        <f>IF($D575="Trigger",VLOOKUP($C575,'Lower Hot Cell Weld Failure'!$D$513:$G$540,4,FALSE),E575+F574)</f>
        <v>24.70296705972839</v>
      </c>
      <c r="G575" s="568"/>
      <c r="H575" s="569" t="s">
        <v>263</v>
      </c>
      <c r="I575" s="1270"/>
      <c r="J575" s="617"/>
      <c r="K575" s="617"/>
      <c r="L575" s="570" t="str">
        <f>IFERROR(INDEX('Lower Hot Cell Logistics'!$I$13:$O$19,MATCH($J575,'Lower Hot Cell Logistics'!$H$13:$H$19,0),MATCH($K575,'Lower Hot Cell Logistics'!$H$13:$H$19,0)),"N/A")</f>
        <v>N/A</v>
      </c>
      <c r="M575" s="802" t="str">
        <f>IFERROR(VLOOKUP($I575,'Lower Hot Cell Logistics'!$H$4:$I$8,2,FALSE),"N/A")</f>
        <v>N/A</v>
      </c>
      <c r="N575" s="1182" t="str">
        <f t="shared" ref="N575:N606" si="46">IF(D575="Movement",IFERROR((L575/M575)/(60*60),"Error"),"N/A")</f>
        <v>N/A</v>
      </c>
      <c r="O575" s="620"/>
      <c r="P575" s="621" t="str">
        <f>IF($D575="Logistics",VLOOKUP($O575,'Lower Hot Cell Logistics'!$C$4:$D$69,2,FALSE),"N/A")</f>
        <v>N/A</v>
      </c>
      <c r="R575"/>
      <c r="S575"/>
    </row>
    <row r="576" spans="1:19" s="89" customFormat="1" ht="15" hidden="1" customHeight="1" outlineLevel="1" x14ac:dyDescent="0.4">
      <c r="A576" s="2183"/>
      <c r="B576" s="3786"/>
      <c r="C576" s="1275" t="s">
        <v>2141</v>
      </c>
      <c r="D576" s="572" t="s">
        <v>778</v>
      </c>
      <c r="E576" s="578">
        <f t="shared" si="45"/>
        <v>0.69444444444444442</v>
      </c>
      <c r="F576" s="578">
        <f>IF($D576="Trigger",VLOOKUP($C576,'Lower Hot Cell Weld Failure'!$D$513:$G$540,4,FALSE),E576+F575)</f>
        <v>25.397411504172833</v>
      </c>
      <c r="G576" s="872"/>
      <c r="H576" s="2221" t="s">
        <v>263</v>
      </c>
      <c r="I576" s="1281" t="s">
        <v>2171</v>
      </c>
      <c r="J576" s="572" t="s">
        <v>451</v>
      </c>
      <c r="K576" s="572" t="s">
        <v>831</v>
      </c>
      <c r="L576" s="1176">
        <f>IFERROR(INDEX('Lower Hot Cell Logistics'!$I$13:$O$19,MATCH($J576,'Lower Hot Cell Logistics'!$H$13:$H$19,0),MATCH($K576,'Lower Hot Cell Logistics'!$H$13:$H$19,0)),"N/A")</f>
        <v>50</v>
      </c>
      <c r="M576" s="2222">
        <f>IFERROR(VLOOKUP($I576,'Lower Hot Cell Logistics'!$H$4:$I$8,2,FALSE),"N/A")</f>
        <v>0.02</v>
      </c>
      <c r="N576" s="580">
        <f t="shared" si="46"/>
        <v>0.69444444444444442</v>
      </c>
      <c r="O576" s="631"/>
      <c r="P576" s="632" t="str">
        <f>IF($D576="Logistics",VLOOKUP($O576,'Lower Hot Cell Logistics'!$C$4:$D$69,2,FALSE),"N/A")</f>
        <v>N/A</v>
      </c>
      <c r="R576"/>
      <c r="S576"/>
    </row>
    <row r="577" spans="1:19" s="89" customFormat="1" ht="15" hidden="1" customHeight="1" outlineLevel="1" x14ac:dyDescent="0.4">
      <c r="A577" s="2183"/>
      <c r="B577" s="3786"/>
      <c r="C577" s="1275" t="s">
        <v>1988</v>
      </c>
      <c r="D577" s="572" t="s">
        <v>3</v>
      </c>
      <c r="E577" s="578">
        <f t="shared" si="45"/>
        <v>0.88000000000000012</v>
      </c>
      <c r="F577" s="578">
        <f>IF($D577="Trigger",VLOOKUP($C577,'Lower Hot Cell Weld Failure'!$D$513:$G$540,4,FALSE),E577+F576)</f>
        <v>26.277411504172832</v>
      </c>
      <c r="G577" s="872"/>
      <c r="H577" s="2221" t="s">
        <v>263</v>
      </c>
      <c r="I577" s="1281"/>
      <c r="J577" s="572"/>
      <c r="K577" s="572"/>
      <c r="L577" s="1176" t="str">
        <f>IFERROR(INDEX('Lower Hot Cell Logistics'!$I$13:$O$19,MATCH($J577,'Lower Hot Cell Logistics'!$H$13:$H$19,0),MATCH($K577,'Lower Hot Cell Logistics'!$H$13:$H$19,0)),"N/A")</f>
        <v>N/A</v>
      </c>
      <c r="M577" s="2222" t="str">
        <f>IFERROR(VLOOKUP($I577,'Lower Hot Cell Logistics'!$H$4:$I$8,2,FALSE),"N/A")</f>
        <v>N/A</v>
      </c>
      <c r="N577" s="580" t="str">
        <f t="shared" si="46"/>
        <v>N/A</v>
      </c>
      <c r="O577" s="631" t="s">
        <v>2144</v>
      </c>
      <c r="P577" s="632">
        <f>IF($D577="Logistics",VLOOKUP($O577,'Lower Hot Cell Logistics'!$C$4:$D$69,2,FALSE),"N/A")</f>
        <v>0.88000000000000012</v>
      </c>
      <c r="R577"/>
      <c r="S577"/>
    </row>
    <row r="578" spans="1:19" s="89" customFormat="1" ht="14.6" hidden="1" outlineLevel="1" x14ac:dyDescent="0.4">
      <c r="A578" s="2183"/>
      <c r="B578" s="3786"/>
      <c r="C578" s="572" t="s">
        <v>2162</v>
      </c>
      <c r="D578" s="572" t="s">
        <v>778</v>
      </c>
      <c r="E578" s="574">
        <f t="shared" si="45"/>
        <v>0.69444444444444442</v>
      </c>
      <c r="F578" s="578">
        <f>IF($D578="Trigger",VLOOKUP($C578,'Lower Hot Cell Weld Failure'!$D$513:$G$540,4,FALSE),E578+F577)</f>
        <v>26.971855948617275</v>
      </c>
      <c r="G578" s="575"/>
      <c r="H578" s="576" t="s">
        <v>263</v>
      </c>
      <c r="I578" s="1281" t="s">
        <v>1826</v>
      </c>
      <c r="J578" s="572" t="s">
        <v>799</v>
      </c>
      <c r="K578" s="572" t="s">
        <v>451</v>
      </c>
      <c r="L578" s="853">
        <f>IFERROR(INDEX('Lower Hot Cell Logistics'!$I$13:$O$19,MATCH($J578,'Lower Hot Cell Logistics'!$H$13:$H$19,0),MATCH($K578,'Lower Hot Cell Logistics'!$H$13:$H$19,0)),"N/A")</f>
        <v>50</v>
      </c>
      <c r="M578" s="853">
        <f>IFERROR(VLOOKUP($I578,'Lower Hot Cell Logistics'!$H$4:$I$8,2,FALSE),"N/A")</f>
        <v>0.02</v>
      </c>
      <c r="N578" s="1180">
        <f t="shared" si="46"/>
        <v>0.69444444444444442</v>
      </c>
      <c r="O578" s="579"/>
      <c r="P578" s="580" t="str">
        <f>IF($D578="Logistics",VLOOKUP($O578,'Lower Hot Cell Logistics'!$C$4:$D$69,2,FALSE),"N/A")</f>
        <v>N/A</v>
      </c>
      <c r="R578"/>
      <c r="S578"/>
    </row>
    <row r="579" spans="1:19" s="89" customFormat="1" ht="26.6" hidden="1" outlineLevel="1" thickBot="1" x14ac:dyDescent="0.45">
      <c r="A579" s="2183"/>
      <c r="B579" s="3788"/>
      <c r="C579" s="583" t="str">
        <f>B575</f>
        <v>Central Divertor cassette stored and transporter moved to divertor Port</v>
      </c>
      <c r="D579" s="583" t="s">
        <v>11</v>
      </c>
      <c r="E579" s="585">
        <f t="shared" si="45"/>
        <v>0</v>
      </c>
      <c r="F579" s="585">
        <f>IF($D579="Trigger",VLOOKUP($C579,'Lower Hot Cell Weld Failure'!$D$513:$G$540,4,FALSE),E579+F578)</f>
        <v>26.971855948617275</v>
      </c>
      <c r="G579" s="586"/>
      <c r="H579" s="587" t="s">
        <v>263</v>
      </c>
      <c r="I579" s="1720"/>
      <c r="J579" s="583"/>
      <c r="K579" s="583"/>
      <c r="L579" s="814" t="str">
        <f>IFERROR(INDEX('Lower Hot Cell Logistics'!$I$13:$O$19,MATCH($J579,'Lower Hot Cell Logistics'!$H$13:$H$19,0),MATCH($K579,'Lower Hot Cell Logistics'!$H$13:$H$19,0)),"N/A")</f>
        <v>N/A</v>
      </c>
      <c r="M579" s="814" t="str">
        <f>IFERROR(VLOOKUP($I579,'Lower Hot Cell Logistics'!$H$4:$I$8,2,FALSE),"N/A")</f>
        <v>N/A</v>
      </c>
      <c r="N579" s="1181" t="str">
        <f t="shared" si="46"/>
        <v>N/A</v>
      </c>
      <c r="O579" s="590"/>
      <c r="P579" s="591" t="str">
        <f>IF($D579="Logistics",VLOOKUP($O579,'Lower Hot Cell Logistics'!$C$4:$D$69,2,FALSE),"N/A")</f>
        <v>N/A</v>
      </c>
      <c r="R579"/>
      <c r="S579"/>
    </row>
    <row r="580" spans="1:19" s="89" customFormat="1" ht="15" hidden="1" customHeight="1" outlineLevel="1" x14ac:dyDescent="0.4">
      <c r="A580" s="2183"/>
      <c r="B580" s="3814" t="s">
        <v>2330</v>
      </c>
      <c r="C580" s="1324" t="s">
        <v>2361</v>
      </c>
      <c r="D580" s="1324" t="s">
        <v>907</v>
      </c>
      <c r="E580" s="1291">
        <f t="shared" si="45"/>
        <v>0</v>
      </c>
      <c r="F580" s="1291">
        <f>IF($D580="Trigger",VLOOKUP($C580,'Lower Hot Cell Weld Failure'!$D$513:$G$540,4,FALSE),E580+F579)</f>
        <v>27.482967059728391</v>
      </c>
      <c r="G580" s="825"/>
      <c r="H580" s="1323" t="s">
        <v>263</v>
      </c>
      <c r="I580" s="1721"/>
      <c r="J580" s="1324"/>
      <c r="K580" s="1324"/>
      <c r="L580" s="828" t="str">
        <f>IFERROR(INDEX('Lower Hot Cell Logistics'!$I$13:$O$19,MATCH($J580,'Lower Hot Cell Logistics'!$H$13:$H$19,0),MATCH($K580,'Lower Hot Cell Logistics'!$H$13:$H$19,0)),"N/A")</f>
        <v>N/A</v>
      </c>
      <c r="M580" s="827" t="str">
        <f>IFERROR(VLOOKUP($I580,'Lower Hot Cell Logistics'!$H$4:$I$8,2,FALSE),"N/A")</f>
        <v>N/A</v>
      </c>
      <c r="N580" s="2200" t="str">
        <f t="shared" si="46"/>
        <v>N/A</v>
      </c>
      <c r="O580" s="1327"/>
      <c r="P580" s="824" t="str">
        <f>IF($D580="Logistics",VLOOKUP($O580,'Lower Hot Cell Logistics'!$C$4:$D$69,2,FALSE),"N/A")</f>
        <v>N/A</v>
      </c>
      <c r="R580"/>
      <c r="S580"/>
    </row>
    <row r="581" spans="1:19" s="89" customFormat="1" ht="15" hidden="1" customHeight="1" outlineLevel="1" x14ac:dyDescent="0.4">
      <c r="A581" s="2183"/>
      <c r="B581" s="3815"/>
      <c r="C581" s="1362" t="s">
        <v>2141</v>
      </c>
      <c r="D581" s="1294" t="s">
        <v>778</v>
      </c>
      <c r="E581" s="1330">
        <f t="shared" si="45"/>
        <v>0.69444444444444442</v>
      </c>
      <c r="F581" s="1330">
        <f>IF($D581="Trigger",VLOOKUP($C581,'Lower Hot Cell Weld Failure'!$D$513:$G$540,4,FALSE),E581+F580)</f>
        <v>28.177411504172834</v>
      </c>
      <c r="G581" s="1722"/>
      <c r="H581" s="2219" t="s">
        <v>263</v>
      </c>
      <c r="I581" s="1724" t="s">
        <v>2171</v>
      </c>
      <c r="J581" s="1294" t="s">
        <v>451</v>
      </c>
      <c r="K581" s="1294" t="s">
        <v>831</v>
      </c>
      <c r="L581" s="2042">
        <f>IFERROR(INDEX('Lower Hot Cell Logistics'!$I$13:$O$19,MATCH($J581,'Lower Hot Cell Logistics'!$H$13:$H$19,0),MATCH($K581,'Lower Hot Cell Logistics'!$H$13:$H$19,0)),"N/A")</f>
        <v>50</v>
      </c>
      <c r="M581" s="2220">
        <f>IFERROR(VLOOKUP($I581,'Lower Hot Cell Logistics'!$H$4:$I$8,2,FALSE),"N/A")</f>
        <v>0.02</v>
      </c>
      <c r="N581" s="1332">
        <f t="shared" si="46"/>
        <v>0.69444444444444442</v>
      </c>
      <c r="O581" s="1352"/>
      <c r="P581" s="1353" t="str">
        <f>IF($D581="Logistics",VLOOKUP($O581,'Lower Hot Cell Logistics'!$C$4:$D$69,2,FALSE),"N/A")</f>
        <v>N/A</v>
      </c>
      <c r="R581"/>
      <c r="S581"/>
    </row>
    <row r="582" spans="1:19" s="89" customFormat="1" ht="15" hidden="1" customHeight="1" outlineLevel="1" x14ac:dyDescent="0.4">
      <c r="A582" s="2183"/>
      <c r="B582" s="3815"/>
      <c r="C582" s="1362" t="s">
        <v>1988</v>
      </c>
      <c r="D582" s="1294" t="s">
        <v>3</v>
      </c>
      <c r="E582" s="1330">
        <f t="shared" si="45"/>
        <v>0.88000000000000012</v>
      </c>
      <c r="F582" s="1330">
        <f>IF($D582="Trigger",VLOOKUP($C582,'Lower Hot Cell Weld Failure'!$D$513:$G$540,4,FALSE),E582+F581)</f>
        <v>29.057411504172833</v>
      </c>
      <c r="G582" s="1722"/>
      <c r="H582" s="2219" t="s">
        <v>263</v>
      </c>
      <c r="I582" s="1724"/>
      <c r="J582" s="1294"/>
      <c r="K582" s="1294"/>
      <c r="L582" s="2042" t="str">
        <f>IFERROR(INDEX('Lower Hot Cell Logistics'!$I$13:$O$19,MATCH($J582,'Lower Hot Cell Logistics'!$H$13:$H$19,0),MATCH($K582,'Lower Hot Cell Logistics'!$H$13:$H$19,0)),"N/A")</f>
        <v>N/A</v>
      </c>
      <c r="M582" s="2220" t="str">
        <f>IFERROR(VLOOKUP($I582,'Lower Hot Cell Logistics'!$H$4:$I$8,2,FALSE),"N/A")</f>
        <v>N/A</v>
      </c>
      <c r="N582" s="1332" t="str">
        <f t="shared" si="46"/>
        <v>N/A</v>
      </c>
      <c r="O582" s="1352" t="s">
        <v>2144</v>
      </c>
      <c r="P582" s="1353">
        <f>IF($D582="Logistics",VLOOKUP($O582,'Lower Hot Cell Logistics'!$C$4:$D$69,2,FALSE),"N/A")</f>
        <v>0.88000000000000012</v>
      </c>
      <c r="R582"/>
      <c r="S582"/>
    </row>
    <row r="583" spans="1:19" s="89" customFormat="1" ht="15" hidden="1" customHeight="1" outlineLevel="1" x14ac:dyDescent="0.4">
      <c r="A583" s="2183"/>
      <c r="B583" s="3815"/>
      <c r="C583" s="1362" t="s">
        <v>2362</v>
      </c>
      <c r="D583" s="1294" t="s">
        <v>778</v>
      </c>
      <c r="E583" s="1330">
        <f t="shared" si="45"/>
        <v>4.6296296296296301E-2</v>
      </c>
      <c r="F583" s="1330">
        <f>IF($D583="Trigger",VLOOKUP($C583,'Lower Hot Cell Weld Failure'!$D$513:$G$540,4,FALSE),E583+F582)</f>
        <v>29.103707800469131</v>
      </c>
      <c r="G583" s="1722"/>
      <c r="H583" s="2219" t="s">
        <v>263</v>
      </c>
      <c r="I583" s="1724" t="s">
        <v>2142</v>
      </c>
      <c r="J583" s="1294" t="s">
        <v>831</v>
      </c>
      <c r="K583" s="1294" t="s">
        <v>858</v>
      </c>
      <c r="L583" s="2042">
        <f>IFERROR(INDEX('Lower Hot Cell Logistics'!$I$13:$O$19,MATCH($J583,'Lower Hot Cell Logistics'!$H$13:$H$19,0),MATCH($K583,'Lower Hot Cell Logistics'!$H$13:$H$19,0)),"N/A")</f>
        <v>10</v>
      </c>
      <c r="M583" s="2220">
        <f>IFERROR(VLOOKUP($I583,'Lower Hot Cell Logistics'!$H$4:$I$8,2,FALSE),"N/A")</f>
        <v>0.06</v>
      </c>
      <c r="N583" s="1332">
        <f t="shared" si="46"/>
        <v>4.6296296296296301E-2</v>
      </c>
      <c r="O583" s="1352"/>
      <c r="P583" s="1353" t="str">
        <f>IF($D583="Logistics",VLOOKUP($O583,'Lower Hot Cell Logistics'!$C$4:$D$69,2,FALSE),"N/A")</f>
        <v>N/A</v>
      </c>
      <c r="R583"/>
      <c r="S583"/>
    </row>
    <row r="584" spans="1:19" s="89" customFormat="1" ht="15" hidden="1" customHeight="1" outlineLevel="1" x14ac:dyDescent="0.4">
      <c r="A584" s="2183"/>
      <c r="B584" s="3815"/>
      <c r="C584" s="1362" t="s">
        <v>2363</v>
      </c>
      <c r="D584" s="1294" t="s">
        <v>3</v>
      </c>
      <c r="E584" s="1330">
        <f t="shared" si="45"/>
        <v>0.68</v>
      </c>
      <c r="F584" s="1330">
        <f>IF($D584="Trigger",VLOOKUP($C584,'Lower Hot Cell Weld Failure'!$D$513:$G$540,4,FALSE),E584+F583)</f>
        <v>29.783707800469131</v>
      </c>
      <c r="G584" s="1722"/>
      <c r="H584" s="2219" t="s">
        <v>263</v>
      </c>
      <c r="I584" s="1724"/>
      <c r="J584" s="1294"/>
      <c r="K584" s="1294"/>
      <c r="L584" s="2042" t="str">
        <f>IFERROR(INDEX('Lower Hot Cell Logistics'!$I$13:$O$19,MATCH($J584,'Lower Hot Cell Logistics'!$H$13:$H$19,0),MATCH($K584,'Lower Hot Cell Logistics'!$H$13:$H$19,0)),"N/A")</f>
        <v>N/A</v>
      </c>
      <c r="M584" s="2220" t="str">
        <f>IFERROR(VLOOKUP($I584,'Lower Hot Cell Logistics'!$H$4:$I$8,2,FALSE),"N/A")</f>
        <v>N/A</v>
      </c>
      <c r="N584" s="1332" t="str">
        <f t="shared" si="46"/>
        <v>N/A</v>
      </c>
      <c r="O584" s="1352" t="s">
        <v>2139</v>
      </c>
      <c r="P584" s="1353">
        <f>IF($D584="Logistics",VLOOKUP($O584,'Lower Hot Cell Logistics'!$C$4:$D$69,2,FALSE),"N/A")</f>
        <v>0.68</v>
      </c>
      <c r="R584"/>
      <c r="S584"/>
    </row>
    <row r="585" spans="1:19" s="89" customFormat="1" ht="14.6" hidden="1" outlineLevel="1" x14ac:dyDescent="0.4">
      <c r="A585" s="2183"/>
      <c r="B585" s="3815"/>
      <c r="C585" s="1294" t="s">
        <v>2162</v>
      </c>
      <c r="D585" s="1294" t="s">
        <v>778</v>
      </c>
      <c r="E585" s="1292">
        <f t="shared" si="45"/>
        <v>0.69444444444444442</v>
      </c>
      <c r="F585" s="1330">
        <f>IF($D585="Trigger",VLOOKUP($C585,'Lower Hot Cell Weld Failure'!$D$513:$G$540,4,FALSE),E585+F584)</f>
        <v>30.478152244913574</v>
      </c>
      <c r="G585" s="862"/>
      <c r="H585" s="1328" t="s">
        <v>263</v>
      </c>
      <c r="I585" s="1724" t="s">
        <v>1826</v>
      </c>
      <c r="J585" s="1294" t="s">
        <v>799</v>
      </c>
      <c r="K585" s="1294" t="s">
        <v>451</v>
      </c>
      <c r="L585" s="865">
        <f>IFERROR(INDEX('Lower Hot Cell Logistics'!$I$13:$O$19,MATCH($J585,'Lower Hot Cell Logistics'!$H$13:$H$19,0),MATCH($K585,'Lower Hot Cell Logistics'!$H$13:$H$19,0)),"N/A")</f>
        <v>50</v>
      </c>
      <c r="M585" s="865">
        <f>IFERROR(VLOOKUP($I585,'Lower Hot Cell Logistics'!$H$4:$I$8,2,FALSE),"N/A")</f>
        <v>0.02</v>
      </c>
      <c r="N585" s="2197">
        <f t="shared" si="46"/>
        <v>0.69444444444444442</v>
      </c>
      <c r="O585" s="1331"/>
      <c r="P585" s="1332" t="str">
        <f>IF($D585="Logistics",VLOOKUP($O585,'Lower Hot Cell Logistics'!$C$4:$D$69,2,FALSE),"N/A")</f>
        <v>N/A</v>
      </c>
      <c r="R585"/>
      <c r="S585"/>
    </row>
    <row r="586" spans="1:19" s="89" customFormat="1" ht="26.6" hidden="1" outlineLevel="1" thickBot="1" x14ac:dyDescent="0.45">
      <c r="A586" s="2183"/>
      <c r="B586" s="3816"/>
      <c r="C586" s="1340" t="str">
        <f>B580</f>
        <v>Left Divertor cassette stored; replacement right divertor cassette collected; transporter moved to divertor Port</v>
      </c>
      <c r="D586" s="1340" t="s">
        <v>11</v>
      </c>
      <c r="E586" s="1295">
        <f t="shared" si="45"/>
        <v>0</v>
      </c>
      <c r="F586" s="1295">
        <f>IF($D586="Trigger",VLOOKUP($C586,'Lower Hot Cell Weld Failure'!$D$513:$G$540,4,FALSE),E586+F585)</f>
        <v>30.478152244913574</v>
      </c>
      <c r="G586" s="839"/>
      <c r="H586" s="1341" t="s">
        <v>263</v>
      </c>
      <c r="I586" s="1727"/>
      <c r="J586" s="1340"/>
      <c r="K586" s="1340"/>
      <c r="L586" s="842" t="str">
        <f>IFERROR(INDEX('Lower Hot Cell Logistics'!$I$13:$O$19,MATCH($J586,'Lower Hot Cell Logistics'!$H$13:$H$19,0),MATCH($K586,'Lower Hot Cell Logistics'!$H$13:$H$19,0)),"N/A")</f>
        <v>N/A</v>
      </c>
      <c r="M586" s="842" t="str">
        <f>IFERROR(VLOOKUP($I586,'Lower Hot Cell Logistics'!$H$4:$I$8,2,FALSE),"N/A")</f>
        <v>N/A</v>
      </c>
      <c r="N586" s="2199" t="str">
        <f t="shared" si="46"/>
        <v>N/A</v>
      </c>
      <c r="O586" s="1344"/>
      <c r="P586" s="1345" t="str">
        <f>IF($D586="Logistics",VLOOKUP($O586,'Lower Hot Cell Logistics'!$C$4:$D$69,2,FALSE),"N/A")</f>
        <v>N/A</v>
      </c>
      <c r="R586"/>
      <c r="S586"/>
    </row>
    <row r="587" spans="1:19" s="89" customFormat="1" ht="15" hidden="1" customHeight="1" outlineLevel="1" x14ac:dyDescent="0.4">
      <c r="A587" s="2183"/>
      <c r="B587" s="3787" t="s">
        <v>2364</v>
      </c>
      <c r="C587" s="617" t="s">
        <v>2036</v>
      </c>
      <c r="D587" s="617" t="s">
        <v>907</v>
      </c>
      <c r="E587" s="567">
        <f t="shared" si="45"/>
        <v>0</v>
      </c>
      <c r="F587" s="567">
        <f>IF($D587="Trigger",VLOOKUP($C587,'Lower Hot Cell Weld Failure'!$D$513:$G$540,4,FALSE),E587+F586)</f>
        <v>29.662967059728391</v>
      </c>
      <c r="G587" s="568"/>
      <c r="H587" s="569" t="s">
        <v>263</v>
      </c>
      <c r="I587" s="1270"/>
      <c r="J587" s="617"/>
      <c r="K587" s="617"/>
      <c r="L587" s="570" t="str">
        <f>IFERROR(INDEX('Lower Hot Cell Logistics'!$I$13:$O$19,MATCH($J587,'Lower Hot Cell Logistics'!$H$13:$H$19,0),MATCH($K587,'Lower Hot Cell Logistics'!$H$13:$H$19,0)),"N/A")</f>
        <v>N/A</v>
      </c>
      <c r="M587" s="802" t="str">
        <f>IFERROR(VLOOKUP($I587,'Lower Hot Cell Logistics'!$H$4:$I$8,2,FALSE),"N/A")</f>
        <v>N/A</v>
      </c>
      <c r="N587" s="1182" t="str">
        <f t="shared" si="46"/>
        <v>N/A</v>
      </c>
      <c r="O587" s="620"/>
      <c r="P587" s="621" t="str">
        <f>IF($D587="Logistics",VLOOKUP($O587,'Lower Hot Cell Logistics'!$C$4:$D$69,2,FALSE),"N/A")</f>
        <v>N/A</v>
      </c>
      <c r="R587"/>
      <c r="S587"/>
    </row>
    <row r="588" spans="1:19" s="89" customFormat="1" ht="15" hidden="1" customHeight="1" outlineLevel="1" x14ac:dyDescent="0.4">
      <c r="A588" s="2183"/>
      <c r="B588" s="3786"/>
      <c r="C588" s="1275" t="s">
        <v>2141</v>
      </c>
      <c r="D588" s="572" t="s">
        <v>778</v>
      </c>
      <c r="E588" s="578">
        <f t="shared" si="45"/>
        <v>0.69444444444444442</v>
      </c>
      <c r="F588" s="578">
        <f>IF($D588="Trigger",VLOOKUP($C588,'Lower Hot Cell Weld Failure'!$D$513:$G$540,4,FALSE),E588+F587)</f>
        <v>30.357411504172834</v>
      </c>
      <c r="G588" s="872"/>
      <c r="H588" s="2221" t="s">
        <v>263</v>
      </c>
      <c r="I588" s="1281" t="s">
        <v>2171</v>
      </c>
      <c r="J588" s="572" t="s">
        <v>451</v>
      </c>
      <c r="K588" s="572" t="s">
        <v>831</v>
      </c>
      <c r="L588" s="1176">
        <f>IFERROR(INDEX('Lower Hot Cell Logistics'!$I$13:$O$19,MATCH($J588,'Lower Hot Cell Logistics'!$H$13:$H$19,0),MATCH($K588,'Lower Hot Cell Logistics'!$H$13:$H$19,0)),"N/A")</f>
        <v>50</v>
      </c>
      <c r="M588" s="2222">
        <f>IFERROR(VLOOKUP($I588,'Lower Hot Cell Logistics'!$H$4:$I$8,2,FALSE),"N/A")</f>
        <v>0.02</v>
      </c>
      <c r="N588" s="580">
        <f t="shared" si="46"/>
        <v>0.69444444444444442</v>
      </c>
      <c r="O588" s="631"/>
      <c r="P588" s="632" t="str">
        <f>IF($D588="Logistics",VLOOKUP($O588,'Lower Hot Cell Logistics'!$C$4:$D$69,2,FALSE),"N/A")</f>
        <v>N/A</v>
      </c>
      <c r="R588"/>
      <c r="S588"/>
    </row>
    <row r="589" spans="1:19" s="89" customFormat="1" ht="15" hidden="1" customHeight="1" outlineLevel="1" x14ac:dyDescent="0.4">
      <c r="A589" s="2183"/>
      <c r="B589" s="3786"/>
      <c r="C589" s="1275" t="s">
        <v>1988</v>
      </c>
      <c r="D589" s="572" t="s">
        <v>3</v>
      </c>
      <c r="E589" s="578">
        <f t="shared" si="45"/>
        <v>0.88000000000000012</v>
      </c>
      <c r="F589" s="578">
        <f>IF($D589="Trigger",VLOOKUP($C589,'Lower Hot Cell Weld Failure'!$D$513:$G$540,4,FALSE),E589+F588)</f>
        <v>31.237411504172833</v>
      </c>
      <c r="G589" s="872"/>
      <c r="H589" s="2221" t="s">
        <v>263</v>
      </c>
      <c r="I589" s="1281"/>
      <c r="J589" s="572"/>
      <c r="K589" s="572"/>
      <c r="L589" s="1176" t="str">
        <f>IFERROR(INDEX('Lower Hot Cell Logistics'!$I$13:$O$19,MATCH($J589,'Lower Hot Cell Logistics'!$H$13:$H$19,0),MATCH($K589,'Lower Hot Cell Logistics'!$H$13:$H$19,0)),"N/A")</f>
        <v>N/A</v>
      </c>
      <c r="M589" s="2222" t="str">
        <f>IFERROR(VLOOKUP($I589,'Lower Hot Cell Logistics'!$H$4:$I$8,2,FALSE),"N/A")</f>
        <v>N/A</v>
      </c>
      <c r="N589" s="580" t="str">
        <f t="shared" si="46"/>
        <v>N/A</v>
      </c>
      <c r="O589" s="631" t="s">
        <v>2144</v>
      </c>
      <c r="P589" s="632">
        <f>IF($D589="Logistics",VLOOKUP($O589,'Lower Hot Cell Logistics'!$C$4:$D$69,2,FALSE),"N/A")</f>
        <v>0.88000000000000012</v>
      </c>
      <c r="R589"/>
      <c r="S589"/>
    </row>
    <row r="590" spans="1:19" s="89" customFormat="1" ht="15" hidden="1" customHeight="1" outlineLevel="1" x14ac:dyDescent="0.4">
      <c r="A590" s="2183"/>
      <c r="B590" s="3786"/>
      <c r="C590" s="1275" t="s">
        <v>2362</v>
      </c>
      <c r="D590" s="572" t="s">
        <v>778</v>
      </c>
      <c r="E590" s="578">
        <f t="shared" si="45"/>
        <v>4.6296296296296301E-2</v>
      </c>
      <c r="F590" s="578">
        <f>IF($D590="Trigger",VLOOKUP($C590,'Lower Hot Cell Weld Failure'!$D$513:$G$540,4,FALSE),E590+F589)</f>
        <v>31.283707800469131</v>
      </c>
      <c r="G590" s="872"/>
      <c r="H590" s="2221" t="s">
        <v>263</v>
      </c>
      <c r="I590" s="1281" t="s">
        <v>2142</v>
      </c>
      <c r="J590" s="572" t="s">
        <v>831</v>
      </c>
      <c r="K590" s="572" t="s">
        <v>858</v>
      </c>
      <c r="L590" s="1176">
        <f>IFERROR(INDEX('Lower Hot Cell Logistics'!$I$13:$O$19,MATCH($J590,'Lower Hot Cell Logistics'!$H$13:$H$19,0),MATCH($K590,'Lower Hot Cell Logistics'!$H$13:$H$19,0)),"N/A")</f>
        <v>10</v>
      </c>
      <c r="M590" s="2222">
        <f>IFERROR(VLOOKUP($I590,'Lower Hot Cell Logistics'!$H$4:$I$8,2,FALSE),"N/A")</f>
        <v>0.06</v>
      </c>
      <c r="N590" s="580">
        <f t="shared" si="46"/>
        <v>4.6296296296296301E-2</v>
      </c>
      <c r="O590" s="631"/>
      <c r="P590" s="632" t="str">
        <f>IF($D590="Logistics",VLOOKUP($O590,'Lower Hot Cell Logistics'!$C$4:$D$69,2,FALSE),"N/A")</f>
        <v>N/A</v>
      </c>
      <c r="R590"/>
      <c r="S590"/>
    </row>
    <row r="591" spans="1:19" s="89" customFormat="1" ht="15" hidden="1" customHeight="1" outlineLevel="1" x14ac:dyDescent="0.4">
      <c r="A591" s="2183"/>
      <c r="B591" s="3786"/>
      <c r="C591" s="1275" t="s">
        <v>2363</v>
      </c>
      <c r="D591" s="572" t="s">
        <v>3</v>
      </c>
      <c r="E591" s="578">
        <f t="shared" si="45"/>
        <v>0.68</v>
      </c>
      <c r="F591" s="578">
        <f>IF($D591="Trigger",VLOOKUP($C591,'Lower Hot Cell Weld Failure'!$D$513:$G$540,4,FALSE),E591+F590)</f>
        <v>31.96370780046913</v>
      </c>
      <c r="G591" s="872"/>
      <c r="H591" s="2221" t="s">
        <v>263</v>
      </c>
      <c r="I591" s="1281"/>
      <c r="J591" s="572"/>
      <c r="K591" s="572"/>
      <c r="L591" s="1176" t="str">
        <f>IFERROR(INDEX('Lower Hot Cell Logistics'!$I$13:$O$19,MATCH($J591,'Lower Hot Cell Logistics'!$H$13:$H$19,0),MATCH($K591,'Lower Hot Cell Logistics'!$H$13:$H$19,0)),"N/A")</f>
        <v>N/A</v>
      </c>
      <c r="M591" s="2222" t="str">
        <f>IFERROR(VLOOKUP($I591,'Lower Hot Cell Logistics'!$H$4:$I$8,2,FALSE),"N/A")</f>
        <v>N/A</v>
      </c>
      <c r="N591" s="580" t="str">
        <f t="shared" si="46"/>
        <v>N/A</v>
      </c>
      <c r="O591" s="631" t="s">
        <v>2139</v>
      </c>
      <c r="P591" s="632">
        <f>IF($D591="Logistics",VLOOKUP($O591,'Lower Hot Cell Logistics'!$C$4:$D$69,2,FALSE),"N/A")</f>
        <v>0.68</v>
      </c>
      <c r="R591"/>
      <c r="S591"/>
    </row>
    <row r="592" spans="1:19" s="89" customFormat="1" ht="14.6" hidden="1" outlineLevel="1" x14ac:dyDescent="0.4">
      <c r="A592" s="2183"/>
      <c r="B592" s="3786"/>
      <c r="C592" s="572" t="s">
        <v>2162</v>
      </c>
      <c r="D592" s="572" t="s">
        <v>778</v>
      </c>
      <c r="E592" s="574">
        <f t="shared" si="45"/>
        <v>0.69444444444444442</v>
      </c>
      <c r="F592" s="578">
        <f>IF($D592="Trigger",VLOOKUP($C592,'Lower Hot Cell Weld Failure'!$D$513:$G$540,4,FALSE),E592+F591)</f>
        <v>32.658152244913573</v>
      </c>
      <c r="G592" s="575"/>
      <c r="H592" s="576" t="s">
        <v>263</v>
      </c>
      <c r="I592" s="1281" t="s">
        <v>1826</v>
      </c>
      <c r="J592" s="572" t="s">
        <v>799</v>
      </c>
      <c r="K592" s="572" t="s">
        <v>451</v>
      </c>
      <c r="L592" s="853">
        <f>IFERROR(INDEX('Lower Hot Cell Logistics'!$I$13:$O$19,MATCH($J592,'Lower Hot Cell Logistics'!$H$13:$H$19,0),MATCH($K592,'Lower Hot Cell Logistics'!$H$13:$H$19,0)),"N/A")</f>
        <v>50</v>
      </c>
      <c r="M592" s="853">
        <f>IFERROR(VLOOKUP($I592,'Lower Hot Cell Logistics'!$H$4:$I$8,2,FALSE),"N/A")</f>
        <v>0.02</v>
      </c>
      <c r="N592" s="1180">
        <f t="shared" si="46"/>
        <v>0.69444444444444442</v>
      </c>
      <c r="O592" s="579"/>
      <c r="P592" s="580" t="str">
        <f>IF($D592="Logistics",VLOOKUP($O592,'Lower Hot Cell Logistics'!$C$4:$D$69,2,FALSE),"N/A")</f>
        <v>N/A</v>
      </c>
      <c r="R592"/>
      <c r="S592"/>
    </row>
    <row r="593" spans="1:19" s="89" customFormat="1" ht="26.6" hidden="1" outlineLevel="1" thickBot="1" x14ac:dyDescent="0.45">
      <c r="A593" s="2183"/>
      <c r="B593" s="3788"/>
      <c r="C593" s="583" t="str">
        <f>B587</f>
        <v>Right Divertor cassette stored; replacement Left divertor cassette collected; transporter moved to divertor Port</v>
      </c>
      <c r="D593" s="583" t="s">
        <v>11</v>
      </c>
      <c r="E593" s="585">
        <f t="shared" si="45"/>
        <v>0</v>
      </c>
      <c r="F593" s="585">
        <f>IF($D593="Trigger",VLOOKUP($C593,'Lower Hot Cell Weld Failure'!$D$513:$G$540,4,FALSE),E593+F592)</f>
        <v>32.658152244913573</v>
      </c>
      <c r="G593" s="586"/>
      <c r="H593" s="587" t="s">
        <v>263</v>
      </c>
      <c r="I593" s="1720"/>
      <c r="J593" s="583"/>
      <c r="K593" s="583"/>
      <c r="L593" s="814" t="str">
        <f>IFERROR(INDEX('Lower Hot Cell Logistics'!$I$13:$O$19,MATCH($J593,'Lower Hot Cell Logistics'!$H$13:$H$19,0),MATCH($K593,'Lower Hot Cell Logistics'!$H$13:$H$19,0)),"N/A")</f>
        <v>N/A</v>
      </c>
      <c r="M593" s="814" t="str">
        <f>IFERROR(VLOOKUP($I593,'Lower Hot Cell Logistics'!$H$4:$I$8,2,FALSE),"N/A")</f>
        <v>N/A</v>
      </c>
      <c r="N593" s="1181" t="str">
        <f t="shared" si="46"/>
        <v>N/A</v>
      </c>
      <c r="O593" s="590"/>
      <c r="P593" s="591" t="str">
        <f>IF($D593="Logistics",VLOOKUP($O593,'Lower Hot Cell Logistics'!$C$4:$D$69,2,FALSE),"N/A")</f>
        <v>N/A</v>
      </c>
      <c r="R593"/>
      <c r="S593"/>
    </row>
    <row r="594" spans="1:19" s="89" customFormat="1" ht="15" hidden="1" customHeight="1" outlineLevel="1" x14ac:dyDescent="0.4">
      <c r="A594" s="2183"/>
      <c r="B594" s="3814" t="s">
        <v>2332</v>
      </c>
      <c r="C594" s="1324" t="s">
        <v>2365</v>
      </c>
      <c r="D594" s="1324" t="s">
        <v>907</v>
      </c>
      <c r="E594" s="1291">
        <f t="shared" si="45"/>
        <v>0</v>
      </c>
      <c r="F594" s="1291">
        <f>IF($D594="Trigger",VLOOKUP($C594,'Lower Hot Cell Weld Failure'!$D$513:$G$540,4,FALSE),E594+F593)</f>
        <v>32.658152244913573</v>
      </c>
      <c r="G594" s="825"/>
      <c r="H594" s="1323" t="s">
        <v>263</v>
      </c>
      <c r="I594" s="1721"/>
      <c r="J594" s="1324"/>
      <c r="K594" s="1324"/>
      <c r="L594" s="828" t="str">
        <f>IFERROR(INDEX('Lower Hot Cell Logistics'!$I$13:$O$19,MATCH($J594,'Lower Hot Cell Logistics'!$H$13:$H$19,0),MATCH($K594,'Lower Hot Cell Logistics'!$H$13:$H$19,0)),"N/A")</f>
        <v>N/A</v>
      </c>
      <c r="M594" s="827" t="str">
        <f>IFERROR(VLOOKUP($I594,'Lower Hot Cell Logistics'!$H$4:$I$8,2,FALSE),"N/A")</f>
        <v>N/A</v>
      </c>
      <c r="N594" s="2200" t="str">
        <f t="shared" si="46"/>
        <v>N/A</v>
      </c>
      <c r="O594" s="1327"/>
      <c r="P594" s="824" t="str">
        <f>IF($D594="Logistics",VLOOKUP($O594,'Lower Hot Cell Logistics'!$C$4:$D$69,2,FALSE),"N/A")</f>
        <v>N/A</v>
      </c>
      <c r="R594"/>
      <c r="S594"/>
    </row>
    <row r="595" spans="1:19" s="89" customFormat="1" ht="15" hidden="1" customHeight="1" outlineLevel="1" x14ac:dyDescent="0.4">
      <c r="A595" s="2183"/>
      <c r="B595" s="3815"/>
      <c r="C595" s="1362" t="s">
        <v>2141</v>
      </c>
      <c r="D595" s="1294" t="s">
        <v>778</v>
      </c>
      <c r="E595" s="1330">
        <f t="shared" si="45"/>
        <v>0.69444444444444442</v>
      </c>
      <c r="F595" s="1330">
        <f>IF($D595="Trigger",VLOOKUP($C595,'Lower Hot Cell Weld Failure'!$D$513:$G$540,4,FALSE),E595+F594)</f>
        <v>33.352596689358016</v>
      </c>
      <c r="G595" s="1722"/>
      <c r="H595" s="2219" t="s">
        <v>263</v>
      </c>
      <c r="I595" s="1724" t="s">
        <v>2171</v>
      </c>
      <c r="J595" s="1294" t="s">
        <v>451</v>
      </c>
      <c r="K595" s="1294" t="s">
        <v>831</v>
      </c>
      <c r="L595" s="2042">
        <f>IFERROR(INDEX('Lower Hot Cell Logistics'!$I$13:$O$19,MATCH($J595,'Lower Hot Cell Logistics'!$H$13:$H$19,0),MATCH($K595,'Lower Hot Cell Logistics'!$H$13:$H$19,0)),"N/A")</f>
        <v>50</v>
      </c>
      <c r="M595" s="2220">
        <f>IFERROR(VLOOKUP($I595,'Lower Hot Cell Logistics'!$H$4:$I$8,2,FALSE),"N/A")</f>
        <v>0.02</v>
      </c>
      <c r="N595" s="1332">
        <f t="shared" si="46"/>
        <v>0.69444444444444442</v>
      </c>
      <c r="O595" s="1352"/>
      <c r="P595" s="1353" t="str">
        <f>IF($D595="Logistics",VLOOKUP($O595,'Lower Hot Cell Logistics'!$C$4:$D$69,2,FALSE),"N/A")</f>
        <v>N/A</v>
      </c>
      <c r="R595"/>
      <c r="S595"/>
    </row>
    <row r="596" spans="1:19" s="89" customFormat="1" ht="15" hidden="1" customHeight="1" outlineLevel="1" x14ac:dyDescent="0.4">
      <c r="A596" s="2183"/>
      <c r="B596" s="3815"/>
      <c r="C596" s="1362" t="s">
        <v>1988</v>
      </c>
      <c r="D596" s="1294" t="s">
        <v>3</v>
      </c>
      <c r="E596" s="1330">
        <f t="shared" si="45"/>
        <v>0.88000000000000012</v>
      </c>
      <c r="F596" s="1330">
        <f>IF($D596="Trigger",VLOOKUP($C596,'Lower Hot Cell Weld Failure'!$D$513:$G$540,4,FALSE),E596+F595)</f>
        <v>34.232596689358019</v>
      </c>
      <c r="G596" s="1722"/>
      <c r="H596" s="2219" t="s">
        <v>263</v>
      </c>
      <c r="I596" s="1724"/>
      <c r="J596" s="1294"/>
      <c r="K596" s="1294"/>
      <c r="L596" s="2042" t="str">
        <f>IFERROR(INDEX('Lower Hot Cell Logistics'!$I$13:$O$19,MATCH($J596,'Lower Hot Cell Logistics'!$H$13:$H$19,0),MATCH($K596,'Lower Hot Cell Logistics'!$H$13:$H$19,0)),"N/A")</f>
        <v>N/A</v>
      </c>
      <c r="M596" s="2220" t="str">
        <f>IFERROR(VLOOKUP($I596,'Lower Hot Cell Logistics'!$H$4:$I$8,2,FALSE),"N/A")</f>
        <v>N/A</v>
      </c>
      <c r="N596" s="1332" t="str">
        <f t="shared" si="46"/>
        <v>N/A</v>
      </c>
      <c r="O596" s="1352" t="s">
        <v>2144</v>
      </c>
      <c r="P596" s="1353">
        <f>IF($D596="Logistics",VLOOKUP($O596,'Lower Hot Cell Logistics'!$C$4:$D$69,2,FALSE),"N/A")</f>
        <v>0.88000000000000012</v>
      </c>
      <c r="R596"/>
      <c r="S596"/>
    </row>
    <row r="597" spans="1:19" s="89" customFormat="1" ht="14.6" hidden="1" outlineLevel="1" x14ac:dyDescent="0.4">
      <c r="A597" s="2183"/>
      <c r="B597" s="3815"/>
      <c r="C597" s="1294" t="s">
        <v>2162</v>
      </c>
      <c r="D597" s="1294" t="s">
        <v>778</v>
      </c>
      <c r="E597" s="1292">
        <f t="shared" si="45"/>
        <v>0.69444444444444442</v>
      </c>
      <c r="F597" s="1330">
        <f>IF($D597="Trigger",VLOOKUP($C597,'Lower Hot Cell Weld Failure'!$D$513:$G$540,4,FALSE),E597+F596)</f>
        <v>34.927041133802462</v>
      </c>
      <c r="G597" s="862"/>
      <c r="H597" s="1328" t="s">
        <v>263</v>
      </c>
      <c r="I597" s="1724" t="s">
        <v>1826</v>
      </c>
      <c r="J597" s="1294" t="s">
        <v>799</v>
      </c>
      <c r="K597" s="1294" t="s">
        <v>451</v>
      </c>
      <c r="L597" s="865">
        <f>IFERROR(INDEX('Lower Hot Cell Logistics'!$I$13:$O$19,MATCH($J597,'Lower Hot Cell Logistics'!$H$13:$H$19,0),MATCH($K597,'Lower Hot Cell Logistics'!$H$13:$H$19,0)),"N/A")</f>
        <v>50</v>
      </c>
      <c r="M597" s="865">
        <f>IFERROR(VLOOKUP($I597,'Lower Hot Cell Logistics'!$H$4:$I$8,2,FALSE),"N/A")</f>
        <v>0.02</v>
      </c>
      <c r="N597" s="2197">
        <f t="shared" si="46"/>
        <v>0.69444444444444442</v>
      </c>
      <c r="O597" s="1331"/>
      <c r="P597" s="1332" t="str">
        <f>IF($D597="Logistics",VLOOKUP($O597,'Lower Hot Cell Logistics'!$C$4:$D$69,2,FALSE),"N/A")</f>
        <v>N/A</v>
      </c>
      <c r="R597"/>
      <c r="S597"/>
    </row>
    <row r="598" spans="1:19" s="89" customFormat="1" ht="26.6" hidden="1" outlineLevel="1" thickBot="1" x14ac:dyDescent="0.45">
      <c r="A598" s="2183"/>
      <c r="B598" s="3816"/>
      <c r="C598" s="1340" t="str">
        <f>B594</f>
        <v>Replacement Central Divertor cassette collected and transporter moved to divertor Port</v>
      </c>
      <c r="D598" s="1340" t="s">
        <v>11</v>
      </c>
      <c r="E598" s="1295">
        <f t="shared" si="45"/>
        <v>0</v>
      </c>
      <c r="F598" s="1295">
        <f>IF($D598="Trigger",VLOOKUP($C598,'Lower Hot Cell Weld Failure'!$D$513:$G$540,4,FALSE),E598+F597)</f>
        <v>34.927041133802462</v>
      </c>
      <c r="G598" s="839"/>
      <c r="H598" s="1341" t="s">
        <v>263</v>
      </c>
      <c r="I598" s="1727"/>
      <c r="J598" s="1340"/>
      <c r="K598" s="1340"/>
      <c r="L598" s="842" t="str">
        <f>IFERROR(INDEX('Lower Hot Cell Logistics'!$I$13:$O$19,MATCH($J598,'Lower Hot Cell Logistics'!$H$13:$H$19,0),MATCH($K598,'Lower Hot Cell Logistics'!$H$13:$H$19,0)),"N/A")</f>
        <v>N/A</v>
      </c>
      <c r="M598" s="842" t="str">
        <f>IFERROR(VLOOKUP($I598,'Lower Hot Cell Logistics'!$H$4:$I$8,2,FALSE),"N/A")</f>
        <v>N/A</v>
      </c>
      <c r="N598" s="2199" t="str">
        <f t="shared" si="46"/>
        <v>N/A</v>
      </c>
      <c r="O598" s="1344"/>
      <c r="P598" s="1345" t="str">
        <f>IF($D598="Logistics",VLOOKUP($O598,'Lower Hot Cell Logistics'!$C$4:$D$69,2,FALSE),"N/A")</f>
        <v>N/A</v>
      </c>
      <c r="R598"/>
      <c r="S598"/>
    </row>
    <row r="599" spans="1:19" s="89" customFormat="1" ht="15" hidden="1" customHeight="1" outlineLevel="1" x14ac:dyDescent="0.4">
      <c r="A599" s="2183"/>
      <c r="B599" s="3787" t="s">
        <v>2333</v>
      </c>
      <c r="C599" s="617" t="s">
        <v>2366</v>
      </c>
      <c r="D599" s="617" t="s">
        <v>907</v>
      </c>
      <c r="E599" s="567">
        <f t="shared" si="45"/>
        <v>0</v>
      </c>
      <c r="F599" s="567">
        <f>IF($D599="Trigger",VLOOKUP($C599,'Lower Hot Cell Weld Failure'!$D$513:$G$540,4,FALSE),E599+F598)</f>
        <v>34.838152244913573</v>
      </c>
      <c r="G599" s="568"/>
      <c r="H599" s="569" t="s">
        <v>263</v>
      </c>
      <c r="I599" s="1270"/>
      <c r="J599" s="617"/>
      <c r="K599" s="617"/>
      <c r="L599" s="570" t="str">
        <f>IFERROR(INDEX('Lower Hot Cell Logistics'!$I$13:$O$19,MATCH($J599,'Lower Hot Cell Logistics'!$H$13:$H$19,0),MATCH($K599,'Lower Hot Cell Logistics'!$H$13:$H$19,0)),"N/A")</f>
        <v>N/A</v>
      </c>
      <c r="M599" s="802" t="str">
        <f>IFERROR(VLOOKUP($I599,'Lower Hot Cell Logistics'!$H$4:$I$8,2,FALSE),"N/A")</f>
        <v>N/A</v>
      </c>
      <c r="N599" s="1182" t="str">
        <f t="shared" si="46"/>
        <v>N/A</v>
      </c>
      <c r="O599" s="620"/>
      <c r="P599" s="621" t="str">
        <f>IF($D599="Logistics",VLOOKUP($O599,'Lower Hot Cell Logistics'!$C$4:$D$69,2,FALSE),"N/A")</f>
        <v>N/A</v>
      </c>
      <c r="R599"/>
      <c r="S599"/>
    </row>
    <row r="600" spans="1:19" s="89" customFormat="1" ht="15" hidden="1" customHeight="1" outlineLevel="1" x14ac:dyDescent="0.4">
      <c r="A600" s="2183"/>
      <c r="B600" s="3786"/>
      <c r="C600" s="1275" t="s">
        <v>2141</v>
      </c>
      <c r="D600" s="572" t="s">
        <v>778</v>
      </c>
      <c r="E600" s="578">
        <f t="shared" si="45"/>
        <v>0.23148148148148148</v>
      </c>
      <c r="F600" s="578">
        <f>IF($D600="Trigger",VLOOKUP($C600,'Lower Hot Cell Weld Failure'!$D$513:$G$540,4,FALSE),E600+F599)</f>
        <v>35.069633726395054</v>
      </c>
      <c r="G600" s="872"/>
      <c r="H600" s="2221" t="s">
        <v>263</v>
      </c>
      <c r="I600" s="1281" t="s">
        <v>2142</v>
      </c>
      <c r="J600" s="572" t="s">
        <v>451</v>
      </c>
      <c r="K600" s="572" t="s">
        <v>2164</v>
      </c>
      <c r="L600" s="1176">
        <f>IFERROR(INDEX('Lower Hot Cell Logistics'!$I$13:$O$19,MATCH($J600,'Lower Hot Cell Logistics'!$H$13:$H$19,0),MATCH($K600,'Lower Hot Cell Logistics'!$H$13:$H$19,0)),"N/A")</f>
        <v>50</v>
      </c>
      <c r="M600" s="2222">
        <f>IFERROR(VLOOKUP($I600,'Lower Hot Cell Logistics'!$H$4:$I$8,2,FALSE),"N/A")</f>
        <v>0.06</v>
      </c>
      <c r="N600" s="580">
        <f t="shared" si="46"/>
        <v>0.23148148148148148</v>
      </c>
      <c r="O600" s="631"/>
      <c r="P600" s="632" t="str">
        <f>IF($D600="Logistics",VLOOKUP($O600,'Lower Hot Cell Logistics'!$C$4:$D$69,2,FALSE),"N/A")</f>
        <v>N/A</v>
      </c>
      <c r="R600"/>
      <c r="S600"/>
    </row>
    <row r="601" spans="1:19" s="89" customFormat="1" ht="15" hidden="1" customHeight="1" outlineLevel="1" x14ac:dyDescent="0.4">
      <c r="A601" s="2183"/>
      <c r="B601" s="3786"/>
      <c r="C601" s="1275" t="s">
        <v>1757</v>
      </c>
      <c r="D601" s="572" t="s">
        <v>3</v>
      </c>
      <c r="E601" s="578">
        <f t="shared" si="45"/>
        <v>0.88000000000000012</v>
      </c>
      <c r="F601" s="578">
        <f>IF($D601="Trigger",VLOOKUP($C601,'Lower Hot Cell Weld Failure'!$D$513:$G$540,4,FALSE),E601+F600)</f>
        <v>35.949633726395056</v>
      </c>
      <c r="G601" s="872"/>
      <c r="H601" s="2221" t="s">
        <v>263</v>
      </c>
      <c r="I601" s="1281"/>
      <c r="J601" s="572"/>
      <c r="K601" s="572"/>
      <c r="L601" s="1176" t="str">
        <f>IFERROR(INDEX('Lower Hot Cell Logistics'!$I$13:$O$19,MATCH($J601,'Lower Hot Cell Logistics'!$H$13:$H$19,0),MATCH($K601,'Lower Hot Cell Logistics'!$H$13:$H$19,0)),"N/A")</f>
        <v>N/A</v>
      </c>
      <c r="M601" s="2222" t="str">
        <f>IFERROR(VLOOKUP($I601,'Lower Hot Cell Logistics'!$H$4:$I$8,2,FALSE),"N/A")</f>
        <v>N/A</v>
      </c>
      <c r="N601" s="580" t="str">
        <f t="shared" si="46"/>
        <v>N/A</v>
      </c>
      <c r="O601" s="631" t="s">
        <v>2144</v>
      </c>
      <c r="P601" s="632">
        <f>IF($D601="Logistics",VLOOKUP($O601,'Lower Hot Cell Logistics'!$C$4:$D$69,2,FALSE),"N/A")</f>
        <v>0.88000000000000012</v>
      </c>
      <c r="R601"/>
      <c r="S601"/>
    </row>
    <row r="602" spans="1:19" s="89" customFormat="1" ht="15" hidden="1" customHeight="1" outlineLevel="1" x14ac:dyDescent="0.4">
      <c r="A602" s="2183"/>
      <c r="B602" s="3786"/>
      <c r="C602" s="1275" t="s">
        <v>2165</v>
      </c>
      <c r="D602" s="572" t="s">
        <v>778</v>
      </c>
      <c r="E602" s="578">
        <f t="shared" si="45"/>
        <v>2.7777777777777776E-2</v>
      </c>
      <c r="F602" s="578">
        <f>IF($D602="Trigger",VLOOKUP($C602,'Lower Hot Cell Weld Failure'!$D$513:$G$540,4,FALSE),E602+F601)</f>
        <v>35.977411504172835</v>
      </c>
      <c r="G602" s="872"/>
      <c r="H602" s="2221" t="s">
        <v>263</v>
      </c>
      <c r="I602" s="1281" t="s">
        <v>2166</v>
      </c>
      <c r="J602" s="572" t="s">
        <v>2164</v>
      </c>
      <c r="K602" s="572" t="s">
        <v>914</v>
      </c>
      <c r="L602" s="1176">
        <f>IFERROR(INDEX('Lower Hot Cell Logistics'!$I$13:$O$19,MATCH($J602,'Lower Hot Cell Logistics'!$H$13:$H$19,0),MATCH($K602,'Lower Hot Cell Logistics'!$H$13:$H$19,0)),"N/A")</f>
        <v>20</v>
      </c>
      <c r="M602" s="2222">
        <f>IFERROR(VLOOKUP($I602,'Lower Hot Cell Logistics'!$H$4:$I$8,2,FALSE),"N/A")</f>
        <v>0.2</v>
      </c>
      <c r="N602" s="580">
        <f t="shared" si="46"/>
        <v>2.7777777777777776E-2</v>
      </c>
      <c r="O602" s="631"/>
      <c r="P602" s="632" t="str">
        <f>IF($D602="Logistics",VLOOKUP($O602,'Lower Hot Cell Logistics'!$C$4:$D$69,2,FALSE),"N/A")</f>
        <v>N/A</v>
      </c>
      <c r="R602"/>
      <c r="S602"/>
    </row>
    <row r="603" spans="1:19" s="89" customFormat="1" ht="15" hidden="1" customHeight="1" outlineLevel="1" x14ac:dyDescent="0.4">
      <c r="A603" s="2183"/>
      <c r="B603" s="3786"/>
      <c r="C603" s="1275" t="s">
        <v>2167</v>
      </c>
      <c r="D603" s="572" t="s">
        <v>3</v>
      </c>
      <c r="E603" s="578">
        <f t="shared" si="45"/>
        <v>0.88000000000000012</v>
      </c>
      <c r="F603" s="578">
        <f>IF($D603="Trigger",VLOOKUP($C603,'Lower Hot Cell Weld Failure'!$D$513:$G$540,4,FALSE),E603+F602)</f>
        <v>36.857411504172838</v>
      </c>
      <c r="G603" s="872"/>
      <c r="H603" s="2221" t="s">
        <v>263</v>
      </c>
      <c r="I603" s="1281"/>
      <c r="J603" s="572"/>
      <c r="K603" s="572"/>
      <c r="L603" s="1176" t="str">
        <f>IFERROR(INDEX('Lower Hot Cell Logistics'!$I$13:$O$19,MATCH($J603,'Lower Hot Cell Logistics'!$H$13:$H$19,0),MATCH($K603,'Lower Hot Cell Logistics'!$H$13:$H$19,0)),"N/A")</f>
        <v>N/A</v>
      </c>
      <c r="M603" s="2222" t="str">
        <f>IFERROR(VLOOKUP($I603,'Lower Hot Cell Logistics'!$H$4:$I$8,2,FALSE),"N/A")</f>
        <v>N/A</v>
      </c>
      <c r="N603" s="580" t="str">
        <f t="shared" si="46"/>
        <v>N/A</v>
      </c>
      <c r="O603" s="631" t="s">
        <v>2168</v>
      </c>
      <c r="P603" s="632">
        <f>IF($D603="Logistics",VLOOKUP($O603,'Lower Hot Cell Logistics'!$C$4:$D$69,2,FALSE),"N/A")</f>
        <v>0.88000000000000012</v>
      </c>
      <c r="R603"/>
      <c r="S603"/>
    </row>
    <row r="604" spans="1:19" s="89" customFormat="1" ht="15" hidden="1" customHeight="1" outlineLevel="1" x14ac:dyDescent="0.4">
      <c r="A604" s="2183"/>
      <c r="B604" s="3786"/>
      <c r="C604" s="1275" t="s">
        <v>2145</v>
      </c>
      <c r="D604" s="572" t="s">
        <v>778</v>
      </c>
      <c r="E604" s="578">
        <f t="shared" si="45"/>
        <v>2.7777777777777776E-2</v>
      </c>
      <c r="F604" s="578">
        <f>IF($D604="Trigger",VLOOKUP($C604,'Lower Hot Cell Weld Failure'!$D$513:$G$540,4,FALSE),E604+F603)</f>
        <v>36.885189281950616</v>
      </c>
      <c r="G604" s="872"/>
      <c r="H604" s="2221" t="s">
        <v>263</v>
      </c>
      <c r="I604" s="1281" t="s">
        <v>2146</v>
      </c>
      <c r="J604" s="572" t="s">
        <v>914</v>
      </c>
      <c r="K604" s="572" t="s">
        <v>799</v>
      </c>
      <c r="L604" s="1176">
        <f>IFERROR(INDEX('Lower Hot Cell Logistics'!$I$13:$O$19,MATCH($J604,'Lower Hot Cell Logistics'!$H$13:$H$19,0),MATCH($K604,'Lower Hot Cell Logistics'!$H$13:$H$19,0)),"N/A")</f>
        <v>20</v>
      </c>
      <c r="M604" s="2222">
        <f>IFERROR(VLOOKUP($I604,'Lower Hot Cell Logistics'!$H$4:$I$8,2,FALSE),"N/A")</f>
        <v>0.2</v>
      </c>
      <c r="N604" s="580">
        <f t="shared" si="46"/>
        <v>2.7777777777777776E-2</v>
      </c>
      <c r="O604" s="631"/>
      <c r="P604" s="632" t="str">
        <f>IF($D604="Logistics",VLOOKUP($O604,'Lower Hot Cell Logistics'!$C$4:$D$69,2,FALSE),"N/A")</f>
        <v>N/A</v>
      </c>
      <c r="R604"/>
      <c r="S604"/>
    </row>
    <row r="605" spans="1:19" s="89" customFormat="1" ht="14.6" hidden="1" outlineLevel="1" x14ac:dyDescent="0.4">
      <c r="A605" s="2183"/>
      <c r="B605" s="3786"/>
      <c r="C605" s="572" t="s">
        <v>2169</v>
      </c>
      <c r="D605" s="572" t="s">
        <v>3</v>
      </c>
      <c r="E605" s="574">
        <f t="shared" si="45"/>
        <v>0.68</v>
      </c>
      <c r="F605" s="574">
        <f>IF($D605="Trigger",VLOOKUP($C605,'Lower Hot Cell Weld Failure'!$D$513:$G$540,4,FALSE),E605+F604)</f>
        <v>37.565189281950616</v>
      </c>
      <c r="G605" s="575"/>
      <c r="H605" s="576" t="s">
        <v>263</v>
      </c>
      <c r="I605" s="1281"/>
      <c r="J605" s="572"/>
      <c r="K605" s="572"/>
      <c r="L605" s="853" t="str">
        <f>IFERROR(INDEX('Lower Hot Cell Logistics'!$I$13:$O$19,MATCH($J605,'Lower Hot Cell Logistics'!$H$13:$H$19,0),MATCH($K605,'Lower Hot Cell Logistics'!$H$13:$H$19,0)),"N/A")</f>
        <v>N/A</v>
      </c>
      <c r="M605" s="852" t="str">
        <f>IFERROR(VLOOKUP($I605,'Lower Hot Cell Logistics'!$H$4:$I$8,2,FALSE),"N/A")</f>
        <v>N/A</v>
      </c>
      <c r="N605" s="1180" t="str">
        <f t="shared" si="46"/>
        <v>N/A</v>
      </c>
      <c r="O605" s="579" t="s">
        <v>2148</v>
      </c>
      <c r="P605" s="580">
        <f>IF($D605="Logistics",VLOOKUP($O605,'Lower Hot Cell Logistics'!$C$4:$D$69,2,FALSE),"N/A")</f>
        <v>0.68</v>
      </c>
      <c r="R605"/>
      <c r="S605"/>
    </row>
    <row r="606" spans="1:19" s="89" customFormat="1" ht="14.6" hidden="1" outlineLevel="1" x14ac:dyDescent="0.4">
      <c r="A606" s="2183"/>
      <c r="B606" s="3786"/>
      <c r="C606" s="572" t="s">
        <v>2162</v>
      </c>
      <c r="D606" s="572" t="s">
        <v>778</v>
      </c>
      <c r="E606" s="574">
        <f t="shared" si="45"/>
        <v>0.69444444444444442</v>
      </c>
      <c r="F606" s="574">
        <f>IF($D606="Trigger",VLOOKUP($C606,'Lower Hot Cell Weld Failure'!$D$513:$G$540,4,FALSE),E606+F605)</f>
        <v>38.259633726395059</v>
      </c>
      <c r="G606" s="575"/>
      <c r="H606" s="576" t="s">
        <v>263</v>
      </c>
      <c r="I606" s="1281" t="s">
        <v>1826</v>
      </c>
      <c r="J606" s="572" t="s">
        <v>799</v>
      </c>
      <c r="K606" s="572" t="s">
        <v>451</v>
      </c>
      <c r="L606" s="853">
        <f>IFERROR(INDEX('Lower Hot Cell Logistics'!$I$13:$O$19,MATCH($J606,'Lower Hot Cell Logistics'!$H$13:$H$19,0),MATCH($K606,'Lower Hot Cell Logistics'!$H$13:$H$19,0)),"N/A")</f>
        <v>50</v>
      </c>
      <c r="M606" s="853">
        <f>IFERROR(VLOOKUP($I606,'Lower Hot Cell Logistics'!$H$4:$I$8,2,FALSE),"N/A")</f>
        <v>0.02</v>
      </c>
      <c r="N606" s="1180">
        <f t="shared" si="46"/>
        <v>0.69444444444444442</v>
      </c>
      <c r="O606" s="579"/>
      <c r="P606" s="580" t="str">
        <f>IF($D606="Logistics",VLOOKUP($O606,'Lower Hot Cell Logistics'!$C$4:$D$69,2,FALSE),"N/A")</f>
        <v>N/A</v>
      </c>
      <c r="R606"/>
      <c r="S606"/>
    </row>
    <row r="607" spans="1:19" s="89" customFormat="1" ht="39.450000000000003" hidden="1" outlineLevel="1" thickBot="1" x14ac:dyDescent="0.45">
      <c r="A607" s="2183"/>
      <c r="B607" s="3788"/>
      <c r="C607" s="583" t="str">
        <f>B599</f>
        <v>Divertor handling system stored; pipe module handling system collected; Replacement right divertor cassette pipe module collected and moved to Lower Port</v>
      </c>
      <c r="D607" s="583" t="s">
        <v>11</v>
      </c>
      <c r="E607" s="585">
        <f t="shared" si="45"/>
        <v>0</v>
      </c>
      <c r="F607" s="585">
        <f>IF($D607="Trigger",VLOOKUP($C607,'Lower Hot Cell Weld Failure'!$D$513:$G$540,4,FALSE),E607+F606)</f>
        <v>38.259633726395059</v>
      </c>
      <c r="G607" s="586"/>
      <c r="H607" s="587" t="s">
        <v>263</v>
      </c>
      <c r="I607" s="1720"/>
      <c r="J607" s="583"/>
      <c r="K607" s="583"/>
      <c r="L607" s="814" t="str">
        <f>IFERROR(INDEX('Lower Hot Cell Logistics'!$I$13:$O$19,MATCH($J607,'Lower Hot Cell Logistics'!$H$13:$H$19,0),MATCH($K607,'Lower Hot Cell Logistics'!$H$13:$H$19,0)),"N/A")</f>
        <v>N/A</v>
      </c>
      <c r="M607" s="814" t="str">
        <f>IFERROR(VLOOKUP($I607,'Lower Hot Cell Logistics'!$H$4:$I$8,2,FALSE),"N/A")</f>
        <v>N/A</v>
      </c>
      <c r="N607" s="1181" t="str">
        <f>IF(D607="Movement",IFERROR((L607/M607)/(60*60),"Error"),"N/A")</f>
        <v>N/A</v>
      </c>
      <c r="O607" s="590"/>
      <c r="P607" s="591" t="str">
        <f>IF($D607="Logistics",VLOOKUP($O607,'Lower Hot Cell Logistics'!$C$4:$D$69,2,FALSE),"N/A")</f>
        <v>N/A</v>
      </c>
      <c r="R607"/>
      <c r="S607"/>
    </row>
    <row r="608" spans="1:19" ht="13.3" collapsed="1" thickBot="1" x14ac:dyDescent="0.45">
      <c r="A608" s="2184"/>
      <c r="B608" s="2185"/>
      <c r="C608" s="2186"/>
      <c r="D608" s="2186"/>
      <c r="E608" s="2186"/>
      <c r="F608" s="2186"/>
      <c r="G608" s="2186"/>
      <c r="H608" s="2187"/>
      <c r="I608" s="2186"/>
      <c r="J608" s="2186"/>
      <c r="K608" s="2186"/>
      <c r="L608" s="2188"/>
      <c r="M608" s="2188"/>
      <c r="N608" s="2188"/>
      <c r="O608" s="2186"/>
      <c r="P608" s="2189"/>
    </row>
    <row r="609" spans="1:16" ht="15.45" x14ac:dyDescent="0.4">
      <c r="A609" s="2350"/>
      <c r="B609" s="2351" t="s">
        <v>2258</v>
      </c>
      <c r="C609" s="2352"/>
      <c r="D609" s="2352"/>
      <c r="E609" s="2352"/>
      <c r="F609" s="2352"/>
      <c r="G609" s="2352"/>
      <c r="H609" s="2353"/>
      <c r="I609" s="2352"/>
      <c r="J609" s="2352"/>
      <c r="K609" s="2352"/>
      <c r="L609" s="2354"/>
      <c r="M609" s="2354"/>
      <c r="N609" s="2354"/>
      <c r="O609" s="2352"/>
      <c r="P609" s="2355"/>
    </row>
    <row r="610" spans="1:16" ht="25.75" hidden="1" outlineLevel="1" x14ac:dyDescent="0.4">
      <c r="A610" s="2356"/>
      <c r="B610" s="3787" t="s">
        <v>1824</v>
      </c>
      <c r="C610" s="566" t="s">
        <v>1817</v>
      </c>
      <c r="D610" s="566" t="s">
        <v>907</v>
      </c>
      <c r="E610" s="1175">
        <f t="shared" ref="E610:E615" si="47">MAX($P610,$N610,$H610)</f>
        <v>0</v>
      </c>
      <c r="F610" s="621">
        <f>IF($D610="Trigger",VLOOKUP($C610,'Lower Hot Cell Hardware Failure'!$C$28:$F$33,4,FALSE),E610+F609)</f>
        <v>0</v>
      </c>
      <c r="G610" s="568"/>
      <c r="H610" s="569" t="s">
        <v>263</v>
      </c>
      <c r="I610" s="566"/>
      <c r="J610" s="566"/>
      <c r="K610" s="566"/>
      <c r="L610" s="1175" t="str">
        <f>IFERROR(INDEX('Lower Hot Cell Logistics'!$I$13:$O$19,MATCH($J610,'Lower Hot Cell Logistics'!$H$13:$H$19,0),MATCH($K610,'Lower Hot Cell Logistics'!$H$13:$H$19,0)),"N/A")</f>
        <v>N/A</v>
      </c>
      <c r="M610" s="1175" t="str">
        <f>IFERROR(VLOOKUP($I610,'Lower Hot Cell Logistics'!$H$4:$I$8,2,FALSE),"N/A")</f>
        <v>N/A</v>
      </c>
      <c r="N610" s="1175" t="str">
        <f t="shared" ref="N610:N615" si="48">IF(D610="Movement",IFERROR((L610/M610)/(60*60),"Error"),"N/A")</f>
        <v>N/A</v>
      </c>
      <c r="O610" s="620"/>
      <c r="P610" s="621" t="str">
        <f>IF($D610="Logistics",VLOOKUP($O610,'Lower Hot Cell Logistics'!$C$4:$D$69,2,FALSE),"N/A")</f>
        <v>N/A</v>
      </c>
    </row>
    <row r="611" spans="1:16" hidden="1" outlineLevel="1" x14ac:dyDescent="0.4">
      <c r="A611" s="2356"/>
      <c r="B611" s="3786"/>
      <c r="C611" s="573" t="s">
        <v>2369</v>
      </c>
      <c r="D611" s="573" t="s">
        <v>3</v>
      </c>
      <c r="E611" s="1176">
        <f t="shared" si="47"/>
        <v>0.68</v>
      </c>
      <c r="F611" s="580">
        <f>IF($D611="Trigger",VLOOKUP($C611,'Lower Hot Cell Weld Failure'!$D$513:$G$540,4,FALSE),E611+F610)</f>
        <v>0.68</v>
      </c>
      <c r="G611" s="575"/>
      <c r="H611" s="576" t="s">
        <v>263</v>
      </c>
      <c r="I611" s="573"/>
      <c r="J611" s="573"/>
      <c r="K611" s="573"/>
      <c r="L611" s="1176" t="str">
        <f>IFERROR(INDEX('Lower Hot Cell Logistics'!$I$13:$O$19,MATCH($J611,'Lower Hot Cell Logistics'!$H$13:$H$19,0),MATCH($K611,'Lower Hot Cell Logistics'!$H$13:$H$19,0)),"N/A")</f>
        <v>N/A</v>
      </c>
      <c r="M611" s="1176" t="str">
        <f>IFERROR(VLOOKUP($I611,'Lower Hot Cell Logistics'!$H$4:$I$8,2,FALSE),"N/A")</f>
        <v>N/A</v>
      </c>
      <c r="N611" s="1176" t="str">
        <f t="shared" si="48"/>
        <v>N/A</v>
      </c>
      <c r="O611" s="579" t="s">
        <v>2139</v>
      </c>
      <c r="P611" s="580">
        <f>IF($D611="Logistics",VLOOKUP($O611,'Lower Hot Cell Logistics'!$C$4:$D$69,2,FALSE),"N/A")</f>
        <v>0.68</v>
      </c>
    </row>
    <row r="612" spans="1:16" hidden="1" outlineLevel="1" x14ac:dyDescent="0.4">
      <c r="A612" s="2356"/>
      <c r="B612" s="3786"/>
      <c r="C612" s="573" t="s">
        <v>2370</v>
      </c>
      <c r="D612" s="573" t="s">
        <v>2371</v>
      </c>
      <c r="E612" s="1176">
        <f t="shared" si="47"/>
        <v>2.7777777777777776E-2</v>
      </c>
      <c r="F612" s="580">
        <f>IF($D612="Trigger",VLOOKUP($C612,'Lower Hot Cell Weld Failure'!$D$513:$G$540,4,FALSE),E612+F611)</f>
        <v>0.70777777777777784</v>
      </c>
      <c r="G612" s="575"/>
      <c r="H612" s="576" t="s">
        <v>263</v>
      </c>
      <c r="I612" s="573" t="s">
        <v>1820</v>
      </c>
      <c r="J612" s="573" t="s">
        <v>1957</v>
      </c>
      <c r="K612" s="573" t="s">
        <v>1975</v>
      </c>
      <c r="L612" s="1176">
        <f>IFERROR(INDEX('Lower Hot Cell Logistics'!$I$13:$O$19,MATCH($J612,'Lower Hot Cell Logistics'!$H$13:$H$19,0),MATCH($K612,'Lower Hot Cell Logistics'!$H$13:$H$19,0)),"N/A")</f>
        <v>20</v>
      </c>
      <c r="M612" s="1176">
        <f>IFERROR(VLOOKUP($I612,'Lower Hot Cell Logistics'!$H$4:$I$8,2,FALSE),"N/A")</f>
        <v>0.2</v>
      </c>
      <c r="N612" s="1176">
        <f t="shared" si="48"/>
        <v>2.7777777777777776E-2</v>
      </c>
      <c r="O612" s="579"/>
      <c r="P612" s="580" t="str">
        <f>IF($D612="Logistics",VLOOKUP($O612,'Lower Hot Cell Logistics'!$C$4:$D$69,2,FALSE),"N/A")</f>
        <v>N/A</v>
      </c>
    </row>
    <row r="613" spans="1:16" hidden="1" outlineLevel="1" x14ac:dyDescent="0.4">
      <c r="A613" s="2356"/>
      <c r="B613" s="3786"/>
      <c r="C613" s="582" t="s">
        <v>2372</v>
      </c>
      <c r="D613" s="573" t="s">
        <v>3</v>
      </c>
      <c r="E613" s="1176">
        <f t="shared" si="47"/>
        <v>0.68</v>
      </c>
      <c r="F613" s="580">
        <f>IF($D613="Trigger",VLOOKUP($C613,'Lower Hot Cell Weld Failure'!$D$513:$G$540,4,FALSE),E613+F612)</f>
        <v>1.387777777777778</v>
      </c>
      <c r="G613" s="575"/>
      <c r="H613" s="576" t="s">
        <v>263</v>
      </c>
      <c r="I613" s="573"/>
      <c r="J613" s="573"/>
      <c r="K613" s="573"/>
      <c r="L613" s="1176" t="str">
        <f>IFERROR(INDEX('Lower Hot Cell Logistics'!$I$13:$O$19,MATCH($J613,'Lower Hot Cell Logistics'!$H$13:$H$19,0),MATCH($K613,'Lower Hot Cell Logistics'!$H$13:$H$19,0)),"N/A")</f>
        <v>N/A</v>
      </c>
      <c r="M613" s="1176" t="str">
        <f>IFERROR(VLOOKUP($I613,'Lower Hot Cell Logistics'!$H$4:$I$8,2,FALSE),"N/A")</f>
        <v>N/A</v>
      </c>
      <c r="N613" s="1176" t="str">
        <f t="shared" si="48"/>
        <v>N/A</v>
      </c>
      <c r="O613" s="579" t="s">
        <v>2139</v>
      </c>
      <c r="P613" s="580">
        <f>IF($D613="Logistics",VLOOKUP($O613,'Lower Hot Cell Logistics'!$C$4:$D$69,2,FALSE),"N/A")</f>
        <v>0.68</v>
      </c>
    </row>
    <row r="614" spans="1:16" hidden="1" outlineLevel="1" x14ac:dyDescent="0.4">
      <c r="A614" s="2356"/>
      <c r="B614" s="3786"/>
      <c r="C614" s="582" t="s">
        <v>2373</v>
      </c>
      <c r="D614" s="573" t="s">
        <v>2371</v>
      </c>
      <c r="E614" s="1176">
        <f t="shared" si="47"/>
        <v>0.23148148148148148</v>
      </c>
      <c r="F614" s="580">
        <f>IF($D614="Trigger",VLOOKUP($C614,'Lower Hot Cell Weld Failure'!$D$513:$G$540,4,FALSE),E614+F613)</f>
        <v>1.6192592592592594</v>
      </c>
      <c r="G614" s="575"/>
      <c r="H614" s="576" t="s">
        <v>263</v>
      </c>
      <c r="I614" s="573" t="s">
        <v>2137</v>
      </c>
      <c r="J614" s="573" t="s">
        <v>1975</v>
      </c>
      <c r="K614" s="573" t="s">
        <v>2273</v>
      </c>
      <c r="L614" s="1176">
        <f>IFERROR(INDEX('Lower Hot Cell Logistics'!$I$13:$O$19,MATCH($J614,'Lower Hot Cell Logistics'!$H$13:$H$19,0),MATCH($K614,'Lower Hot Cell Logistics'!$H$13:$H$19,0)),"N/A")</f>
        <v>50</v>
      </c>
      <c r="M614" s="1176">
        <f>IFERROR(VLOOKUP($I614,'Lower Hot Cell Logistics'!$H$4:$I$8,2,FALSE),"N/A")</f>
        <v>0.06</v>
      </c>
      <c r="N614" s="1176">
        <f t="shared" si="48"/>
        <v>0.23148148148148148</v>
      </c>
      <c r="O614" s="579"/>
      <c r="P614" s="580" t="str">
        <f>IF($D614="Logistics",VLOOKUP($O614,'Lower Hot Cell Logistics'!$C$4:$D$69,2,FALSE),"N/A")</f>
        <v>N/A</v>
      </c>
    </row>
    <row r="615" spans="1:16" ht="26.15" hidden="1" outlineLevel="1" thickBot="1" x14ac:dyDescent="0.45">
      <c r="A615" s="2356"/>
      <c r="B615" s="3788"/>
      <c r="C615" s="584" t="str">
        <f>B610</f>
        <v>Replacement transporter commissioned; moved to port to collect abandoned payload</v>
      </c>
      <c r="D615" s="584" t="s">
        <v>11</v>
      </c>
      <c r="E615" s="1179">
        <f t="shared" si="47"/>
        <v>0</v>
      </c>
      <c r="F615" s="580">
        <f>IF($D615="Trigger",VLOOKUP($C615,'Lower Hot Cell Weld Failure'!$D$513:$G$540,4,FALSE),E615+F614)</f>
        <v>1.6192592592592594</v>
      </c>
      <c r="G615" s="586"/>
      <c r="H615" s="587" t="s">
        <v>263</v>
      </c>
      <c r="I615" s="584"/>
      <c r="J615" s="584"/>
      <c r="K615" s="584"/>
      <c r="L615" s="1179" t="str">
        <f>IFERROR(INDEX('Lower Hot Cell Logistics'!$I$13:$O$19,MATCH($J615,'Lower Hot Cell Logistics'!$H$13:$H$19,0),MATCH($K615,'Lower Hot Cell Logistics'!$H$13:$H$19,0)),"N/A")</f>
        <v>N/A</v>
      </c>
      <c r="M615" s="1179" t="str">
        <f>IFERROR(VLOOKUP($I615,'Lower Hot Cell Logistics'!$H$4:$I$8,2,FALSE),"N/A")</f>
        <v>N/A</v>
      </c>
      <c r="N615" s="1179" t="str">
        <f t="shared" si="48"/>
        <v>N/A</v>
      </c>
      <c r="O615" s="590"/>
      <c r="P615" s="591" t="str">
        <f>IF($D615="Logistics",VLOOKUP($O615,'Lower Hot Cell Logistics'!$C$4:$D$69,2,FALSE),"N/A")</f>
        <v>N/A</v>
      </c>
    </row>
    <row r="616" spans="1:16" ht="13.3" collapsed="1" thickBot="1" x14ac:dyDescent="0.45">
      <c r="A616" s="2357"/>
      <c r="B616" s="2358"/>
      <c r="C616" s="2359"/>
      <c r="D616" s="2359"/>
      <c r="E616" s="2359"/>
      <c r="F616" s="2359"/>
      <c r="G616" s="2359"/>
      <c r="H616" s="2360"/>
      <c r="I616" s="2359"/>
      <c r="J616" s="2359"/>
      <c r="K616" s="2359"/>
      <c r="L616" s="2361"/>
      <c r="M616" s="2361"/>
      <c r="N616" s="2361"/>
      <c r="O616" s="2359"/>
      <c r="P616" s="2362"/>
    </row>
    <row r="617" spans="1:16" ht="15.45" x14ac:dyDescent="0.4">
      <c r="A617" s="2363"/>
      <c r="B617" s="2364" t="s">
        <v>2374</v>
      </c>
      <c r="C617" s="2365"/>
      <c r="D617" s="2365"/>
      <c r="E617" s="2365"/>
      <c r="F617" s="2365"/>
      <c r="G617" s="2365"/>
      <c r="H617" s="2366"/>
      <c r="I617" s="2365"/>
      <c r="J617" s="2365"/>
      <c r="K617" s="2365"/>
      <c r="L617" s="2367"/>
      <c r="M617" s="2367"/>
      <c r="N617" s="2367"/>
      <c r="O617" s="2365"/>
      <c r="P617" s="2368"/>
    </row>
    <row r="618" spans="1:16" hidden="1" outlineLevel="1" x14ac:dyDescent="0.4">
      <c r="A618" s="2369"/>
      <c r="B618" s="3787" t="s">
        <v>2267</v>
      </c>
      <c r="C618" s="566" t="s">
        <v>2259</v>
      </c>
      <c r="D618" s="566" t="s">
        <v>907</v>
      </c>
      <c r="E618" s="1175">
        <f t="shared" ref="E618:E624" si="49">MAX($P618,$N618,$H618)</f>
        <v>0</v>
      </c>
      <c r="F618" s="621">
        <f>IF($D618="Trigger",VLOOKUP($C618,'Lower Hot Cell Hardware Failure'!$C$49:$F$59,4,FALSE),E618+F617)</f>
        <v>0</v>
      </c>
      <c r="G618" s="568"/>
      <c r="H618" s="569" t="s">
        <v>263</v>
      </c>
      <c r="I618" s="566"/>
      <c r="J618" s="566"/>
      <c r="K618" s="566"/>
      <c r="L618" s="1175" t="str">
        <f>IFERROR(INDEX('Lower Hot Cell Logistics'!$I$13:$O$19,MATCH($J618,'Lower Hot Cell Logistics'!$H$13:$H$19,0),MATCH($K618,'Lower Hot Cell Logistics'!$H$13:$H$19,0)),"N/A")</f>
        <v>N/A</v>
      </c>
      <c r="M618" s="1175" t="str">
        <f>IFERROR(VLOOKUP($I618,'Lower Hot Cell Logistics'!$H$4:$I$8,2,FALSE),"N/A")</f>
        <v>N/A</v>
      </c>
      <c r="N618" s="1175" t="str">
        <f t="shared" ref="N618:N624" si="50">IF(D618="Movement",IFERROR((L618/M618)/(60*60),"Error"),"N/A")</f>
        <v>N/A</v>
      </c>
      <c r="O618" s="620"/>
      <c r="P618" s="621" t="str">
        <f>IF($D618="Logistics",VLOOKUP($O618,'Lower Hot Cell Logistics'!$C$4:$D$69,2,FALSE),"N/A")</f>
        <v>N/A</v>
      </c>
    </row>
    <row r="619" spans="1:16" hidden="1" outlineLevel="1" x14ac:dyDescent="0.4">
      <c r="A619" s="2369"/>
      <c r="B619" s="3786"/>
      <c r="C619" s="573" t="s">
        <v>2375</v>
      </c>
      <c r="D619" s="573" t="s">
        <v>2371</v>
      </c>
      <c r="E619" s="1176">
        <f t="shared" si="49"/>
        <v>0.69444444444444442</v>
      </c>
      <c r="F619" s="580">
        <f>IF($D619="Trigger",VLOOKUP($C619,'Lower Hot Cell Hardware Failure'!$C$49:$F$59,4,FALSE),E619+F618)</f>
        <v>0.69444444444444442</v>
      </c>
      <c r="G619" s="575"/>
      <c r="H619" s="576" t="s">
        <v>263</v>
      </c>
      <c r="I619" s="573" t="s">
        <v>2171</v>
      </c>
      <c r="J619" s="573" t="s">
        <v>451</v>
      </c>
      <c r="K619" s="573" t="s">
        <v>831</v>
      </c>
      <c r="L619" s="1176">
        <f>IFERROR(INDEX('Lower Hot Cell Logistics'!$I$13:$O$19,MATCH($J619,'Lower Hot Cell Logistics'!$H$13:$H$19,0),MATCH($K619,'Lower Hot Cell Logistics'!$H$13:$H$19,0)),"N/A")</f>
        <v>50</v>
      </c>
      <c r="M619" s="1176">
        <f>IFERROR(VLOOKUP($I619,'Lower Hot Cell Logistics'!$H$4:$I$8,2,FALSE),"N/A")</f>
        <v>0.02</v>
      </c>
      <c r="N619" s="1176">
        <f t="shared" si="50"/>
        <v>0.69444444444444442</v>
      </c>
      <c r="O619" s="579"/>
      <c r="P619" s="580" t="str">
        <f>IF($D619="Logistics",VLOOKUP($O619,'Lower Hot Cell Logistics'!$C$4:$D$69,2,FALSE),"N/A")</f>
        <v>N/A</v>
      </c>
    </row>
    <row r="620" spans="1:16" hidden="1" outlineLevel="1" x14ac:dyDescent="0.4">
      <c r="A620" s="2369"/>
      <c r="B620" s="3786"/>
      <c r="C620" s="573" t="s">
        <v>2376</v>
      </c>
      <c r="D620" s="573" t="s">
        <v>3</v>
      </c>
      <c r="E620" s="1176">
        <f t="shared" si="49"/>
        <v>0.88000000000000012</v>
      </c>
      <c r="F620" s="580">
        <f>IF($D620="Trigger",VLOOKUP($C620,'Lower Hot Cell Hardware Failure'!$C$49:$F$59,4,FALSE),E620+F619)</f>
        <v>1.5744444444444445</v>
      </c>
      <c r="G620" s="575"/>
      <c r="H620" s="576" t="s">
        <v>263</v>
      </c>
      <c r="I620" s="573"/>
      <c r="J620" s="573"/>
      <c r="K620" s="573"/>
      <c r="L620" s="1176" t="str">
        <f>IFERROR(INDEX('Lower Hot Cell Logistics'!$I$13:$O$19,MATCH($J620,'Lower Hot Cell Logistics'!$H$13:$H$19,0),MATCH($K620,'Lower Hot Cell Logistics'!$H$13:$H$19,0)),"N/A")</f>
        <v>N/A</v>
      </c>
      <c r="M620" s="1176" t="str">
        <f>IFERROR(VLOOKUP($I620,'Lower Hot Cell Logistics'!$H$4:$I$8,2,FALSE),"N/A")</f>
        <v>N/A</v>
      </c>
      <c r="N620" s="1176" t="str">
        <f t="shared" si="50"/>
        <v>N/A</v>
      </c>
      <c r="O620" s="579" t="s">
        <v>2168</v>
      </c>
      <c r="P620" s="580">
        <f>IF($D620="Logistics",VLOOKUP($O620,'Lower Hot Cell Logistics'!$C$4:$D$69,2,FALSE),"N/A")</f>
        <v>0.88000000000000012</v>
      </c>
    </row>
    <row r="621" spans="1:16" hidden="1" outlineLevel="1" x14ac:dyDescent="0.4">
      <c r="A621" s="2369"/>
      <c r="B621" s="3786"/>
      <c r="C621" s="582" t="s">
        <v>2377</v>
      </c>
      <c r="D621" s="573" t="s">
        <v>778</v>
      </c>
      <c r="E621" s="1176">
        <f t="shared" si="49"/>
        <v>2.7777777777777776E-2</v>
      </c>
      <c r="F621" s="580">
        <f>IF($D621="Trigger",VLOOKUP($C621,'Lower Hot Cell Hardware Failure'!$C$49:$F$59,4,FALSE),E621+F620)</f>
        <v>1.6022222222222222</v>
      </c>
      <c r="G621" s="575"/>
      <c r="H621" s="576" t="s">
        <v>263</v>
      </c>
      <c r="I621" s="573" t="s">
        <v>2146</v>
      </c>
      <c r="J621" s="573" t="s">
        <v>831</v>
      </c>
      <c r="K621" s="573" t="s">
        <v>1975</v>
      </c>
      <c r="L621" s="1176">
        <f>IFERROR(INDEX('Lower Hot Cell Logistics'!$I$13:$O$19,MATCH($J621,'Lower Hot Cell Logistics'!$H$13:$H$19,0),MATCH($K621,'Lower Hot Cell Logistics'!$H$13:$H$19,0)),"N/A")</f>
        <v>20</v>
      </c>
      <c r="M621" s="1176">
        <f>IFERROR(VLOOKUP($I621,'Lower Hot Cell Logistics'!$H$4:$I$8,2,FALSE),"N/A")</f>
        <v>0.2</v>
      </c>
      <c r="N621" s="1176">
        <f t="shared" si="50"/>
        <v>2.7777777777777776E-2</v>
      </c>
      <c r="O621" s="579"/>
      <c r="P621" s="580" t="str">
        <f>IF($D621="Logistics",VLOOKUP($O621,'Lower Hot Cell Logistics'!$C$4:$D$69,2,FALSE),"N/A")</f>
        <v>N/A</v>
      </c>
    </row>
    <row r="622" spans="1:16" hidden="1" outlineLevel="1" x14ac:dyDescent="0.4">
      <c r="A622" s="2369"/>
      <c r="B622" s="3786"/>
      <c r="C622" s="582" t="s">
        <v>2378</v>
      </c>
      <c r="D622" s="573" t="s">
        <v>3</v>
      </c>
      <c r="E622" s="1176">
        <f t="shared" si="49"/>
        <v>0.68</v>
      </c>
      <c r="F622" s="580">
        <f>IF($D622="Trigger",VLOOKUP($C622,'Lower Hot Cell Hardware Failure'!$C$49:$F$59,4,FALSE),E622+F621)</f>
        <v>2.2822222222222224</v>
      </c>
      <c r="G622" s="575"/>
      <c r="H622" s="576" t="s">
        <v>263</v>
      </c>
      <c r="I622" s="573"/>
      <c r="J622" s="573"/>
      <c r="K622" s="573"/>
      <c r="L622" s="1176" t="str">
        <f>IFERROR(INDEX('Lower Hot Cell Logistics'!$I$13:$O$19,MATCH($J622,'Lower Hot Cell Logistics'!$H$13:$H$19,0),MATCH($K622,'Lower Hot Cell Logistics'!$H$13:$H$19,0)),"N/A")</f>
        <v>N/A</v>
      </c>
      <c r="M622" s="1176" t="str">
        <f>IFERROR(VLOOKUP($I622,'Lower Hot Cell Logistics'!$H$4:$I$8,2,FALSE),"N/A")</f>
        <v>N/A</v>
      </c>
      <c r="N622" s="1176" t="str">
        <f t="shared" si="50"/>
        <v>N/A</v>
      </c>
      <c r="O622" s="579" t="s">
        <v>2139</v>
      </c>
      <c r="P622" s="580">
        <f>IF($D622="Logistics",VLOOKUP($O622,'Lower Hot Cell Logistics'!$C$4:$D$69,2,FALSE),"N/A")</f>
        <v>0.68</v>
      </c>
    </row>
    <row r="623" spans="1:16" hidden="1" outlineLevel="1" x14ac:dyDescent="0.4">
      <c r="A623" s="2369"/>
      <c r="B623" s="3786"/>
      <c r="C623" s="582" t="s">
        <v>2379</v>
      </c>
      <c r="D623" s="582" t="s">
        <v>2371</v>
      </c>
      <c r="E623" s="1176">
        <f t="shared" si="49"/>
        <v>0.69444444444444442</v>
      </c>
      <c r="F623" s="580">
        <f>IF($D623="Trigger",VLOOKUP($C623,'Lower Hot Cell Hardware Failure'!$C$49:$F$59,4,FALSE),E623+F622)</f>
        <v>2.9766666666666666</v>
      </c>
      <c r="G623" s="575"/>
      <c r="H623" s="576" t="s">
        <v>263</v>
      </c>
      <c r="I623" s="573" t="s">
        <v>2171</v>
      </c>
      <c r="J623" s="573" t="s">
        <v>1975</v>
      </c>
      <c r="K623" s="573" t="s">
        <v>451</v>
      </c>
      <c r="L623" s="1176">
        <f>IFERROR(INDEX('Lower Hot Cell Logistics'!$I$13:$O$19,MATCH($J623,'Lower Hot Cell Logistics'!$H$13:$H$19,0),MATCH($K623,'Lower Hot Cell Logistics'!$H$13:$H$19,0)),"N/A")</f>
        <v>50</v>
      </c>
      <c r="M623" s="1176">
        <f>IFERROR(VLOOKUP($I623,'Lower Hot Cell Logistics'!$H$4:$I$8,2,FALSE),"N/A")</f>
        <v>0.02</v>
      </c>
      <c r="N623" s="1176">
        <f t="shared" si="50"/>
        <v>0.69444444444444442</v>
      </c>
      <c r="O623" s="579"/>
      <c r="P623" s="580" t="str">
        <f>IF($D623="Logistics",VLOOKUP($O623,'Lower Hot Cell Logistics'!$C$4:$D$69,2,FALSE),"N/A")</f>
        <v>N/A</v>
      </c>
    </row>
    <row r="624" spans="1:16" ht="26.15" hidden="1" outlineLevel="1" thickBot="1" x14ac:dyDescent="0.45">
      <c r="A624" s="2369"/>
      <c r="B624" s="3788"/>
      <c r="C624" s="584" t="str">
        <f>B618</f>
        <v>Hardware transporter moved to the AMF; Replacement MFM issued; MFM moved to port</v>
      </c>
      <c r="D624" s="584" t="s">
        <v>11</v>
      </c>
      <c r="E624" s="1179">
        <f t="shared" si="49"/>
        <v>0</v>
      </c>
      <c r="F624" s="580">
        <f>IF($D624="Trigger",VLOOKUP($C624,'Lower Hot Cell Hardware Failure'!$C$49:$F$59,4,FALSE),E624+F622)</f>
        <v>2.2822222222222224</v>
      </c>
      <c r="G624" s="586"/>
      <c r="H624" s="587" t="s">
        <v>263</v>
      </c>
      <c r="I624" s="584"/>
      <c r="J624" s="584"/>
      <c r="K624" s="584"/>
      <c r="L624" s="1179" t="str">
        <f>IFERROR(INDEX('Lower Hot Cell Logistics'!$I$13:$O$19,MATCH($J624,'Lower Hot Cell Logistics'!$H$13:$H$19,0),MATCH($K624,'Lower Hot Cell Logistics'!$H$13:$H$19,0)),"N/A")</f>
        <v>N/A</v>
      </c>
      <c r="M624" s="1179" t="str">
        <f>IFERROR(VLOOKUP($I624,'Lower Hot Cell Logistics'!$H$4:$I$8,2,FALSE),"N/A")</f>
        <v>N/A</v>
      </c>
      <c r="N624" s="1179" t="str">
        <f t="shared" si="50"/>
        <v>N/A</v>
      </c>
      <c r="O624" s="590"/>
      <c r="P624" s="591" t="str">
        <f>IF($D624="Logistics",VLOOKUP($O624,'Lower Hot Cell Logistics'!$C$4:$D$69,2,FALSE),"N/A")</f>
        <v>N/A</v>
      </c>
    </row>
    <row r="625" spans="1:16" ht="13.3" collapsed="1" thickBot="1" x14ac:dyDescent="0.45">
      <c r="A625" s="2370"/>
      <c r="B625" s="2371"/>
      <c r="C625" s="2372"/>
      <c r="D625" s="2372"/>
      <c r="E625" s="2372"/>
      <c r="F625" s="2372"/>
      <c r="G625" s="2372"/>
      <c r="H625" s="2373"/>
      <c r="I625" s="2372"/>
      <c r="J625" s="2372"/>
      <c r="K625" s="2372"/>
      <c r="L625" s="2374"/>
      <c r="M625" s="2374"/>
      <c r="N625" s="2374"/>
      <c r="O625" s="2372"/>
      <c r="P625" s="2375"/>
    </row>
    <row r="626" spans="1:16" ht="15.45" x14ac:dyDescent="0.4">
      <c r="A626" s="2376"/>
      <c r="B626" s="2377" t="s">
        <v>2380</v>
      </c>
      <c r="C626" s="2378"/>
      <c r="D626" s="2378"/>
      <c r="E626" s="2378"/>
      <c r="F626" s="2378"/>
      <c r="G626" s="2378"/>
      <c r="H626" s="2379"/>
      <c r="I626" s="2378"/>
      <c r="J626" s="2378"/>
      <c r="K626" s="2378"/>
      <c r="L626" s="2380"/>
      <c r="M626" s="2380"/>
      <c r="N626" s="2380"/>
      <c r="O626" s="2378"/>
      <c r="P626" s="2381"/>
    </row>
    <row r="627" spans="1:16" hidden="1" outlineLevel="1" x14ac:dyDescent="0.4">
      <c r="A627" s="2382"/>
      <c r="B627" s="3787" t="s">
        <v>2267</v>
      </c>
      <c r="C627" s="566" t="s">
        <v>2259</v>
      </c>
      <c r="D627" s="566" t="s">
        <v>907</v>
      </c>
      <c r="E627" s="1175">
        <f t="shared" ref="E627:E633" si="51">MAX($P627,$N627,$H627)</f>
        <v>0</v>
      </c>
      <c r="F627" s="621">
        <f>IF($D627="Trigger",VLOOKUP($C627,'Lower Hot Cell Hardware Failure'!$C$49:$F$59,4,FALSE),E627+F626)</f>
        <v>0</v>
      </c>
      <c r="G627" s="568"/>
      <c r="H627" s="569" t="s">
        <v>263</v>
      </c>
      <c r="I627" s="566"/>
      <c r="J627" s="566"/>
      <c r="K627" s="566"/>
      <c r="L627" s="1175" t="str">
        <f>IFERROR(INDEX('Lower Hot Cell Logistics'!$I$13:$O$19,MATCH($J627,'Lower Hot Cell Logistics'!$H$13:$H$19,0),MATCH($K627,'Lower Hot Cell Logistics'!$H$13:$H$19,0)),"N/A")</f>
        <v>N/A</v>
      </c>
      <c r="M627" s="1175" t="str">
        <f>IFERROR(VLOOKUP($I627,'Lower Hot Cell Logistics'!$H$4:$I$8,2,FALSE),"N/A")</f>
        <v>N/A</v>
      </c>
      <c r="N627" s="1175" t="str">
        <f t="shared" ref="N627:N633" si="52">IF(D627="Movement",IFERROR((L627/M627)/(60*60),"Error"),"N/A")</f>
        <v>N/A</v>
      </c>
      <c r="O627" s="620"/>
      <c r="P627" s="621" t="str">
        <f>IF($D627="Logistics",VLOOKUP($O627,'Lower Hot Cell Logistics'!$C$4:$D$69,2,FALSE),"N/A")</f>
        <v>N/A</v>
      </c>
    </row>
    <row r="628" spans="1:16" hidden="1" outlineLevel="1" x14ac:dyDescent="0.4">
      <c r="A628" s="2382"/>
      <c r="B628" s="3786"/>
      <c r="C628" s="573" t="s">
        <v>2375</v>
      </c>
      <c r="D628" s="573" t="s">
        <v>2371</v>
      </c>
      <c r="E628" s="1176">
        <f t="shared" si="51"/>
        <v>0.69444444444444442</v>
      </c>
      <c r="F628" s="580">
        <f>IF($D628="Trigger",VLOOKUP($C628,'Lower Hot Cell Hardware Failure'!$C$49:$F$59,4,FALSE),E628+F627)</f>
        <v>0.69444444444444442</v>
      </c>
      <c r="G628" s="575"/>
      <c r="H628" s="576" t="s">
        <v>263</v>
      </c>
      <c r="I628" s="573" t="s">
        <v>2171</v>
      </c>
      <c r="J628" s="573" t="s">
        <v>451</v>
      </c>
      <c r="K628" s="573" t="s">
        <v>831</v>
      </c>
      <c r="L628" s="1176">
        <f>IFERROR(INDEX('Lower Hot Cell Logistics'!$I$13:$O$19,MATCH($J628,'Lower Hot Cell Logistics'!$H$13:$H$19,0),MATCH($K628,'Lower Hot Cell Logistics'!$H$13:$H$19,0)),"N/A")</f>
        <v>50</v>
      </c>
      <c r="M628" s="1176">
        <f>IFERROR(VLOOKUP($I628,'Lower Hot Cell Logistics'!$H$4:$I$8,2,FALSE),"N/A")</f>
        <v>0.02</v>
      </c>
      <c r="N628" s="1176">
        <f t="shared" si="52"/>
        <v>0.69444444444444442</v>
      </c>
      <c r="O628" s="579"/>
      <c r="P628" s="580" t="str">
        <f>IF($D628="Logistics",VLOOKUP($O628,'Lower Hot Cell Logistics'!$C$4:$D$69,2,FALSE),"N/A")</f>
        <v>N/A</v>
      </c>
    </row>
    <row r="629" spans="1:16" hidden="1" outlineLevel="1" x14ac:dyDescent="0.4">
      <c r="A629" s="2382"/>
      <c r="B629" s="3786"/>
      <c r="C629" s="573" t="s">
        <v>2376</v>
      </c>
      <c r="D629" s="573" t="s">
        <v>3</v>
      </c>
      <c r="E629" s="1176">
        <f t="shared" si="51"/>
        <v>0.88000000000000012</v>
      </c>
      <c r="F629" s="580">
        <f>IF($D629="Trigger",VLOOKUP($C629,'Lower Hot Cell Hardware Failure'!$C$49:$F$59,4,FALSE),E629+F628)</f>
        <v>1.5744444444444445</v>
      </c>
      <c r="G629" s="575"/>
      <c r="H629" s="576" t="s">
        <v>263</v>
      </c>
      <c r="I629" s="573"/>
      <c r="J629" s="573"/>
      <c r="K629" s="573"/>
      <c r="L629" s="1176" t="str">
        <f>IFERROR(INDEX('Lower Hot Cell Logistics'!$I$13:$O$19,MATCH($J629,'Lower Hot Cell Logistics'!$H$13:$H$19,0),MATCH($K629,'Lower Hot Cell Logistics'!$H$13:$H$19,0)),"N/A")</f>
        <v>N/A</v>
      </c>
      <c r="M629" s="1176" t="str">
        <f>IFERROR(VLOOKUP($I629,'Lower Hot Cell Logistics'!$H$4:$I$8,2,FALSE),"N/A")</f>
        <v>N/A</v>
      </c>
      <c r="N629" s="1176" t="str">
        <f t="shared" si="52"/>
        <v>N/A</v>
      </c>
      <c r="O629" s="579" t="s">
        <v>2168</v>
      </c>
      <c r="P629" s="580">
        <f>IF($D629="Logistics",VLOOKUP($O629,'Lower Hot Cell Logistics'!$C$4:$D$69,2,FALSE),"N/A")</f>
        <v>0.88000000000000012</v>
      </c>
    </row>
    <row r="630" spans="1:16" hidden="1" outlineLevel="1" x14ac:dyDescent="0.4">
      <c r="A630" s="2382"/>
      <c r="B630" s="3786"/>
      <c r="C630" s="582" t="s">
        <v>2377</v>
      </c>
      <c r="D630" s="573" t="s">
        <v>778</v>
      </c>
      <c r="E630" s="1176">
        <f t="shared" si="51"/>
        <v>2.7777777777777776E-2</v>
      </c>
      <c r="F630" s="580">
        <f>IF($D630="Trigger",VLOOKUP($C630,'Lower Hot Cell Hardware Failure'!$C$49:$F$59,4,FALSE),E630+F629)</f>
        <v>1.6022222222222222</v>
      </c>
      <c r="G630" s="575"/>
      <c r="H630" s="576" t="s">
        <v>263</v>
      </c>
      <c r="I630" s="573" t="s">
        <v>2146</v>
      </c>
      <c r="J630" s="573" t="s">
        <v>831</v>
      </c>
      <c r="K630" s="573" t="s">
        <v>1975</v>
      </c>
      <c r="L630" s="1176">
        <f>IFERROR(INDEX('Lower Hot Cell Logistics'!$I$13:$O$19,MATCH($J630,'Lower Hot Cell Logistics'!$H$13:$H$19,0),MATCH($K630,'Lower Hot Cell Logistics'!$H$13:$H$19,0)),"N/A")</f>
        <v>20</v>
      </c>
      <c r="M630" s="1176">
        <f>IFERROR(VLOOKUP($I630,'Lower Hot Cell Logistics'!$H$4:$I$8,2,FALSE),"N/A")</f>
        <v>0.2</v>
      </c>
      <c r="N630" s="1176">
        <f t="shared" si="52"/>
        <v>2.7777777777777776E-2</v>
      </c>
      <c r="O630" s="579"/>
      <c r="P630" s="580" t="str">
        <f>IF($D630="Logistics",VLOOKUP($O630,'Lower Hot Cell Logistics'!$C$4:$D$69,2,FALSE),"N/A")</f>
        <v>N/A</v>
      </c>
    </row>
    <row r="631" spans="1:16" hidden="1" outlineLevel="1" x14ac:dyDescent="0.4">
      <c r="A631" s="2382"/>
      <c r="B631" s="3786"/>
      <c r="C631" s="582" t="s">
        <v>2378</v>
      </c>
      <c r="D631" s="573" t="s">
        <v>3</v>
      </c>
      <c r="E631" s="1176">
        <f t="shared" si="51"/>
        <v>0.68</v>
      </c>
      <c r="F631" s="580">
        <f>IF($D631="Trigger",VLOOKUP($C631,'Lower Hot Cell Hardware Failure'!$C$49:$F$59,4,FALSE),E631+F630)</f>
        <v>2.2822222222222224</v>
      </c>
      <c r="G631" s="575"/>
      <c r="H631" s="576" t="s">
        <v>263</v>
      </c>
      <c r="I631" s="573"/>
      <c r="J631" s="573"/>
      <c r="K631" s="573"/>
      <c r="L631" s="1176" t="str">
        <f>IFERROR(INDEX('Lower Hot Cell Logistics'!$I$13:$O$19,MATCH($J631,'Lower Hot Cell Logistics'!$H$13:$H$19,0),MATCH($K631,'Lower Hot Cell Logistics'!$H$13:$H$19,0)),"N/A")</f>
        <v>N/A</v>
      </c>
      <c r="M631" s="1176" t="str">
        <f>IFERROR(VLOOKUP($I631,'Lower Hot Cell Logistics'!$H$4:$I$8,2,FALSE),"N/A")</f>
        <v>N/A</v>
      </c>
      <c r="N631" s="1176" t="str">
        <f t="shared" si="52"/>
        <v>N/A</v>
      </c>
      <c r="O631" s="579" t="s">
        <v>2139</v>
      </c>
      <c r="P631" s="580">
        <f>IF($D631="Logistics",VLOOKUP($O631,'Lower Hot Cell Logistics'!$C$4:$D$69,2,FALSE),"N/A")</f>
        <v>0.68</v>
      </c>
    </row>
    <row r="632" spans="1:16" hidden="1" outlineLevel="1" x14ac:dyDescent="0.4">
      <c r="A632" s="2382"/>
      <c r="B632" s="3786"/>
      <c r="C632" s="582" t="s">
        <v>2379</v>
      </c>
      <c r="D632" s="582" t="s">
        <v>2371</v>
      </c>
      <c r="E632" s="1176">
        <f t="shared" si="51"/>
        <v>0.69444444444444442</v>
      </c>
      <c r="F632" s="580">
        <f>IF($D632="Trigger",VLOOKUP($C632,'Lower Hot Cell Hardware Failure'!$C$49:$F$59,4,FALSE),E632+F631)</f>
        <v>2.9766666666666666</v>
      </c>
      <c r="G632" s="575"/>
      <c r="H632" s="576" t="s">
        <v>263</v>
      </c>
      <c r="I632" s="573" t="s">
        <v>2171</v>
      </c>
      <c r="J632" s="573" t="s">
        <v>1975</v>
      </c>
      <c r="K632" s="573" t="s">
        <v>451</v>
      </c>
      <c r="L632" s="1176">
        <f>IFERROR(INDEX('Lower Hot Cell Logistics'!$I$13:$O$19,MATCH($J632,'Lower Hot Cell Logistics'!$H$13:$H$19,0),MATCH($K632,'Lower Hot Cell Logistics'!$H$13:$H$19,0)),"N/A")</f>
        <v>50</v>
      </c>
      <c r="M632" s="1176">
        <f>IFERROR(VLOOKUP($I632,'Lower Hot Cell Logistics'!$H$4:$I$8,2,FALSE),"N/A")</f>
        <v>0.02</v>
      </c>
      <c r="N632" s="1176">
        <f t="shared" si="52"/>
        <v>0.69444444444444442</v>
      </c>
      <c r="O632" s="579"/>
      <c r="P632" s="580" t="str">
        <f>IF($D632="Logistics",VLOOKUP($O632,'Lower Hot Cell Logistics'!$C$4:$D$69,2,FALSE),"N/A")</f>
        <v>N/A</v>
      </c>
    </row>
    <row r="633" spans="1:16" ht="26.15" hidden="1" outlineLevel="1" thickBot="1" x14ac:dyDescent="0.45">
      <c r="A633" s="2382"/>
      <c r="B633" s="3788"/>
      <c r="C633" s="584" t="str">
        <f>B627</f>
        <v>Hardware transporter moved to the AMF; Replacement MFM issued; MFM moved to port</v>
      </c>
      <c r="D633" s="584" t="s">
        <v>11</v>
      </c>
      <c r="E633" s="1179">
        <f t="shared" si="51"/>
        <v>0</v>
      </c>
      <c r="F633" s="580">
        <f>IF($D633="Trigger",VLOOKUP($C633,'Lower Hot Cell Hardware Failure'!$C$49:$F$59,4,FALSE),E633+F631)</f>
        <v>2.2822222222222224</v>
      </c>
      <c r="G633" s="586"/>
      <c r="H633" s="587" t="s">
        <v>263</v>
      </c>
      <c r="I633" s="584"/>
      <c r="J633" s="584"/>
      <c r="K633" s="584"/>
      <c r="L633" s="1179" t="str">
        <f>IFERROR(INDEX('Lower Hot Cell Logistics'!$I$13:$O$19,MATCH($J633,'Lower Hot Cell Logistics'!$H$13:$H$19,0),MATCH($K633,'Lower Hot Cell Logistics'!$H$13:$H$19,0)),"N/A")</f>
        <v>N/A</v>
      </c>
      <c r="M633" s="1179" t="str">
        <f>IFERROR(VLOOKUP($I633,'Lower Hot Cell Logistics'!$H$4:$I$8,2,FALSE),"N/A")</f>
        <v>N/A</v>
      </c>
      <c r="N633" s="1179" t="str">
        <f t="shared" si="52"/>
        <v>N/A</v>
      </c>
      <c r="O633" s="590"/>
      <c r="P633" s="591" t="str">
        <f>IF($D633="Logistics",VLOOKUP($O633,'Lower Hot Cell Logistics'!$C$4:$D$69,2,FALSE),"N/A")</f>
        <v>N/A</v>
      </c>
    </row>
    <row r="634" spans="1:16" ht="13.3" collapsed="1" thickBot="1" x14ac:dyDescent="0.45">
      <c r="A634" s="2383"/>
      <c r="B634" s="2384"/>
      <c r="C634" s="2385"/>
      <c r="D634" s="2385"/>
      <c r="E634" s="2385"/>
      <c r="F634" s="2385"/>
      <c r="G634" s="2385"/>
      <c r="H634" s="2386"/>
      <c r="I634" s="2385"/>
      <c r="J634" s="2385"/>
      <c r="K634" s="2385"/>
      <c r="L634" s="2387"/>
      <c r="M634" s="2387"/>
      <c r="N634" s="2387"/>
      <c r="O634" s="2385"/>
      <c r="P634" s="2388"/>
    </row>
  </sheetData>
  <autoFilter ref="B3:P4"/>
  <customSheetViews>
    <customSheetView guid="{9C0AA20B-B2A2-4A2C-B279-4A5988F4E71A}" showAutoFilter="1" hiddenRows="1" hiddenColumns="1" state="hidden">
      <selection activeCell="Q20" sqref="Q20"/>
      <pageMargins left="0.7" right="0.7" top="0.75" bottom="0.75" header="0.3" footer="0.3"/>
      <pageSetup paperSize="9" orientation="portrait" verticalDpi="0" r:id="rId1"/>
      <autoFilter ref="B3:P3"/>
    </customSheetView>
  </customSheetViews>
  <mergeCells count="122">
    <mergeCell ref="B618:B624"/>
    <mergeCell ref="B627:B633"/>
    <mergeCell ref="B575:B579"/>
    <mergeCell ref="B580:B586"/>
    <mergeCell ref="B587:B593"/>
    <mergeCell ref="B594:B598"/>
    <mergeCell ref="B599:B607"/>
    <mergeCell ref="B610:B615"/>
    <mergeCell ref="B527:B533"/>
    <mergeCell ref="B534:B538"/>
    <mergeCell ref="B539:B547"/>
    <mergeCell ref="B548:B556"/>
    <mergeCell ref="B559:B565"/>
    <mergeCell ref="B566:B574"/>
    <mergeCell ref="B482:B486"/>
    <mergeCell ref="B490:B496"/>
    <mergeCell ref="B497:B505"/>
    <mergeCell ref="B506:B514"/>
    <mergeCell ref="B515:B519"/>
    <mergeCell ref="B520:B526"/>
    <mergeCell ref="B440:B444"/>
    <mergeCell ref="B445:B451"/>
    <mergeCell ref="B452:B458"/>
    <mergeCell ref="B459:B463"/>
    <mergeCell ref="B464:B472"/>
    <mergeCell ref="B473:B481"/>
    <mergeCell ref="B401:B403"/>
    <mergeCell ref="B404:B406"/>
    <mergeCell ref="B410:B416"/>
    <mergeCell ref="B417:B421"/>
    <mergeCell ref="B422:B430"/>
    <mergeCell ref="B431:B439"/>
    <mergeCell ref="B376:B380"/>
    <mergeCell ref="B381:B383"/>
    <mergeCell ref="B384:B386"/>
    <mergeCell ref="B387:B389"/>
    <mergeCell ref="B390:B392"/>
    <mergeCell ref="B396:B400"/>
    <mergeCell ref="B347:B349"/>
    <mergeCell ref="B350:B352"/>
    <mergeCell ref="B353:B355"/>
    <mergeCell ref="B359:B363"/>
    <mergeCell ref="B364:B368"/>
    <mergeCell ref="B369:B375"/>
    <mergeCell ref="B317:B321"/>
    <mergeCell ref="B322:B326"/>
    <mergeCell ref="B327:B333"/>
    <mergeCell ref="B334:B338"/>
    <mergeCell ref="B339:B343"/>
    <mergeCell ref="B344:B346"/>
    <mergeCell ref="B292:B296"/>
    <mergeCell ref="B297:B301"/>
    <mergeCell ref="B302:B304"/>
    <mergeCell ref="B305:B307"/>
    <mergeCell ref="B308:B310"/>
    <mergeCell ref="B311:B313"/>
    <mergeCell ref="B259:B261"/>
    <mergeCell ref="B265:B269"/>
    <mergeCell ref="B270:B274"/>
    <mergeCell ref="B275:B279"/>
    <mergeCell ref="B280:B286"/>
    <mergeCell ref="B287:B291"/>
    <mergeCell ref="B239:B243"/>
    <mergeCell ref="B244:B246"/>
    <mergeCell ref="B247:B249"/>
    <mergeCell ref="B250:B252"/>
    <mergeCell ref="B253:B255"/>
    <mergeCell ref="B256:B258"/>
    <mergeCell ref="B207:B211"/>
    <mergeCell ref="B212:B216"/>
    <mergeCell ref="B217:B223"/>
    <mergeCell ref="B224:B228"/>
    <mergeCell ref="B229:B233"/>
    <mergeCell ref="B234:B238"/>
    <mergeCell ref="B182:B184"/>
    <mergeCell ref="B185:B187"/>
    <mergeCell ref="B188:B190"/>
    <mergeCell ref="B191:B193"/>
    <mergeCell ref="B197:B201"/>
    <mergeCell ref="B202:B206"/>
    <mergeCell ref="B160:B164"/>
    <mergeCell ref="B165:B169"/>
    <mergeCell ref="B170:B172"/>
    <mergeCell ref="B173:B175"/>
    <mergeCell ref="B176:B178"/>
    <mergeCell ref="B179:B181"/>
    <mergeCell ref="B128:B132"/>
    <mergeCell ref="B133:B137"/>
    <mergeCell ref="B138:B144"/>
    <mergeCell ref="B145:B149"/>
    <mergeCell ref="B150:B154"/>
    <mergeCell ref="B155:B159"/>
    <mergeCell ref="B101:B103"/>
    <mergeCell ref="B104:B106"/>
    <mergeCell ref="B107:B109"/>
    <mergeCell ref="B113:B117"/>
    <mergeCell ref="B118:B122"/>
    <mergeCell ref="B123:B127"/>
    <mergeCell ref="B83:B85"/>
    <mergeCell ref="B86:B88"/>
    <mergeCell ref="B89:B91"/>
    <mergeCell ref="B92:B94"/>
    <mergeCell ref="B95:B97"/>
    <mergeCell ref="B98:B100"/>
    <mergeCell ref="B55:B59"/>
    <mergeCell ref="B60:B64"/>
    <mergeCell ref="B65:B69"/>
    <mergeCell ref="B70:B74"/>
    <mergeCell ref="B75:B79"/>
    <mergeCell ref="B80:B82"/>
    <mergeCell ref="B21:B25"/>
    <mergeCell ref="B26:B30"/>
    <mergeCell ref="B31:B35"/>
    <mergeCell ref="B36:B42"/>
    <mergeCell ref="B43:B49"/>
    <mergeCell ref="B50:B54"/>
    <mergeCell ref="G2:H2"/>
    <mergeCell ref="I2:N2"/>
    <mergeCell ref="O2:P2"/>
    <mergeCell ref="B6:B10"/>
    <mergeCell ref="B11:B15"/>
    <mergeCell ref="B16:B20"/>
  </mergeCells>
  <conditionalFormatting sqref="B1:P54 B60:P149 B170:P201 B207:P228 B244:P264 H443:P443 E444:F444 E443 B487:P488 B557:P558 B608:P608 B302:P316 B344:P349 B322:P338 B356:P356 B408:P416 C609:P609 B610:P616 B635:P1048576">
    <cfRule type="cellIs" dxfId="3833" priority="1762" stopIfTrue="1" operator="equal">
      <formula>"N/A"</formula>
    </cfRule>
  </conditionalFormatting>
  <conditionalFormatting sqref="D110:D112 D1:D5 D263:D264 D195:D196 D315:D316 D80:D82 D408:D416 D487:D488 D557:D558 D608:D616 D635:D1048576">
    <cfRule type="cellIs" dxfId="3832" priority="1761" stopIfTrue="1" operator="equal">
      <formula>"Total"</formula>
    </cfRule>
    <cfRule type="cellIs" dxfId="3831" priority="1763" stopIfTrue="1" operator="equal">
      <formula>"Operation"</formula>
    </cfRule>
  </conditionalFormatting>
  <conditionalFormatting sqref="G83:P85">
    <cfRule type="cellIs" dxfId="3830" priority="1758" stopIfTrue="1" operator="equal">
      <formula>"N/A"</formula>
    </cfRule>
  </conditionalFormatting>
  <conditionalFormatting sqref="D83:D85">
    <cfRule type="cellIs" dxfId="3829" priority="1757" stopIfTrue="1" operator="equal">
      <formula>"Total"</formula>
    </cfRule>
    <cfRule type="cellIs" dxfId="3828" priority="1759" stopIfTrue="1" operator="equal">
      <formula>"Operation"</formula>
    </cfRule>
  </conditionalFormatting>
  <conditionalFormatting sqref="H86:P88">
    <cfRule type="cellIs" dxfId="3827" priority="1754" stopIfTrue="1" operator="equal">
      <formula>"N/A"</formula>
    </cfRule>
  </conditionalFormatting>
  <conditionalFormatting sqref="D86:D88">
    <cfRule type="cellIs" dxfId="3826" priority="1753" stopIfTrue="1" operator="equal">
      <formula>"Total"</formula>
    </cfRule>
    <cfRule type="cellIs" dxfId="3825" priority="1755" stopIfTrue="1" operator="equal">
      <formula>"Operation"</formula>
    </cfRule>
  </conditionalFormatting>
  <conditionalFormatting sqref="H89:P91">
    <cfRule type="cellIs" dxfId="3824" priority="1750" stopIfTrue="1" operator="equal">
      <formula>"N/A"</formula>
    </cfRule>
  </conditionalFormatting>
  <conditionalFormatting sqref="D89:D91">
    <cfRule type="cellIs" dxfId="3823" priority="1749" stopIfTrue="1" operator="equal">
      <formula>"Total"</formula>
    </cfRule>
    <cfRule type="cellIs" dxfId="3822" priority="1751" stopIfTrue="1" operator="equal">
      <formula>"Operation"</formula>
    </cfRule>
  </conditionalFormatting>
  <conditionalFormatting sqref="H92:P94">
    <cfRule type="cellIs" dxfId="3821" priority="1746" stopIfTrue="1" operator="equal">
      <formula>"N/A"</formula>
    </cfRule>
  </conditionalFormatting>
  <conditionalFormatting sqref="D92:D94">
    <cfRule type="cellIs" dxfId="3820" priority="1745" stopIfTrue="1" operator="equal">
      <formula>"Total"</formula>
    </cfRule>
    <cfRule type="cellIs" dxfId="3819" priority="1747" stopIfTrue="1" operator="equal">
      <formula>"Operation"</formula>
    </cfRule>
  </conditionalFormatting>
  <conditionalFormatting sqref="H95:P97">
    <cfRule type="cellIs" dxfId="3818" priority="1742" stopIfTrue="1" operator="equal">
      <formula>"N/A"</formula>
    </cfRule>
  </conditionalFormatting>
  <conditionalFormatting sqref="D95:D97">
    <cfRule type="cellIs" dxfId="3817" priority="1741" stopIfTrue="1" operator="equal">
      <formula>"Total"</formula>
    </cfRule>
    <cfRule type="cellIs" dxfId="3816" priority="1743" stopIfTrue="1" operator="equal">
      <formula>"Operation"</formula>
    </cfRule>
  </conditionalFormatting>
  <conditionalFormatting sqref="H98:P100">
    <cfRule type="cellIs" dxfId="3815" priority="1738" stopIfTrue="1" operator="equal">
      <formula>"N/A"</formula>
    </cfRule>
  </conditionalFormatting>
  <conditionalFormatting sqref="D98:D100">
    <cfRule type="cellIs" dxfId="3814" priority="1737" stopIfTrue="1" operator="equal">
      <formula>"Total"</formula>
    </cfRule>
    <cfRule type="cellIs" dxfId="3813" priority="1739" stopIfTrue="1" operator="equal">
      <formula>"Operation"</formula>
    </cfRule>
  </conditionalFormatting>
  <conditionalFormatting sqref="H101:P103">
    <cfRule type="cellIs" dxfId="3812" priority="1734" stopIfTrue="1" operator="equal">
      <formula>"N/A"</formula>
    </cfRule>
  </conditionalFormatting>
  <conditionalFormatting sqref="D101:D103">
    <cfRule type="cellIs" dxfId="3811" priority="1733" stopIfTrue="1" operator="equal">
      <formula>"Total"</formula>
    </cfRule>
    <cfRule type="cellIs" dxfId="3810" priority="1735" stopIfTrue="1" operator="equal">
      <formula>"Operation"</formula>
    </cfRule>
  </conditionalFormatting>
  <conditionalFormatting sqref="H104:P106">
    <cfRule type="cellIs" dxfId="3809" priority="1730" stopIfTrue="1" operator="equal">
      <formula>"N/A"</formula>
    </cfRule>
  </conditionalFormatting>
  <conditionalFormatting sqref="D104:D106">
    <cfRule type="cellIs" dxfId="3808" priority="1729" stopIfTrue="1" operator="equal">
      <formula>"Total"</formula>
    </cfRule>
    <cfRule type="cellIs" dxfId="3807" priority="1731" stopIfTrue="1" operator="equal">
      <formula>"Operation"</formula>
    </cfRule>
  </conditionalFormatting>
  <conditionalFormatting sqref="H107:P109">
    <cfRule type="cellIs" dxfId="3806" priority="1726" stopIfTrue="1" operator="equal">
      <formula>"N/A"</formula>
    </cfRule>
  </conditionalFormatting>
  <conditionalFormatting sqref="D107:D109">
    <cfRule type="cellIs" dxfId="3805" priority="1725" stopIfTrue="1" operator="equal">
      <formula>"Total"</formula>
    </cfRule>
    <cfRule type="cellIs" dxfId="3804" priority="1727" stopIfTrue="1" operator="equal">
      <formula>"Operation"</formula>
    </cfRule>
  </conditionalFormatting>
  <conditionalFormatting sqref="G86:G88">
    <cfRule type="cellIs" dxfId="3803" priority="1724" stopIfTrue="1" operator="equal">
      <formula>"N/A"</formula>
    </cfRule>
  </conditionalFormatting>
  <conditionalFormatting sqref="G89:G91">
    <cfRule type="cellIs" dxfId="3802" priority="1723" stopIfTrue="1" operator="equal">
      <formula>"N/A"</formula>
    </cfRule>
  </conditionalFormatting>
  <conditionalFormatting sqref="G92:G94">
    <cfRule type="cellIs" dxfId="3801" priority="1722" stopIfTrue="1" operator="equal">
      <formula>"N/A"</formula>
    </cfRule>
  </conditionalFormatting>
  <conditionalFormatting sqref="G95:G97">
    <cfRule type="cellIs" dxfId="3800" priority="1721" stopIfTrue="1" operator="equal">
      <formula>"N/A"</formula>
    </cfRule>
  </conditionalFormatting>
  <conditionalFormatting sqref="G98:G100">
    <cfRule type="cellIs" dxfId="3799" priority="1720" stopIfTrue="1" operator="equal">
      <formula>"N/A"</formula>
    </cfRule>
  </conditionalFormatting>
  <conditionalFormatting sqref="G101:G103">
    <cfRule type="cellIs" dxfId="3798" priority="1719" stopIfTrue="1" operator="equal">
      <formula>"N/A"</formula>
    </cfRule>
  </conditionalFormatting>
  <conditionalFormatting sqref="G104:G106">
    <cfRule type="cellIs" dxfId="3797" priority="1718" stopIfTrue="1" operator="equal">
      <formula>"N/A"</formula>
    </cfRule>
  </conditionalFormatting>
  <conditionalFormatting sqref="G107:G109">
    <cfRule type="cellIs" dxfId="3796" priority="1717" stopIfTrue="1" operator="equal">
      <formula>"N/A"</formula>
    </cfRule>
  </conditionalFormatting>
  <conditionalFormatting sqref="G194:P194">
    <cfRule type="cellIs" dxfId="3795" priority="1714" stopIfTrue="1" operator="equal">
      <formula>"N/A"</formula>
    </cfRule>
  </conditionalFormatting>
  <conditionalFormatting sqref="D194">
    <cfRule type="cellIs" dxfId="3794" priority="1713" stopIfTrue="1" operator="equal">
      <formula>"Total"</formula>
    </cfRule>
    <cfRule type="cellIs" dxfId="3793" priority="1715" stopIfTrue="1" operator="equal">
      <formula>"Operation"</formula>
    </cfRule>
  </conditionalFormatting>
  <conditionalFormatting sqref="H170:P172">
    <cfRule type="cellIs" dxfId="3792" priority="1710" stopIfTrue="1" operator="equal">
      <formula>"N/A"</formula>
    </cfRule>
  </conditionalFormatting>
  <conditionalFormatting sqref="D170:D172">
    <cfRule type="cellIs" dxfId="3791" priority="1709" stopIfTrue="1" operator="equal">
      <formula>"Total"</formula>
    </cfRule>
    <cfRule type="cellIs" dxfId="3790" priority="1711" stopIfTrue="1" operator="equal">
      <formula>"Operation"</formula>
    </cfRule>
  </conditionalFormatting>
  <conditionalFormatting sqref="H173:P175">
    <cfRule type="cellIs" dxfId="3789" priority="1706" stopIfTrue="1" operator="equal">
      <formula>"N/A"</formula>
    </cfRule>
  </conditionalFormatting>
  <conditionalFormatting sqref="D173:D175">
    <cfRule type="cellIs" dxfId="3788" priority="1705" stopIfTrue="1" operator="equal">
      <formula>"Total"</formula>
    </cfRule>
    <cfRule type="cellIs" dxfId="3787" priority="1707" stopIfTrue="1" operator="equal">
      <formula>"Operation"</formula>
    </cfRule>
  </conditionalFormatting>
  <conditionalFormatting sqref="H176:P178">
    <cfRule type="cellIs" dxfId="3786" priority="1702" stopIfTrue="1" operator="equal">
      <formula>"N/A"</formula>
    </cfRule>
  </conditionalFormatting>
  <conditionalFormatting sqref="D176:D178">
    <cfRule type="cellIs" dxfId="3785" priority="1701" stopIfTrue="1" operator="equal">
      <formula>"Total"</formula>
    </cfRule>
    <cfRule type="cellIs" dxfId="3784" priority="1703" stopIfTrue="1" operator="equal">
      <formula>"Operation"</formula>
    </cfRule>
  </conditionalFormatting>
  <conditionalFormatting sqref="H179:P181">
    <cfRule type="cellIs" dxfId="3783" priority="1698" stopIfTrue="1" operator="equal">
      <formula>"N/A"</formula>
    </cfRule>
  </conditionalFormatting>
  <conditionalFormatting sqref="D179:D181">
    <cfRule type="cellIs" dxfId="3782" priority="1697" stopIfTrue="1" operator="equal">
      <formula>"Total"</formula>
    </cfRule>
    <cfRule type="cellIs" dxfId="3781" priority="1699" stopIfTrue="1" operator="equal">
      <formula>"Operation"</formula>
    </cfRule>
  </conditionalFormatting>
  <conditionalFormatting sqref="H182:P184">
    <cfRule type="cellIs" dxfId="3780" priority="1694" stopIfTrue="1" operator="equal">
      <formula>"N/A"</formula>
    </cfRule>
  </conditionalFormatting>
  <conditionalFormatting sqref="D182:D184">
    <cfRule type="cellIs" dxfId="3779" priority="1693" stopIfTrue="1" operator="equal">
      <formula>"Total"</formula>
    </cfRule>
    <cfRule type="cellIs" dxfId="3778" priority="1695" stopIfTrue="1" operator="equal">
      <formula>"Operation"</formula>
    </cfRule>
  </conditionalFormatting>
  <conditionalFormatting sqref="H185:P187">
    <cfRule type="cellIs" dxfId="3777" priority="1690" stopIfTrue="1" operator="equal">
      <formula>"N/A"</formula>
    </cfRule>
  </conditionalFormatting>
  <conditionalFormatting sqref="D185:D187">
    <cfRule type="cellIs" dxfId="3776" priority="1689" stopIfTrue="1" operator="equal">
      <formula>"Total"</formula>
    </cfRule>
    <cfRule type="cellIs" dxfId="3775" priority="1691" stopIfTrue="1" operator="equal">
      <formula>"Operation"</formula>
    </cfRule>
  </conditionalFormatting>
  <conditionalFormatting sqref="H188:P190">
    <cfRule type="cellIs" dxfId="3774" priority="1687" stopIfTrue="1" operator="equal">
      <formula>"N/A"</formula>
    </cfRule>
  </conditionalFormatting>
  <conditionalFormatting sqref="D188:D190">
    <cfRule type="cellIs" dxfId="3773" priority="1686" stopIfTrue="1" operator="equal">
      <formula>"Total"</formula>
    </cfRule>
    <cfRule type="cellIs" dxfId="3772" priority="1688" stopIfTrue="1" operator="equal">
      <formula>"Operation"</formula>
    </cfRule>
  </conditionalFormatting>
  <conditionalFormatting sqref="H191:P193">
    <cfRule type="cellIs" dxfId="3771" priority="1683" stopIfTrue="1" operator="equal">
      <formula>"N/A"</formula>
    </cfRule>
  </conditionalFormatting>
  <conditionalFormatting sqref="D191:D193">
    <cfRule type="cellIs" dxfId="3770" priority="1682" stopIfTrue="1" operator="equal">
      <formula>"Total"</formula>
    </cfRule>
    <cfRule type="cellIs" dxfId="3769" priority="1684" stopIfTrue="1" operator="equal">
      <formula>"Operation"</formula>
    </cfRule>
  </conditionalFormatting>
  <conditionalFormatting sqref="G170:G172">
    <cfRule type="cellIs" dxfId="3768" priority="1681" stopIfTrue="1" operator="equal">
      <formula>"N/A"</formula>
    </cfRule>
  </conditionalFormatting>
  <conditionalFormatting sqref="G173:G175">
    <cfRule type="cellIs" dxfId="3767" priority="1680" stopIfTrue="1" operator="equal">
      <formula>"N/A"</formula>
    </cfRule>
  </conditionalFormatting>
  <conditionalFormatting sqref="G176:G178">
    <cfRule type="cellIs" dxfId="3766" priority="1679" stopIfTrue="1" operator="equal">
      <formula>"N/A"</formula>
    </cfRule>
  </conditionalFormatting>
  <conditionalFormatting sqref="G179:G181">
    <cfRule type="cellIs" dxfId="3765" priority="1678" stopIfTrue="1" operator="equal">
      <formula>"N/A"</formula>
    </cfRule>
  </conditionalFormatting>
  <conditionalFormatting sqref="G182:G184">
    <cfRule type="cellIs" dxfId="3764" priority="1677" stopIfTrue="1" operator="equal">
      <formula>"N/A"</formula>
    </cfRule>
  </conditionalFormatting>
  <conditionalFormatting sqref="G185:G187">
    <cfRule type="cellIs" dxfId="3763" priority="1676" stopIfTrue="1" operator="equal">
      <formula>"N/A"</formula>
    </cfRule>
  </conditionalFormatting>
  <conditionalFormatting sqref="G188:G190">
    <cfRule type="cellIs" dxfId="3762" priority="1675" stopIfTrue="1" operator="equal">
      <formula>"N/A"</formula>
    </cfRule>
  </conditionalFormatting>
  <conditionalFormatting sqref="G191:G193">
    <cfRule type="cellIs" dxfId="3761" priority="1674" stopIfTrue="1" operator="equal">
      <formula>"N/A"</formula>
    </cfRule>
  </conditionalFormatting>
  <conditionalFormatting sqref="G262:P262">
    <cfRule type="cellIs" dxfId="3760" priority="1671" stopIfTrue="1" operator="equal">
      <formula>"N/A"</formula>
    </cfRule>
  </conditionalFormatting>
  <conditionalFormatting sqref="D262">
    <cfRule type="cellIs" dxfId="3759" priority="1670" stopIfTrue="1" operator="equal">
      <formula>"Total"</formula>
    </cfRule>
    <cfRule type="cellIs" dxfId="3758" priority="1672" stopIfTrue="1" operator="equal">
      <formula>"Operation"</formula>
    </cfRule>
  </conditionalFormatting>
  <conditionalFormatting sqref="H244:P246">
    <cfRule type="cellIs" dxfId="3757" priority="1667" stopIfTrue="1" operator="equal">
      <formula>"N/A"</formula>
    </cfRule>
  </conditionalFormatting>
  <conditionalFormatting sqref="D244:D246">
    <cfRule type="cellIs" dxfId="3756" priority="1666" stopIfTrue="1" operator="equal">
      <formula>"Total"</formula>
    </cfRule>
    <cfRule type="cellIs" dxfId="3755" priority="1668" stopIfTrue="1" operator="equal">
      <formula>"Operation"</formula>
    </cfRule>
  </conditionalFormatting>
  <conditionalFormatting sqref="H247:P249">
    <cfRule type="cellIs" dxfId="3754" priority="1663" stopIfTrue="1" operator="equal">
      <formula>"N/A"</formula>
    </cfRule>
  </conditionalFormatting>
  <conditionalFormatting sqref="D247:D249">
    <cfRule type="cellIs" dxfId="3753" priority="1662" stopIfTrue="1" operator="equal">
      <formula>"Total"</formula>
    </cfRule>
    <cfRule type="cellIs" dxfId="3752" priority="1664" stopIfTrue="1" operator="equal">
      <formula>"Operation"</formula>
    </cfRule>
  </conditionalFormatting>
  <conditionalFormatting sqref="H250:P252">
    <cfRule type="cellIs" dxfId="3751" priority="1659" stopIfTrue="1" operator="equal">
      <formula>"N/A"</formula>
    </cfRule>
  </conditionalFormatting>
  <conditionalFormatting sqref="D250:D252">
    <cfRule type="cellIs" dxfId="3750" priority="1658" stopIfTrue="1" operator="equal">
      <formula>"Total"</formula>
    </cfRule>
    <cfRule type="cellIs" dxfId="3749" priority="1660" stopIfTrue="1" operator="equal">
      <formula>"Operation"</formula>
    </cfRule>
  </conditionalFormatting>
  <conditionalFormatting sqref="H253:P255">
    <cfRule type="cellIs" dxfId="3748" priority="1655" stopIfTrue="1" operator="equal">
      <formula>"N/A"</formula>
    </cfRule>
  </conditionalFormatting>
  <conditionalFormatting sqref="D253:D255">
    <cfRule type="cellIs" dxfId="3747" priority="1654" stopIfTrue="1" operator="equal">
      <formula>"Total"</formula>
    </cfRule>
    <cfRule type="cellIs" dxfId="3746" priority="1656" stopIfTrue="1" operator="equal">
      <formula>"Operation"</formula>
    </cfRule>
  </conditionalFormatting>
  <conditionalFormatting sqref="H256:P258">
    <cfRule type="cellIs" dxfId="3745" priority="1651" stopIfTrue="1" operator="equal">
      <formula>"N/A"</formula>
    </cfRule>
  </conditionalFormatting>
  <conditionalFormatting sqref="D256:D258">
    <cfRule type="cellIs" dxfId="3744" priority="1650" stopIfTrue="1" operator="equal">
      <formula>"Total"</formula>
    </cfRule>
    <cfRule type="cellIs" dxfId="3743" priority="1652" stopIfTrue="1" operator="equal">
      <formula>"Operation"</formula>
    </cfRule>
  </conditionalFormatting>
  <conditionalFormatting sqref="H259:P261">
    <cfRule type="cellIs" dxfId="3742" priority="1647" stopIfTrue="1" operator="equal">
      <formula>"N/A"</formula>
    </cfRule>
  </conditionalFormatting>
  <conditionalFormatting sqref="D259:D261">
    <cfRule type="cellIs" dxfId="3741" priority="1646" stopIfTrue="1" operator="equal">
      <formula>"Total"</formula>
    </cfRule>
    <cfRule type="cellIs" dxfId="3740" priority="1648" stopIfTrue="1" operator="equal">
      <formula>"Operation"</formula>
    </cfRule>
  </conditionalFormatting>
  <conditionalFormatting sqref="G244:G246">
    <cfRule type="cellIs" dxfId="3739" priority="1645" stopIfTrue="1" operator="equal">
      <formula>"N/A"</formula>
    </cfRule>
  </conditionalFormatting>
  <conditionalFormatting sqref="G247:G249">
    <cfRule type="cellIs" dxfId="3738" priority="1644" stopIfTrue="1" operator="equal">
      <formula>"N/A"</formula>
    </cfRule>
  </conditionalFormatting>
  <conditionalFormatting sqref="G250:G252">
    <cfRule type="cellIs" dxfId="3737" priority="1643" stopIfTrue="1" operator="equal">
      <formula>"N/A"</formula>
    </cfRule>
  </conditionalFormatting>
  <conditionalFormatting sqref="G253:G255">
    <cfRule type="cellIs" dxfId="3736" priority="1642" stopIfTrue="1" operator="equal">
      <formula>"N/A"</formula>
    </cfRule>
  </conditionalFormatting>
  <conditionalFormatting sqref="G256:G258">
    <cfRule type="cellIs" dxfId="3735" priority="1641" stopIfTrue="1" operator="equal">
      <formula>"N/A"</formula>
    </cfRule>
  </conditionalFormatting>
  <conditionalFormatting sqref="G259:G261">
    <cfRule type="cellIs" dxfId="3734" priority="1640" stopIfTrue="1" operator="equal">
      <formula>"N/A"</formula>
    </cfRule>
  </conditionalFormatting>
  <conditionalFormatting sqref="G314:P314">
    <cfRule type="cellIs" dxfId="3733" priority="1637" stopIfTrue="1" operator="equal">
      <formula>"N/A"</formula>
    </cfRule>
  </conditionalFormatting>
  <conditionalFormatting sqref="D314">
    <cfRule type="cellIs" dxfId="3732" priority="1636" stopIfTrue="1" operator="equal">
      <formula>"Total"</formula>
    </cfRule>
    <cfRule type="cellIs" dxfId="3731" priority="1638" stopIfTrue="1" operator="equal">
      <formula>"Operation"</formula>
    </cfRule>
  </conditionalFormatting>
  <conditionalFormatting sqref="H302:P304">
    <cfRule type="cellIs" dxfId="3730" priority="1633" stopIfTrue="1" operator="equal">
      <formula>"N/A"</formula>
    </cfRule>
  </conditionalFormatting>
  <conditionalFormatting sqref="D302:D304">
    <cfRule type="cellIs" dxfId="3729" priority="1632" stopIfTrue="1" operator="equal">
      <formula>"Total"</formula>
    </cfRule>
    <cfRule type="cellIs" dxfId="3728" priority="1634" stopIfTrue="1" operator="equal">
      <formula>"Operation"</formula>
    </cfRule>
  </conditionalFormatting>
  <conditionalFormatting sqref="H305:P307">
    <cfRule type="cellIs" dxfId="3727" priority="1629" stopIfTrue="1" operator="equal">
      <formula>"N/A"</formula>
    </cfRule>
  </conditionalFormatting>
  <conditionalFormatting sqref="D305:D307">
    <cfRule type="cellIs" dxfId="3726" priority="1628" stopIfTrue="1" operator="equal">
      <formula>"Total"</formula>
    </cfRule>
    <cfRule type="cellIs" dxfId="3725" priority="1630" stopIfTrue="1" operator="equal">
      <formula>"Operation"</formula>
    </cfRule>
  </conditionalFormatting>
  <conditionalFormatting sqref="H308:P310">
    <cfRule type="cellIs" dxfId="3724" priority="1625" stopIfTrue="1" operator="equal">
      <formula>"N/A"</formula>
    </cfRule>
  </conditionalFormatting>
  <conditionalFormatting sqref="D308:D310">
    <cfRule type="cellIs" dxfId="3723" priority="1624" stopIfTrue="1" operator="equal">
      <formula>"Total"</formula>
    </cfRule>
    <cfRule type="cellIs" dxfId="3722" priority="1626" stopIfTrue="1" operator="equal">
      <formula>"Operation"</formula>
    </cfRule>
  </conditionalFormatting>
  <conditionalFormatting sqref="H311:P313">
    <cfRule type="cellIs" dxfId="3721" priority="1621" stopIfTrue="1" operator="equal">
      <formula>"N/A"</formula>
    </cfRule>
  </conditionalFormatting>
  <conditionalFormatting sqref="D311:D313">
    <cfRule type="cellIs" dxfId="3720" priority="1620" stopIfTrue="1" operator="equal">
      <formula>"Total"</formula>
    </cfRule>
    <cfRule type="cellIs" dxfId="3719" priority="1622" stopIfTrue="1" operator="equal">
      <formula>"Operation"</formula>
    </cfRule>
  </conditionalFormatting>
  <conditionalFormatting sqref="G302:G304">
    <cfRule type="cellIs" dxfId="3718" priority="1619" stopIfTrue="1" operator="equal">
      <formula>"N/A"</formula>
    </cfRule>
  </conditionalFormatting>
  <conditionalFormatting sqref="G305:G307">
    <cfRule type="cellIs" dxfId="3717" priority="1618" stopIfTrue="1" operator="equal">
      <formula>"N/A"</formula>
    </cfRule>
  </conditionalFormatting>
  <conditionalFormatting sqref="G308:G310">
    <cfRule type="cellIs" dxfId="3716" priority="1617" stopIfTrue="1" operator="equal">
      <formula>"N/A"</formula>
    </cfRule>
  </conditionalFormatting>
  <conditionalFormatting sqref="G311:G313">
    <cfRule type="cellIs" dxfId="3715" priority="1616" stopIfTrue="1" operator="equal">
      <formula>"N/A"</formula>
    </cfRule>
  </conditionalFormatting>
  <conditionalFormatting sqref="G356:P356">
    <cfRule type="cellIs" dxfId="3714" priority="1613" stopIfTrue="1" operator="equal">
      <formula>"N/A"</formula>
    </cfRule>
  </conditionalFormatting>
  <conditionalFormatting sqref="D356">
    <cfRule type="cellIs" dxfId="3713" priority="1612" stopIfTrue="1" operator="equal">
      <formula>"Total"</formula>
    </cfRule>
    <cfRule type="cellIs" dxfId="3712" priority="1614" stopIfTrue="1" operator="equal">
      <formula>"Operation"</formula>
    </cfRule>
  </conditionalFormatting>
  <conditionalFormatting sqref="H344:P346">
    <cfRule type="cellIs" dxfId="3711" priority="1609" stopIfTrue="1" operator="equal">
      <formula>"N/A"</formula>
    </cfRule>
  </conditionalFormatting>
  <conditionalFormatting sqref="D344:D346">
    <cfRule type="cellIs" dxfId="3710" priority="1608" stopIfTrue="1" operator="equal">
      <formula>"Total"</formula>
    </cfRule>
    <cfRule type="cellIs" dxfId="3709" priority="1610" stopIfTrue="1" operator="equal">
      <formula>"Operation"</formula>
    </cfRule>
  </conditionalFormatting>
  <conditionalFormatting sqref="H347:P349">
    <cfRule type="cellIs" dxfId="3708" priority="1605" stopIfTrue="1" operator="equal">
      <formula>"N/A"</formula>
    </cfRule>
  </conditionalFormatting>
  <conditionalFormatting sqref="D347:D349">
    <cfRule type="cellIs" dxfId="3707" priority="1604" stopIfTrue="1" operator="equal">
      <formula>"Total"</formula>
    </cfRule>
    <cfRule type="cellIs" dxfId="3706" priority="1606" stopIfTrue="1" operator="equal">
      <formula>"Operation"</formula>
    </cfRule>
  </conditionalFormatting>
  <conditionalFormatting sqref="G344:G346">
    <cfRule type="cellIs" dxfId="3705" priority="1603" stopIfTrue="1" operator="equal">
      <formula>"N/A"</formula>
    </cfRule>
  </conditionalFormatting>
  <conditionalFormatting sqref="G347:G349">
    <cfRule type="cellIs" dxfId="3704" priority="1602" stopIfTrue="1" operator="equal">
      <formula>"N/A"</formula>
    </cfRule>
  </conditionalFormatting>
  <conditionalFormatting sqref="G14:P14 E15:F15 G9:P9 E9:F10 D1:D54 E43:P49 D60:D149 D170:D201 D207:D228 D244:D264 G443:P443 E444:F444 E443 D487:D488 D557:D558 D302:D316 D344:D349 D322:D338 D356 D408:D416 D608:D616 D635:D1048576">
    <cfRule type="cellIs" dxfId="3703" priority="1592" stopIfTrue="1" operator="equal">
      <formula>"Operation"</formula>
    </cfRule>
  </conditionalFormatting>
  <conditionalFormatting sqref="D6:D15 D43:D49 D440:D444">
    <cfRule type="cellIs" dxfId="3702" priority="1591" stopIfTrue="1" operator="equal">
      <formula>"Total"</formula>
    </cfRule>
  </conditionalFormatting>
  <conditionalFormatting sqref="H14:P14 E15:F15 H9:P9 E9:F10">
    <cfRule type="cellIs" dxfId="3701" priority="1590" stopIfTrue="1" operator="equal">
      <formula>"N/A"</formula>
    </cfRule>
  </conditionalFormatting>
  <conditionalFormatting sqref="I10:P10 E7:P8">
    <cfRule type="cellIs" dxfId="3700" priority="1589" stopIfTrue="1" operator="equal">
      <formula>"Operation"</formula>
    </cfRule>
  </conditionalFormatting>
  <conditionalFormatting sqref="E7:P8">
    <cfRule type="cellIs" dxfId="3699" priority="1588" stopIfTrue="1" operator="equal">
      <formula>"N/A"</formula>
    </cfRule>
  </conditionalFormatting>
  <conditionalFormatting sqref="L6:N6 I6:J6">
    <cfRule type="cellIs" dxfId="3698" priority="1586" stopIfTrue="1" operator="equal">
      <formula>"Operation"</formula>
    </cfRule>
  </conditionalFormatting>
  <conditionalFormatting sqref="K6">
    <cfRule type="cellIs" dxfId="3697" priority="1585" stopIfTrue="1" operator="equal">
      <formula>"Operation"</formula>
    </cfRule>
  </conditionalFormatting>
  <conditionalFormatting sqref="G6:H6">
    <cfRule type="cellIs" dxfId="3696" priority="1584" stopIfTrue="1" operator="equal">
      <formula>"Operation"</formula>
    </cfRule>
  </conditionalFormatting>
  <conditionalFormatting sqref="H6:P6">
    <cfRule type="cellIs" dxfId="3695" priority="1582" stopIfTrue="1" operator="equal">
      <formula>"N/A"</formula>
    </cfRule>
  </conditionalFormatting>
  <conditionalFormatting sqref="O6:P6">
    <cfRule type="cellIs" dxfId="3694" priority="1587" stopIfTrue="1" operator="equal">
      <formula>"Operation"</formula>
    </cfRule>
  </conditionalFormatting>
  <conditionalFormatting sqref="D6">
    <cfRule type="cellIs" dxfId="3693" priority="1583" stopIfTrue="1" operator="equal">
      <formula>"Total"</formula>
    </cfRule>
  </conditionalFormatting>
  <conditionalFormatting sqref="G10:H10">
    <cfRule type="cellIs" dxfId="3692" priority="1581" stopIfTrue="1" operator="equal">
      <formula>"Operation"</formula>
    </cfRule>
  </conditionalFormatting>
  <conditionalFormatting sqref="H10:P10">
    <cfRule type="cellIs" dxfId="3691" priority="1580" stopIfTrue="1" operator="equal">
      <formula>"N/A"</formula>
    </cfRule>
  </conditionalFormatting>
  <conditionalFormatting sqref="E6">
    <cfRule type="cellIs" dxfId="3690" priority="1579" stopIfTrue="1" operator="equal">
      <formula>"Operation"</formula>
    </cfRule>
  </conditionalFormatting>
  <conditionalFormatting sqref="E6">
    <cfRule type="cellIs" dxfId="3689" priority="1578" stopIfTrue="1" operator="equal">
      <formula>"N/A"</formula>
    </cfRule>
  </conditionalFormatting>
  <conditionalFormatting sqref="F6">
    <cfRule type="cellIs" dxfId="3688" priority="1577" stopIfTrue="1" operator="equal">
      <formula>"Operation"</formula>
    </cfRule>
  </conditionalFormatting>
  <conditionalFormatting sqref="F6">
    <cfRule type="cellIs" dxfId="3687" priority="1576" stopIfTrue="1" operator="equal">
      <formula>"N/A"</formula>
    </cfRule>
  </conditionalFormatting>
  <conditionalFormatting sqref="I15:P15 E12:P13 E14:F14">
    <cfRule type="cellIs" dxfId="3686" priority="1575" stopIfTrue="1" operator="equal">
      <formula>"Operation"</formula>
    </cfRule>
  </conditionalFormatting>
  <conditionalFormatting sqref="E12:P13 E14:F14">
    <cfRule type="cellIs" dxfId="3685" priority="1574" stopIfTrue="1" operator="equal">
      <formula>"N/A"</formula>
    </cfRule>
  </conditionalFormatting>
  <conditionalFormatting sqref="L11:N11 I11:J11">
    <cfRule type="cellIs" dxfId="3684" priority="1572" stopIfTrue="1" operator="equal">
      <formula>"Operation"</formula>
    </cfRule>
  </conditionalFormatting>
  <conditionalFormatting sqref="K11">
    <cfRule type="cellIs" dxfId="3683" priority="1571" stopIfTrue="1" operator="equal">
      <formula>"Operation"</formula>
    </cfRule>
  </conditionalFormatting>
  <conditionalFormatting sqref="G11:H11">
    <cfRule type="cellIs" dxfId="3682" priority="1570" stopIfTrue="1" operator="equal">
      <formula>"Operation"</formula>
    </cfRule>
  </conditionalFormatting>
  <conditionalFormatting sqref="H11:P11">
    <cfRule type="cellIs" dxfId="3681" priority="1568" stopIfTrue="1" operator="equal">
      <formula>"N/A"</formula>
    </cfRule>
  </conditionalFormatting>
  <conditionalFormatting sqref="O11:P11">
    <cfRule type="cellIs" dxfId="3680" priority="1573" stopIfTrue="1" operator="equal">
      <formula>"Operation"</formula>
    </cfRule>
  </conditionalFormatting>
  <conditionalFormatting sqref="D11">
    <cfRule type="cellIs" dxfId="3679" priority="1569" stopIfTrue="1" operator="equal">
      <formula>"Total"</formula>
    </cfRule>
  </conditionalFormatting>
  <conditionalFormatting sqref="G15:H15">
    <cfRule type="cellIs" dxfId="3678" priority="1567" stopIfTrue="1" operator="equal">
      <formula>"Operation"</formula>
    </cfRule>
  </conditionalFormatting>
  <conditionalFormatting sqref="H15:P15">
    <cfRule type="cellIs" dxfId="3677" priority="1566" stopIfTrue="1" operator="equal">
      <formula>"N/A"</formula>
    </cfRule>
  </conditionalFormatting>
  <conditionalFormatting sqref="E11">
    <cfRule type="cellIs" dxfId="3676" priority="1565" stopIfTrue="1" operator="equal">
      <formula>"Operation"</formula>
    </cfRule>
  </conditionalFormatting>
  <conditionalFormatting sqref="E11">
    <cfRule type="cellIs" dxfId="3675" priority="1564" stopIfTrue="1" operator="equal">
      <formula>"N/A"</formula>
    </cfRule>
  </conditionalFormatting>
  <conditionalFormatting sqref="F11">
    <cfRule type="cellIs" dxfId="3674" priority="1563" stopIfTrue="1" operator="equal">
      <formula>"Operation"</formula>
    </cfRule>
  </conditionalFormatting>
  <conditionalFormatting sqref="F11">
    <cfRule type="cellIs" dxfId="3673" priority="1562" stopIfTrue="1" operator="equal">
      <formula>"N/A"</formula>
    </cfRule>
  </conditionalFormatting>
  <conditionalFormatting sqref="I42:P42 G40:P41 E40:F42 E37:P38">
    <cfRule type="cellIs" dxfId="3672" priority="1561" stopIfTrue="1" operator="equal">
      <formula>"Operation"</formula>
    </cfRule>
  </conditionalFormatting>
  <conditionalFormatting sqref="D36:D42">
    <cfRule type="cellIs" dxfId="3671" priority="1560" stopIfTrue="1" operator="equal">
      <formula>"Total"</formula>
    </cfRule>
  </conditionalFormatting>
  <conditionalFormatting sqref="H40:P41 E40:F42 E37:P38">
    <cfRule type="cellIs" dxfId="3670" priority="1559" stopIfTrue="1" operator="equal">
      <formula>"N/A"</formula>
    </cfRule>
  </conditionalFormatting>
  <conditionalFormatting sqref="L36:N36 I36:J36">
    <cfRule type="cellIs" dxfId="3669" priority="1557" stopIfTrue="1" operator="equal">
      <formula>"Operation"</formula>
    </cfRule>
  </conditionalFormatting>
  <conditionalFormatting sqref="K36">
    <cfRule type="cellIs" dxfId="3668" priority="1556" stopIfTrue="1" operator="equal">
      <formula>"Operation"</formula>
    </cfRule>
  </conditionalFormatting>
  <conditionalFormatting sqref="G36:H36">
    <cfRule type="cellIs" dxfId="3667" priority="1555" stopIfTrue="1" operator="equal">
      <formula>"Operation"</formula>
    </cfRule>
  </conditionalFormatting>
  <conditionalFormatting sqref="H36:P36">
    <cfRule type="cellIs" dxfId="3666" priority="1553" stopIfTrue="1" operator="equal">
      <formula>"N/A"</formula>
    </cfRule>
  </conditionalFormatting>
  <conditionalFormatting sqref="O36:P36">
    <cfRule type="cellIs" dxfId="3665" priority="1558" stopIfTrue="1" operator="equal">
      <formula>"Operation"</formula>
    </cfRule>
  </conditionalFormatting>
  <conditionalFormatting sqref="D36">
    <cfRule type="cellIs" dxfId="3664" priority="1554" stopIfTrue="1" operator="equal">
      <formula>"Total"</formula>
    </cfRule>
  </conditionalFormatting>
  <conditionalFormatting sqref="G42:H42">
    <cfRule type="cellIs" dxfId="3663" priority="1552" stopIfTrue="1" operator="equal">
      <formula>"Operation"</formula>
    </cfRule>
  </conditionalFormatting>
  <conditionalFormatting sqref="H42:P42">
    <cfRule type="cellIs" dxfId="3662" priority="1551" stopIfTrue="1" operator="equal">
      <formula>"N/A"</formula>
    </cfRule>
  </conditionalFormatting>
  <conditionalFormatting sqref="E36">
    <cfRule type="cellIs" dxfId="3661" priority="1550" stopIfTrue="1" operator="equal">
      <formula>"Operation"</formula>
    </cfRule>
  </conditionalFormatting>
  <conditionalFormatting sqref="E36">
    <cfRule type="cellIs" dxfId="3660" priority="1549" stopIfTrue="1" operator="equal">
      <formula>"N/A"</formula>
    </cfRule>
  </conditionalFormatting>
  <conditionalFormatting sqref="K39">
    <cfRule type="cellIs" dxfId="3659" priority="1542" stopIfTrue="1" operator="equal">
      <formula>"Operation"</formula>
    </cfRule>
  </conditionalFormatting>
  <conditionalFormatting sqref="I39:K39">
    <cfRule type="cellIs" dxfId="3658" priority="1541" stopIfTrue="1" operator="equal">
      <formula>"N/A"</formula>
    </cfRule>
  </conditionalFormatting>
  <conditionalFormatting sqref="M39:N39">
    <cfRule type="cellIs" dxfId="3657" priority="1548" stopIfTrue="1" operator="equal">
      <formula>"Operation"</formula>
    </cfRule>
  </conditionalFormatting>
  <conditionalFormatting sqref="G39:H39 L39">
    <cfRule type="cellIs" dxfId="3656" priority="1547" stopIfTrue="1" operator="equal">
      <formula>"Operation"</formula>
    </cfRule>
  </conditionalFormatting>
  <conditionalFormatting sqref="G39:H39 L39:N39">
    <cfRule type="cellIs" dxfId="3655" priority="1546" stopIfTrue="1" operator="equal">
      <formula>"N/A"</formula>
    </cfRule>
  </conditionalFormatting>
  <conditionalFormatting sqref="O39:P39">
    <cfRule type="cellIs" dxfId="3654" priority="1544" stopIfTrue="1" operator="equal">
      <formula>"N/A"</formula>
    </cfRule>
  </conditionalFormatting>
  <conditionalFormatting sqref="O39:P39">
    <cfRule type="cellIs" dxfId="3653" priority="1545" stopIfTrue="1" operator="equal">
      <formula>"Operation"</formula>
    </cfRule>
  </conditionalFormatting>
  <conditionalFormatting sqref="I39:J39">
    <cfRule type="cellIs" dxfId="3652" priority="1543" stopIfTrue="1" operator="equal">
      <formula>"Operation"</formula>
    </cfRule>
  </conditionalFormatting>
  <conditionalFormatting sqref="D39">
    <cfRule type="cellIs" dxfId="3651" priority="1540" stopIfTrue="1" operator="equal">
      <formula>"Total"</formula>
    </cfRule>
  </conditionalFormatting>
  <conditionalFormatting sqref="E39">
    <cfRule type="cellIs" dxfId="3650" priority="1539" stopIfTrue="1" operator="equal">
      <formula>"Operation"</formula>
    </cfRule>
  </conditionalFormatting>
  <conditionalFormatting sqref="E39">
    <cfRule type="cellIs" dxfId="3649" priority="1538" stopIfTrue="1" operator="equal">
      <formula>"N/A"</formula>
    </cfRule>
  </conditionalFormatting>
  <conditionalFormatting sqref="F36">
    <cfRule type="cellIs" dxfId="3648" priority="1537" stopIfTrue="1" operator="equal">
      <formula>"Operation"</formula>
    </cfRule>
  </conditionalFormatting>
  <conditionalFormatting sqref="F36">
    <cfRule type="cellIs" dxfId="3647" priority="1536" stopIfTrue="1" operator="equal">
      <formula>"N/A"</formula>
    </cfRule>
  </conditionalFormatting>
  <conditionalFormatting sqref="F39">
    <cfRule type="cellIs" dxfId="3646" priority="1535" stopIfTrue="1" operator="equal">
      <formula>"Operation"</formula>
    </cfRule>
  </conditionalFormatting>
  <conditionalFormatting sqref="F39">
    <cfRule type="cellIs" dxfId="3645" priority="1534" stopIfTrue="1" operator="equal">
      <formula>"N/A"</formula>
    </cfRule>
  </conditionalFormatting>
  <conditionalFormatting sqref="G24:P24 E25:F25 G19:P19 E19:F20">
    <cfRule type="cellIs" dxfId="3644" priority="1533" stopIfTrue="1" operator="equal">
      <formula>"Operation"</formula>
    </cfRule>
  </conditionalFormatting>
  <conditionalFormatting sqref="D16:D25">
    <cfRule type="cellIs" dxfId="3643" priority="1532" stopIfTrue="1" operator="equal">
      <formula>"Total"</formula>
    </cfRule>
  </conditionalFormatting>
  <conditionalFormatting sqref="H24:P24 E25:F25 H19:P19 E19:F20">
    <cfRule type="cellIs" dxfId="3642" priority="1531" stopIfTrue="1" operator="equal">
      <formula>"N/A"</formula>
    </cfRule>
  </conditionalFormatting>
  <conditionalFormatting sqref="I20:P20 E17:P18">
    <cfRule type="cellIs" dxfId="3641" priority="1530" stopIfTrue="1" operator="equal">
      <formula>"Operation"</formula>
    </cfRule>
  </conditionalFormatting>
  <conditionalFormatting sqref="E17:P18">
    <cfRule type="cellIs" dxfId="3640" priority="1529" stopIfTrue="1" operator="equal">
      <formula>"N/A"</formula>
    </cfRule>
  </conditionalFormatting>
  <conditionalFormatting sqref="L16:N16 I16:J16">
    <cfRule type="cellIs" dxfId="3639" priority="1527" stopIfTrue="1" operator="equal">
      <formula>"Operation"</formula>
    </cfRule>
  </conditionalFormatting>
  <conditionalFormatting sqref="K16">
    <cfRule type="cellIs" dxfId="3638" priority="1526" stopIfTrue="1" operator="equal">
      <formula>"Operation"</formula>
    </cfRule>
  </conditionalFormatting>
  <conditionalFormatting sqref="G16:H16">
    <cfRule type="cellIs" dxfId="3637" priority="1525" stopIfTrue="1" operator="equal">
      <formula>"Operation"</formula>
    </cfRule>
  </conditionalFormatting>
  <conditionalFormatting sqref="H16:P16">
    <cfRule type="cellIs" dxfId="3636" priority="1523" stopIfTrue="1" operator="equal">
      <formula>"N/A"</formula>
    </cfRule>
  </conditionalFormatting>
  <conditionalFormatting sqref="O16:P16">
    <cfRule type="cellIs" dxfId="3635" priority="1528" stopIfTrue="1" operator="equal">
      <formula>"Operation"</formula>
    </cfRule>
  </conditionalFormatting>
  <conditionalFormatting sqref="D16">
    <cfRule type="cellIs" dxfId="3634" priority="1524" stopIfTrue="1" operator="equal">
      <formula>"Total"</formula>
    </cfRule>
  </conditionalFormatting>
  <conditionalFormatting sqref="G20:H20">
    <cfRule type="cellIs" dxfId="3633" priority="1522" stopIfTrue="1" operator="equal">
      <formula>"Operation"</formula>
    </cfRule>
  </conditionalFormatting>
  <conditionalFormatting sqref="H20:P20">
    <cfRule type="cellIs" dxfId="3632" priority="1521" stopIfTrue="1" operator="equal">
      <formula>"N/A"</formula>
    </cfRule>
  </conditionalFormatting>
  <conditionalFormatting sqref="E16">
    <cfRule type="cellIs" dxfId="3631" priority="1520" stopIfTrue="1" operator="equal">
      <formula>"Operation"</formula>
    </cfRule>
  </conditionalFormatting>
  <conditionalFormatting sqref="E16">
    <cfRule type="cellIs" dxfId="3630" priority="1519" stopIfTrue="1" operator="equal">
      <formula>"N/A"</formula>
    </cfRule>
  </conditionalFormatting>
  <conditionalFormatting sqref="F16">
    <cfRule type="cellIs" dxfId="3629" priority="1518" stopIfTrue="1" operator="equal">
      <formula>"Operation"</formula>
    </cfRule>
  </conditionalFormatting>
  <conditionalFormatting sqref="F16">
    <cfRule type="cellIs" dxfId="3628" priority="1517" stopIfTrue="1" operator="equal">
      <formula>"N/A"</formula>
    </cfRule>
  </conditionalFormatting>
  <conditionalFormatting sqref="I25:P25 E22:P23 E24:F24">
    <cfRule type="cellIs" dxfId="3627" priority="1516" stopIfTrue="1" operator="equal">
      <formula>"Operation"</formula>
    </cfRule>
  </conditionalFormatting>
  <conditionalFormatting sqref="E22:P23 E24:F24">
    <cfRule type="cellIs" dxfId="3626" priority="1515" stopIfTrue="1" operator="equal">
      <formula>"N/A"</formula>
    </cfRule>
  </conditionalFormatting>
  <conditionalFormatting sqref="L21:N21 I21:J21">
    <cfRule type="cellIs" dxfId="3625" priority="1513" stopIfTrue="1" operator="equal">
      <formula>"Operation"</formula>
    </cfRule>
  </conditionalFormatting>
  <conditionalFormatting sqref="K21">
    <cfRule type="cellIs" dxfId="3624" priority="1512" stopIfTrue="1" operator="equal">
      <formula>"Operation"</formula>
    </cfRule>
  </conditionalFormatting>
  <conditionalFormatting sqref="G21:H21">
    <cfRule type="cellIs" dxfId="3623" priority="1511" stopIfTrue="1" operator="equal">
      <formula>"Operation"</formula>
    </cfRule>
  </conditionalFormatting>
  <conditionalFormatting sqref="H21:P21">
    <cfRule type="cellIs" dxfId="3622" priority="1509" stopIfTrue="1" operator="equal">
      <formula>"N/A"</formula>
    </cfRule>
  </conditionalFormatting>
  <conditionalFormatting sqref="O21:P21">
    <cfRule type="cellIs" dxfId="3621" priority="1514" stopIfTrue="1" operator="equal">
      <formula>"Operation"</formula>
    </cfRule>
  </conditionalFormatting>
  <conditionalFormatting sqref="D21">
    <cfRule type="cellIs" dxfId="3620" priority="1510" stopIfTrue="1" operator="equal">
      <formula>"Total"</formula>
    </cfRule>
  </conditionalFormatting>
  <conditionalFormatting sqref="G25:H25">
    <cfRule type="cellIs" dxfId="3619" priority="1508" stopIfTrue="1" operator="equal">
      <formula>"Operation"</formula>
    </cfRule>
  </conditionalFormatting>
  <conditionalFormatting sqref="H25:P25">
    <cfRule type="cellIs" dxfId="3618" priority="1507" stopIfTrue="1" operator="equal">
      <formula>"N/A"</formula>
    </cfRule>
  </conditionalFormatting>
  <conditionalFormatting sqref="E21">
    <cfRule type="cellIs" dxfId="3617" priority="1506" stopIfTrue="1" operator="equal">
      <formula>"Operation"</formula>
    </cfRule>
  </conditionalFormatting>
  <conditionalFormatting sqref="E21">
    <cfRule type="cellIs" dxfId="3616" priority="1505" stopIfTrue="1" operator="equal">
      <formula>"N/A"</formula>
    </cfRule>
  </conditionalFormatting>
  <conditionalFormatting sqref="F21">
    <cfRule type="cellIs" dxfId="3615" priority="1504" stopIfTrue="1" operator="equal">
      <formula>"Operation"</formula>
    </cfRule>
  </conditionalFormatting>
  <conditionalFormatting sqref="F21">
    <cfRule type="cellIs" dxfId="3614" priority="1503" stopIfTrue="1" operator="equal">
      <formula>"N/A"</formula>
    </cfRule>
  </conditionalFormatting>
  <conditionalFormatting sqref="G29:P29 E29:F30">
    <cfRule type="cellIs" dxfId="3613" priority="1502" stopIfTrue="1" operator="equal">
      <formula>"Operation"</formula>
    </cfRule>
  </conditionalFormatting>
  <conditionalFormatting sqref="D26:D30">
    <cfRule type="cellIs" dxfId="3612" priority="1501" stopIfTrue="1" operator="equal">
      <formula>"Total"</formula>
    </cfRule>
  </conditionalFormatting>
  <conditionalFormatting sqref="H29:P29 E29:F30">
    <cfRule type="cellIs" dxfId="3611" priority="1500" stopIfTrue="1" operator="equal">
      <formula>"N/A"</formula>
    </cfRule>
  </conditionalFormatting>
  <conditionalFormatting sqref="I30:P30 E27:P28">
    <cfRule type="cellIs" dxfId="3610" priority="1499" stopIfTrue="1" operator="equal">
      <formula>"Operation"</formula>
    </cfRule>
  </conditionalFormatting>
  <conditionalFormatting sqref="E27:P28">
    <cfRule type="cellIs" dxfId="3609" priority="1498" stopIfTrue="1" operator="equal">
      <formula>"N/A"</formula>
    </cfRule>
  </conditionalFormatting>
  <conditionalFormatting sqref="L26:N26 I26:J26">
    <cfRule type="cellIs" dxfId="3608" priority="1496" stopIfTrue="1" operator="equal">
      <formula>"Operation"</formula>
    </cfRule>
  </conditionalFormatting>
  <conditionalFormatting sqref="K26">
    <cfRule type="cellIs" dxfId="3607" priority="1495" stopIfTrue="1" operator="equal">
      <formula>"Operation"</formula>
    </cfRule>
  </conditionalFormatting>
  <conditionalFormatting sqref="G26:H26">
    <cfRule type="cellIs" dxfId="3606" priority="1494" stopIfTrue="1" operator="equal">
      <formula>"Operation"</formula>
    </cfRule>
  </conditionalFormatting>
  <conditionalFormatting sqref="H26:P26">
    <cfRule type="cellIs" dxfId="3605" priority="1492" stopIfTrue="1" operator="equal">
      <formula>"N/A"</formula>
    </cfRule>
  </conditionalFormatting>
  <conditionalFormatting sqref="O26:P26">
    <cfRule type="cellIs" dxfId="3604" priority="1497" stopIfTrue="1" operator="equal">
      <formula>"Operation"</formula>
    </cfRule>
  </conditionalFormatting>
  <conditionalFormatting sqref="D26">
    <cfRule type="cellIs" dxfId="3603" priority="1493" stopIfTrue="1" operator="equal">
      <formula>"Total"</formula>
    </cfRule>
  </conditionalFormatting>
  <conditionalFormatting sqref="G30:H30">
    <cfRule type="cellIs" dxfId="3602" priority="1491" stopIfTrue="1" operator="equal">
      <formula>"Operation"</formula>
    </cfRule>
  </conditionalFormatting>
  <conditionalFormatting sqref="H30:P30">
    <cfRule type="cellIs" dxfId="3601" priority="1490" stopIfTrue="1" operator="equal">
      <formula>"N/A"</formula>
    </cfRule>
  </conditionalFormatting>
  <conditionalFormatting sqref="E26">
    <cfRule type="cellIs" dxfId="3600" priority="1489" stopIfTrue="1" operator="equal">
      <formula>"Operation"</formula>
    </cfRule>
  </conditionalFormatting>
  <conditionalFormatting sqref="E26">
    <cfRule type="cellIs" dxfId="3599" priority="1488" stopIfTrue="1" operator="equal">
      <formula>"N/A"</formula>
    </cfRule>
  </conditionalFormatting>
  <conditionalFormatting sqref="F26">
    <cfRule type="cellIs" dxfId="3598" priority="1487" stopIfTrue="1" operator="equal">
      <formula>"Operation"</formula>
    </cfRule>
  </conditionalFormatting>
  <conditionalFormatting sqref="F26">
    <cfRule type="cellIs" dxfId="3597" priority="1486" stopIfTrue="1" operator="equal">
      <formula>"N/A"</formula>
    </cfRule>
  </conditionalFormatting>
  <conditionalFormatting sqref="G34:P34 E34:F35">
    <cfRule type="cellIs" dxfId="3596" priority="1485" stopIfTrue="1" operator="equal">
      <formula>"Operation"</formula>
    </cfRule>
  </conditionalFormatting>
  <conditionalFormatting sqref="D31:D35">
    <cfRule type="cellIs" dxfId="3595" priority="1484" stopIfTrue="1" operator="equal">
      <formula>"Total"</formula>
    </cfRule>
  </conditionalFormatting>
  <conditionalFormatting sqref="H34:P34 E34:F35">
    <cfRule type="cellIs" dxfId="3594" priority="1483" stopIfTrue="1" operator="equal">
      <formula>"N/A"</formula>
    </cfRule>
  </conditionalFormatting>
  <conditionalFormatting sqref="I35:P35 E32:P33">
    <cfRule type="cellIs" dxfId="3593" priority="1482" stopIfTrue="1" operator="equal">
      <formula>"Operation"</formula>
    </cfRule>
  </conditionalFormatting>
  <conditionalFormatting sqref="E32:P33">
    <cfRule type="cellIs" dxfId="3592" priority="1481" stopIfTrue="1" operator="equal">
      <formula>"N/A"</formula>
    </cfRule>
  </conditionalFormatting>
  <conditionalFormatting sqref="L31:N31 I31:J31">
    <cfRule type="cellIs" dxfId="3591" priority="1479" stopIfTrue="1" operator="equal">
      <formula>"Operation"</formula>
    </cfRule>
  </conditionalFormatting>
  <conditionalFormatting sqref="K31">
    <cfRule type="cellIs" dxfId="3590" priority="1478" stopIfTrue="1" operator="equal">
      <formula>"Operation"</formula>
    </cfRule>
  </conditionalFormatting>
  <conditionalFormatting sqref="G31:H31">
    <cfRule type="cellIs" dxfId="3589" priority="1477" stopIfTrue="1" operator="equal">
      <formula>"Operation"</formula>
    </cfRule>
  </conditionalFormatting>
  <conditionalFormatting sqref="H31:P31">
    <cfRule type="cellIs" dxfId="3588" priority="1475" stopIfTrue="1" operator="equal">
      <formula>"N/A"</formula>
    </cfRule>
  </conditionalFormatting>
  <conditionalFormatting sqref="O31:P31">
    <cfRule type="cellIs" dxfId="3587" priority="1480" stopIfTrue="1" operator="equal">
      <formula>"Operation"</formula>
    </cfRule>
  </conditionalFormatting>
  <conditionalFormatting sqref="D31">
    <cfRule type="cellIs" dxfId="3586" priority="1476" stopIfTrue="1" operator="equal">
      <formula>"Total"</formula>
    </cfRule>
  </conditionalFormatting>
  <conditionalFormatting sqref="G35:H35">
    <cfRule type="cellIs" dxfId="3585" priority="1474" stopIfTrue="1" operator="equal">
      <formula>"Operation"</formula>
    </cfRule>
  </conditionalFormatting>
  <conditionalFormatting sqref="H35:P35">
    <cfRule type="cellIs" dxfId="3584" priority="1473" stopIfTrue="1" operator="equal">
      <formula>"N/A"</formula>
    </cfRule>
  </conditionalFormatting>
  <conditionalFormatting sqref="E31">
    <cfRule type="cellIs" dxfId="3583" priority="1472" stopIfTrue="1" operator="equal">
      <formula>"Operation"</formula>
    </cfRule>
  </conditionalFormatting>
  <conditionalFormatting sqref="E31">
    <cfRule type="cellIs" dxfId="3582" priority="1471" stopIfTrue="1" operator="equal">
      <formula>"N/A"</formula>
    </cfRule>
  </conditionalFormatting>
  <conditionalFormatting sqref="F31">
    <cfRule type="cellIs" dxfId="3581" priority="1470" stopIfTrue="1" operator="equal">
      <formula>"Operation"</formula>
    </cfRule>
  </conditionalFormatting>
  <conditionalFormatting sqref="F31">
    <cfRule type="cellIs" dxfId="3580" priority="1469" stopIfTrue="1" operator="equal">
      <formula>"N/A"</formula>
    </cfRule>
  </conditionalFormatting>
  <conditionalFormatting sqref="H44:H45">
    <cfRule type="cellIs" dxfId="3579" priority="1464" stopIfTrue="1" operator="equal">
      <formula>"Operation"</formula>
    </cfRule>
  </conditionalFormatting>
  <conditionalFormatting sqref="H44:H45">
    <cfRule type="cellIs" dxfId="3578" priority="1463" stopIfTrue="1" operator="equal">
      <formula>"N/A"</formula>
    </cfRule>
  </conditionalFormatting>
  <conditionalFormatting sqref="G49:H49">
    <cfRule type="cellIs" dxfId="3577" priority="1467" stopIfTrue="1" operator="equal">
      <formula>"Operation"</formula>
    </cfRule>
  </conditionalFormatting>
  <conditionalFormatting sqref="H49:P49">
    <cfRule type="cellIs" dxfId="3576" priority="1466" stopIfTrue="1" operator="equal">
      <formula>"N/A"</formula>
    </cfRule>
  </conditionalFormatting>
  <conditionalFormatting sqref="E49">
    <cfRule type="cellIs" dxfId="3575" priority="1465" stopIfTrue="1" operator="equal">
      <formula>"N/A"</formula>
    </cfRule>
  </conditionalFormatting>
  <conditionalFormatting sqref="F49">
    <cfRule type="cellIs" dxfId="3574" priority="1462" stopIfTrue="1" operator="equal">
      <formula>"N/A"</formula>
    </cfRule>
  </conditionalFormatting>
  <conditionalFormatting sqref="C43:D45">
    <cfRule type="expression" dxfId="3573" priority="1461">
      <formula>"$D60=""Trigger"")"</formula>
    </cfRule>
  </conditionalFormatting>
  <conditionalFormatting sqref="J46">
    <cfRule type="cellIs" dxfId="3572" priority="1460" stopIfTrue="1" operator="equal">
      <formula>"Operation"</formula>
    </cfRule>
  </conditionalFormatting>
  <conditionalFormatting sqref="J46">
    <cfRule type="cellIs" dxfId="3571" priority="1459" stopIfTrue="1" operator="equal">
      <formula>"N/A"</formula>
    </cfRule>
  </conditionalFormatting>
  <conditionalFormatting sqref="L63:P63 G53:P53 E53:F54">
    <cfRule type="cellIs" dxfId="3570" priority="1458" stopIfTrue="1" operator="equal">
      <formula>"Operation"</formula>
    </cfRule>
  </conditionalFormatting>
  <conditionalFormatting sqref="D50:D54">
    <cfRule type="cellIs" dxfId="3569" priority="1457" stopIfTrue="1" operator="equal">
      <formula>"Total"</formula>
    </cfRule>
  </conditionalFormatting>
  <conditionalFormatting sqref="L63:P63 H53:P53 E53:F54">
    <cfRule type="cellIs" dxfId="3568" priority="1456" stopIfTrue="1" operator="equal">
      <formula>"N/A"</formula>
    </cfRule>
  </conditionalFormatting>
  <conditionalFormatting sqref="C46:D54">
    <cfRule type="expression" dxfId="3567" priority="1454">
      <formula>"$D60=""Trigger"")"</formula>
    </cfRule>
  </conditionalFormatting>
  <conditionalFormatting sqref="I54:P54 E51:P51 E52:N52 P52">
    <cfRule type="cellIs" dxfId="3566" priority="1453" stopIfTrue="1" operator="equal">
      <formula>"Operation"</formula>
    </cfRule>
  </conditionalFormatting>
  <conditionalFormatting sqref="E51:P51 E52:N52 P52">
    <cfRule type="cellIs" dxfId="3565" priority="1452" stopIfTrue="1" operator="equal">
      <formula>"N/A"</formula>
    </cfRule>
  </conditionalFormatting>
  <conditionalFormatting sqref="L50:N50 I50:J50">
    <cfRule type="cellIs" dxfId="3564" priority="1450" stopIfTrue="1" operator="equal">
      <formula>"Operation"</formula>
    </cfRule>
  </conditionalFormatting>
  <conditionalFormatting sqref="K50">
    <cfRule type="cellIs" dxfId="3563" priority="1449" stopIfTrue="1" operator="equal">
      <formula>"Operation"</formula>
    </cfRule>
  </conditionalFormatting>
  <conditionalFormatting sqref="G50:H50">
    <cfRule type="cellIs" dxfId="3562" priority="1448" stopIfTrue="1" operator="equal">
      <formula>"Operation"</formula>
    </cfRule>
  </conditionalFormatting>
  <conditionalFormatting sqref="H50:P50">
    <cfRule type="cellIs" dxfId="3561" priority="1446" stopIfTrue="1" operator="equal">
      <formula>"N/A"</formula>
    </cfRule>
  </conditionalFormatting>
  <conditionalFormatting sqref="O50:P50">
    <cfRule type="cellIs" dxfId="3560" priority="1451" stopIfTrue="1" operator="equal">
      <formula>"Operation"</formula>
    </cfRule>
  </conditionalFormatting>
  <conditionalFormatting sqref="D50">
    <cfRule type="cellIs" dxfId="3559" priority="1447" stopIfTrue="1" operator="equal">
      <formula>"Total"</formula>
    </cfRule>
  </conditionalFormatting>
  <conditionalFormatting sqref="G54:H54">
    <cfRule type="cellIs" dxfId="3558" priority="1445" stopIfTrue="1" operator="equal">
      <formula>"Operation"</formula>
    </cfRule>
  </conditionalFormatting>
  <conditionalFormatting sqref="H54:P54">
    <cfRule type="cellIs" dxfId="3557" priority="1444" stopIfTrue="1" operator="equal">
      <formula>"N/A"</formula>
    </cfRule>
  </conditionalFormatting>
  <conditionalFormatting sqref="E50">
    <cfRule type="cellIs" dxfId="3556" priority="1443" stopIfTrue="1" operator="equal">
      <formula>"Operation"</formula>
    </cfRule>
  </conditionalFormatting>
  <conditionalFormatting sqref="E50">
    <cfRule type="cellIs" dxfId="3555" priority="1442" stopIfTrue="1" operator="equal">
      <formula>"N/A"</formula>
    </cfRule>
  </conditionalFormatting>
  <conditionalFormatting sqref="F50">
    <cfRule type="cellIs" dxfId="3554" priority="1441" stopIfTrue="1" operator="equal">
      <formula>"Operation"</formula>
    </cfRule>
  </conditionalFormatting>
  <conditionalFormatting sqref="F50">
    <cfRule type="cellIs" dxfId="3553" priority="1440" stopIfTrue="1" operator="equal">
      <formula>"N/A"</formula>
    </cfRule>
  </conditionalFormatting>
  <conditionalFormatting sqref="L64:P64 L61:P62">
    <cfRule type="cellIs" dxfId="3552" priority="1439" stopIfTrue="1" operator="equal">
      <formula>"Operation"</formula>
    </cfRule>
  </conditionalFormatting>
  <conditionalFormatting sqref="L61:P62">
    <cfRule type="cellIs" dxfId="3551" priority="1438" stopIfTrue="1" operator="equal">
      <formula>"N/A"</formula>
    </cfRule>
  </conditionalFormatting>
  <conditionalFormatting sqref="L60:N60">
    <cfRule type="cellIs" dxfId="3550" priority="1436" stopIfTrue="1" operator="equal">
      <formula>"Operation"</formula>
    </cfRule>
  </conditionalFormatting>
  <conditionalFormatting sqref="L60:P60">
    <cfRule type="cellIs" dxfId="3549" priority="1435" stopIfTrue="1" operator="equal">
      <formula>"N/A"</formula>
    </cfRule>
  </conditionalFormatting>
  <conditionalFormatting sqref="O60:P60">
    <cfRule type="cellIs" dxfId="3548" priority="1437" stopIfTrue="1" operator="equal">
      <formula>"Operation"</formula>
    </cfRule>
  </conditionalFormatting>
  <conditionalFormatting sqref="L64:P64">
    <cfRule type="cellIs" dxfId="3547" priority="1434" stopIfTrue="1" operator="equal">
      <formula>"N/A"</formula>
    </cfRule>
  </conditionalFormatting>
  <conditionalFormatting sqref="L68:P68">
    <cfRule type="cellIs" dxfId="3546" priority="1433" stopIfTrue="1" operator="equal">
      <formula>"Operation"</formula>
    </cfRule>
  </conditionalFormatting>
  <conditionalFormatting sqref="L68:P68">
    <cfRule type="cellIs" dxfId="3545" priority="1432" stopIfTrue="1" operator="equal">
      <formula>"N/A"</formula>
    </cfRule>
  </conditionalFormatting>
  <conditionalFormatting sqref="L69:P69 L66:P67">
    <cfRule type="cellIs" dxfId="3544" priority="1431" stopIfTrue="1" operator="equal">
      <formula>"Operation"</formula>
    </cfRule>
  </conditionalFormatting>
  <conditionalFormatting sqref="L66:P67">
    <cfRule type="cellIs" dxfId="3543" priority="1430" stopIfTrue="1" operator="equal">
      <formula>"N/A"</formula>
    </cfRule>
  </conditionalFormatting>
  <conditionalFormatting sqref="L65:N65">
    <cfRule type="cellIs" dxfId="3542" priority="1428" stopIfTrue="1" operator="equal">
      <formula>"Operation"</formula>
    </cfRule>
  </conditionalFormatting>
  <conditionalFormatting sqref="L65:P65">
    <cfRule type="cellIs" dxfId="3541" priority="1427" stopIfTrue="1" operator="equal">
      <formula>"N/A"</formula>
    </cfRule>
  </conditionalFormatting>
  <conditionalFormatting sqref="O65:P65">
    <cfRule type="cellIs" dxfId="3540" priority="1429" stopIfTrue="1" operator="equal">
      <formula>"Operation"</formula>
    </cfRule>
  </conditionalFormatting>
  <conditionalFormatting sqref="L69:P69">
    <cfRule type="cellIs" dxfId="3539" priority="1426" stopIfTrue="1" operator="equal">
      <formula>"N/A"</formula>
    </cfRule>
  </conditionalFormatting>
  <conditionalFormatting sqref="O52">
    <cfRule type="cellIs" dxfId="3538" priority="1425" stopIfTrue="1" operator="equal">
      <formula>"Operation"</formula>
    </cfRule>
  </conditionalFormatting>
  <conditionalFormatting sqref="O52">
    <cfRule type="cellIs" dxfId="3537" priority="1424" stopIfTrue="1" operator="equal">
      <formula>"N/A"</formula>
    </cfRule>
  </conditionalFormatting>
  <conditionalFormatting sqref="G63:K63 E63:F64">
    <cfRule type="cellIs" dxfId="3536" priority="1423" stopIfTrue="1" operator="equal">
      <formula>"Operation"</formula>
    </cfRule>
  </conditionalFormatting>
  <conditionalFormatting sqref="D60:D64">
    <cfRule type="cellIs" dxfId="3535" priority="1422" stopIfTrue="1" operator="equal">
      <formula>"Total"</formula>
    </cfRule>
  </conditionalFormatting>
  <conditionalFormatting sqref="H63:K63 E63:F64">
    <cfRule type="cellIs" dxfId="3534" priority="1421" stopIfTrue="1" operator="equal">
      <formula>"N/A"</formula>
    </cfRule>
  </conditionalFormatting>
  <conditionalFormatting sqref="C55:D70">
    <cfRule type="expression" dxfId="3533" priority="1419">
      <formula>"$D60=""Trigger"")"</formula>
    </cfRule>
  </conditionalFormatting>
  <conditionalFormatting sqref="I64:K64 E61:K62">
    <cfRule type="cellIs" dxfId="3532" priority="1418" stopIfTrue="1" operator="equal">
      <formula>"Operation"</formula>
    </cfRule>
  </conditionalFormatting>
  <conditionalFormatting sqref="E61:K62">
    <cfRule type="cellIs" dxfId="3531" priority="1417" stopIfTrue="1" operator="equal">
      <formula>"N/A"</formula>
    </cfRule>
  </conditionalFormatting>
  <conditionalFormatting sqref="I60:J60">
    <cfRule type="cellIs" dxfId="3530" priority="1416" stopIfTrue="1" operator="equal">
      <formula>"Operation"</formula>
    </cfRule>
  </conditionalFormatting>
  <conditionalFormatting sqref="K60">
    <cfRule type="cellIs" dxfId="3529" priority="1415" stopIfTrue="1" operator="equal">
      <formula>"Operation"</formula>
    </cfRule>
  </conditionalFormatting>
  <conditionalFormatting sqref="G60:H60">
    <cfRule type="cellIs" dxfId="3528" priority="1414" stopIfTrue="1" operator="equal">
      <formula>"Operation"</formula>
    </cfRule>
  </conditionalFormatting>
  <conditionalFormatting sqref="H60:K60">
    <cfRule type="cellIs" dxfId="3527" priority="1412" stopIfTrue="1" operator="equal">
      <formula>"N/A"</formula>
    </cfRule>
  </conditionalFormatting>
  <conditionalFormatting sqref="D60">
    <cfRule type="cellIs" dxfId="3526" priority="1413" stopIfTrue="1" operator="equal">
      <formula>"Total"</formula>
    </cfRule>
  </conditionalFormatting>
  <conditionalFormatting sqref="G64:H64">
    <cfRule type="cellIs" dxfId="3525" priority="1411" stopIfTrue="1" operator="equal">
      <formula>"Operation"</formula>
    </cfRule>
  </conditionalFormatting>
  <conditionalFormatting sqref="H64:K64">
    <cfRule type="cellIs" dxfId="3524" priority="1410" stopIfTrue="1" operator="equal">
      <formula>"N/A"</formula>
    </cfRule>
  </conditionalFormatting>
  <conditionalFormatting sqref="E60">
    <cfRule type="cellIs" dxfId="3523" priority="1409" stopIfTrue="1" operator="equal">
      <formula>"Operation"</formula>
    </cfRule>
  </conditionalFormatting>
  <conditionalFormatting sqref="E60">
    <cfRule type="cellIs" dxfId="3522" priority="1408" stopIfTrue="1" operator="equal">
      <formula>"N/A"</formula>
    </cfRule>
  </conditionalFormatting>
  <conditionalFormatting sqref="F60">
    <cfRule type="cellIs" dxfId="3521" priority="1407" stopIfTrue="1" operator="equal">
      <formula>"Operation"</formula>
    </cfRule>
  </conditionalFormatting>
  <conditionalFormatting sqref="F60">
    <cfRule type="cellIs" dxfId="3520" priority="1406" stopIfTrue="1" operator="equal">
      <formula>"N/A"</formula>
    </cfRule>
  </conditionalFormatting>
  <conditionalFormatting sqref="G68:K68 E68:F69">
    <cfRule type="cellIs" dxfId="3519" priority="1405" stopIfTrue="1" operator="equal">
      <formula>"Operation"</formula>
    </cfRule>
  </conditionalFormatting>
  <conditionalFormatting sqref="D65:D69">
    <cfRule type="cellIs" dxfId="3518" priority="1404" stopIfTrue="1" operator="equal">
      <formula>"Total"</formula>
    </cfRule>
  </conditionalFormatting>
  <conditionalFormatting sqref="H68:K68 E68:F69">
    <cfRule type="cellIs" dxfId="3517" priority="1403" stopIfTrue="1" operator="equal">
      <formula>"N/A"</formula>
    </cfRule>
  </conditionalFormatting>
  <conditionalFormatting sqref="I69:K69 E66:K67">
    <cfRule type="cellIs" dxfId="3516" priority="1402" stopIfTrue="1" operator="equal">
      <formula>"Operation"</formula>
    </cfRule>
  </conditionalFormatting>
  <conditionalFormatting sqref="E66:K67">
    <cfRule type="cellIs" dxfId="3515" priority="1401" stopIfTrue="1" operator="equal">
      <formula>"N/A"</formula>
    </cfRule>
  </conditionalFormatting>
  <conditionalFormatting sqref="I65:J65">
    <cfRule type="cellIs" dxfId="3514" priority="1400" stopIfTrue="1" operator="equal">
      <formula>"Operation"</formula>
    </cfRule>
  </conditionalFormatting>
  <conditionalFormatting sqref="K65">
    <cfRule type="cellIs" dxfId="3513" priority="1399" stopIfTrue="1" operator="equal">
      <formula>"Operation"</formula>
    </cfRule>
  </conditionalFormatting>
  <conditionalFormatting sqref="G65:H65">
    <cfRule type="cellIs" dxfId="3512" priority="1398" stopIfTrue="1" operator="equal">
      <formula>"Operation"</formula>
    </cfRule>
  </conditionalFormatting>
  <conditionalFormatting sqref="H65:K65">
    <cfRule type="cellIs" dxfId="3511" priority="1396" stopIfTrue="1" operator="equal">
      <formula>"N/A"</formula>
    </cfRule>
  </conditionalFormatting>
  <conditionalFormatting sqref="D65">
    <cfRule type="cellIs" dxfId="3510" priority="1397" stopIfTrue="1" operator="equal">
      <formula>"Total"</formula>
    </cfRule>
  </conditionalFormatting>
  <conditionalFormatting sqref="G69:H69">
    <cfRule type="cellIs" dxfId="3509" priority="1395" stopIfTrue="1" operator="equal">
      <formula>"Operation"</formula>
    </cfRule>
  </conditionalFormatting>
  <conditionalFormatting sqref="H69:K69">
    <cfRule type="cellIs" dxfId="3508" priority="1394" stopIfTrue="1" operator="equal">
      <formula>"N/A"</formula>
    </cfRule>
  </conditionalFormatting>
  <conditionalFormatting sqref="E65">
    <cfRule type="cellIs" dxfId="3507" priority="1393" stopIfTrue="1" operator="equal">
      <formula>"Operation"</formula>
    </cfRule>
  </conditionalFormatting>
  <conditionalFormatting sqref="E65">
    <cfRule type="cellIs" dxfId="3506" priority="1392" stopIfTrue="1" operator="equal">
      <formula>"N/A"</formula>
    </cfRule>
  </conditionalFormatting>
  <conditionalFormatting sqref="F65">
    <cfRule type="cellIs" dxfId="3505" priority="1391" stopIfTrue="1" operator="equal">
      <formula>"Operation"</formula>
    </cfRule>
  </conditionalFormatting>
  <conditionalFormatting sqref="F65">
    <cfRule type="cellIs" dxfId="3504" priority="1390" stopIfTrue="1" operator="equal">
      <formula>"N/A"</formula>
    </cfRule>
  </conditionalFormatting>
  <conditionalFormatting sqref="L73:P73">
    <cfRule type="cellIs" dxfId="3503" priority="1389" stopIfTrue="1" operator="equal">
      <formula>"Operation"</formula>
    </cfRule>
  </conditionalFormatting>
  <conditionalFormatting sqref="L73:P73">
    <cfRule type="cellIs" dxfId="3502" priority="1388" stopIfTrue="1" operator="equal">
      <formula>"N/A"</formula>
    </cfRule>
  </conditionalFormatting>
  <conditionalFormatting sqref="L74:P74 L71:P72">
    <cfRule type="cellIs" dxfId="3501" priority="1387" stopIfTrue="1" operator="equal">
      <formula>"Operation"</formula>
    </cfRule>
  </conditionalFormatting>
  <conditionalFormatting sqref="L71:P72">
    <cfRule type="cellIs" dxfId="3500" priority="1386" stopIfTrue="1" operator="equal">
      <formula>"N/A"</formula>
    </cfRule>
  </conditionalFormatting>
  <conditionalFormatting sqref="L70:N70">
    <cfRule type="cellIs" dxfId="3499" priority="1384" stopIfTrue="1" operator="equal">
      <formula>"Operation"</formula>
    </cfRule>
  </conditionalFormatting>
  <conditionalFormatting sqref="L70:P70">
    <cfRule type="cellIs" dxfId="3498" priority="1383" stopIfTrue="1" operator="equal">
      <formula>"N/A"</formula>
    </cfRule>
  </conditionalFormatting>
  <conditionalFormatting sqref="O70:P70">
    <cfRule type="cellIs" dxfId="3497" priority="1385" stopIfTrue="1" operator="equal">
      <formula>"Operation"</formula>
    </cfRule>
  </conditionalFormatting>
  <conditionalFormatting sqref="L74:P74">
    <cfRule type="cellIs" dxfId="3496" priority="1382" stopIfTrue="1" operator="equal">
      <formula>"N/A"</formula>
    </cfRule>
  </conditionalFormatting>
  <conditionalFormatting sqref="G73:K73 E73:F74">
    <cfRule type="cellIs" dxfId="3495" priority="1381" stopIfTrue="1" operator="equal">
      <formula>"Operation"</formula>
    </cfRule>
  </conditionalFormatting>
  <conditionalFormatting sqref="D70:D74">
    <cfRule type="cellIs" dxfId="3494" priority="1380" stopIfTrue="1" operator="equal">
      <formula>"Total"</formula>
    </cfRule>
  </conditionalFormatting>
  <conditionalFormatting sqref="H73:K73 E73:F74">
    <cfRule type="cellIs" dxfId="3493" priority="1379" stopIfTrue="1" operator="equal">
      <formula>"N/A"</formula>
    </cfRule>
  </conditionalFormatting>
  <conditionalFormatting sqref="C71:D74">
    <cfRule type="expression" dxfId="3492" priority="1378">
      <formula>"$D60=""Trigger"")"</formula>
    </cfRule>
  </conditionalFormatting>
  <conditionalFormatting sqref="I74:K74 E71:K72">
    <cfRule type="cellIs" dxfId="3491" priority="1377" stopIfTrue="1" operator="equal">
      <formula>"Operation"</formula>
    </cfRule>
  </conditionalFormatting>
  <conditionalFormatting sqref="E71:K72">
    <cfRule type="cellIs" dxfId="3490" priority="1376" stopIfTrue="1" operator="equal">
      <formula>"N/A"</formula>
    </cfRule>
  </conditionalFormatting>
  <conditionalFormatting sqref="I70:J70">
    <cfRule type="cellIs" dxfId="3489" priority="1375" stopIfTrue="1" operator="equal">
      <formula>"Operation"</formula>
    </cfRule>
  </conditionalFormatting>
  <conditionalFormatting sqref="K70">
    <cfRule type="cellIs" dxfId="3488" priority="1374" stopIfTrue="1" operator="equal">
      <formula>"Operation"</formula>
    </cfRule>
  </conditionalFormatting>
  <conditionalFormatting sqref="G70:H70">
    <cfRule type="cellIs" dxfId="3487" priority="1373" stopIfTrue="1" operator="equal">
      <formula>"Operation"</formula>
    </cfRule>
  </conditionalFormatting>
  <conditionalFormatting sqref="H70:K70">
    <cfRule type="cellIs" dxfId="3486" priority="1371" stopIfTrue="1" operator="equal">
      <formula>"N/A"</formula>
    </cfRule>
  </conditionalFormatting>
  <conditionalFormatting sqref="D70">
    <cfRule type="cellIs" dxfId="3485" priority="1372" stopIfTrue="1" operator="equal">
      <formula>"Total"</formula>
    </cfRule>
  </conditionalFormatting>
  <conditionalFormatting sqref="G74:H74">
    <cfRule type="cellIs" dxfId="3484" priority="1370" stopIfTrue="1" operator="equal">
      <formula>"Operation"</formula>
    </cfRule>
  </conditionalFormatting>
  <conditionalFormatting sqref="H74:K74">
    <cfRule type="cellIs" dxfId="3483" priority="1369" stopIfTrue="1" operator="equal">
      <formula>"N/A"</formula>
    </cfRule>
  </conditionalFormatting>
  <conditionalFormatting sqref="E70">
    <cfRule type="cellIs" dxfId="3482" priority="1368" stopIfTrue="1" operator="equal">
      <formula>"Operation"</formula>
    </cfRule>
  </conditionalFormatting>
  <conditionalFormatting sqref="E70">
    <cfRule type="cellIs" dxfId="3481" priority="1367" stopIfTrue="1" operator="equal">
      <formula>"N/A"</formula>
    </cfRule>
  </conditionalFormatting>
  <conditionalFormatting sqref="F70">
    <cfRule type="cellIs" dxfId="3480" priority="1366" stopIfTrue="1" operator="equal">
      <formula>"Operation"</formula>
    </cfRule>
  </conditionalFormatting>
  <conditionalFormatting sqref="F70">
    <cfRule type="cellIs" dxfId="3479" priority="1365" stopIfTrue="1" operator="equal">
      <formula>"N/A"</formula>
    </cfRule>
  </conditionalFormatting>
  <conditionalFormatting sqref="B55:P59">
    <cfRule type="cellIs" dxfId="3478" priority="1363" stopIfTrue="1" operator="equal">
      <formula>"N/A"</formula>
    </cfRule>
  </conditionalFormatting>
  <conditionalFormatting sqref="D55:D59">
    <cfRule type="cellIs" dxfId="3477" priority="1362" stopIfTrue="1" operator="equal">
      <formula>"Operation"</formula>
    </cfRule>
  </conditionalFormatting>
  <conditionalFormatting sqref="L58:P58">
    <cfRule type="cellIs" dxfId="3476" priority="1361" stopIfTrue="1" operator="equal">
      <formula>"Operation"</formula>
    </cfRule>
  </conditionalFormatting>
  <conditionalFormatting sqref="L58:P58">
    <cfRule type="cellIs" dxfId="3475" priority="1360" stopIfTrue="1" operator="equal">
      <formula>"N/A"</formula>
    </cfRule>
  </conditionalFormatting>
  <conditionalFormatting sqref="L59:P59 L56:P57">
    <cfRule type="cellIs" dxfId="3474" priority="1359" stopIfTrue="1" operator="equal">
      <formula>"Operation"</formula>
    </cfRule>
  </conditionalFormatting>
  <conditionalFormatting sqref="L56:P57">
    <cfRule type="cellIs" dxfId="3473" priority="1358" stopIfTrue="1" operator="equal">
      <formula>"N/A"</formula>
    </cfRule>
  </conditionalFormatting>
  <conditionalFormatting sqref="L55:N55">
    <cfRule type="cellIs" dxfId="3472" priority="1356" stopIfTrue="1" operator="equal">
      <formula>"Operation"</formula>
    </cfRule>
  </conditionalFormatting>
  <conditionalFormatting sqref="L55:P55">
    <cfRule type="cellIs" dxfId="3471" priority="1355" stopIfTrue="1" operator="equal">
      <formula>"N/A"</formula>
    </cfRule>
  </conditionalFormatting>
  <conditionalFormatting sqref="O55:P55">
    <cfRule type="cellIs" dxfId="3470" priority="1357" stopIfTrue="1" operator="equal">
      <formula>"Operation"</formula>
    </cfRule>
  </conditionalFormatting>
  <conditionalFormatting sqref="L59:P59">
    <cfRule type="cellIs" dxfId="3469" priority="1354" stopIfTrue="1" operator="equal">
      <formula>"N/A"</formula>
    </cfRule>
  </conditionalFormatting>
  <conditionalFormatting sqref="G58:K58 E58:F59">
    <cfRule type="cellIs" dxfId="3468" priority="1353" stopIfTrue="1" operator="equal">
      <formula>"Operation"</formula>
    </cfRule>
  </conditionalFormatting>
  <conditionalFormatting sqref="D55:D59">
    <cfRule type="cellIs" dxfId="3467" priority="1352" stopIfTrue="1" operator="equal">
      <formula>"Total"</formula>
    </cfRule>
  </conditionalFormatting>
  <conditionalFormatting sqref="H58:K58 E58:F59">
    <cfRule type="cellIs" dxfId="3466" priority="1351" stopIfTrue="1" operator="equal">
      <formula>"N/A"</formula>
    </cfRule>
  </conditionalFormatting>
  <conditionalFormatting sqref="I59:K59 E56:K57">
    <cfRule type="cellIs" dxfId="3465" priority="1350" stopIfTrue="1" operator="equal">
      <formula>"Operation"</formula>
    </cfRule>
  </conditionalFormatting>
  <conditionalFormatting sqref="E56:K57">
    <cfRule type="cellIs" dxfId="3464" priority="1349" stopIfTrue="1" operator="equal">
      <formula>"N/A"</formula>
    </cfRule>
  </conditionalFormatting>
  <conditionalFormatting sqref="I55:J55">
    <cfRule type="cellIs" dxfId="3463" priority="1348" stopIfTrue="1" operator="equal">
      <formula>"Operation"</formula>
    </cfRule>
  </conditionalFormatting>
  <conditionalFormatting sqref="K55">
    <cfRule type="cellIs" dxfId="3462" priority="1347" stopIfTrue="1" operator="equal">
      <formula>"Operation"</formula>
    </cfRule>
  </conditionalFormatting>
  <conditionalFormatting sqref="G55:H55">
    <cfRule type="cellIs" dxfId="3461" priority="1346" stopIfTrue="1" operator="equal">
      <formula>"Operation"</formula>
    </cfRule>
  </conditionalFormatting>
  <conditionalFormatting sqref="H55:K55">
    <cfRule type="cellIs" dxfId="3460" priority="1344" stopIfTrue="1" operator="equal">
      <formula>"N/A"</formula>
    </cfRule>
  </conditionalFormatting>
  <conditionalFormatting sqref="D55">
    <cfRule type="cellIs" dxfId="3459" priority="1345" stopIfTrue="1" operator="equal">
      <formula>"Total"</formula>
    </cfRule>
  </conditionalFormatting>
  <conditionalFormatting sqref="G59:H59">
    <cfRule type="cellIs" dxfId="3458" priority="1343" stopIfTrue="1" operator="equal">
      <formula>"Operation"</formula>
    </cfRule>
  </conditionalFormatting>
  <conditionalFormatting sqref="H59:K59">
    <cfRule type="cellIs" dxfId="3457" priority="1342" stopIfTrue="1" operator="equal">
      <formula>"N/A"</formula>
    </cfRule>
  </conditionalFormatting>
  <conditionalFormatting sqref="E55">
    <cfRule type="cellIs" dxfId="3456" priority="1341" stopIfTrue="1" operator="equal">
      <formula>"Operation"</formula>
    </cfRule>
  </conditionalFormatting>
  <conditionalFormatting sqref="E55">
    <cfRule type="cellIs" dxfId="3455" priority="1340" stopIfTrue="1" operator="equal">
      <formula>"N/A"</formula>
    </cfRule>
  </conditionalFormatting>
  <conditionalFormatting sqref="F55">
    <cfRule type="cellIs" dxfId="3454" priority="1339" stopIfTrue="1" operator="equal">
      <formula>"Operation"</formula>
    </cfRule>
  </conditionalFormatting>
  <conditionalFormatting sqref="F55">
    <cfRule type="cellIs" dxfId="3453" priority="1338" stopIfTrue="1" operator="equal">
      <formula>"N/A"</formula>
    </cfRule>
  </conditionalFormatting>
  <conditionalFormatting sqref="B155:P169">
    <cfRule type="cellIs" dxfId="3452" priority="1336" stopIfTrue="1" operator="equal">
      <formula>"N/A"</formula>
    </cfRule>
  </conditionalFormatting>
  <conditionalFormatting sqref="G116:P116 E117:F117 E138:P144 D155:D169">
    <cfRule type="cellIs" dxfId="3451" priority="1335" stopIfTrue="1" operator="equal">
      <formula>"Operation"</formula>
    </cfRule>
  </conditionalFormatting>
  <conditionalFormatting sqref="D113:D117 D138:D144">
    <cfRule type="cellIs" dxfId="3450" priority="1334" stopIfTrue="1" operator="equal">
      <formula>"Total"</formula>
    </cfRule>
  </conditionalFormatting>
  <conditionalFormatting sqref="H116:P116 E117:F117">
    <cfRule type="cellIs" dxfId="3449" priority="1333" stopIfTrue="1" operator="equal">
      <formula>"N/A"</formula>
    </cfRule>
  </conditionalFormatting>
  <conditionalFormatting sqref="I117:P117 E114:P115 E116:F116">
    <cfRule type="cellIs" dxfId="3448" priority="1332" stopIfTrue="1" operator="equal">
      <formula>"Operation"</formula>
    </cfRule>
  </conditionalFormatting>
  <conditionalFormatting sqref="E114:P115 E116:F116">
    <cfRule type="cellIs" dxfId="3447" priority="1331" stopIfTrue="1" operator="equal">
      <formula>"N/A"</formula>
    </cfRule>
  </conditionalFormatting>
  <conditionalFormatting sqref="L113:N113 I113:J113">
    <cfRule type="cellIs" dxfId="3446" priority="1329" stopIfTrue="1" operator="equal">
      <formula>"Operation"</formula>
    </cfRule>
  </conditionalFormatting>
  <conditionalFormatting sqref="K113">
    <cfRule type="cellIs" dxfId="3445" priority="1328" stopIfTrue="1" operator="equal">
      <formula>"Operation"</formula>
    </cfRule>
  </conditionalFormatting>
  <conditionalFormatting sqref="G113:H113">
    <cfRule type="cellIs" dxfId="3444" priority="1327" stopIfTrue="1" operator="equal">
      <formula>"Operation"</formula>
    </cfRule>
  </conditionalFormatting>
  <conditionalFormatting sqref="H113:P113">
    <cfRule type="cellIs" dxfId="3443" priority="1325" stopIfTrue="1" operator="equal">
      <formula>"N/A"</formula>
    </cfRule>
  </conditionalFormatting>
  <conditionalFormatting sqref="O113:P113">
    <cfRule type="cellIs" dxfId="3442" priority="1330" stopIfTrue="1" operator="equal">
      <formula>"Operation"</formula>
    </cfRule>
  </conditionalFormatting>
  <conditionalFormatting sqref="D113">
    <cfRule type="cellIs" dxfId="3441" priority="1326" stopIfTrue="1" operator="equal">
      <formula>"Total"</formula>
    </cfRule>
  </conditionalFormatting>
  <conditionalFormatting sqref="G117:H117">
    <cfRule type="cellIs" dxfId="3440" priority="1324" stopIfTrue="1" operator="equal">
      <formula>"Operation"</formula>
    </cfRule>
  </conditionalFormatting>
  <conditionalFormatting sqref="H117:P117">
    <cfRule type="cellIs" dxfId="3439" priority="1323" stopIfTrue="1" operator="equal">
      <formula>"N/A"</formula>
    </cfRule>
  </conditionalFormatting>
  <conditionalFormatting sqref="E113">
    <cfRule type="cellIs" dxfId="3438" priority="1322" stopIfTrue="1" operator="equal">
      <formula>"Operation"</formula>
    </cfRule>
  </conditionalFormatting>
  <conditionalFormatting sqref="E113">
    <cfRule type="cellIs" dxfId="3437" priority="1321" stopIfTrue="1" operator="equal">
      <formula>"N/A"</formula>
    </cfRule>
  </conditionalFormatting>
  <conditionalFormatting sqref="F113">
    <cfRule type="cellIs" dxfId="3436" priority="1320" stopIfTrue="1" operator="equal">
      <formula>"Operation"</formula>
    </cfRule>
  </conditionalFormatting>
  <conditionalFormatting sqref="F113">
    <cfRule type="cellIs" dxfId="3435" priority="1319" stopIfTrue="1" operator="equal">
      <formula>"N/A"</formula>
    </cfRule>
  </conditionalFormatting>
  <conditionalFormatting sqref="G126:P126 E127:F127 G121:P121 E121:F122">
    <cfRule type="cellIs" dxfId="3434" priority="1318" stopIfTrue="1" operator="equal">
      <formula>"Operation"</formula>
    </cfRule>
  </conditionalFormatting>
  <conditionalFormatting sqref="D118:D127">
    <cfRule type="cellIs" dxfId="3433" priority="1317" stopIfTrue="1" operator="equal">
      <formula>"Total"</formula>
    </cfRule>
  </conditionalFormatting>
  <conditionalFormatting sqref="H126:P126 E127:F127 H121:P121 E121:F122">
    <cfRule type="cellIs" dxfId="3432" priority="1316" stopIfTrue="1" operator="equal">
      <formula>"N/A"</formula>
    </cfRule>
  </conditionalFormatting>
  <conditionalFormatting sqref="I122:P122 E119:P120">
    <cfRule type="cellIs" dxfId="3431" priority="1315" stopIfTrue="1" operator="equal">
      <formula>"Operation"</formula>
    </cfRule>
  </conditionalFormatting>
  <conditionalFormatting sqref="E119:P120">
    <cfRule type="cellIs" dxfId="3430" priority="1314" stopIfTrue="1" operator="equal">
      <formula>"N/A"</formula>
    </cfRule>
  </conditionalFormatting>
  <conditionalFormatting sqref="L118:N118 I118:J118">
    <cfRule type="cellIs" dxfId="3429" priority="1312" stopIfTrue="1" operator="equal">
      <formula>"Operation"</formula>
    </cfRule>
  </conditionalFormatting>
  <conditionalFormatting sqref="K118">
    <cfRule type="cellIs" dxfId="3428" priority="1311" stopIfTrue="1" operator="equal">
      <formula>"Operation"</formula>
    </cfRule>
  </conditionalFormatting>
  <conditionalFormatting sqref="G118:H118">
    <cfRule type="cellIs" dxfId="3427" priority="1310" stopIfTrue="1" operator="equal">
      <formula>"Operation"</formula>
    </cfRule>
  </conditionalFormatting>
  <conditionalFormatting sqref="H118:P118">
    <cfRule type="cellIs" dxfId="3426" priority="1308" stopIfTrue="1" operator="equal">
      <formula>"N/A"</formula>
    </cfRule>
  </conditionalFormatting>
  <conditionalFormatting sqref="O118:P118">
    <cfRule type="cellIs" dxfId="3425" priority="1313" stopIfTrue="1" operator="equal">
      <formula>"Operation"</formula>
    </cfRule>
  </conditionalFormatting>
  <conditionalFormatting sqref="D118">
    <cfRule type="cellIs" dxfId="3424" priority="1309" stopIfTrue="1" operator="equal">
      <formula>"Total"</formula>
    </cfRule>
  </conditionalFormatting>
  <conditionalFormatting sqref="G122:H122">
    <cfRule type="cellIs" dxfId="3423" priority="1307" stopIfTrue="1" operator="equal">
      <formula>"Operation"</formula>
    </cfRule>
  </conditionalFormatting>
  <conditionalFormatting sqref="H122:P122">
    <cfRule type="cellIs" dxfId="3422" priority="1306" stopIfTrue="1" operator="equal">
      <formula>"N/A"</formula>
    </cfRule>
  </conditionalFormatting>
  <conditionalFormatting sqref="E118">
    <cfRule type="cellIs" dxfId="3421" priority="1305" stopIfTrue="1" operator="equal">
      <formula>"Operation"</formula>
    </cfRule>
  </conditionalFormatting>
  <conditionalFormatting sqref="E118">
    <cfRule type="cellIs" dxfId="3420" priority="1304" stopIfTrue="1" operator="equal">
      <formula>"N/A"</formula>
    </cfRule>
  </conditionalFormatting>
  <conditionalFormatting sqref="F118">
    <cfRule type="cellIs" dxfId="3419" priority="1303" stopIfTrue="1" operator="equal">
      <formula>"Operation"</formula>
    </cfRule>
  </conditionalFormatting>
  <conditionalFormatting sqref="F118">
    <cfRule type="cellIs" dxfId="3418" priority="1302" stopIfTrue="1" operator="equal">
      <formula>"N/A"</formula>
    </cfRule>
  </conditionalFormatting>
  <conditionalFormatting sqref="I127:P127 E124:P125 E126:F126">
    <cfRule type="cellIs" dxfId="3417" priority="1301" stopIfTrue="1" operator="equal">
      <formula>"Operation"</formula>
    </cfRule>
  </conditionalFormatting>
  <conditionalFormatting sqref="E124:P125 E126:F126">
    <cfRule type="cellIs" dxfId="3416" priority="1300" stopIfTrue="1" operator="equal">
      <formula>"N/A"</formula>
    </cfRule>
  </conditionalFormatting>
  <conditionalFormatting sqref="L123:N123 I123:J123">
    <cfRule type="cellIs" dxfId="3415" priority="1298" stopIfTrue="1" operator="equal">
      <formula>"Operation"</formula>
    </cfRule>
  </conditionalFormatting>
  <conditionalFormatting sqref="K123">
    <cfRule type="cellIs" dxfId="3414" priority="1297" stopIfTrue="1" operator="equal">
      <formula>"Operation"</formula>
    </cfRule>
  </conditionalFormatting>
  <conditionalFormatting sqref="G123:H123">
    <cfRule type="cellIs" dxfId="3413" priority="1296" stopIfTrue="1" operator="equal">
      <formula>"Operation"</formula>
    </cfRule>
  </conditionalFormatting>
  <conditionalFormatting sqref="H123:P123">
    <cfRule type="cellIs" dxfId="3412" priority="1294" stopIfTrue="1" operator="equal">
      <formula>"N/A"</formula>
    </cfRule>
  </conditionalFormatting>
  <conditionalFormatting sqref="O123:P123">
    <cfRule type="cellIs" dxfId="3411" priority="1299" stopIfTrue="1" operator="equal">
      <formula>"Operation"</formula>
    </cfRule>
  </conditionalFormatting>
  <conditionalFormatting sqref="D123">
    <cfRule type="cellIs" dxfId="3410" priority="1295" stopIfTrue="1" operator="equal">
      <formula>"Total"</formula>
    </cfRule>
  </conditionalFormatting>
  <conditionalFormatting sqref="G127:H127">
    <cfRule type="cellIs" dxfId="3409" priority="1293" stopIfTrue="1" operator="equal">
      <formula>"Operation"</formula>
    </cfRule>
  </conditionalFormatting>
  <conditionalFormatting sqref="H127:P127">
    <cfRule type="cellIs" dxfId="3408" priority="1292" stopIfTrue="1" operator="equal">
      <formula>"N/A"</formula>
    </cfRule>
  </conditionalFormatting>
  <conditionalFormatting sqref="E123">
    <cfRule type="cellIs" dxfId="3407" priority="1291" stopIfTrue="1" operator="equal">
      <formula>"Operation"</formula>
    </cfRule>
  </conditionalFormatting>
  <conditionalFormatting sqref="E123">
    <cfRule type="cellIs" dxfId="3406" priority="1290" stopIfTrue="1" operator="equal">
      <formula>"N/A"</formula>
    </cfRule>
  </conditionalFormatting>
  <conditionalFormatting sqref="F123">
    <cfRule type="cellIs" dxfId="3405" priority="1289" stopIfTrue="1" operator="equal">
      <formula>"Operation"</formula>
    </cfRule>
  </conditionalFormatting>
  <conditionalFormatting sqref="F123">
    <cfRule type="cellIs" dxfId="3404" priority="1288" stopIfTrue="1" operator="equal">
      <formula>"N/A"</formula>
    </cfRule>
  </conditionalFormatting>
  <conditionalFormatting sqref="G131:P131 E131:F132">
    <cfRule type="cellIs" dxfId="3403" priority="1287" stopIfTrue="1" operator="equal">
      <formula>"Operation"</formula>
    </cfRule>
  </conditionalFormatting>
  <conditionalFormatting sqref="D128:D132">
    <cfRule type="cellIs" dxfId="3402" priority="1286" stopIfTrue="1" operator="equal">
      <formula>"Total"</formula>
    </cfRule>
  </conditionalFormatting>
  <conditionalFormatting sqref="H131:P131 E131:F132">
    <cfRule type="cellIs" dxfId="3401" priority="1285" stopIfTrue="1" operator="equal">
      <formula>"N/A"</formula>
    </cfRule>
  </conditionalFormatting>
  <conditionalFormatting sqref="I132:P132 E129:P130">
    <cfRule type="cellIs" dxfId="3400" priority="1284" stopIfTrue="1" operator="equal">
      <formula>"Operation"</formula>
    </cfRule>
  </conditionalFormatting>
  <conditionalFormatting sqref="E129:P130">
    <cfRule type="cellIs" dxfId="3399" priority="1283" stopIfTrue="1" operator="equal">
      <formula>"N/A"</formula>
    </cfRule>
  </conditionalFormatting>
  <conditionalFormatting sqref="L128:N128 I128:J128">
    <cfRule type="cellIs" dxfId="3398" priority="1281" stopIfTrue="1" operator="equal">
      <formula>"Operation"</formula>
    </cfRule>
  </conditionalFormatting>
  <conditionalFormatting sqref="K128">
    <cfRule type="cellIs" dxfId="3397" priority="1280" stopIfTrue="1" operator="equal">
      <formula>"Operation"</formula>
    </cfRule>
  </conditionalFormatting>
  <conditionalFormatting sqref="G128:H128">
    <cfRule type="cellIs" dxfId="3396" priority="1279" stopIfTrue="1" operator="equal">
      <formula>"Operation"</formula>
    </cfRule>
  </conditionalFormatting>
  <conditionalFormatting sqref="H128:P128">
    <cfRule type="cellIs" dxfId="3395" priority="1277" stopIfTrue="1" operator="equal">
      <formula>"N/A"</formula>
    </cfRule>
  </conditionalFormatting>
  <conditionalFormatting sqref="O128:P128">
    <cfRule type="cellIs" dxfId="3394" priority="1282" stopIfTrue="1" operator="equal">
      <formula>"Operation"</formula>
    </cfRule>
  </conditionalFormatting>
  <conditionalFormatting sqref="D128">
    <cfRule type="cellIs" dxfId="3393" priority="1278" stopIfTrue="1" operator="equal">
      <formula>"Total"</formula>
    </cfRule>
  </conditionalFormatting>
  <conditionalFormatting sqref="G132:H132">
    <cfRule type="cellIs" dxfId="3392" priority="1276" stopIfTrue="1" operator="equal">
      <formula>"Operation"</formula>
    </cfRule>
  </conditionalFormatting>
  <conditionalFormatting sqref="H132:P132">
    <cfRule type="cellIs" dxfId="3391" priority="1275" stopIfTrue="1" operator="equal">
      <formula>"N/A"</formula>
    </cfRule>
  </conditionalFormatting>
  <conditionalFormatting sqref="E128">
    <cfRule type="cellIs" dxfId="3390" priority="1274" stopIfTrue="1" operator="equal">
      <formula>"Operation"</formula>
    </cfRule>
  </conditionalFormatting>
  <conditionalFormatting sqref="E128">
    <cfRule type="cellIs" dxfId="3389" priority="1273" stopIfTrue="1" operator="equal">
      <formula>"N/A"</formula>
    </cfRule>
  </conditionalFormatting>
  <conditionalFormatting sqref="F128">
    <cfRule type="cellIs" dxfId="3388" priority="1272" stopIfTrue="1" operator="equal">
      <formula>"Operation"</formula>
    </cfRule>
  </conditionalFormatting>
  <conditionalFormatting sqref="F128">
    <cfRule type="cellIs" dxfId="3387" priority="1271" stopIfTrue="1" operator="equal">
      <formula>"N/A"</formula>
    </cfRule>
  </conditionalFormatting>
  <conditionalFormatting sqref="G136:P136 E136:F137">
    <cfRule type="cellIs" dxfId="3386" priority="1270" stopIfTrue="1" operator="equal">
      <formula>"Operation"</formula>
    </cfRule>
  </conditionalFormatting>
  <conditionalFormatting sqref="D133:D137">
    <cfRule type="cellIs" dxfId="3385" priority="1269" stopIfTrue="1" operator="equal">
      <formula>"Total"</formula>
    </cfRule>
  </conditionalFormatting>
  <conditionalFormatting sqref="H136:P136 E136:F137">
    <cfRule type="cellIs" dxfId="3384" priority="1268" stopIfTrue="1" operator="equal">
      <formula>"N/A"</formula>
    </cfRule>
  </conditionalFormatting>
  <conditionalFormatting sqref="I137:P137 E134:P135">
    <cfRule type="cellIs" dxfId="3383" priority="1267" stopIfTrue="1" operator="equal">
      <formula>"Operation"</formula>
    </cfRule>
  </conditionalFormatting>
  <conditionalFormatting sqref="E134:P135">
    <cfRule type="cellIs" dxfId="3382" priority="1266" stopIfTrue="1" operator="equal">
      <formula>"N/A"</formula>
    </cfRule>
  </conditionalFormatting>
  <conditionalFormatting sqref="L133:N133 I133:J133">
    <cfRule type="cellIs" dxfId="3381" priority="1264" stopIfTrue="1" operator="equal">
      <formula>"Operation"</formula>
    </cfRule>
  </conditionalFormatting>
  <conditionalFormatting sqref="K133">
    <cfRule type="cellIs" dxfId="3380" priority="1263" stopIfTrue="1" operator="equal">
      <formula>"Operation"</formula>
    </cfRule>
  </conditionalFormatting>
  <conditionalFormatting sqref="G133:H133">
    <cfRule type="cellIs" dxfId="3379" priority="1262" stopIfTrue="1" operator="equal">
      <formula>"Operation"</formula>
    </cfRule>
  </conditionalFormatting>
  <conditionalFormatting sqref="H133:P133">
    <cfRule type="cellIs" dxfId="3378" priority="1260" stopIfTrue="1" operator="equal">
      <formula>"N/A"</formula>
    </cfRule>
  </conditionalFormatting>
  <conditionalFormatting sqref="O133:P133">
    <cfRule type="cellIs" dxfId="3377" priority="1265" stopIfTrue="1" operator="equal">
      <formula>"Operation"</formula>
    </cfRule>
  </conditionalFormatting>
  <conditionalFormatting sqref="D133">
    <cfRule type="cellIs" dxfId="3376" priority="1261" stopIfTrue="1" operator="equal">
      <formula>"Total"</formula>
    </cfRule>
  </conditionalFormatting>
  <conditionalFormatting sqref="G137:H137">
    <cfRule type="cellIs" dxfId="3375" priority="1259" stopIfTrue="1" operator="equal">
      <formula>"Operation"</formula>
    </cfRule>
  </conditionalFormatting>
  <conditionalFormatting sqref="H137:P137">
    <cfRule type="cellIs" dxfId="3374" priority="1258" stopIfTrue="1" operator="equal">
      <formula>"N/A"</formula>
    </cfRule>
  </conditionalFormatting>
  <conditionalFormatting sqref="E133">
    <cfRule type="cellIs" dxfId="3373" priority="1257" stopIfTrue="1" operator="equal">
      <formula>"Operation"</formula>
    </cfRule>
  </conditionalFormatting>
  <conditionalFormatting sqref="E133">
    <cfRule type="cellIs" dxfId="3372" priority="1256" stopIfTrue="1" operator="equal">
      <formula>"N/A"</formula>
    </cfRule>
  </conditionalFormatting>
  <conditionalFormatting sqref="F133">
    <cfRule type="cellIs" dxfId="3371" priority="1255" stopIfTrue="1" operator="equal">
      <formula>"Operation"</formula>
    </cfRule>
  </conditionalFormatting>
  <conditionalFormatting sqref="F133">
    <cfRule type="cellIs" dxfId="3370" priority="1254" stopIfTrue="1" operator="equal">
      <formula>"N/A"</formula>
    </cfRule>
  </conditionalFormatting>
  <conditionalFormatting sqref="H139:H140">
    <cfRule type="cellIs" dxfId="3369" priority="1249" stopIfTrue="1" operator="equal">
      <formula>"Operation"</formula>
    </cfRule>
  </conditionalFormatting>
  <conditionalFormatting sqref="H139:H140">
    <cfRule type="cellIs" dxfId="3368" priority="1248" stopIfTrue="1" operator="equal">
      <formula>"N/A"</formula>
    </cfRule>
  </conditionalFormatting>
  <conditionalFormatting sqref="G144:H144">
    <cfRule type="cellIs" dxfId="3367" priority="1252" stopIfTrue="1" operator="equal">
      <formula>"Operation"</formula>
    </cfRule>
  </conditionalFormatting>
  <conditionalFormatting sqref="H144:P144">
    <cfRule type="cellIs" dxfId="3366" priority="1251" stopIfTrue="1" operator="equal">
      <formula>"N/A"</formula>
    </cfRule>
  </conditionalFormatting>
  <conditionalFormatting sqref="E144">
    <cfRule type="cellIs" dxfId="3365" priority="1250" stopIfTrue="1" operator="equal">
      <formula>"N/A"</formula>
    </cfRule>
  </conditionalFormatting>
  <conditionalFormatting sqref="F144">
    <cfRule type="cellIs" dxfId="3364" priority="1247" stopIfTrue="1" operator="equal">
      <formula>"N/A"</formula>
    </cfRule>
  </conditionalFormatting>
  <conditionalFormatting sqref="C217:D219">
    <cfRule type="expression" dxfId="3363" priority="1246">
      <formula>"$D60=""Trigger"")"</formula>
    </cfRule>
  </conditionalFormatting>
  <conditionalFormatting sqref="J141">
    <cfRule type="cellIs" dxfId="3362" priority="1245" stopIfTrue="1" operator="equal">
      <formula>"Operation"</formula>
    </cfRule>
  </conditionalFormatting>
  <conditionalFormatting sqref="J141">
    <cfRule type="cellIs" dxfId="3361" priority="1244" stopIfTrue="1" operator="equal">
      <formula>"N/A"</formula>
    </cfRule>
  </conditionalFormatting>
  <conditionalFormatting sqref="L158:P158 G148:P148 E148:F149">
    <cfRule type="cellIs" dxfId="3360" priority="1243" stopIfTrue="1" operator="equal">
      <formula>"Operation"</formula>
    </cfRule>
  </conditionalFormatting>
  <conditionalFormatting sqref="D145:D149">
    <cfRule type="cellIs" dxfId="3359" priority="1242" stopIfTrue="1" operator="equal">
      <formula>"Total"</formula>
    </cfRule>
  </conditionalFormatting>
  <conditionalFormatting sqref="L158:P158 H148:P148 E148:F149">
    <cfRule type="cellIs" dxfId="3358" priority="1241" stopIfTrue="1" operator="equal">
      <formula>"N/A"</formula>
    </cfRule>
  </conditionalFormatting>
  <conditionalFormatting sqref="C220:D228">
    <cfRule type="expression" dxfId="3357" priority="1239">
      <formula>"$D60=""Trigger"")"</formula>
    </cfRule>
  </conditionalFormatting>
  <conditionalFormatting sqref="I149:P149 E146:P146 E147:N147 P147">
    <cfRule type="cellIs" dxfId="3356" priority="1238" stopIfTrue="1" operator="equal">
      <formula>"Operation"</formula>
    </cfRule>
  </conditionalFormatting>
  <conditionalFormatting sqref="E146:P146 E147:N147 P147">
    <cfRule type="cellIs" dxfId="3355" priority="1237" stopIfTrue="1" operator="equal">
      <formula>"N/A"</formula>
    </cfRule>
  </conditionalFormatting>
  <conditionalFormatting sqref="L145:N145 I145:J145">
    <cfRule type="cellIs" dxfId="3354" priority="1235" stopIfTrue="1" operator="equal">
      <formula>"Operation"</formula>
    </cfRule>
  </conditionalFormatting>
  <conditionalFormatting sqref="K145">
    <cfRule type="cellIs" dxfId="3353" priority="1234" stopIfTrue="1" operator="equal">
      <formula>"Operation"</formula>
    </cfRule>
  </conditionalFormatting>
  <conditionalFormatting sqref="G145:H145">
    <cfRule type="cellIs" dxfId="3352" priority="1233" stopIfTrue="1" operator="equal">
      <formula>"Operation"</formula>
    </cfRule>
  </conditionalFormatting>
  <conditionalFormatting sqref="H145:P145">
    <cfRule type="cellIs" dxfId="3351" priority="1231" stopIfTrue="1" operator="equal">
      <formula>"N/A"</formula>
    </cfRule>
  </conditionalFormatting>
  <conditionalFormatting sqref="O145:P145">
    <cfRule type="cellIs" dxfId="3350" priority="1236" stopIfTrue="1" operator="equal">
      <formula>"Operation"</formula>
    </cfRule>
  </conditionalFormatting>
  <conditionalFormatting sqref="D145">
    <cfRule type="cellIs" dxfId="3349" priority="1232" stopIfTrue="1" operator="equal">
      <formula>"Total"</formula>
    </cfRule>
  </conditionalFormatting>
  <conditionalFormatting sqref="G149:H149">
    <cfRule type="cellIs" dxfId="3348" priority="1230" stopIfTrue="1" operator="equal">
      <formula>"Operation"</formula>
    </cfRule>
  </conditionalFormatting>
  <conditionalFormatting sqref="H149:P149">
    <cfRule type="cellIs" dxfId="3347" priority="1229" stopIfTrue="1" operator="equal">
      <formula>"N/A"</formula>
    </cfRule>
  </conditionalFormatting>
  <conditionalFormatting sqref="E145">
    <cfRule type="cellIs" dxfId="3346" priority="1228" stopIfTrue="1" operator="equal">
      <formula>"Operation"</formula>
    </cfRule>
  </conditionalFormatting>
  <conditionalFormatting sqref="E145">
    <cfRule type="cellIs" dxfId="3345" priority="1227" stopIfTrue="1" operator="equal">
      <formula>"N/A"</formula>
    </cfRule>
  </conditionalFormatting>
  <conditionalFormatting sqref="F145">
    <cfRule type="cellIs" dxfId="3344" priority="1226" stopIfTrue="1" operator="equal">
      <formula>"Operation"</formula>
    </cfRule>
  </conditionalFormatting>
  <conditionalFormatting sqref="F145">
    <cfRule type="cellIs" dxfId="3343" priority="1225" stopIfTrue="1" operator="equal">
      <formula>"N/A"</formula>
    </cfRule>
  </conditionalFormatting>
  <conditionalFormatting sqref="L159:P159 L156:P157">
    <cfRule type="cellIs" dxfId="3342" priority="1224" stopIfTrue="1" operator="equal">
      <formula>"Operation"</formula>
    </cfRule>
  </conditionalFormatting>
  <conditionalFormatting sqref="L156:P157">
    <cfRule type="cellIs" dxfId="3341" priority="1223" stopIfTrue="1" operator="equal">
      <formula>"N/A"</formula>
    </cfRule>
  </conditionalFormatting>
  <conditionalFormatting sqref="L155:N155">
    <cfRule type="cellIs" dxfId="3340" priority="1221" stopIfTrue="1" operator="equal">
      <formula>"Operation"</formula>
    </cfRule>
  </conditionalFormatting>
  <conditionalFormatting sqref="L155:P155">
    <cfRule type="cellIs" dxfId="3339" priority="1220" stopIfTrue="1" operator="equal">
      <formula>"N/A"</formula>
    </cfRule>
  </conditionalFormatting>
  <conditionalFormatting sqref="O155:P155">
    <cfRule type="cellIs" dxfId="3338" priority="1222" stopIfTrue="1" operator="equal">
      <formula>"Operation"</formula>
    </cfRule>
  </conditionalFormatting>
  <conditionalFormatting sqref="L159:P159">
    <cfRule type="cellIs" dxfId="3337" priority="1219" stopIfTrue="1" operator="equal">
      <formula>"N/A"</formula>
    </cfRule>
  </conditionalFormatting>
  <conditionalFormatting sqref="L163:P163">
    <cfRule type="cellIs" dxfId="3336" priority="1218" stopIfTrue="1" operator="equal">
      <formula>"Operation"</formula>
    </cfRule>
  </conditionalFormatting>
  <conditionalFormatting sqref="L163:P163">
    <cfRule type="cellIs" dxfId="3335" priority="1217" stopIfTrue="1" operator="equal">
      <formula>"N/A"</formula>
    </cfRule>
  </conditionalFormatting>
  <conditionalFormatting sqref="L164:P164 L161:P162">
    <cfRule type="cellIs" dxfId="3334" priority="1216" stopIfTrue="1" operator="equal">
      <formula>"Operation"</formula>
    </cfRule>
  </conditionalFormatting>
  <conditionalFormatting sqref="L161:P162">
    <cfRule type="cellIs" dxfId="3333" priority="1215" stopIfTrue="1" operator="equal">
      <formula>"N/A"</formula>
    </cfRule>
  </conditionalFormatting>
  <conditionalFormatting sqref="L160:N160">
    <cfRule type="cellIs" dxfId="3332" priority="1213" stopIfTrue="1" operator="equal">
      <formula>"Operation"</formula>
    </cfRule>
  </conditionalFormatting>
  <conditionalFormatting sqref="L160:P160">
    <cfRule type="cellIs" dxfId="3331" priority="1212" stopIfTrue="1" operator="equal">
      <formula>"N/A"</formula>
    </cfRule>
  </conditionalFormatting>
  <conditionalFormatting sqref="O160:P160">
    <cfRule type="cellIs" dxfId="3330" priority="1214" stopIfTrue="1" operator="equal">
      <formula>"Operation"</formula>
    </cfRule>
  </conditionalFormatting>
  <conditionalFormatting sqref="L164:P164">
    <cfRule type="cellIs" dxfId="3329" priority="1211" stopIfTrue="1" operator="equal">
      <formula>"N/A"</formula>
    </cfRule>
  </conditionalFormatting>
  <conditionalFormatting sqref="O147">
    <cfRule type="cellIs" dxfId="3328" priority="1210" stopIfTrue="1" operator="equal">
      <formula>"Operation"</formula>
    </cfRule>
  </conditionalFormatting>
  <conditionalFormatting sqref="O147">
    <cfRule type="cellIs" dxfId="3327" priority="1209" stopIfTrue="1" operator="equal">
      <formula>"N/A"</formula>
    </cfRule>
  </conditionalFormatting>
  <conditionalFormatting sqref="G158:K158 E158:F159">
    <cfRule type="cellIs" dxfId="3326" priority="1208" stopIfTrue="1" operator="equal">
      <formula>"Operation"</formula>
    </cfRule>
  </conditionalFormatting>
  <conditionalFormatting sqref="D155:D159">
    <cfRule type="cellIs" dxfId="3325" priority="1207" stopIfTrue="1" operator="equal">
      <formula>"Total"</formula>
    </cfRule>
  </conditionalFormatting>
  <conditionalFormatting sqref="H158:K158 E158:F159">
    <cfRule type="cellIs" dxfId="3324" priority="1206" stopIfTrue="1" operator="equal">
      <formula>"N/A"</formula>
    </cfRule>
  </conditionalFormatting>
  <conditionalFormatting sqref="C229:D243 C141:D149">
    <cfRule type="expression" dxfId="3323" priority="1204">
      <formula>"$D60=""Trigger"")"</formula>
    </cfRule>
  </conditionalFormatting>
  <conditionalFormatting sqref="I159:K159 E156:K157">
    <cfRule type="cellIs" dxfId="3322" priority="1203" stopIfTrue="1" operator="equal">
      <formula>"Operation"</formula>
    </cfRule>
  </conditionalFormatting>
  <conditionalFormatting sqref="E156:K157">
    <cfRule type="cellIs" dxfId="3321" priority="1202" stopIfTrue="1" operator="equal">
      <formula>"N/A"</formula>
    </cfRule>
  </conditionalFormatting>
  <conditionalFormatting sqref="I155:J155">
    <cfRule type="cellIs" dxfId="3320" priority="1201" stopIfTrue="1" operator="equal">
      <formula>"Operation"</formula>
    </cfRule>
  </conditionalFormatting>
  <conditionalFormatting sqref="K155">
    <cfRule type="cellIs" dxfId="3319" priority="1200" stopIfTrue="1" operator="equal">
      <formula>"Operation"</formula>
    </cfRule>
  </conditionalFormatting>
  <conditionalFormatting sqref="G155:H155">
    <cfRule type="cellIs" dxfId="3318" priority="1199" stopIfTrue="1" operator="equal">
      <formula>"Operation"</formula>
    </cfRule>
  </conditionalFormatting>
  <conditionalFormatting sqref="H155:K155">
    <cfRule type="cellIs" dxfId="3317" priority="1197" stopIfTrue="1" operator="equal">
      <formula>"N/A"</formula>
    </cfRule>
  </conditionalFormatting>
  <conditionalFormatting sqref="D155">
    <cfRule type="cellIs" dxfId="3316" priority="1198" stopIfTrue="1" operator="equal">
      <formula>"Total"</formula>
    </cfRule>
  </conditionalFormatting>
  <conditionalFormatting sqref="G159:H159">
    <cfRule type="cellIs" dxfId="3315" priority="1196" stopIfTrue="1" operator="equal">
      <formula>"Operation"</formula>
    </cfRule>
  </conditionalFormatting>
  <conditionalFormatting sqref="H159:K159">
    <cfRule type="cellIs" dxfId="3314" priority="1195" stopIfTrue="1" operator="equal">
      <formula>"N/A"</formula>
    </cfRule>
  </conditionalFormatting>
  <conditionalFormatting sqref="E155">
    <cfRule type="cellIs" dxfId="3313" priority="1194" stopIfTrue="1" operator="equal">
      <formula>"Operation"</formula>
    </cfRule>
  </conditionalFormatting>
  <conditionalFormatting sqref="E155">
    <cfRule type="cellIs" dxfId="3312" priority="1193" stopIfTrue="1" operator="equal">
      <formula>"N/A"</formula>
    </cfRule>
  </conditionalFormatting>
  <conditionalFormatting sqref="F155">
    <cfRule type="cellIs" dxfId="3311" priority="1192" stopIfTrue="1" operator="equal">
      <formula>"Operation"</formula>
    </cfRule>
  </conditionalFormatting>
  <conditionalFormatting sqref="F155">
    <cfRule type="cellIs" dxfId="3310" priority="1191" stopIfTrue="1" operator="equal">
      <formula>"N/A"</formula>
    </cfRule>
  </conditionalFormatting>
  <conditionalFormatting sqref="G163:K163 E163:F164">
    <cfRule type="cellIs" dxfId="3309" priority="1190" stopIfTrue="1" operator="equal">
      <formula>"Operation"</formula>
    </cfRule>
  </conditionalFormatting>
  <conditionalFormatting sqref="D160:D164">
    <cfRule type="cellIs" dxfId="3308" priority="1189" stopIfTrue="1" operator="equal">
      <formula>"Total"</formula>
    </cfRule>
  </conditionalFormatting>
  <conditionalFormatting sqref="H163:K163 E163:F164">
    <cfRule type="cellIs" dxfId="3307" priority="1188" stopIfTrue="1" operator="equal">
      <formula>"N/A"</formula>
    </cfRule>
  </conditionalFormatting>
  <conditionalFormatting sqref="I164:K164 E161:K162">
    <cfRule type="cellIs" dxfId="3306" priority="1187" stopIfTrue="1" operator="equal">
      <formula>"Operation"</formula>
    </cfRule>
  </conditionalFormatting>
  <conditionalFormatting sqref="E161:K162">
    <cfRule type="cellIs" dxfId="3305" priority="1186" stopIfTrue="1" operator="equal">
      <formula>"N/A"</formula>
    </cfRule>
  </conditionalFormatting>
  <conditionalFormatting sqref="I160:J160">
    <cfRule type="cellIs" dxfId="3304" priority="1185" stopIfTrue="1" operator="equal">
      <formula>"Operation"</formula>
    </cfRule>
  </conditionalFormatting>
  <conditionalFormatting sqref="K160">
    <cfRule type="cellIs" dxfId="3303" priority="1184" stopIfTrue="1" operator="equal">
      <formula>"Operation"</formula>
    </cfRule>
  </conditionalFormatting>
  <conditionalFormatting sqref="G160:H160">
    <cfRule type="cellIs" dxfId="3302" priority="1183" stopIfTrue="1" operator="equal">
      <formula>"Operation"</formula>
    </cfRule>
  </conditionalFormatting>
  <conditionalFormatting sqref="H160:K160">
    <cfRule type="cellIs" dxfId="3301" priority="1181" stopIfTrue="1" operator="equal">
      <formula>"N/A"</formula>
    </cfRule>
  </conditionalFormatting>
  <conditionalFormatting sqref="D160">
    <cfRule type="cellIs" dxfId="3300" priority="1182" stopIfTrue="1" operator="equal">
      <formula>"Total"</formula>
    </cfRule>
  </conditionalFormatting>
  <conditionalFormatting sqref="G164:H164">
    <cfRule type="cellIs" dxfId="3299" priority="1180" stopIfTrue="1" operator="equal">
      <formula>"Operation"</formula>
    </cfRule>
  </conditionalFormatting>
  <conditionalFormatting sqref="H164:K164">
    <cfRule type="cellIs" dxfId="3298" priority="1179" stopIfTrue="1" operator="equal">
      <formula>"N/A"</formula>
    </cfRule>
  </conditionalFormatting>
  <conditionalFormatting sqref="E160">
    <cfRule type="cellIs" dxfId="3297" priority="1178" stopIfTrue="1" operator="equal">
      <formula>"Operation"</formula>
    </cfRule>
  </conditionalFormatting>
  <conditionalFormatting sqref="E160">
    <cfRule type="cellIs" dxfId="3296" priority="1177" stopIfTrue="1" operator="equal">
      <formula>"N/A"</formula>
    </cfRule>
  </conditionalFormatting>
  <conditionalFormatting sqref="F160">
    <cfRule type="cellIs" dxfId="3295" priority="1176" stopIfTrue="1" operator="equal">
      <formula>"Operation"</formula>
    </cfRule>
  </conditionalFormatting>
  <conditionalFormatting sqref="F160">
    <cfRule type="cellIs" dxfId="3294" priority="1175" stopIfTrue="1" operator="equal">
      <formula>"N/A"</formula>
    </cfRule>
  </conditionalFormatting>
  <conditionalFormatting sqref="L168:P168">
    <cfRule type="cellIs" dxfId="3293" priority="1174" stopIfTrue="1" operator="equal">
      <formula>"Operation"</formula>
    </cfRule>
  </conditionalFormatting>
  <conditionalFormatting sqref="L168:P168">
    <cfRule type="cellIs" dxfId="3292" priority="1173" stopIfTrue="1" operator="equal">
      <formula>"N/A"</formula>
    </cfRule>
  </conditionalFormatting>
  <conditionalFormatting sqref="L169:P169 L166:P167">
    <cfRule type="cellIs" dxfId="3291" priority="1172" stopIfTrue="1" operator="equal">
      <formula>"Operation"</formula>
    </cfRule>
  </conditionalFormatting>
  <conditionalFormatting sqref="L166:P167">
    <cfRule type="cellIs" dxfId="3290" priority="1171" stopIfTrue="1" operator="equal">
      <formula>"N/A"</formula>
    </cfRule>
  </conditionalFormatting>
  <conditionalFormatting sqref="L165:N165">
    <cfRule type="cellIs" dxfId="3289" priority="1169" stopIfTrue="1" operator="equal">
      <formula>"Operation"</formula>
    </cfRule>
  </conditionalFormatting>
  <conditionalFormatting sqref="L165:P165">
    <cfRule type="cellIs" dxfId="3288" priority="1168" stopIfTrue="1" operator="equal">
      <formula>"N/A"</formula>
    </cfRule>
  </conditionalFormatting>
  <conditionalFormatting sqref="O165:P165">
    <cfRule type="cellIs" dxfId="3287" priority="1170" stopIfTrue="1" operator="equal">
      <formula>"Operation"</formula>
    </cfRule>
  </conditionalFormatting>
  <conditionalFormatting sqref="L169:P169">
    <cfRule type="cellIs" dxfId="3286" priority="1167" stopIfTrue="1" operator="equal">
      <formula>"N/A"</formula>
    </cfRule>
  </conditionalFormatting>
  <conditionalFormatting sqref="G168:K168 E168:F169">
    <cfRule type="cellIs" dxfId="3285" priority="1166" stopIfTrue="1" operator="equal">
      <formula>"Operation"</formula>
    </cfRule>
  </conditionalFormatting>
  <conditionalFormatting sqref="D165:D169">
    <cfRule type="cellIs" dxfId="3284" priority="1165" stopIfTrue="1" operator="equal">
      <formula>"Total"</formula>
    </cfRule>
  </conditionalFormatting>
  <conditionalFormatting sqref="H168:K168 E168:F169">
    <cfRule type="cellIs" dxfId="3283" priority="1164" stopIfTrue="1" operator="equal">
      <formula>"N/A"</formula>
    </cfRule>
  </conditionalFormatting>
  <conditionalFormatting sqref="C166:D169">
    <cfRule type="expression" dxfId="3282" priority="1163">
      <formula>"$D60=""Trigger"")"</formula>
    </cfRule>
  </conditionalFormatting>
  <conditionalFormatting sqref="I169:K169 E166:K167">
    <cfRule type="cellIs" dxfId="3281" priority="1162" stopIfTrue="1" operator="equal">
      <formula>"Operation"</formula>
    </cfRule>
  </conditionalFormatting>
  <conditionalFormatting sqref="E166:K167">
    <cfRule type="cellIs" dxfId="3280" priority="1161" stopIfTrue="1" operator="equal">
      <formula>"N/A"</formula>
    </cfRule>
  </conditionalFormatting>
  <conditionalFormatting sqref="I165:J165">
    <cfRule type="cellIs" dxfId="3279" priority="1160" stopIfTrue="1" operator="equal">
      <formula>"Operation"</formula>
    </cfRule>
  </conditionalFormatting>
  <conditionalFormatting sqref="K165">
    <cfRule type="cellIs" dxfId="3278" priority="1159" stopIfTrue="1" operator="equal">
      <formula>"Operation"</formula>
    </cfRule>
  </conditionalFormatting>
  <conditionalFormatting sqref="G165:H165">
    <cfRule type="cellIs" dxfId="3277" priority="1158" stopIfTrue="1" operator="equal">
      <formula>"Operation"</formula>
    </cfRule>
  </conditionalFormatting>
  <conditionalFormatting sqref="H165:K165">
    <cfRule type="cellIs" dxfId="3276" priority="1156" stopIfTrue="1" operator="equal">
      <formula>"N/A"</formula>
    </cfRule>
  </conditionalFormatting>
  <conditionalFormatting sqref="D165">
    <cfRule type="cellIs" dxfId="3275" priority="1157" stopIfTrue="1" operator="equal">
      <formula>"Total"</formula>
    </cfRule>
  </conditionalFormatting>
  <conditionalFormatting sqref="G169:H169">
    <cfRule type="cellIs" dxfId="3274" priority="1155" stopIfTrue="1" operator="equal">
      <formula>"Operation"</formula>
    </cfRule>
  </conditionalFormatting>
  <conditionalFormatting sqref="H169:K169">
    <cfRule type="cellIs" dxfId="3273" priority="1154" stopIfTrue="1" operator="equal">
      <formula>"N/A"</formula>
    </cfRule>
  </conditionalFormatting>
  <conditionalFormatting sqref="E165">
    <cfRule type="cellIs" dxfId="3272" priority="1153" stopIfTrue="1" operator="equal">
      <formula>"Operation"</formula>
    </cfRule>
  </conditionalFormatting>
  <conditionalFormatting sqref="E165">
    <cfRule type="cellIs" dxfId="3271" priority="1152" stopIfTrue="1" operator="equal">
      <formula>"N/A"</formula>
    </cfRule>
  </conditionalFormatting>
  <conditionalFormatting sqref="F165">
    <cfRule type="cellIs" dxfId="3270" priority="1151" stopIfTrue="1" operator="equal">
      <formula>"Operation"</formula>
    </cfRule>
  </conditionalFormatting>
  <conditionalFormatting sqref="F165">
    <cfRule type="cellIs" dxfId="3269" priority="1150" stopIfTrue="1" operator="equal">
      <formula>"N/A"</formula>
    </cfRule>
  </conditionalFormatting>
  <conditionalFormatting sqref="B150:P154">
    <cfRule type="cellIs" dxfId="3268" priority="1148" stopIfTrue="1" operator="equal">
      <formula>"N/A"</formula>
    </cfRule>
  </conditionalFormatting>
  <conditionalFormatting sqref="D150:D154">
    <cfRule type="cellIs" dxfId="3267" priority="1147" stopIfTrue="1" operator="equal">
      <formula>"Operation"</formula>
    </cfRule>
  </conditionalFormatting>
  <conditionalFormatting sqref="L153:P153">
    <cfRule type="cellIs" dxfId="3266" priority="1146" stopIfTrue="1" operator="equal">
      <formula>"Operation"</formula>
    </cfRule>
  </conditionalFormatting>
  <conditionalFormatting sqref="L153:P153">
    <cfRule type="cellIs" dxfId="3265" priority="1145" stopIfTrue="1" operator="equal">
      <formula>"N/A"</formula>
    </cfRule>
  </conditionalFormatting>
  <conditionalFormatting sqref="L154:P154 L151:P152">
    <cfRule type="cellIs" dxfId="3264" priority="1144" stopIfTrue="1" operator="equal">
      <formula>"Operation"</formula>
    </cfRule>
  </conditionalFormatting>
  <conditionalFormatting sqref="L151:P152">
    <cfRule type="cellIs" dxfId="3263" priority="1143" stopIfTrue="1" operator="equal">
      <formula>"N/A"</formula>
    </cfRule>
  </conditionalFormatting>
  <conditionalFormatting sqref="L150:N150">
    <cfRule type="cellIs" dxfId="3262" priority="1141" stopIfTrue="1" operator="equal">
      <formula>"Operation"</formula>
    </cfRule>
  </conditionalFormatting>
  <conditionalFormatting sqref="L150:P150">
    <cfRule type="cellIs" dxfId="3261" priority="1140" stopIfTrue="1" operator="equal">
      <formula>"N/A"</formula>
    </cfRule>
  </conditionalFormatting>
  <conditionalFormatting sqref="O150:P150">
    <cfRule type="cellIs" dxfId="3260" priority="1142" stopIfTrue="1" operator="equal">
      <formula>"Operation"</formula>
    </cfRule>
  </conditionalFormatting>
  <conditionalFormatting sqref="L154:P154">
    <cfRule type="cellIs" dxfId="3259" priority="1139" stopIfTrue="1" operator="equal">
      <formula>"N/A"</formula>
    </cfRule>
  </conditionalFormatting>
  <conditionalFormatting sqref="G153:K153 E153:F154">
    <cfRule type="cellIs" dxfId="3258" priority="1138" stopIfTrue="1" operator="equal">
      <formula>"Operation"</formula>
    </cfRule>
  </conditionalFormatting>
  <conditionalFormatting sqref="D150:D154">
    <cfRule type="cellIs" dxfId="3257" priority="1137" stopIfTrue="1" operator="equal">
      <formula>"Total"</formula>
    </cfRule>
  </conditionalFormatting>
  <conditionalFormatting sqref="H153:K153 E153:F154">
    <cfRule type="cellIs" dxfId="3256" priority="1136" stopIfTrue="1" operator="equal">
      <formula>"N/A"</formula>
    </cfRule>
  </conditionalFormatting>
  <conditionalFormatting sqref="I154:K154 E151:K152">
    <cfRule type="cellIs" dxfId="3255" priority="1135" stopIfTrue="1" operator="equal">
      <formula>"Operation"</formula>
    </cfRule>
  </conditionalFormatting>
  <conditionalFormatting sqref="E151:K152">
    <cfRule type="cellIs" dxfId="3254" priority="1134" stopIfTrue="1" operator="equal">
      <formula>"N/A"</formula>
    </cfRule>
  </conditionalFormatting>
  <conditionalFormatting sqref="I150:J150">
    <cfRule type="cellIs" dxfId="3253" priority="1133" stopIfTrue="1" operator="equal">
      <formula>"Operation"</formula>
    </cfRule>
  </conditionalFormatting>
  <conditionalFormatting sqref="K150">
    <cfRule type="cellIs" dxfId="3252" priority="1132" stopIfTrue="1" operator="equal">
      <formula>"Operation"</formula>
    </cfRule>
  </conditionalFormatting>
  <conditionalFormatting sqref="G150:H150">
    <cfRule type="cellIs" dxfId="3251" priority="1131" stopIfTrue="1" operator="equal">
      <formula>"Operation"</formula>
    </cfRule>
  </conditionalFormatting>
  <conditionalFormatting sqref="H150:K150">
    <cfRule type="cellIs" dxfId="3250" priority="1129" stopIfTrue="1" operator="equal">
      <formula>"N/A"</formula>
    </cfRule>
  </conditionalFormatting>
  <conditionalFormatting sqref="D150">
    <cfRule type="cellIs" dxfId="3249" priority="1130" stopIfTrue="1" operator="equal">
      <formula>"Total"</formula>
    </cfRule>
  </conditionalFormatting>
  <conditionalFormatting sqref="G154:H154">
    <cfRule type="cellIs" dxfId="3248" priority="1128" stopIfTrue="1" operator="equal">
      <formula>"Operation"</formula>
    </cfRule>
  </conditionalFormatting>
  <conditionalFormatting sqref="H154:K154">
    <cfRule type="cellIs" dxfId="3247" priority="1127" stopIfTrue="1" operator="equal">
      <formula>"N/A"</formula>
    </cfRule>
  </conditionalFormatting>
  <conditionalFormatting sqref="E150">
    <cfRule type="cellIs" dxfId="3246" priority="1126" stopIfTrue="1" operator="equal">
      <formula>"Operation"</formula>
    </cfRule>
  </conditionalFormatting>
  <conditionalFormatting sqref="E150">
    <cfRule type="cellIs" dxfId="3245" priority="1125" stopIfTrue="1" operator="equal">
      <formula>"N/A"</formula>
    </cfRule>
  </conditionalFormatting>
  <conditionalFormatting sqref="F150">
    <cfRule type="cellIs" dxfId="3244" priority="1124" stopIfTrue="1" operator="equal">
      <formula>"Operation"</formula>
    </cfRule>
  </conditionalFormatting>
  <conditionalFormatting sqref="F150">
    <cfRule type="cellIs" dxfId="3243" priority="1123" stopIfTrue="1" operator="equal">
      <formula>"N/A"</formula>
    </cfRule>
  </conditionalFormatting>
  <conditionalFormatting sqref="B234:P243">
    <cfRule type="cellIs" dxfId="3242" priority="1121" stopIfTrue="1" operator="equal">
      <formula>"N/A"</formula>
    </cfRule>
  </conditionalFormatting>
  <conditionalFormatting sqref="G200:P200 E201:F201 E217:P223 D234:D243">
    <cfRule type="cellIs" dxfId="3241" priority="1120" stopIfTrue="1" operator="equal">
      <formula>"Operation"</formula>
    </cfRule>
  </conditionalFormatting>
  <conditionalFormatting sqref="D197:D201 D217:D223">
    <cfRule type="cellIs" dxfId="3240" priority="1119" stopIfTrue="1" operator="equal">
      <formula>"Total"</formula>
    </cfRule>
  </conditionalFormatting>
  <conditionalFormatting sqref="H200:P200 E201:F201">
    <cfRule type="cellIs" dxfId="3239" priority="1118" stopIfTrue="1" operator="equal">
      <formula>"N/A"</formula>
    </cfRule>
  </conditionalFormatting>
  <conditionalFormatting sqref="I201:P201 E198:P199 E200:F200">
    <cfRule type="cellIs" dxfId="3238" priority="1117" stopIfTrue="1" operator="equal">
      <formula>"Operation"</formula>
    </cfRule>
  </conditionalFormatting>
  <conditionalFormatting sqref="E198:P199 E200:F200">
    <cfRule type="cellIs" dxfId="3237" priority="1116" stopIfTrue="1" operator="equal">
      <formula>"N/A"</formula>
    </cfRule>
  </conditionalFormatting>
  <conditionalFormatting sqref="L197:N197 I197:J197">
    <cfRule type="cellIs" dxfId="3236" priority="1114" stopIfTrue="1" operator="equal">
      <formula>"Operation"</formula>
    </cfRule>
  </conditionalFormatting>
  <conditionalFormatting sqref="K197">
    <cfRule type="cellIs" dxfId="3235" priority="1113" stopIfTrue="1" operator="equal">
      <formula>"Operation"</formula>
    </cfRule>
  </conditionalFormatting>
  <conditionalFormatting sqref="G197:H197">
    <cfRule type="cellIs" dxfId="3234" priority="1112" stopIfTrue="1" operator="equal">
      <formula>"Operation"</formula>
    </cfRule>
  </conditionalFormatting>
  <conditionalFormatting sqref="H197:P197">
    <cfRule type="cellIs" dxfId="3233" priority="1110" stopIfTrue="1" operator="equal">
      <formula>"N/A"</formula>
    </cfRule>
  </conditionalFormatting>
  <conditionalFormatting sqref="O197:P197">
    <cfRule type="cellIs" dxfId="3232" priority="1115" stopIfTrue="1" operator="equal">
      <formula>"Operation"</formula>
    </cfRule>
  </conditionalFormatting>
  <conditionalFormatting sqref="D197">
    <cfRule type="cellIs" dxfId="3231" priority="1111" stopIfTrue="1" operator="equal">
      <formula>"Total"</formula>
    </cfRule>
  </conditionalFormatting>
  <conditionalFormatting sqref="G201:H201">
    <cfRule type="cellIs" dxfId="3230" priority="1109" stopIfTrue="1" operator="equal">
      <formula>"Operation"</formula>
    </cfRule>
  </conditionalFormatting>
  <conditionalFormatting sqref="H201:P201">
    <cfRule type="cellIs" dxfId="3229" priority="1108" stopIfTrue="1" operator="equal">
      <formula>"N/A"</formula>
    </cfRule>
  </conditionalFormatting>
  <conditionalFormatting sqref="E197">
    <cfRule type="cellIs" dxfId="3228" priority="1107" stopIfTrue="1" operator="equal">
      <formula>"Operation"</formula>
    </cfRule>
  </conditionalFormatting>
  <conditionalFormatting sqref="E197">
    <cfRule type="cellIs" dxfId="3227" priority="1106" stopIfTrue="1" operator="equal">
      <formula>"N/A"</formula>
    </cfRule>
  </conditionalFormatting>
  <conditionalFormatting sqref="F197">
    <cfRule type="cellIs" dxfId="3226" priority="1105" stopIfTrue="1" operator="equal">
      <formula>"Operation"</formula>
    </cfRule>
  </conditionalFormatting>
  <conditionalFormatting sqref="F197">
    <cfRule type="cellIs" dxfId="3225" priority="1104" stopIfTrue="1" operator="equal">
      <formula>"N/A"</formula>
    </cfRule>
  </conditionalFormatting>
  <conditionalFormatting sqref="G210:P210 E210:F211">
    <cfRule type="cellIs" dxfId="3224" priority="1103" stopIfTrue="1" operator="equal">
      <formula>"Operation"</formula>
    </cfRule>
  </conditionalFormatting>
  <conditionalFormatting sqref="D207:D211">
    <cfRule type="cellIs" dxfId="3223" priority="1102" stopIfTrue="1" operator="equal">
      <formula>"Total"</formula>
    </cfRule>
  </conditionalFormatting>
  <conditionalFormatting sqref="H210:P210 E210:F211">
    <cfRule type="cellIs" dxfId="3222" priority="1101" stopIfTrue="1" operator="equal">
      <formula>"N/A"</formula>
    </cfRule>
  </conditionalFormatting>
  <conditionalFormatting sqref="I211:P211 E208:P209">
    <cfRule type="cellIs" dxfId="3221" priority="1100" stopIfTrue="1" operator="equal">
      <formula>"Operation"</formula>
    </cfRule>
  </conditionalFormatting>
  <conditionalFormatting sqref="E208:P209">
    <cfRule type="cellIs" dxfId="3220" priority="1099" stopIfTrue="1" operator="equal">
      <formula>"N/A"</formula>
    </cfRule>
  </conditionalFormatting>
  <conditionalFormatting sqref="L207:N207 I207:J207">
    <cfRule type="cellIs" dxfId="3219" priority="1097" stopIfTrue="1" operator="equal">
      <formula>"Operation"</formula>
    </cfRule>
  </conditionalFormatting>
  <conditionalFormatting sqref="K207">
    <cfRule type="cellIs" dxfId="3218" priority="1096" stopIfTrue="1" operator="equal">
      <formula>"Operation"</formula>
    </cfRule>
  </conditionalFormatting>
  <conditionalFormatting sqref="G207:H207">
    <cfRule type="cellIs" dxfId="3217" priority="1095" stopIfTrue="1" operator="equal">
      <formula>"Operation"</formula>
    </cfRule>
  </conditionalFormatting>
  <conditionalFormatting sqref="H207:P207">
    <cfRule type="cellIs" dxfId="3216" priority="1093" stopIfTrue="1" operator="equal">
      <formula>"N/A"</formula>
    </cfRule>
  </conditionalFormatting>
  <conditionalFormatting sqref="O207:P207">
    <cfRule type="cellIs" dxfId="3215" priority="1098" stopIfTrue="1" operator="equal">
      <formula>"Operation"</formula>
    </cfRule>
  </conditionalFormatting>
  <conditionalFormatting sqref="D207">
    <cfRule type="cellIs" dxfId="3214" priority="1094" stopIfTrue="1" operator="equal">
      <formula>"Total"</formula>
    </cfRule>
  </conditionalFormatting>
  <conditionalFormatting sqref="G211:H211">
    <cfRule type="cellIs" dxfId="3213" priority="1092" stopIfTrue="1" operator="equal">
      <formula>"Operation"</formula>
    </cfRule>
  </conditionalFormatting>
  <conditionalFormatting sqref="H211:P211">
    <cfRule type="cellIs" dxfId="3212" priority="1091" stopIfTrue="1" operator="equal">
      <formula>"N/A"</formula>
    </cfRule>
  </conditionalFormatting>
  <conditionalFormatting sqref="E207">
    <cfRule type="cellIs" dxfId="3211" priority="1090" stopIfTrue="1" operator="equal">
      <formula>"Operation"</formula>
    </cfRule>
  </conditionalFormatting>
  <conditionalFormatting sqref="E207">
    <cfRule type="cellIs" dxfId="3210" priority="1089" stopIfTrue="1" operator="equal">
      <formula>"N/A"</formula>
    </cfRule>
  </conditionalFormatting>
  <conditionalFormatting sqref="F207">
    <cfRule type="cellIs" dxfId="3209" priority="1088" stopIfTrue="1" operator="equal">
      <formula>"Operation"</formula>
    </cfRule>
  </conditionalFormatting>
  <conditionalFormatting sqref="F207">
    <cfRule type="cellIs" dxfId="3208" priority="1087" stopIfTrue="1" operator="equal">
      <formula>"N/A"</formula>
    </cfRule>
  </conditionalFormatting>
  <conditionalFormatting sqref="G215:P215 E215:F216">
    <cfRule type="cellIs" dxfId="3207" priority="1086" stopIfTrue="1" operator="equal">
      <formula>"Operation"</formula>
    </cfRule>
  </conditionalFormatting>
  <conditionalFormatting sqref="D212:D216">
    <cfRule type="cellIs" dxfId="3206" priority="1085" stopIfTrue="1" operator="equal">
      <formula>"Total"</formula>
    </cfRule>
  </conditionalFormatting>
  <conditionalFormatting sqref="H215:P215 E215:F216">
    <cfRule type="cellIs" dxfId="3205" priority="1084" stopIfTrue="1" operator="equal">
      <formula>"N/A"</formula>
    </cfRule>
  </conditionalFormatting>
  <conditionalFormatting sqref="I216:P216 E213:P214">
    <cfRule type="cellIs" dxfId="3204" priority="1083" stopIfTrue="1" operator="equal">
      <formula>"Operation"</formula>
    </cfRule>
  </conditionalFormatting>
  <conditionalFormatting sqref="E213:P214">
    <cfRule type="cellIs" dxfId="3203" priority="1082" stopIfTrue="1" operator="equal">
      <formula>"N/A"</formula>
    </cfRule>
  </conditionalFormatting>
  <conditionalFormatting sqref="L212:N212 I212:J212">
    <cfRule type="cellIs" dxfId="3202" priority="1080" stopIfTrue="1" operator="equal">
      <formula>"Operation"</formula>
    </cfRule>
  </conditionalFormatting>
  <conditionalFormatting sqref="K212">
    <cfRule type="cellIs" dxfId="3201" priority="1079" stopIfTrue="1" operator="equal">
      <formula>"Operation"</formula>
    </cfRule>
  </conditionalFormatting>
  <conditionalFormatting sqref="G212:H212">
    <cfRule type="cellIs" dxfId="3200" priority="1078" stopIfTrue="1" operator="equal">
      <formula>"Operation"</formula>
    </cfRule>
  </conditionalFormatting>
  <conditionalFormatting sqref="H212:P212">
    <cfRule type="cellIs" dxfId="3199" priority="1076" stopIfTrue="1" operator="equal">
      <formula>"N/A"</formula>
    </cfRule>
  </conditionalFormatting>
  <conditionalFormatting sqref="O212:P212">
    <cfRule type="cellIs" dxfId="3198" priority="1081" stopIfTrue="1" operator="equal">
      <formula>"Operation"</formula>
    </cfRule>
  </conditionalFormatting>
  <conditionalFormatting sqref="D212">
    <cfRule type="cellIs" dxfId="3197" priority="1077" stopIfTrue="1" operator="equal">
      <formula>"Total"</formula>
    </cfRule>
  </conditionalFormatting>
  <conditionalFormatting sqref="G216:H216">
    <cfRule type="cellIs" dxfId="3196" priority="1075" stopIfTrue="1" operator="equal">
      <formula>"Operation"</formula>
    </cfRule>
  </conditionalFormatting>
  <conditionalFormatting sqref="H216:P216">
    <cfRule type="cellIs" dxfId="3195" priority="1074" stopIfTrue="1" operator="equal">
      <formula>"N/A"</formula>
    </cfRule>
  </conditionalFormatting>
  <conditionalFormatting sqref="E212">
    <cfRule type="cellIs" dxfId="3194" priority="1073" stopIfTrue="1" operator="equal">
      <formula>"Operation"</formula>
    </cfRule>
  </conditionalFormatting>
  <conditionalFormatting sqref="E212">
    <cfRule type="cellIs" dxfId="3193" priority="1072" stopIfTrue="1" operator="equal">
      <formula>"N/A"</formula>
    </cfRule>
  </conditionalFormatting>
  <conditionalFormatting sqref="F212">
    <cfRule type="cellIs" dxfId="3192" priority="1071" stopIfTrue="1" operator="equal">
      <formula>"Operation"</formula>
    </cfRule>
  </conditionalFormatting>
  <conditionalFormatting sqref="F212">
    <cfRule type="cellIs" dxfId="3191" priority="1070" stopIfTrue="1" operator="equal">
      <formula>"N/A"</formula>
    </cfRule>
  </conditionalFormatting>
  <conditionalFormatting sqref="H218:H219">
    <cfRule type="cellIs" dxfId="3190" priority="1066" stopIfTrue="1" operator="equal">
      <formula>"Operation"</formula>
    </cfRule>
  </conditionalFormatting>
  <conditionalFormatting sqref="H218:H219">
    <cfRule type="cellIs" dxfId="3189" priority="1065" stopIfTrue="1" operator="equal">
      <formula>"N/A"</formula>
    </cfRule>
  </conditionalFormatting>
  <conditionalFormatting sqref="G223:H223">
    <cfRule type="cellIs" dxfId="3188" priority="1069" stopIfTrue="1" operator="equal">
      <formula>"Operation"</formula>
    </cfRule>
  </conditionalFormatting>
  <conditionalFormatting sqref="H223:P223">
    <cfRule type="cellIs" dxfId="3187" priority="1068" stopIfTrue="1" operator="equal">
      <formula>"N/A"</formula>
    </cfRule>
  </conditionalFormatting>
  <conditionalFormatting sqref="E223">
    <cfRule type="cellIs" dxfId="3186" priority="1067" stopIfTrue="1" operator="equal">
      <formula>"N/A"</formula>
    </cfRule>
  </conditionalFormatting>
  <conditionalFormatting sqref="F223">
    <cfRule type="cellIs" dxfId="3185" priority="1064" stopIfTrue="1" operator="equal">
      <formula>"N/A"</formula>
    </cfRule>
  </conditionalFormatting>
  <conditionalFormatting sqref="J220">
    <cfRule type="cellIs" dxfId="3184" priority="1063" stopIfTrue="1" operator="equal">
      <formula>"Operation"</formula>
    </cfRule>
  </conditionalFormatting>
  <conditionalFormatting sqref="J220">
    <cfRule type="cellIs" dxfId="3183" priority="1062" stopIfTrue="1" operator="equal">
      <formula>"N/A"</formula>
    </cfRule>
  </conditionalFormatting>
  <conditionalFormatting sqref="L237:P237 G227:P227 E227:F228">
    <cfRule type="cellIs" dxfId="3182" priority="1061" stopIfTrue="1" operator="equal">
      <formula>"Operation"</formula>
    </cfRule>
  </conditionalFormatting>
  <conditionalFormatting sqref="D224:D228">
    <cfRule type="cellIs" dxfId="3181" priority="1060" stopIfTrue="1" operator="equal">
      <formula>"Total"</formula>
    </cfRule>
  </conditionalFormatting>
  <conditionalFormatting sqref="L237:P237 H227:P227 E227:F228">
    <cfRule type="cellIs" dxfId="3180" priority="1059" stopIfTrue="1" operator="equal">
      <formula>"N/A"</formula>
    </cfRule>
  </conditionalFormatting>
  <conditionalFormatting sqref="I228:P228 E225:P225 E226:N226 P226">
    <cfRule type="cellIs" dxfId="3179" priority="1058" stopIfTrue="1" operator="equal">
      <formula>"Operation"</formula>
    </cfRule>
  </conditionalFormatting>
  <conditionalFormatting sqref="E225:P225 E226:N226 P226">
    <cfRule type="cellIs" dxfId="3178" priority="1057" stopIfTrue="1" operator="equal">
      <formula>"N/A"</formula>
    </cfRule>
  </conditionalFormatting>
  <conditionalFormatting sqref="L224:N224 I224:J224">
    <cfRule type="cellIs" dxfId="3177" priority="1055" stopIfTrue="1" operator="equal">
      <formula>"Operation"</formula>
    </cfRule>
  </conditionalFormatting>
  <conditionalFormatting sqref="K224">
    <cfRule type="cellIs" dxfId="3176" priority="1054" stopIfTrue="1" operator="equal">
      <formula>"Operation"</formula>
    </cfRule>
  </conditionalFormatting>
  <conditionalFormatting sqref="G224:H224">
    <cfRule type="cellIs" dxfId="3175" priority="1053" stopIfTrue="1" operator="equal">
      <formula>"Operation"</formula>
    </cfRule>
  </conditionalFormatting>
  <conditionalFormatting sqref="H224:P224">
    <cfRule type="cellIs" dxfId="3174" priority="1051" stopIfTrue="1" operator="equal">
      <formula>"N/A"</formula>
    </cfRule>
  </conditionalFormatting>
  <conditionalFormatting sqref="O224:P224">
    <cfRule type="cellIs" dxfId="3173" priority="1056" stopIfTrue="1" operator="equal">
      <formula>"Operation"</formula>
    </cfRule>
  </conditionalFormatting>
  <conditionalFormatting sqref="D224">
    <cfRule type="cellIs" dxfId="3172" priority="1052" stopIfTrue="1" operator="equal">
      <formula>"Total"</formula>
    </cfRule>
  </conditionalFormatting>
  <conditionalFormatting sqref="G228:H228">
    <cfRule type="cellIs" dxfId="3171" priority="1050" stopIfTrue="1" operator="equal">
      <formula>"Operation"</formula>
    </cfRule>
  </conditionalFormatting>
  <conditionalFormatting sqref="H228:P228">
    <cfRule type="cellIs" dxfId="3170" priority="1049" stopIfTrue="1" operator="equal">
      <formula>"N/A"</formula>
    </cfRule>
  </conditionalFormatting>
  <conditionalFormatting sqref="E224">
    <cfRule type="cellIs" dxfId="3169" priority="1048" stopIfTrue="1" operator="equal">
      <formula>"Operation"</formula>
    </cfRule>
  </conditionalFormatting>
  <conditionalFormatting sqref="E224">
    <cfRule type="cellIs" dxfId="3168" priority="1047" stopIfTrue="1" operator="equal">
      <formula>"N/A"</formula>
    </cfRule>
  </conditionalFormatting>
  <conditionalFormatting sqref="F224">
    <cfRule type="cellIs" dxfId="3167" priority="1046" stopIfTrue="1" operator="equal">
      <formula>"Operation"</formula>
    </cfRule>
  </conditionalFormatting>
  <conditionalFormatting sqref="F224">
    <cfRule type="cellIs" dxfId="3166" priority="1045" stopIfTrue="1" operator="equal">
      <formula>"N/A"</formula>
    </cfRule>
  </conditionalFormatting>
  <conditionalFormatting sqref="L238:P238 L235:P236">
    <cfRule type="cellIs" dxfId="3165" priority="1044" stopIfTrue="1" operator="equal">
      <formula>"Operation"</formula>
    </cfRule>
  </conditionalFormatting>
  <conditionalFormatting sqref="L235:P236">
    <cfRule type="cellIs" dxfId="3164" priority="1043" stopIfTrue="1" operator="equal">
      <formula>"N/A"</formula>
    </cfRule>
  </conditionalFormatting>
  <conditionalFormatting sqref="L234:N234">
    <cfRule type="cellIs" dxfId="3163" priority="1041" stopIfTrue="1" operator="equal">
      <formula>"Operation"</formula>
    </cfRule>
  </conditionalFormatting>
  <conditionalFormatting sqref="L234:P234">
    <cfRule type="cellIs" dxfId="3162" priority="1040" stopIfTrue="1" operator="equal">
      <formula>"N/A"</formula>
    </cfRule>
  </conditionalFormatting>
  <conditionalFormatting sqref="O234:P234">
    <cfRule type="cellIs" dxfId="3161" priority="1042" stopIfTrue="1" operator="equal">
      <formula>"Operation"</formula>
    </cfRule>
  </conditionalFormatting>
  <conditionalFormatting sqref="L238:P238">
    <cfRule type="cellIs" dxfId="3160" priority="1039" stopIfTrue="1" operator="equal">
      <formula>"N/A"</formula>
    </cfRule>
  </conditionalFormatting>
  <conditionalFormatting sqref="L242:P242">
    <cfRule type="cellIs" dxfId="3159" priority="1038" stopIfTrue="1" operator="equal">
      <formula>"Operation"</formula>
    </cfRule>
  </conditionalFormatting>
  <conditionalFormatting sqref="L242:P242">
    <cfRule type="cellIs" dxfId="3158" priority="1037" stopIfTrue="1" operator="equal">
      <formula>"N/A"</formula>
    </cfRule>
  </conditionalFormatting>
  <conditionalFormatting sqref="L243:P243 L240:P241">
    <cfRule type="cellIs" dxfId="3157" priority="1036" stopIfTrue="1" operator="equal">
      <formula>"Operation"</formula>
    </cfRule>
  </conditionalFormatting>
  <conditionalFormatting sqref="L240:P241">
    <cfRule type="cellIs" dxfId="3156" priority="1035" stopIfTrue="1" operator="equal">
      <formula>"N/A"</formula>
    </cfRule>
  </conditionalFormatting>
  <conditionalFormatting sqref="L239:N239">
    <cfRule type="cellIs" dxfId="3155" priority="1033" stopIfTrue="1" operator="equal">
      <formula>"Operation"</formula>
    </cfRule>
  </conditionalFormatting>
  <conditionalFormatting sqref="L239:P239">
    <cfRule type="cellIs" dxfId="3154" priority="1032" stopIfTrue="1" operator="equal">
      <formula>"N/A"</formula>
    </cfRule>
  </conditionalFormatting>
  <conditionalFormatting sqref="O239:P239">
    <cfRule type="cellIs" dxfId="3153" priority="1034" stopIfTrue="1" operator="equal">
      <formula>"Operation"</formula>
    </cfRule>
  </conditionalFormatting>
  <conditionalFormatting sqref="L243:P243">
    <cfRule type="cellIs" dxfId="3152" priority="1031" stopIfTrue="1" operator="equal">
      <formula>"N/A"</formula>
    </cfRule>
  </conditionalFormatting>
  <conditionalFormatting sqref="O226">
    <cfRule type="cellIs" dxfId="3151" priority="1030" stopIfTrue="1" operator="equal">
      <formula>"Operation"</formula>
    </cfRule>
  </conditionalFormatting>
  <conditionalFormatting sqref="O226">
    <cfRule type="cellIs" dxfId="3150" priority="1029" stopIfTrue="1" operator="equal">
      <formula>"N/A"</formula>
    </cfRule>
  </conditionalFormatting>
  <conditionalFormatting sqref="G237:K237 E237:F238">
    <cfRule type="cellIs" dxfId="3149" priority="1028" stopIfTrue="1" operator="equal">
      <formula>"Operation"</formula>
    </cfRule>
  </conditionalFormatting>
  <conditionalFormatting sqref="D234:D238">
    <cfRule type="cellIs" dxfId="3148" priority="1027" stopIfTrue="1" operator="equal">
      <formula>"Total"</formula>
    </cfRule>
  </conditionalFormatting>
  <conditionalFormatting sqref="H237:K237 E237:F238">
    <cfRule type="cellIs" dxfId="3147" priority="1026" stopIfTrue="1" operator="equal">
      <formula>"N/A"</formula>
    </cfRule>
  </conditionalFormatting>
  <conditionalFormatting sqref="I238:K238 E235:K236">
    <cfRule type="cellIs" dxfId="3146" priority="1025" stopIfTrue="1" operator="equal">
      <formula>"Operation"</formula>
    </cfRule>
  </conditionalFormatting>
  <conditionalFormatting sqref="E235:K236">
    <cfRule type="cellIs" dxfId="3145" priority="1024" stopIfTrue="1" operator="equal">
      <formula>"N/A"</formula>
    </cfRule>
  </conditionalFormatting>
  <conditionalFormatting sqref="I234:J234">
    <cfRule type="cellIs" dxfId="3144" priority="1023" stopIfTrue="1" operator="equal">
      <formula>"Operation"</formula>
    </cfRule>
  </conditionalFormatting>
  <conditionalFormatting sqref="K234">
    <cfRule type="cellIs" dxfId="3143" priority="1022" stopIfTrue="1" operator="equal">
      <formula>"Operation"</formula>
    </cfRule>
  </conditionalFormatting>
  <conditionalFormatting sqref="G234:H234">
    <cfRule type="cellIs" dxfId="3142" priority="1021" stopIfTrue="1" operator="equal">
      <formula>"Operation"</formula>
    </cfRule>
  </conditionalFormatting>
  <conditionalFormatting sqref="H234:K234">
    <cfRule type="cellIs" dxfId="3141" priority="1019" stopIfTrue="1" operator="equal">
      <formula>"N/A"</formula>
    </cfRule>
  </conditionalFormatting>
  <conditionalFormatting sqref="D234">
    <cfRule type="cellIs" dxfId="3140" priority="1020" stopIfTrue="1" operator="equal">
      <formula>"Total"</formula>
    </cfRule>
  </conditionalFormatting>
  <conditionalFormatting sqref="G238:H238">
    <cfRule type="cellIs" dxfId="3139" priority="1018" stopIfTrue="1" operator="equal">
      <formula>"Operation"</formula>
    </cfRule>
  </conditionalFormatting>
  <conditionalFormatting sqref="H238:K238">
    <cfRule type="cellIs" dxfId="3138" priority="1017" stopIfTrue="1" operator="equal">
      <formula>"N/A"</formula>
    </cfRule>
  </conditionalFormatting>
  <conditionalFormatting sqref="E234">
    <cfRule type="cellIs" dxfId="3137" priority="1016" stopIfTrue="1" operator="equal">
      <formula>"Operation"</formula>
    </cfRule>
  </conditionalFormatting>
  <conditionalFormatting sqref="E234">
    <cfRule type="cellIs" dxfId="3136" priority="1015" stopIfTrue="1" operator="equal">
      <formula>"N/A"</formula>
    </cfRule>
  </conditionalFormatting>
  <conditionalFormatting sqref="F234">
    <cfRule type="cellIs" dxfId="3135" priority="1014" stopIfTrue="1" operator="equal">
      <formula>"Operation"</formula>
    </cfRule>
  </conditionalFormatting>
  <conditionalFormatting sqref="F234">
    <cfRule type="cellIs" dxfId="3134" priority="1013" stopIfTrue="1" operator="equal">
      <formula>"N/A"</formula>
    </cfRule>
  </conditionalFormatting>
  <conditionalFormatting sqref="G242:K242 E242:F243">
    <cfRule type="cellIs" dxfId="3133" priority="1012" stopIfTrue="1" operator="equal">
      <formula>"Operation"</formula>
    </cfRule>
  </conditionalFormatting>
  <conditionalFormatting sqref="D239:D243">
    <cfRule type="cellIs" dxfId="3132" priority="1011" stopIfTrue="1" operator="equal">
      <formula>"Total"</formula>
    </cfRule>
  </conditionalFormatting>
  <conditionalFormatting sqref="H242:K242 E242:F243">
    <cfRule type="cellIs" dxfId="3131" priority="1010" stopIfTrue="1" operator="equal">
      <formula>"N/A"</formula>
    </cfRule>
  </conditionalFormatting>
  <conditionalFormatting sqref="I243:K243 E240:K241">
    <cfRule type="cellIs" dxfId="3130" priority="1009" stopIfTrue="1" operator="equal">
      <formula>"Operation"</formula>
    </cfRule>
  </conditionalFormatting>
  <conditionalFormatting sqref="E240:K241">
    <cfRule type="cellIs" dxfId="3129" priority="1008" stopIfTrue="1" operator="equal">
      <formula>"N/A"</formula>
    </cfRule>
  </conditionalFormatting>
  <conditionalFormatting sqref="I239:J239">
    <cfRule type="cellIs" dxfId="3128" priority="1007" stopIfTrue="1" operator="equal">
      <formula>"Operation"</formula>
    </cfRule>
  </conditionalFormatting>
  <conditionalFormatting sqref="K239">
    <cfRule type="cellIs" dxfId="3127" priority="1006" stopIfTrue="1" operator="equal">
      <formula>"Operation"</formula>
    </cfRule>
  </conditionalFormatting>
  <conditionalFormatting sqref="G239:H239">
    <cfRule type="cellIs" dxfId="3126" priority="1005" stopIfTrue="1" operator="equal">
      <formula>"Operation"</formula>
    </cfRule>
  </conditionalFormatting>
  <conditionalFormatting sqref="H239:K239">
    <cfRule type="cellIs" dxfId="3125" priority="1003" stopIfTrue="1" operator="equal">
      <formula>"N/A"</formula>
    </cfRule>
  </conditionalFormatting>
  <conditionalFormatting sqref="D239">
    <cfRule type="cellIs" dxfId="3124" priority="1004" stopIfTrue="1" operator="equal">
      <formula>"Total"</formula>
    </cfRule>
  </conditionalFormatting>
  <conditionalFormatting sqref="G243:H243">
    <cfRule type="cellIs" dxfId="3123" priority="1002" stopIfTrue="1" operator="equal">
      <formula>"Operation"</formula>
    </cfRule>
  </conditionalFormatting>
  <conditionalFormatting sqref="H243:K243">
    <cfRule type="cellIs" dxfId="3122" priority="1001" stopIfTrue="1" operator="equal">
      <formula>"N/A"</formula>
    </cfRule>
  </conditionalFormatting>
  <conditionalFormatting sqref="E239">
    <cfRule type="cellIs" dxfId="3121" priority="1000" stopIfTrue="1" operator="equal">
      <formula>"Operation"</formula>
    </cfRule>
  </conditionalFormatting>
  <conditionalFormatting sqref="E239">
    <cfRule type="cellIs" dxfId="3120" priority="999" stopIfTrue="1" operator="equal">
      <formula>"N/A"</formula>
    </cfRule>
  </conditionalFormatting>
  <conditionalFormatting sqref="F239">
    <cfRule type="cellIs" dxfId="3119" priority="998" stopIfTrue="1" operator="equal">
      <formula>"Operation"</formula>
    </cfRule>
  </conditionalFormatting>
  <conditionalFormatting sqref="F239">
    <cfRule type="cellIs" dxfId="3118" priority="997" stopIfTrue="1" operator="equal">
      <formula>"N/A"</formula>
    </cfRule>
  </conditionalFormatting>
  <conditionalFormatting sqref="B229:P233">
    <cfRule type="cellIs" dxfId="3117" priority="995" stopIfTrue="1" operator="equal">
      <formula>"N/A"</formula>
    </cfRule>
  </conditionalFormatting>
  <conditionalFormatting sqref="D229:D233">
    <cfRule type="cellIs" dxfId="3116" priority="994" stopIfTrue="1" operator="equal">
      <formula>"Operation"</formula>
    </cfRule>
  </conditionalFormatting>
  <conditionalFormatting sqref="L232:P232">
    <cfRule type="cellIs" dxfId="3115" priority="993" stopIfTrue="1" operator="equal">
      <formula>"Operation"</formula>
    </cfRule>
  </conditionalFormatting>
  <conditionalFormatting sqref="L232:P232">
    <cfRule type="cellIs" dxfId="3114" priority="992" stopIfTrue="1" operator="equal">
      <formula>"N/A"</formula>
    </cfRule>
  </conditionalFormatting>
  <conditionalFormatting sqref="L233:P233 L230:P231">
    <cfRule type="cellIs" dxfId="3113" priority="991" stopIfTrue="1" operator="equal">
      <formula>"Operation"</formula>
    </cfRule>
  </conditionalFormatting>
  <conditionalFormatting sqref="L230:P231">
    <cfRule type="cellIs" dxfId="3112" priority="990" stopIfTrue="1" operator="equal">
      <formula>"N/A"</formula>
    </cfRule>
  </conditionalFormatting>
  <conditionalFormatting sqref="L229:N229">
    <cfRule type="cellIs" dxfId="3111" priority="988" stopIfTrue="1" operator="equal">
      <formula>"Operation"</formula>
    </cfRule>
  </conditionalFormatting>
  <conditionalFormatting sqref="L229:P229">
    <cfRule type="cellIs" dxfId="3110" priority="987" stopIfTrue="1" operator="equal">
      <formula>"N/A"</formula>
    </cfRule>
  </conditionalFormatting>
  <conditionalFormatting sqref="O229:P229">
    <cfRule type="cellIs" dxfId="3109" priority="989" stopIfTrue="1" operator="equal">
      <formula>"Operation"</formula>
    </cfRule>
  </conditionalFormatting>
  <conditionalFormatting sqref="L233:P233">
    <cfRule type="cellIs" dxfId="3108" priority="986" stopIfTrue="1" operator="equal">
      <formula>"N/A"</formula>
    </cfRule>
  </conditionalFormatting>
  <conditionalFormatting sqref="G232:K232 E232:F233">
    <cfRule type="cellIs" dxfId="3107" priority="985" stopIfTrue="1" operator="equal">
      <formula>"Operation"</formula>
    </cfRule>
  </conditionalFormatting>
  <conditionalFormatting sqref="D229:D233">
    <cfRule type="cellIs" dxfId="3106" priority="984" stopIfTrue="1" operator="equal">
      <formula>"Total"</formula>
    </cfRule>
  </conditionalFormatting>
  <conditionalFormatting sqref="H232:K232 E232:F233">
    <cfRule type="cellIs" dxfId="3105" priority="983" stopIfTrue="1" operator="equal">
      <formula>"N/A"</formula>
    </cfRule>
  </conditionalFormatting>
  <conditionalFormatting sqref="I233:K233 E230:K231">
    <cfRule type="cellIs" dxfId="3104" priority="982" stopIfTrue="1" operator="equal">
      <formula>"Operation"</formula>
    </cfRule>
  </conditionalFormatting>
  <conditionalFormatting sqref="E230:K231">
    <cfRule type="cellIs" dxfId="3103" priority="981" stopIfTrue="1" operator="equal">
      <formula>"N/A"</formula>
    </cfRule>
  </conditionalFormatting>
  <conditionalFormatting sqref="I229:J229">
    <cfRule type="cellIs" dxfId="3102" priority="980" stopIfTrue="1" operator="equal">
      <formula>"Operation"</formula>
    </cfRule>
  </conditionalFormatting>
  <conditionalFormatting sqref="K229">
    <cfRule type="cellIs" dxfId="3101" priority="979" stopIfTrue="1" operator="equal">
      <formula>"Operation"</formula>
    </cfRule>
  </conditionalFormatting>
  <conditionalFormatting sqref="G229:H229">
    <cfRule type="cellIs" dxfId="3100" priority="978" stopIfTrue="1" operator="equal">
      <formula>"Operation"</formula>
    </cfRule>
  </conditionalFormatting>
  <conditionalFormatting sqref="H229:K229">
    <cfRule type="cellIs" dxfId="3099" priority="976" stopIfTrue="1" operator="equal">
      <formula>"N/A"</formula>
    </cfRule>
  </conditionalFormatting>
  <conditionalFormatting sqref="D229">
    <cfRule type="cellIs" dxfId="3098" priority="977" stopIfTrue="1" operator="equal">
      <formula>"Total"</formula>
    </cfRule>
  </conditionalFormatting>
  <conditionalFormatting sqref="G233:H233">
    <cfRule type="cellIs" dxfId="3097" priority="975" stopIfTrue="1" operator="equal">
      <formula>"Operation"</formula>
    </cfRule>
  </conditionalFormatting>
  <conditionalFormatting sqref="H233:K233">
    <cfRule type="cellIs" dxfId="3096" priority="974" stopIfTrue="1" operator="equal">
      <formula>"N/A"</formula>
    </cfRule>
  </conditionalFormatting>
  <conditionalFormatting sqref="E229">
    <cfRule type="cellIs" dxfId="3095" priority="973" stopIfTrue="1" operator="equal">
      <formula>"Operation"</formula>
    </cfRule>
  </conditionalFormatting>
  <conditionalFormatting sqref="E229">
    <cfRule type="cellIs" dxfId="3094" priority="972" stopIfTrue="1" operator="equal">
      <formula>"N/A"</formula>
    </cfRule>
  </conditionalFormatting>
  <conditionalFormatting sqref="F229">
    <cfRule type="cellIs" dxfId="3093" priority="971" stopIfTrue="1" operator="equal">
      <formula>"Operation"</formula>
    </cfRule>
  </conditionalFormatting>
  <conditionalFormatting sqref="F229">
    <cfRule type="cellIs" dxfId="3092" priority="970" stopIfTrue="1" operator="equal">
      <formula>"N/A"</formula>
    </cfRule>
  </conditionalFormatting>
  <conditionalFormatting sqref="C138:D140">
    <cfRule type="expression" dxfId="3091" priority="1765">
      <formula>"$D60=""Trigger"")"</formula>
    </cfRule>
  </conditionalFormatting>
  <conditionalFormatting sqref="C150:D165">
    <cfRule type="expression" dxfId="3090" priority="1768">
      <formula>"$D60=""Trigger"")"</formula>
    </cfRule>
  </conditionalFormatting>
  <conditionalFormatting sqref="B202:P206">
    <cfRule type="cellIs" dxfId="3089" priority="968" stopIfTrue="1" operator="equal">
      <formula>"N/A"</formula>
    </cfRule>
  </conditionalFormatting>
  <conditionalFormatting sqref="D202:D206">
    <cfRule type="cellIs" dxfId="3088" priority="967" stopIfTrue="1" operator="equal">
      <formula>"Operation"</formula>
    </cfRule>
  </conditionalFormatting>
  <conditionalFormatting sqref="G205:P205 E206:F206">
    <cfRule type="cellIs" dxfId="3087" priority="966" stopIfTrue="1" operator="equal">
      <formula>"Operation"</formula>
    </cfRule>
  </conditionalFormatting>
  <conditionalFormatting sqref="D202:D206">
    <cfRule type="cellIs" dxfId="3086" priority="965" stopIfTrue="1" operator="equal">
      <formula>"Total"</formula>
    </cfRule>
  </conditionalFormatting>
  <conditionalFormatting sqref="H205:P205 E206:F206">
    <cfRule type="cellIs" dxfId="3085" priority="964" stopIfTrue="1" operator="equal">
      <formula>"N/A"</formula>
    </cfRule>
  </conditionalFormatting>
  <conditionalFormatting sqref="I206:P206 E203:P204 E205:F205">
    <cfRule type="cellIs" dxfId="3084" priority="963" stopIfTrue="1" operator="equal">
      <formula>"Operation"</formula>
    </cfRule>
  </conditionalFormatting>
  <conditionalFormatting sqref="E203:P204 E205:F205">
    <cfRule type="cellIs" dxfId="3083" priority="962" stopIfTrue="1" operator="equal">
      <formula>"N/A"</formula>
    </cfRule>
  </conditionalFormatting>
  <conditionalFormatting sqref="L202:N202 I202:J202">
    <cfRule type="cellIs" dxfId="3082" priority="960" stopIfTrue="1" operator="equal">
      <formula>"Operation"</formula>
    </cfRule>
  </conditionalFormatting>
  <conditionalFormatting sqref="K202">
    <cfRule type="cellIs" dxfId="3081" priority="959" stopIfTrue="1" operator="equal">
      <formula>"Operation"</formula>
    </cfRule>
  </conditionalFormatting>
  <conditionalFormatting sqref="G202:H202">
    <cfRule type="cellIs" dxfId="3080" priority="958" stopIfTrue="1" operator="equal">
      <formula>"Operation"</formula>
    </cfRule>
  </conditionalFormatting>
  <conditionalFormatting sqref="H202:P202">
    <cfRule type="cellIs" dxfId="3079" priority="956" stopIfTrue="1" operator="equal">
      <formula>"N/A"</formula>
    </cfRule>
  </conditionalFormatting>
  <conditionalFormatting sqref="O202:P202">
    <cfRule type="cellIs" dxfId="3078" priority="961" stopIfTrue="1" operator="equal">
      <formula>"Operation"</formula>
    </cfRule>
  </conditionalFormatting>
  <conditionalFormatting sqref="D202">
    <cfRule type="cellIs" dxfId="3077" priority="957" stopIfTrue="1" operator="equal">
      <formula>"Total"</formula>
    </cfRule>
  </conditionalFormatting>
  <conditionalFormatting sqref="G206:H206">
    <cfRule type="cellIs" dxfId="3076" priority="955" stopIfTrue="1" operator="equal">
      <formula>"Operation"</formula>
    </cfRule>
  </conditionalFormatting>
  <conditionalFormatting sqref="H206:P206">
    <cfRule type="cellIs" dxfId="3075" priority="954" stopIfTrue="1" operator="equal">
      <formula>"N/A"</formula>
    </cfRule>
  </conditionalFormatting>
  <conditionalFormatting sqref="E202">
    <cfRule type="cellIs" dxfId="3074" priority="953" stopIfTrue="1" operator="equal">
      <formula>"Operation"</formula>
    </cfRule>
  </conditionalFormatting>
  <conditionalFormatting sqref="E202">
    <cfRule type="cellIs" dxfId="3073" priority="952" stopIfTrue="1" operator="equal">
      <formula>"N/A"</formula>
    </cfRule>
  </conditionalFormatting>
  <conditionalFormatting sqref="F202">
    <cfRule type="cellIs" dxfId="3072" priority="951" stopIfTrue="1" operator="equal">
      <formula>"Operation"</formula>
    </cfRule>
  </conditionalFormatting>
  <conditionalFormatting sqref="F202">
    <cfRule type="cellIs" dxfId="3071" priority="950" stopIfTrue="1" operator="equal">
      <formula>"N/A"</formula>
    </cfRule>
  </conditionalFormatting>
  <conditionalFormatting sqref="I444:P444 E441:P441 E442 G442:P442 F442:F443">
    <cfRule type="cellIs" dxfId="3070" priority="949" stopIfTrue="1" operator="equal">
      <formula>"Operation"</formula>
    </cfRule>
  </conditionalFormatting>
  <conditionalFormatting sqref="E441:P441 E442 G442:P442 F442:F443">
    <cfRule type="cellIs" dxfId="3069" priority="948" stopIfTrue="1" operator="equal">
      <formula>"N/A"</formula>
    </cfRule>
  </conditionalFormatting>
  <conditionalFormatting sqref="L440:N440 I440:J440">
    <cfRule type="cellIs" dxfId="3068" priority="946" stopIfTrue="1" operator="equal">
      <formula>"Operation"</formula>
    </cfRule>
  </conditionalFormatting>
  <conditionalFormatting sqref="K440">
    <cfRule type="cellIs" dxfId="3067" priority="945" stopIfTrue="1" operator="equal">
      <formula>"Operation"</formula>
    </cfRule>
  </conditionalFormatting>
  <conditionalFormatting sqref="G440:H440">
    <cfRule type="cellIs" dxfId="3066" priority="944" stopIfTrue="1" operator="equal">
      <formula>"Operation"</formula>
    </cfRule>
  </conditionalFormatting>
  <conditionalFormatting sqref="H440:P440">
    <cfRule type="cellIs" dxfId="3065" priority="942" stopIfTrue="1" operator="equal">
      <formula>"N/A"</formula>
    </cfRule>
  </conditionalFormatting>
  <conditionalFormatting sqref="O440:P440">
    <cfRule type="cellIs" dxfId="3064" priority="947" stopIfTrue="1" operator="equal">
      <formula>"Operation"</formula>
    </cfRule>
  </conditionalFormatting>
  <conditionalFormatting sqref="D440">
    <cfRule type="cellIs" dxfId="3063" priority="943" stopIfTrue="1" operator="equal">
      <formula>"Total"</formula>
    </cfRule>
  </conditionalFormatting>
  <conditionalFormatting sqref="G444:H444">
    <cfRule type="cellIs" dxfId="3062" priority="941" stopIfTrue="1" operator="equal">
      <formula>"Operation"</formula>
    </cfRule>
  </conditionalFormatting>
  <conditionalFormatting sqref="H444:P444">
    <cfRule type="cellIs" dxfId="3061" priority="940" stopIfTrue="1" operator="equal">
      <formula>"N/A"</formula>
    </cfRule>
  </conditionalFormatting>
  <conditionalFormatting sqref="E440">
    <cfRule type="cellIs" dxfId="3060" priority="939" stopIfTrue="1" operator="equal">
      <formula>"Operation"</formula>
    </cfRule>
  </conditionalFormatting>
  <conditionalFormatting sqref="E440">
    <cfRule type="cellIs" dxfId="3059" priority="938" stopIfTrue="1" operator="equal">
      <formula>"N/A"</formula>
    </cfRule>
  </conditionalFormatting>
  <conditionalFormatting sqref="F440">
    <cfRule type="cellIs" dxfId="3058" priority="937" stopIfTrue="1" operator="equal">
      <formula>"Operation"</formula>
    </cfRule>
  </conditionalFormatting>
  <conditionalFormatting sqref="F440">
    <cfRule type="cellIs" dxfId="3057" priority="936" stopIfTrue="1" operator="equal">
      <formula>"N/A"</formula>
    </cfRule>
  </conditionalFormatting>
  <conditionalFormatting sqref="I430:P430 G428:P429 E428:F430 E423:P426">
    <cfRule type="cellIs" dxfId="3056" priority="935" stopIfTrue="1" operator="equal">
      <formula>"Operation"</formula>
    </cfRule>
  </conditionalFormatting>
  <conditionalFormatting sqref="D422:D430">
    <cfRule type="cellIs" dxfId="3055" priority="934" stopIfTrue="1" operator="equal">
      <formula>"Total"</formula>
    </cfRule>
  </conditionalFormatting>
  <conditionalFormatting sqref="H428:P429 E428:F430 E423:P426">
    <cfRule type="cellIs" dxfId="3054" priority="933" stopIfTrue="1" operator="equal">
      <formula>"N/A"</formula>
    </cfRule>
  </conditionalFormatting>
  <conditionalFormatting sqref="L422:N422 I422:J422">
    <cfRule type="cellIs" dxfId="3053" priority="931" stopIfTrue="1" operator="equal">
      <formula>"Operation"</formula>
    </cfRule>
  </conditionalFormatting>
  <conditionalFormatting sqref="K422">
    <cfRule type="cellIs" dxfId="3052" priority="930" stopIfTrue="1" operator="equal">
      <formula>"Operation"</formula>
    </cfRule>
  </conditionalFormatting>
  <conditionalFormatting sqref="G422:H422">
    <cfRule type="cellIs" dxfId="3051" priority="929" stopIfTrue="1" operator="equal">
      <formula>"Operation"</formula>
    </cfRule>
  </conditionalFormatting>
  <conditionalFormatting sqref="H422:P422">
    <cfRule type="cellIs" dxfId="3050" priority="927" stopIfTrue="1" operator="equal">
      <formula>"N/A"</formula>
    </cfRule>
  </conditionalFormatting>
  <conditionalFormatting sqref="O422:P422">
    <cfRule type="cellIs" dxfId="3049" priority="932" stopIfTrue="1" operator="equal">
      <formula>"Operation"</formula>
    </cfRule>
  </conditionalFormatting>
  <conditionalFormatting sqref="D422">
    <cfRule type="cellIs" dxfId="3048" priority="928" stopIfTrue="1" operator="equal">
      <formula>"Total"</formula>
    </cfRule>
  </conditionalFormatting>
  <conditionalFormatting sqref="G430:H430">
    <cfRule type="cellIs" dxfId="3047" priority="926" stopIfTrue="1" operator="equal">
      <formula>"Operation"</formula>
    </cfRule>
  </conditionalFormatting>
  <conditionalFormatting sqref="H430:P430">
    <cfRule type="cellIs" dxfId="3046" priority="925" stopIfTrue="1" operator="equal">
      <formula>"N/A"</formula>
    </cfRule>
  </conditionalFormatting>
  <conditionalFormatting sqref="E422">
    <cfRule type="cellIs" dxfId="3045" priority="924" stopIfTrue="1" operator="equal">
      <formula>"Operation"</formula>
    </cfRule>
  </conditionalFormatting>
  <conditionalFormatting sqref="E422">
    <cfRule type="cellIs" dxfId="3044" priority="923" stopIfTrue="1" operator="equal">
      <formula>"N/A"</formula>
    </cfRule>
  </conditionalFormatting>
  <conditionalFormatting sqref="K427">
    <cfRule type="cellIs" dxfId="3043" priority="916" stopIfTrue="1" operator="equal">
      <formula>"Operation"</formula>
    </cfRule>
  </conditionalFormatting>
  <conditionalFormatting sqref="I427:K427">
    <cfRule type="cellIs" dxfId="3042" priority="915" stopIfTrue="1" operator="equal">
      <formula>"N/A"</formula>
    </cfRule>
  </conditionalFormatting>
  <conditionalFormatting sqref="M427:N427">
    <cfRule type="cellIs" dxfId="3041" priority="922" stopIfTrue="1" operator="equal">
      <formula>"Operation"</formula>
    </cfRule>
  </conditionalFormatting>
  <conditionalFormatting sqref="G427:H427 L427">
    <cfRule type="cellIs" dxfId="3040" priority="921" stopIfTrue="1" operator="equal">
      <formula>"Operation"</formula>
    </cfRule>
  </conditionalFormatting>
  <conditionalFormatting sqref="G427:H427 L427:N427">
    <cfRule type="cellIs" dxfId="3039" priority="920" stopIfTrue="1" operator="equal">
      <formula>"N/A"</formula>
    </cfRule>
  </conditionalFormatting>
  <conditionalFormatting sqref="O427:P427">
    <cfRule type="cellIs" dxfId="3038" priority="918" stopIfTrue="1" operator="equal">
      <formula>"N/A"</formula>
    </cfRule>
  </conditionalFormatting>
  <conditionalFormatting sqref="O427:P427">
    <cfRule type="cellIs" dxfId="3037" priority="919" stopIfTrue="1" operator="equal">
      <formula>"Operation"</formula>
    </cfRule>
  </conditionalFormatting>
  <conditionalFormatting sqref="I427:J427">
    <cfRule type="cellIs" dxfId="3036" priority="917" stopIfTrue="1" operator="equal">
      <formula>"Operation"</formula>
    </cfRule>
  </conditionalFormatting>
  <conditionalFormatting sqref="D427">
    <cfRule type="cellIs" dxfId="3035" priority="914" stopIfTrue="1" operator="equal">
      <formula>"Total"</formula>
    </cfRule>
  </conditionalFormatting>
  <conditionalFormatting sqref="E427">
    <cfRule type="cellIs" dxfId="3034" priority="913" stopIfTrue="1" operator="equal">
      <formula>"Operation"</formula>
    </cfRule>
  </conditionalFormatting>
  <conditionalFormatting sqref="E427">
    <cfRule type="cellIs" dxfId="3033" priority="912" stopIfTrue="1" operator="equal">
      <formula>"N/A"</formula>
    </cfRule>
  </conditionalFormatting>
  <conditionalFormatting sqref="F422">
    <cfRule type="cellIs" dxfId="3032" priority="911" stopIfTrue="1" operator="equal">
      <formula>"Operation"</formula>
    </cfRule>
  </conditionalFormatting>
  <conditionalFormatting sqref="F422">
    <cfRule type="cellIs" dxfId="3031" priority="910" stopIfTrue="1" operator="equal">
      <formula>"N/A"</formula>
    </cfRule>
  </conditionalFormatting>
  <conditionalFormatting sqref="F427">
    <cfRule type="cellIs" dxfId="3030" priority="909" stopIfTrue="1" operator="equal">
      <formula>"Operation"</formula>
    </cfRule>
  </conditionalFormatting>
  <conditionalFormatting sqref="F427">
    <cfRule type="cellIs" dxfId="3029" priority="908" stopIfTrue="1" operator="equal">
      <formula>"N/A"</formula>
    </cfRule>
  </conditionalFormatting>
  <conditionalFormatting sqref="C580:D584 C587:D591 C594:D596 C599:D607 C445:D449 C440:D442 C452:D456 C459:D461 C464:D484 C497:D514 C566:D577">
    <cfRule type="expression" dxfId="3028" priority="1769">
      <formula>"$D60=""Trigger"")"</formula>
    </cfRule>
  </conditionalFormatting>
  <conditionalFormatting sqref="C592:D593 C585:D586 C450:D451 C457:D458">
    <cfRule type="expression" dxfId="3027" priority="1770">
      <formula>"$D60=""Trigger"")"</formula>
    </cfRule>
  </conditionalFormatting>
  <conditionalFormatting sqref="H450:P450 E451:F451 E450">
    <cfRule type="cellIs" dxfId="3026" priority="907" stopIfTrue="1" operator="equal">
      <formula>"N/A"</formula>
    </cfRule>
  </conditionalFormatting>
  <conditionalFormatting sqref="G450:P450 E451:F451 E450">
    <cfRule type="cellIs" dxfId="3025" priority="906" stopIfTrue="1" operator="equal">
      <formula>"Operation"</formula>
    </cfRule>
  </conditionalFormatting>
  <conditionalFormatting sqref="D445:D447 D450:D451">
    <cfRule type="cellIs" dxfId="3024" priority="905" stopIfTrue="1" operator="equal">
      <formula>"Total"</formula>
    </cfRule>
  </conditionalFormatting>
  <conditionalFormatting sqref="I451:P451 E446:P447 F450">
    <cfRule type="cellIs" dxfId="3023" priority="904" stopIfTrue="1" operator="equal">
      <formula>"Operation"</formula>
    </cfRule>
  </conditionalFormatting>
  <conditionalFormatting sqref="E446:P447 F450">
    <cfRule type="cellIs" dxfId="3022" priority="903" stopIfTrue="1" operator="equal">
      <formula>"N/A"</formula>
    </cfRule>
  </conditionalFormatting>
  <conditionalFormatting sqref="L445:N445 I445:J445">
    <cfRule type="cellIs" dxfId="3021" priority="901" stopIfTrue="1" operator="equal">
      <formula>"Operation"</formula>
    </cfRule>
  </conditionalFormatting>
  <conditionalFormatting sqref="K445">
    <cfRule type="cellIs" dxfId="3020" priority="900" stopIfTrue="1" operator="equal">
      <formula>"Operation"</formula>
    </cfRule>
  </conditionalFormatting>
  <conditionalFormatting sqref="G445:H445">
    <cfRule type="cellIs" dxfId="3019" priority="899" stopIfTrue="1" operator="equal">
      <formula>"Operation"</formula>
    </cfRule>
  </conditionalFormatting>
  <conditionalFormatting sqref="H445:P445">
    <cfRule type="cellIs" dxfId="3018" priority="897" stopIfTrue="1" operator="equal">
      <formula>"N/A"</formula>
    </cfRule>
  </conditionalFormatting>
  <conditionalFormatting sqref="O445:P445">
    <cfRule type="cellIs" dxfId="3017" priority="902" stopIfTrue="1" operator="equal">
      <formula>"Operation"</formula>
    </cfRule>
  </conditionalFormatting>
  <conditionalFormatting sqref="D445">
    <cfRule type="cellIs" dxfId="3016" priority="898" stopIfTrue="1" operator="equal">
      <formula>"Total"</formula>
    </cfRule>
  </conditionalFormatting>
  <conditionalFormatting sqref="G451:H451">
    <cfRule type="cellIs" dxfId="3015" priority="896" stopIfTrue="1" operator="equal">
      <formula>"Operation"</formula>
    </cfRule>
  </conditionalFormatting>
  <conditionalFormatting sqref="H451:P451">
    <cfRule type="cellIs" dxfId="3014" priority="895" stopIfTrue="1" operator="equal">
      <formula>"N/A"</formula>
    </cfRule>
  </conditionalFormatting>
  <conditionalFormatting sqref="E445">
    <cfRule type="cellIs" dxfId="3013" priority="894" stopIfTrue="1" operator="equal">
      <formula>"Operation"</formula>
    </cfRule>
  </conditionalFormatting>
  <conditionalFormatting sqref="E445">
    <cfRule type="cellIs" dxfId="3012" priority="893" stopIfTrue="1" operator="equal">
      <formula>"N/A"</formula>
    </cfRule>
  </conditionalFormatting>
  <conditionalFormatting sqref="F445">
    <cfRule type="cellIs" dxfId="3011" priority="892" stopIfTrue="1" operator="equal">
      <formula>"Operation"</formula>
    </cfRule>
  </conditionalFormatting>
  <conditionalFormatting sqref="F445">
    <cfRule type="cellIs" dxfId="3010" priority="891" stopIfTrue="1" operator="equal">
      <formula>"N/A"</formula>
    </cfRule>
  </conditionalFormatting>
  <conditionalFormatting sqref="C597:D598 C578:D579 C443:D444 C462:D463 C485:D486">
    <cfRule type="expression" dxfId="3009" priority="1772">
      <formula>"$D60=""Trigger"")"</formula>
    </cfRule>
  </conditionalFormatting>
  <conditionalFormatting sqref="D448:D449">
    <cfRule type="cellIs" dxfId="3008" priority="890" stopIfTrue="1" operator="equal">
      <formula>"Total"</formula>
    </cfRule>
  </conditionalFormatting>
  <conditionalFormatting sqref="E448:P449">
    <cfRule type="cellIs" dxfId="3007" priority="889" stopIfTrue="1" operator="equal">
      <formula>"Operation"</formula>
    </cfRule>
  </conditionalFormatting>
  <conditionalFormatting sqref="E448:P449">
    <cfRule type="cellIs" dxfId="3006" priority="888" stopIfTrue="1" operator="equal">
      <formula>"N/A"</formula>
    </cfRule>
  </conditionalFormatting>
  <conditionalFormatting sqref="H457:P457 E458:F458 E457">
    <cfRule type="cellIs" dxfId="3005" priority="887" stopIfTrue="1" operator="equal">
      <formula>"N/A"</formula>
    </cfRule>
  </conditionalFormatting>
  <conditionalFormatting sqref="G457:P457 E458:F458 E457">
    <cfRule type="cellIs" dxfId="3004" priority="886" stopIfTrue="1" operator="equal">
      <formula>"Operation"</formula>
    </cfRule>
  </conditionalFormatting>
  <conditionalFormatting sqref="D452:D454 D457:D458">
    <cfRule type="cellIs" dxfId="3003" priority="885" stopIfTrue="1" operator="equal">
      <formula>"Total"</formula>
    </cfRule>
  </conditionalFormatting>
  <conditionalFormatting sqref="I458:P458 E453:P454 F457">
    <cfRule type="cellIs" dxfId="3002" priority="884" stopIfTrue="1" operator="equal">
      <formula>"Operation"</formula>
    </cfRule>
  </conditionalFormatting>
  <conditionalFormatting sqref="E453:P454 F457">
    <cfRule type="cellIs" dxfId="3001" priority="883" stopIfTrue="1" operator="equal">
      <formula>"N/A"</formula>
    </cfRule>
  </conditionalFormatting>
  <conditionalFormatting sqref="L452:N452 I452:J452">
    <cfRule type="cellIs" dxfId="3000" priority="881" stopIfTrue="1" operator="equal">
      <formula>"Operation"</formula>
    </cfRule>
  </conditionalFormatting>
  <conditionalFormatting sqref="K452">
    <cfRule type="cellIs" dxfId="2999" priority="880" stopIfTrue="1" operator="equal">
      <formula>"Operation"</formula>
    </cfRule>
  </conditionalFormatting>
  <conditionalFormatting sqref="G452:H452">
    <cfRule type="cellIs" dxfId="2998" priority="879" stopIfTrue="1" operator="equal">
      <formula>"Operation"</formula>
    </cfRule>
  </conditionalFormatting>
  <conditionalFormatting sqref="H452:P452">
    <cfRule type="cellIs" dxfId="2997" priority="877" stopIfTrue="1" operator="equal">
      <formula>"N/A"</formula>
    </cfRule>
  </conditionalFormatting>
  <conditionalFormatting sqref="O452:P452">
    <cfRule type="cellIs" dxfId="2996" priority="882" stopIfTrue="1" operator="equal">
      <formula>"Operation"</formula>
    </cfRule>
  </conditionalFormatting>
  <conditionalFormatting sqref="D452">
    <cfRule type="cellIs" dxfId="2995" priority="878" stopIfTrue="1" operator="equal">
      <formula>"Total"</formula>
    </cfRule>
  </conditionalFormatting>
  <conditionalFormatting sqref="G458:H458">
    <cfRule type="cellIs" dxfId="2994" priority="876" stopIfTrue="1" operator="equal">
      <formula>"Operation"</formula>
    </cfRule>
  </conditionalFormatting>
  <conditionalFormatting sqref="H458:P458">
    <cfRule type="cellIs" dxfId="2993" priority="875" stopIfTrue="1" operator="equal">
      <formula>"N/A"</formula>
    </cfRule>
  </conditionalFormatting>
  <conditionalFormatting sqref="E452">
    <cfRule type="cellIs" dxfId="2992" priority="874" stopIfTrue="1" operator="equal">
      <formula>"Operation"</formula>
    </cfRule>
  </conditionalFormatting>
  <conditionalFormatting sqref="E452">
    <cfRule type="cellIs" dxfId="2991" priority="873" stopIfTrue="1" operator="equal">
      <formula>"N/A"</formula>
    </cfRule>
  </conditionalFormatting>
  <conditionalFormatting sqref="F452">
    <cfRule type="cellIs" dxfId="2990" priority="872" stopIfTrue="1" operator="equal">
      <formula>"Operation"</formula>
    </cfRule>
  </conditionalFormatting>
  <conditionalFormatting sqref="F452">
    <cfRule type="cellIs" dxfId="2989" priority="871" stopIfTrue="1" operator="equal">
      <formula>"N/A"</formula>
    </cfRule>
  </conditionalFormatting>
  <conditionalFormatting sqref="D455:D456">
    <cfRule type="cellIs" dxfId="2988" priority="870" stopIfTrue="1" operator="equal">
      <formula>"Total"</formula>
    </cfRule>
  </conditionalFormatting>
  <conditionalFormatting sqref="E455:P456">
    <cfRule type="cellIs" dxfId="2987" priority="869" stopIfTrue="1" operator="equal">
      <formula>"Operation"</formula>
    </cfRule>
  </conditionalFormatting>
  <conditionalFormatting sqref="E455:P456">
    <cfRule type="cellIs" dxfId="2986" priority="868" stopIfTrue="1" operator="equal">
      <formula>"N/A"</formula>
    </cfRule>
  </conditionalFormatting>
  <conditionalFormatting sqref="H462:P462 E463:F463 E462">
    <cfRule type="cellIs" dxfId="2985" priority="867" stopIfTrue="1" operator="equal">
      <formula>"N/A"</formula>
    </cfRule>
  </conditionalFormatting>
  <conditionalFormatting sqref="G462:P462 E463:F463 E462">
    <cfRule type="cellIs" dxfId="2984" priority="866" stopIfTrue="1" operator="equal">
      <formula>"Operation"</formula>
    </cfRule>
  </conditionalFormatting>
  <conditionalFormatting sqref="D459:D463">
    <cfRule type="cellIs" dxfId="2983" priority="865" stopIfTrue="1" operator="equal">
      <formula>"Total"</formula>
    </cfRule>
  </conditionalFormatting>
  <conditionalFormatting sqref="I463:P463 E460:P460 E461 G461:P461 F461:F462">
    <cfRule type="cellIs" dxfId="2982" priority="864" stopIfTrue="1" operator="equal">
      <formula>"Operation"</formula>
    </cfRule>
  </conditionalFormatting>
  <conditionalFormatting sqref="E460:P460 E461 G461:P461 F461:F462">
    <cfRule type="cellIs" dxfId="2981" priority="863" stopIfTrue="1" operator="equal">
      <formula>"N/A"</formula>
    </cfRule>
  </conditionalFormatting>
  <conditionalFormatting sqref="L459:N459 I459:J459">
    <cfRule type="cellIs" dxfId="2980" priority="861" stopIfTrue="1" operator="equal">
      <formula>"Operation"</formula>
    </cfRule>
  </conditionalFormatting>
  <conditionalFormatting sqref="K459">
    <cfRule type="cellIs" dxfId="2979" priority="860" stopIfTrue="1" operator="equal">
      <formula>"Operation"</formula>
    </cfRule>
  </conditionalFormatting>
  <conditionalFormatting sqref="G459:H459">
    <cfRule type="cellIs" dxfId="2978" priority="859" stopIfTrue="1" operator="equal">
      <formula>"Operation"</formula>
    </cfRule>
  </conditionalFormatting>
  <conditionalFormatting sqref="H459:P459">
    <cfRule type="cellIs" dxfId="2977" priority="857" stopIfTrue="1" operator="equal">
      <formula>"N/A"</formula>
    </cfRule>
  </conditionalFormatting>
  <conditionalFormatting sqref="O459:P459">
    <cfRule type="cellIs" dxfId="2976" priority="862" stopIfTrue="1" operator="equal">
      <formula>"Operation"</formula>
    </cfRule>
  </conditionalFormatting>
  <conditionalFormatting sqref="D459">
    <cfRule type="cellIs" dxfId="2975" priority="858" stopIfTrue="1" operator="equal">
      <formula>"Total"</formula>
    </cfRule>
  </conditionalFormatting>
  <conditionalFormatting sqref="G463:H463">
    <cfRule type="cellIs" dxfId="2974" priority="856" stopIfTrue="1" operator="equal">
      <formula>"Operation"</formula>
    </cfRule>
  </conditionalFormatting>
  <conditionalFormatting sqref="H463:P463">
    <cfRule type="cellIs" dxfId="2973" priority="855" stopIfTrue="1" operator="equal">
      <formula>"N/A"</formula>
    </cfRule>
  </conditionalFormatting>
  <conditionalFormatting sqref="E459">
    <cfRule type="cellIs" dxfId="2972" priority="854" stopIfTrue="1" operator="equal">
      <formula>"Operation"</formula>
    </cfRule>
  </conditionalFormatting>
  <conditionalFormatting sqref="E459">
    <cfRule type="cellIs" dxfId="2971" priority="853" stopIfTrue="1" operator="equal">
      <formula>"N/A"</formula>
    </cfRule>
  </conditionalFormatting>
  <conditionalFormatting sqref="F459">
    <cfRule type="cellIs" dxfId="2970" priority="852" stopIfTrue="1" operator="equal">
      <formula>"Operation"</formula>
    </cfRule>
  </conditionalFormatting>
  <conditionalFormatting sqref="F459">
    <cfRule type="cellIs" dxfId="2969" priority="851" stopIfTrue="1" operator="equal">
      <formula>"N/A"</formula>
    </cfRule>
  </conditionalFormatting>
  <conditionalFormatting sqref="I472:P472 G470:P471 E470:F472 E465:P468">
    <cfRule type="cellIs" dxfId="2968" priority="850" stopIfTrue="1" operator="equal">
      <formula>"Operation"</formula>
    </cfRule>
  </conditionalFormatting>
  <conditionalFormatting sqref="D464:D472">
    <cfRule type="cellIs" dxfId="2967" priority="849" stopIfTrue="1" operator="equal">
      <formula>"Total"</formula>
    </cfRule>
  </conditionalFormatting>
  <conditionalFormatting sqref="H470:P471 E470:F472 E465:P468">
    <cfRule type="cellIs" dxfId="2966" priority="848" stopIfTrue="1" operator="equal">
      <formula>"N/A"</formula>
    </cfRule>
  </conditionalFormatting>
  <conditionalFormatting sqref="L464:N464 I464:J464">
    <cfRule type="cellIs" dxfId="2965" priority="846" stopIfTrue="1" operator="equal">
      <formula>"Operation"</formula>
    </cfRule>
  </conditionalFormatting>
  <conditionalFormatting sqref="K464">
    <cfRule type="cellIs" dxfId="2964" priority="845" stopIfTrue="1" operator="equal">
      <formula>"Operation"</formula>
    </cfRule>
  </conditionalFormatting>
  <conditionalFormatting sqref="G464:H464">
    <cfRule type="cellIs" dxfId="2963" priority="844" stopIfTrue="1" operator="equal">
      <formula>"Operation"</formula>
    </cfRule>
  </conditionalFormatting>
  <conditionalFormatting sqref="H464:P464">
    <cfRule type="cellIs" dxfId="2962" priority="842" stopIfTrue="1" operator="equal">
      <formula>"N/A"</formula>
    </cfRule>
  </conditionalFormatting>
  <conditionalFormatting sqref="O464:P464">
    <cfRule type="cellIs" dxfId="2961" priority="847" stopIfTrue="1" operator="equal">
      <formula>"Operation"</formula>
    </cfRule>
  </conditionalFormatting>
  <conditionalFormatting sqref="D464">
    <cfRule type="cellIs" dxfId="2960" priority="843" stopIfTrue="1" operator="equal">
      <formula>"Total"</formula>
    </cfRule>
  </conditionalFormatting>
  <conditionalFormatting sqref="G472:H472">
    <cfRule type="cellIs" dxfId="2959" priority="841" stopIfTrue="1" operator="equal">
      <formula>"Operation"</formula>
    </cfRule>
  </conditionalFormatting>
  <conditionalFormatting sqref="H472:P472">
    <cfRule type="cellIs" dxfId="2958" priority="840" stopIfTrue="1" operator="equal">
      <formula>"N/A"</formula>
    </cfRule>
  </conditionalFormatting>
  <conditionalFormatting sqref="E464">
    <cfRule type="cellIs" dxfId="2957" priority="839" stopIfTrue="1" operator="equal">
      <formula>"Operation"</formula>
    </cfRule>
  </conditionalFormatting>
  <conditionalFormatting sqref="E464">
    <cfRule type="cellIs" dxfId="2956" priority="838" stopIfTrue="1" operator="equal">
      <formula>"N/A"</formula>
    </cfRule>
  </conditionalFormatting>
  <conditionalFormatting sqref="K469">
    <cfRule type="cellIs" dxfId="2955" priority="831" stopIfTrue="1" operator="equal">
      <formula>"Operation"</formula>
    </cfRule>
  </conditionalFormatting>
  <conditionalFormatting sqref="I469:K469">
    <cfRule type="cellIs" dxfId="2954" priority="830" stopIfTrue="1" operator="equal">
      <formula>"N/A"</formula>
    </cfRule>
  </conditionalFormatting>
  <conditionalFormatting sqref="M469:N469">
    <cfRule type="cellIs" dxfId="2953" priority="837" stopIfTrue="1" operator="equal">
      <formula>"Operation"</formula>
    </cfRule>
  </conditionalFormatting>
  <conditionalFormatting sqref="G469:H469 L469">
    <cfRule type="cellIs" dxfId="2952" priority="836" stopIfTrue="1" operator="equal">
      <formula>"Operation"</formula>
    </cfRule>
  </conditionalFormatting>
  <conditionalFormatting sqref="G469:H469 L469:N469">
    <cfRule type="cellIs" dxfId="2951" priority="835" stopIfTrue="1" operator="equal">
      <formula>"N/A"</formula>
    </cfRule>
  </conditionalFormatting>
  <conditionalFormatting sqref="O469:P469">
    <cfRule type="cellIs" dxfId="2950" priority="833" stopIfTrue="1" operator="equal">
      <formula>"N/A"</formula>
    </cfRule>
  </conditionalFormatting>
  <conditionalFormatting sqref="O469:P469">
    <cfRule type="cellIs" dxfId="2949" priority="834" stopIfTrue="1" operator="equal">
      <formula>"Operation"</formula>
    </cfRule>
  </conditionalFormatting>
  <conditionalFormatting sqref="I469:J469">
    <cfRule type="cellIs" dxfId="2948" priority="832" stopIfTrue="1" operator="equal">
      <formula>"Operation"</formula>
    </cfRule>
  </conditionalFormatting>
  <conditionalFormatting sqref="D469">
    <cfRule type="cellIs" dxfId="2947" priority="829" stopIfTrue="1" operator="equal">
      <formula>"Total"</formula>
    </cfRule>
  </conditionalFormatting>
  <conditionalFormatting sqref="E469">
    <cfRule type="cellIs" dxfId="2946" priority="828" stopIfTrue="1" operator="equal">
      <formula>"Operation"</formula>
    </cfRule>
  </conditionalFormatting>
  <conditionalFormatting sqref="E469">
    <cfRule type="cellIs" dxfId="2945" priority="827" stopIfTrue="1" operator="equal">
      <formula>"N/A"</formula>
    </cfRule>
  </conditionalFormatting>
  <conditionalFormatting sqref="F464">
    <cfRule type="cellIs" dxfId="2944" priority="826" stopIfTrue="1" operator="equal">
      <formula>"Operation"</formula>
    </cfRule>
  </conditionalFormatting>
  <conditionalFormatting sqref="F464">
    <cfRule type="cellIs" dxfId="2943" priority="825" stopIfTrue="1" operator="equal">
      <formula>"N/A"</formula>
    </cfRule>
  </conditionalFormatting>
  <conditionalFormatting sqref="F469">
    <cfRule type="cellIs" dxfId="2942" priority="824" stopIfTrue="1" operator="equal">
      <formula>"Operation"</formula>
    </cfRule>
  </conditionalFormatting>
  <conditionalFormatting sqref="F469">
    <cfRule type="cellIs" dxfId="2941" priority="823" stopIfTrue="1" operator="equal">
      <formula>"N/A"</formula>
    </cfRule>
  </conditionalFormatting>
  <conditionalFormatting sqref="I481:P481 G479:P480 E479:F481 E474:P477">
    <cfRule type="cellIs" dxfId="2940" priority="822" stopIfTrue="1" operator="equal">
      <formula>"Operation"</formula>
    </cfRule>
  </conditionalFormatting>
  <conditionalFormatting sqref="D473:D481">
    <cfRule type="cellIs" dxfId="2939" priority="821" stopIfTrue="1" operator="equal">
      <formula>"Total"</formula>
    </cfRule>
  </conditionalFormatting>
  <conditionalFormatting sqref="H479:P480 E479:F481 E474:P477">
    <cfRule type="cellIs" dxfId="2938" priority="820" stopIfTrue="1" operator="equal">
      <formula>"N/A"</formula>
    </cfRule>
  </conditionalFormatting>
  <conditionalFormatting sqref="L473:N473 I473:J473">
    <cfRule type="cellIs" dxfId="2937" priority="818" stopIfTrue="1" operator="equal">
      <formula>"Operation"</formula>
    </cfRule>
  </conditionalFormatting>
  <conditionalFormatting sqref="K473">
    <cfRule type="cellIs" dxfId="2936" priority="817" stopIfTrue="1" operator="equal">
      <formula>"Operation"</formula>
    </cfRule>
  </conditionalFormatting>
  <conditionalFormatting sqref="G473:H473">
    <cfRule type="cellIs" dxfId="2935" priority="816" stopIfTrue="1" operator="equal">
      <formula>"Operation"</formula>
    </cfRule>
  </conditionalFormatting>
  <conditionalFormatting sqref="H473:P473">
    <cfRule type="cellIs" dxfId="2934" priority="814" stopIfTrue="1" operator="equal">
      <formula>"N/A"</formula>
    </cfRule>
  </conditionalFormatting>
  <conditionalFormatting sqref="O473:P473">
    <cfRule type="cellIs" dxfId="2933" priority="819" stopIfTrue="1" operator="equal">
      <formula>"Operation"</formula>
    </cfRule>
  </conditionalFormatting>
  <conditionalFormatting sqref="D473">
    <cfRule type="cellIs" dxfId="2932" priority="815" stopIfTrue="1" operator="equal">
      <formula>"Total"</formula>
    </cfRule>
  </conditionalFormatting>
  <conditionalFormatting sqref="G481:H481">
    <cfRule type="cellIs" dxfId="2931" priority="813" stopIfTrue="1" operator="equal">
      <formula>"Operation"</formula>
    </cfRule>
  </conditionalFormatting>
  <conditionalFormatting sqref="H481:P481">
    <cfRule type="cellIs" dxfId="2930" priority="812" stopIfTrue="1" operator="equal">
      <formula>"N/A"</formula>
    </cfRule>
  </conditionalFormatting>
  <conditionalFormatting sqref="E473">
    <cfRule type="cellIs" dxfId="2929" priority="811" stopIfTrue="1" operator="equal">
      <formula>"Operation"</formula>
    </cfRule>
  </conditionalFormatting>
  <conditionalFormatting sqref="E473">
    <cfRule type="cellIs" dxfId="2928" priority="810" stopIfTrue="1" operator="equal">
      <formula>"N/A"</formula>
    </cfRule>
  </conditionalFormatting>
  <conditionalFormatting sqref="K478">
    <cfRule type="cellIs" dxfId="2927" priority="803" stopIfTrue="1" operator="equal">
      <formula>"Operation"</formula>
    </cfRule>
  </conditionalFormatting>
  <conditionalFormatting sqref="I478:K478">
    <cfRule type="cellIs" dxfId="2926" priority="802" stopIfTrue="1" operator="equal">
      <formula>"N/A"</formula>
    </cfRule>
  </conditionalFormatting>
  <conditionalFormatting sqref="M478:N478">
    <cfRule type="cellIs" dxfId="2925" priority="809" stopIfTrue="1" operator="equal">
      <formula>"Operation"</formula>
    </cfRule>
  </conditionalFormatting>
  <conditionalFormatting sqref="G478:H478 L478">
    <cfRule type="cellIs" dxfId="2924" priority="808" stopIfTrue="1" operator="equal">
      <formula>"Operation"</formula>
    </cfRule>
  </conditionalFormatting>
  <conditionalFormatting sqref="G478:H478 L478:N478">
    <cfRule type="cellIs" dxfId="2923" priority="807" stopIfTrue="1" operator="equal">
      <formula>"N/A"</formula>
    </cfRule>
  </conditionalFormatting>
  <conditionalFormatting sqref="O478:P478">
    <cfRule type="cellIs" dxfId="2922" priority="805" stopIfTrue="1" operator="equal">
      <formula>"N/A"</formula>
    </cfRule>
  </conditionalFormatting>
  <conditionalFormatting sqref="O478:P478">
    <cfRule type="cellIs" dxfId="2921" priority="806" stopIfTrue="1" operator="equal">
      <formula>"Operation"</formula>
    </cfRule>
  </conditionalFormatting>
  <conditionalFormatting sqref="I478:J478">
    <cfRule type="cellIs" dxfId="2920" priority="804" stopIfTrue="1" operator="equal">
      <formula>"Operation"</formula>
    </cfRule>
  </conditionalFormatting>
  <conditionalFormatting sqref="D478">
    <cfRule type="cellIs" dxfId="2919" priority="801" stopIfTrue="1" operator="equal">
      <formula>"Total"</formula>
    </cfRule>
  </conditionalFormatting>
  <conditionalFormatting sqref="E478">
    <cfRule type="cellIs" dxfId="2918" priority="800" stopIfTrue="1" operator="equal">
      <formula>"Operation"</formula>
    </cfRule>
  </conditionalFormatting>
  <conditionalFormatting sqref="E478">
    <cfRule type="cellIs" dxfId="2917" priority="799" stopIfTrue="1" operator="equal">
      <formula>"N/A"</formula>
    </cfRule>
  </conditionalFormatting>
  <conditionalFormatting sqref="F473">
    <cfRule type="cellIs" dxfId="2916" priority="798" stopIfTrue="1" operator="equal">
      <formula>"Operation"</formula>
    </cfRule>
  </conditionalFormatting>
  <conditionalFormatting sqref="F473">
    <cfRule type="cellIs" dxfId="2915" priority="797" stopIfTrue="1" operator="equal">
      <formula>"N/A"</formula>
    </cfRule>
  </conditionalFormatting>
  <conditionalFormatting sqref="F478">
    <cfRule type="cellIs" dxfId="2914" priority="796" stopIfTrue="1" operator="equal">
      <formula>"Operation"</formula>
    </cfRule>
  </conditionalFormatting>
  <conditionalFormatting sqref="F478">
    <cfRule type="cellIs" dxfId="2913" priority="795" stopIfTrue="1" operator="equal">
      <formula>"N/A"</formula>
    </cfRule>
  </conditionalFormatting>
  <conditionalFormatting sqref="H485:P485 E486:F486 E485">
    <cfRule type="cellIs" dxfId="2912" priority="794" stopIfTrue="1" operator="equal">
      <formula>"N/A"</formula>
    </cfRule>
  </conditionalFormatting>
  <conditionalFormatting sqref="G485:P485 E486:F486 E485">
    <cfRule type="cellIs" dxfId="2911" priority="793" stopIfTrue="1" operator="equal">
      <formula>"Operation"</formula>
    </cfRule>
  </conditionalFormatting>
  <conditionalFormatting sqref="D482:D486">
    <cfRule type="cellIs" dxfId="2910" priority="792" stopIfTrue="1" operator="equal">
      <formula>"Total"</formula>
    </cfRule>
  </conditionalFormatting>
  <conditionalFormatting sqref="I486:P486 E483:P483 E484 G484:P484 F484:F485">
    <cfRule type="cellIs" dxfId="2909" priority="791" stopIfTrue="1" operator="equal">
      <formula>"Operation"</formula>
    </cfRule>
  </conditionalFormatting>
  <conditionalFormatting sqref="E483:P483 E484 G484:P484 F484:F485">
    <cfRule type="cellIs" dxfId="2908" priority="790" stopIfTrue="1" operator="equal">
      <formula>"N/A"</formula>
    </cfRule>
  </conditionalFormatting>
  <conditionalFormatting sqref="L482:N482 I482:J482">
    <cfRule type="cellIs" dxfId="2907" priority="788" stopIfTrue="1" operator="equal">
      <formula>"Operation"</formula>
    </cfRule>
  </conditionalFormatting>
  <conditionalFormatting sqref="K482">
    <cfRule type="cellIs" dxfId="2906" priority="787" stopIfTrue="1" operator="equal">
      <formula>"Operation"</formula>
    </cfRule>
  </conditionalFormatting>
  <conditionalFormatting sqref="G482:H482">
    <cfRule type="cellIs" dxfId="2905" priority="786" stopIfTrue="1" operator="equal">
      <formula>"Operation"</formula>
    </cfRule>
  </conditionalFormatting>
  <conditionalFormatting sqref="H482:P482">
    <cfRule type="cellIs" dxfId="2904" priority="784" stopIfTrue="1" operator="equal">
      <formula>"N/A"</formula>
    </cfRule>
  </conditionalFormatting>
  <conditionalFormatting sqref="O482:P482">
    <cfRule type="cellIs" dxfId="2903" priority="789" stopIfTrue="1" operator="equal">
      <formula>"Operation"</formula>
    </cfRule>
  </conditionalFormatting>
  <conditionalFormatting sqref="D482">
    <cfRule type="cellIs" dxfId="2902" priority="785" stopIfTrue="1" operator="equal">
      <formula>"Total"</formula>
    </cfRule>
  </conditionalFormatting>
  <conditionalFormatting sqref="G486:H486">
    <cfRule type="cellIs" dxfId="2901" priority="783" stopIfTrue="1" operator="equal">
      <formula>"Operation"</formula>
    </cfRule>
  </conditionalFormatting>
  <conditionalFormatting sqref="H486:P486">
    <cfRule type="cellIs" dxfId="2900" priority="782" stopIfTrue="1" operator="equal">
      <formula>"N/A"</formula>
    </cfRule>
  </conditionalFormatting>
  <conditionalFormatting sqref="E482">
    <cfRule type="cellIs" dxfId="2899" priority="781" stopIfTrue="1" operator="equal">
      <formula>"Operation"</formula>
    </cfRule>
  </conditionalFormatting>
  <conditionalFormatting sqref="E482">
    <cfRule type="cellIs" dxfId="2898" priority="780" stopIfTrue="1" operator="equal">
      <formula>"N/A"</formula>
    </cfRule>
  </conditionalFormatting>
  <conditionalFormatting sqref="F482">
    <cfRule type="cellIs" dxfId="2897" priority="779" stopIfTrue="1" operator="equal">
      <formula>"Operation"</formula>
    </cfRule>
  </conditionalFormatting>
  <conditionalFormatting sqref="F482">
    <cfRule type="cellIs" dxfId="2896" priority="778" stopIfTrue="1" operator="equal">
      <formula>"N/A"</formula>
    </cfRule>
  </conditionalFormatting>
  <conditionalFormatting sqref="B489:P496 H518:P518 E519:F519 E518">
    <cfRule type="cellIs" dxfId="2895" priority="775" stopIfTrue="1" operator="equal">
      <formula>"N/A"</formula>
    </cfRule>
  </conditionalFormatting>
  <conditionalFormatting sqref="D489:D496">
    <cfRule type="cellIs" dxfId="2894" priority="774" stopIfTrue="1" operator="equal">
      <formula>"Total"</formula>
    </cfRule>
    <cfRule type="cellIs" dxfId="2893" priority="776" stopIfTrue="1" operator="equal">
      <formula>"Operation"</formula>
    </cfRule>
  </conditionalFormatting>
  <conditionalFormatting sqref="D489:D496 G518:P518 E519:F519 E518">
    <cfRule type="cellIs" dxfId="2892" priority="773" stopIfTrue="1" operator="equal">
      <formula>"Operation"</formula>
    </cfRule>
  </conditionalFormatting>
  <conditionalFormatting sqref="D515:D519">
    <cfRule type="cellIs" dxfId="2891" priority="772" stopIfTrue="1" operator="equal">
      <formula>"Total"</formula>
    </cfRule>
  </conditionalFormatting>
  <conditionalFormatting sqref="I519:P519 E516:P516 E517 G517:P517 F517:F518">
    <cfRule type="cellIs" dxfId="2890" priority="771" stopIfTrue="1" operator="equal">
      <formula>"Operation"</formula>
    </cfRule>
  </conditionalFormatting>
  <conditionalFormatting sqref="E516:P516 E517 G517:P517 F517:F518">
    <cfRule type="cellIs" dxfId="2889" priority="770" stopIfTrue="1" operator="equal">
      <formula>"N/A"</formula>
    </cfRule>
  </conditionalFormatting>
  <conditionalFormatting sqref="L515:N515 I515:J515">
    <cfRule type="cellIs" dxfId="2888" priority="768" stopIfTrue="1" operator="equal">
      <formula>"Operation"</formula>
    </cfRule>
  </conditionalFormatting>
  <conditionalFormatting sqref="K515">
    <cfRule type="cellIs" dxfId="2887" priority="767" stopIfTrue="1" operator="equal">
      <formula>"Operation"</formula>
    </cfRule>
  </conditionalFormatting>
  <conditionalFormatting sqref="G515:H515">
    <cfRule type="cellIs" dxfId="2886" priority="766" stopIfTrue="1" operator="equal">
      <formula>"Operation"</formula>
    </cfRule>
  </conditionalFormatting>
  <conditionalFormatting sqref="H515:P515">
    <cfRule type="cellIs" dxfId="2885" priority="764" stopIfTrue="1" operator="equal">
      <formula>"N/A"</formula>
    </cfRule>
  </conditionalFormatting>
  <conditionalFormatting sqref="O515:P515">
    <cfRule type="cellIs" dxfId="2884" priority="769" stopIfTrue="1" operator="equal">
      <formula>"Operation"</formula>
    </cfRule>
  </conditionalFormatting>
  <conditionalFormatting sqref="D515">
    <cfRule type="cellIs" dxfId="2883" priority="765" stopIfTrue="1" operator="equal">
      <formula>"Total"</formula>
    </cfRule>
  </conditionalFormatting>
  <conditionalFormatting sqref="G519:H519">
    <cfRule type="cellIs" dxfId="2882" priority="763" stopIfTrue="1" operator="equal">
      <formula>"Operation"</formula>
    </cfRule>
  </conditionalFormatting>
  <conditionalFormatting sqref="H519:P519">
    <cfRule type="cellIs" dxfId="2881" priority="762" stopIfTrue="1" operator="equal">
      <formula>"N/A"</formula>
    </cfRule>
  </conditionalFormatting>
  <conditionalFormatting sqref="E515">
    <cfRule type="cellIs" dxfId="2880" priority="761" stopIfTrue="1" operator="equal">
      <formula>"Operation"</formula>
    </cfRule>
  </conditionalFormatting>
  <conditionalFormatting sqref="E515">
    <cfRule type="cellIs" dxfId="2879" priority="760" stopIfTrue="1" operator="equal">
      <formula>"N/A"</formula>
    </cfRule>
  </conditionalFormatting>
  <conditionalFormatting sqref="F515">
    <cfRule type="cellIs" dxfId="2878" priority="759" stopIfTrue="1" operator="equal">
      <formula>"Operation"</formula>
    </cfRule>
  </conditionalFormatting>
  <conditionalFormatting sqref="F515">
    <cfRule type="cellIs" dxfId="2877" priority="758" stopIfTrue="1" operator="equal">
      <formula>"N/A"</formula>
    </cfRule>
  </conditionalFormatting>
  <conditionalFormatting sqref="I505:P505 G503:P504 E503:F505 E498:P501">
    <cfRule type="cellIs" dxfId="2876" priority="757" stopIfTrue="1" operator="equal">
      <formula>"Operation"</formula>
    </cfRule>
  </conditionalFormatting>
  <conditionalFormatting sqref="D497:D505">
    <cfRule type="cellIs" dxfId="2875" priority="756" stopIfTrue="1" operator="equal">
      <formula>"Total"</formula>
    </cfRule>
  </conditionalFormatting>
  <conditionalFormatting sqref="H503:P504 E503:F505 E498:P501">
    <cfRule type="cellIs" dxfId="2874" priority="755" stopIfTrue="1" operator="equal">
      <formula>"N/A"</formula>
    </cfRule>
  </conditionalFormatting>
  <conditionalFormatting sqref="L497:N497 I497:J497">
    <cfRule type="cellIs" dxfId="2873" priority="753" stopIfTrue="1" operator="equal">
      <formula>"Operation"</formula>
    </cfRule>
  </conditionalFormatting>
  <conditionalFormatting sqref="K497">
    <cfRule type="cellIs" dxfId="2872" priority="752" stopIfTrue="1" operator="equal">
      <formula>"Operation"</formula>
    </cfRule>
  </conditionalFormatting>
  <conditionalFormatting sqref="G497:H497">
    <cfRule type="cellIs" dxfId="2871" priority="751" stopIfTrue="1" operator="equal">
      <formula>"Operation"</formula>
    </cfRule>
  </conditionalFormatting>
  <conditionalFormatting sqref="H497:P497">
    <cfRule type="cellIs" dxfId="2870" priority="749" stopIfTrue="1" operator="equal">
      <formula>"N/A"</formula>
    </cfRule>
  </conditionalFormatting>
  <conditionalFormatting sqref="O497:P497">
    <cfRule type="cellIs" dxfId="2869" priority="754" stopIfTrue="1" operator="equal">
      <formula>"Operation"</formula>
    </cfRule>
  </conditionalFormatting>
  <conditionalFormatting sqref="D497">
    <cfRule type="cellIs" dxfId="2868" priority="750" stopIfTrue="1" operator="equal">
      <formula>"Total"</formula>
    </cfRule>
  </conditionalFormatting>
  <conditionalFormatting sqref="G505:H505">
    <cfRule type="cellIs" dxfId="2867" priority="748" stopIfTrue="1" operator="equal">
      <formula>"Operation"</formula>
    </cfRule>
  </conditionalFormatting>
  <conditionalFormatting sqref="H505:P505">
    <cfRule type="cellIs" dxfId="2866" priority="747" stopIfTrue="1" operator="equal">
      <formula>"N/A"</formula>
    </cfRule>
  </conditionalFormatting>
  <conditionalFormatting sqref="E497">
    <cfRule type="cellIs" dxfId="2865" priority="746" stopIfTrue="1" operator="equal">
      <formula>"Operation"</formula>
    </cfRule>
  </conditionalFormatting>
  <conditionalFormatting sqref="E497">
    <cfRule type="cellIs" dxfId="2864" priority="745" stopIfTrue="1" operator="equal">
      <formula>"N/A"</formula>
    </cfRule>
  </conditionalFormatting>
  <conditionalFormatting sqref="K502">
    <cfRule type="cellIs" dxfId="2863" priority="738" stopIfTrue="1" operator="equal">
      <formula>"Operation"</formula>
    </cfRule>
  </conditionalFormatting>
  <conditionalFormatting sqref="I502:K502">
    <cfRule type="cellIs" dxfId="2862" priority="737" stopIfTrue="1" operator="equal">
      <formula>"N/A"</formula>
    </cfRule>
  </conditionalFormatting>
  <conditionalFormatting sqref="M502:N502">
    <cfRule type="cellIs" dxfId="2861" priority="744" stopIfTrue="1" operator="equal">
      <formula>"Operation"</formula>
    </cfRule>
  </conditionalFormatting>
  <conditionalFormatting sqref="G502:H502 L502">
    <cfRule type="cellIs" dxfId="2860" priority="743" stopIfTrue="1" operator="equal">
      <formula>"Operation"</formula>
    </cfRule>
  </conditionalFormatting>
  <conditionalFormatting sqref="G502:H502 L502:N502">
    <cfRule type="cellIs" dxfId="2859" priority="742" stopIfTrue="1" operator="equal">
      <formula>"N/A"</formula>
    </cfRule>
  </conditionalFormatting>
  <conditionalFormatting sqref="O502:P502">
    <cfRule type="cellIs" dxfId="2858" priority="740" stopIfTrue="1" operator="equal">
      <formula>"N/A"</formula>
    </cfRule>
  </conditionalFormatting>
  <conditionalFormatting sqref="O502:P502">
    <cfRule type="cellIs" dxfId="2857" priority="741" stopIfTrue="1" operator="equal">
      <formula>"Operation"</formula>
    </cfRule>
  </conditionalFormatting>
  <conditionalFormatting sqref="I502:J502">
    <cfRule type="cellIs" dxfId="2856" priority="739" stopIfTrue="1" operator="equal">
      <formula>"Operation"</formula>
    </cfRule>
  </conditionalFormatting>
  <conditionalFormatting sqref="D502">
    <cfRule type="cellIs" dxfId="2855" priority="736" stopIfTrue="1" operator="equal">
      <formula>"Total"</formula>
    </cfRule>
  </conditionalFormatting>
  <conditionalFormatting sqref="E502">
    <cfRule type="cellIs" dxfId="2854" priority="735" stopIfTrue="1" operator="equal">
      <formula>"Operation"</formula>
    </cfRule>
  </conditionalFormatting>
  <conditionalFormatting sqref="E502">
    <cfRule type="cellIs" dxfId="2853" priority="734" stopIfTrue="1" operator="equal">
      <formula>"N/A"</formula>
    </cfRule>
  </conditionalFormatting>
  <conditionalFormatting sqref="F497">
    <cfRule type="cellIs" dxfId="2852" priority="733" stopIfTrue="1" operator="equal">
      <formula>"Operation"</formula>
    </cfRule>
  </conditionalFormatting>
  <conditionalFormatting sqref="F497">
    <cfRule type="cellIs" dxfId="2851" priority="732" stopIfTrue="1" operator="equal">
      <formula>"N/A"</formula>
    </cfRule>
  </conditionalFormatting>
  <conditionalFormatting sqref="F502">
    <cfRule type="cellIs" dxfId="2850" priority="731" stopIfTrue="1" operator="equal">
      <formula>"Operation"</formula>
    </cfRule>
  </conditionalFormatting>
  <conditionalFormatting sqref="F502">
    <cfRule type="cellIs" dxfId="2849" priority="730" stopIfTrue="1" operator="equal">
      <formula>"N/A"</formula>
    </cfRule>
  </conditionalFormatting>
  <conditionalFormatting sqref="H525:P525 E526:F526 E525">
    <cfRule type="cellIs" dxfId="2848" priority="729" stopIfTrue="1" operator="equal">
      <formula>"N/A"</formula>
    </cfRule>
  </conditionalFormatting>
  <conditionalFormatting sqref="G525:P525 E526:F526 E525">
    <cfRule type="cellIs" dxfId="2847" priority="728" stopIfTrue="1" operator="equal">
      <formula>"Operation"</formula>
    </cfRule>
  </conditionalFormatting>
  <conditionalFormatting sqref="D520:D522 D525:D526">
    <cfRule type="cellIs" dxfId="2846" priority="727" stopIfTrue="1" operator="equal">
      <formula>"Total"</formula>
    </cfRule>
  </conditionalFormatting>
  <conditionalFormatting sqref="I526:P526 E521:P522 F525">
    <cfRule type="cellIs" dxfId="2845" priority="726" stopIfTrue="1" operator="equal">
      <formula>"Operation"</formula>
    </cfRule>
  </conditionalFormatting>
  <conditionalFormatting sqref="E521:P522 F525">
    <cfRule type="cellIs" dxfId="2844" priority="725" stopIfTrue="1" operator="equal">
      <formula>"N/A"</formula>
    </cfRule>
  </conditionalFormatting>
  <conditionalFormatting sqref="L520:N520 I520:J520">
    <cfRule type="cellIs" dxfId="2843" priority="723" stopIfTrue="1" operator="equal">
      <formula>"Operation"</formula>
    </cfRule>
  </conditionalFormatting>
  <conditionalFormatting sqref="K520">
    <cfRule type="cellIs" dxfId="2842" priority="722" stopIfTrue="1" operator="equal">
      <formula>"Operation"</formula>
    </cfRule>
  </conditionalFormatting>
  <conditionalFormatting sqref="G520:H520">
    <cfRule type="cellIs" dxfId="2841" priority="721" stopIfTrue="1" operator="equal">
      <formula>"Operation"</formula>
    </cfRule>
  </conditionalFormatting>
  <conditionalFormatting sqref="H520:P520">
    <cfRule type="cellIs" dxfId="2840" priority="719" stopIfTrue="1" operator="equal">
      <formula>"N/A"</formula>
    </cfRule>
  </conditionalFormatting>
  <conditionalFormatting sqref="O520:P520">
    <cfRule type="cellIs" dxfId="2839" priority="724" stopIfTrue="1" operator="equal">
      <formula>"Operation"</formula>
    </cfRule>
  </conditionalFormatting>
  <conditionalFormatting sqref="D520">
    <cfRule type="cellIs" dxfId="2838" priority="720" stopIfTrue="1" operator="equal">
      <formula>"Total"</formula>
    </cfRule>
  </conditionalFormatting>
  <conditionalFormatting sqref="G526:H526">
    <cfRule type="cellIs" dxfId="2837" priority="718" stopIfTrue="1" operator="equal">
      <formula>"Operation"</formula>
    </cfRule>
  </conditionalFormatting>
  <conditionalFormatting sqref="H526:P526">
    <cfRule type="cellIs" dxfId="2836" priority="717" stopIfTrue="1" operator="equal">
      <formula>"N/A"</formula>
    </cfRule>
  </conditionalFormatting>
  <conditionalFormatting sqref="E520">
    <cfRule type="cellIs" dxfId="2835" priority="716" stopIfTrue="1" operator="equal">
      <formula>"Operation"</formula>
    </cfRule>
  </conditionalFormatting>
  <conditionalFormatting sqref="E520">
    <cfRule type="cellIs" dxfId="2834" priority="715" stopIfTrue="1" operator="equal">
      <formula>"N/A"</formula>
    </cfRule>
  </conditionalFormatting>
  <conditionalFormatting sqref="F520">
    <cfRule type="cellIs" dxfId="2833" priority="714" stopIfTrue="1" operator="equal">
      <formula>"Operation"</formula>
    </cfRule>
  </conditionalFormatting>
  <conditionalFormatting sqref="F520">
    <cfRule type="cellIs" dxfId="2832" priority="713" stopIfTrue="1" operator="equal">
      <formula>"N/A"</formula>
    </cfRule>
  </conditionalFormatting>
  <conditionalFormatting sqref="D523:D524">
    <cfRule type="cellIs" dxfId="2831" priority="712" stopIfTrue="1" operator="equal">
      <formula>"Total"</formula>
    </cfRule>
  </conditionalFormatting>
  <conditionalFormatting sqref="E523:P524">
    <cfRule type="cellIs" dxfId="2830" priority="711" stopIfTrue="1" operator="equal">
      <formula>"Operation"</formula>
    </cfRule>
  </conditionalFormatting>
  <conditionalFormatting sqref="E523:P524">
    <cfRule type="cellIs" dxfId="2829" priority="710" stopIfTrue="1" operator="equal">
      <formula>"N/A"</formula>
    </cfRule>
  </conditionalFormatting>
  <conditionalFormatting sqref="H532:P532 E533:F533 E532">
    <cfRule type="cellIs" dxfId="2828" priority="709" stopIfTrue="1" operator="equal">
      <formula>"N/A"</formula>
    </cfRule>
  </conditionalFormatting>
  <conditionalFormatting sqref="G532:P532 E533:F533 E532">
    <cfRule type="cellIs" dxfId="2827" priority="708" stopIfTrue="1" operator="equal">
      <formula>"Operation"</formula>
    </cfRule>
  </conditionalFormatting>
  <conditionalFormatting sqref="D527:D529 D532:D533">
    <cfRule type="cellIs" dxfId="2826" priority="707" stopIfTrue="1" operator="equal">
      <formula>"Total"</formula>
    </cfRule>
  </conditionalFormatting>
  <conditionalFormatting sqref="I533:P533 E528:P529 F532">
    <cfRule type="cellIs" dxfId="2825" priority="706" stopIfTrue="1" operator="equal">
      <formula>"Operation"</formula>
    </cfRule>
  </conditionalFormatting>
  <conditionalFormatting sqref="E528:P529 F532">
    <cfRule type="cellIs" dxfId="2824" priority="705" stopIfTrue="1" operator="equal">
      <formula>"N/A"</formula>
    </cfRule>
  </conditionalFormatting>
  <conditionalFormatting sqref="L527:N527 I527:J527">
    <cfRule type="cellIs" dxfId="2823" priority="703" stopIfTrue="1" operator="equal">
      <formula>"Operation"</formula>
    </cfRule>
  </conditionalFormatting>
  <conditionalFormatting sqref="K527">
    <cfRule type="cellIs" dxfId="2822" priority="702" stopIfTrue="1" operator="equal">
      <formula>"Operation"</formula>
    </cfRule>
  </conditionalFormatting>
  <conditionalFormatting sqref="G527:H527">
    <cfRule type="cellIs" dxfId="2821" priority="701" stopIfTrue="1" operator="equal">
      <formula>"Operation"</formula>
    </cfRule>
  </conditionalFormatting>
  <conditionalFormatting sqref="H527:P527">
    <cfRule type="cellIs" dxfId="2820" priority="699" stopIfTrue="1" operator="equal">
      <formula>"N/A"</formula>
    </cfRule>
  </conditionalFormatting>
  <conditionalFormatting sqref="O527:P527">
    <cfRule type="cellIs" dxfId="2819" priority="704" stopIfTrue="1" operator="equal">
      <formula>"Operation"</formula>
    </cfRule>
  </conditionalFormatting>
  <conditionalFormatting sqref="D527">
    <cfRule type="cellIs" dxfId="2818" priority="700" stopIfTrue="1" operator="equal">
      <formula>"Total"</formula>
    </cfRule>
  </conditionalFormatting>
  <conditionalFormatting sqref="G533:H533">
    <cfRule type="cellIs" dxfId="2817" priority="698" stopIfTrue="1" operator="equal">
      <formula>"Operation"</formula>
    </cfRule>
  </conditionalFormatting>
  <conditionalFormatting sqref="H533:P533">
    <cfRule type="cellIs" dxfId="2816" priority="697" stopIfTrue="1" operator="equal">
      <formula>"N/A"</formula>
    </cfRule>
  </conditionalFormatting>
  <conditionalFormatting sqref="E527">
    <cfRule type="cellIs" dxfId="2815" priority="696" stopIfTrue="1" operator="equal">
      <formula>"Operation"</formula>
    </cfRule>
  </conditionalFormatting>
  <conditionalFormatting sqref="E527">
    <cfRule type="cellIs" dxfId="2814" priority="695" stopIfTrue="1" operator="equal">
      <formula>"N/A"</formula>
    </cfRule>
  </conditionalFormatting>
  <conditionalFormatting sqref="F527">
    <cfRule type="cellIs" dxfId="2813" priority="694" stopIfTrue="1" operator="equal">
      <formula>"Operation"</formula>
    </cfRule>
  </conditionalFormatting>
  <conditionalFormatting sqref="F527">
    <cfRule type="cellIs" dxfId="2812" priority="693" stopIfTrue="1" operator="equal">
      <formula>"N/A"</formula>
    </cfRule>
  </conditionalFormatting>
  <conditionalFormatting sqref="D530:D531">
    <cfRule type="cellIs" dxfId="2811" priority="692" stopIfTrue="1" operator="equal">
      <formula>"Total"</formula>
    </cfRule>
  </conditionalFormatting>
  <conditionalFormatting sqref="E530:P531">
    <cfRule type="cellIs" dxfId="2810" priority="691" stopIfTrue="1" operator="equal">
      <formula>"Operation"</formula>
    </cfRule>
  </conditionalFormatting>
  <conditionalFormatting sqref="E530:P531">
    <cfRule type="cellIs" dxfId="2809" priority="690" stopIfTrue="1" operator="equal">
      <formula>"N/A"</formula>
    </cfRule>
  </conditionalFormatting>
  <conditionalFormatting sqref="H537:P537 E538:F538 E537">
    <cfRule type="cellIs" dxfId="2808" priority="689" stopIfTrue="1" operator="equal">
      <formula>"N/A"</formula>
    </cfRule>
  </conditionalFormatting>
  <conditionalFormatting sqref="G537:P537 E538:F538 E537">
    <cfRule type="cellIs" dxfId="2807" priority="688" stopIfTrue="1" operator="equal">
      <formula>"Operation"</formula>
    </cfRule>
  </conditionalFormatting>
  <conditionalFormatting sqref="D534:D538">
    <cfRule type="cellIs" dxfId="2806" priority="687" stopIfTrue="1" operator="equal">
      <formula>"Total"</formula>
    </cfRule>
  </conditionalFormatting>
  <conditionalFormatting sqref="I538:P538 E535:P535 E536 G536:P536 F536:F537">
    <cfRule type="cellIs" dxfId="2805" priority="686" stopIfTrue="1" operator="equal">
      <formula>"Operation"</formula>
    </cfRule>
  </conditionalFormatting>
  <conditionalFormatting sqref="E535:P535 E536 G536:P536 F536:F537">
    <cfRule type="cellIs" dxfId="2804" priority="685" stopIfTrue="1" operator="equal">
      <formula>"N/A"</formula>
    </cfRule>
  </conditionalFormatting>
  <conditionalFormatting sqref="L534:N534 I534:J534">
    <cfRule type="cellIs" dxfId="2803" priority="683" stopIfTrue="1" operator="equal">
      <formula>"Operation"</formula>
    </cfRule>
  </conditionalFormatting>
  <conditionalFormatting sqref="K534">
    <cfRule type="cellIs" dxfId="2802" priority="682" stopIfTrue="1" operator="equal">
      <formula>"Operation"</formula>
    </cfRule>
  </conditionalFormatting>
  <conditionalFormatting sqref="G534:H534">
    <cfRule type="cellIs" dxfId="2801" priority="681" stopIfTrue="1" operator="equal">
      <formula>"Operation"</formula>
    </cfRule>
  </conditionalFormatting>
  <conditionalFormatting sqref="H534:P534">
    <cfRule type="cellIs" dxfId="2800" priority="679" stopIfTrue="1" operator="equal">
      <formula>"N/A"</formula>
    </cfRule>
  </conditionalFormatting>
  <conditionalFormatting sqref="O534:P534">
    <cfRule type="cellIs" dxfId="2799" priority="684" stopIfTrue="1" operator="equal">
      <formula>"Operation"</formula>
    </cfRule>
  </conditionalFormatting>
  <conditionalFormatting sqref="D534">
    <cfRule type="cellIs" dxfId="2798" priority="680" stopIfTrue="1" operator="equal">
      <formula>"Total"</formula>
    </cfRule>
  </conditionalFormatting>
  <conditionalFormatting sqref="G538:H538">
    <cfRule type="cellIs" dxfId="2797" priority="678" stopIfTrue="1" operator="equal">
      <formula>"Operation"</formula>
    </cfRule>
  </conditionalFormatting>
  <conditionalFormatting sqref="H538:P538">
    <cfRule type="cellIs" dxfId="2796" priority="677" stopIfTrue="1" operator="equal">
      <formula>"N/A"</formula>
    </cfRule>
  </conditionalFormatting>
  <conditionalFormatting sqref="E534">
    <cfRule type="cellIs" dxfId="2795" priority="676" stopIfTrue="1" operator="equal">
      <formula>"Operation"</formula>
    </cfRule>
  </conditionalFormatting>
  <conditionalFormatting sqref="E534">
    <cfRule type="cellIs" dxfId="2794" priority="675" stopIfTrue="1" operator="equal">
      <formula>"N/A"</formula>
    </cfRule>
  </conditionalFormatting>
  <conditionalFormatting sqref="F534">
    <cfRule type="cellIs" dxfId="2793" priority="674" stopIfTrue="1" operator="equal">
      <formula>"Operation"</formula>
    </cfRule>
  </conditionalFormatting>
  <conditionalFormatting sqref="F534">
    <cfRule type="cellIs" dxfId="2792" priority="673" stopIfTrue="1" operator="equal">
      <formula>"N/A"</formula>
    </cfRule>
  </conditionalFormatting>
  <conditionalFormatting sqref="I547:P547 G545:P546 E545:F547 E540:P543">
    <cfRule type="cellIs" dxfId="2791" priority="672" stopIfTrue="1" operator="equal">
      <formula>"Operation"</formula>
    </cfRule>
  </conditionalFormatting>
  <conditionalFormatting sqref="D539:D547">
    <cfRule type="cellIs" dxfId="2790" priority="671" stopIfTrue="1" operator="equal">
      <formula>"Total"</formula>
    </cfRule>
  </conditionalFormatting>
  <conditionalFormatting sqref="H545:P546 E545:F547 E540:P543">
    <cfRule type="cellIs" dxfId="2789" priority="670" stopIfTrue="1" operator="equal">
      <formula>"N/A"</formula>
    </cfRule>
  </conditionalFormatting>
  <conditionalFormatting sqref="L539:N539 I539:J539">
    <cfRule type="cellIs" dxfId="2788" priority="668" stopIfTrue="1" operator="equal">
      <formula>"Operation"</formula>
    </cfRule>
  </conditionalFormatting>
  <conditionalFormatting sqref="K539">
    <cfRule type="cellIs" dxfId="2787" priority="667" stopIfTrue="1" operator="equal">
      <formula>"Operation"</formula>
    </cfRule>
  </conditionalFormatting>
  <conditionalFormatting sqref="G539:H539">
    <cfRule type="cellIs" dxfId="2786" priority="666" stopIfTrue="1" operator="equal">
      <formula>"Operation"</formula>
    </cfRule>
  </conditionalFormatting>
  <conditionalFormatting sqref="H539:P539">
    <cfRule type="cellIs" dxfId="2785" priority="664" stopIfTrue="1" operator="equal">
      <formula>"N/A"</formula>
    </cfRule>
  </conditionalFormatting>
  <conditionalFormatting sqref="O539:P539">
    <cfRule type="cellIs" dxfId="2784" priority="669" stopIfTrue="1" operator="equal">
      <formula>"Operation"</formula>
    </cfRule>
  </conditionalFormatting>
  <conditionalFormatting sqref="D539">
    <cfRule type="cellIs" dxfId="2783" priority="665" stopIfTrue="1" operator="equal">
      <formula>"Total"</formula>
    </cfRule>
  </conditionalFormatting>
  <conditionalFormatting sqref="G547:H547">
    <cfRule type="cellIs" dxfId="2782" priority="663" stopIfTrue="1" operator="equal">
      <formula>"Operation"</formula>
    </cfRule>
  </conditionalFormatting>
  <conditionalFormatting sqref="H547:P547">
    <cfRule type="cellIs" dxfId="2781" priority="662" stopIfTrue="1" operator="equal">
      <formula>"N/A"</formula>
    </cfRule>
  </conditionalFormatting>
  <conditionalFormatting sqref="E539">
    <cfRule type="cellIs" dxfId="2780" priority="661" stopIfTrue="1" operator="equal">
      <formula>"Operation"</formula>
    </cfRule>
  </conditionalFormatting>
  <conditionalFormatting sqref="E539">
    <cfRule type="cellIs" dxfId="2779" priority="660" stopIfTrue="1" operator="equal">
      <formula>"N/A"</formula>
    </cfRule>
  </conditionalFormatting>
  <conditionalFormatting sqref="K544">
    <cfRule type="cellIs" dxfId="2778" priority="653" stopIfTrue="1" operator="equal">
      <formula>"Operation"</formula>
    </cfRule>
  </conditionalFormatting>
  <conditionalFormatting sqref="I544:K544">
    <cfRule type="cellIs" dxfId="2777" priority="652" stopIfTrue="1" operator="equal">
      <formula>"N/A"</formula>
    </cfRule>
  </conditionalFormatting>
  <conditionalFormatting sqref="M544:N544">
    <cfRule type="cellIs" dxfId="2776" priority="659" stopIfTrue="1" operator="equal">
      <formula>"Operation"</formula>
    </cfRule>
  </conditionalFormatting>
  <conditionalFormatting sqref="G544:H544 L544">
    <cfRule type="cellIs" dxfId="2775" priority="658" stopIfTrue="1" operator="equal">
      <formula>"Operation"</formula>
    </cfRule>
  </conditionalFormatting>
  <conditionalFormatting sqref="G544:H544 L544:N544">
    <cfRule type="cellIs" dxfId="2774" priority="657" stopIfTrue="1" operator="equal">
      <formula>"N/A"</formula>
    </cfRule>
  </conditionalFormatting>
  <conditionalFormatting sqref="O544:P544">
    <cfRule type="cellIs" dxfId="2773" priority="655" stopIfTrue="1" operator="equal">
      <formula>"N/A"</formula>
    </cfRule>
  </conditionalFormatting>
  <conditionalFormatting sqref="O544:P544">
    <cfRule type="cellIs" dxfId="2772" priority="656" stopIfTrue="1" operator="equal">
      <formula>"Operation"</formula>
    </cfRule>
  </conditionalFormatting>
  <conditionalFormatting sqref="I544:J544">
    <cfRule type="cellIs" dxfId="2771" priority="654" stopIfTrue="1" operator="equal">
      <formula>"Operation"</formula>
    </cfRule>
  </conditionalFormatting>
  <conditionalFormatting sqref="D544">
    <cfRule type="cellIs" dxfId="2770" priority="651" stopIfTrue="1" operator="equal">
      <formula>"Total"</formula>
    </cfRule>
  </conditionalFormatting>
  <conditionalFormatting sqref="E544">
    <cfRule type="cellIs" dxfId="2769" priority="650" stopIfTrue="1" operator="equal">
      <formula>"Operation"</formula>
    </cfRule>
  </conditionalFormatting>
  <conditionalFormatting sqref="E544">
    <cfRule type="cellIs" dxfId="2768" priority="649" stopIfTrue="1" operator="equal">
      <formula>"N/A"</formula>
    </cfRule>
  </conditionalFormatting>
  <conditionalFormatting sqref="F539">
    <cfRule type="cellIs" dxfId="2767" priority="648" stopIfTrue="1" operator="equal">
      <formula>"Operation"</formula>
    </cfRule>
  </conditionalFormatting>
  <conditionalFormatting sqref="F539">
    <cfRule type="cellIs" dxfId="2766" priority="647" stopIfTrue="1" operator="equal">
      <formula>"N/A"</formula>
    </cfRule>
  </conditionalFormatting>
  <conditionalFormatting sqref="F544">
    <cfRule type="cellIs" dxfId="2765" priority="646" stopIfTrue="1" operator="equal">
      <formula>"Operation"</formula>
    </cfRule>
  </conditionalFormatting>
  <conditionalFormatting sqref="F544">
    <cfRule type="cellIs" dxfId="2764" priority="645" stopIfTrue="1" operator="equal">
      <formula>"N/A"</formula>
    </cfRule>
  </conditionalFormatting>
  <conditionalFormatting sqref="I556:P556 G554:P555 E554:F556 E549:P552">
    <cfRule type="cellIs" dxfId="2763" priority="644" stopIfTrue="1" operator="equal">
      <formula>"Operation"</formula>
    </cfRule>
  </conditionalFormatting>
  <conditionalFormatting sqref="D548:D556">
    <cfRule type="cellIs" dxfId="2762" priority="643" stopIfTrue="1" operator="equal">
      <formula>"Total"</formula>
    </cfRule>
  </conditionalFormatting>
  <conditionalFormatting sqref="H554:P555 E554:F556 E549:P552">
    <cfRule type="cellIs" dxfId="2761" priority="642" stopIfTrue="1" operator="equal">
      <formula>"N/A"</formula>
    </cfRule>
  </conditionalFormatting>
  <conditionalFormatting sqref="L548:N548 I548:J548">
    <cfRule type="cellIs" dxfId="2760" priority="640" stopIfTrue="1" operator="equal">
      <formula>"Operation"</formula>
    </cfRule>
  </conditionalFormatting>
  <conditionalFormatting sqref="K548">
    <cfRule type="cellIs" dxfId="2759" priority="639" stopIfTrue="1" operator="equal">
      <formula>"Operation"</formula>
    </cfRule>
  </conditionalFormatting>
  <conditionalFormatting sqref="G548:H548">
    <cfRule type="cellIs" dxfId="2758" priority="638" stopIfTrue="1" operator="equal">
      <formula>"Operation"</formula>
    </cfRule>
  </conditionalFormatting>
  <conditionalFormatting sqref="H548:P548">
    <cfRule type="cellIs" dxfId="2757" priority="636" stopIfTrue="1" operator="equal">
      <formula>"N/A"</formula>
    </cfRule>
  </conditionalFormatting>
  <conditionalFormatting sqref="O548:P548">
    <cfRule type="cellIs" dxfId="2756" priority="641" stopIfTrue="1" operator="equal">
      <formula>"Operation"</formula>
    </cfRule>
  </conditionalFormatting>
  <conditionalFormatting sqref="D548">
    <cfRule type="cellIs" dxfId="2755" priority="637" stopIfTrue="1" operator="equal">
      <formula>"Total"</formula>
    </cfRule>
  </conditionalFormatting>
  <conditionalFormatting sqref="G556:H556">
    <cfRule type="cellIs" dxfId="2754" priority="635" stopIfTrue="1" operator="equal">
      <formula>"Operation"</formula>
    </cfRule>
  </conditionalFormatting>
  <conditionalFormatting sqref="H556:P556">
    <cfRule type="cellIs" dxfId="2753" priority="634" stopIfTrue="1" operator="equal">
      <formula>"N/A"</formula>
    </cfRule>
  </conditionalFormatting>
  <conditionalFormatting sqref="E548">
    <cfRule type="cellIs" dxfId="2752" priority="633" stopIfTrue="1" operator="equal">
      <formula>"Operation"</formula>
    </cfRule>
  </conditionalFormatting>
  <conditionalFormatting sqref="E548">
    <cfRule type="cellIs" dxfId="2751" priority="632" stopIfTrue="1" operator="equal">
      <formula>"N/A"</formula>
    </cfRule>
  </conditionalFormatting>
  <conditionalFormatting sqref="K553">
    <cfRule type="cellIs" dxfId="2750" priority="625" stopIfTrue="1" operator="equal">
      <formula>"Operation"</formula>
    </cfRule>
  </conditionalFormatting>
  <conditionalFormatting sqref="I553:K553">
    <cfRule type="cellIs" dxfId="2749" priority="624" stopIfTrue="1" operator="equal">
      <formula>"N/A"</formula>
    </cfRule>
  </conditionalFormatting>
  <conditionalFormatting sqref="M553:N553">
    <cfRule type="cellIs" dxfId="2748" priority="631" stopIfTrue="1" operator="equal">
      <formula>"Operation"</formula>
    </cfRule>
  </conditionalFormatting>
  <conditionalFormatting sqref="G553:H553 L553">
    <cfRule type="cellIs" dxfId="2747" priority="630" stopIfTrue="1" operator="equal">
      <formula>"Operation"</formula>
    </cfRule>
  </conditionalFormatting>
  <conditionalFormatting sqref="G553:H553 L553:N553">
    <cfRule type="cellIs" dxfId="2746" priority="629" stopIfTrue="1" operator="equal">
      <formula>"N/A"</formula>
    </cfRule>
  </conditionalFormatting>
  <conditionalFormatting sqref="O553:P553">
    <cfRule type="cellIs" dxfId="2745" priority="627" stopIfTrue="1" operator="equal">
      <formula>"N/A"</formula>
    </cfRule>
  </conditionalFormatting>
  <conditionalFormatting sqref="O553:P553">
    <cfRule type="cellIs" dxfId="2744" priority="628" stopIfTrue="1" operator="equal">
      <formula>"Operation"</formula>
    </cfRule>
  </conditionalFormatting>
  <conditionalFormatting sqref="I553:J553">
    <cfRule type="cellIs" dxfId="2743" priority="626" stopIfTrue="1" operator="equal">
      <formula>"Operation"</formula>
    </cfRule>
  </conditionalFormatting>
  <conditionalFormatting sqref="D553">
    <cfRule type="cellIs" dxfId="2742" priority="623" stopIfTrue="1" operator="equal">
      <formula>"Total"</formula>
    </cfRule>
  </conditionalFormatting>
  <conditionalFormatting sqref="E553">
    <cfRule type="cellIs" dxfId="2741" priority="622" stopIfTrue="1" operator="equal">
      <formula>"Operation"</formula>
    </cfRule>
  </conditionalFormatting>
  <conditionalFormatting sqref="E553">
    <cfRule type="cellIs" dxfId="2740" priority="621" stopIfTrue="1" operator="equal">
      <formula>"N/A"</formula>
    </cfRule>
  </conditionalFormatting>
  <conditionalFormatting sqref="F548">
    <cfRule type="cellIs" dxfId="2739" priority="620" stopIfTrue="1" operator="equal">
      <formula>"Operation"</formula>
    </cfRule>
  </conditionalFormatting>
  <conditionalFormatting sqref="F548">
    <cfRule type="cellIs" dxfId="2738" priority="619" stopIfTrue="1" operator="equal">
      <formula>"N/A"</formula>
    </cfRule>
  </conditionalFormatting>
  <conditionalFormatting sqref="F553">
    <cfRule type="cellIs" dxfId="2737" priority="618" stopIfTrue="1" operator="equal">
      <formula>"Operation"</formula>
    </cfRule>
  </conditionalFormatting>
  <conditionalFormatting sqref="F553">
    <cfRule type="cellIs" dxfId="2736" priority="617" stopIfTrue="1" operator="equal">
      <formula>"N/A"</formula>
    </cfRule>
  </conditionalFormatting>
  <conditionalFormatting sqref="H420:P420 E421:F421 E420">
    <cfRule type="cellIs" dxfId="2735" priority="616" stopIfTrue="1" operator="equal">
      <formula>"N/A"</formula>
    </cfRule>
  </conditionalFormatting>
  <conditionalFormatting sqref="G420:P420 E421:F421 E420">
    <cfRule type="cellIs" dxfId="2734" priority="615" stopIfTrue="1" operator="equal">
      <formula>"Operation"</formula>
    </cfRule>
  </conditionalFormatting>
  <conditionalFormatting sqref="D417:D421">
    <cfRule type="cellIs" dxfId="2733" priority="614" stopIfTrue="1" operator="equal">
      <formula>"Total"</formula>
    </cfRule>
  </conditionalFormatting>
  <conditionalFormatting sqref="I421:P421 E418:P418 E419 G419:P419 F419:F420">
    <cfRule type="cellIs" dxfId="2732" priority="613" stopIfTrue="1" operator="equal">
      <formula>"Operation"</formula>
    </cfRule>
  </conditionalFormatting>
  <conditionalFormatting sqref="E418:P418 E419 G419:P419 F419:F420">
    <cfRule type="cellIs" dxfId="2731" priority="612" stopIfTrue="1" operator="equal">
      <formula>"N/A"</formula>
    </cfRule>
  </conditionalFormatting>
  <conditionalFormatting sqref="L417:N417 I417:J417">
    <cfRule type="cellIs" dxfId="2730" priority="610" stopIfTrue="1" operator="equal">
      <formula>"Operation"</formula>
    </cfRule>
  </conditionalFormatting>
  <conditionalFormatting sqref="K417">
    <cfRule type="cellIs" dxfId="2729" priority="609" stopIfTrue="1" operator="equal">
      <formula>"Operation"</formula>
    </cfRule>
  </conditionalFormatting>
  <conditionalFormatting sqref="G417:H417">
    <cfRule type="cellIs" dxfId="2728" priority="608" stopIfTrue="1" operator="equal">
      <formula>"Operation"</formula>
    </cfRule>
  </conditionalFormatting>
  <conditionalFormatting sqref="H417:P417">
    <cfRule type="cellIs" dxfId="2727" priority="606" stopIfTrue="1" operator="equal">
      <formula>"N/A"</formula>
    </cfRule>
  </conditionalFormatting>
  <conditionalFormatting sqref="O417:P417">
    <cfRule type="cellIs" dxfId="2726" priority="611" stopIfTrue="1" operator="equal">
      <formula>"Operation"</formula>
    </cfRule>
  </conditionalFormatting>
  <conditionalFormatting sqref="D417">
    <cfRule type="cellIs" dxfId="2725" priority="607" stopIfTrue="1" operator="equal">
      <formula>"Total"</formula>
    </cfRule>
  </conditionalFormatting>
  <conditionalFormatting sqref="G421:H421">
    <cfRule type="cellIs" dxfId="2724" priority="605" stopIfTrue="1" operator="equal">
      <formula>"Operation"</formula>
    </cfRule>
  </conditionalFormatting>
  <conditionalFormatting sqref="H421:P421">
    <cfRule type="cellIs" dxfId="2723" priority="604" stopIfTrue="1" operator="equal">
      <formula>"N/A"</formula>
    </cfRule>
  </conditionalFormatting>
  <conditionalFormatting sqref="E417">
    <cfRule type="cellIs" dxfId="2722" priority="603" stopIfTrue="1" operator="equal">
      <formula>"Operation"</formula>
    </cfRule>
  </conditionalFormatting>
  <conditionalFormatting sqref="E417">
    <cfRule type="cellIs" dxfId="2721" priority="602" stopIfTrue="1" operator="equal">
      <formula>"N/A"</formula>
    </cfRule>
  </conditionalFormatting>
  <conditionalFormatting sqref="F417">
    <cfRule type="cellIs" dxfId="2720" priority="601" stopIfTrue="1" operator="equal">
      <formula>"Operation"</formula>
    </cfRule>
  </conditionalFormatting>
  <conditionalFormatting sqref="F417">
    <cfRule type="cellIs" dxfId="2719" priority="600" stopIfTrue="1" operator="equal">
      <formula>"N/A"</formula>
    </cfRule>
  </conditionalFormatting>
  <conditionalFormatting sqref="I439:P439 G437:P438 E437:F439 E432:P435">
    <cfRule type="cellIs" dxfId="2718" priority="599" stopIfTrue="1" operator="equal">
      <formula>"Operation"</formula>
    </cfRule>
  </conditionalFormatting>
  <conditionalFormatting sqref="D431:D439">
    <cfRule type="cellIs" dxfId="2717" priority="598" stopIfTrue="1" operator="equal">
      <formula>"Total"</formula>
    </cfRule>
  </conditionalFormatting>
  <conditionalFormatting sqref="H437:P438 E437:F439 E432:P435">
    <cfRule type="cellIs" dxfId="2716" priority="597" stopIfTrue="1" operator="equal">
      <formula>"N/A"</formula>
    </cfRule>
  </conditionalFormatting>
  <conditionalFormatting sqref="L431:N431 I431:J431">
    <cfRule type="cellIs" dxfId="2715" priority="595" stopIfTrue="1" operator="equal">
      <formula>"Operation"</formula>
    </cfRule>
  </conditionalFormatting>
  <conditionalFormatting sqref="K431">
    <cfRule type="cellIs" dxfId="2714" priority="594" stopIfTrue="1" operator="equal">
      <formula>"Operation"</formula>
    </cfRule>
  </conditionalFormatting>
  <conditionalFormatting sqref="G431:H431">
    <cfRule type="cellIs" dxfId="2713" priority="593" stopIfTrue="1" operator="equal">
      <formula>"Operation"</formula>
    </cfRule>
  </conditionalFormatting>
  <conditionalFormatting sqref="H431:P431">
    <cfRule type="cellIs" dxfId="2712" priority="591" stopIfTrue="1" operator="equal">
      <formula>"N/A"</formula>
    </cfRule>
  </conditionalFormatting>
  <conditionalFormatting sqref="O431:P431">
    <cfRule type="cellIs" dxfId="2711" priority="596" stopIfTrue="1" operator="equal">
      <formula>"Operation"</formula>
    </cfRule>
  </conditionalFormatting>
  <conditionalFormatting sqref="D431">
    <cfRule type="cellIs" dxfId="2710" priority="592" stopIfTrue="1" operator="equal">
      <formula>"Total"</formula>
    </cfRule>
  </conditionalFormatting>
  <conditionalFormatting sqref="G439:H439">
    <cfRule type="cellIs" dxfId="2709" priority="590" stopIfTrue="1" operator="equal">
      <formula>"Operation"</formula>
    </cfRule>
  </conditionalFormatting>
  <conditionalFormatting sqref="H439:P439">
    <cfRule type="cellIs" dxfId="2708" priority="589" stopIfTrue="1" operator="equal">
      <formula>"N/A"</formula>
    </cfRule>
  </conditionalFormatting>
  <conditionalFormatting sqref="E431">
    <cfRule type="cellIs" dxfId="2707" priority="588" stopIfTrue="1" operator="equal">
      <formula>"Operation"</formula>
    </cfRule>
  </conditionalFormatting>
  <conditionalFormatting sqref="E431">
    <cfRule type="cellIs" dxfId="2706" priority="587" stopIfTrue="1" operator="equal">
      <formula>"N/A"</formula>
    </cfRule>
  </conditionalFormatting>
  <conditionalFormatting sqref="K436">
    <cfRule type="cellIs" dxfId="2705" priority="580" stopIfTrue="1" operator="equal">
      <formula>"Operation"</formula>
    </cfRule>
  </conditionalFormatting>
  <conditionalFormatting sqref="I436:K436">
    <cfRule type="cellIs" dxfId="2704" priority="579" stopIfTrue="1" operator="equal">
      <formula>"N/A"</formula>
    </cfRule>
  </conditionalFormatting>
  <conditionalFormatting sqref="M436:N436">
    <cfRule type="cellIs" dxfId="2703" priority="586" stopIfTrue="1" operator="equal">
      <formula>"Operation"</formula>
    </cfRule>
  </conditionalFormatting>
  <conditionalFormatting sqref="G436:H436 L436">
    <cfRule type="cellIs" dxfId="2702" priority="585" stopIfTrue="1" operator="equal">
      <formula>"Operation"</formula>
    </cfRule>
  </conditionalFormatting>
  <conditionalFormatting sqref="G436:H436 L436:N436">
    <cfRule type="cellIs" dxfId="2701" priority="584" stopIfTrue="1" operator="equal">
      <formula>"N/A"</formula>
    </cfRule>
  </conditionalFormatting>
  <conditionalFormatting sqref="O436:P436">
    <cfRule type="cellIs" dxfId="2700" priority="582" stopIfTrue="1" operator="equal">
      <formula>"N/A"</formula>
    </cfRule>
  </conditionalFormatting>
  <conditionalFormatting sqref="O436:P436">
    <cfRule type="cellIs" dxfId="2699" priority="583" stopIfTrue="1" operator="equal">
      <formula>"Operation"</formula>
    </cfRule>
  </conditionalFormatting>
  <conditionalFormatting sqref="I436:J436">
    <cfRule type="cellIs" dxfId="2698" priority="581" stopIfTrue="1" operator="equal">
      <formula>"Operation"</formula>
    </cfRule>
  </conditionalFormatting>
  <conditionalFormatting sqref="D436">
    <cfRule type="cellIs" dxfId="2697" priority="578" stopIfTrue="1" operator="equal">
      <formula>"Total"</formula>
    </cfRule>
  </conditionalFormatting>
  <conditionalFormatting sqref="E436">
    <cfRule type="cellIs" dxfId="2696" priority="577" stopIfTrue="1" operator="equal">
      <formula>"Operation"</formula>
    </cfRule>
  </conditionalFormatting>
  <conditionalFormatting sqref="E436">
    <cfRule type="cellIs" dxfId="2695" priority="576" stopIfTrue="1" operator="equal">
      <formula>"N/A"</formula>
    </cfRule>
  </conditionalFormatting>
  <conditionalFormatting sqref="F431">
    <cfRule type="cellIs" dxfId="2694" priority="575" stopIfTrue="1" operator="equal">
      <formula>"Operation"</formula>
    </cfRule>
  </conditionalFormatting>
  <conditionalFormatting sqref="F431">
    <cfRule type="cellIs" dxfId="2693" priority="574" stopIfTrue="1" operator="equal">
      <formula>"N/A"</formula>
    </cfRule>
  </conditionalFormatting>
  <conditionalFormatting sqref="F436">
    <cfRule type="cellIs" dxfId="2692" priority="573" stopIfTrue="1" operator="equal">
      <formula>"Operation"</formula>
    </cfRule>
  </conditionalFormatting>
  <conditionalFormatting sqref="F436">
    <cfRule type="cellIs" dxfId="2691" priority="572" stopIfTrue="1" operator="equal">
      <formula>"N/A"</formula>
    </cfRule>
  </conditionalFormatting>
  <conditionalFormatting sqref="I514:P514 G512:P513 E512:F514 E507:P510">
    <cfRule type="cellIs" dxfId="2690" priority="571" stopIfTrue="1" operator="equal">
      <formula>"Operation"</formula>
    </cfRule>
  </conditionalFormatting>
  <conditionalFormatting sqref="D506:D514">
    <cfRule type="cellIs" dxfId="2689" priority="570" stopIfTrue="1" operator="equal">
      <formula>"Total"</formula>
    </cfRule>
  </conditionalFormatting>
  <conditionalFormatting sqref="H512:P513 E512:F514 E507:P510">
    <cfRule type="cellIs" dxfId="2688" priority="569" stopIfTrue="1" operator="equal">
      <formula>"N/A"</formula>
    </cfRule>
  </conditionalFormatting>
  <conditionalFormatting sqref="L506:N506 I506:J506">
    <cfRule type="cellIs" dxfId="2687" priority="567" stopIfTrue="1" operator="equal">
      <formula>"Operation"</formula>
    </cfRule>
  </conditionalFormatting>
  <conditionalFormatting sqref="K506">
    <cfRule type="cellIs" dxfId="2686" priority="566" stopIfTrue="1" operator="equal">
      <formula>"Operation"</formula>
    </cfRule>
  </conditionalFormatting>
  <conditionalFormatting sqref="G506:H506">
    <cfRule type="cellIs" dxfId="2685" priority="565" stopIfTrue="1" operator="equal">
      <formula>"Operation"</formula>
    </cfRule>
  </conditionalFormatting>
  <conditionalFormatting sqref="H506:P506">
    <cfRule type="cellIs" dxfId="2684" priority="563" stopIfTrue="1" operator="equal">
      <formula>"N/A"</formula>
    </cfRule>
  </conditionalFormatting>
  <conditionalFormatting sqref="O506:P506">
    <cfRule type="cellIs" dxfId="2683" priority="568" stopIfTrue="1" operator="equal">
      <formula>"Operation"</formula>
    </cfRule>
  </conditionalFormatting>
  <conditionalFormatting sqref="D506">
    <cfRule type="cellIs" dxfId="2682" priority="564" stopIfTrue="1" operator="equal">
      <formula>"Total"</formula>
    </cfRule>
  </conditionalFormatting>
  <conditionalFormatting sqref="G514:H514">
    <cfRule type="cellIs" dxfId="2681" priority="562" stopIfTrue="1" operator="equal">
      <formula>"Operation"</formula>
    </cfRule>
  </conditionalFormatting>
  <conditionalFormatting sqref="H514:P514">
    <cfRule type="cellIs" dxfId="2680" priority="561" stopIfTrue="1" operator="equal">
      <formula>"N/A"</formula>
    </cfRule>
  </conditionalFormatting>
  <conditionalFormatting sqref="E506">
    <cfRule type="cellIs" dxfId="2679" priority="560" stopIfTrue="1" operator="equal">
      <formula>"Operation"</formula>
    </cfRule>
  </conditionalFormatting>
  <conditionalFormatting sqref="E506">
    <cfRule type="cellIs" dxfId="2678" priority="559" stopIfTrue="1" operator="equal">
      <formula>"N/A"</formula>
    </cfRule>
  </conditionalFormatting>
  <conditionalFormatting sqref="K511">
    <cfRule type="cellIs" dxfId="2677" priority="552" stopIfTrue="1" operator="equal">
      <formula>"Operation"</formula>
    </cfRule>
  </conditionalFormatting>
  <conditionalFormatting sqref="I511:K511">
    <cfRule type="cellIs" dxfId="2676" priority="551" stopIfTrue="1" operator="equal">
      <formula>"N/A"</formula>
    </cfRule>
  </conditionalFormatting>
  <conditionalFormatting sqref="M511:N511">
    <cfRule type="cellIs" dxfId="2675" priority="558" stopIfTrue="1" operator="equal">
      <formula>"Operation"</formula>
    </cfRule>
  </conditionalFormatting>
  <conditionalFormatting sqref="G511:H511 L511">
    <cfRule type="cellIs" dxfId="2674" priority="557" stopIfTrue="1" operator="equal">
      <formula>"Operation"</formula>
    </cfRule>
  </conditionalFormatting>
  <conditionalFormatting sqref="G511:H511 L511:N511">
    <cfRule type="cellIs" dxfId="2673" priority="556" stopIfTrue="1" operator="equal">
      <formula>"N/A"</formula>
    </cfRule>
  </conditionalFormatting>
  <conditionalFormatting sqref="O511:P511">
    <cfRule type="cellIs" dxfId="2672" priority="554" stopIfTrue="1" operator="equal">
      <formula>"N/A"</formula>
    </cfRule>
  </conditionalFormatting>
  <conditionalFormatting sqref="O511:P511">
    <cfRule type="cellIs" dxfId="2671" priority="555" stopIfTrue="1" operator="equal">
      <formula>"Operation"</formula>
    </cfRule>
  </conditionalFormatting>
  <conditionalFormatting sqref="I511:J511">
    <cfRule type="cellIs" dxfId="2670" priority="553" stopIfTrue="1" operator="equal">
      <formula>"Operation"</formula>
    </cfRule>
  </conditionalFormatting>
  <conditionalFormatting sqref="D511">
    <cfRule type="cellIs" dxfId="2669" priority="550" stopIfTrue="1" operator="equal">
      <formula>"Total"</formula>
    </cfRule>
  </conditionalFormatting>
  <conditionalFormatting sqref="E511">
    <cfRule type="cellIs" dxfId="2668" priority="549" stopIfTrue="1" operator="equal">
      <formula>"Operation"</formula>
    </cfRule>
  </conditionalFormatting>
  <conditionalFormatting sqref="E511">
    <cfRule type="cellIs" dxfId="2667" priority="548" stopIfTrue="1" operator="equal">
      <formula>"N/A"</formula>
    </cfRule>
  </conditionalFormatting>
  <conditionalFormatting sqref="F506">
    <cfRule type="cellIs" dxfId="2666" priority="547" stopIfTrue="1" operator="equal">
      <formula>"Operation"</formula>
    </cfRule>
  </conditionalFormatting>
  <conditionalFormatting sqref="F506">
    <cfRule type="cellIs" dxfId="2665" priority="546" stopIfTrue="1" operator="equal">
      <formula>"N/A"</formula>
    </cfRule>
  </conditionalFormatting>
  <conditionalFormatting sqref="F511">
    <cfRule type="cellIs" dxfId="2664" priority="545" stopIfTrue="1" operator="equal">
      <formula>"Operation"</formula>
    </cfRule>
  </conditionalFormatting>
  <conditionalFormatting sqref="F511">
    <cfRule type="cellIs" dxfId="2663" priority="544" stopIfTrue="1" operator="equal">
      <formula>"N/A"</formula>
    </cfRule>
  </conditionalFormatting>
  <conditionalFormatting sqref="B559:P565 H578:P578 E579:F579 E578">
    <cfRule type="cellIs" dxfId="2662" priority="541" stopIfTrue="1" operator="equal">
      <formula>"N/A"</formula>
    </cfRule>
  </conditionalFormatting>
  <conditionalFormatting sqref="D559:D565">
    <cfRule type="cellIs" dxfId="2661" priority="540" stopIfTrue="1" operator="equal">
      <formula>"Total"</formula>
    </cfRule>
    <cfRule type="cellIs" dxfId="2660" priority="542" stopIfTrue="1" operator="equal">
      <formula>"Operation"</formula>
    </cfRule>
  </conditionalFormatting>
  <conditionalFormatting sqref="D559:D565 G578:P578 E579:F579 E578">
    <cfRule type="cellIs" dxfId="2659" priority="539" stopIfTrue="1" operator="equal">
      <formula>"Operation"</formula>
    </cfRule>
  </conditionalFormatting>
  <conditionalFormatting sqref="D575:D579">
    <cfRule type="cellIs" dxfId="2658" priority="538" stopIfTrue="1" operator="equal">
      <formula>"Total"</formula>
    </cfRule>
  </conditionalFormatting>
  <conditionalFormatting sqref="I579:P579 E576:P576 E577 G577:P577 F577:F578">
    <cfRule type="cellIs" dxfId="2657" priority="537" stopIfTrue="1" operator="equal">
      <formula>"Operation"</formula>
    </cfRule>
  </conditionalFormatting>
  <conditionalFormatting sqref="E576:P576 E577 G577:P577 F577:F578">
    <cfRule type="cellIs" dxfId="2656" priority="536" stopIfTrue="1" operator="equal">
      <formula>"N/A"</formula>
    </cfRule>
  </conditionalFormatting>
  <conditionalFormatting sqref="L575:N575 I575:J575">
    <cfRule type="cellIs" dxfId="2655" priority="534" stopIfTrue="1" operator="equal">
      <formula>"Operation"</formula>
    </cfRule>
  </conditionalFormatting>
  <conditionalFormatting sqref="K575">
    <cfRule type="cellIs" dxfId="2654" priority="533" stopIfTrue="1" operator="equal">
      <formula>"Operation"</formula>
    </cfRule>
  </conditionalFormatting>
  <conditionalFormatting sqref="G575:H575">
    <cfRule type="cellIs" dxfId="2653" priority="532" stopIfTrue="1" operator="equal">
      <formula>"Operation"</formula>
    </cfRule>
  </conditionalFormatting>
  <conditionalFormatting sqref="H575:P575">
    <cfRule type="cellIs" dxfId="2652" priority="530" stopIfTrue="1" operator="equal">
      <formula>"N/A"</formula>
    </cfRule>
  </conditionalFormatting>
  <conditionalFormatting sqref="O575:P575">
    <cfRule type="cellIs" dxfId="2651" priority="535" stopIfTrue="1" operator="equal">
      <formula>"Operation"</formula>
    </cfRule>
  </conditionalFormatting>
  <conditionalFormatting sqref="D575">
    <cfRule type="cellIs" dxfId="2650" priority="531" stopIfTrue="1" operator="equal">
      <formula>"Total"</formula>
    </cfRule>
  </conditionalFormatting>
  <conditionalFormatting sqref="G579:H579">
    <cfRule type="cellIs" dxfId="2649" priority="529" stopIfTrue="1" operator="equal">
      <formula>"Operation"</formula>
    </cfRule>
  </conditionalFormatting>
  <conditionalFormatting sqref="H579:P579">
    <cfRule type="cellIs" dxfId="2648" priority="528" stopIfTrue="1" operator="equal">
      <formula>"N/A"</formula>
    </cfRule>
  </conditionalFormatting>
  <conditionalFormatting sqref="E575">
    <cfRule type="cellIs" dxfId="2647" priority="527" stopIfTrue="1" operator="equal">
      <formula>"Operation"</formula>
    </cfRule>
  </conditionalFormatting>
  <conditionalFormatting sqref="E575">
    <cfRule type="cellIs" dxfId="2646" priority="526" stopIfTrue="1" operator="equal">
      <formula>"N/A"</formula>
    </cfRule>
  </conditionalFormatting>
  <conditionalFormatting sqref="F575">
    <cfRule type="cellIs" dxfId="2645" priority="525" stopIfTrue="1" operator="equal">
      <formula>"Operation"</formula>
    </cfRule>
  </conditionalFormatting>
  <conditionalFormatting sqref="F575">
    <cfRule type="cellIs" dxfId="2644" priority="524" stopIfTrue="1" operator="equal">
      <formula>"N/A"</formula>
    </cfRule>
  </conditionalFormatting>
  <conditionalFormatting sqref="H585:P585 E586:F586 E585">
    <cfRule type="cellIs" dxfId="2643" priority="523" stopIfTrue="1" operator="equal">
      <formula>"N/A"</formula>
    </cfRule>
  </conditionalFormatting>
  <conditionalFormatting sqref="G585:P585 E586:F586 E585">
    <cfRule type="cellIs" dxfId="2642" priority="522" stopIfTrue="1" operator="equal">
      <formula>"Operation"</formula>
    </cfRule>
  </conditionalFormatting>
  <conditionalFormatting sqref="D580:D582 D585:D586">
    <cfRule type="cellIs" dxfId="2641" priority="521" stopIfTrue="1" operator="equal">
      <formula>"Total"</formula>
    </cfRule>
  </conditionalFormatting>
  <conditionalFormatting sqref="I586:P586 E581:P582 F585">
    <cfRule type="cellIs" dxfId="2640" priority="520" stopIfTrue="1" operator="equal">
      <formula>"Operation"</formula>
    </cfRule>
  </conditionalFormatting>
  <conditionalFormatting sqref="E581:P582 F585">
    <cfRule type="cellIs" dxfId="2639" priority="519" stopIfTrue="1" operator="equal">
      <formula>"N/A"</formula>
    </cfRule>
  </conditionalFormatting>
  <conditionalFormatting sqref="L580:N580 I580:J580">
    <cfRule type="cellIs" dxfId="2638" priority="517" stopIfTrue="1" operator="equal">
      <formula>"Operation"</formula>
    </cfRule>
  </conditionalFormatting>
  <conditionalFormatting sqref="K580">
    <cfRule type="cellIs" dxfId="2637" priority="516" stopIfTrue="1" operator="equal">
      <formula>"Operation"</formula>
    </cfRule>
  </conditionalFormatting>
  <conditionalFormatting sqref="G580:H580">
    <cfRule type="cellIs" dxfId="2636" priority="515" stopIfTrue="1" operator="equal">
      <formula>"Operation"</formula>
    </cfRule>
  </conditionalFormatting>
  <conditionalFormatting sqref="H580:P580">
    <cfRule type="cellIs" dxfId="2635" priority="513" stopIfTrue="1" operator="equal">
      <formula>"N/A"</formula>
    </cfRule>
  </conditionalFormatting>
  <conditionalFormatting sqref="O580:P580">
    <cfRule type="cellIs" dxfId="2634" priority="518" stopIfTrue="1" operator="equal">
      <formula>"Operation"</formula>
    </cfRule>
  </conditionalFormatting>
  <conditionalFormatting sqref="D580">
    <cfRule type="cellIs" dxfId="2633" priority="514" stopIfTrue="1" operator="equal">
      <formula>"Total"</formula>
    </cfRule>
  </conditionalFormatting>
  <conditionalFormatting sqref="G586:H586">
    <cfRule type="cellIs" dxfId="2632" priority="512" stopIfTrue="1" operator="equal">
      <formula>"Operation"</formula>
    </cfRule>
  </conditionalFormatting>
  <conditionalFormatting sqref="H586:P586">
    <cfRule type="cellIs" dxfId="2631" priority="511" stopIfTrue="1" operator="equal">
      <formula>"N/A"</formula>
    </cfRule>
  </conditionalFormatting>
  <conditionalFormatting sqref="E580">
    <cfRule type="cellIs" dxfId="2630" priority="510" stopIfTrue="1" operator="equal">
      <formula>"Operation"</formula>
    </cfRule>
  </conditionalFormatting>
  <conditionalFormatting sqref="E580">
    <cfRule type="cellIs" dxfId="2629" priority="509" stopIfTrue="1" operator="equal">
      <formula>"N/A"</formula>
    </cfRule>
  </conditionalFormatting>
  <conditionalFormatting sqref="F580">
    <cfRule type="cellIs" dxfId="2628" priority="508" stopIfTrue="1" operator="equal">
      <formula>"Operation"</formula>
    </cfRule>
  </conditionalFormatting>
  <conditionalFormatting sqref="F580">
    <cfRule type="cellIs" dxfId="2627" priority="507" stopIfTrue="1" operator="equal">
      <formula>"N/A"</formula>
    </cfRule>
  </conditionalFormatting>
  <conditionalFormatting sqref="D583:D584">
    <cfRule type="cellIs" dxfId="2626" priority="506" stopIfTrue="1" operator="equal">
      <formula>"Total"</formula>
    </cfRule>
  </conditionalFormatting>
  <conditionalFormatting sqref="E583:P584">
    <cfRule type="cellIs" dxfId="2625" priority="505" stopIfTrue="1" operator="equal">
      <formula>"Operation"</formula>
    </cfRule>
  </conditionalFormatting>
  <conditionalFormatting sqref="E583:P584">
    <cfRule type="cellIs" dxfId="2624" priority="504" stopIfTrue="1" operator="equal">
      <formula>"N/A"</formula>
    </cfRule>
  </conditionalFormatting>
  <conditionalFormatting sqref="H592:P592 E593:F593 E592">
    <cfRule type="cellIs" dxfId="2623" priority="503" stopIfTrue="1" operator="equal">
      <formula>"N/A"</formula>
    </cfRule>
  </conditionalFormatting>
  <conditionalFormatting sqref="G592:P592 E593:F593 E592">
    <cfRule type="cellIs" dxfId="2622" priority="502" stopIfTrue="1" operator="equal">
      <formula>"Operation"</formula>
    </cfRule>
  </conditionalFormatting>
  <conditionalFormatting sqref="D587:D589 D592:D593">
    <cfRule type="cellIs" dxfId="2621" priority="501" stopIfTrue="1" operator="equal">
      <formula>"Total"</formula>
    </cfRule>
  </conditionalFormatting>
  <conditionalFormatting sqref="I593:P593 E588:P589 F592">
    <cfRule type="cellIs" dxfId="2620" priority="500" stopIfTrue="1" operator="equal">
      <formula>"Operation"</formula>
    </cfRule>
  </conditionalFormatting>
  <conditionalFormatting sqref="E588:P589 F592">
    <cfRule type="cellIs" dxfId="2619" priority="499" stopIfTrue="1" operator="equal">
      <formula>"N/A"</formula>
    </cfRule>
  </conditionalFormatting>
  <conditionalFormatting sqref="L587:N587 I587:J587">
    <cfRule type="cellIs" dxfId="2618" priority="497" stopIfTrue="1" operator="equal">
      <formula>"Operation"</formula>
    </cfRule>
  </conditionalFormatting>
  <conditionalFormatting sqref="K587">
    <cfRule type="cellIs" dxfId="2617" priority="496" stopIfTrue="1" operator="equal">
      <formula>"Operation"</formula>
    </cfRule>
  </conditionalFormatting>
  <conditionalFormatting sqref="G587:H587">
    <cfRule type="cellIs" dxfId="2616" priority="495" stopIfTrue="1" operator="equal">
      <formula>"Operation"</formula>
    </cfRule>
  </conditionalFormatting>
  <conditionalFormatting sqref="H587:P587">
    <cfRule type="cellIs" dxfId="2615" priority="493" stopIfTrue="1" operator="equal">
      <formula>"N/A"</formula>
    </cfRule>
  </conditionalFormatting>
  <conditionalFormatting sqref="O587:P587">
    <cfRule type="cellIs" dxfId="2614" priority="498" stopIfTrue="1" operator="equal">
      <formula>"Operation"</formula>
    </cfRule>
  </conditionalFormatting>
  <conditionalFormatting sqref="D587">
    <cfRule type="cellIs" dxfId="2613" priority="494" stopIfTrue="1" operator="equal">
      <formula>"Total"</formula>
    </cfRule>
  </conditionalFormatting>
  <conditionalFormatting sqref="G593:H593">
    <cfRule type="cellIs" dxfId="2612" priority="492" stopIfTrue="1" operator="equal">
      <formula>"Operation"</formula>
    </cfRule>
  </conditionalFormatting>
  <conditionalFormatting sqref="H593:P593">
    <cfRule type="cellIs" dxfId="2611" priority="491" stopIfTrue="1" operator="equal">
      <formula>"N/A"</formula>
    </cfRule>
  </conditionalFormatting>
  <conditionalFormatting sqref="E587">
    <cfRule type="cellIs" dxfId="2610" priority="490" stopIfTrue="1" operator="equal">
      <formula>"Operation"</formula>
    </cfRule>
  </conditionalFormatting>
  <conditionalFormatting sqref="E587">
    <cfRule type="cellIs" dxfId="2609" priority="489" stopIfTrue="1" operator="equal">
      <formula>"N/A"</formula>
    </cfRule>
  </conditionalFormatting>
  <conditionalFormatting sqref="F587">
    <cfRule type="cellIs" dxfId="2608" priority="488" stopIfTrue="1" operator="equal">
      <formula>"Operation"</formula>
    </cfRule>
  </conditionalFormatting>
  <conditionalFormatting sqref="F587">
    <cfRule type="cellIs" dxfId="2607" priority="487" stopIfTrue="1" operator="equal">
      <formula>"N/A"</formula>
    </cfRule>
  </conditionalFormatting>
  <conditionalFormatting sqref="D590:D591">
    <cfRule type="cellIs" dxfId="2606" priority="486" stopIfTrue="1" operator="equal">
      <formula>"Total"</formula>
    </cfRule>
  </conditionalFormatting>
  <conditionalFormatting sqref="E590:P591">
    <cfRule type="cellIs" dxfId="2605" priority="485" stopIfTrue="1" operator="equal">
      <formula>"Operation"</formula>
    </cfRule>
  </conditionalFormatting>
  <conditionalFormatting sqref="E590:P591">
    <cfRule type="cellIs" dxfId="2604" priority="484" stopIfTrue="1" operator="equal">
      <formula>"N/A"</formula>
    </cfRule>
  </conditionalFormatting>
  <conditionalFormatting sqref="H597:P597 E598:F598 E597">
    <cfRule type="cellIs" dxfId="2603" priority="483" stopIfTrue="1" operator="equal">
      <formula>"N/A"</formula>
    </cfRule>
  </conditionalFormatting>
  <conditionalFormatting sqref="G597:P597 E598:F598 E597">
    <cfRule type="cellIs" dxfId="2602" priority="482" stopIfTrue="1" operator="equal">
      <formula>"Operation"</formula>
    </cfRule>
  </conditionalFormatting>
  <conditionalFormatting sqref="D594:D598">
    <cfRule type="cellIs" dxfId="2601" priority="481" stopIfTrue="1" operator="equal">
      <formula>"Total"</formula>
    </cfRule>
  </conditionalFormatting>
  <conditionalFormatting sqref="I598:P598 E595:P595 E596 G596:P596 F596:F597">
    <cfRule type="cellIs" dxfId="2600" priority="480" stopIfTrue="1" operator="equal">
      <formula>"Operation"</formula>
    </cfRule>
  </conditionalFormatting>
  <conditionalFormatting sqref="E595:P595 E596 G596:P596 F596:F597">
    <cfRule type="cellIs" dxfId="2599" priority="479" stopIfTrue="1" operator="equal">
      <formula>"N/A"</formula>
    </cfRule>
  </conditionalFormatting>
  <conditionalFormatting sqref="L594:N594 I594:J594">
    <cfRule type="cellIs" dxfId="2598" priority="477" stopIfTrue="1" operator="equal">
      <formula>"Operation"</formula>
    </cfRule>
  </conditionalFormatting>
  <conditionalFormatting sqref="K594">
    <cfRule type="cellIs" dxfId="2597" priority="476" stopIfTrue="1" operator="equal">
      <formula>"Operation"</formula>
    </cfRule>
  </conditionalFormatting>
  <conditionalFormatting sqref="G594:H594">
    <cfRule type="cellIs" dxfId="2596" priority="475" stopIfTrue="1" operator="equal">
      <formula>"Operation"</formula>
    </cfRule>
  </conditionalFormatting>
  <conditionalFormatting sqref="H594:P594">
    <cfRule type="cellIs" dxfId="2595" priority="473" stopIfTrue="1" operator="equal">
      <formula>"N/A"</formula>
    </cfRule>
  </conditionalFormatting>
  <conditionalFormatting sqref="O594:P594">
    <cfRule type="cellIs" dxfId="2594" priority="478" stopIfTrue="1" operator="equal">
      <formula>"Operation"</formula>
    </cfRule>
  </conditionalFormatting>
  <conditionalFormatting sqref="D594">
    <cfRule type="cellIs" dxfId="2593" priority="474" stopIfTrue="1" operator="equal">
      <formula>"Total"</formula>
    </cfRule>
  </conditionalFormatting>
  <conditionalFormatting sqref="G598:H598">
    <cfRule type="cellIs" dxfId="2592" priority="472" stopIfTrue="1" operator="equal">
      <formula>"Operation"</formula>
    </cfRule>
  </conditionalFormatting>
  <conditionalFormatting sqref="H598:P598">
    <cfRule type="cellIs" dxfId="2591" priority="471" stopIfTrue="1" operator="equal">
      <formula>"N/A"</formula>
    </cfRule>
  </conditionalFormatting>
  <conditionalFormatting sqref="E594">
    <cfRule type="cellIs" dxfId="2590" priority="470" stopIfTrue="1" operator="equal">
      <formula>"Operation"</formula>
    </cfRule>
  </conditionalFormatting>
  <conditionalFormatting sqref="E594">
    <cfRule type="cellIs" dxfId="2589" priority="469" stopIfTrue="1" operator="equal">
      <formula>"N/A"</formula>
    </cfRule>
  </conditionalFormatting>
  <conditionalFormatting sqref="F594">
    <cfRule type="cellIs" dxfId="2588" priority="468" stopIfTrue="1" operator="equal">
      <formula>"Operation"</formula>
    </cfRule>
  </conditionalFormatting>
  <conditionalFormatting sqref="F594">
    <cfRule type="cellIs" dxfId="2587" priority="467" stopIfTrue="1" operator="equal">
      <formula>"N/A"</formula>
    </cfRule>
  </conditionalFormatting>
  <conditionalFormatting sqref="I607:P607 G605:P606 E605:F607 E600:P603">
    <cfRule type="cellIs" dxfId="2586" priority="466" stopIfTrue="1" operator="equal">
      <formula>"Operation"</formula>
    </cfRule>
  </conditionalFormatting>
  <conditionalFormatting sqref="D599:D607">
    <cfRule type="cellIs" dxfId="2585" priority="465" stopIfTrue="1" operator="equal">
      <formula>"Total"</formula>
    </cfRule>
  </conditionalFormatting>
  <conditionalFormatting sqref="H605:P606 E605:F607 E600:P603">
    <cfRule type="cellIs" dxfId="2584" priority="464" stopIfTrue="1" operator="equal">
      <formula>"N/A"</formula>
    </cfRule>
  </conditionalFormatting>
  <conditionalFormatting sqref="L599:N599 I599:J599">
    <cfRule type="cellIs" dxfId="2583" priority="462" stopIfTrue="1" operator="equal">
      <formula>"Operation"</formula>
    </cfRule>
  </conditionalFormatting>
  <conditionalFormatting sqref="K599">
    <cfRule type="cellIs" dxfId="2582" priority="461" stopIfTrue="1" operator="equal">
      <formula>"Operation"</formula>
    </cfRule>
  </conditionalFormatting>
  <conditionalFormatting sqref="G599:H599">
    <cfRule type="cellIs" dxfId="2581" priority="460" stopIfTrue="1" operator="equal">
      <formula>"Operation"</formula>
    </cfRule>
  </conditionalFormatting>
  <conditionalFormatting sqref="H599:P599">
    <cfRule type="cellIs" dxfId="2580" priority="458" stopIfTrue="1" operator="equal">
      <formula>"N/A"</formula>
    </cfRule>
  </conditionalFormatting>
  <conditionalFormatting sqref="O599:P599">
    <cfRule type="cellIs" dxfId="2579" priority="463" stopIfTrue="1" operator="equal">
      <formula>"Operation"</formula>
    </cfRule>
  </conditionalFormatting>
  <conditionalFormatting sqref="D599">
    <cfRule type="cellIs" dxfId="2578" priority="459" stopIfTrue="1" operator="equal">
      <formula>"Total"</formula>
    </cfRule>
  </conditionalFormatting>
  <conditionalFormatting sqref="G607:H607">
    <cfRule type="cellIs" dxfId="2577" priority="457" stopIfTrue="1" operator="equal">
      <formula>"Operation"</formula>
    </cfRule>
  </conditionalFormatting>
  <conditionalFormatting sqref="H607:P607">
    <cfRule type="cellIs" dxfId="2576" priority="456" stopIfTrue="1" operator="equal">
      <formula>"N/A"</formula>
    </cfRule>
  </conditionalFormatting>
  <conditionalFormatting sqref="E599">
    <cfRule type="cellIs" dxfId="2575" priority="455" stopIfTrue="1" operator="equal">
      <formula>"Operation"</formula>
    </cfRule>
  </conditionalFormatting>
  <conditionalFormatting sqref="E599">
    <cfRule type="cellIs" dxfId="2574" priority="454" stopIfTrue="1" operator="equal">
      <formula>"N/A"</formula>
    </cfRule>
  </conditionalFormatting>
  <conditionalFormatting sqref="K604">
    <cfRule type="cellIs" dxfId="2573" priority="447" stopIfTrue="1" operator="equal">
      <formula>"Operation"</formula>
    </cfRule>
  </conditionalFormatting>
  <conditionalFormatting sqref="I604:K604">
    <cfRule type="cellIs" dxfId="2572" priority="446" stopIfTrue="1" operator="equal">
      <formula>"N/A"</formula>
    </cfRule>
  </conditionalFormatting>
  <conditionalFormatting sqref="M604:N604">
    <cfRule type="cellIs" dxfId="2571" priority="453" stopIfTrue="1" operator="equal">
      <formula>"Operation"</formula>
    </cfRule>
  </conditionalFormatting>
  <conditionalFormatting sqref="G604:H604 L604">
    <cfRule type="cellIs" dxfId="2570" priority="452" stopIfTrue="1" operator="equal">
      <formula>"Operation"</formula>
    </cfRule>
  </conditionalFormatting>
  <conditionalFormatting sqref="G604:H604 L604:N604">
    <cfRule type="cellIs" dxfId="2569" priority="451" stopIfTrue="1" operator="equal">
      <formula>"N/A"</formula>
    </cfRule>
  </conditionalFormatting>
  <conditionalFormatting sqref="O604:P604">
    <cfRule type="cellIs" dxfId="2568" priority="449" stopIfTrue="1" operator="equal">
      <formula>"N/A"</formula>
    </cfRule>
  </conditionalFormatting>
  <conditionalFormatting sqref="O604:P604">
    <cfRule type="cellIs" dxfId="2567" priority="450" stopIfTrue="1" operator="equal">
      <formula>"Operation"</formula>
    </cfRule>
  </conditionalFormatting>
  <conditionalFormatting sqref="I604:J604">
    <cfRule type="cellIs" dxfId="2566" priority="448" stopIfTrue="1" operator="equal">
      <formula>"Operation"</formula>
    </cfRule>
  </conditionalFormatting>
  <conditionalFormatting sqref="D604">
    <cfRule type="cellIs" dxfId="2565" priority="445" stopIfTrue="1" operator="equal">
      <formula>"Total"</formula>
    </cfRule>
  </conditionalFormatting>
  <conditionalFormatting sqref="E604">
    <cfRule type="cellIs" dxfId="2564" priority="444" stopIfTrue="1" operator="equal">
      <formula>"Operation"</formula>
    </cfRule>
  </conditionalFormatting>
  <conditionalFormatting sqref="E604">
    <cfRule type="cellIs" dxfId="2563" priority="443" stopIfTrue="1" operator="equal">
      <formula>"N/A"</formula>
    </cfRule>
  </conditionalFormatting>
  <conditionalFormatting sqref="F599">
    <cfRule type="cellIs" dxfId="2562" priority="442" stopIfTrue="1" operator="equal">
      <formula>"Operation"</formula>
    </cfRule>
  </conditionalFormatting>
  <conditionalFormatting sqref="F599">
    <cfRule type="cellIs" dxfId="2561" priority="441" stopIfTrue="1" operator="equal">
      <formula>"N/A"</formula>
    </cfRule>
  </conditionalFormatting>
  <conditionalFormatting sqref="F604">
    <cfRule type="cellIs" dxfId="2560" priority="440" stopIfTrue="1" operator="equal">
      <formula>"Operation"</formula>
    </cfRule>
  </conditionalFormatting>
  <conditionalFormatting sqref="F604">
    <cfRule type="cellIs" dxfId="2559" priority="439" stopIfTrue="1" operator="equal">
      <formula>"N/A"</formula>
    </cfRule>
  </conditionalFormatting>
  <conditionalFormatting sqref="C520:D524 C527:D531 C534:D536 C539:D556 C515:D517">
    <cfRule type="expression" dxfId="2558" priority="1776">
      <formula>"$D60=""Trigger"")"</formula>
    </cfRule>
  </conditionalFormatting>
  <conditionalFormatting sqref="C532:D533 C525:D526">
    <cfRule type="expression" dxfId="2557" priority="1777">
      <formula>"$D60=""Trigger"")"</formula>
    </cfRule>
  </conditionalFormatting>
  <conditionalFormatting sqref="C537:D538 C518:D519">
    <cfRule type="expression" dxfId="2556" priority="1779">
      <formula>"$D60=""Trigger"")"</formula>
    </cfRule>
  </conditionalFormatting>
  <conditionalFormatting sqref="C417:D419 C422:D439">
    <cfRule type="expression" dxfId="2555" priority="1782">
      <formula>"$D60=""Trigger"")"</formula>
    </cfRule>
  </conditionalFormatting>
  <conditionalFormatting sqref="C420:D421">
    <cfRule type="expression" dxfId="2554" priority="1783">
      <formula>"$D60=""Trigger"")"</formula>
    </cfRule>
  </conditionalFormatting>
  <conditionalFormatting sqref="I574:P574 G572:P573 E572:F574 E567:P570">
    <cfRule type="cellIs" dxfId="2553" priority="438" stopIfTrue="1" operator="equal">
      <formula>"Operation"</formula>
    </cfRule>
  </conditionalFormatting>
  <conditionalFormatting sqref="D566:D574">
    <cfRule type="cellIs" dxfId="2552" priority="437" stopIfTrue="1" operator="equal">
      <formula>"Total"</formula>
    </cfRule>
  </conditionalFormatting>
  <conditionalFormatting sqref="H572:P573 E572:F574 E567:P570">
    <cfRule type="cellIs" dxfId="2551" priority="436" stopIfTrue="1" operator="equal">
      <formula>"N/A"</formula>
    </cfRule>
  </conditionalFormatting>
  <conditionalFormatting sqref="L566:N566 I566:J566">
    <cfRule type="cellIs" dxfId="2550" priority="434" stopIfTrue="1" operator="equal">
      <formula>"Operation"</formula>
    </cfRule>
  </conditionalFormatting>
  <conditionalFormatting sqref="K566">
    <cfRule type="cellIs" dxfId="2549" priority="433" stopIfTrue="1" operator="equal">
      <formula>"Operation"</formula>
    </cfRule>
  </conditionalFormatting>
  <conditionalFormatting sqref="G566:H566">
    <cfRule type="cellIs" dxfId="2548" priority="432" stopIfTrue="1" operator="equal">
      <formula>"Operation"</formula>
    </cfRule>
  </conditionalFormatting>
  <conditionalFormatting sqref="H566:P566">
    <cfRule type="cellIs" dxfId="2547" priority="430" stopIfTrue="1" operator="equal">
      <formula>"N/A"</formula>
    </cfRule>
  </conditionalFormatting>
  <conditionalFormatting sqref="O566:P566">
    <cfRule type="cellIs" dxfId="2546" priority="435" stopIfTrue="1" operator="equal">
      <formula>"Operation"</formula>
    </cfRule>
  </conditionalFormatting>
  <conditionalFormatting sqref="D566">
    <cfRule type="cellIs" dxfId="2545" priority="431" stopIfTrue="1" operator="equal">
      <formula>"Total"</formula>
    </cfRule>
  </conditionalFormatting>
  <conditionalFormatting sqref="G574:H574">
    <cfRule type="cellIs" dxfId="2544" priority="429" stopIfTrue="1" operator="equal">
      <formula>"Operation"</formula>
    </cfRule>
  </conditionalFormatting>
  <conditionalFormatting sqref="H574:P574">
    <cfRule type="cellIs" dxfId="2543" priority="428" stopIfTrue="1" operator="equal">
      <formula>"N/A"</formula>
    </cfRule>
  </conditionalFormatting>
  <conditionalFormatting sqref="E566">
    <cfRule type="cellIs" dxfId="2542" priority="427" stopIfTrue="1" operator="equal">
      <formula>"Operation"</formula>
    </cfRule>
  </conditionalFormatting>
  <conditionalFormatting sqref="E566">
    <cfRule type="cellIs" dxfId="2541" priority="426" stopIfTrue="1" operator="equal">
      <formula>"N/A"</formula>
    </cfRule>
  </conditionalFormatting>
  <conditionalFormatting sqref="K571">
    <cfRule type="cellIs" dxfId="2540" priority="419" stopIfTrue="1" operator="equal">
      <formula>"Operation"</formula>
    </cfRule>
  </conditionalFormatting>
  <conditionalFormatting sqref="I571:K571">
    <cfRule type="cellIs" dxfId="2539" priority="418" stopIfTrue="1" operator="equal">
      <formula>"N/A"</formula>
    </cfRule>
  </conditionalFormatting>
  <conditionalFormatting sqref="M571:N571">
    <cfRule type="cellIs" dxfId="2538" priority="425" stopIfTrue="1" operator="equal">
      <formula>"Operation"</formula>
    </cfRule>
  </conditionalFormatting>
  <conditionalFormatting sqref="G571:H571 L571">
    <cfRule type="cellIs" dxfId="2537" priority="424" stopIfTrue="1" operator="equal">
      <formula>"Operation"</formula>
    </cfRule>
  </conditionalFormatting>
  <conditionalFormatting sqref="G571:H571 L571:N571">
    <cfRule type="cellIs" dxfId="2536" priority="423" stopIfTrue="1" operator="equal">
      <formula>"N/A"</formula>
    </cfRule>
  </conditionalFormatting>
  <conditionalFormatting sqref="O571:P571">
    <cfRule type="cellIs" dxfId="2535" priority="421" stopIfTrue="1" operator="equal">
      <formula>"N/A"</formula>
    </cfRule>
  </conditionalFormatting>
  <conditionalFormatting sqref="O571:P571">
    <cfRule type="cellIs" dxfId="2534" priority="422" stopIfTrue="1" operator="equal">
      <formula>"Operation"</formula>
    </cfRule>
  </conditionalFormatting>
  <conditionalFormatting sqref="I571:J571">
    <cfRule type="cellIs" dxfId="2533" priority="420" stopIfTrue="1" operator="equal">
      <formula>"Operation"</formula>
    </cfRule>
  </conditionalFormatting>
  <conditionalFormatting sqref="D571">
    <cfRule type="cellIs" dxfId="2532" priority="417" stopIfTrue="1" operator="equal">
      <formula>"Total"</formula>
    </cfRule>
  </conditionalFormatting>
  <conditionalFormatting sqref="E571">
    <cfRule type="cellIs" dxfId="2531" priority="416" stopIfTrue="1" operator="equal">
      <formula>"Operation"</formula>
    </cfRule>
  </conditionalFormatting>
  <conditionalFormatting sqref="E571">
    <cfRule type="cellIs" dxfId="2530" priority="415" stopIfTrue="1" operator="equal">
      <formula>"N/A"</formula>
    </cfRule>
  </conditionalFormatting>
  <conditionalFormatting sqref="F566">
    <cfRule type="cellIs" dxfId="2529" priority="414" stopIfTrue="1" operator="equal">
      <formula>"Operation"</formula>
    </cfRule>
  </conditionalFormatting>
  <conditionalFormatting sqref="F566">
    <cfRule type="cellIs" dxfId="2528" priority="413" stopIfTrue="1" operator="equal">
      <formula>"N/A"</formula>
    </cfRule>
  </conditionalFormatting>
  <conditionalFormatting sqref="F571">
    <cfRule type="cellIs" dxfId="2527" priority="412" stopIfTrue="1" operator="equal">
      <formula>"Operation"</formula>
    </cfRule>
  </conditionalFormatting>
  <conditionalFormatting sqref="F571">
    <cfRule type="cellIs" dxfId="2526" priority="411" stopIfTrue="1" operator="equal">
      <formula>"N/A"</formula>
    </cfRule>
  </conditionalFormatting>
  <conditionalFormatting sqref="B270:P291">
    <cfRule type="cellIs" dxfId="2525" priority="409" stopIfTrue="1" operator="equal">
      <formula>"N/A"</formula>
    </cfRule>
  </conditionalFormatting>
  <conditionalFormatting sqref="D270:D291">
    <cfRule type="cellIs" dxfId="2524" priority="408" stopIfTrue="1" operator="equal">
      <formula>"Operation"</formula>
    </cfRule>
  </conditionalFormatting>
  <conditionalFormatting sqref="C280:D282">
    <cfRule type="expression" dxfId="2523" priority="407">
      <formula>"$D60=""Trigger"")"</formula>
    </cfRule>
  </conditionalFormatting>
  <conditionalFormatting sqref="C283:D291">
    <cfRule type="expression" dxfId="2522" priority="406">
      <formula>"$D60=""Trigger"")"</formula>
    </cfRule>
  </conditionalFormatting>
  <conditionalFormatting sqref="C292:D301">
    <cfRule type="expression" dxfId="2521" priority="405">
      <formula>"$D60=""Trigger"")"</formula>
    </cfRule>
  </conditionalFormatting>
  <conditionalFormatting sqref="B297:P301">
    <cfRule type="cellIs" dxfId="2520" priority="403" stopIfTrue="1" operator="equal">
      <formula>"N/A"</formula>
    </cfRule>
  </conditionalFormatting>
  <conditionalFormatting sqref="E280:P286 D297:D301">
    <cfRule type="cellIs" dxfId="2519" priority="402" stopIfTrue="1" operator="equal">
      <formula>"Operation"</formula>
    </cfRule>
  </conditionalFormatting>
  <conditionalFormatting sqref="D280:D286">
    <cfRule type="cellIs" dxfId="2518" priority="401" stopIfTrue="1" operator="equal">
      <formula>"Total"</formula>
    </cfRule>
  </conditionalFormatting>
  <conditionalFormatting sqref="G273:P273 E273:F274">
    <cfRule type="cellIs" dxfId="2517" priority="400" stopIfTrue="1" operator="equal">
      <formula>"Operation"</formula>
    </cfRule>
  </conditionalFormatting>
  <conditionalFormatting sqref="D270:D274">
    <cfRule type="cellIs" dxfId="2516" priority="399" stopIfTrue="1" operator="equal">
      <formula>"Total"</formula>
    </cfRule>
  </conditionalFormatting>
  <conditionalFormatting sqref="H273:P273 E273:F274">
    <cfRule type="cellIs" dxfId="2515" priority="398" stopIfTrue="1" operator="equal">
      <formula>"N/A"</formula>
    </cfRule>
  </conditionalFormatting>
  <conditionalFormatting sqref="I274:P274 E271:P272">
    <cfRule type="cellIs" dxfId="2514" priority="397" stopIfTrue="1" operator="equal">
      <formula>"Operation"</formula>
    </cfRule>
  </conditionalFormatting>
  <conditionalFormatting sqref="E271:P272">
    <cfRule type="cellIs" dxfId="2513" priority="396" stopIfTrue="1" operator="equal">
      <formula>"N/A"</formula>
    </cfRule>
  </conditionalFormatting>
  <conditionalFormatting sqref="L270:N270 I270:J270">
    <cfRule type="cellIs" dxfId="2512" priority="394" stopIfTrue="1" operator="equal">
      <formula>"Operation"</formula>
    </cfRule>
  </conditionalFormatting>
  <conditionalFormatting sqref="K270">
    <cfRule type="cellIs" dxfId="2511" priority="393" stopIfTrue="1" operator="equal">
      <formula>"Operation"</formula>
    </cfRule>
  </conditionalFormatting>
  <conditionalFormatting sqref="G270:H270">
    <cfRule type="cellIs" dxfId="2510" priority="392" stopIfTrue="1" operator="equal">
      <formula>"Operation"</formula>
    </cfRule>
  </conditionalFormatting>
  <conditionalFormatting sqref="H270:P270">
    <cfRule type="cellIs" dxfId="2509" priority="390" stopIfTrue="1" operator="equal">
      <formula>"N/A"</formula>
    </cfRule>
  </conditionalFormatting>
  <conditionalFormatting sqref="O270:P270">
    <cfRule type="cellIs" dxfId="2508" priority="395" stopIfTrue="1" operator="equal">
      <formula>"Operation"</formula>
    </cfRule>
  </conditionalFormatting>
  <conditionalFormatting sqref="D270">
    <cfRule type="cellIs" dxfId="2507" priority="391" stopIfTrue="1" operator="equal">
      <formula>"Total"</formula>
    </cfRule>
  </conditionalFormatting>
  <conditionalFormatting sqref="G274:H274">
    <cfRule type="cellIs" dxfId="2506" priority="389" stopIfTrue="1" operator="equal">
      <formula>"Operation"</formula>
    </cfRule>
  </conditionalFormatting>
  <conditionalFormatting sqref="H274:P274">
    <cfRule type="cellIs" dxfId="2505" priority="388" stopIfTrue="1" operator="equal">
      <formula>"N/A"</formula>
    </cfRule>
  </conditionalFormatting>
  <conditionalFormatting sqref="E270">
    <cfRule type="cellIs" dxfId="2504" priority="387" stopIfTrue="1" operator="equal">
      <formula>"Operation"</formula>
    </cfRule>
  </conditionalFormatting>
  <conditionalFormatting sqref="E270">
    <cfRule type="cellIs" dxfId="2503" priority="386" stopIfTrue="1" operator="equal">
      <formula>"N/A"</formula>
    </cfRule>
  </conditionalFormatting>
  <conditionalFormatting sqref="F270">
    <cfRule type="cellIs" dxfId="2502" priority="385" stopIfTrue="1" operator="equal">
      <formula>"Operation"</formula>
    </cfRule>
  </conditionalFormatting>
  <conditionalFormatting sqref="F270">
    <cfRule type="cellIs" dxfId="2501" priority="384" stopIfTrue="1" operator="equal">
      <formula>"N/A"</formula>
    </cfRule>
  </conditionalFormatting>
  <conditionalFormatting sqref="G278:P278 E278:F279">
    <cfRule type="cellIs" dxfId="2500" priority="383" stopIfTrue="1" operator="equal">
      <formula>"Operation"</formula>
    </cfRule>
  </conditionalFormatting>
  <conditionalFormatting sqref="D275:D279">
    <cfRule type="cellIs" dxfId="2499" priority="382" stopIfTrue="1" operator="equal">
      <formula>"Total"</formula>
    </cfRule>
  </conditionalFormatting>
  <conditionalFormatting sqref="H278:P278 E278:F279">
    <cfRule type="cellIs" dxfId="2498" priority="381" stopIfTrue="1" operator="equal">
      <formula>"N/A"</formula>
    </cfRule>
  </conditionalFormatting>
  <conditionalFormatting sqref="I279:P279 E276:P277">
    <cfRule type="cellIs" dxfId="2497" priority="380" stopIfTrue="1" operator="equal">
      <formula>"Operation"</formula>
    </cfRule>
  </conditionalFormatting>
  <conditionalFormatting sqref="E276:P277">
    <cfRule type="cellIs" dxfId="2496" priority="379" stopIfTrue="1" operator="equal">
      <formula>"N/A"</formula>
    </cfRule>
  </conditionalFormatting>
  <conditionalFormatting sqref="L275:N275 I275:J275">
    <cfRule type="cellIs" dxfId="2495" priority="377" stopIfTrue="1" operator="equal">
      <formula>"Operation"</formula>
    </cfRule>
  </conditionalFormatting>
  <conditionalFormatting sqref="K275">
    <cfRule type="cellIs" dxfId="2494" priority="376" stopIfTrue="1" operator="equal">
      <formula>"Operation"</formula>
    </cfRule>
  </conditionalFormatting>
  <conditionalFormatting sqref="G275:H275">
    <cfRule type="cellIs" dxfId="2493" priority="375" stopIfTrue="1" operator="equal">
      <formula>"Operation"</formula>
    </cfRule>
  </conditionalFormatting>
  <conditionalFormatting sqref="H275:P275">
    <cfRule type="cellIs" dxfId="2492" priority="373" stopIfTrue="1" operator="equal">
      <formula>"N/A"</formula>
    </cfRule>
  </conditionalFormatting>
  <conditionalFormatting sqref="O275:P275">
    <cfRule type="cellIs" dxfId="2491" priority="378" stopIfTrue="1" operator="equal">
      <formula>"Operation"</formula>
    </cfRule>
  </conditionalFormatting>
  <conditionalFormatting sqref="D275">
    <cfRule type="cellIs" dxfId="2490" priority="374" stopIfTrue="1" operator="equal">
      <formula>"Total"</formula>
    </cfRule>
  </conditionalFormatting>
  <conditionalFormatting sqref="G279:H279">
    <cfRule type="cellIs" dxfId="2489" priority="372" stopIfTrue="1" operator="equal">
      <formula>"Operation"</formula>
    </cfRule>
  </conditionalFormatting>
  <conditionalFormatting sqref="H279:P279">
    <cfRule type="cellIs" dxfId="2488" priority="371" stopIfTrue="1" operator="equal">
      <formula>"N/A"</formula>
    </cfRule>
  </conditionalFormatting>
  <conditionalFormatting sqref="E275">
    <cfRule type="cellIs" dxfId="2487" priority="370" stopIfTrue="1" operator="equal">
      <formula>"Operation"</formula>
    </cfRule>
  </conditionalFormatting>
  <conditionalFormatting sqref="E275">
    <cfRule type="cellIs" dxfId="2486" priority="369" stopIfTrue="1" operator="equal">
      <formula>"N/A"</formula>
    </cfRule>
  </conditionalFormatting>
  <conditionalFormatting sqref="F275">
    <cfRule type="cellIs" dxfId="2485" priority="368" stopIfTrue="1" operator="equal">
      <formula>"Operation"</formula>
    </cfRule>
  </conditionalFormatting>
  <conditionalFormatting sqref="F275">
    <cfRule type="cellIs" dxfId="2484" priority="367" stopIfTrue="1" operator="equal">
      <formula>"N/A"</formula>
    </cfRule>
  </conditionalFormatting>
  <conditionalFormatting sqref="H281:H282">
    <cfRule type="cellIs" dxfId="2483" priority="363" stopIfTrue="1" operator="equal">
      <formula>"Operation"</formula>
    </cfRule>
  </conditionalFormatting>
  <conditionalFormatting sqref="H281:H282">
    <cfRule type="cellIs" dxfId="2482" priority="362" stopIfTrue="1" operator="equal">
      <formula>"N/A"</formula>
    </cfRule>
  </conditionalFormatting>
  <conditionalFormatting sqref="G286:H286">
    <cfRule type="cellIs" dxfId="2481" priority="366" stopIfTrue="1" operator="equal">
      <formula>"Operation"</formula>
    </cfRule>
  </conditionalFormatting>
  <conditionalFormatting sqref="H286:P286">
    <cfRule type="cellIs" dxfId="2480" priority="365" stopIfTrue="1" operator="equal">
      <formula>"N/A"</formula>
    </cfRule>
  </conditionalFormatting>
  <conditionalFormatting sqref="E286">
    <cfRule type="cellIs" dxfId="2479" priority="364" stopIfTrue="1" operator="equal">
      <formula>"N/A"</formula>
    </cfRule>
  </conditionalFormatting>
  <conditionalFormatting sqref="F286">
    <cfRule type="cellIs" dxfId="2478" priority="361" stopIfTrue="1" operator="equal">
      <formula>"N/A"</formula>
    </cfRule>
  </conditionalFormatting>
  <conditionalFormatting sqref="J283">
    <cfRule type="cellIs" dxfId="2477" priority="360" stopIfTrue="1" operator="equal">
      <formula>"Operation"</formula>
    </cfRule>
  </conditionalFormatting>
  <conditionalFormatting sqref="J283">
    <cfRule type="cellIs" dxfId="2476" priority="359" stopIfTrue="1" operator="equal">
      <formula>"N/A"</formula>
    </cfRule>
  </conditionalFormatting>
  <conditionalFormatting sqref="L300:P300 G290:P290 E290:F291">
    <cfRule type="cellIs" dxfId="2475" priority="358" stopIfTrue="1" operator="equal">
      <formula>"Operation"</formula>
    </cfRule>
  </conditionalFormatting>
  <conditionalFormatting sqref="D287:D291">
    <cfRule type="cellIs" dxfId="2474" priority="357" stopIfTrue="1" operator="equal">
      <formula>"Total"</formula>
    </cfRule>
  </conditionalFormatting>
  <conditionalFormatting sqref="L300:P300 H290:P290 E290:F291">
    <cfRule type="cellIs" dxfId="2473" priority="356" stopIfTrue="1" operator="equal">
      <formula>"N/A"</formula>
    </cfRule>
  </conditionalFormatting>
  <conditionalFormatting sqref="I291:P291 E288:P288 E289:N289 P289">
    <cfRule type="cellIs" dxfId="2472" priority="355" stopIfTrue="1" operator="equal">
      <formula>"Operation"</formula>
    </cfRule>
  </conditionalFormatting>
  <conditionalFormatting sqref="E288:P288 E289:N289 P289">
    <cfRule type="cellIs" dxfId="2471" priority="354" stopIfTrue="1" operator="equal">
      <formula>"N/A"</formula>
    </cfRule>
  </conditionalFormatting>
  <conditionalFormatting sqref="L287:N287 I287:J287">
    <cfRule type="cellIs" dxfId="2470" priority="352" stopIfTrue="1" operator="equal">
      <formula>"Operation"</formula>
    </cfRule>
  </conditionalFormatting>
  <conditionalFormatting sqref="K287">
    <cfRule type="cellIs" dxfId="2469" priority="351" stopIfTrue="1" operator="equal">
      <formula>"Operation"</formula>
    </cfRule>
  </conditionalFormatting>
  <conditionalFormatting sqref="G287:H287">
    <cfRule type="cellIs" dxfId="2468" priority="350" stopIfTrue="1" operator="equal">
      <formula>"Operation"</formula>
    </cfRule>
  </conditionalFormatting>
  <conditionalFormatting sqref="H287:P287">
    <cfRule type="cellIs" dxfId="2467" priority="348" stopIfTrue="1" operator="equal">
      <formula>"N/A"</formula>
    </cfRule>
  </conditionalFormatting>
  <conditionalFormatting sqref="O287:P287">
    <cfRule type="cellIs" dxfId="2466" priority="353" stopIfTrue="1" operator="equal">
      <formula>"Operation"</formula>
    </cfRule>
  </conditionalFormatting>
  <conditionalFormatting sqref="D287">
    <cfRule type="cellIs" dxfId="2465" priority="349" stopIfTrue="1" operator="equal">
      <formula>"Total"</formula>
    </cfRule>
  </conditionalFormatting>
  <conditionalFormatting sqref="G291:H291">
    <cfRule type="cellIs" dxfId="2464" priority="347" stopIfTrue="1" operator="equal">
      <formula>"Operation"</formula>
    </cfRule>
  </conditionalFormatting>
  <conditionalFormatting sqref="H291:P291">
    <cfRule type="cellIs" dxfId="2463" priority="346" stopIfTrue="1" operator="equal">
      <formula>"N/A"</formula>
    </cfRule>
  </conditionalFormatting>
  <conditionalFormatting sqref="E287">
    <cfRule type="cellIs" dxfId="2462" priority="345" stopIfTrue="1" operator="equal">
      <formula>"Operation"</formula>
    </cfRule>
  </conditionalFormatting>
  <conditionalFormatting sqref="E287">
    <cfRule type="cellIs" dxfId="2461" priority="344" stopIfTrue="1" operator="equal">
      <formula>"N/A"</formula>
    </cfRule>
  </conditionalFormatting>
  <conditionalFormatting sqref="F287">
    <cfRule type="cellIs" dxfId="2460" priority="343" stopIfTrue="1" operator="equal">
      <formula>"Operation"</formula>
    </cfRule>
  </conditionalFormatting>
  <conditionalFormatting sqref="F287">
    <cfRule type="cellIs" dxfId="2459" priority="342" stopIfTrue="1" operator="equal">
      <formula>"N/A"</formula>
    </cfRule>
  </conditionalFormatting>
  <conditionalFormatting sqref="L301:P301 L298:P299">
    <cfRule type="cellIs" dxfId="2458" priority="341" stopIfTrue="1" operator="equal">
      <formula>"Operation"</formula>
    </cfRule>
  </conditionalFormatting>
  <conditionalFormatting sqref="L298:P299">
    <cfRule type="cellIs" dxfId="2457" priority="340" stopIfTrue="1" operator="equal">
      <formula>"N/A"</formula>
    </cfRule>
  </conditionalFormatting>
  <conditionalFormatting sqref="L297:N297">
    <cfRule type="cellIs" dxfId="2456" priority="338" stopIfTrue="1" operator="equal">
      <formula>"Operation"</formula>
    </cfRule>
  </conditionalFormatting>
  <conditionalFormatting sqref="L297:P297">
    <cfRule type="cellIs" dxfId="2455" priority="337" stopIfTrue="1" operator="equal">
      <formula>"N/A"</formula>
    </cfRule>
  </conditionalFormatting>
  <conditionalFormatting sqref="O297:P297">
    <cfRule type="cellIs" dxfId="2454" priority="339" stopIfTrue="1" operator="equal">
      <formula>"Operation"</formula>
    </cfRule>
  </conditionalFormatting>
  <conditionalFormatting sqref="L301:P301">
    <cfRule type="cellIs" dxfId="2453" priority="336" stopIfTrue="1" operator="equal">
      <formula>"N/A"</formula>
    </cfRule>
  </conditionalFormatting>
  <conditionalFormatting sqref="O289">
    <cfRule type="cellIs" dxfId="2452" priority="335" stopIfTrue="1" operator="equal">
      <formula>"Operation"</formula>
    </cfRule>
  </conditionalFormatting>
  <conditionalFormatting sqref="O289">
    <cfRule type="cellIs" dxfId="2451" priority="334" stopIfTrue="1" operator="equal">
      <formula>"N/A"</formula>
    </cfRule>
  </conditionalFormatting>
  <conditionalFormatting sqref="G300:K300 E300:F301">
    <cfRule type="cellIs" dxfId="2450" priority="333" stopIfTrue="1" operator="equal">
      <formula>"Operation"</formula>
    </cfRule>
  </conditionalFormatting>
  <conditionalFormatting sqref="D297:D301">
    <cfRule type="cellIs" dxfId="2449" priority="332" stopIfTrue="1" operator="equal">
      <formula>"Total"</formula>
    </cfRule>
  </conditionalFormatting>
  <conditionalFormatting sqref="H300:K300 E300:F301">
    <cfRule type="cellIs" dxfId="2448" priority="331" stopIfTrue="1" operator="equal">
      <formula>"N/A"</formula>
    </cfRule>
  </conditionalFormatting>
  <conditionalFormatting sqref="I301:K301 E298:K299">
    <cfRule type="cellIs" dxfId="2447" priority="330" stopIfTrue="1" operator="equal">
      <formula>"Operation"</formula>
    </cfRule>
  </conditionalFormatting>
  <conditionalFormatting sqref="E298:K299">
    <cfRule type="cellIs" dxfId="2446" priority="329" stopIfTrue="1" operator="equal">
      <formula>"N/A"</formula>
    </cfRule>
  </conditionalFormatting>
  <conditionalFormatting sqref="I297:J297">
    <cfRule type="cellIs" dxfId="2445" priority="328" stopIfTrue="1" operator="equal">
      <formula>"Operation"</formula>
    </cfRule>
  </conditionalFormatting>
  <conditionalFormatting sqref="K297">
    <cfRule type="cellIs" dxfId="2444" priority="327" stopIfTrue="1" operator="equal">
      <formula>"Operation"</formula>
    </cfRule>
  </conditionalFormatting>
  <conditionalFormatting sqref="G297:H297">
    <cfRule type="cellIs" dxfId="2443" priority="326" stopIfTrue="1" operator="equal">
      <formula>"Operation"</formula>
    </cfRule>
  </conditionalFormatting>
  <conditionalFormatting sqref="H297:K297">
    <cfRule type="cellIs" dxfId="2442" priority="324" stopIfTrue="1" operator="equal">
      <formula>"N/A"</formula>
    </cfRule>
  </conditionalFormatting>
  <conditionalFormatting sqref="D297">
    <cfRule type="cellIs" dxfId="2441" priority="325" stopIfTrue="1" operator="equal">
      <formula>"Total"</formula>
    </cfRule>
  </conditionalFormatting>
  <conditionalFormatting sqref="G301:H301">
    <cfRule type="cellIs" dxfId="2440" priority="323" stopIfTrue="1" operator="equal">
      <formula>"Operation"</formula>
    </cfRule>
  </conditionalFormatting>
  <conditionalFormatting sqref="H301:K301">
    <cfRule type="cellIs" dxfId="2439" priority="322" stopIfTrue="1" operator="equal">
      <formula>"N/A"</formula>
    </cfRule>
  </conditionalFormatting>
  <conditionalFormatting sqref="E297">
    <cfRule type="cellIs" dxfId="2438" priority="321" stopIfTrue="1" operator="equal">
      <formula>"Operation"</formula>
    </cfRule>
  </conditionalFormatting>
  <conditionalFormatting sqref="E297">
    <cfRule type="cellIs" dxfId="2437" priority="320" stopIfTrue="1" operator="equal">
      <formula>"N/A"</formula>
    </cfRule>
  </conditionalFormatting>
  <conditionalFormatting sqref="F297">
    <cfRule type="cellIs" dxfId="2436" priority="319" stopIfTrue="1" operator="equal">
      <formula>"Operation"</formula>
    </cfRule>
  </conditionalFormatting>
  <conditionalFormatting sqref="F297">
    <cfRule type="cellIs" dxfId="2435" priority="318" stopIfTrue="1" operator="equal">
      <formula>"N/A"</formula>
    </cfRule>
  </conditionalFormatting>
  <conditionalFormatting sqref="B292:P296">
    <cfRule type="cellIs" dxfId="2434" priority="316" stopIfTrue="1" operator="equal">
      <formula>"N/A"</formula>
    </cfRule>
  </conditionalFormatting>
  <conditionalFormatting sqref="D292:D296">
    <cfRule type="cellIs" dxfId="2433" priority="315" stopIfTrue="1" operator="equal">
      <formula>"Operation"</formula>
    </cfRule>
  </conditionalFormatting>
  <conditionalFormatting sqref="L295:P295">
    <cfRule type="cellIs" dxfId="2432" priority="314" stopIfTrue="1" operator="equal">
      <formula>"Operation"</formula>
    </cfRule>
  </conditionalFormatting>
  <conditionalFormatting sqref="L295:P295">
    <cfRule type="cellIs" dxfId="2431" priority="313" stopIfTrue="1" operator="equal">
      <formula>"N/A"</formula>
    </cfRule>
  </conditionalFormatting>
  <conditionalFormatting sqref="L296:P296 L293:P294">
    <cfRule type="cellIs" dxfId="2430" priority="312" stopIfTrue="1" operator="equal">
      <formula>"Operation"</formula>
    </cfRule>
  </conditionalFormatting>
  <conditionalFormatting sqref="L293:P294">
    <cfRule type="cellIs" dxfId="2429" priority="311" stopIfTrue="1" operator="equal">
      <formula>"N/A"</formula>
    </cfRule>
  </conditionalFormatting>
  <conditionalFormatting sqref="L292:N292">
    <cfRule type="cellIs" dxfId="2428" priority="309" stopIfTrue="1" operator="equal">
      <formula>"Operation"</formula>
    </cfRule>
  </conditionalFormatting>
  <conditionalFormatting sqref="L292:P292">
    <cfRule type="cellIs" dxfId="2427" priority="308" stopIfTrue="1" operator="equal">
      <formula>"N/A"</formula>
    </cfRule>
  </conditionalFormatting>
  <conditionalFormatting sqref="O292:P292">
    <cfRule type="cellIs" dxfId="2426" priority="310" stopIfTrue="1" operator="equal">
      <formula>"Operation"</formula>
    </cfRule>
  </conditionalFormatting>
  <conditionalFormatting sqref="L296:P296">
    <cfRule type="cellIs" dxfId="2425" priority="307" stopIfTrue="1" operator="equal">
      <formula>"N/A"</formula>
    </cfRule>
  </conditionalFormatting>
  <conditionalFormatting sqref="G295:K295 E295:F296">
    <cfRule type="cellIs" dxfId="2424" priority="306" stopIfTrue="1" operator="equal">
      <formula>"Operation"</formula>
    </cfRule>
  </conditionalFormatting>
  <conditionalFormatting sqref="D292:D296">
    <cfRule type="cellIs" dxfId="2423" priority="305" stopIfTrue="1" operator="equal">
      <formula>"Total"</formula>
    </cfRule>
  </conditionalFormatting>
  <conditionalFormatting sqref="H295:K295 E295:F296">
    <cfRule type="cellIs" dxfId="2422" priority="304" stopIfTrue="1" operator="equal">
      <formula>"N/A"</formula>
    </cfRule>
  </conditionalFormatting>
  <conditionalFormatting sqref="I296:K296 E293:K294">
    <cfRule type="cellIs" dxfId="2421" priority="303" stopIfTrue="1" operator="equal">
      <formula>"Operation"</formula>
    </cfRule>
  </conditionalFormatting>
  <conditionalFormatting sqref="E293:K294">
    <cfRule type="cellIs" dxfId="2420" priority="302" stopIfTrue="1" operator="equal">
      <formula>"N/A"</formula>
    </cfRule>
  </conditionalFormatting>
  <conditionalFormatting sqref="I292:J292">
    <cfRule type="cellIs" dxfId="2419" priority="301" stopIfTrue="1" operator="equal">
      <formula>"Operation"</formula>
    </cfRule>
  </conditionalFormatting>
  <conditionalFormatting sqref="K292">
    <cfRule type="cellIs" dxfId="2418" priority="300" stopIfTrue="1" operator="equal">
      <formula>"Operation"</formula>
    </cfRule>
  </conditionalFormatting>
  <conditionalFormatting sqref="G292:H292">
    <cfRule type="cellIs" dxfId="2417" priority="299" stopIfTrue="1" operator="equal">
      <formula>"Operation"</formula>
    </cfRule>
  </conditionalFormatting>
  <conditionalFormatting sqref="H292:K292">
    <cfRule type="cellIs" dxfId="2416" priority="297" stopIfTrue="1" operator="equal">
      <formula>"N/A"</formula>
    </cfRule>
  </conditionalFormatting>
  <conditionalFormatting sqref="D292">
    <cfRule type="cellIs" dxfId="2415" priority="298" stopIfTrue="1" operator="equal">
      <formula>"Total"</formula>
    </cfRule>
  </conditionalFormatting>
  <conditionalFormatting sqref="G296:H296">
    <cfRule type="cellIs" dxfId="2414" priority="296" stopIfTrue="1" operator="equal">
      <formula>"Operation"</formula>
    </cfRule>
  </conditionalFormatting>
  <conditionalFormatting sqref="H296:K296">
    <cfRule type="cellIs" dxfId="2413" priority="295" stopIfTrue="1" operator="equal">
      <formula>"N/A"</formula>
    </cfRule>
  </conditionalFormatting>
  <conditionalFormatting sqref="E292">
    <cfRule type="cellIs" dxfId="2412" priority="294" stopIfTrue="1" operator="equal">
      <formula>"Operation"</formula>
    </cfRule>
  </conditionalFormatting>
  <conditionalFormatting sqref="E292">
    <cfRule type="cellIs" dxfId="2411" priority="293" stopIfTrue="1" operator="equal">
      <formula>"N/A"</formula>
    </cfRule>
  </conditionalFormatting>
  <conditionalFormatting sqref="F292">
    <cfRule type="cellIs" dxfId="2410" priority="292" stopIfTrue="1" operator="equal">
      <formula>"Operation"</formula>
    </cfRule>
  </conditionalFormatting>
  <conditionalFormatting sqref="F292">
    <cfRule type="cellIs" dxfId="2409" priority="291" stopIfTrue="1" operator="equal">
      <formula>"N/A"</formula>
    </cfRule>
  </conditionalFormatting>
  <conditionalFormatting sqref="B265:P269">
    <cfRule type="cellIs" dxfId="2408" priority="289" stopIfTrue="1" operator="equal">
      <formula>"N/A"</formula>
    </cfRule>
  </conditionalFormatting>
  <conditionalFormatting sqref="D265:D269">
    <cfRule type="cellIs" dxfId="2407" priority="288" stopIfTrue="1" operator="equal">
      <formula>"Operation"</formula>
    </cfRule>
  </conditionalFormatting>
  <conditionalFormatting sqref="G268:P268 E269:F269">
    <cfRule type="cellIs" dxfId="2406" priority="287" stopIfTrue="1" operator="equal">
      <formula>"Operation"</formula>
    </cfRule>
  </conditionalFormatting>
  <conditionalFormatting sqref="D265:D269">
    <cfRule type="cellIs" dxfId="2405" priority="286" stopIfTrue="1" operator="equal">
      <formula>"Total"</formula>
    </cfRule>
  </conditionalFormatting>
  <conditionalFormatting sqref="H268:P268 E269:F269">
    <cfRule type="cellIs" dxfId="2404" priority="285" stopIfTrue="1" operator="equal">
      <formula>"N/A"</formula>
    </cfRule>
  </conditionalFormatting>
  <conditionalFormatting sqref="I269:P269 E266:P267 E268:F268">
    <cfRule type="cellIs" dxfId="2403" priority="284" stopIfTrue="1" operator="equal">
      <formula>"Operation"</formula>
    </cfRule>
  </conditionalFormatting>
  <conditionalFormatting sqref="E266:P267 E268:F268">
    <cfRule type="cellIs" dxfId="2402" priority="283" stopIfTrue="1" operator="equal">
      <formula>"N/A"</formula>
    </cfRule>
  </conditionalFormatting>
  <conditionalFormatting sqref="L265:N265 I265:J265">
    <cfRule type="cellIs" dxfId="2401" priority="281" stopIfTrue="1" operator="equal">
      <formula>"Operation"</formula>
    </cfRule>
  </conditionalFormatting>
  <conditionalFormatting sqref="K265">
    <cfRule type="cellIs" dxfId="2400" priority="280" stopIfTrue="1" operator="equal">
      <formula>"Operation"</formula>
    </cfRule>
  </conditionalFormatting>
  <conditionalFormatting sqref="G265:H265">
    <cfRule type="cellIs" dxfId="2399" priority="279" stopIfTrue="1" operator="equal">
      <formula>"Operation"</formula>
    </cfRule>
  </conditionalFormatting>
  <conditionalFormatting sqref="H265:P265">
    <cfRule type="cellIs" dxfId="2398" priority="277" stopIfTrue="1" operator="equal">
      <formula>"N/A"</formula>
    </cfRule>
  </conditionalFormatting>
  <conditionalFormatting sqref="O265:P265">
    <cfRule type="cellIs" dxfId="2397" priority="282" stopIfTrue="1" operator="equal">
      <formula>"Operation"</formula>
    </cfRule>
  </conditionalFormatting>
  <conditionalFormatting sqref="D265">
    <cfRule type="cellIs" dxfId="2396" priority="278" stopIfTrue="1" operator="equal">
      <formula>"Total"</formula>
    </cfRule>
  </conditionalFormatting>
  <conditionalFormatting sqref="G269:H269">
    <cfRule type="cellIs" dxfId="2395" priority="276" stopIfTrue="1" operator="equal">
      <formula>"Operation"</formula>
    </cfRule>
  </conditionalFormatting>
  <conditionalFormatting sqref="H269:P269">
    <cfRule type="cellIs" dxfId="2394" priority="275" stopIfTrue="1" operator="equal">
      <formula>"N/A"</formula>
    </cfRule>
  </conditionalFormatting>
  <conditionalFormatting sqref="E265">
    <cfRule type="cellIs" dxfId="2393" priority="274" stopIfTrue="1" operator="equal">
      <formula>"Operation"</formula>
    </cfRule>
  </conditionalFormatting>
  <conditionalFormatting sqref="E265">
    <cfRule type="cellIs" dxfId="2392" priority="273" stopIfTrue="1" operator="equal">
      <formula>"N/A"</formula>
    </cfRule>
  </conditionalFormatting>
  <conditionalFormatting sqref="F265">
    <cfRule type="cellIs" dxfId="2391" priority="272" stopIfTrue="1" operator="equal">
      <formula>"Operation"</formula>
    </cfRule>
  </conditionalFormatting>
  <conditionalFormatting sqref="F265">
    <cfRule type="cellIs" dxfId="2390" priority="271" stopIfTrue="1" operator="equal">
      <formula>"N/A"</formula>
    </cfRule>
  </conditionalFormatting>
  <conditionalFormatting sqref="C327:D329">
    <cfRule type="expression" dxfId="2389" priority="267">
      <formula>"$D60=""Trigger"")"</formula>
    </cfRule>
  </conditionalFormatting>
  <conditionalFormatting sqref="C330:D338">
    <cfRule type="expression" dxfId="2388" priority="266">
      <formula>"$D60=""Trigger"")"</formula>
    </cfRule>
  </conditionalFormatting>
  <conditionalFormatting sqref="C339:D343">
    <cfRule type="expression" dxfId="2387" priority="265">
      <formula>"$D60=""Trigger"")"</formula>
    </cfRule>
  </conditionalFormatting>
  <conditionalFormatting sqref="E327:P333">
    <cfRule type="cellIs" dxfId="2386" priority="264" stopIfTrue="1" operator="equal">
      <formula>"Operation"</formula>
    </cfRule>
  </conditionalFormatting>
  <conditionalFormatting sqref="D327:D333">
    <cfRule type="cellIs" dxfId="2385" priority="263" stopIfTrue="1" operator="equal">
      <formula>"Total"</formula>
    </cfRule>
  </conditionalFormatting>
  <conditionalFormatting sqref="G325:P325 E325:F326">
    <cfRule type="cellIs" dxfId="2384" priority="262" stopIfTrue="1" operator="equal">
      <formula>"Operation"</formula>
    </cfRule>
  </conditionalFormatting>
  <conditionalFormatting sqref="D322:D326">
    <cfRule type="cellIs" dxfId="2383" priority="261" stopIfTrue="1" operator="equal">
      <formula>"Total"</formula>
    </cfRule>
  </conditionalFormatting>
  <conditionalFormatting sqref="H325:P325 E325:F326">
    <cfRule type="cellIs" dxfId="2382" priority="260" stopIfTrue="1" operator="equal">
      <formula>"N/A"</formula>
    </cfRule>
  </conditionalFormatting>
  <conditionalFormatting sqref="I326:P326 E323:P324">
    <cfRule type="cellIs" dxfId="2381" priority="259" stopIfTrue="1" operator="equal">
      <formula>"Operation"</formula>
    </cfRule>
  </conditionalFormatting>
  <conditionalFormatting sqref="E323:P324">
    <cfRule type="cellIs" dxfId="2380" priority="258" stopIfTrue="1" operator="equal">
      <formula>"N/A"</formula>
    </cfRule>
  </conditionalFormatting>
  <conditionalFormatting sqref="L322:N322 I322:J322">
    <cfRule type="cellIs" dxfId="2379" priority="256" stopIfTrue="1" operator="equal">
      <formula>"Operation"</formula>
    </cfRule>
  </conditionalFormatting>
  <conditionalFormatting sqref="K322">
    <cfRule type="cellIs" dxfId="2378" priority="255" stopIfTrue="1" operator="equal">
      <formula>"Operation"</formula>
    </cfRule>
  </conditionalFormatting>
  <conditionalFormatting sqref="G322:H322">
    <cfRule type="cellIs" dxfId="2377" priority="254" stopIfTrue="1" operator="equal">
      <formula>"Operation"</formula>
    </cfRule>
  </conditionalFormatting>
  <conditionalFormatting sqref="H322:P322">
    <cfRule type="cellIs" dxfId="2376" priority="252" stopIfTrue="1" operator="equal">
      <formula>"N/A"</formula>
    </cfRule>
  </conditionalFormatting>
  <conditionalFormatting sqref="O322:P322">
    <cfRule type="cellIs" dxfId="2375" priority="257" stopIfTrue="1" operator="equal">
      <formula>"Operation"</formula>
    </cfRule>
  </conditionalFormatting>
  <conditionalFormatting sqref="D322">
    <cfRule type="cellIs" dxfId="2374" priority="253" stopIfTrue="1" operator="equal">
      <formula>"Total"</formula>
    </cfRule>
  </conditionalFormatting>
  <conditionalFormatting sqref="G326:H326">
    <cfRule type="cellIs" dxfId="2373" priority="251" stopIfTrue="1" operator="equal">
      <formula>"Operation"</formula>
    </cfRule>
  </conditionalFormatting>
  <conditionalFormatting sqref="H326:P326">
    <cfRule type="cellIs" dxfId="2372" priority="250" stopIfTrue="1" operator="equal">
      <formula>"N/A"</formula>
    </cfRule>
  </conditionalFormatting>
  <conditionalFormatting sqref="E322">
    <cfRule type="cellIs" dxfId="2371" priority="249" stopIfTrue="1" operator="equal">
      <formula>"Operation"</formula>
    </cfRule>
  </conditionalFormatting>
  <conditionalFormatting sqref="E322">
    <cfRule type="cellIs" dxfId="2370" priority="248" stopIfTrue="1" operator="equal">
      <formula>"N/A"</formula>
    </cfRule>
  </conditionalFormatting>
  <conditionalFormatting sqref="F322">
    <cfRule type="cellIs" dxfId="2369" priority="247" stopIfTrue="1" operator="equal">
      <formula>"Operation"</formula>
    </cfRule>
  </conditionalFormatting>
  <conditionalFormatting sqref="F322">
    <cfRule type="cellIs" dxfId="2368" priority="246" stopIfTrue="1" operator="equal">
      <formula>"N/A"</formula>
    </cfRule>
  </conditionalFormatting>
  <conditionalFormatting sqref="H328:H329">
    <cfRule type="cellIs" dxfId="2367" priority="242" stopIfTrue="1" operator="equal">
      <formula>"Operation"</formula>
    </cfRule>
  </conditionalFormatting>
  <conditionalFormatting sqref="H328:H329">
    <cfRule type="cellIs" dxfId="2366" priority="241" stopIfTrue="1" operator="equal">
      <formula>"N/A"</formula>
    </cfRule>
  </conditionalFormatting>
  <conditionalFormatting sqref="G333:H333">
    <cfRule type="cellIs" dxfId="2365" priority="245" stopIfTrue="1" operator="equal">
      <formula>"Operation"</formula>
    </cfRule>
  </conditionalFormatting>
  <conditionalFormatting sqref="H333:P333">
    <cfRule type="cellIs" dxfId="2364" priority="244" stopIfTrue="1" operator="equal">
      <formula>"N/A"</formula>
    </cfRule>
  </conditionalFormatting>
  <conditionalFormatting sqref="E333">
    <cfRule type="cellIs" dxfId="2363" priority="243" stopIfTrue="1" operator="equal">
      <formula>"N/A"</formula>
    </cfRule>
  </conditionalFormatting>
  <conditionalFormatting sqref="F333">
    <cfRule type="cellIs" dxfId="2362" priority="240" stopIfTrue="1" operator="equal">
      <formula>"N/A"</formula>
    </cfRule>
  </conditionalFormatting>
  <conditionalFormatting sqref="J330">
    <cfRule type="cellIs" dxfId="2361" priority="239" stopIfTrue="1" operator="equal">
      <formula>"Operation"</formula>
    </cfRule>
  </conditionalFormatting>
  <conditionalFormatting sqref="J330">
    <cfRule type="cellIs" dxfId="2360" priority="238" stopIfTrue="1" operator="equal">
      <formula>"N/A"</formula>
    </cfRule>
  </conditionalFormatting>
  <conditionalFormatting sqref="G337:P337 E337:F338">
    <cfRule type="cellIs" dxfId="2359" priority="237" stopIfTrue="1" operator="equal">
      <formula>"Operation"</formula>
    </cfRule>
  </conditionalFormatting>
  <conditionalFormatting sqref="D334:D338">
    <cfRule type="cellIs" dxfId="2358" priority="236" stopIfTrue="1" operator="equal">
      <formula>"Total"</formula>
    </cfRule>
  </conditionalFormatting>
  <conditionalFormatting sqref="H337:P337 E337:F338">
    <cfRule type="cellIs" dxfId="2357" priority="235" stopIfTrue="1" operator="equal">
      <formula>"N/A"</formula>
    </cfRule>
  </conditionalFormatting>
  <conditionalFormatting sqref="I338:P338 E335:P335 E336:N336 P336">
    <cfRule type="cellIs" dxfId="2356" priority="234" stopIfTrue="1" operator="equal">
      <formula>"Operation"</formula>
    </cfRule>
  </conditionalFormatting>
  <conditionalFormatting sqref="E335:P335 E336:N336 P336">
    <cfRule type="cellIs" dxfId="2355" priority="233" stopIfTrue="1" operator="equal">
      <formula>"N/A"</formula>
    </cfRule>
  </conditionalFormatting>
  <conditionalFormatting sqref="L334:N334 I334:J334">
    <cfRule type="cellIs" dxfId="2354" priority="231" stopIfTrue="1" operator="equal">
      <formula>"Operation"</formula>
    </cfRule>
  </conditionalFormatting>
  <conditionalFormatting sqref="K334">
    <cfRule type="cellIs" dxfId="2353" priority="230" stopIfTrue="1" operator="equal">
      <formula>"Operation"</formula>
    </cfRule>
  </conditionalFormatting>
  <conditionalFormatting sqref="G334:H334">
    <cfRule type="cellIs" dxfId="2352" priority="229" stopIfTrue="1" operator="equal">
      <formula>"Operation"</formula>
    </cfRule>
  </conditionalFormatting>
  <conditionalFormatting sqref="H334:P334">
    <cfRule type="cellIs" dxfId="2351" priority="227" stopIfTrue="1" operator="equal">
      <formula>"N/A"</formula>
    </cfRule>
  </conditionalFormatting>
  <conditionalFormatting sqref="O334:P334">
    <cfRule type="cellIs" dxfId="2350" priority="232" stopIfTrue="1" operator="equal">
      <formula>"Operation"</formula>
    </cfRule>
  </conditionalFormatting>
  <conditionalFormatting sqref="D334">
    <cfRule type="cellIs" dxfId="2349" priority="228" stopIfTrue="1" operator="equal">
      <formula>"Total"</formula>
    </cfRule>
  </conditionalFormatting>
  <conditionalFormatting sqref="G338:H338">
    <cfRule type="cellIs" dxfId="2348" priority="226" stopIfTrue="1" operator="equal">
      <formula>"Operation"</formula>
    </cfRule>
  </conditionalFormatting>
  <conditionalFormatting sqref="H338:P338">
    <cfRule type="cellIs" dxfId="2347" priority="225" stopIfTrue="1" operator="equal">
      <formula>"N/A"</formula>
    </cfRule>
  </conditionalFormatting>
  <conditionalFormatting sqref="E334">
    <cfRule type="cellIs" dxfId="2346" priority="224" stopIfTrue="1" operator="equal">
      <formula>"Operation"</formula>
    </cfRule>
  </conditionalFormatting>
  <conditionalFormatting sqref="E334">
    <cfRule type="cellIs" dxfId="2345" priority="223" stopIfTrue="1" operator="equal">
      <formula>"N/A"</formula>
    </cfRule>
  </conditionalFormatting>
  <conditionalFormatting sqref="F334">
    <cfRule type="cellIs" dxfId="2344" priority="222" stopIfTrue="1" operator="equal">
      <formula>"Operation"</formula>
    </cfRule>
  </conditionalFormatting>
  <conditionalFormatting sqref="F334">
    <cfRule type="cellIs" dxfId="2343" priority="221" stopIfTrue="1" operator="equal">
      <formula>"N/A"</formula>
    </cfRule>
  </conditionalFormatting>
  <conditionalFormatting sqref="O336">
    <cfRule type="cellIs" dxfId="2342" priority="220" stopIfTrue="1" operator="equal">
      <formula>"Operation"</formula>
    </cfRule>
  </conditionalFormatting>
  <conditionalFormatting sqref="O336">
    <cfRule type="cellIs" dxfId="2341" priority="219" stopIfTrue="1" operator="equal">
      <formula>"N/A"</formula>
    </cfRule>
  </conditionalFormatting>
  <conditionalFormatting sqref="B339:P343">
    <cfRule type="cellIs" dxfId="2340" priority="217" stopIfTrue="1" operator="equal">
      <formula>"N/A"</formula>
    </cfRule>
  </conditionalFormatting>
  <conditionalFormatting sqref="D339:D343">
    <cfRule type="cellIs" dxfId="2339" priority="216" stopIfTrue="1" operator="equal">
      <formula>"Operation"</formula>
    </cfRule>
  </conditionalFormatting>
  <conditionalFormatting sqref="L342:P342">
    <cfRule type="cellIs" dxfId="2338" priority="215" stopIfTrue="1" operator="equal">
      <formula>"Operation"</formula>
    </cfRule>
  </conditionalFormatting>
  <conditionalFormatting sqref="L342:P342">
    <cfRule type="cellIs" dxfId="2337" priority="214" stopIfTrue="1" operator="equal">
      <formula>"N/A"</formula>
    </cfRule>
  </conditionalFormatting>
  <conditionalFormatting sqref="L343:P343 L340:P341">
    <cfRule type="cellIs" dxfId="2336" priority="213" stopIfTrue="1" operator="equal">
      <formula>"Operation"</formula>
    </cfRule>
  </conditionalFormatting>
  <conditionalFormatting sqref="L340:P341">
    <cfRule type="cellIs" dxfId="2335" priority="212" stopIfTrue="1" operator="equal">
      <formula>"N/A"</formula>
    </cfRule>
  </conditionalFormatting>
  <conditionalFormatting sqref="L339:N339">
    <cfRule type="cellIs" dxfId="2334" priority="210" stopIfTrue="1" operator="equal">
      <formula>"Operation"</formula>
    </cfRule>
  </conditionalFormatting>
  <conditionalFormatting sqref="L339:P339">
    <cfRule type="cellIs" dxfId="2333" priority="209" stopIfTrue="1" operator="equal">
      <formula>"N/A"</formula>
    </cfRule>
  </conditionalFormatting>
  <conditionalFormatting sqref="O339:P339">
    <cfRule type="cellIs" dxfId="2332" priority="211" stopIfTrue="1" operator="equal">
      <formula>"Operation"</formula>
    </cfRule>
  </conditionalFormatting>
  <conditionalFormatting sqref="L343:P343">
    <cfRule type="cellIs" dxfId="2331" priority="208" stopIfTrue="1" operator="equal">
      <formula>"N/A"</formula>
    </cfRule>
  </conditionalFormatting>
  <conditionalFormatting sqref="G342:K342 E342:F343">
    <cfRule type="cellIs" dxfId="2330" priority="207" stopIfTrue="1" operator="equal">
      <formula>"Operation"</formula>
    </cfRule>
  </conditionalFormatting>
  <conditionalFormatting sqref="D339:D343">
    <cfRule type="cellIs" dxfId="2329" priority="206" stopIfTrue="1" operator="equal">
      <formula>"Total"</formula>
    </cfRule>
  </conditionalFormatting>
  <conditionalFormatting sqref="H342:K342 E342:F343">
    <cfRule type="cellIs" dxfId="2328" priority="205" stopIfTrue="1" operator="equal">
      <formula>"N/A"</formula>
    </cfRule>
  </conditionalFormatting>
  <conditionalFormatting sqref="I343:K343 E340:K341">
    <cfRule type="cellIs" dxfId="2327" priority="204" stopIfTrue="1" operator="equal">
      <formula>"Operation"</formula>
    </cfRule>
  </conditionalFormatting>
  <conditionalFormatting sqref="E340:K341">
    <cfRule type="cellIs" dxfId="2326" priority="203" stopIfTrue="1" operator="equal">
      <formula>"N/A"</formula>
    </cfRule>
  </conditionalFormatting>
  <conditionalFormatting sqref="I339:J339">
    <cfRule type="cellIs" dxfId="2325" priority="202" stopIfTrue="1" operator="equal">
      <formula>"Operation"</formula>
    </cfRule>
  </conditionalFormatting>
  <conditionalFormatting sqref="K339">
    <cfRule type="cellIs" dxfId="2324" priority="201" stopIfTrue="1" operator="equal">
      <formula>"Operation"</formula>
    </cfRule>
  </conditionalFormatting>
  <conditionalFormatting sqref="G339:H339">
    <cfRule type="cellIs" dxfId="2323" priority="200" stopIfTrue="1" operator="equal">
      <formula>"Operation"</formula>
    </cfRule>
  </conditionalFormatting>
  <conditionalFormatting sqref="H339:K339">
    <cfRule type="cellIs" dxfId="2322" priority="198" stopIfTrue="1" operator="equal">
      <formula>"N/A"</formula>
    </cfRule>
  </conditionalFormatting>
  <conditionalFormatting sqref="D339">
    <cfRule type="cellIs" dxfId="2321" priority="199" stopIfTrue="1" operator="equal">
      <formula>"Total"</formula>
    </cfRule>
  </conditionalFormatting>
  <conditionalFormatting sqref="G343:H343">
    <cfRule type="cellIs" dxfId="2320" priority="197" stopIfTrue="1" operator="equal">
      <formula>"Operation"</formula>
    </cfRule>
  </conditionalFormatting>
  <conditionalFormatting sqref="H343:K343">
    <cfRule type="cellIs" dxfId="2319" priority="196" stopIfTrue="1" operator="equal">
      <formula>"N/A"</formula>
    </cfRule>
  </conditionalFormatting>
  <conditionalFormatting sqref="E339">
    <cfRule type="cellIs" dxfId="2318" priority="195" stopIfTrue="1" operator="equal">
      <formula>"Operation"</formula>
    </cfRule>
  </conditionalFormatting>
  <conditionalFormatting sqref="E339">
    <cfRule type="cellIs" dxfId="2317" priority="194" stopIfTrue="1" operator="equal">
      <formula>"N/A"</formula>
    </cfRule>
  </conditionalFormatting>
  <conditionalFormatting sqref="F339">
    <cfRule type="cellIs" dxfId="2316" priority="193" stopIfTrue="1" operator="equal">
      <formula>"Operation"</formula>
    </cfRule>
  </conditionalFormatting>
  <conditionalFormatting sqref="F339">
    <cfRule type="cellIs" dxfId="2315" priority="192" stopIfTrue="1" operator="equal">
      <formula>"N/A"</formula>
    </cfRule>
  </conditionalFormatting>
  <conditionalFormatting sqref="B317:P321">
    <cfRule type="cellIs" dxfId="2314" priority="190" stopIfTrue="1" operator="equal">
      <formula>"N/A"</formula>
    </cfRule>
  </conditionalFormatting>
  <conditionalFormatting sqref="D317:D321">
    <cfRule type="cellIs" dxfId="2313" priority="189" stopIfTrue="1" operator="equal">
      <formula>"Operation"</formula>
    </cfRule>
  </conditionalFormatting>
  <conditionalFormatting sqref="G320:P320 E321:F321">
    <cfRule type="cellIs" dxfId="2312" priority="188" stopIfTrue="1" operator="equal">
      <formula>"Operation"</formula>
    </cfRule>
  </conditionalFormatting>
  <conditionalFormatting sqref="D317:D321">
    <cfRule type="cellIs" dxfId="2311" priority="187" stopIfTrue="1" operator="equal">
      <formula>"Total"</formula>
    </cfRule>
  </conditionalFormatting>
  <conditionalFormatting sqref="H320:P320 E321:F321">
    <cfRule type="cellIs" dxfId="2310" priority="186" stopIfTrue="1" operator="equal">
      <formula>"N/A"</formula>
    </cfRule>
  </conditionalFormatting>
  <conditionalFormatting sqref="I321:P321 E318:P319 E320:F320">
    <cfRule type="cellIs" dxfId="2309" priority="185" stopIfTrue="1" operator="equal">
      <formula>"Operation"</formula>
    </cfRule>
  </conditionalFormatting>
  <conditionalFormatting sqref="E318:P319 E320:F320">
    <cfRule type="cellIs" dxfId="2308" priority="184" stopIfTrue="1" operator="equal">
      <formula>"N/A"</formula>
    </cfRule>
  </conditionalFormatting>
  <conditionalFormatting sqref="L317:N317 I317:J317">
    <cfRule type="cellIs" dxfId="2307" priority="182" stopIfTrue="1" operator="equal">
      <formula>"Operation"</formula>
    </cfRule>
  </conditionalFormatting>
  <conditionalFormatting sqref="K317">
    <cfRule type="cellIs" dxfId="2306" priority="181" stopIfTrue="1" operator="equal">
      <formula>"Operation"</formula>
    </cfRule>
  </conditionalFormatting>
  <conditionalFormatting sqref="G317:H317">
    <cfRule type="cellIs" dxfId="2305" priority="180" stopIfTrue="1" operator="equal">
      <formula>"Operation"</formula>
    </cfRule>
  </conditionalFormatting>
  <conditionalFormatting sqref="H317:P317">
    <cfRule type="cellIs" dxfId="2304" priority="178" stopIfTrue="1" operator="equal">
      <formula>"N/A"</formula>
    </cfRule>
  </conditionalFormatting>
  <conditionalFormatting sqref="O317:P317">
    <cfRule type="cellIs" dxfId="2303" priority="183" stopIfTrue="1" operator="equal">
      <formula>"Operation"</formula>
    </cfRule>
  </conditionalFormatting>
  <conditionalFormatting sqref="D317">
    <cfRule type="cellIs" dxfId="2302" priority="179" stopIfTrue="1" operator="equal">
      <formula>"Total"</formula>
    </cfRule>
  </conditionalFormatting>
  <conditionalFormatting sqref="G321:H321">
    <cfRule type="cellIs" dxfId="2301" priority="177" stopIfTrue="1" operator="equal">
      <formula>"Operation"</formula>
    </cfRule>
  </conditionalFormatting>
  <conditionalFormatting sqref="H321:P321">
    <cfRule type="cellIs" dxfId="2300" priority="176" stopIfTrue="1" operator="equal">
      <formula>"N/A"</formula>
    </cfRule>
  </conditionalFormatting>
  <conditionalFormatting sqref="E317">
    <cfRule type="cellIs" dxfId="2299" priority="175" stopIfTrue="1" operator="equal">
      <formula>"Operation"</formula>
    </cfRule>
  </conditionalFormatting>
  <conditionalFormatting sqref="E317">
    <cfRule type="cellIs" dxfId="2298" priority="174" stopIfTrue="1" operator="equal">
      <formula>"N/A"</formula>
    </cfRule>
  </conditionalFormatting>
  <conditionalFormatting sqref="F317">
    <cfRule type="cellIs" dxfId="2297" priority="173" stopIfTrue="1" operator="equal">
      <formula>"Operation"</formula>
    </cfRule>
  </conditionalFormatting>
  <conditionalFormatting sqref="F317">
    <cfRule type="cellIs" dxfId="2296" priority="172" stopIfTrue="1" operator="equal">
      <formula>"N/A"</formula>
    </cfRule>
  </conditionalFormatting>
  <conditionalFormatting sqref="B350:P355">
    <cfRule type="cellIs" dxfId="2295" priority="170" stopIfTrue="1" operator="equal">
      <formula>"N/A"</formula>
    </cfRule>
  </conditionalFormatting>
  <conditionalFormatting sqref="H350:P352">
    <cfRule type="cellIs" dxfId="2294" priority="167" stopIfTrue="1" operator="equal">
      <formula>"N/A"</formula>
    </cfRule>
  </conditionalFormatting>
  <conditionalFormatting sqref="D350:D352">
    <cfRule type="cellIs" dxfId="2293" priority="166" stopIfTrue="1" operator="equal">
      <formula>"Total"</formula>
    </cfRule>
    <cfRule type="cellIs" dxfId="2292" priority="168" stopIfTrue="1" operator="equal">
      <formula>"Operation"</formula>
    </cfRule>
  </conditionalFormatting>
  <conditionalFormatting sqref="H353:P355">
    <cfRule type="cellIs" dxfId="2291" priority="163" stopIfTrue="1" operator="equal">
      <formula>"N/A"</formula>
    </cfRule>
  </conditionalFormatting>
  <conditionalFormatting sqref="D353:D355">
    <cfRule type="cellIs" dxfId="2290" priority="162" stopIfTrue="1" operator="equal">
      <formula>"Total"</formula>
    </cfRule>
    <cfRule type="cellIs" dxfId="2289" priority="164" stopIfTrue="1" operator="equal">
      <formula>"Operation"</formula>
    </cfRule>
  </conditionalFormatting>
  <conditionalFormatting sqref="G350:G352">
    <cfRule type="cellIs" dxfId="2288" priority="161" stopIfTrue="1" operator="equal">
      <formula>"N/A"</formula>
    </cfRule>
  </conditionalFormatting>
  <conditionalFormatting sqref="G353:G355">
    <cfRule type="cellIs" dxfId="2287" priority="160" stopIfTrue="1" operator="equal">
      <formula>"N/A"</formula>
    </cfRule>
  </conditionalFormatting>
  <conditionalFormatting sqref="D350:D355">
    <cfRule type="cellIs" dxfId="2286" priority="159" stopIfTrue="1" operator="equal">
      <formula>"Operation"</formula>
    </cfRule>
  </conditionalFormatting>
  <conditionalFormatting sqref="B357:P358 B364:P386 B393:P393">
    <cfRule type="cellIs" dxfId="2285" priority="156" stopIfTrue="1" operator="equal">
      <formula>"N/A"</formula>
    </cfRule>
  </conditionalFormatting>
  <conditionalFormatting sqref="D357:D358">
    <cfRule type="cellIs" dxfId="2284" priority="155" stopIfTrue="1" operator="equal">
      <formula>"Total"</formula>
    </cfRule>
    <cfRule type="cellIs" dxfId="2283" priority="157" stopIfTrue="1" operator="equal">
      <formula>"Operation"</formula>
    </cfRule>
  </conditionalFormatting>
  <conditionalFormatting sqref="G393:P393">
    <cfRule type="cellIs" dxfId="2282" priority="152" stopIfTrue="1" operator="equal">
      <formula>"N/A"</formula>
    </cfRule>
  </conditionalFormatting>
  <conditionalFormatting sqref="D393">
    <cfRule type="cellIs" dxfId="2281" priority="151" stopIfTrue="1" operator="equal">
      <formula>"Total"</formula>
    </cfRule>
    <cfRule type="cellIs" dxfId="2280" priority="153" stopIfTrue="1" operator="equal">
      <formula>"Operation"</formula>
    </cfRule>
  </conditionalFormatting>
  <conditionalFormatting sqref="H381:P383">
    <cfRule type="cellIs" dxfId="2279" priority="148" stopIfTrue="1" operator="equal">
      <formula>"N/A"</formula>
    </cfRule>
  </conditionalFormatting>
  <conditionalFormatting sqref="D381:D383">
    <cfRule type="cellIs" dxfId="2278" priority="147" stopIfTrue="1" operator="equal">
      <formula>"Total"</formula>
    </cfRule>
    <cfRule type="cellIs" dxfId="2277" priority="149" stopIfTrue="1" operator="equal">
      <formula>"Operation"</formula>
    </cfRule>
  </conditionalFormatting>
  <conditionalFormatting sqref="H384:P386">
    <cfRule type="cellIs" dxfId="2276" priority="144" stopIfTrue="1" operator="equal">
      <formula>"N/A"</formula>
    </cfRule>
  </conditionalFormatting>
  <conditionalFormatting sqref="D384:D386">
    <cfRule type="cellIs" dxfId="2275" priority="143" stopIfTrue="1" operator="equal">
      <formula>"Total"</formula>
    </cfRule>
    <cfRule type="cellIs" dxfId="2274" priority="145" stopIfTrue="1" operator="equal">
      <formula>"Operation"</formula>
    </cfRule>
  </conditionalFormatting>
  <conditionalFormatting sqref="G381:G383">
    <cfRule type="cellIs" dxfId="2273" priority="142" stopIfTrue="1" operator="equal">
      <formula>"N/A"</formula>
    </cfRule>
  </conditionalFormatting>
  <conditionalFormatting sqref="G384:G386">
    <cfRule type="cellIs" dxfId="2272" priority="141" stopIfTrue="1" operator="equal">
      <formula>"N/A"</formula>
    </cfRule>
  </conditionalFormatting>
  <conditionalFormatting sqref="D357:D358 D364:D386 D393">
    <cfRule type="cellIs" dxfId="2271" priority="140" stopIfTrue="1" operator="equal">
      <formula>"Operation"</formula>
    </cfRule>
  </conditionalFormatting>
  <conditionalFormatting sqref="C369:D371">
    <cfRule type="expression" dxfId="2270" priority="139">
      <formula>"$D60=""Trigger"")"</formula>
    </cfRule>
  </conditionalFormatting>
  <conditionalFormatting sqref="C372:D380">
    <cfRule type="expression" dxfId="2269" priority="138">
      <formula>"$D60=""Trigger"")"</formula>
    </cfRule>
  </conditionalFormatting>
  <conditionalFormatting sqref="E369:P375">
    <cfRule type="cellIs" dxfId="2268" priority="137" stopIfTrue="1" operator="equal">
      <formula>"Operation"</formula>
    </cfRule>
  </conditionalFormatting>
  <conditionalFormatting sqref="D369:D375">
    <cfRule type="cellIs" dxfId="2267" priority="136" stopIfTrue="1" operator="equal">
      <formula>"Total"</formula>
    </cfRule>
  </conditionalFormatting>
  <conditionalFormatting sqref="G367:P367 E367:F368">
    <cfRule type="cellIs" dxfId="2266" priority="135" stopIfTrue="1" operator="equal">
      <formula>"Operation"</formula>
    </cfRule>
  </conditionalFormatting>
  <conditionalFormatting sqref="D364:D368">
    <cfRule type="cellIs" dxfId="2265" priority="134" stopIfTrue="1" operator="equal">
      <formula>"Total"</formula>
    </cfRule>
  </conditionalFormatting>
  <conditionalFormatting sqref="H367:P367 E367:F368">
    <cfRule type="cellIs" dxfId="2264" priority="133" stopIfTrue="1" operator="equal">
      <formula>"N/A"</formula>
    </cfRule>
  </conditionalFormatting>
  <conditionalFormatting sqref="I368:P368 E365:P366">
    <cfRule type="cellIs" dxfId="2263" priority="132" stopIfTrue="1" operator="equal">
      <formula>"Operation"</formula>
    </cfRule>
  </conditionalFormatting>
  <conditionalFormatting sqref="E365:P366">
    <cfRule type="cellIs" dxfId="2262" priority="131" stopIfTrue="1" operator="equal">
      <formula>"N/A"</formula>
    </cfRule>
  </conditionalFormatting>
  <conditionalFormatting sqref="L364:N364 I364:J364">
    <cfRule type="cellIs" dxfId="2261" priority="129" stopIfTrue="1" operator="equal">
      <formula>"Operation"</formula>
    </cfRule>
  </conditionalFormatting>
  <conditionalFormatting sqref="K364">
    <cfRule type="cellIs" dxfId="2260" priority="128" stopIfTrue="1" operator="equal">
      <formula>"Operation"</formula>
    </cfRule>
  </conditionalFormatting>
  <conditionalFormatting sqref="G364:H364">
    <cfRule type="cellIs" dxfId="2259" priority="127" stopIfTrue="1" operator="equal">
      <formula>"Operation"</formula>
    </cfRule>
  </conditionalFormatting>
  <conditionalFormatting sqref="H364:P364">
    <cfRule type="cellIs" dxfId="2258" priority="125" stopIfTrue="1" operator="equal">
      <formula>"N/A"</formula>
    </cfRule>
  </conditionalFormatting>
  <conditionalFormatting sqref="O364:P364">
    <cfRule type="cellIs" dxfId="2257" priority="130" stopIfTrue="1" operator="equal">
      <formula>"Operation"</formula>
    </cfRule>
  </conditionalFormatting>
  <conditionalFormatting sqref="D364">
    <cfRule type="cellIs" dxfId="2256" priority="126" stopIfTrue="1" operator="equal">
      <formula>"Total"</formula>
    </cfRule>
  </conditionalFormatting>
  <conditionalFormatting sqref="G368:H368">
    <cfRule type="cellIs" dxfId="2255" priority="124" stopIfTrue="1" operator="equal">
      <formula>"Operation"</formula>
    </cfRule>
  </conditionalFormatting>
  <conditionalFormatting sqref="H368:P368">
    <cfRule type="cellIs" dxfId="2254" priority="123" stopIfTrue="1" operator="equal">
      <formula>"N/A"</formula>
    </cfRule>
  </conditionalFormatting>
  <conditionalFormatting sqref="E364">
    <cfRule type="cellIs" dxfId="2253" priority="122" stopIfTrue="1" operator="equal">
      <formula>"Operation"</formula>
    </cfRule>
  </conditionalFormatting>
  <conditionalFormatting sqref="E364">
    <cfRule type="cellIs" dxfId="2252" priority="121" stopIfTrue="1" operator="equal">
      <formula>"N/A"</formula>
    </cfRule>
  </conditionalFormatting>
  <conditionalFormatting sqref="F364">
    <cfRule type="cellIs" dxfId="2251" priority="120" stopIfTrue="1" operator="equal">
      <formula>"Operation"</formula>
    </cfRule>
  </conditionalFormatting>
  <conditionalFormatting sqref="F364">
    <cfRule type="cellIs" dxfId="2250" priority="119" stopIfTrue="1" operator="equal">
      <formula>"N/A"</formula>
    </cfRule>
  </conditionalFormatting>
  <conditionalFormatting sqref="H370:H371">
    <cfRule type="cellIs" dxfId="2249" priority="115" stopIfTrue="1" operator="equal">
      <formula>"Operation"</formula>
    </cfRule>
  </conditionalFormatting>
  <conditionalFormatting sqref="H370:H371">
    <cfRule type="cellIs" dxfId="2248" priority="114" stopIfTrue="1" operator="equal">
      <formula>"N/A"</formula>
    </cfRule>
  </conditionalFormatting>
  <conditionalFormatting sqref="G375:H375">
    <cfRule type="cellIs" dxfId="2247" priority="118" stopIfTrue="1" operator="equal">
      <formula>"Operation"</formula>
    </cfRule>
  </conditionalFormatting>
  <conditionalFormatting sqref="H375:P375">
    <cfRule type="cellIs" dxfId="2246" priority="117" stopIfTrue="1" operator="equal">
      <formula>"N/A"</formula>
    </cfRule>
  </conditionalFormatting>
  <conditionalFormatting sqref="E375">
    <cfRule type="cellIs" dxfId="2245" priority="116" stopIfTrue="1" operator="equal">
      <formula>"N/A"</formula>
    </cfRule>
  </conditionalFormatting>
  <conditionalFormatting sqref="F375">
    <cfRule type="cellIs" dxfId="2244" priority="113" stopIfTrue="1" operator="equal">
      <formula>"N/A"</formula>
    </cfRule>
  </conditionalFormatting>
  <conditionalFormatting sqref="J372">
    <cfRule type="cellIs" dxfId="2243" priority="112" stopIfTrue="1" operator="equal">
      <formula>"Operation"</formula>
    </cfRule>
  </conditionalFormatting>
  <conditionalFormatting sqref="J372">
    <cfRule type="cellIs" dxfId="2242" priority="111" stopIfTrue="1" operator="equal">
      <formula>"N/A"</formula>
    </cfRule>
  </conditionalFormatting>
  <conditionalFormatting sqref="G379:P379 E379:F380">
    <cfRule type="cellIs" dxfId="2241" priority="110" stopIfTrue="1" operator="equal">
      <formula>"Operation"</formula>
    </cfRule>
  </conditionalFormatting>
  <conditionalFormatting sqref="D376:D380">
    <cfRule type="cellIs" dxfId="2240" priority="109" stopIfTrue="1" operator="equal">
      <formula>"Total"</formula>
    </cfRule>
  </conditionalFormatting>
  <conditionalFormatting sqref="H379:P379 E379:F380">
    <cfRule type="cellIs" dxfId="2239" priority="108" stopIfTrue="1" operator="equal">
      <formula>"N/A"</formula>
    </cfRule>
  </conditionalFormatting>
  <conditionalFormatting sqref="I380:P380 E377:P377 E378:N378 P378">
    <cfRule type="cellIs" dxfId="2238" priority="107" stopIfTrue="1" operator="equal">
      <formula>"Operation"</formula>
    </cfRule>
  </conditionalFormatting>
  <conditionalFormatting sqref="E377:P377 E378:N378 P378">
    <cfRule type="cellIs" dxfId="2237" priority="106" stopIfTrue="1" operator="equal">
      <formula>"N/A"</formula>
    </cfRule>
  </conditionalFormatting>
  <conditionalFormatting sqref="L376:N376 I376:J376">
    <cfRule type="cellIs" dxfId="2236" priority="104" stopIfTrue="1" operator="equal">
      <formula>"Operation"</formula>
    </cfRule>
  </conditionalFormatting>
  <conditionalFormatting sqref="K376">
    <cfRule type="cellIs" dxfId="2235" priority="103" stopIfTrue="1" operator="equal">
      <formula>"Operation"</formula>
    </cfRule>
  </conditionalFormatting>
  <conditionalFormatting sqref="G376:H376">
    <cfRule type="cellIs" dxfId="2234" priority="102" stopIfTrue="1" operator="equal">
      <formula>"Operation"</formula>
    </cfRule>
  </conditionalFormatting>
  <conditionalFormatting sqref="H376:P376">
    <cfRule type="cellIs" dxfId="2233" priority="100" stopIfTrue="1" operator="equal">
      <formula>"N/A"</formula>
    </cfRule>
  </conditionalFormatting>
  <conditionalFormatting sqref="O376:P376">
    <cfRule type="cellIs" dxfId="2232" priority="105" stopIfTrue="1" operator="equal">
      <formula>"Operation"</formula>
    </cfRule>
  </conditionalFormatting>
  <conditionalFormatting sqref="D376">
    <cfRule type="cellIs" dxfId="2231" priority="101" stopIfTrue="1" operator="equal">
      <formula>"Total"</formula>
    </cfRule>
  </conditionalFormatting>
  <conditionalFormatting sqref="G380:H380">
    <cfRule type="cellIs" dxfId="2230" priority="99" stopIfTrue="1" operator="equal">
      <formula>"Operation"</formula>
    </cfRule>
  </conditionalFormatting>
  <conditionalFormatting sqref="H380:P380">
    <cfRule type="cellIs" dxfId="2229" priority="98" stopIfTrue="1" operator="equal">
      <formula>"N/A"</formula>
    </cfRule>
  </conditionalFormatting>
  <conditionalFormatting sqref="E376">
    <cfRule type="cellIs" dxfId="2228" priority="97" stopIfTrue="1" operator="equal">
      <formula>"Operation"</formula>
    </cfRule>
  </conditionalFormatting>
  <conditionalFormatting sqref="E376">
    <cfRule type="cellIs" dxfId="2227" priority="96" stopIfTrue="1" operator="equal">
      <formula>"N/A"</formula>
    </cfRule>
  </conditionalFormatting>
  <conditionalFormatting sqref="F376">
    <cfRule type="cellIs" dxfId="2226" priority="95" stopIfTrue="1" operator="equal">
      <formula>"Operation"</formula>
    </cfRule>
  </conditionalFormatting>
  <conditionalFormatting sqref="F376">
    <cfRule type="cellIs" dxfId="2225" priority="94" stopIfTrue="1" operator="equal">
      <formula>"N/A"</formula>
    </cfRule>
  </conditionalFormatting>
  <conditionalFormatting sqref="O378">
    <cfRule type="cellIs" dxfId="2224" priority="93" stopIfTrue="1" operator="equal">
      <formula>"Operation"</formula>
    </cfRule>
  </conditionalFormatting>
  <conditionalFormatting sqref="O378">
    <cfRule type="cellIs" dxfId="2223" priority="92" stopIfTrue="1" operator="equal">
      <formula>"N/A"</formula>
    </cfRule>
  </conditionalFormatting>
  <conditionalFormatting sqref="B359:P363">
    <cfRule type="cellIs" dxfId="2222" priority="90" stopIfTrue="1" operator="equal">
      <formula>"N/A"</formula>
    </cfRule>
  </conditionalFormatting>
  <conditionalFormatting sqref="D359:D363">
    <cfRule type="cellIs" dxfId="2221" priority="89" stopIfTrue="1" operator="equal">
      <formula>"Operation"</formula>
    </cfRule>
  </conditionalFormatting>
  <conditionalFormatting sqref="G362:P362 E363:F363">
    <cfRule type="cellIs" dxfId="2220" priority="88" stopIfTrue="1" operator="equal">
      <formula>"Operation"</formula>
    </cfRule>
  </conditionalFormatting>
  <conditionalFormatting sqref="D359:D363">
    <cfRule type="cellIs" dxfId="2219" priority="87" stopIfTrue="1" operator="equal">
      <formula>"Total"</formula>
    </cfRule>
  </conditionalFormatting>
  <conditionalFormatting sqref="H362:P362 E363:F363">
    <cfRule type="cellIs" dxfId="2218" priority="86" stopIfTrue="1" operator="equal">
      <formula>"N/A"</formula>
    </cfRule>
  </conditionalFormatting>
  <conditionalFormatting sqref="I363:P363 E360:P361 E362:F362">
    <cfRule type="cellIs" dxfId="2217" priority="85" stopIfTrue="1" operator="equal">
      <formula>"Operation"</formula>
    </cfRule>
  </conditionalFormatting>
  <conditionalFormatting sqref="E360:P361 E362:F362">
    <cfRule type="cellIs" dxfId="2216" priority="84" stopIfTrue="1" operator="equal">
      <formula>"N/A"</formula>
    </cfRule>
  </conditionalFormatting>
  <conditionalFormatting sqref="L359:N359 I359:J359">
    <cfRule type="cellIs" dxfId="2215" priority="82" stopIfTrue="1" operator="equal">
      <formula>"Operation"</formula>
    </cfRule>
  </conditionalFormatting>
  <conditionalFormatting sqref="K359">
    <cfRule type="cellIs" dxfId="2214" priority="81" stopIfTrue="1" operator="equal">
      <formula>"Operation"</formula>
    </cfRule>
  </conditionalFormatting>
  <conditionalFormatting sqref="G359:H359">
    <cfRule type="cellIs" dxfId="2213" priority="80" stopIfTrue="1" operator="equal">
      <formula>"Operation"</formula>
    </cfRule>
  </conditionalFormatting>
  <conditionalFormatting sqref="H359:P359">
    <cfRule type="cellIs" dxfId="2212" priority="78" stopIfTrue="1" operator="equal">
      <formula>"N/A"</formula>
    </cfRule>
  </conditionalFormatting>
  <conditionalFormatting sqref="O359:P359">
    <cfRule type="cellIs" dxfId="2211" priority="83" stopIfTrue="1" operator="equal">
      <formula>"Operation"</formula>
    </cfRule>
  </conditionalFormatting>
  <conditionalFormatting sqref="D359">
    <cfRule type="cellIs" dxfId="2210" priority="79" stopIfTrue="1" operator="equal">
      <formula>"Total"</formula>
    </cfRule>
  </conditionalFormatting>
  <conditionalFormatting sqref="G363:H363">
    <cfRule type="cellIs" dxfId="2209" priority="77" stopIfTrue="1" operator="equal">
      <formula>"Operation"</formula>
    </cfRule>
  </conditionalFormatting>
  <conditionalFormatting sqref="H363:P363">
    <cfRule type="cellIs" dxfId="2208" priority="76" stopIfTrue="1" operator="equal">
      <formula>"N/A"</formula>
    </cfRule>
  </conditionalFormatting>
  <conditionalFormatting sqref="E359">
    <cfRule type="cellIs" dxfId="2207" priority="75" stopIfTrue="1" operator="equal">
      <formula>"Operation"</formula>
    </cfRule>
  </conditionalFormatting>
  <conditionalFormatting sqref="E359">
    <cfRule type="cellIs" dxfId="2206" priority="74" stopIfTrue="1" operator="equal">
      <formula>"N/A"</formula>
    </cfRule>
  </conditionalFormatting>
  <conditionalFormatting sqref="F359">
    <cfRule type="cellIs" dxfId="2205" priority="73" stopIfTrue="1" operator="equal">
      <formula>"Operation"</formula>
    </cfRule>
  </conditionalFormatting>
  <conditionalFormatting sqref="F359">
    <cfRule type="cellIs" dxfId="2204" priority="72" stopIfTrue="1" operator="equal">
      <formula>"N/A"</formula>
    </cfRule>
  </conditionalFormatting>
  <conditionalFormatting sqref="B387:P392">
    <cfRule type="cellIs" dxfId="2203" priority="70" stopIfTrue="1" operator="equal">
      <formula>"N/A"</formula>
    </cfRule>
  </conditionalFormatting>
  <conditionalFormatting sqref="H387:P389">
    <cfRule type="cellIs" dxfId="2202" priority="67" stopIfTrue="1" operator="equal">
      <formula>"N/A"</formula>
    </cfRule>
  </conditionalFormatting>
  <conditionalFormatting sqref="D387:D389">
    <cfRule type="cellIs" dxfId="2201" priority="66" stopIfTrue="1" operator="equal">
      <formula>"Total"</formula>
    </cfRule>
    <cfRule type="cellIs" dxfId="2200" priority="68" stopIfTrue="1" operator="equal">
      <formula>"Operation"</formula>
    </cfRule>
  </conditionalFormatting>
  <conditionalFormatting sqref="H390:P392">
    <cfRule type="cellIs" dxfId="2199" priority="63" stopIfTrue="1" operator="equal">
      <formula>"N/A"</formula>
    </cfRule>
  </conditionalFormatting>
  <conditionalFormatting sqref="D390:D392">
    <cfRule type="cellIs" dxfId="2198" priority="62" stopIfTrue="1" operator="equal">
      <formula>"Total"</formula>
    </cfRule>
    <cfRule type="cellIs" dxfId="2197" priority="64" stopIfTrue="1" operator="equal">
      <formula>"Operation"</formula>
    </cfRule>
  </conditionalFormatting>
  <conditionalFormatting sqref="G387:G389">
    <cfRule type="cellIs" dxfId="2196" priority="61" stopIfTrue="1" operator="equal">
      <formula>"N/A"</formula>
    </cfRule>
  </conditionalFormatting>
  <conditionalFormatting sqref="G390:G392">
    <cfRule type="cellIs" dxfId="2195" priority="60" stopIfTrue="1" operator="equal">
      <formula>"N/A"</formula>
    </cfRule>
  </conditionalFormatting>
  <conditionalFormatting sqref="D387:D392">
    <cfRule type="cellIs" dxfId="2194" priority="59" stopIfTrue="1" operator="equal">
      <formula>"Operation"</formula>
    </cfRule>
  </conditionalFormatting>
  <conditionalFormatting sqref="B394:P395 B401:P407">
    <cfRule type="cellIs" dxfId="2193" priority="56" stopIfTrue="1" operator="equal">
      <formula>"N/A"</formula>
    </cfRule>
  </conditionalFormatting>
  <conditionalFormatting sqref="D394:D395">
    <cfRule type="cellIs" dxfId="2192" priority="55" stopIfTrue="1" operator="equal">
      <formula>"Total"</formula>
    </cfRule>
    <cfRule type="cellIs" dxfId="2191" priority="57" stopIfTrue="1" operator="equal">
      <formula>"Operation"</formula>
    </cfRule>
  </conditionalFormatting>
  <conditionalFormatting sqref="G407:P407">
    <cfRule type="cellIs" dxfId="2190" priority="52" stopIfTrue="1" operator="equal">
      <formula>"N/A"</formula>
    </cfRule>
  </conditionalFormatting>
  <conditionalFormatting sqref="D407">
    <cfRule type="cellIs" dxfId="2189" priority="51" stopIfTrue="1" operator="equal">
      <formula>"Total"</formula>
    </cfRule>
    <cfRule type="cellIs" dxfId="2188" priority="53" stopIfTrue="1" operator="equal">
      <formula>"Operation"</formula>
    </cfRule>
  </conditionalFormatting>
  <conditionalFormatting sqref="H401:P403">
    <cfRule type="cellIs" dxfId="2187" priority="48" stopIfTrue="1" operator="equal">
      <formula>"N/A"</formula>
    </cfRule>
  </conditionalFormatting>
  <conditionalFormatting sqref="D401:D403">
    <cfRule type="cellIs" dxfId="2186" priority="47" stopIfTrue="1" operator="equal">
      <formula>"Total"</formula>
    </cfRule>
    <cfRule type="cellIs" dxfId="2185" priority="49" stopIfTrue="1" operator="equal">
      <formula>"Operation"</formula>
    </cfRule>
  </conditionalFormatting>
  <conditionalFormatting sqref="H404:P406">
    <cfRule type="cellIs" dxfId="2184" priority="44" stopIfTrue="1" operator="equal">
      <formula>"N/A"</formula>
    </cfRule>
  </conditionalFormatting>
  <conditionalFormatting sqref="D404:D406">
    <cfRule type="cellIs" dxfId="2183" priority="43" stopIfTrue="1" operator="equal">
      <formula>"Total"</formula>
    </cfRule>
    <cfRule type="cellIs" dxfId="2182" priority="45" stopIfTrue="1" operator="equal">
      <formula>"Operation"</formula>
    </cfRule>
  </conditionalFormatting>
  <conditionalFormatting sqref="G401:G403">
    <cfRule type="cellIs" dxfId="2181" priority="42" stopIfTrue="1" operator="equal">
      <formula>"N/A"</formula>
    </cfRule>
  </conditionalFormatting>
  <conditionalFormatting sqref="G404:G406">
    <cfRule type="cellIs" dxfId="2180" priority="41" stopIfTrue="1" operator="equal">
      <formula>"N/A"</formula>
    </cfRule>
  </conditionalFormatting>
  <conditionalFormatting sqref="D394:D395 D401:D407">
    <cfRule type="cellIs" dxfId="2179" priority="40" stopIfTrue="1" operator="equal">
      <formula>"Operation"</formula>
    </cfRule>
  </conditionalFormatting>
  <conditionalFormatting sqref="B396:P400">
    <cfRule type="cellIs" dxfId="2178" priority="38" stopIfTrue="1" operator="equal">
      <formula>"N/A"</formula>
    </cfRule>
  </conditionalFormatting>
  <conditionalFormatting sqref="D396:D400">
    <cfRule type="cellIs" dxfId="2177" priority="37" stopIfTrue="1" operator="equal">
      <formula>"Operation"</formula>
    </cfRule>
  </conditionalFormatting>
  <conditionalFormatting sqref="G399:P399 E400:F400">
    <cfRule type="cellIs" dxfId="2176" priority="36" stopIfTrue="1" operator="equal">
      <formula>"Operation"</formula>
    </cfRule>
  </conditionalFormatting>
  <conditionalFormatting sqref="D396:D400">
    <cfRule type="cellIs" dxfId="2175" priority="35" stopIfTrue="1" operator="equal">
      <formula>"Total"</formula>
    </cfRule>
  </conditionalFormatting>
  <conditionalFormatting sqref="H399:P399 E400:F400">
    <cfRule type="cellIs" dxfId="2174" priority="34" stopIfTrue="1" operator="equal">
      <formula>"N/A"</formula>
    </cfRule>
  </conditionalFormatting>
  <conditionalFormatting sqref="I400:P400 E397:P398 E399:F399">
    <cfRule type="cellIs" dxfId="2173" priority="33" stopIfTrue="1" operator="equal">
      <formula>"Operation"</formula>
    </cfRule>
  </conditionalFormatting>
  <conditionalFormatting sqref="E397:P398 E399:F399">
    <cfRule type="cellIs" dxfId="2172" priority="32" stopIfTrue="1" operator="equal">
      <formula>"N/A"</formula>
    </cfRule>
  </conditionalFormatting>
  <conditionalFormatting sqref="L396:N396 I396:J396">
    <cfRule type="cellIs" dxfId="2171" priority="30" stopIfTrue="1" operator="equal">
      <formula>"Operation"</formula>
    </cfRule>
  </conditionalFormatting>
  <conditionalFormatting sqref="K396">
    <cfRule type="cellIs" dxfId="2170" priority="29" stopIfTrue="1" operator="equal">
      <formula>"Operation"</formula>
    </cfRule>
  </conditionalFormatting>
  <conditionalFormatting sqref="G396:H396">
    <cfRule type="cellIs" dxfId="2169" priority="28" stopIfTrue="1" operator="equal">
      <formula>"Operation"</formula>
    </cfRule>
  </conditionalFormatting>
  <conditionalFormatting sqref="H396:P396">
    <cfRule type="cellIs" dxfId="2168" priority="26" stopIfTrue="1" operator="equal">
      <formula>"N/A"</formula>
    </cfRule>
  </conditionalFormatting>
  <conditionalFormatting sqref="O396:P396">
    <cfRule type="cellIs" dxfId="2167" priority="31" stopIfTrue="1" operator="equal">
      <formula>"Operation"</formula>
    </cfRule>
  </conditionalFormatting>
  <conditionalFormatting sqref="D396">
    <cfRule type="cellIs" dxfId="2166" priority="27" stopIfTrue="1" operator="equal">
      <formula>"Total"</formula>
    </cfRule>
  </conditionalFormatting>
  <conditionalFormatting sqref="G400:H400">
    <cfRule type="cellIs" dxfId="2165" priority="25" stopIfTrue="1" operator="equal">
      <formula>"Operation"</formula>
    </cfRule>
  </conditionalFormatting>
  <conditionalFormatting sqref="H400:P400">
    <cfRule type="cellIs" dxfId="2164" priority="24" stopIfTrue="1" operator="equal">
      <formula>"N/A"</formula>
    </cfRule>
  </conditionalFormatting>
  <conditionalFormatting sqref="E396">
    <cfRule type="cellIs" dxfId="2163" priority="23" stopIfTrue="1" operator="equal">
      <formula>"Operation"</formula>
    </cfRule>
  </conditionalFormatting>
  <conditionalFormatting sqref="E396">
    <cfRule type="cellIs" dxfId="2162" priority="22" stopIfTrue="1" operator="equal">
      <formula>"N/A"</formula>
    </cfRule>
  </conditionalFormatting>
  <conditionalFormatting sqref="F396">
    <cfRule type="cellIs" dxfId="2161" priority="21" stopIfTrue="1" operator="equal">
      <formula>"Operation"</formula>
    </cfRule>
  </conditionalFormatting>
  <conditionalFormatting sqref="F396">
    <cfRule type="cellIs" dxfId="2160" priority="20" stopIfTrue="1" operator="equal">
      <formula>"N/A"</formula>
    </cfRule>
  </conditionalFormatting>
  <conditionalFormatting sqref="B609">
    <cfRule type="cellIs" dxfId="2159" priority="17" stopIfTrue="1" operator="equal">
      <formula>"Total"</formula>
    </cfRule>
    <cfRule type="cellIs" dxfId="2158" priority="18" stopIfTrue="1" operator="equal">
      <formula>"Operation"</formula>
    </cfRule>
    <cfRule type="cellIs" dxfId="2157" priority="19" stopIfTrue="1" operator="equal">
      <formula>"N/A"</formula>
    </cfRule>
  </conditionalFormatting>
  <conditionalFormatting sqref="C617:P617 B618:P625">
    <cfRule type="cellIs" dxfId="2156" priority="14" stopIfTrue="1" operator="equal">
      <formula>"N/A"</formula>
    </cfRule>
  </conditionalFormatting>
  <conditionalFormatting sqref="D617:D625">
    <cfRule type="cellIs" dxfId="2155" priority="13" stopIfTrue="1" operator="equal">
      <formula>"Total"</formula>
    </cfRule>
    <cfRule type="cellIs" dxfId="2154" priority="15" stopIfTrue="1" operator="equal">
      <formula>"Operation"</formula>
    </cfRule>
  </conditionalFormatting>
  <conditionalFormatting sqref="D617:D625">
    <cfRule type="cellIs" dxfId="2153" priority="12" stopIfTrue="1" operator="equal">
      <formula>"Operation"</formula>
    </cfRule>
  </conditionalFormatting>
  <conditionalFormatting sqref="B617">
    <cfRule type="cellIs" dxfId="2152" priority="9" stopIfTrue="1" operator="equal">
      <formula>"Total"</formula>
    </cfRule>
    <cfRule type="cellIs" dxfId="2151" priority="10" stopIfTrue="1" operator="equal">
      <formula>"Operation"</formula>
    </cfRule>
    <cfRule type="cellIs" dxfId="2150" priority="11" stopIfTrue="1" operator="equal">
      <formula>"N/A"</formula>
    </cfRule>
  </conditionalFormatting>
  <conditionalFormatting sqref="C626:P626 B627:P634">
    <cfRule type="cellIs" dxfId="2149" priority="6" stopIfTrue="1" operator="equal">
      <formula>"N/A"</formula>
    </cfRule>
  </conditionalFormatting>
  <conditionalFormatting sqref="D626:D634">
    <cfRule type="cellIs" dxfId="2148" priority="5" stopIfTrue="1" operator="equal">
      <formula>"Total"</formula>
    </cfRule>
    <cfRule type="cellIs" dxfId="2147" priority="7" stopIfTrue="1" operator="equal">
      <formula>"Operation"</formula>
    </cfRule>
  </conditionalFormatting>
  <conditionalFormatting sqref="D626:D634">
    <cfRule type="cellIs" dxfId="2146" priority="4" stopIfTrue="1" operator="equal">
      <formula>"Operation"</formula>
    </cfRule>
  </conditionalFormatting>
  <conditionalFormatting sqref="B626">
    <cfRule type="cellIs" dxfId="2145" priority="1" stopIfTrue="1" operator="equal">
      <formula>"Total"</formula>
    </cfRule>
    <cfRule type="cellIs" dxfId="2144" priority="2" stopIfTrue="1" operator="equal">
      <formula>"Operation"</formula>
    </cfRule>
    <cfRule type="cellIs" dxfId="2143" priority="3" stopIfTrue="1" operator="equal">
      <formula>"N/A"</formula>
    </cfRule>
  </conditionalFormatting>
  <pageMargins left="0.7" right="0.7" top="0.75" bottom="0.75" header="0.3" footer="0.3"/>
  <pageSetup paperSize="9" orientation="portrait"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7" tint="-0.249977111117893"/>
  </sheetPr>
  <dimension ref="A3:S314"/>
  <sheetViews>
    <sheetView workbookViewId="0">
      <selection activeCell="Q20" sqref="Q20"/>
    </sheetView>
  </sheetViews>
  <sheetFormatPr defaultRowHeight="14.6" outlineLevelCol="1" x14ac:dyDescent="0.4"/>
  <cols>
    <col min="1" max="1" width="9.15234375" style="89" customWidth="1"/>
    <col min="2" max="2" width="31.15234375" style="1233" customWidth="1"/>
    <col min="3" max="3" width="61.53515625" style="89" customWidth="1"/>
    <col min="4" max="4" width="12.3828125" style="89" bestFit="1" customWidth="1"/>
    <col min="5" max="5" width="8.3828125" style="104" bestFit="1" customWidth="1"/>
    <col min="6" max="6" width="11.3828125" style="104" customWidth="1"/>
    <col min="7" max="7" width="25.3046875" style="89" customWidth="1" outlineLevel="1"/>
    <col min="8" max="8" width="10.69140625" style="2273" bestFit="1" customWidth="1"/>
    <col min="9" max="9" width="31.15234375" style="89" customWidth="1" outlineLevel="1"/>
    <col min="10" max="11" width="21" style="89" customWidth="1" outlineLevel="1"/>
    <col min="12" max="12" width="12.15234375" style="1568" customWidth="1" outlineLevel="1"/>
    <col min="13" max="13" width="11.84375" style="1568" customWidth="1" outlineLevel="1"/>
    <col min="14" max="14" width="12.84375" style="1568" customWidth="1"/>
    <col min="15" max="15" width="44.15234375" style="89" customWidth="1" outlineLevel="1"/>
    <col min="16" max="16" width="10.3828125" style="89" customWidth="1"/>
    <col min="17" max="17" width="9.15234375" style="89"/>
  </cols>
  <sheetData>
    <row r="3" spans="1:19" ht="15" thickBot="1" x14ac:dyDescent="0.45">
      <c r="A3" s="88"/>
      <c r="C3" s="88"/>
      <c r="D3" s="88"/>
      <c r="E3" s="555"/>
      <c r="F3" s="555"/>
      <c r="G3" s="88"/>
      <c r="H3" s="1569"/>
      <c r="I3" s="88"/>
      <c r="J3" s="88"/>
      <c r="K3" s="88"/>
      <c r="L3" s="556"/>
      <c r="M3" s="556"/>
      <c r="N3" s="556"/>
      <c r="O3" s="88"/>
      <c r="P3" s="88"/>
    </row>
    <row r="4" spans="1:19" ht="15" thickBot="1" x14ac:dyDescent="0.45">
      <c r="A4" s="88"/>
      <c r="C4" s="88"/>
      <c r="D4" s="88"/>
      <c r="E4" s="555"/>
      <c r="F4" s="555"/>
      <c r="G4" s="3791" t="s">
        <v>18</v>
      </c>
      <c r="H4" s="3792"/>
      <c r="I4" s="3794" t="s">
        <v>778</v>
      </c>
      <c r="J4" s="3794"/>
      <c r="K4" s="3794"/>
      <c r="L4" s="3794"/>
      <c r="M4" s="3794"/>
      <c r="N4" s="3794"/>
      <c r="O4" s="3793" t="s">
        <v>3</v>
      </c>
      <c r="P4" s="3795"/>
    </row>
    <row r="5" spans="1:19" ht="15" thickBot="1" x14ac:dyDescent="0.45">
      <c r="A5" s="88"/>
      <c r="B5" s="1301" t="s">
        <v>780</v>
      </c>
      <c r="C5" s="558" t="s">
        <v>781</v>
      </c>
      <c r="D5" s="558" t="s">
        <v>782</v>
      </c>
      <c r="E5" s="1164" t="s">
        <v>783</v>
      </c>
      <c r="F5" s="1165" t="s">
        <v>769</v>
      </c>
      <c r="G5" s="560" t="s">
        <v>785</v>
      </c>
      <c r="H5" s="1517" t="s">
        <v>783</v>
      </c>
      <c r="I5" s="940" t="s">
        <v>786</v>
      </c>
      <c r="J5" s="563" t="s">
        <v>787</v>
      </c>
      <c r="K5" s="563" t="s">
        <v>788</v>
      </c>
      <c r="L5" s="941" t="s">
        <v>789</v>
      </c>
      <c r="M5" s="941" t="s">
        <v>790</v>
      </c>
      <c r="N5" s="2218" t="s">
        <v>783</v>
      </c>
      <c r="O5" s="565" t="s">
        <v>785</v>
      </c>
      <c r="P5" s="561" t="s">
        <v>783</v>
      </c>
    </row>
    <row r="6" spans="1:19" s="89" customFormat="1" x14ac:dyDescent="0.4">
      <c r="B6" s="3787" t="s">
        <v>2005</v>
      </c>
      <c r="C6" s="617" t="str">
        <f>'Lower Hot Cell Critical Path'!C7</f>
        <v>Cassette Removal Required</v>
      </c>
      <c r="D6" s="617" t="s">
        <v>907</v>
      </c>
      <c r="E6" s="567">
        <f>MAX($P6,$N6,$H6)</f>
        <v>0</v>
      </c>
      <c r="F6" s="567">
        <f>IF($D6="Trigger",VLOOKUP($C6,'Lower Hot Cell Critical Path'!$C$6:$F$384,4,FALSE),E6+F5)</f>
        <v>0</v>
      </c>
      <c r="G6" s="568"/>
      <c r="H6" s="569" t="s">
        <v>263</v>
      </c>
      <c r="I6" s="1270"/>
      <c r="J6" s="617"/>
      <c r="K6" s="617"/>
      <c r="L6" s="570" t="str">
        <f>IFERROR(INDEX('Lower Hot Cell Logistics'!$I$13:$O$19,MATCH($J6,'Lower Hot Cell Logistics'!$H$13:$H$19,0),MATCH($K6,'Lower Hot Cell Logistics'!$H$13:$H$19,0)),"N/A")</f>
        <v>N/A</v>
      </c>
      <c r="M6" s="570" t="str">
        <f>IFERROR(VLOOKUP($I6,'Lower Hot Cell Logistics'!$H$4:$I$8,2,FALSE),"N/A")</f>
        <v>N/A</v>
      </c>
      <c r="N6" s="1182" t="str">
        <f t="shared" ref="N6:N29" si="0">IF(D6="Movement",IFERROR((L6/M6)/(60*60),"Error"),"N/A")</f>
        <v>N/A</v>
      </c>
      <c r="O6" s="620"/>
      <c r="P6" s="621" t="str">
        <f>IF($D6="Logistics",VLOOKUP($O6,'Lower Hot Cell Logistics'!$C$4:$D$69,2,FALSE),"N/A")</f>
        <v>N/A</v>
      </c>
      <c r="R6"/>
      <c r="S6"/>
    </row>
    <row r="7" spans="1:19" s="89" customFormat="1" x14ac:dyDescent="0.4">
      <c r="B7" s="3786"/>
      <c r="C7" s="572" t="s">
        <v>2138</v>
      </c>
      <c r="D7" s="572" t="s">
        <v>3</v>
      </c>
      <c r="E7" s="574">
        <f>MAX($P7,$N7,$H7)</f>
        <v>0.68</v>
      </c>
      <c r="F7" s="574">
        <f>IF($D7="Trigger",VLOOKUP($C7,'Lower Hot Cell Critical Path'!$C$6:$F$384,4,FALSE),E7+F6)</f>
        <v>0.68</v>
      </c>
      <c r="G7" s="575"/>
      <c r="H7" s="576" t="s">
        <v>263</v>
      </c>
      <c r="I7" s="1281"/>
      <c r="J7" s="572"/>
      <c r="K7" s="572"/>
      <c r="L7" s="853" t="str">
        <f>IFERROR(INDEX('Lower Hot Cell Logistics'!$I$13:$O$19,MATCH($J7,'Lower Hot Cell Logistics'!$H$13:$H$19,0),MATCH($K7,'Lower Hot Cell Logistics'!$H$13:$H$19,0)),"N/A")</f>
        <v>N/A</v>
      </c>
      <c r="M7" s="853" t="str">
        <f>IFERROR(VLOOKUP($I7,'Lower Hot Cell Logistics'!$H$4:$I$8,2,FALSE),"N/A")</f>
        <v>N/A</v>
      </c>
      <c r="N7" s="1180" t="str">
        <f t="shared" si="0"/>
        <v>N/A</v>
      </c>
      <c r="O7" s="579" t="s">
        <v>2139</v>
      </c>
      <c r="P7" s="580">
        <f>IF($D7="Logistics",VLOOKUP($O7,'Lower Hot Cell Logistics'!$C$4:$D$69,2,FALSE),"N/A")</f>
        <v>0.68</v>
      </c>
      <c r="R7"/>
      <c r="S7"/>
    </row>
    <row r="8" spans="1:19" s="89" customFormat="1" x14ac:dyDescent="0.4">
      <c r="B8" s="3786"/>
      <c r="C8" s="572" t="s">
        <v>2140</v>
      </c>
      <c r="D8" s="572" t="s">
        <v>778</v>
      </c>
      <c r="E8" s="574">
        <f>MAX($P8,$N8,$H8)</f>
        <v>0.69444444444444442</v>
      </c>
      <c r="F8" s="574">
        <f>IF($D8="Trigger",VLOOKUP($C8,'Lower Hot Cell Critical Path'!$C$6:$F$384,4,FALSE),E8+F7)</f>
        <v>1.3744444444444444</v>
      </c>
      <c r="G8" s="575"/>
      <c r="H8" s="576" t="s">
        <v>263</v>
      </c>
      <c r="I8" s="1281" t="s">
        <v>1826</v>
      </c>
      <c r="J8" s="572" t="s">
        <v>799</v>
      </c>
      <c r="K8" s="572" t="s">
        <v>451</v>
      </c>
      <c r="L8" s="853">
        <f>IFERROR(INDEX('Lower Hot Cell Logistics'!$I$13:$O$19,MATCH($J8,'Lower Hot Cell Logistics'!$H$13:$H$19,0),MATCH($K8,'Lower Hot Cell Logistics'!$H$13:$H$19,0)),"N/A")</f>
        <v>50</v>
      </c>
      <c r="M8" s="853">
        <f>IFERROR(VLOOKUP($I8,'Lower Hot Cell Logistics'!$H$4:$I$8,2,FALSE),"N/A")</f>
        <v>0.02</v>
      </c>
      <c r="N8" s="1180">
        <f>IF(D8="Movement",IFERROR((L8/M8)/(60*60),"Error"),"N/A")</f>
        <v>0.69444444444444442</v>
      </c>
      <c r="O8" s="579"/>
      <c r="P8" s="580" t="str">
        <f>IF($D8="Logistics",VLOOKUP($O8,'Lower Hot Cell Logistics'!$C$4:$D$69,2,FALSE),"N/A")</f>
        <v>N/A</v>
      </c>
      <c r="R8"/>
      <c r="S8"/>
    </row>
    <row r="9" spans="1:19" s="89" customFormat="1" ht="27.75" customHeight="1" thickBot="1" x14ac:dyDescent="0.45">
      <c r="B9" s="3788"/>
      <c r="C9" s="583" t="str">
        <f>B6</f>
        <v>Contamination Control System Prepared; Contamination Control System Moved to Lower Port</v>
      </c>
      <c r="D9" s="583" t="s">
        <v>11</v>
      </c>
      <c r="E9" s="585">
        <f t="shared" ref="E9:E114" si="1">MAX($P9,$N9,$H9)</f>
        <v>0</v>
      </c>
      <c r="F9" s="585">
        <f>IF($D9="Trigger",VLOOKUP($C9,'Lower Hot Cell Critical Path'!$C$6:$F$384,4,FALSE),E9+F8)</f>
        <v>1.3744444444444444</v>
      </c>
      <c r="G9" s="586"/>
      <c r="H9" s="587" t="s">
        <v>263</v>
      </c>
      <c r="I9" s="1720"/>
      <c r="J9" s="583"/>
      <c r="K9" s="583"/>
      <c r="L9" s="814" t="str">
        <f>IFERROR(INDEX('Lower Hot Cell Logistics'!$I$13:$O$19,MATCH($J9,'Lower Hot Cell Logistics'!$H$13:$H$19,0),MATCH($K9,'Lower Hot Cell Logistics'!$H$13:$H$19,0)),"N/A")</f>
        <v>N/A</v>
      </c>
      <c r="M9" s="814" t="str">
        <f>IFERROR(VLOOKUP($I9,'Lower Hot Cell Logistics'!$H$4:$I$8,2,FALSE),"N/A")</f>
        <v>N/A</v>
      </c>
      <c r="N9" s="1181" t="str">
        <f t="shared" si="0"/>
        <v>N/A</v>
      </c>
      <c r="O9" s="590"/>
      <c r="P9" s="591" t="str">
        <f>IF($D9="Logistics",VLOOKUP($O9,'Lower Hot Cell Logistics'!$C$4:$D$69,2,FALSE),"N/A")</f>
        <v>N/A</v>
      </c>
      <c r="R9"/>
      <c r="S9"/>
    </row>
    <row r="10" spans="1:19" s="89" customFormat="1" ht="15" customHeight="1" x14ac:dyDescent="0.4">
      <c r="B10" s="3814" t="s">
        <v>2011</v>
      </c>
      <c r="C10" s="1324" t="s">
        <v>912</v>
      </c>
      <c r="D10" s="1324" t="s">
        <v>907</v>
      </c>
      <c r="E10" s="1291">
        <f t="shared" si="1"/>
        <v>0</v>
      </c>
      <c r="F10" s="1291">
        <f>IF($D10="Trigger",VLOOKUP($C10,'Lower Hot Cell Critical Path'!$C$6:$F$384,4,FALSE),E10+F9)</f>
        <v>2.708148148148148</v>
      </c>
      <c r="G10" s="825"/>
      <c r="H10" s="1323" t="s">
        <v>263</v>
      </c>
      <c r="I10" s="1721"/>
      <c r="J10" s="1324"/>
      <c r="K10" s="1324"/>
      <c r="L10" s="828" t="str">
        <f>IFERROR(INDEX('Lower Hot Cell Logistics'!$I$13:$O$19,MATCH($J10,'Lower Hot Cell Logistics'!$H$13:$H$19,0),MATCH($K10,'Lower Hot Cell Logistics'!$H$13:$H$19,0)),"N/A")</f>
        <v>N/A</v>
      </c>
      <c r="M10" s="828" t="str">
        <f>IFERROR(VLOOKUP($I10,'Lower Hot Cell Logistics'!$H$4:$I$8,2,FALSE),"N/A")</f>
        <v>N/A</v>
      </c>
      <c r="N10" s="2200" t="str">
        <f t="shared" si="0"/>
        <v>N/A</v>
      </c>
      <c r="O10" s="1327"/>
      <c r="P10" s="824" t="str">
        <f>IF($D10="Logistics",VLOOKUP($O10,'Lower Hot Cell Logistics'!$C$4:$D$69,2,FALSE),"N/A")</f>
        <v>N/A</v>
      </c>
      <c r="R10"/>
      <c r="S10"/>
    </row>
    <row r="11" spans="1:19" s="89" customFormat="1" ht="15" customHeight="1" x14ac:dyDescent="0.4">
      <c r="B11" s="3815"/>
      <c r="C11" s="1362" t="s">
        <v>2141</v>
      </c>
      <c r="D11" s="1294" t="s">
        <v>778</v>
      </c>
      <c r="E11" s="1330">
        <f t="shared" si="1"/>
        <v>0.1388888888888889</v>
      </c>
      <c r="F11" s="1330">
        <f>IF($D11="Trigger",VLOOKUP($C11,'Lower Hot Cell Critical Path'!$C$6:$F$384,4,FALSE),E11+F10)</f>
        <v>2.8470370370370368</v>
      </c>
      <c r="G11" s="1722"/>
      <c r="H11" s="2219" t="s">
        <v>263</v>
      </c>
      <c r="I11" s="1724" t="s">
        <v>2142</v>
      </c>
      <c r="J11" s="1294" t="s">
        <v>451</v>
      </c>
      <c r="K11" s="1294" t="s">
        <v>901</v>
      </c>
      <c r="L11" s="2042">
        <f>IFERROR(INDEX('Lower Hot Cell Logistics'!$I$13:$O$19,MATCH($J11,'Lower Hot Cell Logistics'!$H$13:$H$19,0),MATCH($K11,'Lower Hot Cell Logistics'!$H$13:$H$19,0)),"N/A")</f>
        <v>30</v>
      </c>
      <c r="M11" s="2220">
        <f>IFERROR(VLOOKUP($I11,'Lower Hot Cell Logistics'!$H$4:$I$8,2,FALSE),"N/A")</f>
        <v>0.06</v>
      </c>
      <c r="N11" s="1332">
        <f t="shared" si="0"/>
        <v>0.1388888888888889</v>
      </c>
      <c r="O11" s="1352"/>
      <c r="P11" s="1353" t="str">
        <f>IF($D11="Logistics",VLOOKUP($O11,'Lower Hot Cell Logistics'!$C$4:$D$69,2,FALSE),"N/A")</f>
        <v>N/A</v>
      </c>
      <c r="R11"/>
      <c r="S11"/>
    </row>
    <row r="12" spans="1:19" s="89" customFormat="1" ht="15" customHeight="1" x14ac:dyDescent="0.4">
      <c r="B12" s="3815"/>
      <c r="C12" s="1362" t="s">
        <v>2143</v>
      </c>
      <c r="D12" s="1294" t="s">
        <v>3</v>
      </c>
      <c r="E12" s="1330">
        <f t="shared" si="1"/>
        <v>0.88000000000000012</v>
      </c>
      <c r="F12" s="1330">
        <f>IF($D12="Trigger",VLOOKUP($C12,'Lower Hot Cell Critical Path'!$C$6:$F$384,4,FALSE),E12+F11)</f>
        <v>3.7270370370370367</v>
      </c>
      <c r="G12" s="1722"/>
      <c r="H12" s="2219" t="s">
        <v>263</v>
      </c>
      <c r="I12" s="1724"/>
      <c r="J12" s="1294"/>
      <c r="K12" s="1294"/>
      <c r="L12" s="2042" t="str">
        <f>IFERROR(INDEX('Lower Hot Cell Logistics'!$I$13:$O$19,MATCH($J12,'Lower Hot Cell Logistics'!$H$13:$H$19,0),MATCH($K12,'Lower Hot Cell Logistics'!$H$13:$H$19,0)),"N/A")</f>
        <v>N/A</v>
      </c>
      <c r="M12" s="2220" t="str">
        <f>IFERROR(VLOOKUP($I12,'Lower Hot Cell Logistics'!$H$4:$I$8,2,FALSE),"N/A")</f>
        <v>N/A</v>
      </c>
      <c r="N12" s="1332" t="str">
        <f t="shared" si="0"/>
        <v>N/A</v>
      </c>
      <c r="O12" s="1352" t="s">
        <v>2144</v>
      </c>
      <c r="P12" s="1353">
        <f>IF($D12="Logistics",VLOOKUP($O12,'Lower Hot Cell Logistics'!$C$4:$D$69,2,FALSE),"N/A")</f>
        <v>0.88000000000000012</v>
      </c>
      <c r="R12"/>
      <c r="S12"/>
    </row>
    <row r="13" spans="1:19" s="89" customFormat="1" ht="15" customHeight="1" x14ac:dyDescent="0.4">
      <c r="B13" s="3815"/>
      <c r="C13" s="1362" t="s">
        <v>2145</v>
      </c>
      <c r="D13" s="1294" t="s">
        <v>778</v>
      </c>
      <c r="E13" s="1330">
        <f t="shared" si="1"/>
        <v>2.7777777777777776E-2</v>
      </c>
      <c r="F13" s="1330">
        <f>IF($D13="Trigger",VLOOKUP($C13,'Lower Hot Cell Critical Path'!$C$6:$F$384,4,FALSE),E13+F12)</f>
        <v>3.7548148148148144</v>
      </c>
      <c r="G13" s="1722"/>
      <c r="H13" s="2219" t="s">
        <v>263</v>
      </c>
      <c r="I13" s="1724" t="s">
        <v>2146</v>
      </c>
      <c r="J13" s="1294" t="s">
        <v>914</v>
      </c>
      <c r="K13" s="1294" t="s">
        <v>799</v>
      </c>
      <c r="L13" s="2042">
        <f>IFERROR(INDEX('Lower Hot Cell Logistics'!$I$13:$O$19,MATCH($J13,'Lower Hot Cell Logistics'!$H$13:$H$19,0),MATCH($K13,'Lower Hot Cell Logistics'!$H$13:$H$19,0)),"N/A")</f>
        <v>20</v>
      </c>
      <c r="M13" s="2220">
        <f>IFERROR(VLOOKUP($I13,'Lower Hot Cell Logistics'!$H$4:$I$8,2,FALSE),"N/A")</f>
        <v>0.2</v>
      </c>
      <c r="N13" s="1332">
        <f t="shared" si="0"/>
        <v>2.7777777777777776E-2</v>
      </c>
      <c r="O13" s="1352"/>
      <c r="P13" s="1353" t="str">
        <f>IF($D13="Logistics",VLOOKUP($O13,'Lower Hot Cell Logistics'!$C$4:$D$69,2,FALSE),"N/A")</f>
        <v>N/A</v>
      </c>
      <c r="R13"/>
      <c r="S13"/>
    </row>
    <row r="14" spans="1:19" s="89" customFormat="1" x14ac:dyDescent="0.4">
      <c r="B14" s="3815"/>
      <c r="C14" s="1294" t="s">
        <v>2147</v>
      </c>
      <c r="D14" s="1294" t="s">
        <v>3</v>
      </c>
      <c r="E14" s="1292">
        <f t="shared" si="1"/>
        <v>0.68</v>
      </c>
      <c r="F14" s="1292">
        <f>IF($D14="Trigger",VLOOKUP($C14,'Lower Hot Cell Critical Path'!$C$6:$F$384,4,FALSE),E14+F13)</f>
        <v>4.4348148148148141</v>
      </c>
      <c r="G14" s="862"/>
      <c r="H14" s="1328" t="s">
        <v>263</v>
      </c>
      <c r="I14" s="1724"/>
      <c r="J14" s="1294"/>
      <c r="K14" s="1294"/>
      <c r="L14" s="865" t="str">
        <f>IFERROR(INDEX('Lower Hot Cell Logistics'!$I$13:$O$19,MATCH($J14,'Lower Hot Cell Logistics'!$H$13:$H$19,0),MATCH($K14,'Lower Hot Cell Logistics'!$H$13:$H$19,0)),"N/A")</f>
        <v>N/A</v>
      </c>
      <c r="M14" s="864" t="str">
        <f>IFERROR(VLOOKUP($I14,'Lower Hot Cell Logistics'!$H$4:$I$8,2,FALSE),"N/A")</f>
        <v>N/A</v>
      </c>
      <c r="N14" s="2197" t="str">
        <f t="shared" si="0"/>
        <v>N/A</v>
      </c>
      <c r="O14" s="1331" t="s">
        <v>2148</v>
      </c>
      <c r="P14" s="1332">
        <f>IF($D14="Logistics",VLOOKUP($O14,'Lower Hot Cell Logistics'!$C$4:$D$69,2,FALSE),"N/A")</f>
        <v>0.68</v>
      </c>
      <c r="R14"/>
      <c r="S14"/>
    </row>
    <row r="15" spans="1:19" s="89" customFormat="1" x14ac:dyDescent="0.4">
      <c r="B15" s="3815"/>
      <c r="C15" s="1294" t="s">
        <v>2149</v>
      </c>
      <c r="D15" s="1294" t="s">
        <v>778</v>
      </c>
      <c r="E15" s="1292">
        <f t="shared" si="1"/>
        <v>0.69444444444444442</v>
      </c>
      <c r="F15" s="1292">
        <f>IF($D15="Trigger",VLOOKUP($C15,'Lower Hot Cell Critical Path'!$C$6:$F$384,4,FALSE),E15+F14)</f>
        <v>5.1292592592592587</v>
      </c>
      <c r="G15" s="862"/>
      <c r="H15" s="1328" t="s">
        <v>263</v>
      </c>
      <c r="I15" s="1724" t="s">
        <v>1826</v>
      </c>
      <c r="J15" s="1294" t="s">
        <v>799</v>
      </c>
      <c r="K15" s="1294" t="s">
        <v>451</v>
      </c>
      <c r="L15" s="865">
        <f>IFERROR(INDEX('Lower Hot Cell Logistics'!$I$13:$O$19,MATCH($J15,'Lower Hot Cell Logistics'!$H$13:$H$19,0),MATCH($K15,'Lower Hot Cell Logistics'!$H$13:$H$19,0)),"N/A")</f>
        <v>50</v>
      </c>
      <c r="M15" s="865">
        <f>IFERROR(VLOOKUP($I15,'Lower Hot Cell Logistics'!$H$4:$I$8,2,FALSE),"N/A")</f>
        <v>0.02</v>
      </c>
      <c r="N15" s="2197">
        <f t="shared" si="0"/>
        <v>0.69444444444444442</v>
      </c>
      <c r="O15" s="1331"/>
      <c r="P15" s="1332" t="str">
        <f>IF($D15="Logistics",VLOOKUP($O15,'Lower Hot Cell Logistics'!$C$4:$D$69,2,FALSE),"N/A")</f>
        <v>N/A</v>
      </c>
      <c r="R15"/>
      <c r="S15"/>
    </row>
    <row r="16" spans="1:19" s="89" customFormat="1" ht="26.6" thickBot="1" x14ac:dyDescent="0.45">
      <c r="B16" s="3816"/>
      <c r="C16" s="1340" t="str">
        <f>B10</f>
        <v>Bioshield interface hardware stored;   Port Inspection System collected; Transport Moved to Lower Port</v>
      </c>
      <c r="D16" s="1340" t="s">
        <v>11</v>
      </c>
      <c r="E16" s="1295">
        <f t="shared" si="1"/>
        <v>0</v>
      </c>
      <c r="F16" s="1295">
        <f>IF($D16="Trigger",VLOOKUP($C16,'Lower Hot Cell Critical Path'!$C$6:$F$384,4,FALSE),E16+F15)</f>
        <v>5.1292592592592587</v>
      </c>
      <c r="G16" s="839"/>
      <c r="H16" s="1341" t="s">
        <v>263</v>
      </c>
      <c r="I16" s="1727"/>
      <c r="J16" s="1340"/>
      <c r="K16" s="1340"/>
      <c r="L16" s="842" t="str">
        <f>IFERROR(INDEX('Lower Hot Cell Logistics'!$I$13:$O$19,MATCH($J16,'Lower Hot Cell Logistics'!$H$13:$H$19,0),MATCH($K16,'Lower Hot Cell Logistics'!$H$13:$H$19,0)),"N/A")</f>
        <v>N/A</v>
      </c>
      <c r="M16" s="842" t="str">
        <f>IFERROR(VLOOKUP($I16,'Lower Hot Cell Logistics'!$H$4:$I$8,2,FALSE),"N/A")</f>
        <v>N/A</v>
      </c>
      <c r="N16" s="2199" t="str">
        <f>IF(D16="Movement",IFERROR((L16/M16)/(60*60),"Error"),"N/A")</f>
        <v>N/A</v>
      </c>
      <c r="O16" s="1344"/>
      <c r="P16" s="1345" t="str">
        <f>IF($D16="Logistics",VLOOKUP($O16,'Lower Hot Cell Logistics'!$C$4:$D$69,2,FALSE),"N/A")</f>
        <v>N/A</v>
      </c>
      <c r="R16"/>
      <c r="S16"/>
    </row>
    <row r="17" spans="2:19" s="624" customFormat="1" ht="15" customHeight="1" x14ac:dyDescent="0.4">
      <c r="B17" s="3787" t="s">
        <v>2014</v>
      </c>
      <c r="C17" s="617" t="s">
        <v>2007</v>
      </c>
      <c r="D17" s="617" t="s">
        <v>907</v>
      </c>
      <c r="E17" s="567">
        <f t="shared" si="1"/>
        <v>0</v>
      </c>
      <c r="F17" s="567">
        <f>IF($D17="Trigger",VLOOKUP($C17,'Lower Hot Cell Critical Path'!$C$6:$F$384,4,FALSE),E17+F16)</f>
        <v>4.6081481481481479</v>
      </c>
      <c r="G17" s="568"/>
      <c r="H17" s="569" t="s">
        <v>263</v>
      </c>
      <c r="I17" s="1270"/>
      <c r="J17" s="617"/>
      <c r="K17" s="617"/>
      <c r="L17" s="570" t="str">
        <f>IFERROR(INDEX('Lower Hot Cell Logistics'!$I$13:$O$19,MATCH($J17,'Lower Hot Cell Logistics'!$H$13:$H$19,0),MATCH($K17,'Lower Hot Cell Logistics'!$H$13:$H$19,0)),"N/A")</f>
        <v>N/A</v>
      </c>
      <c r="M17" s="570" t="str">
        <f>IFERROR(VLOOKUP($I17,'Lower Hot Cell Logistics'!$H$4:$I$8,2,FALSE),"N/A")</f>
        <v>N/A</v>
      </c>
      <c r="N17" s="1182" t="str">
        <f t="shared" ref="N17:N22" si="2">IF(D17="Movement",IFERROR((L17/M17)/(60*60),"Error"),"N/A")</f>
        <v>N/A</v>
      </c>
      <c r="O17" s="620"/>
      <c r="P17" s="621" t="str">
        <f>IF($D17="Logistics",VLOOKUP($O17,'Lower Hot Cell Logistics'!$C$4:$D$69,2,FALSE),"N/A")</f>
        <v>N/A</v>
      </c>
      <c r="R17" s="8"/>
      <c r="S17" s="8"/>
    </row>
    <row r="18" spans="2:19" s="624" customFormat="1" ht="15" customHeight="1" x14ac:dyDescent="0.4">
      <c r="B18" s="3786"/>
      <c r="C18" s="1275" t="s">
        <v>2141</v>
      </c>
      <c r="D18" s="572" t="s">
        <v>778</v>
      </c>
      <c r="E18" s="578">
        <f t="shared" si="1"/>
        <v>0.1388888888888889</v>
      </c>
      <c r="F18" s="578">
        <f>IF($D18="Trigger",VLOOKUP($C18,'Lower Hot Cell Critical Path'!$C$6:$F$384,4,FALSE),E18+F17)</f>
        <v>4.7470370370370372</v>
      </c>
      <c r="G18" s="872"/>
      <c r="H18" s="2221" t="s">
        <v>263</v>
      </c>
      <c r="I18" s="1281" t="s">
        <v>2142</v>
      </c>
      <c r="J18" s="572" t="s">
        <v>451</v>
      </c>
      <c r="K18" s="572" t="s">
        <v>901</v>
      </c>
      <c r="L18" s="1176">
        <f>IFERROR(INDEX('Lower Hot Cell Logistics'!$I$13:$O$19,MATCH($J18,'Lower Hot Cell Logistics'!$H$13:$H$19,0),MATCH($K18,'Lower Hot Cell Logistics'!$H$13:$H$19,0)),"N/A")</f>
        <v>30</v>
      </c>
      <c r="M18" s="2222">
        <f>IFERROR(VLOOKUP($I18,'Lower Hot Cell Logistics'!$H$4:$I$8,2,FALSE),"N/A")</f>
        <v>0.06</v>
      </c>
      <c r="N18" s="580">
        <f t="shared" si="2"/>
        <v>0.1388888888888889</v>
      </c>
      <c r="O18" s="631"/>
      <c r="P18" s="632" t="str">
        <f>IF($D18="Logistics",VLOOKUP($O18,'Lower Hot Cell Logistics'!$C$4:$D$69,2,FALSE),"N/A")</f>
        <v>N/A</v>
      </c>
      <c r="R18" s="8"/>
      <c r="S18" s="8"/>
    </row>
    <row r="19" spans="2:19" s="624" customFormat="1" ht="15" customHeight="1" x14ac:dyDescent="0.4">
      <c r="B19" s="3786"/>
      <c r="C19" s="1275" t="s">
        <v>2150</v>
      </c>
      <c r="D19" s="572" t="s">
        <v>3</v>
      </c>
      <c r="E19" s="578">
        <f t="shared" si="1"/>
        <v>0.88000000000000012</v>
      </c>
      <c r="F19" s="578">
        <f>IF($D19="Trigger",VLOOKUP($C19,'Lower Hot Cell Critical Path'!$C$6:$F$384,4,FALSE),E19+F18)</f>
        <v>5.6270370370370371</v>
      </c>
      <c r="G19" s="872"/>
      <c r="H19" s="2221" t="s">
        <v>263</v>
      </c>
      <c r="I19" s="1281"/>
      <c r="J19" s="572"/>
      <c r="K19" s="572"/>
      <c r="L19" s="1176" t="str">
        <f>IFERROR(INDEX('Lower Hot Cell Logistics'!$I$13:$O$19,MATCH($J19,'Lower Hot Cell Logistics'!$H$13:$H$19,0),MATCH($K19,'Lower Hot Cell Logistics'!$H$13:$H$19,0)),"N/A")</f>
        <v>N/A</v>
      </c>
      <c r="M19" s="2222" t="str">
        <f>IFERROR(VLOOKUP($I19,'Lower Hot Cell Logistics'!$H$4:$I$8,2,FALSE),"N/A")</f>
        <v>N/A</v>
      </c>
      <c r="N19" s="580" t="str">
        <f t="shared" si="2"/>
        <v>N/A</v>
      </c>
      <c r="O19" s="631" t="s">
        <v>2144</v>
      </c>
      <c r="P19" s="632">
        <f>IF($D19="Logistics",VLOOKUP($O19,'Lower Hot Cell Logistics'!$C$4:$D$69,2,FALSE),"N/A")</f>
        <v>0.88000000000000012</v>
      </c>
      <c r="R19" s="8"/>
      <c r="S19" s="8"/>
    </row>
    <row r="20" spans="2:19" s="624" customFormat="1" ht="15" customHeight="1" x14ac:dyDescent="0.4">
      <c r="B20" s="3786"/>
      <c r="C20" s="1275" t="s">
        <v>2145</v>
      </c>
      <c r="D20" s="572" t="s">
        <v>778</v>
      </c>
      <c r="E20" s="578">
        <f t="shared" si="1"/>
        <v>2.7777777777777776E-2</v>
      </c>
      <c r="F20" s="578">
        <f>IF($D20="Trigger",VLOOKUP($C20,'Lower Hot Cell Critical Path'!$C$6:$F$384,4,FALSE),E20+F19)</f>
        <v>5.6548148148148147</v>
      </c>
      <c r="G20" s="872"/>
      <c r="H20" s="2221" t="s">
        <v>263</v>
      </c>
      <c r="I20" s="1281" t="s">
        <v>2146</v>
      </c>
      <c r="J20" s="572" t="s">
        <v>914</v>
      </c>
      <c r="K20" s="572" t="s">
        <v>799</v>
      </c>
      <c r="L20" s="1176">
        <f>IFERROR(INDEX('Lower Hot Cell Logistics'!$I$13:$O$19,MATCH($J20,'Lower Hot Cell Logistics'!$H$13:$H$19,0),MATCH($K20,'Lower Hot Cell Logistics'!$H$13:$H$19,0)),"N/A")</f>
        <v>20</v>
      </c>
      <c r="M20" s="2222">
        <f>IFERROR(VLOOKUP($I20,'Lower Hot Cell Logistics'!$H$4:$I$8,2,FALSE),"N/A")</f>
        <v>0.2</v>
      </c>
      <c r="N20" s="580">
        <f t="shared" si="2"/>
        <v>2.7777777777777776E-2</v>
      </c>
      <c r="O20" s="631"/>
      <c r="P20" s="632" t="str">
        <f>IF($D20="Logistics",VLOOKUP($O20,'Lower Hot Cell Logistics'!$C$4:$D$69,2,FALSE),"N/A")</f>
        <v>N/A</v>
      </c>
      <c r="R20" s="8"/>
      <c r="S20" s="8"/>
    </row>
    <row r="21" spans="2:19" s="624" customFormat="1" x14ac:dyDescent="0.4">
      <c r="B21" s="3786"/>
      <c r="C21" s="572" t="s">
        <v>2151</v>
      </c>
      <c r="D21" s="572" t="s">
        <v>3</v>
      </c>
      <c r="E21" s="574">
        <f t="shared" si="1"/>
        <v>0.68</v>
      </c>
      <c r="F21" s="574">
        <f>IF($D21="Trigger",VLOOKUP($C21,'Lower Hot Cell Critical Path'!$C$6:$F$384,4,FALSE),E21+F20)</f>
        <v>6.3348148148148145</v>
      </c>
      <c r="G21" s="575"/>
      <c r="H21" s="576" t="s">
        <v>263</v>
      </c>
      <c r="I21" s="1281"/>
      <c r="J21" s="572"/>
      <c r="K21" s="572"/>
      <c r="L21" s="853" t="str">
        <f>IFERROR(INDEX('Lower Hot Cell Logistics'!$I$13:$O$19,MATCH($J21,'Lower Hot Cell Logistics'!$H$13:$H$19,0),MATCH($K21,'Lower Hot Cell Logistics'!$H$13:$H$19,0)),"N/A")</f>
        <v>N/A</v>
      </c>
      <c r="M21" s="852" t="str">
        <f>IFERROR(VLOOKUP($I21,'Lower Hot Cell Logistics'!$H$4:$I$8,2,FALSE),"N/A")</f>
        <v>N/A</v>
      </c>
      <c r="N21" s="1180" t="str">
        <f t="shared" si="2"/>
        <v>N/A</v>
      </c>
      <c r="O21" s="579" t="s">
        <v>2148</v>
      </c>
      <c r="P21" s="580">
        <f>IF($D21="Logistics",VLOOKUP($O21,'Lower Hot Cell Logistics'!$C$4:$D$69,2,FALSE),"N/A")</f>
        <v>0.68</v>
      </c>
      <c r="R21" s="8"/>
      <c r="S21" s="8"/>
    </row>
    <row r="22" spans="2:19" s="624" customFormat="1" x14ac:dyDescent="0.4">
      <c r="B22" s="3786"/>
      <c r="C22" s="572" t="s">
        <v>2149</v>
      </c>
      <c r="D22" s="572" t="s">
        <v>778</v>
      </c>
      <c r="E22" s="574">
        <f t="shared" si="1"/>
        <v>0.69444444444444442</v>
      </c>
      <c r="F22" s="574">
        <f>IF($D22="Trigger",VLOOKUP($C22,'Lower Hot Cell Critical Path'!$C$6:$F$384,4,FALSE),E22+F21)</f>
        <v>7.0292592592592591</v>
      </c>
      <c r="G22" s="575"/>
      <c r="H22" s="576" t="s">
        <v>263</v>
      </c>
      <c r="I22" s="1281" t="s">
        <v>1826</v>
      </c>
      <c r="J22" s="572" t="s">
        <v>799</v>
      </c>
      <c r="K22" s="572" t="s">
        <v>451</v>
      </c>
      <c r="L22" s="853">
        <f>IFERROR(INDEX('Lower Hot Cell Logistics'!$I$13:$O$19,MATCH($J22,'Lower Hot Cell Logistics'!$H$13:$H$19,0),MATCH($K22,'Lower Hot Cell Logistics'!$H$13:$H$19,0)),"N/A")</f>
        <v>50</v>
      </c>
      <c r="M22" s="853">
        <f>IFERROR(VLOOKUP($I22,'Lower Hot Cell Logistics'!$H$4:$I$8,2,FALSE),"N/A")</f>
        <v>0.02</v>
      </c>
      <c r="N22" s="1180">
        <f t="shared" si="2"/>
        <v>0.69444444444444442</v>
      </c>
      <c r="O22" s="579"/>
      <c r="P22" s="580" t="str">
        <f>IF($D22="Logistics",VLOOKUP($O22,'Lower Hot Cell Logistics'!$C$4:$D$69,2,FALSE),"N/A")</f>
        <v>N/A</v>
      </c>
      <c r="R22" s="8"/>
      <c r="S22" s="8"/>
    </row>
    <row r="23" spans="2:19" s="624" customFormat="1" ht="26.6" thickBot="1" x14ac:dyDescent="0.45">
      <c r="B23" s="3788"/>
      <c r="C23" s="583" t="str">
        <f>B17</f>
        <v>Contamination Control System Interface stored; Vacuum Closure Plate Interface collected; Transport Moved to Lower Port</v>
      </c>
      <c r="D23" s="583" t="s">
        <v>11</v>
      </c>
      <c r="E23" s="585">
        <f t="shared" si="1"/>
        <v>0</v>
      </c>
      <c r="F23" s="585">
        <f>IF($D23="Trigger",VLOOKUP($C23,'Lower Hot Cell Critical Path'!$C$6:$F$384,4,FALSE),E23+F22)</f>
        <v>7.0292592592592591</v>
      </c>
      <c r="G23" s="586"/>
      <c r="H23" s="587" t="s">
        <v>263</v>
      </c>
      <c r="I23" s="1720"/>
      <c r="J23" s="583"/>
      <c r="K23" s="583"/>
      <c r="L23" s="814" t="str">
        <f>IFERROR(INDEX('Lower Hot Cell Logistics'!$I$13:$O$19,MATCH($J23,'Lower Hot Cell Logistics'!$H$13:$H$19,0),MATCH($K23,'Lower Hot Cell Logistics'!$H$13:$H$19,0)),"N/A")</f>
        <v>N/A</v>
      </c>
      <c r="M23" s="814" t="str">
        <f>IFERROR(VLOOKUP($I23,'Lower Hot Cell Logistics'!$H$4:$I$8,2,FALSE),"N/A")</f>
        <v>N/A</v>
      </c>
      <c r="N23" s="1181" t="str">
        <f>IF(D23="Movement",IFERROR((L23/M23)/(60*60),"Error"),"N/A")</f>
        <v>N/A</v>
      </c>
      <c r="O23" s="590"/>
      <c r="P23" s="591" t="str">
        <f>IF($D23="Logistics",VLOOKUP($O23,'Lower Hot Cell Logistics'!$C$4:$D$69,2,FALSE),"N/A")</f>
        <v>N/A</v>
      </c>
      <c r="R23" s="8"/>
      <c r="S23" s="8"/>
    </row>
    <row r="24" spans="2:19" s="89" customFormat="1" ht="15" customHeight="1" x14ac:dyDescent="0.4">
      <c r="B24" s="3814" t="s">
        <v>2018</v>
      </c>
      <c r="C24" s="1324" t="s">
        <v>2015</v>
      </c>
      <c r="D24" s="1324" t="s">
        <v>907</v>
      </c>
      <c r="E24" s="1291">
        <f t="shared" si="1"/>
        <v>0</v>
      </c>
      <c r="F24" s="1291">
        <f>IF($D24="Trigger",VLOOKUP($C24,'Lower Hot Cell Critical Path'!$C$6:$F$384,4,FALSE),E24+F23)</f>
        <v>47.432592592592599</v>
      </c>
      <c r="G24" s="825"/>
      <c r="H24" s="1323" t="s">
        <v>263</v>
      </c>
      <c r="I24" s="1721"/>
      <c r="J24" s="1324"/>
      <c r="K24" s="1324"/>
      <c r="L24" s="828" t="str">
        <f>IFERROR(INDEX('Lower Hot Cell Logistics'!$I$13:$O$19,MATCH($J24,'Lower Hot Cell Logistics'!$H$13:$H$19,0),MATCH($K24,'Lower Hot Cell Logistics'!$H$13:$H$19,0)),"N/A")</f>
        <v>N/A</v>
      </c>
      <c r="M24" s="828" t="str">
        <f>IFERROR(VLOOKUP($I24,'Lower Hot Cell Logistics'!$H$4:$I$8,2,FALSE),"N/A")</f>
        <v>N/A</v>
      </c>
      <c r="N24" s="2200" t="str">
        <f t="shared" si="0"/>
        <v>N/A</v>
      </c>
      <c r="O24" s="1327"/>
      <c r="P24" s="824" t="str">
        <f>IF($D24="Logistics",VLOOKUP($O24,'Lower Hot Cell Logistics'!$C$4:$D$69,2,FALSE),"N/A")</f>
        <v>N/A</v>
      </c>
      <c r="R24"/>
      <c r="S24"/>
    </row>
    <row r="25" spans="2:19" s="89" customFormat="1" ht="15" customHeight="1" x14ac:dyDescent="0.4">
      <c r="B25" s="3815"/>
      <c r="C25" s="1362" t="s">
        <v>2141</v>
      </c>
      <c r="D25" s="1294" t="s">
        <v>778</v>
      </c>
      <c r="E25" s="1330">
        <f t="shared" si="1"/>
        <v>0.23148148148148148</v>
      </c>
      <c r="F25" s="1330">
        <f>IF($D25="Trigger",VLOOKUP($C25,'Lower Hot Cell Critical Path'!$C$6:$F$384,4,FALSE),E25+F24)</f>
        <v>47.66407407407408</v>
      </c>
      <c r="G25" s="1722"/>
      <c r="H25" s="2219" t="s">
        <v>263</v>
      </c>
      <c r="I25" s="1724" t="s">
        <v>2142</v>
      </c>
      <c r="J25" s="1294" t="s">
        <v>451</v>
      </c>
      <c r="K25" s="1294" t="s">
        <v>914</v>
      </c>
      <c r="L25" s="2042">
        <f>IFERROR(INDEX('Lower Hot Cell Logistics'!$I$13:$O$19,MATCH($J25,'Lower Hot Cell Logistics'!$H$13:$H$19,0),MATCH($K25,'Lower Hot Cell Logistics'!$H$13:$H$19,0)),"N/A")</f>
        <v>50</v>
      </c>
      <c r="M25" s="2220">
        <f>IFERROR(VLOOKUP($I25,'Lower Hot Cell Logistics'!$H$4:$I$8,2,FALSE),"N/A")</f>
        <v>0.06</v>
      </c>
      <c r="N25" s="1332">
        <f t="shared" si="0"/>
        <v>0.23148148148148148</v>
      </c>
      <c r="O25" s="1352"/>
      <c r="P25" s="1353" t="str">
        <f>IF($D25="Logistics",VLOOKUP($O25,'Lower Hot Cell Logistics'!$C$4:$D$69,2,FALSE),"N/A")</f>
        <v>N/A</v>
      </c>
      <c r="R25"/>
      <c r="S25"/>
    </row>
    <row r="26" spans="2:19" s="89" customFormat="1" ht="15" customHeight="1" x14ac:dyDescent="0.4">
      <c r="B26" s="3815"/>
      <c r="C26" s="1362" t="s">
        <v>2152</v>
      </c>
      <c r="D26" s="1294" t="s">
        <v>3</v>
      </c>
      <c r="E26" s="1330">
        <f t="shared" si="1"/>
        <v>0.88000000000000012</v>
      </c>
      <c r="F26" s="1330">
        <f>IF($D26="Trigger",VLOOKUP($C26,'Lower Hot Cell Critical Path'!$C$6:$F$384,4,FALSE),E26+F25)</f>
        <v>48.544074074074082</v>
      </c>
      <c r="G26" s="1722"/>
      <c r="H26" s="2219" t="s">
        <v>263</v>
      </c>
      <c r="I26" s="1724"/>
      <c r="J26" s="1294"/>
      <c r="K26" s="1294"/>
      <c r="L26" s="2042" t="str">
        <f>IFERROR(INDEX('Lower Hot Cell Logistics'!$I$13:$O$19,MATCH($J26,'Lower Hot Cell Logistics'!$H$13:$H$19,0),MATCH($K26,'Lower Hot Cell Logistics'!$H$13:$H$19,0)),"N/A")</f>
        <v>N/A</v>
      </c>
      <c r="M26" s="2220" t="str">
        <f>IFERROR(VLOOKUP($I26,'Lower Hot Cell Logistics'!$H$4:$I$8,2,FALSE),"N/A")</f>
        <v>N/A</v>
      </c>
      <c r="N26" s="1332" t="str">
        <f t="shared" si="0"/>
        <v>N/A</v>
      </c>
      <c r="O26" s="1352" t="s">
        <v>2144</v>
      </c>
      <c r="P26" s="1353">
        <f>IF($D26="Logistics",VLOOKUP($O26,'Lower Hot Cell Logistics'!$C$4:$D$69,2,FALSE),"N/A")</f>
        <v>0.88000000000000012</v>
      </c>
      <c r="R26"/>
      <c r="S26"/>
    </row>
    <row r="27" spans="2:19" s="89" customFormat="1" ht="15" customHeight="1" x14ac:dyDescent="0.4">
      <c r="B27" s="3815"/>
      <c r="C27" s="1362" t="s">
        <v>2145</v>
      </c>
      <c r="D27" s="1294" t="s">
        <v>778</v>
      </c>
      <c r="E27" s="1330">
        <f t="shared" si="1"/>
        <v>2.7777777777777776E-2</v>
      </c>
      <c r="F27" s="1330">
        <f>IF($D27="Trigger",VLOOKUP($C27,'Lower Hot Cell Critical Path'!$C$6:$F$384,4,FALSE),E27+F26)</f>
        <v>48.571851851851861</v>
      </c>
      <c r="G27" s="1722"/>
      <c r="H27" s="2219" t="s">
        <v>263</v>
      </c>
      <c r="I27" s="1724" t="s">
        <v>2146</v>
      </c>
      <c r="J27" s="1294" t="s">
        <v>914</v>
      </c>
      <c r="K27" s="1294" t="s">
        <v>799</v>
      </c>
      <c r="L27" s="2042">
        <f>IFERROR(INDEX('Lower Hot Cell Logistics'!$I$13:$O$19,MATCH($J27,'Lower Hot Cell Logistics'!$H$13:$H$19,0),MATCH($K27,'Lower Hot Cell Logistics'!$H$13:$H$19,0)),"N/A")</f>
        <v>20</v>
      </c>
      <c r="M27" s="2220">
        <f>IFERROR(VLOOKUP($I27,'Lower Hot Cell Logistics'!$H$4:$I$8,2,FALSE),"N/A")</f>
        <v>0.2</v>
      </c>
      <c r="N27" s="1332">
        <f t="shared" si="0"/>
        <v>2.7777777777777776E-2</v>
      </c>
      <c r="O27" s="1352"/>
      <c r="P27" s="1353" t="str">
        <f>IF($D27="Logistics",VLOOKUP($O27,'Lower Hot Cell Logistics'!$C$4:$D$69,2,FALSE),"N/A")</f>
        <v>N/A</v>
      </c>
      <c r="R27"/>
      <c r="S27"/>
    </row>
    <row r="28" spans="2:19" s="89" customFormat="1" x14ac:dyDescent="0.4">
      <c r="B28" s="3815"/>
      <c r="C28" s="1294" t="s">
        <v>2153</v>
      </c>
      <c r="D28" s="1294" t="s">
        <v>3</v>
      </c>
      <c r="E28" s="1292">
        <f t="shared" si="1"/>
        <v>0.68</v>
      </c>
      <c r="F28" s="1292">
        <f>IF($D28="Trigger",VLOOKUP($C28,'Lower Hot Cell Critical Path'!$C$6:$F$384,4,FALSE),E28+F27)</f>
        <v>49.25185185185186</v>
      </c>
      <c r="G28" s="862"/>
      <c r="H28" s="1328" t="s">
        <v>263</v>
      </c>
      <c r="I28" s="1724"/>
      <c r="J28" s="1294"/>
      <c r="K28" s="1294"/>
      <c r="L28" s="865" t="str">
        <f>IFERROR(INDEX('Lower Hot Cell Logistics'!$I$13:$O$19,MATCH($J28,'Lower Hot Cell Logistics'!$H$13:$H$19,0),MATCH($K28,'Lower Hot Cell Logistics'!$H$13:$H$19,0)),"N/A")</f>
        <v>N/A</v>
      </c>
      <c r="M28" s="864" t="str">
        <f>IFERROR(VLOOKUP($I28,'Lower Hot Cell Logistics'!$H$4:$I$8,2,FALSE),"N/A")</f>
        <v>N/A</v>
      </c>
      <c r="N28" s="2197" t="str">
        <f t="shared" si="0"/>
        <v>N/A</v>
      </c>
      <c r="O28" s="1331" t="s">
        <v>2148</v>
      </c>
      <c r="P28" s="1332">
        <f>IF($D28="Logistics",VLOOKUP($O28,'Lower Hot Cell Logistics'!$C$4:$D$69,2,FALSE),"N/A")</f>
        <v>0.68</v>
      </c>
      <c r="R28"/>
      <c r="S28"/>
    </row>
    <row r="29" spans="2:19" s="89" customFormat="1" x14ac:dyDescent="0.4">
      <c r="B29" s="3815"/>
      <c r="C29" s="1294" t="s">
        <v>2154</v>
      </c>
      <c r="D29" s="1294" t="s">
        <v>778</v>
      </c>
      <c r="E29" s="1292">
        <f t="shared" si="1"/>
        <v>0.69444444444444442</v>
      </c>
      <c r="F29" s="1292">
        <f>IF($D29="Trigger",VLOOKUP($C29,'Lower Hot Cell Critical Path'!$C$6:$F$384,4,FALSE),E29+F28)</f>
        <v>49.946296296296303</v>
      </c>
      <c r="G29" s="862"/>
      <c r="H29" s="1328" t="s">
        <v>263</v>
      </c>
      <c r="I29" s="1724" t="s">
        <v>1826</v>
      </c>
      <c r="J29" s="1294" t="s">
        <v>799</v>
      </c>
      <c r="K29" s="1294" t="s">
        <v>451</v>
      </c>
      <c r="L29" s="865">
        <f>IFERROR(INDEX('Lower Hot Cell Logistics'!$I$13:$O$19,MATCH($J29,'Lower Hot Cell Logistics'!$H$13:$H$19,0),MATCH($K29,'Lower Hot Cell Logistics'!$H$13:$H$19,0)),"N/A")</f>
        <v>50</v>
      </c>
      <c r="M29" s="865">
        <f>IFERROR(VLOOKUP($I29,'Lower Hot Cell Logistics'!$H$4:$I$8,2,FALSE),"N/A")</f>
        <v>0.02</v>
      </c>
      <c r="N29" s="2197">
        <f t="shared" si="0"/>
        <v>0.69444444444444442</v>
      </c>
      <c r="O29" s="1331"/>
      <c r="P29" s="1332" t="str">
        <f>IF($D29="Logistics",VLOOKUP($O29,'Lower Hot Cell Logistics'!$C$4:$D$69,2,FALSE),"N/A")</f>
        <v>N/A</v>
      </c>
      <c r="R29"/>
      <c r="S29"/>
    </row>
    <row r="30" spans="2:19" s="89" customFormat="1" ht="26.6" thickBot="1" x14ac:dyDescent="0.45">
      <c r="B30" s="3816"/>
      <c r="C30" s="1340" t="str">
        <f>B24</f>
        <v>Port Plate Equipment Stored;  Threshold rail hardware collected; Transport Moved to Lower Port</v>
      </c>
      <c r="D30" s="1340" t="s">
        <v>11</v>
      </c>
      <c r="E30" s="1295">
        <f t="shared" si="1"/>
        <v>0</v>
      </c>
      <c r="F30" s="1295">
        <f>IF($D30="Trigger",VLOOKUP($C30,'Lower Hot Cell Critical Path'!$C$6:$F$384,4,FALSE),E30+F29)</f>
        <v>49.946296296296303</v>
      </c>
      <c r="G30" s="839"/>
      <c r="H30" s="1341" t="s">
        <v>263</v>
      </c>
      <c r="I30" s="1727"/>
      <c r="J30" s="1340"/>
      <c r="K30" s="1340"/>
      <c r="L30" s="842" t="str">
        <f>IFERROR(INDEX('Lower Hot Cell Logistics'!$I$13:$O$19,MATCH($J30,'Lower Hot Cell Logistics'!$H$13:$H$19,0),MATCH($K30,'Lower Hot Cell Logistics'!$H$13:$H$19,0)),"N/A")</f>
        <v>N/A</v>
      </c>
      <c r="M30" s="842" t="str">
        <f>IFERROR(VLOOKUP($I30,'Lower Hot Cell Logistics'!$H$4:$I$8,2,FALSE),"N/A")</f>
        <v>N/A</v>
      </c>
      <c r="N30" s="2199" t="str">
        <f>IF(D30="Movement",IFERROR((L30/M30)/(60*60),"Error"),"N/A")</f>
        <v>N/A</v>
      </c>
      <c r="O30" s="1344"/>
      <c r="P30" s="1345" t="str">
        <f>IF($D30="Logistics",VLOOKUP($O30,'Lower Hot Cell Logistics'!$C$4:$D$69,2,FALSE),"N/A")</f>
        <v>N/A</v>
      </c>
      <c r="R30"/>
      <c r="S30"/>
    </row>
    <row r="31" spans="2:19" s="89" customFormat="1" ht="15" customHeight="1" x14ac:dyDescent="0.4">
      <c r="B31" s="3787" t="s">
        <v>2020</v>
      </c>
      <c r="C31" s="617" t="s">
        <v>2015</v>
      </c>
      <c r="D31" s="617" t="s">
        <v>907</v>
      </c>
      <c r="E31" s="567">
        <f t="shared" si="1"/>
        <v>0</v>
      </c>
      <c r="F31" s="567">
        <f>IF($D31="Trigger",VLOOKUP($C31,'Lower Hot Cell Critical Path'!$C$6:$F$384,4,FALSE),E31+F30)</f>
        <v>47.432592592592599</v>
      </c>
      <c r="G31" s="568"/>
      <c r="H31" s="569" t="s">
        <v>263</v>
      </c>
      <c r="I31" s="1270"/>
      <c r="J31" s="617"/>
      <c r="K31" s="617"/>
      <c r="L31" s="570" t="str">
        <f>IFERROR(INDEX('Lower Hot Cell Logistics'!$I$13:$O$19,MATCH($J31,'Lower Hot Cell Logistics'!$H$13:$H$19,0),MATCH($K31,'Lower Hot Cell Logistics'!$H$13:$H$19,0)),"N/A")</f>
        <v>N/A</v>
      </c>
      <c r="M31" s="570" t="str">
        <f>IFERROR(VLOOKUP($I31,'Lower Hot Cell Logistics'!$H$4:$I$8,2,FALSE),"N/A")</f>
        <v>N/A</v>
      </c>
      <c r="N31" s="1182" t="str">
        <f t="shared" ref="N31:N36" si="3">IF(D31="Movement",IFERROR((L31/M31)/(60*60),"Error"),"N/A")</f>
        <v>N/A</v>
      </c>
      <c r="O31" s="620"/>
      <c r="P31" s="621" t="str">
        <f>IF($D31="Logistics",VLOOKUP($O31,'Lower Hot Cell Logistics'!$C$4:$D$69,2,FALSE),"N/A")</f>
        <v>N/A</v>
      </c>
      <c r="R31"/>
      <c r="S31"/>
    </row>
    <row r="32" spans="2:19" s="89" customFormat="1" ht="15" customHeight="1" x14ac:dyDescent="0.4">
      <c r="B32" s="3786"/>
      <c r="C32" s="1275" t="s">
        <v>2141</v>
      </c>
      <c r="D32" s="572" t="s">
        <v>778</v>
      </c>
      <c r="E32" s="578">
        <f t="shared" si="1"/>
        <v>0.23148148148148148</v>
      </c>
      <c r="F32" s="578">
        <f>IF($D32="Trigger",VLOOKUP($C32,'Lower Hot Cell Critical Path'!$C$6:$F$384,4,FALSE),E32+F31)</f>
        <v>47.66407407407408</v>
      </c>
      <c r="G32" s="872"/>
      <c r="H32" s="2221" t="s">
        <v>263</v>
      </c>
      <c r="I32" s="1281" t="s">
        <v>2142</v>
      </c>
      <c r="J32" s="572" t="s">
        <v>451</v>
      </c>
      <c r="K32" s="572" t="s">
        <v>914</v>
      </c>
      <c r="L32" s="1176">
        <f>IFERROR(INDEX('Lower Hot Cell Logistics'!$I$13:$O$19,MATCH($J32,'Lower Hot Cell Logistics'!$H$13:$H$19,0),MATCH($K32,'Lower Hot Cell Logistics'!$H$13:$H$19,0)),"N/A")</f>
        <v>50</v>
      </c>
      <c r="M32" s="2222">
        <f>IFERROR(VLOOKUP($I32,'Lower Hot Cell Logistics'!$H$4:$I$8,2,FALSE),"N/A")</f>
        <v>0.06</v>
      </c>
      <c r="N32" s="580">
        <f t="shared" si="3"/>
        <v>0.23148148148148148</v>
      </c>
      <c r="O32" s="631"/>
      <c r="P32" s="632" t="str">
        <f>IF($D32="Logistics",VLOOKUP($O32,'Lower Hot Cell Logistics'!$C$4:$D$69,2,FALSE),"N/A")</f>
        <v>N/A</v>
      </c>
      <c r="R32"/>
      <c r="S32"/>
    </row>
    <row r="33" spans="2:19" s="89" customFormat="1" ht="15" customHeight="1" x14ac:dyDescent="0.4">
      <c r="B33" s="3786"/>
      <c r="C33" s="1275" t="s">
        <v>2152</v>
      </c>
      <c r="D33" s="572" t="s">
        <v>3</v>
      </c>
      <c r="E33" s="578">
        <f t="shared" si="1"/>
        <v>0.88000000000000012</v>
      </c>
      <c r="F33" s="578">
        <f>IF($D33="Trigger",VLOOKUP($C33,'Lower Hot Cell Critical Path'!$C$6:$F$384,4,FALSE),E33+F32)</f>
        <v>48.544074074074082</v>
      </c>
      <c r="G33" s="872"/>
      <c r="H33" s="2221" t="s">
        <v>263</v>
      </c>
      <c r="I33" s="1281"/>
      <c r="J33" s="572"/>
      <c r="K33" s="572"/>
      <c r="L33" s="1176" t="str">
        <f>IFERROR(INDEX('Lower Hot Cell Logistics'!$I$13:$O$19,MATCH($J33,'Lower Hot Cell Logistics'!$H$13:$H$19,0),MATCH($K33,'Lower Hot Cell Logistics'!$H$13:$H$19,0)),"N/A")</f>
        <v>N/A</v>
      </c>
      <c r="M33" s="2222" t="str">
        <f>IFERROR(VLOOKUP($I33,'Lower Hot Cell Logistics'!$H$4:$I$8,2,FALSE),"N/A")</f>
        <v>N/A</v>
      </c>
      <c r="N33" s="580" t="str">
        <f t="shared" si="3"/>
        <v>N/A</v>
      </c>
      <c r="O33" s="631" t="s">
        <v>2144</v>
      </c>
      <c r="P33" s="632">
        <f>IF($D33="Logistics",VLOOKUP($O33,'Lower Hot Cell Logistics'!$C$4:$D$69,2,FALSE),"N/A")</f>
        <v>0.88000000000000012</v>
      </c>
      <c r="R33"/>
      <c r="S33"/>
    </row>
    <row r="34" spans="2:19" s="89" customFormat="1" ht="15" customHeight="1" x14ac:dyDescent="0.4">
      <c r="B34" s="3786"/>
      <c r="C34" s="1275" t="s">
        <v>2145</v>
      </c>
      <c r="D34" s="572" t="s">
        <v>778</v>
      </c>
      <c r="E34" s="578">
        <f t="shared" si="1"/>
        <v>2.7777777777777776E-2</v>
      </c>
      <c r="F34" s="578">
        <f>IF($D34="Trigger",VLOOKUP($C34,'Lower Hot Cell Critical Path'!$C$6:$F$384,4,FALSE),E34+F33)</f>
        <v>48.571851851851861</v>
      </c>
      <c r="G34" s="872"/>
      <c r="H34" s="2221" t="s">
        <v>263</v>
      </c>
      <c r="I34" s="1281" t="s">
        <v>2146</v>
      </c>
      <c r="J34" s="572" t="s">
        <v>914</v>
      </c>
      <c r="K34" s="572" t="s">
        <v>799</v>
      </c>
      <c r="L34" s="1176">
        <f>IFERROR(INDEX('Lower Hot Cell Logistics'!$I$13:$O$19,MATCH($J34,'Lower Hot Cell Logistics'!$H$13:$H$19,0),MATCH($K34,'Lower Hot Cell Logistics'!$H$13:$H$19,0)),"N/A")</f>
        <v>20</v>
      </c>
      <c r="M34" s="2222">
        <f>IFERROR(VLOOKUP($I34,'Lower Hot Cell Logistics'!$H$4:$I$8,2,FALSE),"N/A")</f>
        <v>0.2</v>
      </c>
      <c r="N34" s="580">
        <f t="shared" si="3"/>
        <v>2.7777777777777776E-2</v>
      </c>
      <c r="O34" s="631"/>
      <c r="P34" s="632" t="str">
        <f>IF($D34="Logistics",VLOOKUP($O34,'Lower Hot Cell Logistics'!$C$4:$D$69,2,FALSE),"N/A")</f>
        <v>N/A</v>
      </c>
      <c r="R34"/>
      <c r="S34"/>
    </row>
    <row r="35" spans="2:19" s="89" customFormat="1" x14ac:dyDescent="0.4">
      <c r="B35" s="3786"/>
      <c r="C35" s="572" t="s">
        <v>2153</v>
      </c>
      <c r="D35" s="572" t="s">
        <v>3</v>
      </c>
      <c r="E35" s="574">
        <f t="shared" si="1"/>
        <v>0.68</v>
      </c>
      <c r="F35" s="574">
        <f>IF($D35="Trigger",VLOOKUP($C35,'Lower Hot Cell Critical Path'!$C$6:$F$384,4,FALSE),E35+F34)</f>
        <v>49.25185185185186</v>
      </c>
      <c r="G35" s="575"/>
      <c r="H35" s="576" t="s">
        <v>263</v>
      </c>
      <c r="I35" s="1281"/>
      <c r="J35" s="572"/>
      <c r="K35" s="572"/>
      <c r="L35" s="853" t="str">
        <f>IFERROR(INDEX('Lower Hot Cell Logistics'!$I$13:$O$19,MATCH($J35,'Lower Hot Cell Logistics'!$H$13:$H$19,0),MATCH($K35,'Lower Hot Cell Logistics'!$H$13:$H$19,0)),"N/A")</f>
        <v>N/A</v>
      </c>
      <c r="M35" s="852" t="str">
        <f>IFERROR(VLOOKUP($I35,'Lower Hot Cell Logistics'!$H$4:$I$8,2,FALSE),"N/A")</f>
        <v>N/A</v>
      </c>
      <c r="N35" s="1180" t="str">
        <f t="shared" si="3"/>
        <v>N/A</v>
      </c>
      <c r="O35" s="579" t="s">
        <v>2148</v>
      </c>
      <c r="P35" s="580">
        <f>IF($D35="Logistics",VLOOKUP($O35,'Lower Hot Cell Logistics'!$C$4:$D$69,2,FALSE),"N/A")</f>
        <v>0.68</v>
      </c>
      <c r="R35"/>
      <c r="S35"/>
    </row>
    <row r="36" spans="2:19" s="89" customFormat="1" x14ac:dyDescent="0.4">
      <c r="B36" s="3786"/>
      <c r="C36" s="572" t="s">
        <v>2154</v>
      </c>
      <c r="D36" s="572" t="s">
        <v>778</v>
      </c>
      <c r="E36" s="574">
        <f t="shared" si="1"/>
        <v>0.69444444444444442</v>
      </c>
      <c r="F36" s="574">
        <f>IF($D36="Trigger",VLOOKUP($C36,'Lower Hot Cell Critical Path'!$C$6:$F$384,4,FALSE),E36+F35)</f>
        <v>49.946296296296303</v>
      </c>
      <c r="G36" s="575"/>
      <c r="H36" s="576" t="s">
        <v>263</v>
      </c>
      <c r="I36" s="1281" t="s">
        <v>1826</v>
      </c>
      <c r="J36" s="572" t="s">
        <v>799</v>
      </c>
      <c r="K36" s="572" t="s">
        <v>451</v>
      </c>
      <c r="L36" s="853">
        <f>IFERROR(INDEX('Lower Hot Cell Logistics'!$I$13:$O$19,MATCH($J36,'Lower Hot Cell Logistics'!$H$13:$H$19,0),MATCH($K36,'Lower Hot Cell Logistics'!$H$13:$H$19,0)),"N/A")</f>
        <v>50</v>
      </c>
      <c r="M36" s="853">
        <f>IFERROR(VLOOKUP($I36,'Lower Hot Cell Logistics'!$H$4:$I$8,2,FALSE),"N/A")</f>
        <v>0.02</v>
      </c>
      <c r="N36" s="1180">
        <f t="shared" si="3"/>
        <v>0.69444444444444442</v>
      </c>
      <c r="O36" s="579"/>
      <c r="P36" s="580" t="str">
        <f>IF($D36="Logistics",VLOOKUP($O36,'Lower Hot Cell Logistics'!$C$4:$D$69,2,FALSE),"N/A")</f>
        <v>N/A</v>
      </c>
      <c r="R36"/>
      <c r="S36"/>
    </row>
    <row r="37" spans="2:19" s="89" customFormat="1" ht="26.6" thickBot="1" x14ac:dyDescent="0.45">
      <c r="B37" s="3788"/>
      <c r="C37" s="583" t="str">
        <f>B31</f>
        <v>Vacuum closure plate Stored;  Diagnostic maintenance hardware collected; Transport Moved to Lower Port</v>
      </c>
      <c r="D37" s="583" t="s">
        <v>11</v>
      </c>
      <c r="E37" s="585">
        <f t="shared" si="1"/>
        <v>0</v>
      </c>
      <c r="F37" s="585">
        <f>IF($D37="Trigger",VLOOKUP($C37,'Lower Hot Cell Critical Path'!$C$6:$F$384,4,FALSE),E37+F36)</f>
        <v>49.946296296296303</v>
      </c>
      <c r="G37" s="586"/>
      <c r="H37" s="587" t="s">
        <v>263</v>
      </c>
      <c r="I37" s="1720"/>
      <c r="J37" s="583"/>
      <c r="K37" s="583"/>
      <c r="L37" s="814" t="str">
        <f>IFERROR(INDEX('Lower Hot Cell Logistics'!$I$13:$O$19,MATCH($J37,'Lower Hot Cell Logistics'!$H$13:$H$19,0),MATCH($K37,'Lower Hot Cell Logistics'!$H$13:$H$19,0)),"N/A")</f>
        <v>N/A</v>
      </c>
      <c r="M37" s="814" t="str">
        <f>IFERROR(VLOOKUP($I37,'Lower Hot Cell Logistics'!$H$4:$I$8,2,FALSE),"N/A")</f>
        <v>N/A</v>
      </c>
      <c r="N37" s="1181" t="str">
        <f>IF(D37="Movement",IFERROR((L37/M37)/(60*60),"Error"),"N/A")</f>
        <v>N/A</v>
      </c>
      <c r="O37" s="590"/>
      <c r="P37" s="591" t="str">
        <f>IF($D37="Logistics",VLOOKUP($O37,'Lower Hot Cell Logistics'!$C$4:$D$69,2,FALSE),"N/A")</f>
        <v>N/A</v>
      </c>
      <c r="R37"/>
      <c r="S37"/>
    </row>
    <row r="38" spans="2:19" s="89" customFormat="1" ht="15" customHeight="1" x14ac:dyDescent="0.4">
      <c r="B38" s="3814" t="s">
        <v>2022</v>
      </c>
      <c r="C38" s="1324" t="s">
        <v>2015</v>
      </c>
      <c r="D38" s="1324" t="s">
        <v>907</v>
      </c>
      <c r="E38" s="1291">
        <f t="shared" si="1"/>
        <v>0</v>
      </c>
      <c r="F38" s="1291">
        <f>IF($D38="Trigger",VLOOKUP($C38,'Lower Hot Cell Critical Path'!$C$6:$F$384,4,FALSE),E38+F37)</f>
        <v>47.432592592592599</v>
      </c>
      <c r="G38" s="825"/>
      <c r="H38" s="1323" t="s">
        <v>263</v>
      </c>
      <c r="I38" s="1721"/>
      <c r="J38" s="1324"/>
      <c r="K38" s="1324"/>
      <c r="L38" s="828" t="str">
        <f>IFERROR(INDEX('Lower Hot Cell Logistics'!$I$13:$O$19,MATCH($J38,'Lower Hot Cell Logistics'!$H$13:$H$19,0),MATCH($K38,'Lower Hot Cell Logistics'!$H$13:$H$19,0)),"N/A")</f>
        <v>N/A</v>
      </c>
      <c r="M38" s="828" t="str">
        <f>IFERROR(VLOOKUP($I38,'Lower Hot Cell Logistics'!$H$4:$I$8,2,FALSE),"N/A")</f>
        <v>N/A</v>
      </c>
      <c r="N38" s="2200" t="str">
        <f t="shared" ref="N38:N43" si="4">IF(D38="Movement",IFERROR((L38/M38)/(60*60),"Error"),"N/A")</f>
        <v>N/A</v>
      </c>
      <c r="O38" s="1327"/>
      <c r="P38" s="824" t="str">
        <f>IF($D38="Logistics",VLOOKUP($O38,'Lower Hot Cell Logistics'!$C$4:$D$69,2,FALSE),"N/A")</f>
        <v>N/A</v>
      </c>
      <c r="R38"/>
      <c r="S38"/>
    </row>
    <row r="39" spans="2:19" s="89" customFormat="1" ht="15" customHeight="1" x14ac:dyDescent="0.4">
      <c r="B39" s="3815"/>
      <c r="C39" s="1362" t="s">
        <v>2141</v>
      </c>
      <c r="D39" s="1294" t="s">
        <v>778</v>
      </c>
      <c r="E39" s="1330">
        <f t="shared" si="1"/>
        <v>0.23148148148148148</v>
      </c>
      <c r="F39" s="1330">
        <f>IF($D39="Trigger",VLOOKUP($C39,'Lower Hot Cell Critical Path'!$C$6:$F$384,4,FALSE),E39+F38)</f>
        <v>47.66407407407408</v>
      </c>
      <c r="G39" s="1722"/>
      <c r="H39" s="2219" t="s">
        <v>263</v>
      </c>
      <c r="I39" s="1724" t="s">
        <v>2142</v>
      </c>
      <c r="J39" s="1294" t="s">
        <v>451</v>
      </c>
      <c r="K39" s="1294" t="s">
        <v>914</v>
      </c>
      <c r="L39" s="2042">
        <f>IFERROR(INDEX('Lower Hot Cell Logistics'!$I$13:$O$19,MATCH($J39,'Lower Hot Cell Logistics'!$H$13:$H$19,0),MATCH($K39,'Lower Hot Cell Logistics'!$H$13:$H$19,0)),"N/A")</f>
        <v>50</v>
      </c>
      <c r="M39" s="2220">
        <f>IFERROR(VLOOKUP($I39,'Lower Hot Cell Logistics'!$H$4:$I$8,2,FALSE),"N/A")</f>
        <v>0.06</v>
      </c>
      <c r="N39" s="1332">
        <f t="shared" si="4"/>
        <v>0.23148148148148148</v>
      </c>
      <c r="O39" s="1352"/>
      <c r="P39" s="1353" t="str">
        <f>IF($D39="Logistics",VLOOKUP($O39,'Lower Hot Cell Logistics'!$C$4:$D$69,2,FALSE),"N/A")</f>
        <v>N/A</v>
      </c>
      <c r="R39"/>
      <c r="S39"/>
    </row>
    <row r="40" spans="2:19" s="89" customFormat="1" ht="15" customHeight="1" x14ac:dyDescent="0.4">
      <c r="B40" s="3815"/>
      <c r="C40" s="1362" t="s">
        <v>2155</v>
      </c>
      <c r="D40" s="1294" t="s">
        <v>3</v>
      </c>
      <c r="E40" s="1330">
        <f t="shared" si="1"/>
        <v>0.88000000000000012</v>
      </c>
      <c r="F40" s="1330">
        <f>IF($D40="Trigger",VLOOKUP($C40,'Lower Hot Cell Critical Path'!$C$6:$F$384,4,FALSE),E40+F39)</f>
        <v>48.544074074074082</v>
      </c>
      <c r="G40" s="1722"/>
      <c r="H40" s="2219" t="s">
        <v>263</v>
      </c>
      <c r="I40" s="1724"/>
      <c r="J40" s="1294"/>
      <c r="K40" s="1294"/>
      <c r="L40" s="2042" t="str">
        <f>IFERROR(INDEX('Lower Hot Cell Logistics'!$I$13:$O$19,MATCH($J40,'Lower Hot Cell Logistics'!$H$13:$H$19,0),MATCH($K40,'Lower Hot Cell Logistics'!$H$13:$H$19,0)),"N/A")</f>
        <v>N/A</v>
      </c>
      <c r="M40" s="2220" t="str">
        <f>IFERROR(VLOOKUP($I40,'Lower Hot Cell Logistics'!$H$4:$I$8,2,FALSE),"N/A")</f>
        <v>N/A</v>
      </c>
      <c r="N40" s="1332" t="str">
        <f t="shared" si="4"/>
        <v>N/A</v>
      </c>
      <c r="O40" s="1352" t="s">
        <v>2144</v>
      </c>
      <c r="P40" s="1353">
        <f>IF($D40="Logistics",VLOOKUP($O40,'Lower Hot Cell Logistics'!$C$4:$D$69,2,FALSE),"N/A")</f>
        <v>0.88000000000000012</v>
      </c>
      <c r="R40"/>
      <c r="S40"/>
    </row>
    <row r="41" spans="2:19" s="89" customFormat="1" ht="15" customHeight="1" x14ac:dyDescent="0.4">
      <c r="B41" s="3815"/>
      <c r="C41" s="1362" t="s">
        <v>2145</v>
      </c>
      <c r="D41" s="1294" t="s">
        <v>778</v>
      </c>
      <c r="E41" s="1330">
        <f t="shared" si="1"/>
        <v>2.7777777777777776E-2</v>
      </c>
      <c r="F41" s="1330">
        <f>IF($D41="Trigger",VLOOKUP($C41,'Lower Hot Cell Critical Path'!$C$6:$F$384,4,FALSE),E41+F40)</f>
        <v>48.571851851851861</v>
      </c>
      <c r="G41" s="1722"/>
      <c r="H41" s="2219" t="s">
        <v>263</v>
      </c>
      <c r="I41" s="1724" t="s">
        <v>2146</v>
      </c>
      <c r="J41" s="1294" t="s">
        <v>914</v>
      </c>
      <c r="K41" s="1294" t="s">
        <v>799</v>
      </c>
      <c r="L41" s="2042">
        <f>IFERROR(INDEX('Lower Hot Cell Logistics'!$I$13:$O$19,MATCH($J41,'Lower Hot Cell Logistics'!$H$13:$H$19,0),MATCH($K41,'Lower Hot Cell Logistics'!$H$13:$H$19,0)),"N/A")</f>
        <v>20</v>
      </c>
      <c r="M41" s="2220">
        <f>IFERROR(VLOOKUP($I41,'Lower Hot Cell Logistics'!$H$4:$I$8,2,FALSE),"N/A")</f>
        <v>0.2</v>
      </c>
      <c r="N41" s="1332">
        <f t="shared" si="4"/>
        <v>2.7777777777777776E-2</v>
      </c>
      <c r="O41" s="1352"/>
      <c r="P41" s="1353" t="str">
        <f>IF($D41="Logistics",VLOOKUP($O41,'Lower Hot Cell Logistics'!$C$4:$D$69,2,FALSE),"N/A")</f>
        <v>N/A</v>
      </c>
      <c r="R41"/>
      <c r="S41"/>
    </row>
    <row r="42" spans="2:19" s="89" customFormat="1" x14ac:dyDescent="0.4">
      <c r="B42" s="3815"/>
      <c r="C42" s="1294" t="s">
        <v>2156</v>
      </c>
      <c r="D42" s="1294" t="s">
        <v>3</v>
      </c>
      <c r="E42" s="1292">
        <f t="shared" si="1"/>
        <v>0.68</v>
      </c>
      <c r="F42" s="1292">
        <f>IF($D42="Trigger",VLOOKUP($C42,'Lower Hot Cell Critical Path'!$C$6:$F$384,4,FALSE),E42+F41)</f>
        <v>49.25185185185186</v>
      </c>
      <c r="G42" s="862"/>
      <c r="H42" s="1328" t="s">
        <v>263</v>
      </c>
      <c r="I42" s="1724"/>
      <c r="J42" s="1294"/>
      <c r="K42" s="1294"/>
      <c r="L42" s="865" t="str">
        <f>IFERROR(INDEX('Lower Hot Cell Logistics'!$I$13:$O$19,MATCH($J42,'Lower Hot Cell Logistics'!$H$13:$H$19,0),MATCH($K42,'Lower Hot Cell Logistics'!$H$13:$H$19,0)),"N/A")</f>
        <v>N/A</v>
      </c>
      <c r="M42" s="864" t="str">
        <f>IFERROR(VLOOKUP($I42,'Lower Hot Cell Logistics'!$H$4:$I$8,2,FALSE),"N/A")</f>
        <v>N/A</v>
      </c>
      <c r="N42" s="2197" t="str">
        <f t="shared" si="4"/>
        <v>N/A</v>
      </c>
      <c r="O42" s="1331" t="s">
        <v>2148</v>
      </c>
      <c r="P42" s="1332">
        <f>IF($D42="Logistics",VLOOKUP($O42,'Lower Hot Cell Logistics'!$C$4:$D$69,2,FALSE),"N/A")</f>
        <v>0.68</v>
      </c>
      <c r="R42"/>
      <c r="S42"/>
    </row>
    <row r="43" spans="2:19" s="89" customFormat="1" x14ac:dyDescent="0.4">
      <c r="B43" s="3815"/>
      <c r="C43" s="1294" t="s">
        <v>2154</v>
      </c>
      <c r="D43" s="1294" t="s">
        <v>778</v>
      </c>
      <c r="E43" s="1292">
        <f t="shared" si="1"/>
        <v>0.69444444444444442</v>
      </c>
      <c r="F43" s="1292">
        <f>IF($D43="Trigger",VLOOKUP($C43,'Lower Hot Cell Critical Path'!$C$6:$F$384,4,FALSE),E43+F42)</f>
        <v>49.946296296296303</v>
      </c>
      <c r="G43" s="862"/>
      <c r="H43" s="1328" t="s">
        <v>263</v>
      </c>
      <c r="I43" s="1724" t="s">
        <v>1826</v>
      </c>
      <c r="J43" s="1294" t="s">
        <v>799</v>
      </c>
      <c r="K43" s="1294" t="s">
        <v>451</v>
      </c>
      <c r="L43" s="865">
        <f>IFERROR(INDEX('Lower Hot Cell Logistics'!$I$13:$O$19,MATCH($J43,'Lower Hot Cell Logistics'!$H$13:$H$19,0),MATCH($K43,'Lower Hot Cell Logistics'!$H$13:$H$19,0)),"N/A")</f>
        <v>50</v>
      </c>
      <c r="M43" s="865">
        <f>IFERROR(VLOOKUP($I43,'Lower Hot Cell Logistics'!$H$4:$I$8,2,FALSE),"N/A")</f>
        <v>0.02</v>
      </c>
      <c r="N43" s="2197">
        <f t="shared" si="4"/>
        <v>0.69444444444444442</v>
      </c>
      <c r="O43" s="1331"/>
      <c r="P43" s="1332" t="str">
        <f>IF($D43="Logistics",VLOOKUP($O43,'Lower Hot Cell Logistics'!$C$4:$D$69,2,FALSE),"N/A")</f>
        <v>N/A</v>
      </c>
      <c r="R43"/>
      <c r="S43"/>
    </row>
    <row r="44" spans="2:19" s="89" customFormat="1" ht="26.6" thickBot="1" x14ac:dyDescent="0.45">
      <c r="B44" s="3816"/>
      <c r="C44" s="1340" t="str">
        <f>B38</f>
        <v>Threshold rail handling system Stored;  vacuum pumping interface hardware collected; Transport Moved to Lower Port</v>
      </c>
      <c r="D44" s="1340" t="s">
        <v>11</v>
      </c>
      <c r="E44" s="1295">
        <f t="shared" si="1"/>
        <v>0</v>
      </c>
      <c r="F44" s="1295">
        <f>IF($D44="Trigger",VLOOKUP($C44,'Lower Hot Cell Critical Path'!$C$6:$F$384,4,FALSE),E44+F43)</f>
        <v>49.946296296296303</v>
      </c>
      <c r="G44" s="839"/>
      <c r="H44" s="1341" t="s">
        <v>263</v>
      </c>
      <c r="I44" s="1727"/>
      <c r="J44" s="1340"/>
      <c r="K44" s="1340"/>
      <c r="L44" s="842" t="str">
        <f>IFERROR(INDEX('Lower Hot Cell Logistics'!$I$13:$O$19,MATCH($J44,'Lower Hot Cell Logistics'!$H$13:$H$19,0),MATCH($K44,'Lower Hot Cell Logistics'!$H$13:$H$19,0)),"N/A")</f>
        <v>N/A</v>
      </c>
      <c r="M44" s="842" t="str">
        <f>IFERROR(VLOOKUP($I44,'Lower Hot Cell Logistics'!$H$4:$I$8,2,FALSE),"N/A")</f>
        <v>N/A</v>
      </c>
      <c r="N44" s="2199" t="str">
        <f>IF(D44="Movement",IFERROR((L44/M44)/(60*60),"Error"),"N/A")</f>
        <v>N/A</v>
      </c>
      <c r="O44" s="1344"/>
      <c r="P44" s="1345" t="str">
        <f>IF($D44="Logistics",VLOOKUP($O44,'Lower Hot Cell Logistics'!$C$4:$D$69,2,FALSE),"N/A")</f>
        <v>N/A</v>
      </c>
      <c r="R44"/>
      <c r="S44"/>
    </row>
    <row r="45" spans="2:19" s="89" customFormat="1" ht="15" customHeight="1" x14ac:dyDescent="0.4">
      <c r="B45" s="3787" t="s">
        <v>2157</v>
      </c>
      <c r="C45" s="617" t="s">
        <v>2021</v>
      </c>
      <c r="D45" s="617" t="s">
        <v>907</v>
      </c>
      <c r="E45" s="567">
        <f t="shared" si="1"/>
        <v>0</v>
      </c>
      <c r="F45" s="567">
        <f>IF($D45="Trigger",VLOOKUP($C45,'Lower Hot Cell Critical Path'!$C$6:$F$384,4,FALSE),E45+F44)</f>
        <v>79.02064814814814</v>
      </c>
      <c r="G45" s="568"/>
      <c r="H45" s="569" t="s">
        <v>263</v>
      </c>
      <c r="I45" s="1270"/>
      <c r="J45" s="617"/>
      <c r="K45" s="617"/>
      <c r="L45" s="570" t="str">
        <f>IFERROR(INDEX('Lower Hot Cell Logistics'!$I$13:$O$19,MATCH($J45,'Lower Hot Cell Logistics'!$H$13:$H$19,0),MATCH($K45,'Lower Hot Cell Logistics'!$H$13:$H$19,0)),"N/A")</f>
        <v>N/A</v>
      </c>
      <c r="M45" s="570" t="str">
        <f>IFERROR(VLOOKUP($I45,'Lower Hot Cell Logistics'!$H$4:$I$8,2,FALSE),"N/A")</f>
        <v>N/A</v>
      </c>
      <c r="N45" s="1182" t="str">
        <f t="shared" ref="N45:N50" si="5">IF(D45="Movement",IFERROR((L45/M45)/(60*60),"Error"),"N/A")</f>
        <v>N/A</v>
      </c>
      <c r="O45" s="620"/>
      <c r="P45" s="621" t="str">
        <f>IF($D45="Logistics",VLOOKUP($O45,'Lower Hot Cell Logistics'!$C$4:$D$69,2,FALSE),"N/A")</f>
        <v>N/A</v>
      </c>
      <c r="R45"/>
      <c r="S45"/>
    </row>
    <row r="46" spans="2:19" s="89" customFormat="1" ht="15" customHeight="1" x14ac:dyDescent="0.4">
      <c r="B46" s="3786"/>
      <c r="C46" s="1275" t="s">
        <v>2141</v>
      </c>
      <c r="D46" s="572" t="s">
        <v>778</v>
      </c>
      <c r="E46" s="578">
        <f t="shared" si="1"/>
        <v>0.23148148148148148</v>
      </c>
      <c r="F46" s="578">
        <f>IF($D46="Trigger",VLOOKUP($C46,'Lower Hot Cell Critical Path'!$C$6:$F$384,4,FALSE),E46+F45)</f>
        <v>79.252129629629621</v>
      </c>
      <c r="G46" s="872"/>
      <c r="H46" s="2221" t="s">
        <v>263</v>
      </c>
      <c r="I46" s="1281" t="s">
        <v>2142</v>
      </c>
      <c r="J46" s="572" t="s">
        <v>451</v>
      </c>
      <c r="K46" s="572" t="s">
        <v>914</v>
      </c>
      <c r="L46" s="1176">
        <f>IFERROR(INDEX('Lower Hot Cell Logistics'!$I$13:$O$19,MATCH($J46,'Lower Hot Cell Logistics'!$H$13:$H$19,0),MATCH($K46,'Lower Hot Cell Logistics'!$H$13:$H$19,0)),"N/A")</f>
        <v>50</v>
      </c>
      <c r="M46" s="2222">
        <f>IFERROR(VLOOKUP($I46,'Lower Hot Cell Logistics'!$H$4:$I$8,2,FALSE),"N/A")</f>
        <v>0.06</v>
      </c>
      <c r="N46" s="580">
        <f t="shared" si="5"/>
        <v>0.23148148148148148</v>
      </c>
      <c r="O46" s="631"/>
      <c r="P46" s="632" t="str">
        <f>IF($D46="Logistics",VLOOKUP($O46,'Lower Hot Cell Logistics'!$C$4:$D$69,2,FALSE),"N/A")</f>
        <v>N/A</v>
      </c>
      <c r="R46"/>
      <c r="S46"/>
    </row>
    <row r="47" spans="2:19" s="89" customFormat="1" ht="15" customHeight="1" x14ac:dyDescent="0.4">
      <c r="B47" s="3786"/>
      <c r="C47" s="1275" t="s">
        <v>2158</v>
      </c>
      <c r="D47" s="572" t="s">
        <v>3</v>
      </c>
      <c r="E47" s="578">
        <f t="shared" si="1"/>
        <v>0.88000000000000012</v>
      </c>
      <c r="F47" s="578">
        <f>IF($D47="Trigger",VLOOKUP($C47,'Lower Hot Cell Critical Path'!$C$6:$F$384,4,FALSE),E47+F46)</f>
        <v>80.132129629629617</v>
      </c>
      <c r="G47" s="872"/>
      <c r="H47" s="2221" t="s">
        <v>263</v>
      </c>
      <c r="I47" s="1281"/>
      <c r="J47" s="572"/>
      <c r="K47" s="572"/>
      <c r="L47" s="1176" t="str">
        <f>IFERROR(INDEX('Lower Hot Cell Logistics'!$I$13:$O$19,MATCH($J47,'Lower Hot Cell Logistics'!$H$13:$H$19,0),MATCH($K47,'Lower Hot Cell Logistics'!$H$13:$H$19,0)),"N/A")</f>
        <v>N/A</v>
      </c>
      <c r="M47" s="2222" t="str">
        <f>IFERROR(VLOOKUP($I47,'Lower Hot Cell Logistics'!$H$4:$I$8,2,FALSE),"N/A")</f>
        <v>N/A</v>
      </c>
      <c r="N47" s="580" t="str">
        <f t="shared" si="5"/>
        <v>N/A</v>
      </c>
      <c r="O47" s="631" t="s">
        <v>2144</v>
      </c>
      <c r="P47" s="632">
        <f>IF($D47="Logistics",VLOOKUP($O47,'Lower Hot Cell Logistics'!$C$4:$D$69,2,FALSE),"N/A")</f>
        <v>0.88000000000000012</v>
      </c>
      <c r="R47"/>
      <c r="S47"/>
    </row>
    <row r="48" spans="2:19" s="89" customFormat="1" ht="15" customHeight="1" x14ac:dyDescent="0.4">
      <c r="B48" s="3786"/>
      <c r="C48" s="1275" t="s">
        <v>2145</v>
      </c>
      <c r="D48" s="572" t="s">
        <v>778</v>
      </c>
      <c r="E48" s="578">
        <f t="shared" si="1"/>
        <v>2.7777777777777776E-2</v>
      </c>
      <c r="F48" s="578">
        <f>IF($D48="Trigger",VLOOKUP($C48,'Lower Hot Cell Critical Path'!$C$6:$F$384,4,FALSE),E48+F47)</f>
        <v>80.159907407407388</v>
      </c>
      <c r="G48" s="872"/>
      <c r="H48" s="2221" t="s">
        <v>263</v>
      </c>
      <c r="I48" s="1281" t="s">
        <v>2146</v>
      </c>
      <c r="J48" s="572" t="s">
        <v>914</v>
      </c>
      <c r="K48" s="572" t="s">
        <v>799</v>
      </c>
      <c r="L48" s="1176">
        <f>IFERROR(INDEX('Lower Hot Cell Logistics'!$I$13:$O$19,MATCH($J48,'Lower Hot Cell Logistics'!$H$13:$H$19,0),MATCH($K48,'Lower Hot Cell Logistics'!$H$13:$H$19,0)),"N/A")</f>
        <v>20</v>
      </c>
      <c r="M48" s="2222">
        <f>IFERROR(VLOOKUP($I48,'Lower Hot Cell Logistics'!$H$4:$I$8,2,FALSE),"N/A")</f>
        <v>0.2</v>
      </c>
      <c r="N48" s="580">
        <f t="shared" si="5"/>
        <v>2.7777777777777776E-2</v>
      </c>
      <c r="O48" s="631"/>
      <c r="P48" s="632" t="str">
        <f>IF($D48="Logistics",VLOOKUP($O48,'Lower Hot Cell Logistics'!$C$4:$D$69,2,FALSE),"N/A")</f>
        <v>N/A</v>
      </c>
      <c r="R48"/>
      <c r="S48"/>
    </row>
    <row r="49" spans="2:19" s="89" customFormat="1" x14ac:dyDescent="0.4">
      <c r="B49" s="3786"/>
      <c r="C49" s="572" t="s">
        <v>2159</v>
      </c>
      <c r="D49" s="572" t="s">
        <v>3</v>
      </c>
      <c r="E49" s="574">
        <f t="shared" si="1"/>
        <v>0.68</v>
      </c>
      <c r="F49" s="574">
        <f>IF($D49="Trigger",VLOOKUP($C49,'Lower Hot Cell Critical Path'!$C$6:$F$384,4,FALSE),E49+F48)</f>
        <v>80.839907407407395</v>
      </c>
      <c r="G49" s="575"/>
      <c r="H49" s="576" t="s">
        <v>263</v>
      </c>
      <c r="I49" s="1281"/>
      <c r="J49" s="572"/>
      <c r="K49" s="572"/>
      <c r="L49" s="853" t="str">
        <f>IFERROR(INDEX('Lower Hot Cell Logistics'!$I$13:$O$19,MATCH($J49,'Lower Hot Cell Logistics'!$H$13:$H$19,0),MATCH($K49,'Lower Hot Cell Logistics'!$H$13:$H$19,0)),"N/A")</f>
        <v>N/A</v>
      </c>
      <c r="M49" s="852" t="str">
        <f>IFERROR(VLOOKUP($I49,'Lower Hot Cell Logistics'!$H$4:$I$8,2,FALSE),"N/A")</f>
        <v>N/A</v>
      </c>
      <c r="N49" s="1180" t="str">
        <f t="shared" si="5"/>
        <v>N/A</v>
      </c>
      <c r="O49" s="579" t="s">
        <v>2148</v>
      </c>
      <c r="P49" s="580">
        <f>IF($D49="Logistics",VLOOKUP($O49,'Lower Hot Cell Logistics'!$C$4:$D$69,2,FALSE),"N/A")</f>
        <v>0.68</v>
      </c>
      <c r="R49"/>
      <c r="S49"/>
    </row>
    <row r="50" spans="2:19" s="89" customFormat="1" x14ac:dyDescent="0.4">
      <c r="B50" s="3786"/>
      <c r="C50" s="572" t="s">
        <v>2154</v>
      </c>
      <c r="D50" s="572" t="s">
        <v>778</v>
      </c>
      <c r="E50" s="574">
        <f t="shared" si="1"/>
        <v>0.69444444444444442</v>
      </c>
      <c r="F50" s="574">
        <f>IF($D50="Trigger",VLOOKUP($C50,'Lower Hot Cell Critical Path'!$C$6:$F$384,4,FALSE),E50+F49)</f>
        <v>81.534351851851838</v>
      </c>
      <c r="G50" s="575"/>
      <c r="H50" s="576" t="s">
        <v>263</v>
      </c>
      <c r="I50" s="1281" t="s">
        <v>1826</v>
      </c>
      <c r="J50" s="572" t="s">
        <v>799</v>
      </c>
      <c r="K50" s="572" t="s">
        <v>451</v>
      </c>
      <c r="L50" s="853">
        <f>IFERROR(INDEX('Lower Hot Cell Logistics'!$I$13:$O$19,MATCH($J50,'Lower Hot Cell Logistics'!$H$13:$H$19,0),MATCH($K50,'Lower Hot Cell Logistics'!$H$13:$H$19,0)),"N/A")</f>
        <v>50</v>
      </c>
      <c r="M50" s="853">
        <f>IFERROR(VLOOKUP($I50,'Lower Hot Cell Logistics'!$H$4:$I$8,2,FALSE),"N/A")</f>
        <v>0.02</v>
      </c>
      <c r="N50" s="1180">
        <f t="shared" si="5"/>
        <v>0.69444444444444442</v>
      </c>
      <c r="O50" s="579"/>
      <c r="P50" s="580" t="str">
        <f>IF($D50="Logistics",VLOOKUP($O50,'Lower Hot Cell Logistics'!$C$4:$D$69,2,FALSE),"N/A")</f>
        <v>N/A</v>
      </c>
      <c r="R50"/>
      <c r="S50"/>
    </row>
    <row r="51" spans="2:19" s="89" customFormat="1" ht="26.6" thickBot="1" x14ac:dyDescent="0.45">
      <c r="B51" s="3788"/>
      <c r="C51" s="583" t="str">
        <f>B45</f>
        <v>Diagnostic maintenance system stored;  shielding module hardware collected; Transport Moved to Lower Port</v>
      </c>
      <c r="D51" s="583" t="s">
        <v>11</v>
      </c>
      <c r="E51" s="585">
        <f t="shared" si="1"/>
        <v>0</v>
      </c>
      <c r="F51" s="585">
        <f>IF($D51="Trigger",VLOOKUP($C51,'Lower Hot Cell Critical Path'!$C$6:$F$384,4,FALSE),E51+F50)</f>
        <v>81.534351851851838</v>
      </c>
      <c r="G51" s="586"/>
      <c r="H51" s="587" t="s">
        <v>263</v>
      </c>
      <c r="I51" s="1720"/>
      <c r="J51" s="583"/>
      <c r="K51" s="583"/>
      <c r="L51" s="814" t="str">
        <f>IFERROR(INDEX('Lower Hot Cell Logistics'!$I$13:$O$19,MATCH($J51,'Lower Hot Cell Logistics'!$H$13:$H$19,0),MATCH($K51,'Lower Hot Cell Logistics'!$H$13:$H$19,0)),"N/A")</f>
        <v>N/A</v>
      </c>
      <c r="M51" s="814" t="str">
        <f>IFERROR(VLOOKUP($I51,'Lower Hot Cell Logistics'!$H$4:$I$8,2,FALSE),"N/A")</f>
        <v>N/A</v>
      </c>
      <c r="N51" s="1181" t="str">
        <f>IF(D51="Movement",IFERROR((L51/M51)/(60*60),"Error"),"N/A")</f>
        <v>N/A</v>
      </c>
      <c r="O51" s="590"/>
      <c r="P51" s="591" t="str">
        <f>IF($D51="Logistics",VLOOKUP($O51,'Lower Hot Cell Logistics'!$C$4:$D$69,2,FALSE),"N/A")</f>
        <v>N/A</v>
      </c>
      <c r="R51"/>
      <c r="S51"/>
    </row>
    <row r="52" spans="2:19" s="89" customFormat="1" ht="15" customHeight="1" x14ac:dyDescent="0.4">
      <c r="B52" s="3814" t="s">
        <v>2027</v>
      </c>
      <c r="C52" s="1324" t="s">
        <v>2023</v>
      </c>
      <c r="D52" s="1324" t="s">
        <v>907</v>
      </c>
      <c r="E52" s="1291">
        <f t="shared" si="1"/>
        <v>0</v>
      </c>
      <c r="F52" s="1291">
        <f>IF($D52="Trigger",VLOOKUP($C52,'Lower Hot Cell Critical Path'!$C$6:$F$384,4,FALSE),E52+F51)</f>
        <v>93.065092592592578</v>
      </c>
      <c r="G52" s="825"/>
      <c r="H52" s="1323" t="s">
        <v>263</v>
      </c>
      <c r="I52" s="1721"/>
      <c r="J52" s="1324"/>
      <c r="K52" s="1324"/>
      <c r="L52" s="828" t="str">
        <f>IFERROR(INDEX('Lower Hot Cell Logistics'!$I$13:$O$19,MATCH($J52,'Lower Hot Cell Logistics'!$H$13:$H$19,0),MATCH($K52,'Lower Hot Cell Logistics'!$H$13:$H$19,0)),"N/A")</f>
        <v>N/A</v>
      </c>
      <c r="M52" s="828" t="str">
        <f>IFERROR(VLOOKUP($I52,'Lower Hot Cell Logistics'!$H$4:$I$8,2,FALSE),"N/A")</f>
        <v>N/A</v>
      </c>
      <c r="N52" s="2200" t="str">
        <f t="shared" ref="N52:N57" si="6">IF(D52="Movement",IFERROR((L52/M52)/(60*60),"Error"),"N/A")</f>
        <v>N/A</v>
      </c>
      <c r="O52" s="1327"/>
      <c r="P52" s="824" t="str">
        <f>IF($D52="Logistics",VLOOKUP($O52,'Lower Hot Cell Logistics'!$C$4:$D$69,2,FALSE),"N/A")</f>
        <v>N/A</v>
      </c>
      <c r="R52"/>
      <c r="S52"/>
    </row>
    <row r="53" spans="2:19" s="89" customFormat="1" ht="15" customHeight="1" x14ac:dyDescent="0.4">
      <c r="B53" s="3815"/>
      <c r="C53" s="1362" t="s">
        <v>2141</v>
      </c>
      <c r="D53" s="1294" t="s">
        <v>778</v>
      </c>
      <c r="E53" s="1330">
        <f t="shared" si="1"/>
        <v>0.23148148148148148</v>
      </c>
      <c r="F53" s="1330">
        <f>IF($D53="Trigger",VLOOKUP($C53,'Lower Hot Cell Critical Path'!$C$6:$F$384,4,FALSE),E53+F52)</f>
        <v>93.296574074074059</v>
      </c>
      <c r="G53" s="1722"/>
      <c r="H53" s="2219" t="s">
        <v>263</v>
      </c>
      <c r="I53" s="1724" t="s">
        <v>2142</v>
      </c>
      <c r="J53" s="1294" t="s">
        <v>451</v>
      </c>
      <c r="K53" s="1294" t="s">
        <v>914</v>
      </c>
      <c r="L53" s="2042">
        <f>IFERROR(INDEX('Lower Hot Cell Logistics'!$I$13:$O$19,MATCH($J53,'Lower Hot Cell Logistics'!$H$13:$H$19,0),MATCH($K53,'Lower Hot Cell Logistics'!$H$13:$H$19,0)),"N/A")</f>
        <v>50</v>
      </c>
      <c r="M53" s="2220">
        <f>IFERROR(VLOOKUP($I53,'Lower Hot Cell Logistics'!$H$4:$I$8,2,FALSE),"N/A")</f>
        <v>0.06</v>
      </c>
      <c r="N53" s="1332">
        <f t="shared" si="6"/>
        <v>0.23148148148148148</v>
      </c>
      <c r="O53" s="1352"/>
      <c r="P53" s="1353" t="str">
        <f>IF($D53="Logistics",VLOOKUP($O53,'Lower Hot Cell Logistics'!$C$4:$D$69,2,FALSE),"N/A")</f>
        <v>N/A</v>
      </c>
      <c r="R53"/>
      <c r="S53"/>
    </row>
    <row r="54" spans="2:19" s="89" customFormat="1" ht="15" customHeight="1" x14ac:dyDescent="0.4">
      <c r="B54" s="3815"/>
      <c r="C54" s="1362" t="s">
        <v>2158</v>
      </c>
      <c r="D54" s="1294" t="s">
        <v>3</v>
      </c>
      <c r="E54" s="1330">
        <f t="shared" si="1"/>
        <v>0.88000000000000012</v>
      </c>
      <c r="F54" s="1330">
        <f>IF($D54="Trigger",VLOOKUP($C54,'Lower Hot Cell Critical Path'!$C$6:$F$384,4,FALSE),E54+F53)</f>
        <v>94.176574074074054</v>
      </c>
      <c r="G54" s="1722"/>
      <c r="H54" s="2219" t="s">
        <v>263</v>
      </c>
      <c r="I54" s="1724"/>
      <c r="J54" s="1294"/>
      <c r="K54" s="1294"/>
      <c r="L54" s="2042" t="str">
        <f>IFERROR(INDEX('Lower Hot Cell Logistics'!$I$13:$O$19,MATCH($J54,'Lower Hot Cell Logistics'!$H$13:$H$19,0),MATCH($K54,'Lower Hot Cell Logistics'!$H$13:$H$19,0)),"N/A")</f>
        <v>N/A</v>
      </c>
      <c r="M54" s="2220" t="str">
        <f>IFERROR(VLOOKUP($I54,'Lower Hot Cell Logistics'!$H$4:$I$8,2,FALSE),"N/A")</f>
        <v>N/A</v>
      </c>
      <c r="N54" s="1332" t="str">
        <f t="shared" si="6"/>
        <v>N/A</v>
      </c>
      <c r="O54" s="1352" t="s">
        <v>2144</v>
      </c>
      <c r="P54" s="1353">
        <f>IF($D54="Logistics",VLOOKUP($O54,'Lower Hot Cell Logistics'!$C$4:$D$69,2,FALSE),"N/A")</f>
        <v>0.88000000000000012</v>
      </c>
      <c r="R54"/>
      <c r="S54"/>
    </row>
    <row r="55" spans="2:19" s="89" customFormat="1" ht="15" customHeight="1" x14ac:dyDescent="0.4">
      <c r="B55" s="3815"/>
      <c r="C55" s="1362" t="s">
        <v>2145</v>
      </c>
      <c r="D55" s="1294" t="s">
        <v>778</v>
      </c>
      <c r="E55" s="1330">
        <f t="shared" si="1"/>
        <v>2.7777777777777776E-2</v>
      </c>
      <c r="F55" s="1330">
        <f>IF($D55="Trigger",VLOOKUP($C55,'Lower Hot Cell Critical Path'!$C$6:$F$384,4,FALSE),E55+F54)</f>
        <v>94.204351851851825</v>
      </c>
      <c r="G55" s="1722"/>
      <c r="H55" s="2219" t="s">
        <v>263</v>
      </c>
      <c r="I55" s="1724" t="s">
        <v>2146</v>
      </c>
      <c r="J55" s="1294" t="s">
        <v>914</v>
      </c>
      <c r="K55" s="1294" t="s">
        <v>799</v>
      </c>
      <c r="L55" s="2042">
        <f>IFERROR(INDEX('Lower Hot Cell Logistics'!$I$13:$O$19,MATCH($J55,'Lower Hot Cell Logistics'!$H$13:$H$19,0),MATCH($K55,'Lower Hot Cell Logistics'!$H$13:$H$19,0)),"N/A")</f>
        <v>20</v>
      </c>
      <c r="M55" s="2220">
        <f>IFERROR(VLOOKUP($I55,'Lower Hot Cell Logistics'!$H$4:$I$8,2,FALSE),"N/A")</f>
        <v>0.2</v>
      </c>
      <c r="N55" s="1332">
        <f t="shared" si="6"/>
        <v>2.7777777777777776E-2</v>
      </c>
      <c r="O55" s="1352"/>
      <c r="P55" s="1353" t="str">
        <f>IF($D55="Logistics",VLOOKUP($O55,'Lower Hot Cell Logistics'!$C$4:$D$69,2,FALSE),"N/A")</f>
        <v>N/A</v>
      </c>
      <c r="R55"/>
      <c r="S55"/>
    </row>
    <row r="56" spans="2:19" s="89" customFormat="1" x14ac:dyDescent="0.4">
      <c r="B56" s="3815"/>
      <c r="C56" s="1294" t="s">
        <v>2159</v>
      </c>
      <c r="D56" s="1294" t="s">
        <v>3</v>
      </c>
      <c r="E56" s="1292">
        <f t="shared" si="1"/>
        <v>0.68</v>
      </c>
      <c r="F56" s="1292">
        <f>IF($D56="Trigger",VLOOKUP($C56,'Lower Hot Cell Critical Path'!$C$6:$F$384,4,FALSE),E56+F55)</f>
        <v>94.884351851851832</v>
      </c>
      <c r="G56" s="862"/>
      <c r="H56" s="1328" t="s">
        <v>263</v>
      </c>
      <c r="I56" s="1724"/>
      <c r="J56" s="1294"/>
      <c r="K56" s="1294"/>
      <c r="L56" s="865" t="str">
        <f>IFERROR(INDEX('Lower Hot Cell Logistics'!$I$13:$O$19,MATCH($J56,'Lower Hot Cell Logistics'!$H$13:$H$19,0),MATCH($K56,'Lower Hot Cell Logistics'!$H$13:$H$19,0)),"N/A")</f>
        <v>N/A</v>
      </c>
      <c r="M56" s="864" t="str">
        <f>IFERROR(VLOOKUP($I56,'Lower Hot Cell Logistics'!$H$4:$I$8,2,FALSE),"N/A")</f>
        <v>N/A</v>
      </c>
      <c r="N56" s="2197" t="str">
        <f t="shared" si="6"/>
        <v>N/A</v>
      </c>
      <c r="O56" s="1331" t="s">
        <v>2148</v>
      </c>
      <c r="P56" s="1332">
        <f>IF($D56="Logistics",VLOOKUP($O56,'Lower Hot Cell Logistics'!$C$4:$D$69,2,FALSE),"N/A")</f>
        <v>0.68</v>
      </c>
      <c r="R56"/>
      <c r="S56"/>
    </row>
    <row r="57" spans="2:19" s="89" customFormat="1" x14ac:dyDescent="0.4">
      <c r="B57" s="3815"/>
      <c r="C57" s="1294" t="s">
        <v>2154</v>
      </c>
      <c r="D57" s="1294" t="s">
        <v>778</v>
      </c>
      <c r="E57" s="1292">
        <f t="shared" si="1"/>
        <v>0.69444444444444442</v>
      </c>
      <c r="F57" s="1292">
        <f>IF($D57="Trigger",VLOOKUP($C57,'Lower Hot Cell Critical Path'!$C$6:$F$384,4,FALSE),E57+F56)</f>
        <v>95.578796296296275</v>
      </c>
      <c r="G57" s="862"/>
      <c r="H57" s="1328" t="s">
        <v>263</v>
      </c>
      <c r="I57" s="1724" t="s">
        <v>1826</v>
      </c>
      <c r="J57" s="1294" t="s">
        <v>799</v>
      </c>
      <c r="K57" s="1294" t="s">
        <v>451</v>
      </c>
      <c r="L57" s="865">
        <f>IFERROR(INDEX('Lower Hot Cell Logistics'!$I$13:$O$19,MATCH($J57,'Lower Hot Cell Logistics'!$H$13:$H$19,0),MATCH($K57,'Lower Hot Cell Logistics'!$H$13:$H$19,0)),"N/A")</f>
        <v>50</v>
      </c>
      <c r="M57" s="865">
        <f>IFERROR(VLOOKUP($I57,'Lower Hot Cell Logistics'!$H$4:$I$8,2,FALSE),"N/A")</f>
        <v>0.02</v>
      </c>
      <c r="N57" s="2197">
        <f t="shared" si="6"/>
        <v>0.69444444444444442</v>
      </c>
      <c r="O57" s="1331"/>
      <c r="P57" s="1332" t="str">
        <f>IF($D57="Logistics",VLOOKUP($O57,'Lower Hot Cell Logistics'!$C$4:$D$69,2,FALSE),"N/A")</f>
        <v>N/A</v>
      </c>
      <c r="R57"/>
      <c r="S57"/>
    </row>
    <row r="58" spans="2:19" s="89" customFormat="1" ht="26.6" thickBot="1" x14ac:dyDescent="0.45">
      <c r="B58" s="3816"/>
      <c r="C58" s="1340" t="str">
        <f>B52</f>
        <v>Vacuum pumping hardware stored;  Divertor pipework maintenance system collected; Transport Moved to Lower Port</v>
      </c>
      <c r="D58" s="1340" t="s">
        <v>11</v>
      </c>
      <c r="E58" s="1295">
        <f t="shared" si="1"/>
        <v>0</v>
      </c>
      <c r="F58" s="1295">
        <f>IF($D58="Trigger",VLOOKUP($C58,'Lower Hot Cell Critical Path'!$C$6:$F$384,4,FALSE),E58+F57)</f>
        <v>95.578796296296275</v>
      </c>
      <c r="G58" s="839"/>
      <c r="H58" s="1341" t="s">
        <v>263</v>
      </c>
      <c r="I58" s="1727"/>
      <c r="J58" s="1340"/>
      <c r="K58" s="1340"/>
      <c r="L58" s="842" t="str">
        <f>IFERROR(INDEX('Lower Hot Cell Logistics'!$I$13:$O$19,MATCH($J58,'Lower Hot Cell Logistics'!$H$13:$H$19,0),MATCH($K58,'Lower Hot Cell Logistics'!$H$13:$H$19,0)),"N/A")</f>
        <v>N/A</v>
      </c>
      <c r="M58" s="842" t="str">
        <f>IFERROR(VLOOKUP($I58,'Lower Hot Cell Logistics'!$H$4:$I$8,2,FALSE),"N/A")</f>
        <v>N/A</v>
      </c>
      <c r="N58" s="2199" t="str">
        <f>IF(D58="Movement",IFERROR((L58/M58)/(60*60),"Error"),"N/A")</f>
        <v>N/A</v>
      </c>
      <c r="O58" s="1344"/>
      <c r="P58" s="1345" t="str">
        <f>IF($D58="Logistics",VLOOKUP($O58,'Lower Hot Cell Logistics'!$C$4:$D$69,2,FALSE),"N/A")</f>
        <v>N/A</v>
      </c>
      <c r="R58"/>
      <c r="S58"/>
    </row>
    <row r="59" spans="2:19" s="89" customFormat="1" ht="15" customHeight="1" x14ac:dyDescent="0.4">
      <c r="B59" s="3787" t="s">
        <v>2028</v>
      </c>
      <c r="C59" s="617" t="s">
        <v>1582</v>
      </c>
      <c r="D59" s="617" t="s">
        <v>907</v>
      </c>
      <c r="E59" s="567">
        <f t="shared" si="1"/>
        <v>0</v>
      </c>
      <c r="F59" s="567">
        <f>IF($D59="Trigger",VLOOKUP($C59,'Lower Hot Cell Critical Path'!$C$6:$F$384,4,FALSE),E59+F58)</f>
        <v>97.595092592592565</v>
      </c>
      <c r="G59" s="568"/>
      <c r="H59" s="569" t="s">
        <v>263</v>
      </c>
      <c r="I59" s="1270"/>
      <c r="J59" s="617"/>
      <c r="K59" s="617"/>
      <c r="L59" s="570" t="str">
        <f>IFERROR(INDEX('Lower Hot Cell Logistics'!$I$13:$O$19,MATCH($J59,'Lower Hot Cell Logistics'!$H$13:$H$19,0),MATCH($K59,'Lower Hot Cell Logistics'!$H$13:$H$19,0)),"N/A")</f>
        <v>N/A</v>
      </c>
      <c r="M59" s="570" t="str">
        <f>IFERROR(VLOOKUP($I59,'Lower Hot Cell Logistics'!$H$4:$I$8,2,FALSE),"N/A")</f>
        <v>N/A</v>
      </c>
      <c r="N59" s="1182" t="str">
        <f t="shared" ref="N59:N64" si="7">IF(D59="Movement",IFERROR((L59/M59)/(60*60),"Error"),"N/A")</f>
        <v>N/A</v>
      </c>
      <c r="O59" s="620"/>
      <c r="P59" s="621" t="str">
        <f>IF($D59="Logistics",VLOOKUP($O59,'Lower Hot Cell Logistics'!$C$4:$D$69,2,FALSE),"N/A")</f>
        <v>N/A</v>
      </c>
      <c r="R59"/>
      <c r="S59"/>
    </row>
    <row r="60" spans="2:19" s="89" customFormat="1" ht="15" customHeight="1" x14ac:dyDescent="0.4">
      <c r="B60" s="3786"/>
      <c r="C60" s="1275" t="s">
        <v>2141</v>
      </c>
      <c r="D60" s="572" t="s">
        <v>778</v>
      </c>
      <c r="E60" s="578">
        <f t="shared" si="1"/>
        <v>0.23148148148148148</v>
      </c>
      <c r="F60" s="578">
        <f>IF($D60="Trigger",VLOOKUP($C60,'Lower Hot Cell Critical Path'!$C$6:$F$384,4,FALSE),E60+F59)</f>
        <v>97.826574074074045</v>
      </c>
      <c r="G60" s="872"/>
      <c r="H60" s="2221" t="s">
        <v>263</v>
      </c>
      <c r="I60" s="1281" t="s">
        <v>2142</v>
      </c>
      <c r="J60" s="572" t="s">
        <v>451</v>
      </c>
      <c r="K60" s="572" t="s">
        <v>914</v>
      </c>
      <c r="L60" s="1176">
        <f>IFERROR(INDEX('Lower Hot Cell Logistics'!$I$13:$O$19,MATCH($J60,'Lower Hot Cell Logistics'!$H$13:$H$19,0),MATCH($K60,'Lower Hot Cell Logistics'!$H$13:$H$19,0)),"N/A")</f>
        <v>50</v>
      </c>
      <c r="M60" s="2222">
        <f>IFERROR(VLOOKUP($I60,'Lower Hot Cell Logistics'!$H$4:$I$8,2,FALSE),"N/A")</f>
        <v>0.06</v>
      </c>
      <c r="N60" s="580">
        <f t="shared" si="7"/>
        <v>0.23148148148148148</v>
      </c>
      <c r="O60" s="631"/>
      <c r="P60" s="632" t="str">
        <f>IF($D60="Logistics",VLOOKUP($O60,'Lower Hot Cell Logistics'!$C$4:$D$69,2,FALSE),"N/A")</f>
        <v>N/A</v>
      </c>
      <c r="R60"/>
      <c r="S60"/>
    </row>
    <row r="61" spans="2:19" s="89" customFormat="1" ht="15" customHeight="1" x14ac:dyDescent="0.4">
      <c r="B61" s="3786"/>
      <c r="C61" s="1275" t="s">
        <v>2152</v>
      </c>
      <c r="D61" s="572" t="s">
        <v>3</v>
      </c>
      <c r="E61" s="578">
        <f t="shared" si="1"/>
        <v>0.88000000000000012</v>
      </c>
      <c r="F61" s="578">
        <f>IF($D61="Trigger",VLOOKUP($C61,'Lower Hot Cell Critical Path'!$C$6:$F$384,4,FALSE),E61+F60)</f>
        <v>98.706574074074041</v>
      </c>
      <c r="G61" s="872"/>
      <c r="H61" s="2221" t="s">
        <v>263</v>
      </c>
      <c r="I61" s="1281"/>
      <c r="J61" s="572"/>
      <c r="K61" s="572"/>
      <c r="L61" s="1176" t="str">
        <f>IFERROR(INDEX('Lower Hot Cell Logistics'!$I$13:$O$19,MATCH($J61,'Lower Hot Cell Logistics'!$H$13:$H$19,0),MATCH($K61,'Lower Hot Cell Logistics'!$H$13:$H$19,0)),"N/A")</f>
        <v>N/A</v>
      </c>
      <c r="M61" s="2222" t="str">
        <f>IFERROR(VLOOKUP($I61,'Lower Hot Cell Logistics'!$H$4:$I$8,2,FALSE),"N/A")</f>
        <v>N/A</v>
      </c>
      <c r="N61" s="580" t="str">
        <f t="shared" si="7"/>
        <v>N/A</v>
      </c>
      <c r="O61" s="631" t="s">
        <v>2144</v>
      </c>
      <c r="P61" s="632">
        <f>IF($D61="Logistics",VLOOKUP($O61,'Lower Hot Cell Logistics'!$C$4:$D$69,2,FALSE),"N/A")</f>
        <v>0.88000000000000012</v>
      </c>
      <c r="R61"/>
      <c r="S61"/>
    </row>
    <row r="62" spans="2:19" s="89" customFormat="1" ht="15" customHeight="1" x14ac:dyDescent="0.4">
      <c r="B62" s="3786"/>
      <c r="C62" s="1275" t="s">
        <v>2145</v>
      </c>
      <c r="D62" s="572" t="s">
        <v>778</v>
      </c>
      <c r="E62" s="578">
        <f t="shared" si="1"/>
        <v>2.7777777777777776E-2</v>
      </c>
      <c r="F62" s="578">
        <f>IF($D62="Trigger",VLOOKUP($C62,'Lower Hot Cell Critical Path'!$C$6:$F$384,4,FALSE),E62+F61)</f>
        <v>98.734351851851812</v>
      </c>
      <c r="G62" s="872"/>
      <c r="H62" s="2221" t="s">
        <v>263</v>
      </c>
      <c r="I62" s="1281" t="s">
        <v>2146</v>
      </c>
      <c r="J62" s="572" t="s">
        <v>914</v>
      </c>
      <c r="K62" s="572" t="s">
        <v>799</v>
      </c>
      <c r="L62" s="1176">
        <f>IFERROR(INDEX('Lower Hot Cell Logistics'!$I$13:$O$19,MATCH($J62,'Lower Hot Cell Logistics'!$H$13:$H$19,0),MATCH($K62,'Lower Hot Cell Logistics'!$H$13:$H$19,0)),"N/A")</f>
        <v>20</v>
      </c>
      <c r="M62" s="2222">
        <f>IFERROR(VLOOKUP($I62,'Lower Hot Cell Logistics'!$H$4:$I$8,2,FALSE),"N/A")</f>
        <v>0.2</v>
      </c>
      <c r="N62" s="580">
        <f t="shared" si="7"/>
        <v>2.7777777777777776E-2</v>
      </c>
      <c r="O62" s="631"/>
      <c r="P62" s="632" t="str">
        <f>IF($D62="Logistics",VLOOKUP($O62,'Lower Hot Cell Logistics'!$C$4:$D$69,2,FALSE),"N/A")</f>
        <v>N/A</v>
      </c>
      <c r="R62"/>
      <c r="S62"/>
    </row>
    <row r="63" spans="2:19" s="89" customFormat="1" x14ac:dyDescent="0.4">
      <c r="B63" s="3786"/>
      <c r="C63" s="572" t="s">
        <v>2160</v>
      </c>
      <c r="D63" s="572" t="s">
        <v>3</v>
      </c>
      <c r="E63" s="574">
        <f t="shared" si="1"/>
        <v>0.68</v>
      </c>
      <c r="F63" s="574">
        <f>IF($D63="Trigger",VLOOKUP($C63,'Lower Hot Cell Critical Path'!$C$6:$F$384,4,FALSE),E63+F62)</f>
        <v>99.414351851851819</v>
      </c>
      <c r="G63" s="575"/>
      <c r="H63" s="576" t="s">
        <v>263</v>
      </c>
      <c r="I63" s="1281"/>
      <c r="J63" s="572"/>
      <c r="K63" s="572"/>
      <c r="L63" s="853" t="str">
        <f>IFERROR(INDEX('Lower Hot Cell Logistics'!$I$13:$O$19,MATCH($J63,'Lower Hot Cell Logistics'!$H$13:$H$19,0),MATCH($K63,'Lower Hot Cell Logistics'!$H$13:$H$19,0)),"N/A")</f>
        <v>N/A</v>
      </c>
      <c r="M63" s="852" t="str">
        <f>IFERROR(VLOOKUP($I63,'Lower Hot Cell Logistics'!$H$4:$I$8,2,FALSE),"N/A")</f>
        <v>N/A</v>
      </c>
      <c r="N63" s="1180" t="str">
        <f t="shared" si="7"/>
        <v>N/A</v>
      </c>
      <c r="O63" s="579" t="s">
        <v>2148</v>
      </c>
      <c r="P63" s="580">
        <f>IF($D63="Logistics",VLOOKUP($O63,'Lower Hot Cell Logistics'!$C$4:$D$69,2,FALSE),"N/A")</f>
        <v>0.68</v>
      </c>
      <c r="R63"/>
      <c r="S63"/>
    </row>
    <row r="64" spans="2:19" s="89" customFormat="1" x14ac:dyDescent="0.4">
      <c r="B64" s="3786"/>
      <c r="C64" s="572" t="s">
        <v>2154</v>
      </c>
      <c r="D64" s="572" t="s">
        <v>778</v>
      </c>
      <c r="E64" s="574">
        <f t="shared" si="1"/>
        <v>0.69444444444444442</v>
      </c>
      <c r="F64" s="574">
        <f>IF($D64="Trigger",VLOOKUP($C64,'Lower Hot Cell Critical Path'!$C$6:$F$384,4,FALSE),E64+F63)</f>
        <v>100.10879629629626</v>
      </c>
      <c r="G64" s="575"/>
      <c r="H64" s="576" t="s">
        <v>263</v>
      </c>
      <c r="I64" s="1281" t="s">
        <v>1826</v>
      </c>
      <c r="J64" s="572" t="s">
        <v>799</v>
      </c>
      <c r="K64" s="572" t="s">
        <v>451</v>
      </c>
      <c r="L64" s="853">
        <f>IFERROR(INDEX('Lower Hot Cell Logistics'!$I$13:$O$19,MATCH($J64,'Lower Hot Cell Logistics'!$H$13:$H$19,0),MATCH($K64,'Lower Hot Cell Logistics'!$H$13:$H$19,0)),"N/A")</f>
        <v>50</v>
      </c>
      <c r="M64" s="853">
        <f>IFERROR(VLOOKUP($I64,'Lower Hot Cell Logistics'!$H$4:$I$8,2,FALSE),"N/A")</f>
        <v>0.02</v>
      </c>
      <c r="N64" s="1180">
        <f t="shared" si="7"/>
        <v>0.69444444444444442</v>
      </c>
      <c r="O64" s="579"/>
      <c r="P64" s="580" t="str">
        <f>IF($D64="Logistics",VLOOKUP($O64,'Lower Hot Cell Logistics'!$C$4:$D$69,2,FALSE),"N/A")</f>
        <v>N/A</v>
      </c>
      <c r="R64"/>
      <c r="S64"/>
    </row>
    <row r="65" spans="2:19" s="89" customFormat="1" ht="26.6" thickBot="1" x14ac:dyDescent="0.45">
      <c r="B65" s="3788"/>
      <c r="C65" s="583" t="str">
        <f>B59</f>
        <v>Sheilding Modules stored;  Divertor pipework maintenance system collected; Transport Moved to Lower Port</v>
      </c>
      <c r="D65" s="583" t="s">
        <v>11</v>
      </c>
      <c r="E65" s="585">
        <f t="shared" si="1"/>
        <v>0</v>
      </c>
      <c r="F65" s="585">
        <f>IF($D65="Trigger",VLOOKUP($C65,'Lower Hot Cell Critical Path'!$C$6:$F$384,4,FALSE),E65+F64)</f>
        <v>100.10879629629626</v>
      </c>
      <c r="G65" s="586"/>
      <c r="H65" s="587" t="s">
        <v>263</v>
      </c>
      <c r="I65" s="1720"/>
      <c r="J65" s="583"/>
      <c r="K65" s="583"/>
      <c r="L65" s="814" t="str">
        <f>IFERROR(INDEX('Lower Hot Cell Logistics'!$I$13:$O$19,MATCH($J65,'Lower Hot Cell Logistics'!$H$13:$H$19,0),MATCH($K65,'Lower Hot Cell Logistics'!$H$13:$H$19,0)),"N/A")</f>
        <v>N/A</v>
      </c>
      <c r="M65" s="814" t="str">
        <f>IFERROR(VLOOKUP($I65,'Lower Hot Cell Logistics'!$H$4:$I$8,2,FALSE),"N/A")</f>
        <v>N/A</v>
      </c>
      <c r="N65" s="1181" t="str">
        <f t="shared" ref="N65:N70" si="8">IF(D65="Movement",IFERROR((L65/M65)/(60*60),"Error"),"N/A")</f>
        <v>N/A</v>
      </c>
      <c r="O65" s="590"/>
      <c r="P65" s="591" t="str">
        <f>IF($D65="Logistics",VLOOKUP($O65,'Lower Hot Cell Logistics'!$C$4:$D$69,2,FALSE),"N/A")</f>
        <v>N/A</v>
      </c>
      <c r="R65"/>
      <c r="S65"/>
    </row>
    <row r="66" spans="2:19" s="89" customFormat="1" ht="15" customHeight="1" x14ac:dyDescent="0.4">
      <c r="B66" s="3814" t="s">
        <v>2029</v>
      </c>
      <c r="C66" s="1324" t="s">
        <v>2161</v>
      </c>
      <c r="D66" s="1324" t="s">
        <v>907</v>
      </c>
      <c r="E66" s="1291">
        <f t="shared" si="1"/>
        <v>0</v>
      </c>
      <c r="F66" s="1291">
        <f>IF($D66="Trigger",VLOOKUP($C66,'Lower Hot Cell Critical Path'!$C$6:$F$384,4,FALSE),E66+F65)</f>
        <v>112.31057747185633</v>
      </c>
      <c r="G66" s="825"/>
      <c r="H66" s="1323" t="s">
        <v>263</v>
      </c>
      <c r="I66" s="1721"/>
      <c r="J66" s="1324"/>
      <c r="K66" s="1324"/>
      <c r="L66" s="828" t="str">
        <f>IFERROR(INDEX('Lower Hot Cell Logistics'!$I$13:$O$19,MATCH($J66,'Lower Hot Cell Logistics'!$H$13:$H$19,0),MATCH($K66,'Lower Hot Cell Logistics'!$H$13:$H$19,0)),"N/A")</f>
        <v>N/A</v>
      </c>
      <c r="M66" s="827" t="str">
        <f>IFERROR(VLOOKUP($I66,'Lower Hot Cell Logistics'!$H$4:$I$8,2,FALSE),"N/A")</f>
        <v>N/A</v>
      </c>
      <c r="N66" s="2200" t="str">
        <f t="shared" si="8"/>
        <v>N/A</v>
      </c>
      <c r="O66" s="1327"/>
      <c r="P66" s="824" t="str">
        <f>IF($D66="Logistics",VLOOKUP($O66,'Lower Hot Cell Logistics'!$C$4:$D$69,2,FALSE),"N/A")</f>
        <v>N/A</v>
      </c>
      <c r="R66"/>
      <c r="S66"/>
    </row>
    <row r="67" spans="2:19" s="89" customFormat="1" ht="15" customHeight="1" x14ac:dyDescent="0.4">
      <c r="B67" s="3815"/>
      <c r="C67" s="1362" t="s">
        <v>2141</v>
      </c>
      <c r="D67" s="1294" t="s">
        <v>778</v>
      </c>
      <c r="E67" s="1330">
        <f t="shared" si="1"/>
        <v>0.23148148148148148</v>
      </c>
      <c r="F67" s="1330">
        <f>IF($D67="Trigger",VLOOKUP($C67,'Lower Hot Cell Critical Path'!$C$6:$F$384,4,FALSE),E67+F66)</f>
        <v>112.54205895333781</v>
      </c>
      <c r="G67" s="1722"/>
      <c r="H67" s="2219" t="s">
        <v>263</v>
      </c>
      <c r="I67" s="1724" t="s">
        <v>2142</v>
      </c>
      <c r="J67" s="1294" t="s">
        <v>451</v>
      </c>
      <c r="K67" s="1294" t="s">
        <v>831</v>
      </c>
      <c r="L67" s="2042">
        <f>IFERROR(INDEX('Lower Hot Cell Logistics'!$I$13:$O$19,MATCH($J67,'Lower Hot Cell Logistics'!$H$13:$H$19,0),MATCH($K67,'Lower Hot Cell Logistics'!$H$13:$H$19,0)),"N/A")</f>
        <v>50</v>
      </c>
      <c r="M67" s="2220">
        <f>IFERROR(VLOOKUP($I67,'Lower Hot Cell Logistics'!$H$4:$I$8,2,FALSE),"N/A")</f>
        <v>0.06</v>
      </c>
      <c r="N67" s="1332">
        <f t="shared" si="8"/>
        <v>0.23148148148148148</v>
      </c>
      <c r="O67" s="1352"/>
      <c r="P67" s="1353" t="str">
        <f>IF($D67="Logistics",VLOOKUP($O67,'Lower Hot Cell Logistics'!$C$4:$D$69,2,FALSE),"N/A")</f>
        <v>N/A</v>
      </c>
      <c r="R67"/>
      <c r="S67"/>
    </row>
    <row r="68" spans="2:19" s="89" customFormat="1" ht="15" customHeight="1" x14ac:dyDescent="0.4">
      <c r="B68" s="3815"/>
      <c r="C68" s="1362" t="s">
        <v>1757</v>
      </c>
      <c r="D68" s="1294" t="s">
        <v>3</v>
      </c>
      <c r="E68" s="1330">
        <f t="shared" si="1"/>
        <v>0.88000000000000012</v>
      </c>
      <c r="F68" s="1330">
        <f>IF($D68="Trigger",VLOOKUP($C68,'Lower Hot Cell Critical Path'!$C$6:$F$384,4,FALSE),E68+F67)</f>
        <v>113.42205895333781</v>
      </c>
      <c r="G68" s="1722"/>
      <c r="H68" s="2219" t="s">
        <v>263</v>
      </c>
      <c r="I68" s="1724"/>
      <c r="J68" s="1294"/>
      <c r="K68" s="1294"/>
      <c r="L68" s="2042" t="str">
        <f>IFERROR(INDEX('Lower Hot Cell Logistics'!$I$13:$O$19,MATCH($J68,'Lower Hot Cell Logistics'!$H$13:$H$19,0),MATCH($K68,'Lower Hot Cell Logistics'!$H$13:$H$19,0)),"N/A")</f>
        <v>N/A</v>
      </c>
      <c r="M68" s="2220" t="str">
        <f>IFERROR(VLOOKUP($I68,'Lower Hot Cell Logistics'!$H$4:$I$8,2,FALSE),"N/A")</f>
        <v>N/A</v>
      </c>
      <c r="N68" s="1332" t="str">
        <f t="shared" si="8"/>
        <v>N/A</v>
      </c>
      <c r="O68" s="1352" t="s">
        <v>2144</v>
      </c>
      <c r="P68" s="1353">
        <f>IF($D68="Logistics",VLOOKUP($O68,'Lower Hot Cell Logistics'!$C$4:$D$69,2,FALSE),"N/A")</f>
        <v>0.88000000000000012</v>
      </c>
      <c r="R68"/>
      <c r="S68"/>
    </row>
    <row r="69" spans="2:19" s="89" customFormat="1" x14ac:dyDescent="0.4">
      <c r="B69" s="3815"/>
      <c r="C69" s="1294" t="s">
        <v>2162</v>
      </c>
      <c r="D69" s="1294" t="s">
        <v>778</v>
      </c>
      <c r="E69" s="1292">
        <f t="shared" si="1"/>
        <v>0.69444444444444442</v>
      </c>
      <c r="F69" s="1330">
        <f>IF($D69="Trigger",VLOOKUP($C69,'Lower Hot Cell Critical Path'!$C$6:$F$384,4,FALSE),E69+F68)</f>
        <v>114.11650339778225</v>
      </c>
      <c r="G69" s="862"/>
      <c r="H69" s="1328" t="s">
        <v>263</v>
      </c>
      <c r="I69" s="1724" t="s">
        <v>1826</v>
      </c>
      <c r="J69" s="1294" t="s">
        <v>831</v>
      </c>
      <c r="K69" s="1294" t="s">
        <v>451</v>
      </c>
      <c r="L69" s="865">
        <f>IFERROR(INDEX('Lower Hot Cell Logistics'!$I$13:$O$19,MATCH($J69,'Lower Hot Cell Logistics'!$H$13:$H$19,0),MATCH($K69,'Lower Hot Cell Logistics'!$H$13:$H$19,0)),"N/A")</f>
        <v>50</v>
      </c>
      <c r="M69" s="865">
        <f>IFERROR(VLOOKUP($I69,'Lower Hot Cell Logistics'!$H$4:$I$8,2,FALSE),"N/A")</f>
        <v>0.02</v>
      </c>
      <c r="N69" s="2197">
        <f t="shared" si="8"/>
        <v>0.69444444444444442</v>
      </c>
      <c r="O69" s="1331"/>
      <c r="P69" s="1332" t="str">
        <f>IF($D69="Logistics",VLOOKUP($O69,'Lower Hot Cell Logistics'!$C$4:$D$69,2,FALSE),"N/A")</f>
        <v>N/A</v>
      </c>
      <c r="R69"/>
      <c r="S69"/>
    </row>
    <row r="70" spans="2:19" s="89" customFormat="1" ht="26.6" thickBot="1" x14ac:dyDescent="0.45">
      <c r="B70" s="3816"/>
      <c r="C70" s="1340" t="str">
        <f>B66</f>
        <v>Central Divertor Pipework Module Stored;  Pipe Module handling System Moved to Lower Port</v>
      </c>
      <c r="D70" s="1340" t="s">
        <v>11</v>
      </c>
      <c r="E70" s="1295">
        <f t="shared" si="1"/>
        <v>0</v>
      </c>
      <c r="F70" s="1295">
        <f>IF($D70="Trigger",VLOOKUP($C70,'Lower Hot Cell Critical Path'!$C$6:$F$384,4,FALSE),E70+F69)</f>
        <v>114.11650339778225</v>
      </c>
      <c r="G70" s="839"/>
      <c r="H70" s="1341" t="s">
        <v>263</v>
      </c>
      <c r="I70" s="1727"/>
      <c r="J70" s="1340"/>
      <c r="K70" s="1340"/>
      <c r="L70" s="842" t="str">
        <f>IFERROR(INDEX('Lower Hot Cell Logistics'!$I$13:$O$19,MATCH($J70,'Lower Hot Cell Logistics'!$H$13:$H$19,0),MATCH($K70,'Lower Hot Cell Logistics'!$H$13:$H$19,0)),"N/A")</f>
        <v>N/A</v>
      </c>
      <c r="M70" s="842" t="str">
        <f>IFERROR(VLOOKUP($I70,'Lower Hot Cell Logistics'!$H$4:$I$8,2,FALSE),"N/A")</f>
        <v>N/A</v>
      </c>
      <c r="N70" s="2199" t="str">
        <f t="shared" si="8"/>
        <v>N/A</v>
      </c>
      <c r="O70" s="1344"/>
      <c r="P70" s="1345" t="str">
        <f>IF($D70="Logistics",VLOOKUP($O70,'Lower Hot Cell Logistics'!$C$4:$D$69,2,FALSE),"N/A")</f>
        <v>N/A</v>
      </c>
      <c r="R70"/>
      <c r="S70"/>
    </row>
    <row r="71" spans="2:19" s="89" customFormat="1" ht="15" customHeight="1" x14ac:dyDescent="0.4">
      <c r="B71" s="3814" t="s">
        <v>2032</v>
      </c>
      <c r="C71" s="617" t="s">
        <v>2163</v>
      </c>
      <c r="D71" s="1324" t="s">
        <v>907</v>
      </c>
      <c r="E71" s="1291">
        <f t="shared" si="1"/>
        <v>0</v>
      </c>
      <c r="F71" s="1291">
        <f>IF($D71="Trigger",VLOOKUP($C71,'Lower Hot Cell Critical Path'!$C$6:$F$384,4,FALSE),E71+F70)</f>
        <v>113.86606235112012</v>
      </c>
      <c r="G71" s="825"/>
      <c r="H71" s="1323" t="s">
        <v>263</v>
      </c>
      <c r="I71" s="1721"/>
      <c r="J71" s="1324"/>
      <c r="K71" s="1324"/>
      <c r="L71" s="828" t="str">
        <f>IFERROR(INDEX('Lower Hot Cell Logistics'!$I$13:$O$19,MATCH($J71,'Lower Hot Cell Logistics'!$H$13:$H$19,0),MATCH($K71,'Lower Hot Cell Logistics'!$H$13:$H$19,0)),"N/A")</f>
        <v>N/A</v>
      </c>
      <c r="M71" s="827" t="str">
        <f>IFERROR(VLOOKUP($I71,'Lower Hot Cell Logistics'!$H$4:$I$8,2,FALSE),"N/A")</f>
        <v>N/A</v>
      </c>
      <c r="N71" s="2200" t="str">
        <f t="shared" ref="N71:N78" si="9">IF(D71="Movement",IFERROR((L71/M71)/(60*60),"Error"),"N/A")</f>
        <v>N/A</v>
      </c>
      <c r="O71" s="1327"/>
      <c r="P71" s="824" t="str">
        <f>IF($D71="Logistics",VLOOKUP($O71,'Lower Hot Cell Logistics'!$C$4:$D$69,2,FALSE),"N/A")</f>
        <v>N/A</v>
      </c>
      <c r="R71"/>
      <c r="S71"/>
    </row>
    <row r="72" spans="2:19" s="89" customFormat="1" ht="15" customHeight="1" x14ac:dyDescent="0.4">
      <c r="B72" s="3815"/>
      <c r="C72" s="1362" t="s">
        <v>2141</v>
      </c>
      <c r="D72" s="1294" t="s">
        <v>778</v>
      </c>
      <c r="E72" s="1330">
        <f t="shared" si="1"/>
        <v>0.23148148148148148</v>
      </c>
      <c r="F72" s="1330">
        <f>IF($D72="Trigger",VLOOKUP($C72,'Lower Hot Cell Critical Path'!$C$6:$F$384,4,FALSE),E72+F71)</f>
        <v>114.0975438326016</v>
      </c>
      <c r="G72" s="1722"/>
      <c r="H72" s="2219" t="s">
        <v>263</v>
      </c>
      <c r="I72" s="1724" t="s">
        <v>2142</v>
      </c>
      <c r="J72" s="1294" t="s">
        <v>451</v>
      </c>
      <c r="K72" s="1294" t="s">
        <v>2164</v>
      </c>
      <c r="L72" s="2042">
        <f>IFERROR(INDEX('Lower Hot Cell Logistics'!$I$13:$O$19,MATCH($J72,'Lower Hot Cell Logistics'!$H$13:$H$19,0),MATCH($K72,'Lower Hot Cell Logistics'!$H$13:$H$19,0)),"N/A")</f>
        <v>50</v>
      </c>
      <c r="M72" s="2220">
        <f>IFERROR(VLOOKUP($I72,'Lower Hot Cell Logistics'!$H$4:$I$8,2,FALSE),"N/A")</f>
        <v>0.06</v>
      </c>
      <c r="N72" s="1332">
        <f t="shared" si="9"/>
        <v>0.23148148148148148</v>
      </c>
      <c r="O72" s="1352"/>
      <c r="P72" s="1353" t="str">
        <f>IF($D72="Logistics",VLOOKUP($O72,'Lower Hot Cell Logistics'!$C$4:$D$69,2,FALSE),"N/A")</f>
        <v>N/A</v>
      </c>
      <c r="R72"/>
      <c r="S72"/>
    </row>
    <row r="73" spans="2:19" s="89" customFormat="1" ht="15" customHeight="1" x14ac:dyDescent="0.4">
      <c r="B73" s="3815"/>
      <c r="C73" s="1362" t="s">
        <v>1757</v>
      </c>
      <c r="D73" s="1294" t="s">
        <v>3</v>
      </c>
      <c r="E73" s="1330">
        <f t="shared" si="1"/>
        <v>0.88000000000000012</v>
      </c>
      <c r="F73" s="1330">
        <f>IF($D73="Trigger",VLOOKUP($C73,'Lower Hot Cell Critical Path'!$C$6:$F$384,4,FALSE),E73+F72)</f>
        <v>114.9775438326016</v>
      </c>
      <c r="G73" s="1722"/>
      <c r="H73" s="2219" t="s">
        <v>263</v>
      </c>
      <c r="I73" s="1724"/>
      <c r="J73" s="1294"/>
      <c r="K73" s="1294"/>
      <c r="L73" s="2042" t="str">
        <f>IFERROR(INDEX('Lower Hot Cell Logistics'!$I$13:$O$19,MATCH($J73,'Lower Hot Cell Logistics'!$H$13:$H$19,0),MATCH($K73,'Lower Hot Cell Logistics'!$H$13:$H$19,0)),"N/A")</f>
        <v>N/A</v>
      </c>
      <c r="M73" s="2220" t="str">
        <f>IFERROR(VLOOKUP($I73,'Lower Hot Cell Logistics'!$H$4:$I$8,2,FALSE),"N/A")</f>
        <v>N/A</v>
      </c>
      <c r="N73" s="1332" t="str">
        <f t="shared" si="9"/>
        <v>N/A</v>
      </c>
      <c r="O73" s="1352" t="s">
        <v>2144</v>
      </c>
      <c r="P73" s="1353">
        <f>IF($D73="Logistics",VLOOKUP($O73,'Lower Hot Cell Logistics'!$C$4:$D$69,2,FALSE),"N/A")</f>
        <v>0.88000000000000012</v>
      </c>
      <c r="R73"/>
      <c r="S73"/>
    </row>
    <row r="74" spans="2:19" s="89" customFormat="1" ht="15" customHeight="1" x14ac:dyDescent="0.4">
      <c r="B74" s="3815"/>
      <c r="C74" s="1362" t="s">
        <v>2165</v>
      </c>
      <c r="D74" s="1294" t="s">
        <v>778</v>
      </c>
      <c r="E74" s="1330">
        <f t="shared" si="1"/>
        <v>2.7777777777777776E-2</v>
      </c>
      <c r="F74" s="1330">
        <f>IF($D74="Trigger",VLOOKUP($C74,'Lower Hot Cell Critical Path'!$C$6:$F$384,4,FALSE),E74+F73)</f>
        <v>115.00532161037937</v>
      </c>
      <c r="G74" s="1722"/>
      <c r="H74" s="2219" t="s">
        <v>263</v>
      </c>
      <c r="I74" s="1724" t="s">
        <v>2166</v>
      </c>
      <c r="J74" s="1294" t="s">
        <v>2164</v>
      </c>
      <c r="K74" s="1294" t="s">
        <v>914</v>
      </c>
      <c r="L74" s="2042">
        <f>IFERROR(INDEX('Lower Hot Cell Logistics'!$I$13:$O$19,MATCH($J74,'Lower Hot Cell Logistics'!$H$13:$H$19,0),MATCH($K74,'Lower Hot Cell Logistics'!$H$13:$H$19,0)),"N/A")</f>
        <v>20</v>
      </c>
      <c r="M74" s="2220">
        <f>IFERROR(VLOOKUP($I74,'Lower Hot Cell Logistics'!$H$4:$I$8,2,FALSE),"N/A")</f>
        <v>0.2</v>
      </c>
      <c r="N74" s="1332">
        <f t="shared" si="9"/>
        <v>2.7777777777777776E-2</v>
      </c>
      <c r="O74" s="1352"/>
      <c r="P74" s="1353" t="str">
        <f>IF($D74="Logistics",VLOOKUP($O74,'Lower Hot Cell Logistics'!$C$4:$D$69,2,FALSE),"N/A")</f>
        <v>N/A</v>
      </c>
      <c r="R74"/>
      <c r="S74"/>
    </row>
    <row r="75" spans="2:19" s="89" customFormat="1" ht="15" customHeight="1" x14ac:dyDescent="0.4">
      <c r="B75" s="3815"/>
      <c r="C75" s="1362" t="s">
        <v>2167</v>
      </c>
      <c r="D75" s="1294" t="s">
        <v>3</v>
      </c>
      <c r="E75" s="1330">
        <f t="shared" si="1"/>
        <v>0.88000000000000012</v>
      </c>
      <c r="F75" s="1330">
        <f>IF($D75="Trigger",VLOOKUP($C75,'Lower Hot Cell Critical Path'!$C$6:$F$384,4,FALSE),E75+F74)</f>
        <v>115.88532161037936</v>
      </c>
      <c r="G75" s="1722"/>
      <c r="H75" s="2219" t="s">
        <v>263</v>
      </c>
      <c r="I75" s="1724"/>
      <c r="J75" s="1294"/>
      <c r="K75" s="1294"/>
      <c r="L75" s="2042" t="str">
        <f>IFERROR(INDEX('Lower Hot Cell Logistics'!$I$13:$O$19,MATCH($J75,'Lower Hot Cell Logistics'!$H$13:$H$19,0),MATCH($K75,'Lower Hot Cell Logistics'!$H$13:$H$19,0)),"N/A")</f>
        <v>N/A</v>
      </c>
      <c r="M75" s="2220" t="str">
        <f>IFERROR(VLOOKUP($I75,'Lower Hot Cell Logistics'!$H$4:$I$8,2,FALSE),"N/A")</f>
        <v>N/A</v>
      </c>
      <c r="N75" s="1332" t="str">
        <f t="shared" si="9"/>
        <v>N/A</v>
      </c>
      <c r="O75" s="1352" t="s">
        <v>2168</v>
      </c>
      <c r="P75" s="1353">
        <f>IF($D75="Logistics",VLOOKUP($O75,'Lower Hot Cell Logistics'!$C$4:$D$69,2,FALSE),"N/A")</f>
        <v>0.88000000000000012</v>
      </c>
      <c r="R75"/>
      <c r="S75"/>
    </row>
    <row r="76" spans="2:19" s="89" customFormat="1" ht="15" customHeight="1" x14ac:dyDescent="0.4">
      <c r="B76" s="3815"/>
      <c r="C76" s="1362" t="s">
        <v>2145</v>
      </c>
      <c r="D76" s="1294" t="s">
        <v>778</v>
      </c>
      <c r="E76" s="1330">
        <f t="shared" si="1"/>
        <v>2.7777777777777776E-2</v>
      </c>
      <c r="F76" s="1330">
        <f>IF($D76="Trigger",VLOOKUP($C76,'Lower Hot Cell Critical Path'!$C$6:$F$384,4,FALSE),E76+F75)</f>
        <v>115.91309938815714</v>
      </c>
      <c r="G76" s="1722"/>
      <c r="H76" s="2219" t="s">
        <v>263</v>
      </c>
      <c r="I76" s="1724" t="s">
        <v>2146</v>
      </c>
      <c r="J76" s="1294" t="s">
        <v>914</v>
      </c>
      <c r="K76" s="1294" t="s">
        <v>799</v>
      </c>
      <c r="L76" s="2042">
        <f>IFERROR(INDEX('Lower Hot Cell Logistics'!$I$13:$O$19,MATCH($J76,'Lower Hot Cell Logistics'!$H$13:$H$19,0),MATCH($K76,'Lower Hot Cell Logistics'!$H$13:$H$19,0)),"N/A")</f>
        <v>20</v>
      </c>
      <c r="M76" s="2220">
        <f>IFERROR(VLOOKUP($I76,'Lower Hot Cell Logistics'!$H$4:$I$8,2,FALSE),"N/A")</f>
        <v>0.2</v>
      </c>
      <c r="N76" s="1332">
        <f t="shared" si="9"/>
        <v>2.7777777777777776E-2</v>
      </c>
      <c r="O76" s="1352"/>
      <c r="P76" s="1353" t="str">
        <f>IF($D76="Logistics",VLOOKUP($O76,'Lower Hot Cell Logistics'!$C$4:$D$69,2,FALSE),"N/A")</f>
        <v>N/A</v>
      </c>
      <c r="R76"/>
      <c r="S76"/>
    </row>
    <row r="77" spans="2:19" s="89" customFormat="1" x14ac:dyDescent="0.4">
      <c r="B77" s="3815"/>
      <c r="C77" s="1294" t="s">
        <v>2169</v>
      </c>
      <c r="D77" s="1294" t="s">
        <v>3</v>
      </c>
      <c r="E77" s="1292">
        <f t="shared" si="1"/>
        <v>0.68</v>
      </c>
      <c r="F77" s="1292">
        <f>IF($D77="Trigger",VLOOKUP($C77,'Lower Hot Cell Critical Path'!$C$6:$F$384,4,FALSE),E77+F76)</f>
        <v>116.59309938815714</v>
      </c>
      <c r="G77" s="862"/>
      <c r="H77" s="1328" t="s">
        <v>263</v>
      </c>
      <c r="I77" s="1724"/>
      <c r="J77" s="1294"/>
      <c r="K77" s="1294"/>
      <c r="L77" s="865" t="str">
        <f>IFERROR(INDEX('Lower Hot Cell Logistics'!$I$13:$O$19,MATCH($J77,'Lower Hot Cell Logistics'!$H$13:$H$19,0),MATCH($K77,'Lower Hot Cell Logistics'!$H$13:$H$19,0)),"N/A")</f>
        <v>N/A</v>
      </c>
      <c r="M77" s="864" t="str">
        <f>IFERROR(VLOOKUP($I77,'Lower Hot Cell Logistics'!$H$4:$I$8,2,FALSE),"N/A")</f>
        <v>N/A</v>
      </c>
      <c r="N77" s="2197" t="str">
        <f t="shared" si="9"/>
        <v>N/A</v>
      </c>
      <c r="O77" s="1331" t="s">
        <v>2148</v>
      </c>
      <c r="P77" s="1332">
        <f>IF($D77="Logistics",VLOOKUP($O77,'Lower Hot Cell Logistics'!$C$4:$D$69,2,FALSE),"N/A")</f>
        <v>0.68</v>
      </c>
      <c r="R77"/>
      <c r="S77"/>
    </row>
    <row r="78" spans="2:19" s="89" customFormat="1" x14ac:dyDescent="0.4">
      <c r="B78" s="3815"/>
      <c r="C78" s="1294" t="s">
        <v>2162</v>
      </c>
      <c r="D78" s="1294" t="s">
        <v>778</v>
      </c>
      <c r="E78" s="1292">
        <f t="shared" si="1"/>
        <v>0.69444444444444442</v>
      </c>
      <c r="F78" s="1292">
        <f>IF($D78="Trigger",VLOOKUP($C78,'Lower Hot Cell Critical Path'!$C$6:$F$384,4,FALSE),E78+F77)</f>
        <v>117.28754383260159</v>
      </c>
      <c r="G78" s="862"/>
      <c r="H78" s="1328" t="s">
        <v>263</v>
      </c>
      <c r="I78" s="1724" t="s">
        <v>1826</v>
      </c>
      <c r="J78" s="1294" t="s">
        <v>799</v>
      </c>
      <c r="K78" s="1294" t="s">
        <v>451</v>
      </c>
      <c r="L78" s="865">
        <f>IFERROR(INDEX('Lower Hot Cell Logistics'!$I$13:$O$19,MATCH($J78,'Lower Hot Cell Logistics'!$H$13:$H$19,0),MATCH($K78,'Lower Hot Cell Logistics'!$H$13:$H$19,0)),"N/A")</f>
        <v>50</v>
      </c>
      <c r="M78" s="865">
        <f>IFERROR(VLOOKUP($I78,'Lower Hot Cell Logistics'!$H$4:$I$8,2,FALSE),"N/A")</f>
        <v>0.02</v>
      </c>
      <c r="N78" s="2197">
        <f t="shared" si="9"/>
        <v>0.69444444444444442</v>
      </c>
      <c r="O78" s="1331"/>
      <c r="P78" s="1332" t="str">
        <f>IF($D78="Logistics",VLOOKUP($O78,'Lower Hot Cell Logistics'!$C$4:$D$69,2,FALSE),"N/A")</f>
        <v>N/A</v>
      </c>
      <c r="R78"/>
      <c r="S78"/>
    </row>
    <row r="79" spans="2:19" s="89" customFormat="1" ht="39.450000000000003" thickBot="1" x14ac:dyDescent="0.45">
      <c r="B79" s="3816"/>
      <c r="C79" s="1340" t="str">
        <f>B71</f>
        <v>Left Divertor Pipework Module Stored;  Pipe Module handling System stored; Central divertor system and maintenance system collected and moved to Lower Port</v>
      </c>
      <c r="D79" s="1340" t="s">
        <v>11</v>
      </c>
      <c r="E79" s="1295">
        <f t="shared" si="1"/>
        <v>0</v>
      </c>
      <c r="F79" s="1295">
        <f>IF($D79="Trigger",VLOOKUP($C79,'Lower Hot Cell Critical Path'!$C$6:$F$384,4,FALSE),E79+F78)</f>
        <v>117.28754383260159</v>
      </c>
      <c r="G79" s="839"/>
      <c r="H79" s="1341" t="s">
        <v>263</v>
      </c>
      <c r="I79" s="1727"/>
      <c r="J79" s="1340"/>
      <c r="K79" s="1340"/>
      <c r="L79" s="842" t="str">
        <f>IFERROR(INDEX('Lower Hot Cell Logistics'!$I$13:$O$19,MATCH($J79,'Lower Hot Cell Logistics'!$H$13:$H$19,0),MATCH($K79,'Lower Hot Cell Logistics'!$H$13:$H$19,0)),"N/A")</f>
        <v>N/A</v>
      </c>
      <c r="M79" s="842" t="str">
        <f>IFERROR(VLOOKUP($I79,'Lower Hot Cell Logistics'!$H$4:$I$8,2,FALSE),"N/A")</f>
        <v>N/A</v>
      </c>
      <c r="N79" s="2199" t="str">
        <f>IF(D79="Movement",IFERROR((L79/M79)/(60*60),"Error"),"N/A")</f>
        <v>N/A</v>
      </c>
      <c r="O79" s="1344"/>
      <c r="P79" s="1345" t="str">
        <f>IF($D79="Logistics",VLOOKUP($O79,'Lower Hot Cell Logistics'!$C$4:$D$69,2,FALSE),"N/A")</f>
        <v>N/A</v>
      </c>
      <c r="R79"/>
      <c r="S79"/>
    </row>
    <row r="80" spans="2:19" s="89" customFormat="1" ht="15" customHeight="1" x14ac:dyDescent="0.4">
      <c r="B80" s="3787" t="s">
        <v>2034</v>
      </c>
      <c r="C80" s="617" t="s">
        <v>2170</v>
      </c>
      <c r="D80" s="617" t="s">
        <v>907</v>
      </c>
      <c r="E80" s="567">
        <f t="shared" si="1"/>
        <v>0</v>
      </c>
      <c r="F80" s="567">
        <f>IF($D80="Trigger",VLOOKUP($C80,'Lower Hot Cell Critical Path'!$C$6:$F$384,4,FALSE),E80+F79)</f>
        <v>115.42154723038391</v>
      </c>
      <c r="G80" s="568"/>
      <c r="H80" s="569" t="s">
        <v>263</v>
      </c>
      <c r="I80" s="1270"/>
      <c r="J80" s="617"/>
      <c r="K80" s="617"/>
      <c r="L80" s="570" t="str">
        <f>IFERROR(INDEX('Lower Hot Cell Logistics'!$I$13:$O$19,MATCH($J80,'Lower Hot Cell Logistics'!$H$13:$H$19,0),MATCH($K80,'Lower Hot Cell Logistics'!$H$13:$H$19,0)),"N/A")</f>
        <v>N/A</v>
      </c>
      <c r="M80" s="802" t="str">
        <f>IFERROR(VLOOKUP($I80,'Lower Hot Cell Logistics'!$H$4:$I$8,2,FALSE),"N/A")</f>
        <v>N/A</v>
      </c>
      <c r="N80" s="1182" t="str">
        <f t="shared" ref="N80:N117" si="10">IF(D80="Movement",IFERROR((L80/M80)/(60*60),"Error"),"N/A")</f>
        <v>N/A</v>
      </c>
      <c r="O80" s="620"/>
      <c r="P80" s="621" t="str">
        <f>IF($D80="Logistics",VLOOKUP($O80,'Lower Hot Cell Logistics'!$C$4:$D$69,2,FALSE),"N/A")</f>
        <v>N/A</v>
      </c>
      <c r="R80"/>
      <c r="S80"/>
    </row>
    <row r="81" spans="2:19" s="89" customFormat="1" ht="15" customHeight="1" x14ac:dyDescent="0.4">
      <c r="B81" s="3786"/>
      <c r="C81" s="1275" t="s">
        <v>2141</v>
      </c>
      <c r="D81" s="572" t="s">
        <v>778</v>
      </c>
      <c r="E81" s="578">
        <f t="shared" si="1"/>
        <v>0.69444444444444442</v>
      </c>
      <c r="F81" s="578">
        <f>IF($D81="Trigger",VLOOKUP($C81,'Lower Hot Cell Critical Path'!$C$6:$F$384,4,FALSE),E81+F80)</f>
        <v>116.11599167482835</v>
      </c>
      <c r="G81" s="872"/>
      <c r="H81" s="2221" t="s">
        <v>263</v>
      </c>
      <c r="I81" s="1281" t="s">
        <v>2171</v>
      </c>
      <c r="J81" s="572" t="s">
        <v>451</v>
      </c>
      <c r="K81" s="572" t="s">
        <v>831</v>
      </c>
      <c r="L81" s="1176">
        <f>IFERROR(INDEX('Lower Hot Cell Logistics'!$I$13:$O$19,MATCH($J81,'Lower Hot Cell Logistics'!$H$13:$H$19,0),MATCH($K81,'Lower Hot Cell Logistics'!$H$13:$H$19,0)),"N/A")</f>
        <v>50</v>
      </c>
      <c r="M81" s="2222">
        <f>IFERROR(VLOOKUP($I81,'Lower Hot Cell Logistics'!$H$4:$I$8,2,FALSE),"N/A")</f>
        <v>0.02</v>
      </c>
      <c r="N81" s="580">
        <f t="shared" si="10"/>
        <v>0.69444444444444442</v>
      </c>
      <c r="O81" s="631"/>
      <c r="P81" s="632" t="str">
        <f>IF($D81="Logistics",VLOOKUP($O81,'Lower Hot Cell Logistics'!$C$4:$D$69,2,FALSE),"N/A")</f>
        <v>N/A</v>
      </c>
      <c r="R81"/>
      <c r="S81"/>
    </row>
    <row r="82" spans="2:19" s="89" customFormat="1" ht="15" customHeight="1" x14ac:dyDescent="0.4">
      <c r="B82" s="3786"/>
      <c r="C82" s="1275" t="s">
        <v>1757</v>
      </c>
      <c r="D82" s="572" t="s">
        <v>3</v>
      </c>
      <c r="E82" s="578">
        <f t="shared" si="1"/>
        <v>0.88000000000000012</v>
      </c>
      <c r="F82" s="578">
        <f>IF($D82="Trigger",VLOOKUP($C82,'Lower Hot Cell Critical Path'!$C$6:$F$384,4,FALSE),E82+F81)</f>
        <v>116.99599167482835</v>
      </c>
      <c r="G82" s="872"/>
      <c r="H82" s="2221" t="s">
        <v>263</v>
      </c>
      <c r="I82" s="1281"/>
      <c r="J82" s="572"/>
      <c r="K82" s="572"/>
      <c r="L82" s="1176" t="str">
        <f>IFERROR(INDEX('Lower Hot Cell Logistics'!$I$13:$O$19,MATCH($J82,'Lower Hot Cell Logistics'!$H$13:$H$19,0),MATCH($K82,'Lower Hot Cell Logistics'!$H$13:$H$19,0)),"N/A")</f>
        <v>N/A</v>
      </c>
      <c r="M82" s="2222" t="str">
        <f>IFERROR(VLOOKUP($I82,'Lower Hot Cell Logistics'!$H$4:$I$8,2,FALSE),"N/A")</f>
        <v>N/A</v>
      </c>
      <c r="N82" s="580" t="str">
        <f t="shared" si="10"/>
        <v>N/A</v>
      </c>
      <c r="O82" s="631" t="s">
        <v>2144</v>
      </c>
      <c r="P82" s="632">
        <f>IF($D82="Logistics",VLOOKUP($O82,'Lower Hot Cell Logistics'!$C$4:$D$69,2,FALSE),"N/A")</f>
        <v>0.88000000000000012</v>
      </c>
      <c r="R82"/>
      <c r="S82"/>
    </row>
    <row r="83" spans="2:19" s="89" customFormat="1" ht="15" customHeight="1" x14ac:dyDescent="0.4">
      <c r="B83" s="3786"/>
      <c r="C83" s="1275" t="s">
        <v>2172</v>
      </c>
      <c r="D83" s="572" t="s">
        <v>778</v>
      </c>
      <c r="E83" s="578">
        <f t="shared" si="1"/>
        <v>9.2592592592592601E-2</v>
      </c>
      <c r="F83" s="578">
        <f>IF($D83="Trigger",VLOOKUP($C83,'Lower Hot Cell Critical Path'!$C$6:$F$384,4,FALSE),E83+F82)</f>
        <v>117.08858426742094</v>
      </c>
      <c r="G83" s="872"/>
      <c r="H83" s="2221" t="s">
        <v>263</v>
      </c>
      <c r="I83" s="1281" t="s">
        <v>2142</v>
      </c>
      <c r="J83" s="572" t="s">
        <v>831</v>
      </c>
      <c r="K83" s="572" t="s">
        <v>914</v>
      </c>
      <c r="L83" s="1176">
        <f>IFERROR(INDEX('Lower Hot Cell Logistics'!$I$13:$O$19,MATCH($J83,'Lower Hot Cell Logistics'!$H$13:$H$19,0),MATCH($K83,'Lower Hot Cell Logistics'!$H$13:$H$19,0)),"N/A")</f>
        <v>20</v>
      </c>
      <c r="M83" s="2222">
        <f>IFERROR(VLOOKUP($I83,'Lower Hot Cell Logistics'!$H$4:$I$8,2,FALSE),"N/A")</f>
        <v>0.06</v>
      </c>
      <c r="N83" s="580">
        <f t="shared" si="10"/>
        <v>9.2592592592592601E-2</v>
      </c>
      <c r="O83" s="631"/>
      <c r="P83" s="632" t="str">
        <f>IF($D83="Logistics",VLOOKUP($O83,'Lower Hot Cell Logistics'!$C$4:$D$69,2,FALSE),"N/A")</f>
        <v>N/A</v>
      </c>
      <c r="R83"/>
      <c r="S83"/>
    </row>
    <row r="84" spans="2:19" s="89" customFormat="1" ht="15" customHeight="1" x14ac:dyDescent="0.4">
      <c r="B84" s="3786"/>
      <c r="C84" s="1275" t="s">
        <v>2173</v>
      </c>
      <c r="D84" s="572" t="s">
        <v>3</v>
      </c>
      <c r="E84" s="578">
        <f t="shared" si="1"/>
        <v>0.88000000000000012</v>
      </c>
      <c r="F84" s="578">
        <f>IF($D84="Trigger",VLOOKUP($C84,'Lower Hot Cell Critical Path'!$C$6:$F$384,4,FALSE),E84+F83)</f>
        <v>117.96858426742094</v>
      </c>
      <c r="G84" s="872"/>
      <c r="H84" s="2221" t="s">
        <v>263</v>
      </c>
      <c r="I84" s="1281"/>
      <c r="J84" s="572"/>
      <c r="K84" s="572"/>
      <c r="L84" s="1176" t="str">
        <f>IFERROR(INDEX('Lower Hot Cell Logistics'!$I$13:$O$19,MATCH($J84,'Lower Hot Cell Logistics'!$H$13:$H$19,0),MATCH($K84,'Lower Hot Cell Logistics'!$H$13:$H$19,0)),"N/A")</f>
        <v>N/A</v>
      </c>
      <c r="M84" s="2222" t="str">
        <f>IFERROR(VLOOKUP($I84,'Lower Hot Cell Logistics'!$H$4:$I$8,2,FALSE),"N/A")</f>
        <v>N/A</v>
      </c>
      <c r="N84" s="580" t="str">
        <f t="shared" si="10"/>
        <v>N/A</v>
      </c>
      <c r="O84" s="631" t="s">
        <v>2168</v>
      </c>
      <c r="P84" s="632">
        <f>IF($D84="Logistics",VLOOKUP($O84,'Lower Hot Cell Logistics'!$C$4:$D$69,2,FALSE),"N/A")</f>
        <v>0.88000000000000012</v>
      </c>
      <c r="R84"/>
      <c r="S84"/>
    </row>
    <row r="85" spans="2:19" s="89" customFormat="1" ht="15" customHeight="1" x14ac:dyDescent="0.4">
      <c r="B85" s="3786"/>
      <c r="C85" s="1275" t="s">
        <v>2145</v>
      </c>
      <c r="D85" s="572" t="s">
        <v>778</v>
      </c>
      <c r="E85" s="578">
        <f t="shared" si="1"/>
        <v>2.7777777777777776E-2</v>
      </c>
      <c r="F85" s="578">
        <f>IF($D85="Trigger",VLOOKUP($C85,'Lower Hot Cell Critical Path'!$C$6:$F$384,4,FALSE),E85+F84)</f>
        <v>117.99636204519871</v>
      </c>
      <c r="G85" s="872"/>
      <c r="H85" s="2221" t="s">
        <v>263</v>
      </c>
      <c r="I85" s="1281" t="s">
        <v>2146</v>
      </c>
      <c r="J85" s="572" t="s">
        <v>914</v>
      </c>
      <c r="K85" s="572" t="s">
        <v>799</v>
      </c>
      <c r="L85" s="1176">
        <f>IFERROR(INDEX('Lower Hot Cell Logistics'!$I$13:$O$19,MATCH($J85,'Lower Hot Cell Logistics'!$H$13:$H$19,0),MATCH($K85,'Lower Hot Cell Logistics'!$H$13:$H$19,0)),"N/A")</f>
        <v>20</v>
      </c>
      <c r="M85" s="2222">
        <f>IFERROR(VLOOKUP($I85,'Lower Hot Cell Logistics'!$H$4:$I$8,2,FALSE),"N/A")</f>
        <v>0.2</v>
      </c>
      <c r="N85" s="580">
        <f t="shared" si="10"/>
        <v>2.7777777777777776E-2</v>
      </c>
      <c r="O85" s="631"/>
      <c r="P85" s="632" t="str">
        <f>IF($D85="Logistics",VLOOKUP($O85,'Lower Hot Cell Logistics'!$C$4:$D$69,2,FALSE),"N/A")</f>
        <v>N/A</v>
      </c>
      <c r="R85"/>
      <c r="S85"/>
    </row>
    <row r="86" spans="2:19" s="89" customFormat="1" x14ac:dyDescent="0.4">
      <c r="B86" s="3786"/>
      <c r="C86" s="572" t="s">
        <v>2174</v>
      </c>
      <c r="D86" s="572" t="s">
        <v>3</v>
      </c>
      <c r="E86" s="574">
        <f t="shared" si="1"/>
        <v>0.68</v>
      </c>
      <c r="F86" s="574">
        <f>IF($D86="Trigger",VLOOKUP($C86,'Lower Hot Cell Critical Path'!$C$6:$F$384,4,FALSE),E86+F85)</f>
        <v>118.67636204519872</v>
      </c>
      <c r="G86" s="575"/>
      <c r="H86" s="576" t="s">
        <v>263</v>
      </c>
      <c r="I86" s="1281"/>
      <c r="J86" s="572"/>
      <c r="K86" s="572"/>
      <c r="L86" s="853" t="str">
        <f>IFERROR(INDEX('Lower Hot Cell Logistics'!$I$13:$O$19,MATCH($J86,'Lower Hot Cell Logistics'!$H$13:$H$19,0),MATCH($K86,'Lower Hot Cell Logistics'!$H$13:$H$19,0)),"N/A")</f>
        <v>N/A</v>
      </c>
      <c r="M86" s="852" t="str">
        <f>IFERROR(VLOOKUP($I86,'Lower Hot Cell Logistics'!$H$4:$I$8,2,FALSE),"N/A")</f>
        <v>N/A</v>
      </c>
      <c r="N86" s="1180" t="str">
        <f t="shared" si="10"/>
        <v>N/A</v>
      </c>
      <c r="O86" s="579" t="s">
        <v>2148</v>
      </c>
      <c r="P86" s="580">
        <f>IF($D86="Logistics",VLOOKUP($O86,'Lower Hot Cell Logistics'!$C$4:$D$69,2,FALSE),"N/A")</f>
        <v>0.68</v>
      </c>
      <c r="R86"/>
      <c r="S86"/>
    </row>
    <row r="87" spans="2:19" s="89" customFormat="1" x14ac:dyDescent="0.4">
      <c r="B87" s="3786"/>
      <c r="C87" s="572" t="s">
        <v>2162</v>
      </c>
      <c r="D87" s="572" t="s">
        <v>778</v>
      </c>
      <c r="E87" s="574">
        <f t="shared" si="1"/>
        <v>0.69444444444444442</v>
      </c>
      <c r="F87" s="574">
        <f>IF($D87="Trigger",VLOOKUP($C87,'Lower Hot Cell Critical Path'!$C$6:$F$384,4,FALSE),E87+F86)</f>
        <v>119.37080648964316</v>
      </c>
      <c r="G87" s="575"/>
      <c r="H87" s="576" t="s">
        <v>263</v>
      </c>
      <c r="I87" s="1281" t="s">
        <v>1826</v>
      </c>
      <c r="J87" s="572" t="s">
        <v>799</v>
      </c>
      <c r="K87" s="572" t="s">
        <v>451</v>
      </c>
      <c r="L87" s="853">
        <f>IFERROR(INDEX('Lower Hot Cell Logistics'!$I$13:$O$19,MATCH($J87,'Lower Hot Cell Logistics'!$H$13:$H$19,0),MATCH($K87,'Lower Hot Cell Logistics'!$H$13:$H$19,0)),"N/A")</f>
        <v>50</v>
      </c>
      <c r="M87" s="853">
        <f>IFERROR(VLOOKUP($I87,'Lower Hot Cell Logistics'!$H$4:$I$8,2,FALSE),"N/A")</f>
        <v>0.02</v>
      </c>
      <c r="N87" s="1180">
        <f t="shared" si="10"/>
        <v>0.69444444444444442</v>
      </c>
      <c r="O87" s="579"/>
      <c r="P87" s="580" t="str">
        <f>IF($D87="Logistics",VLOOKUP($O87,'Lower Hot Cell Logistics'!$C$4:$D$69,2,FALSE),"N/A")</f>
        <v>N/A</v>
      </c>
      <c r="R87"/>
      <c r="S87"/>
    </row>
    <row r="88" spans="2:19" s="89" customFormat="1" ht="26.6" thickBot="1" x14ac:dyDescent="0.45">
      <c r="B88" s="3788"/>
      <c r="C88" s="583" t="str">
        <f>B80</f>
        <v>Right Divertor Pipework Module Stored;  Pipe Module handling System stored; Divertor handling system collected and moved to Lower Port</v>
      </c>
      <c r="D88" s="583" t="s">
        <v>11</v>
      </c>
      <c r="E88" s="585">
        <f t="shared" si="1"/>
        <v>0</v>
      </c>
      <c r="F88" s="585">
        <f>IF($D88="Trigger",VLOOKUP($C88,'Lower Hot Cell Critical Path'!$C$6:$F$384,4,FALSE),E88+F87)</f>
        <v>119.37080648964316</v>
      </c>
      <c r="G88" s="586"/>
      <c r="H88" s="587" t="s">
        <v>263</v>
      </c>
      <c r="I88" s="1720"/>
      <c r="J88" s="583"/>
      <c r="K88" s="583"/>
      <c r="L88" s="814" t="str">
        <f>IFERROR(INDEX('Lower Hot Cell Logistics'!$I$13:$O$19,MATCH($J88,'Lower Hot Cell Logistics'!$H$13:$H$19,0),MATCH($K88,'Lower Hot Cell Logistics'!$H$13:$H$19,0)),"N/A")</f>
        <v>N/A</v>
      </c>
      <c r="M88" s="814" t="str">
        <f>IFERROR(VLOOKUP($I88,'Lower Hot Cell Logistics'!$H$4:$I$8,2,FALSE),"N/A")</f>
        <v>N/A</v>
      </c>
      <c r="N88" s="1181" t="str">
        <f t="shared" si="10"/>
        <v>N/A</v>
      </c>
      <c r="O88" s="590"/>
      <c r="P88" s="591" t="str">
        <f>IF($D88="Logistics",VLOOKUP($O88,'Lower Hot Cell Logistics'!$C$4:$D$69,2,FALSE),"N/A")</f>
        <v>N/A</v>
      </c>
      <c r="R88"/>
      <c r="S88"/>
    </row>
    <row r="89" spans="2:19" s="89" customFormat="1" ht="25.5" customHeight="1" x14ac:dyDescent="0.4">
      <c r="B89" s="3814" t="s">
        <v>1614</v>
      </c>
      <c r="C89" s="1324" t="s">
        <v>2175</v>
      </c>
      <c r="D89" s="1324" t="s">
        <v>907</v>
      </c>
      <c r="E89" s="1291">
        <f t="shared" si="1"/>
        <v>0</v>
      </c>
      <c r="F89" s="1291">
        <f>IF($D89="Trigger",VLOOKUP($C89,'Lower Hot Cell Critical Path'!$C$6:$F$384,4,FALSE),E89+F88)</f>
        <v>128.60421049926825</v>
      </c>
      <c r="G89" s="825"/>
      <c r="H89" s="1323" t="s">
        <v>263</v>
      </c>
      <c r="I89" s="1721"/>
      <c r="J89" s="1324"/>
      <c r="K89" s="1324"/>
      <c r="L89" s="828" t="str">
        <f>IFERROR(INDEX('Lower Hot Cell Logistics'!$I$13:$O$19,MATCH($J89,'Lower Hot Cell Logistics'!$H$13:$H$19,0),MATCH($K89,'Lower Hot Cell Logistics'!$H$13:$H$19,0)),"N/A")</f>
        <v>N/A</v>
      </c>
      <c r="M89" s="827" t="str">
        <f>IFERROR(VLOOKUP($I89,'Lower Hot Cell Logistics'!$H$4:$I$8,2,FALSE),"N/A")</f>
        <v>N/A</v>
      </c>
      <c r="N89" s="2200" t="str">
        <f t="shared" si="10"/>
        <v>N/A</v>
      </c>
      <c r="O89" s="1327"/>
      <c r="P89" s="824" t="str">
        <f>IF($D89="Logistics",VLOOKUP($O89,'Lower Hot Cell Logistics'!$C$4:$D$69,2,FALSE),"N/A")</f>
        <v>N/A</v>
      </c>
      <c r="R89"/>
      <c r="S89"/>
    </row>
    <row r="90" spans="2:19" s="89" customFormat="1" x14ac:dyDescent="0.4">
      <c r="B90" s="3815"/>
      <c r="C90" s="1362" t="s">
        <v>2141</v>
      </c>
      <c r="D90" s="1294" t="s">
        <v>778</v>
      </c>
      <c r="E90" s="1330">
        <f t="shared" si="1"/>
        <v>0.69444444444444442</v>
      </c>
      <c r="F90" s="1330">
        <f>IF($D90="Trigger",VLOOKUP($C90,'Lower Hot Cell Critical Path'!$C$6:$F$384,4,FALSE),E90+F89)</f>
        <v>129.29865494371271</v>
      </c>
      <c r="G90" s="1722"/>
      <c r="H90" s="2219" t="s">
        <v>263</v>
      </c>
      <c r="I90" s="1724" t="s">
        <v>1826</v>
      </c>
      <c r="J90" s="1294" t="s">
        <v>451</v>
      </c>
      <c r="K90" s="1294" t="s">
        <v>914</v>
      </c>
      <c r="L90" s="2042">
        <f>IFERROR(INDEX('Lower Hot Cell Logistics'!$I$13:$O$19,MATCH($J90,'Lower Hot Cell Logistics'!$H$13:$H$19,0),MATCH($K90,'Lower Hot Cell Logistics'!$H$13:$H$19,0)),"N/A")</f>
        <v>50</v>
      </c>
      <c r="M90" s="2220">
        <f>IFERROR(VLOOKUP($I90,'Lower Hot Cell Logistics'!$H$4:$I$8,2,FALSE),"N/A")</f>
        <v>0.02</v>
      </c>
      <c r="N90" s="1332">
        <f t="shared" si="10"/>
        <v>0.69444444444444442</v>
      </c>
      <c r="O90" s="1352"/>
      <c r="P90" s="1353" t="str">
        <f>IF($D90="Logistics",VLOOKUP($O90,'Lower Hot Cell Logistics'!$C$4:$D$69,2,FALSE),"N/A")</f>
        <v>N/A</v>
      </c>
      <c r="R90"/>
      <c r="S90"/>
    </row>
    <row r="91" spans="2:19" s="89" customFormat="1" ht="15.75" customHeight="1" x14ac:dyDescent="0.4">
      <c r="B91" s="3815"/>
      <c r="C91" s="1294" t="s">
        <v>1986</v>
      </c>
      <c r="D91" s="1294" t="s">
        <v>3</v>
      </c>
      <c r="E91" s="1330">
        <f t="shared" si="1"/>
        <v>0.88000000000000012</v>
      </c>
      <c r="F91" s="1330">
        <f>IF($D91="Trigger",VLOOKUP($C91,'Lower Hot Cell Critical Path'!$C$6:$F$384,4,FALSE),E91+F90)</f>
        <v>130.1786549437127</v>
      </c>
      <c r="G91" s="862"/>
      <c r="H91" s="2219" t="s">
        <v>263</v>
      </c>
      <c r="I91" s="1724"/>
      <c r="J91" s="1294"/>
      <c r="K91" s="1294"/>
      <c r="L91" s="2042" t="str">
        <f>IFERROR(INDEX('Lower Hot Cell Logistics'!$I$13:$O$19,MATCH($J91,'Lower Hot Cell Logistics'!$H$13:$H$19,0),MATCH($K91,'Lower Hot Cell Logistics'!$H$13:$H$19,0)),"N/A")</f>
        <v>N/A</v>
      </c>
      <c r="M91" s="2220" t="str">
        <f>IFERROR(VLOOKUP($I91,'Lower Hot Cell Logistics'!$H$4:$I$8,2,FALSE),"N/A")</f>
        <v>N/A</v>
      </c>
      <c r="N91" s="1332" t="str">
        <f t="shared" si="10"/>
        <v>N/A</v>
      </c>
      <c r="O91" s="1331" t="s">
        <v>2168</v>
      </c>
      <c r="P91" s="1353">
        <f>IF($D91="Logistics",VLOOKUP($O91,'Lower Hot Cell Logistics'!$C$4:$D$69,2,FALSE),"N/A")</f>
        <v>0.88000000000000012</v>
      </c>
      <c r="R91"/>
      <c r="S91"/>
    </row>
    <row r="92" spans="2:19" s="89" customFormat="1" ht="15.75" customHeight="1" x14ac:dyDescent="0.4">
      <c r="B92" s="3815"/>
      <c r="C92" s="1294" t="s">
        <v>2145</v>
      </c>
      <c r="D92" s="1294" t="s">
        <v>778</v>
      </c>
      <c r="E92" s="1330">
        <f t="shared" si="1"/>
        <v>2.7777777777777776E-2</v>
      </c>
      <c r="F92" s="1330">
        <f>IF($D92="Trigger",VLOOKUP($C92,'Lower Hot Cell Critical Path'!$C$6:$F$384,4,FALSE),E92+F91)</f>
        <v>130.20643272149047</v>
      </c>
      <c r="G92" s="862"/>
      <c r="H92" s="2219" t="s">
        <v>263</v>
      </c>
      <c r="I92" s="1724" t="s">
        <v>2146</v>
      </c>
      <c r="J92" s="1294" t="s">
        <v>914</v>
      </c>
      <c r="K92" s="1294" t="s">
        <v>799</v>
      </c>
      <c r="L92" s="2042">
        <f>IFERROR(INDEX('Lower Hot Cell Logistics'!$I$13:$O$19,MATCH($J92,'Lower Hot Cell Logistics'!$H$13:$H$19,0),MATCH($K92,'Lower Hot Cell Logistics'!$H$13:$H$19,0)),"N/A")</f>
        <v>20</v>
      </c>
      <c r="M92" s="2220">
        <f>IFERROR(VLOOKUP($I92,'Lower Hot Cell Logistics'!$H$4:$I$8,2,FALSE),"N/A")</f>
        <v>0.2</v>
      </c>
      <c r="N92" s="1332">
        <f t="shared" si="10"/>
        <v>2.7777777777777776E-2</v>
      </c>
      <c r="O92" s="1331"/>
      <c r="P92" s="1353" t="str">
        <f>IF($D92="Logistics",VLOOKUP($O92,'Lower Hot Cell Logistics'!$C$4:$D$69,2,FALSE),"N/A")</f>
        <v>N/A</v>
      </c>
      <c r="R92"/>
      <c r="S92"/>
    </row>
    <row r="93" spans="2:19" s="89" customFormat="1" ht="15.75" customHeight="1" x14ac:dyDescent="0.4">
      <c r="B93" s="3815"/>
      <c r="C93" s="1294" t="s">
        <v>2176</v>
      </c>
      <c r="D93" s="1294" t="s">
        <v>3</v>
      </c>
      <c r="E93" s="1330">
        <f t="shared" si="1"/>
        <v>0.68</v>
      </c>
      <c r="F93" s="1330">
        <f>IF($D93="Trigger",VLOOKUP($C93,'Lower Hot Cell Critical Path'!$C$6:$F$384,4,FALSE),E93+F92)</f>
        <v>130.88643272149048</v>
      </c>
      <c r="G93" s="862"/>
      <c r="H93" s="2219" t="s">
        <v>263</v>
      </c>
      <c r="I93" s="1724"/>
      <c r="J93" s="1294"/>
      <c r="K93" s="1294"/>
      <c r="L93" s="2042" t="str">
        <f>IFERROR(INDEX('Lower Hot Cell Logistics'!$I$13:$O$19,MATCH($J93,'Lower Hot Cell Logistics'!$H$13:$H$19,0),MATCH($K93,'Lower Hot Cell Logistics'!$H$13:$H$19,0)),"N/A")</f>
        <v>N/A</v>
      </c>
      <c r="M93" s="2220" t="str">
        <f>IFERROR(VLOOKUP($I93,'Lower Hot Cell Logistics'!$H$4:$I$8,2,FALSE),"N/A")</f>
        <v>N/A</v>
      </c>
      <c r="N93" s="1332" t="str">
        <f t="shared" si="10"/>
        <v>N/A</v>
      </c>
      <c r="O93" s="1331" t="s">
        <v>2148</v>
      </c>
      <c r="P93" s="1353">
        <f>IF($D93="Logistics",VLOOKUP($O93,'Lower Hot Cell Logistics'!$C$4:$D$69,2,FALSE),"N/A")</f>
        <v>0.68</v>
      </c>
      <c r="R93"/>
      <c r="S93"/>
    </row>
    <row r="94" spans="2:19" s="89" customFormat="1" ht="15" customHeight="1" x14ac:dyDescent="0.4">
      <c r="B94" s="3815"/>
      <c r="C94" s="1294" t="s">
        <v>2177</v>
      </c>
      <c r="D94" s="1294" t="s">
        <v>778</v>
      </c>
      <c r="E94" s="1330">
        <f t="shared" si="1"/>
        <v>0.23148148148148148</v>
      </c>
      <c r="F94" s="1330">
        <f>IF($D94="Trigger",VLOOKUP($C94,'Lower Hot Cell Critical Path'!$C$6:$F$384,4,FALSE),E94+F93)</f>
        <v>131.11791420297197</v>
      </c>
      <c r="G94" s="862"/>
      <c r="H94" s="1328" t="s">
        <v>263</v>
      </c>
      <c r="I94" s="1724" t="s">
        <v>2142</v>
      </c>
      <c r="J94" s="1294" t="s">
        <v>799</v>
      </c>
      <c r="K94" s="1294" t="s">
        <v>451</v>
      </c>
      <c r="L94" s="2042">
        <f>IFERROR(INDEX('Lower Hot Cell Logistics'!$I$13:$O$19,MATCH($J94,'Lower Hot Cell Logistics'!$H$13:$H$19,0),MATCH($K94,'Lower Hot Cell Logistics'!$H$13:$H$19,0)),"N/A")</f>
        <v>50</v>
      </c>
      <c r="M94" s="2220">
        <f>IFERROR(VLOOKUP($I94,'Lower Hot Cell Logistics'!$H$4:$I$8,2,FALSE),"N/A")</f>
        <v>0.06</v>
      </c>
      <c r="N94" s="1332">
        <f t="shared" si="10"/>
        <v>0.23148148148148148</v>
      </c>
      <c r="O94" s="1331"/>
      <c r="P94" s="1353" t="str">
        <f>IF($D94="Logistics",VLOOKUP($O94,'Lower Hot Cell Logistics'!$C$4:$D$69,2,FALSE),"N/A")</f>
        <v>N/A</v>
      </c>
      <c r="R94"/>
      <c r="S94"/>
    </row>
    <row r="95" spans="2:19" s="89" customFormat="1" ht="15" thickBot="1" x14ac:dyDescent="0.45">
      <c r="B95" s="3816"/>
      <c r="C95" s="1340" t="str">
        <f>B89</f>
        <v>Central Cassette Stored; Cassette Transport Cask Moved to Lower Port</v>
      </c>
      <c r="D95" s="1340" t="s">
        <v>11</v>
      </c>
      <c r="E95" s="1295">
        <f t="shared" si="1"/>
        <v>0</v>
      </c>
      <c r="F95" s="1295">
        <f>IF($D95="Trigger",VLOOKUP($C95,'Lower Hot Cell Critical Path'!$C$6:$F$384,4,FALSE),E95+F94)</f>
        <v>131.11791420297197</v>
      </c>
      <c r="G95" s="839"/>
      <c r="H95" s="1341" t="s">
        <v>263</v>
      </c>
      <c r="I95" s="1727"/>
      <c r="J95" s="1340"/>
      <c r="K95" s="1340"/>
      <c r="L95" s="842" t="str">
        <f>IFERROR(INDEX('Lower Hot Cell Logistics'!$I$13:$O$19,MATCH($J95,'Lower Hot Cell Logistics'!$H$13:$H$19,0),MATCH($K95,'Lower Hot Cell Logistics'!$H$13:$H$19,0)),"N/A")</f>
        <v>N/A</v>
      </c>
      <c r="M95" s="842" t="str">
        <f>IFERROR(VLOOKUP($I95,'Lower Hot Cell Logistics'!$H$4:$I$8,2,FALSE),"N/A")</f>
        <v>N/A</v>
      </c>
      <c r="N95" s="2199" t="str">
        <f t="shared" si="10"/>
        <v>N/A</v>
      </c>
      <c r="O95" s="1344"/>
      <c r="P95" s="1345" t="str">
        <f>IF($D95="Logistics",VLOOKUP($O95,'Lower Hot Cell Logistics'!$C$4:$D$69,2,FALSE),"N/A")</f>
        <v>N/A</v>
      </c>
      <c r="R95"/>
      <c r="S95"/>
    </row>
    <row r="96" spans="2:19" s="89" customFormat="1" x14ac:dyDescent="0.4">
      <c r="B96" s="3787" t="s">
        <v>2038</v>
      </c>
      <c r="C96" s="617" t="s">
        <v>2178</v>
      </c>
      <c r="D96" s="617" t="s">
        <v>907</v>
      </c>
      <c r="E96" s="567">
        <f t="shared" si="1"/>
        <v>0</v>
      </c>
      <c r="F96" s="567">
        <f>IF($D96="Trigger",VLOOKUP($C96,'Lower Hot Cell Critical Path'!$C$6:$F$384,4,FALSE),E96+F95)</f>
        <v>130.85421049926825</v>
      </c>
      <c r="G96" s="568"/>
      <c r="H96" s="569" t="s">
        <v>263</v>
      </c>
      <c r="I96" s="1270"/>
      <c r="J96" s="617"/>
      <c r="K96" s="617"/>
      <c r="L96" s="570" t="str">
        <f>IFERROR(INDEX('Lower Hot Cell Logistics'!$I$13:$O$19,MATCH($J96,'Lower Hot Cell Logistics'!$H$13:$H$19,0),MATCH($K96,'Lower Hot Cell Logistics'!$H$13:$H$19,0)),"N/A")</f>
        <v>N/A</v>
      </c>
      <c r="M96" s="802" t="str">
        <f>IFERROR(VLOOKUP($I96,'Lower Hot Cell Logistics'!$H$4:$I$8,2,FALSE),"N/A")</f>
        <v>N/A</v>
      </c>
      <c r="N96" s="1182" t="str">
        <f t="shared" si="10"/>
        <v>N/A</v>
      </c>
      <c r="O96" s="620"/>
      <c r="P96" s="621" t="str">
        <f>IF($D96="Logistics",VLOOKUP($O96,'Lower Hot Cell Logistics'!$C$4:$D$69,2,FALSE),"N/A")</f>
        <v>N/A</v>
      </c>
      <c r="R96"/>
      <c r="S96"/>
    </row>
    <row r="97" spans="2:19" s="89" customFormat="1" x14ac:dyDescent="0.4">
      <c r="B97" s="3786"/>
      <c r="C97" s="1275" t="s">
        <v>2141</v>
      </c>
      <c r="D97" s="572" t="s">
        <v>778</v>
      </c>
      <c r="E97" s="578">
        <f t="shared" si="1"/>
        <v>0.23148148148148148</v>
      </c>
      <c r="F97" s="578">
        <f>IF($D97="Trigger",VLOOKUP($C97,'Lower Hot Cell Critical Path'!$C$6:$F$384,4,FALSE),E97+F96)</f>
        <v>131.08569198074974</v>
      </c>
      <c r="G97" s="872"/>
      <c r="H97" s="2221" t="s">
        <v>263</v>
      </c>
      <c r="I97" s="1281" t="s">
        <v>2142</v>
      </c>
      <c r="J97" s="572" t="s">
        <v>451</v>
      </c>
      <c r="K97" s="572" t="s">
        <v>831</v>
      </c>
      <c r="L97" s="1176">
        <f>IFERROR(INDEX('Lower Hot Cell Logistics'!$I$13:$O$19,MATCH($J97,'Lower Hot Cell Logistics'!$H$13:$H$19,0),MATCH($K97,'Lower Hot Cell Logistics'!$H$13:$H$19,0)),"N/A")</f>
        <v>50</v>
      </c>
      <c r="M97" s="2222">
        <f>IFERROR(VLOOKUP($I97,'Lower Hot Cell Logistics'!$H$4:$I$8,2,FALSE),"N/A")</f>
        <v>0.06</v>
      </c>
      <c r="N97" s="580">
        <f t="shared" si="10"/>
        <v>0.23148148148148148</v>
      </c>
      <c r="O97" s="631"/>
      <c r="P97" s="632" t="str">
        <f>IF($D97="Logistics",VLOOKUP($O97,'Lower Hot Cell Logistics'!$C$4:$D$69,2,FALSE),"N/A")</f>
        <v>N/A</v>
      </c>
      <c r="R97"/>
      <c r="S97"/>
    </row>
    <row r="98" spans="2:19" s="89" customFormat="1" x14ac:dyDescent="0.4">
      <c r="B98" s="3786"/>
      <c r="C98" s="1275" t="s">
        <v>2179</v>
      </c>
      <c r="D98" s="572" t="s">
        <v>3</v>
      </c>
      <c r="E98" s="578">
        <f t="shared" si="1"/>
        <v>0.88000000000000012</v>
      </c>
      <c r="F98" s="578">
        <f>IF($D98="Trigger",VLOOKUP($C98,'Lower Hot Cell Critical Path'!$C$6:$F$384,4,FALSE),E98+F97)</f>
        <v>131.96569198074974</v>
      </c>
      <c r="G98" s="872"/>
      <c r="H98" s="2221" t="s">
        <v>263</v>
      </c>
      <c r="I98" s="1281"/>
      <c r="J98" s="572"/>
      <c r="K98" s="572"/>
      <c r="L98" s="1176" t="str">
        <f>IFERROR(INDEX('Lower Hot Cell Logistics'!$I$13:$O$19,MATCH($J98,'Lower Hot Cell Logistics'!$H$13:$H$19,0),MATCH($K98,'Lower Hot Cell Logistics'!$H$13:$H$19,0)),"N/A")</f>
        <v>N/A</v>
      </c>
      <c r="M98" s="2222" t="str">
        <f>IFERROR(VLOOKUP($I98,'Lower Hot Cell Logistics'!$H$4:$I$8,2,FALSE),"N/A")</f>
        <v>N/A</v>
      </c>
      <c r="N98" s="580" t="str">
        <f t="shared" si="10"/>
        <v>N/A</v>
      </c>
      <c r="O98" s="631" t="s">
        <v>2168</v>
      </c>
      <c r="P98" s="632">
        <f>IF($D98="Logistics",VLOOKUP($O98,'Lower Hot Cell Logistics'!$C$4:$D$69,2,FALSE),"N/A")</f>
        <v>0.88000000000000012</v>
      </c>
      <c r="R98"/>
      <c r="S98"/>
    </row>
    <row r="99" spans="2:19" s="89" customFormat="1" x14ac:dyDescent="0.4">
      <c r="B99" s="3786"/>
      <c r="C99" s="1275" t="s">
        <v>2165</v>
      </c>
      <c r="D99" s="572" t="s">
        <v>778</v>
      </c>
      <c r="E99" s="578">
        <f t="shared" si="1"/>
        <v>2.7777777777777776E-2</v>
      </c>
      <c r="F99" s="578">
        <f>IF($D99="Trigger",VLOOKUP($C99,'Lower Hot Cell Critical Path'!$C$6:$F$384,4,FALSE),E99+F98)</f>
        <v>131.99346975852751</v>
      </c>
      <c r="G99" s="872"/>
      <c r="H99" s="2221" t="s">
        <v>263</v>
      </c>
      <c r="I99" s="1281" t="s">
        <v>2146</v>
      </c>
      <c r="J99" s="572" t="s">
        <v>831</v>
      </c>
      <c r="K99" s="572" t="s">
        <v>799</v>
      </c>
      <c r="L99" s="1176">
        <f>IFERROR(INDEX('Lower Hot Cell Logistics'!$I$13:$O$19,MATCH($J99,'Lower Hot Cell Logistics'!$H$13:$H$19,0),MATCH($K99,'Lower Hot Cell Logistics'!$H$13:$H$19,0)),"N/A")</f>
        <v>20</v>
      </c>
      <c r="M99" s="2222">
        <f>IFERROR(VLOOKUP($I99,'Lower Hot Cell Logistics'!$H$4:$I$8,2,FALSE),"N/A")</f>
        <v>0.2</v>
      </c>
      <c r="N99" s="580">
        <f t="shared" si="10"/>
        <v>2.7777777777777776E-2</v>
      </c>
      <c r="O99" s="631"/>
      <c r="P99" s="632" t="str">
        <f>IF($D99="Logistics",VLOOKUP($O99,'Lower Hot Cell Logistics'!$C$4:$D$69,2,FALSE),"N/A")</f>
        <v>N/A</v>
      </c>
      <c r="R99"/>
      <c r="S99"/>
    </row>
    <row r="100" spans="2:19" s="89" customFormat="1" x14ac:dyDescent="0.4">
      <c r="B100" s="3786"/>
      <c r="C100" s="572" t="s">
        <v>2180</v>
      </c>
      <c r="D100" s="572" t="s">
        <v>3</v>
      </c>
      <c r="E100" s="578">
        <f t="shared" si="1"/>
        <v>0.68</v>
      </c>
      <c r="F100" s="578">
        <f>IF($D100="Trigger",VLOOKUP($C100,'Lower Hot Cell Critical Path'!$C$6:$F$384,4,FALSE),E100+F99)</f>
        <v>132.67346975852752</v>
      </c>
      <c r="G100" s="575"/>
      <c r="H100" s="576" t="s">
        <v>263</v>
      </c>
      <c r="I100" s="1281"/>
      <c r="J100" s="572"/>
      <c r="K100" s="572"/>
      <c r="L100" s="853" t="str">
        <f>IFERROR(INDEX('Lower Hot Cell Logistics'!$I$13:$O$19,MATCH($J100,'Lower Hot Cell Logistics'!$H$13:$H$19,0),MATCH($K100,'Lower Hot Cell Logistics'!$H$13:$H$19,0)),"N/A")</f>
        <v>N/A</v>
      </c>
      <c r="M100" s="853" t="str">
        <f>IFERROR(VLOOKUP($I100,'Lower Hot Cell Logistics'!$H$4:$I$8,2,FALSE),"N/A")</f>
        <v>N/A</v>
      </c>
      <c r="N100" s="1180" t="str">
        <f t="shared" si="10"/>
        <v>N/A</v>
      </c>
      <c r="O100" s="579" t="s">
        <v>2148</v>
      </c>
      <c r="P100" s="580">
        <f>IF($D100="Logistics",VLOOKUP($O100,'Lower Hot Cell Logistics'!$C$4:$D$69,2,FALSE),"N/A")</f>
        <v>0.68</v>
      </c>
      <c r="R100"/>
      <c r="S100"/>
    </row>
    <row r="101" spans="2:19" s="89" customFormat="1" x14ac:dyDescent="0.4">
      <c r="B101" s="3786"/>
      <c r="C101" s="1275" t="s">
        <v>2145</v>
      </c>
      <c r="D101" s="572" t="s">
        <v>778</v>
      </c>
      <c r="E101" s="578">
        <f t="shared" si="1"/>
        <v>9.2592592592592601E-2</v>
      </c>
      <c r="F101" s="578">
        <f>IF($D101="Trigger",VLOOKUP($C101,'Lower Hot Cell Critical Path'!$C$6:$F$384,4,FALSE),E101+F100)</f>
        <v>132.7660623511201</v>
      </c>
      <c r="G101" s="872"/>
      <c r="H101" s="2221" t="s">
        <v>263</v>
      </c>
      <c r="I101" s="1281" t="s">
        <v>2142</v>
      </c>
      <c r="J101" s="572" t="s">
        <v>799</v>
      </c>
      <c r="K101" s="572" t="s">
        <v>831</v>
      </c>
      <c r="L101" s="1176">
        <f>IFERROR(INDEX('Lower Hot Cell Logistics'!$I$13:$O$19,MATCH($J101,'Lower Hot Cell Logistics'!$H$13:$H$19,0),MATCH($K101,'Lower Hot Cell Logistics'!$H$13:$H$19,0)),"N/A")</f>
        <v>20</v>
      </c>
      <c r="M101" s="2222">
        <f>IFERROR(VLOOKUP($I101,'Lower Hot Cell Logistics'!$H$4:$I$8,2,FALSE),"N/A")</f>
        <v>0.06</v>
      </c>
      <c r="N101" s="580">
        <f t="shared" si="10"/>
        <v>9.2592592592592601E-2</v>
      </c>
      <c r="O101" s="631"/>
      <c r="P101" s="632" t="str">
        <f>IF($D101="Logistics",VLOOKUP($O101,'Lower Hot Cell Logistics'!$C$4:$D$69,2,FALSE),"N/A")</f>
        <v>N/A</v>
      </c>
      <c r="R101"/>
      <c r="S101"/>
    </row>
    <row r="102" spans="2:19" s="89" customFormat="1" x14ac:dyDescent="0.4">
      <c r="B102" s="3786"/>
      <c r="C102" s="572" t="s">
        <v>2181</v>
      </c>
      <c r="D102" s="572" t="s">
        <v>3</v>
      </c>
      <c r="E102" s="578">
        <f t="shared" si="1"/>
        <v>0.68</v>
      </c>
      <c r="F102" s="578">
        <f>IF($D102="Trigger",VLOOKUP($C102,'Lower Hot Cell Critical Path'!$C$6:$F$384,4,FALSE),E102+F101)</f>
        <v>133.4460623511201</v>
      </c>
      <c r="G102" s="575"/>
      <c r="H102" s="576" t="s">
        <v>263</v>
      </c>
      <c r="I102" s="1281"/>
      <c r="J102" s="572"/>
      <c r="K102" s="572"/>
      <c r="L102" s="853" t="str">
        <f>IFERROR(INDEX('Lower Hot Cell Logistics'!$I$13:$O$19,MATCH($J102,'Lower Hot Cell Logistics'!$H$13:$H$19,0),MATCH($K102,'Lower Hot Cell Logistics'!$H$13:$H$19,0)),"N/A")</f>
        <v>N/A</v>
      </c>
      <c r="M102" s="853" t="str">
        <f>IFERROR(VLOOKUP($I102,'Lower Hot Cell Logistics'!$H$4:$I$8,2,FALSE),"N/A")</f>
        <v>N/A</v>
      </c>
      <c r="N102" s="1180" t="str">
        <f t="shared" si="10"/>
        <v>N/A</v>
      </c>
      <c r="O102" s="579" t="s">
        <v>2148</v>
      </c>
      <c r="P102" s="580">
        <f>IF($D102="Logistics",VLOOKUP($O102,'Lower Hot Cell Logistics'!$C$4:$D$69,2,FALSE),"N/A")</f>
        <v>0.68</v>
      </c>
      <c r="R102"/>
      <c r="S102"/>
    </row>
    <row r="103" spans="2:19" s="89" customFormat="1" x14ac:dyDescent="0.4">
      <c r="B103" s="3786"/>
      <c r="C103" s="572" t="s">
        <v>2182</v>
      </c>
      <c r="D103" s="572" t="s">
        <v>778</v>
      </c>
      <c r="E103" s="578">
        <f t="shared" si="1"/>
        <v>0.69444444444444442</v>
      </c>
      <c r="F103" s="578">
        <f>IF($D103="Trigger",VLOOKUP($C103,'Lower Hot Cell Critical Path'!$C$6:$F$384,4,FALSE),E103+F102)</f>
        <v>134.14050679556456</v>
      </c>
      <c r="G103" s="575"/>
      <c r="H103" s="576" t="s">
        <v>263</v>
      </c>
      <c r="I103" s="1281" t="s">
        <v>1826</v>
      </c>
      <c r="J103" s="572" t="s">
        <v>799</v>
      </c>
      <c r="K103" s="572" t="s">
        <v>451</v>
      </c>
      <c r="L103" s="853">
        <f>IFERROR(INDEX('Lower Hot Cell Logistics'!$I$13:$O$19,MATCH($J103,'Lower Hot Cell Logistics'!$H$13:$H$19,0),MATCH($K103,'Lower Hot Cell Logistics'!$H$13:$H$19,0)),"N/A")</f>
        <v>50</v>
      </c>
      <c r="M103" s="853">
        <f>IFERROR(VLOOKUP($I103,'Lower Hot Cell Logistics'!$H$4:$I$8,2,FALSE),"N/A")</f>
        <v>0.02</v>
      </c>
      <c r="N103" s="1180">
        <f t="shared" si="10"/>
        <v>0.69444444444444442</v>
      </c>
      <c r="O103" s="579"/>
      <c r="P103" s="580" t="str">
        <f>IF($D103="Logistics",VLOOKUP($O103,'Lower Hot Cell Logistics'!$C$4:$D$69,2,FALSE),"N/A")</f>
        <v>N/A</v>
      </c>
      <c r="R103"/>
      <c r="S103"/>
    </row>
    <row r="104" spans="2:19" s="89" customFormat="1" ht="39.450000000000003" thickBot="1" x14ac:dyDescent="0.45">
      <c r="B104" s="3788"/>
      <c r="C104" s="583" t="str">
        <f>B96</f>
        <v>Left Divertor Cassette Stored; Cassette Handling system Stored; Blanket Pipe Module Interface hardware Prepared; Blanket Pipe Module Interface hardware moved to Lower Port</v>
      </c>
      <c r="D104" s="583" t="s">
        <v>11</v>
      </c>
      <c r="E104" s="585">
        <f t="shared" si="1"/>
        <v>0</v>
      </c>
      <c r="F104" s="585">
        <f>IF($D104="Trigger",VLOOKUP($C104,'Lower Hot Cell Critical Path'!$C$6:$F$384,4,FALSE),E104+F103)</f>
        <v>134.14050679556456</v>
      </c>
      <c r="G104" s="586"/>
      <c r="H104" s="587" t="s">
        <v>263</v>
      </c>
      <c r="I104" s="1720"/>
      <c r="J104" s="583"/>
      <c r="K104" s="583"/>
      <c r="L104" s="814" t="str">
        <f>IFERROR(INDEX('Lower Hot Cell Logistics'!$I$13:$O$19,MATCH($J104,'Lower Hot Cell Logistics'!$H$13:$H$19,0),MATCH($K104,'Lower Hot Cell Logistics'!$H$13:$H$19,0)),"N/A")</f>
        <v>N/A</v>
      </c>
      <c r="M104" s="814" t="str">
        <f>IFERROR(VLOOKUP($I104,'Lower Hot Cell Logistics'!$H$4:$I$8,2,FALSE),"N/A")</f>
        <v>N/A</v>
      </c>
      <c r="N104" s="1181" t="str">
        <f t="shared" si="10"/>
        <v>N/A</v>
      </c>
      <c r="O104" s="590"/>
      <c r="P104" s="591" t="str">
        <f>IF($D104="Logistics",VLOOKUP($O104,'Lower Hot Cell Logistics'!$C$4:$D$69,2,FALSE),"N/A")</f>
        <v>N/A</v>
      </c>
      <c r="R104"/>
      <c r="S104"/>
    </row>
    <row r="105" spans="2:19" s="89" customFormat="1" x14ac:dyDescent="0.4">
      <c r="B105" s="3814" t="s">
        <v>2045</v>
      </c>
      <c r="C105" s="1324" t="s">
        <v>2183</v>
      </c>
      <c r="D105" s="1324" t="s">
        <v>907</v>
      </c>
      <c r="E105" s="1291">
        <f t="shared" si="1"/>
        <v>0</v>
      </c>
      <c r="F105" s="1291">
        <f>IF($D105="Trigger",VLOOKUP($C105,'Lower Hot Cell Critical Path'!$C$6:$F$384,4,FALSE),E105+F104)</f>
        <v>133.36791420297197</v>
      </c>
      <c r="G105" s="825"/>
      <c r="H105" s="1323" t="s">
        <v>263</v>
      </c>
      <c r="I105" s="1721"/>
      <c r="J105" s="1324"/>
      <c r="K105" s="1324"/>
      <c r="L105" s="828" t="str">
        <f>IFERROR(INDEX('Lower Hot Cell Logistics'!$I$13:$O$19,MATCH($J105,'Lower Hot Cell Logistics'!$H$13:$H$19,0),MATCH($K105,'Lower Hot Cell Logistics'!$H$13:$H$19,0)),"N/A")</f>
        <v>N/A</v>
      </c>
      <c r="M105" s="828" t="str">
        <f>IFERROR(VLOOKUP($I105,'Lower Hot Cell Logistics'!$H$4:$I$8,2,FALSE),"N/A")</f>
        <v>N/A</v>
      </c>
      <c r="N105" s="2200" t="str">
        <f t="shared" si="10"/>
        <v>N/A</v>
      </c>
      <c r="O105" s="1327"/>
      <c r="P105" s="824" t="str">
        <f>IF($D105="Logistics",VLOOKUP($O105,'Lower Hot Cell Logistics'!$C$4:$D$69,2,FALSE),"N/A")</f>
        <v>N/A</v>
      </c>
      <c r="R105"/>
      <c r="S105"/>
    </row>
    <row r="106" spans="2:19" s="89" customFormat="1" x14ac:dyDescent="0.4">
      <c r="B106" s="3815"/>
      <c r="C106" s="1362" t="s">
        <v>2141</v>
      </c>
      <c r="D106" s="1294" t="s">
        <v>778</v>
      </c>
      <c r="E106" s="1330">
        <f t="shared" si="1"/>
        <v>0.23148148148148148</v>
      </c>
      <c r="F106" s="1330">
        <f>IF($D106="Trigger",VLOOKUP($C106,'Lower Hot Cell Critical Path'!$C$6:$F$384,4,FALSE),E106+F105)</f>
        <v>133.59939568445347</v>
      </c>
      <c r="G106" s="1722"/>
      <c r="H106" s="2219" t="s">
        <v>263</v>
      </c>
      <c r="I106" s="1724" t="s">
        <v>2142</v>
      </c>
      <c r="J106" s="1294" t="s">
        <v>451</v>
      </c>
      <c r="K106" s="1294" t="s">
        <v>914</v>
      </c>
      <c r="L106" s="2042">
        <f>IFERROR(INDEX('Lower Hot Cell Logistics'!$I$13:$O$19,MATCH($J106,'Lower Hot Cell Logistics'!$H$13:$H$19,0),MATCH($K106,'Lower Hot Cell Logistics'!$H$13:$H$19,0)),"N/A")</f>
        <v>50</v>
      </c>
      <c r="M106" s="2220">
        <f>IFERROR(VLOOKUP($I106,'Lower Hot Cell Logistics'!$H$4:$I$8,2,FALSE),"N/A")</f>
        <v>0.06</v>
      </c>
      <c r="N106" s="1332">
        <f t="shared" si="10"/>
        <v>0.23148148148148148</v>
      </c>
      <c r="O106" s="1352"/>
      <c r="P106" s="1353" t="str">
        <f>IF($D106="Logistics",VLOOKUP($O106,'Lower Hot Cell Logistics'!$C$4:$D$69,2,FALSE),"N/A")</f>
        <v>N/A</v>
      </c>
      <c r="R106"/>
      <c r="S106"/>
    </row>
    <row r="107" spans="2:19" s="89" customFormat="1" x14ac:dyDescent="0.4">
      <c r="B107" s="3815"/>
      <c r="C107" s="1362" t="s">
        <v>2184</v>
      </c>
      <c r="D107" s="1294" t="s">
        <v>3</v>
      </c>
      <c r="E107" s="1330">
        <f t="shared" si="1"/>
        <v>0.88000000000000012</v>
      </c>
      <c r="F107" s="1330">
        <f>IF($D107="Trigger",VLOOKUP($C107,'Lower Hot Cell Critical Path'!$C$6:$F$384,4,FALSE),E107+F106)</f>
        <v>134.47939568445346</v>
      </c>
      <c r="G107" s="1722"/>
      <c r="H107" s="2219" t="s">
        <v>263</v>
      </c>
      <c r="I107" s="1724"/>
      <c r="J107" s="1294"/>
      <c r="K107" s="1294"/>
      <c r="L107" s="2042" t="str">
        <f>IFERROR(INDEX('Lower Hot Cell Logistics'!$I$13:$O$19,MATCH($J107,'Lower Hot Cell Logistics'!$H$13:$H$19,0),MATCH($K107,'Lower Hot Cell Logistics'!$H$13:$H$19,0)),"N/A")</f>
        <v>N/A</v>
      </c>
      <c r="M107" s="2220" t="str">
        <f>IFERROR(VLOOKUP($I107,'Lower Hot Cell Logistics'!$H$4:$I$8,2,FALSE),"N/A")</f>
        <v>N/A</v>
      </c>
      <c r="N107" s="1332" t="str">
        <f t="shared" si="10"/>
        <v>N/A</v>
      </c>
      <c r="O107" s="1352" t="s">
        <v>2168</v>
      </c>
      <c r="P107" s="1353">
        <f>IF($D107="Logistics",VLOOKUP($O107,'Lower Hot Cell Logistics'!$C$4:$D$69,2,FALSE),"N/A")</f>
        <v>0.88000000000000012</v>
      </c>
      <c r="R107"/>
      <c r="S107"/>
    </row>
    <row r="108" spans="2:19" s="89" customFormat="1" x14ac:dyDescent="0.4">
      <c r="B108" s="3815"/>
      <c r="C108" s="1362" t="s">
        <v>2145</v>
      </c>
      <c r="D108" s="1294" t="s">
        <v>778</v>
      </c>
      <c r="E108" s="1330">
        <f t="shared" si="1"/>
        <v>2.7777777777777776E-2</v>
      </c>
      <c r="F108" s="1330">
        <f>IF($D108="Trigger",VLOOKUP($C108,'Lower Hot Cell Critical Path'!$C$6:$F$384,4,FALSE),E108+F107)</f>
        <v>134.50717346223124</v>
      </c>
      <c r="G108" s="1722"/>
      <c r="H108" s="2219" t="s">
        <v>263</v>
      </c>
      <c r="I108" s="1724" t="s">
        <v>2146</v>
      </c>
      <c r="J108" s="1294" t="s">
        <v>914</v>
      </c>
      <c r="K108" s="1294" t="s">
        <v>799</v>
      </c>
      <c r="L108" s="2042">
        <f>IFERROR(INDEX('Lower Hot Cell Logistics'!$I$13:$O$19,MATCH($J108,'Lower Hot Cell Logistics'!$H$13:$H$19,0),MATCH($K108,'Lower Hot Cell Logistics'!$H$13:$H$19,0)),"N/A")</f>
        <v>20</v>
      </c>
      <c r="M108" s="2220">
        <f>IFERROR(VLOOKUP($I108,'Lower Hot Cell Logistics'!$H$4:$I$8,2,FALSE),"N/A")</f>
        <v>0.2</v>
      </c>
      <c r="N108" s="1332">
        <f t="shared" si="10"/>
        <v>2.7777777777777776E-2</v>
      </c>
      <c r="O108" s="1352"/>
      <c r="P108" s="1353" t="str">
        <f>IF($D108="Logistics",VLOOKUP($O108,'Lower Hot Cell Logistics'!$C$4:$D$69,2,FALSE),"N/A")</f>
        <v>N/A</v>
      </c>
      <c r="R108"/>
      <c r="S108"/>
    </row>
    <row r="109" spans="2:19" s="89" customFormat="1" x14ac:dyDescent="0.4">
      <c r="B109" s="3815"/>
      <c r="C109" s="1294" t="s">
        <v>2185</v>
      </c>
      <c r="D109" s="1294" t="s">
        <v>3</v>
      </c>
      <c r="E109" s="1330">
        <f t="shared" si="1"/>
        <v>0.68</v>
      </c>
      <c r="F109" s="1330">
        <f>IF($D109="Trigger",VLOOKUP($C109,'Lower Hot Cell Critical Path'!$C$6:$F$384,4,FALSE),E109+F108)</f>
        <v>135.18717346223124</v>
      </c>
      <c r="G109" s="862"/>
      <c r="H109" s="2219" t="s">
        <v>263</v>
      </c>
      <c r="I109" s="1724"/>
      <c r="J109" s="1294"/>
      <c r="K109" s="1294"/>
      <c r="L109" s="2042" t="str">
        <f>IFERROR(INDEX('Lower Hot Cell Logistics'!$I$13:$O$19,MATCH($J109,'Lower Hot Cell Logistics'!$H$13:$H$19,0),MATCH($K109,'Lower Hot Cell Logistics'!$H$13:$H$19,0)),"N/A")</f>
        <v>N/A</v>
      </c>
      <c r="M109" s="2220" t="str">
        <f>IFERROR(VLOOKUP($I109,'Lower Hot Cell Logistics'!$H$4:$I$8,2,FALSE),"N/A")</f>
        <v>N/A</v>
      </c>
      <c r="N109" s="1332" t="str">
        <f t="shared" si="10"/>
        <v>N/A</v>
      </c>
      <c r="O109" s="1331" t="s">
        <v>2148</v>
      </c>
      <c r="P109" s="1353">
        <f>IF($D109="Logistics",VLOOKUP($O109,'Lower Hot Cell Logistics'!$C$4:$D$69,2,FALSE),"N/A")</f>
        <v>0.68</v>
      </c>
      <c r="R109"/>
      <c r="S109"/>
    </row>
    <row r="110" spans="2:19" s="89" customFormat="1" x14ac:dyDescent="0.4">
      <c r="B110" s="3815"/>
      <c r="C110" s="1294" t="s">
        <v>2186</v>
      </c>
      <c r="D110" s="1294" t="s">
        <v>778</v>
      </c>
      <c r="E110" s="1330">
        <f t="shared" si="1"/>
        <v>0.69444444444444442</v>
      </c>
      <c r="F110" s="1330">
        <f>IF($D110="Trigger",VLOOKUP($C110,'Lower Hot Cell Critical Path'!$C$6:$F$384,4,FALSE),E110+F109)</f>
        <v>135.8816179066757</v>
      </c>
      <c r="G110" s="862"/>
      <c r="H110" s="2219" t="s">
        <v>263</v>
      </c>
      <c r="I110" s="1724" t="s">
        <v>1826</v>
      </c>
      <c r="J110" s="1294" t="s">
        <v>799</v>
      </c>
      <c r="K110" s="1294" t="s">
        <v>451</v>
      </c>
      <c r="L110" s="2042">
        <f>IFERROR(INDEX('Lower Hot Cell Logistics'!$I$13:$O$19,MATCH($J110,'Lower Hot Cell Logistics'!$H$13:$H$19,0),MATCH($K110,'Lower Hot Cell Logistics'!$H$13:$H$19,0)),"N/A")</f>
        <v>50</v>
      </c>
      <c r="M110" s="2220">
        <f>IFERROR(VLOOKUP($I110,'Lower Hot Cell Logistics'!$H$4:$I$8,2,FALSE),"N/A")</f>
        <v>0.02</v>
      </c>
      <c r="N110" s="1332">
        <f t="shared" si="10"/>
        <v>0.69444444444444442</v>
      </c>
      <c r="O110" s="1331"/>
      <c r="P110" s="1353" t="str">
        <f>IF($D110="Logistics",VLOOKUP($O110,'Lower Hot Cell Logistics'!$C$4:$D$69,2,FALSE),"N/A")</f>
        <v>N/A</v>
      </c>
      <c r="R110"/>
      <c r="S110"/>
    </row>
    <row r="111" spans="2:19" s="89" customFormat="1" ht="39.450000000000003" thickBot="1" x14ac:dyDescent="0.45">
      <c r="B111" s="3816"/>
      <c r="C111" s="1340" t="str">
        <f>B105</f>
        <v>Right Divertor Cassette Stored; Cassette Transport Cask Stored; Blanket Pipe Module Interface hardware Prepared; Blanket Pipe Module Interface hardware moved to Lower Port</v>
      </c>
      <c r="D111" s="1340" t="s">
        <v>11</v>
      </c>
      <c r="E111" s="1295">
        <f t="shared" si="1"/>
        <v>0</v>
      </c>
      <c r="F111" s="1295">
        <f>IF($D111="Trigger",VLOOKUP($C111,'Lower Hot Cell Critical Path'!$C$6:$F$384,4,FALSE),E111+F110)</f>
        <v>135.8816179066757</v>
      </c>
      <c r="G111" s="839"/>
      <c r="H111" s="1341" t="s">
        <v>263</v>
      </c>
      <c r="I111" s="1727"/>
      <c r="J111" s="1340"/>
      <c r="K111" s="1340"/>
      <c r="L111" s="842" t="str">
        <f>IFERROR(INDEX('Lower Hot Cell Logistics'!$I$13:$O$19,MATCH($J111,'Lower Hot Cell Logistics'!$H$13:$H$19,0),MATCH($K111,'Lower Hot Cell Logistics'!$H$13:$H$19,0)),"N/A")</f>
        <v>N/A</v>
      </c>
      <c r="M111" s="842" t="str">
        <f>IFERROR(VLOOKUP($I111,'Lower Hot Cell Logistics'!$H$4:$I$8,2,FALSE),"N/A")</f>
        <v>N/A</v>
      </c>
      <c r="N111" s="2199" t="str">
        <f t="shared" si="10"/>
        <v>N/A</v>
      </c>
      <c r="O111" s="1344"/>
      <c r="P111" s="1345" t="str">
        <f>IF($D111="Logistics",VLOOKUP($O111,'Lower Hot Cell Logistics'!$C$4:$D$69,2,FALSE),"N/A")</f>
        <v>N/A</v>
      </c>
      <c r="R111"/>
      <c r="S111"/>
    </row>
    <row r="112" spans="2:19" s="89" customFormat="1" ht="15" customHeight="1" x14ac:dyDescent="0.4">
      <c r="B112" s="3787" t="s">
        <v>2187</v>
      </c>
      <c r="C112" s="617" t="s">
        <v>2030</v>
      </c>
      <c r="D112" s="617" t="s">
        <v>907</v>
      </c>
      <c r="E112" s="567">
        <f t="shared" si="1"/>
        <v>0</v>
      </c>
      <c r="F112" s="567">
        <f>IF($D112="Trigger",VLOOKUP($C112,'Lower Hot Cell Critical Path'!$C$6:$F$384,4,FALSE),E112+F111)</f>
        <v>116.0215472303839</v>
      </c>
      <c r="G112" s="568"/>
      <c r="H112" s="569" t="s">
        <v>263</v>
      </c>
      <c r="I112" s="1270"/>
      <c r="J112" s="617"/>
      <c r="K112" s="617"/>
      <c r="L112" s="570" t="str">
        <f>IFERROR(INDEX('Lower Hot Cell Logistics'!$I$13:$O$19,MATCH($J112,'Lower Hot Cell Logistics'!$H$13:$H$19,0),MATCH($K112,'Lower Hot Cell Logistics'!$H$13:$H$19,0)),"N/A")</f>
        <v>N/A</v>
      </c>
      <c r="M112" s="802" t="str">
        <f>IFERROR(VLOOKUP($I112,'Lower Hot Cell Logistics'!$H$4:$I$8,2,FALSE),"N/A")</f>
        <v>N/A</v>
      </c>
      <c r="N112" s="1182" t="str">
        <f t="shared" si="10"/>
        <v>N/A</v>
      </c>
      <c r="O112" s="620"/>
      <c r="P112" s="621" t="str">
        <f>IF($D112="Logistics",VLOOKUP($O112,'Lower Hot Cell Logistics'!$C$4:$D$69,2,FALSE),"N/A")</f>
        <v>N/A</v>
      </c>
      <c r="R112"/>
      <c r="S112"/>
    </row>
    <row r="113" spans="2:19" s="89" customFormat="1" ht="15" customHeight="1" x14ac:dyDescent="0.4">
      <c r="B113" s="3786"/>
      <c r="C113" s="1275" t="s">
        <v>2141</v>
      </c>
      <c r="D113" s="572" t="s">
        <v>778</v>
      </c>
      <c r="E113" s="578">
        <f t="shared" si="1"/>
        <v>0.23148148148148148</v>
      </c>
      <c r="F113" s="578">
        <f>IF($D113="Trigger",VLOOKUP($C113,'Lower Hot Cell Critical Path'!$C$6:$F$384,4,FALSE),E113+F112)</f>
        <v>116.25302871186538</v>
      </c>
      <c r="G113" s="872"/>
      <c r="H113" s="2221" t="s">
        <v>263</v>
      </c>
      <c r="I113" s="1281" t="s">
        <v>2142</v>
      </c>
      <c r="J113" s="572" t="s">
        <v>451</v>
      </c>
      <c r="K113" s="572" t="s">
        <v>2164</v>
      </c>
      <c r="L113" s="1176">
        <f>IFERROR(INDEX('Lower Hot Cell Logistics'!$I$13:$O$19,MATCH($J113,'Lower Hot Cell Logistics'!$H$13:$H$19,0),MATCH($K113,'Lower Hot Cell Logistics'!$H$13:$H$19,0)),"N/A")</f>
        <v>50</v>
      </c>
      <c r="M113" s="2222">
        <f>IFERROR(VLOOKUP($I113,'Lower Hot Cell Logistics'!$H$4:$I$8,2,FALSE),"N/A")</f>
        <v>0.06</v>
      </c>
      <c r="N113" s="580">
        <f t="shared" si="10"/>
        <v>0.23148148148148148</v>
      </c>
      <c r="O113" s="631"/>
      <c r="P113" s="632" t="str">
        <f>IF($D113="Logistics",VLOOKUP($O113,'Lower Hot Cell Logistics'!$C$4:$D$69,2,FALSE),"N/A")</f>
        <v>N/A</v>
      </c>
      <c r="R113"/>
      <c r="S113"/>
    </row>
    <row r="114" spans="2:19" s="89" customFormat="1" ht="15" customHeight="1" x14ac:dyDescent="0.4">
      <c r="B114" s="3786"/>
      <c r="C114" s="1275" t="s">
        <v>1757</v>
      </c>
      <c r="D114" s="572" t="s">
        <v>3</v>
      </c>
      <c r="E114" s="578">
        <f t="shared" si="1"/>
        <v>0.88000000000000012</v>
      </c>
      <c r="F114" s="578">
        <f>IF($D114="Trigger",VLOOKUP($C114,'Lower Hot Cell Critical Path'!$C$6:$F$384,4,FALSE),E114+F113)</f>
        <v>117.13302871186538</v>
      </c>
      <c r="G114" s="872"/>
      <c r="H114" s="2221" t="s">
        <v>263</v>
      </c>
      <c r="I114" s="1281"/>
      <c r="J114" s="572"/>
      <c r="K114" s="572"/>
      <c r="L114" s="1176" t="str">
        <f>IFERROR(INDEX('Lower Hot Cell Logistics'!$I$13:$O$19,MATCH($J114,'Lower Hot Cell Logistics'!$H$13:$H$19,0),MATCH($K114,'Lower Hot Cell Logistics'!$H$13:$H$19,0)),"N/A")</f>
        <v>N/A</v>
      </c>
      <c r="M114" s="2222" t="str">
        <f>IFERROR(VLOOKUP($I114,'Lower Hot Cell Logistics'!$H$4:$I$8,2,FALSE),"N/A")</f>
        <v>N/A</v>
      </c>
      <c r="N114" s="580" t="str">
        <f t="shared" si="10"/>
        <v>N/A</v>
      </c>
      <c r="O114" s="631" t="s">
        <v>2144</v>
      </c>
      <c r="P114" s="632">
        <f>IF($D114="Logistics",VLOOKUP($O114,'Lower Hot Cell Logistics'!$C$4:$D$69,2,FALSE),"N/A")</f>
        <v>0.88000000000000012</v>
      </c>
      <c r="R114"/>
      <c r="S114"/>
    </row>
    <row r="115" spans="2:19" s="89" customFormat="1" ht="15" customHeight="1" x14ac:dyDescent="0.4">
      <c r="B115" s="3786"/>
      <c r="C115" s="1275" t="s">
        <v>2145</v>
      </c>
      <c r="D115" s="572" t="s">
        <v>778</v>
      </c>
      <c r="E115" s="578">
        <f t="shared" ref="E115:E155" si="11">MAX($P115,$N115,$H115)</f>
        <v>2.7777777777777776E-2</v>
      </c>
      <c r="F115" s="578">
        <f>IF($D115="Trigger",VLOOKUP($C115,'Lower Hot Cell Critical Path'!$C$6:$F$384,4,FALSE),E115+F114)</f>
        <v>117.16080648964315</v>
      </c>
      <c r="G115" s="872"/>
      <c r="H115" s="2221" t="s">
        <v>263</v>
      </c>
      <c r="I115" s="1281" t="s">
        <v>2146</v>
      </c>
      <c r="J115" s="572" t="s">
        <v>831</v>
      </c>
      <c r="K115" s="572" t="s">
        <v>799</v>
      </c>
      <c r="L115" s="1176">
        <f>IFERROR(INDEX('Lower Hot Cell Logistics'!$I$13:$O$19,MATCH($J115,'Lower Hot Cell Logistics'!$H$13:$H$19,0),MATCH($K115,'Lower Hot Cell Logistics'!$H$13:$H$19,0)),"N/A")</f>
        <v>20</v>
      </c>
      <c r="M115" s="2222">
        <f>IFERROR(VLOOKUP($I115,'Lower Hot Cell Logistics'!$H$4:$I$8,2,FALSE),"N/A")</f>
        <v>0.2</v>
      </c>
      <c r="N115" s="580">
        <f t="shared" si="10"/>
        <v>2.7777777777777776E-2</v>
      </c>
      <c r="O115" s="631"/>
      <c r="P115" s="632" t="str">
        <f>IF($D115="Logistics",VLOOKUP($O115,'Lower Hot Cell Logistics'!$C$4:$D$69,2,FALSE),"N/A")</f>
        <v>N/A</v>
      </c>
      <c r="R115"/>
      <c r="S115"/>
    </row>
    <row r="116" spans="2:19" s="89" customFormat="1" x14ac:dyDescent="0.4">
      <c r="B116" s="3786"/>
      <c r="C116" s="572" t="s">
        <v>2188</v>
      </c>
      <c r="D116" s="572" t="s">
        <v>3</v>
      </c>
      <c r="E116" s="574">
        <f t="shared" si="11"/>
        <v>0.68</v>
      </c>
      <c r="F116" s="574">
        <f>IF($D116="Trigger",VLOOKUP($C116,'Lower Hot Cell Critical Path'!$C$6:$F$384,4,FALSE),E116+F115)</f>
        <v>117.84080648964316</v>
      </c>
      <c r="G116" s="575"/>
      <c r="H116" s="576" t="s">
        <v>263</v>
      </c>
      <c r="I116" s="1281"/>
      <c r="J116" s="572"/>
      <c r="K116" s="572"/>
      <c r="L116" s="853" t="str">
        <f>IFERROR(INDEX('Lower Hot Cell Logistics'!$I$13:$O$19,MATCH($J116,'Lower Hot Cell Logistics'!$H$13:$H$19,0),MATCH($K116,'Lower Hot Cell Logistics'!$H$13:$H$19,0)),"N/A")</f>
        <v>N/A</v>
      </c>
      <c r="M116" s="852" t="str">
        <f>IFERROR(VLOOKUP($I116,'Lower Hot Cell Logistics'!$H$4:$I$8,2,FALSE),"N/A")</f>
        <v>N/A</v>
      </c>
      <c r="N116" s="1180" t="str">
        <f t="shared" si="10"/>
        <v>N/A</v>
      </c>
      <c r="O116" s="579" t="s">
        <v>2148</v>
      </c>
      <c r="P116" s="580">
        <f>IF($D116="Logistics",VLOOKUP($O116,'Lower Hot Cell Logistics'!$C$4:$D$69,2,FALSE),"N/A")</f>
        <v>0.68</v>
      </c>
      <c r="R116"/>
      <c r="S116"/>
    </row>
    <row r="117" spans="2:19" s="89" customFormat="1" x14ac:dyDescent="0.4">
      <c r="B117" s="3786"/>
      <c r="C117" s="572" t="s">
        <v>2154</v>
      </c>
      <c r="D117" s="572" t="s">
        <v>778</v>
      </c>
      <c r="E117" s="574">
        <f t="shared" si="11"/>
        <v>0.69444444444444442</v>
      </c>
      <c r="F117" s="574">
        <f>IF($D117="Trigger",VLOOKUP($C117,'Lower Hot Cell Critical Path'!$C$6:$F$384,4,FALSE),E117+F116)</f>
        <v>118.5352509340876</v>
      </c>
      <c r="G117" s="575"/>
      <c r="H117" s="576" t="s">
        <v>263</v>
      </c>
      <c r="I117" s="1281" t="s">
        <v>1826</v>
      </c>
      <c r="J117" s="572" t="s">
        <v>799</v>
      </c>
      <c r="K117" s="572" t="s">
        <v>451</v>
      </c>
      <c r="L117" s="853">
        <f>IFERROR(INDEX('Lower Hot Cell Logistics'!$I$13:$O$19,MATCH($J117,'Lower Hot Cell Logistics'!$H$13:$H$19,0),MATCH($K117,'Lower Hot Cell Logistics'!$H$13:$H$19,0)),"N/A")</f>
        <v>50</v>
      </c>
      <c r="M117" s="853">
        <f>IFERROR(VLOOKUP($I117,'Lower Hot Cell Logistics'!$H$4:$I$8,2,FALSE),"N/A")</f>
        <v>0.02</v>
      </c>
      <c r="N117" s="1180">
        <f t="shared" si="10"/>
        <v>0.69444444444444442</v>
      </c>
      <c r="O117" s="579"/>
      <c r="P117" s="580" t="str">
        <f>IF($D117="Logistics",VLOOKUP($O117,'Lower Hot Cell Logistics'!$C$4:$D$69,2,FALSE),"N/A")</f>
        <v>N/A</v>
      </c>
      <c r="R117"/>
      <c r="S117"/>
    </row>
    <row r="118" spans="2:19" s="89" customFormat="1" ht="26.6" thickBot="1" x14ac:dyDescent="0.45">
      <c r="B118" s="3788"/>
      <c r="C118" s="583" t="str">
        <f>B112</f>
        <v>Divertor pipe module handling system stored; blanket pipework handling system collected; blanket pipework handling system moved to the port</v>
      </c>
      <c r="D118" s="583" t="s">
        <v>11</v>
      </c>
      <c r="E118" s="585">
        <f t="shared" si="11"/>
        <v>0</v>
      </c>
      <c r="F118" s="585">
        <f>IF($D118="Trigger",VLOOKUP($C118,'Lower Hot Cell Critical Path'!$C$6:$F$384,4,FALSE),E118+F117)</f>
        <v>118.5352509340876</v>
      </c>
      <c r="G118" s="586"/>
      <c r="H118" s="587" t="s">
        <v>263</v>
      </c>
      <c r="I118" s="1720"/>
      <c r="J118" s="583"/>
      <c r="K118" s="583"/>
      <c r="L118" s="814" t="str">
        <f>IFERROR(INDEX('Lower Hot Cell Logistics'!$I$13:$O$19,MATCH($J118,'Lower Hot Cell Logistics'!$H$13:$H$19,0),MATCH($K118,'Lower Hot Cell Logistics'!$H$13:$H$19,0)),"N/A")</f>
        <v>N/A</v>
      </c>
      <c r="M118" s="814" t="str">
        <f>IFERROR(VLOOKUP($I118,'Lower Hot Cell Logistics'!$H$4:$I$8,2,FALSE),"N/A")</f>
        <v>N/A</v>
      </c>
      <c r="N118" s="1181" t="str">
        <f t="shared" ref="N118:N148" si="12">IF(D118="Movement",IFERROR((L118/M118)/(60*60),"Error"),"N/A")</f>
        <v>N/A</v>
      </c>
      <c r="O118" s="590"/>
      <c r="P118" s="591" t="str">
        <f>IF($D118="Logistics",VLOOKUP($O118,'Lower Hot Cell Logistics'!$C$4:$D$69,2,FALSE),"N/A")</f>
        <v>N/A</v>
      </c>
      <c r="R118"/>
      <c r="S118"/>
    </row>
    <row r="119" spans="2:19" s="89" customFormat="1" ht="15" customHeight="1" x14ac:dyDescent="0.4">
      <c r="B119" s="3814" t="s">
        <v>2048</v>
      </c>
      <c r="C119" s="617" t="s">
        <v>2041</v>
      </c>
      <c r="D119" s="1324" t="s">
        <v>907</v>
      </c>
      <c r="E119" s="1291">
        <f t="shared" si="11"/>
        <v>0</v>
      </c>
      <c r="F119" s="1291">
        <f>IF($D119="Trigger",VLOOKUP($C119,'Lower Hot Cell Critical Path'!$C$6:$F$384,4,FALSE),E119+F118)</f>
        <v>140.93052659147784</v>
      </c>
      <c r="G119" s="825"/>
      <c r="H119" s="1323" t="s">
        <v>263</v>
      </c>
      <c r="I119" s="1721"/>
      <c r="J119" s="1324"/>
      <c r="K119" s="1324"/>
      <c r="L119" s="828" t="str">
        <f>IFERROR(INDEX('Lower Hot Cell Logistics'!$I$13:$O$19,MATCH($J119,'Lower Hot Cell Logistics'!$H$13:$H$19,0),MATCH($K119,'Lower Hot Cell Logistics'!$H$13:$H$19,0)),"N/A")</f>
        <v>N/A</v>
      </c>
      <c r="M119" s="827" t="str">
        <f>IFERROR(VLOOKUP($I119,'Lower Hot Cell Logistics'!$H$4:$I$8,2,FALSE),"N/A")</f>
        <v>N/A</v>
      </c>
      <c r="N119" s="2200" t="str">
        <f t="shared" si="12"/>
        <v>N/A</v>
      </c>
      <c r="O119" s="1327"/>
      <c r="P119" s="824" t="str">
        <f>IF($D119="Logistics",VLOOKUP($O119,'Lower Hot Cell Logistics'!$C$4:$D$69,2,FALSE),"N/A")</f>
        <v>N/A</v>
      </c>
      <c r="R119"/>
      <c r="S119"/>
    </row>
    <row r="120" spans="2:19" s="89" customFormat="1" ht="15" customHeight="1" x14ac:dyDescent="0.4">
      <c r="B120" s="3815"/>
      <c r="C120" s="1362" t="s">
        <v>2141</v>
      </c>
      <c r="D120" s="1294" t="s">
        <v>778</v>
      </c>
      <c r="E120" s="1330">
        <f t="shared" si="11"/>
        <v>0.69444444444444442</v>
      </c>
      <c r="F120" s="1330">
        <f>IF($D120="Trigger",VLOOKUP($C120,'Lower Hot Cell Critical Path'!$C$6:$F$384,4,FALSE),E120+F119)</f>
        <v>141.6249710359223</v>
      </c>
      <c r="G120" s="1722"/>
      <c r="H120" s="2219" t="s">
        <v>263</v>
      </c>
      <c r="I120" s="1724" t="s">
        <v>1826</v>
      </c>
      <c r="J120" s="1294" t="s">
        <v>451</v>
      </c>
      <c r="K120" s="1294" t="s">
        <v>831</v>
      </c>
      <c r="L120" s="2042">
        <f>IFERROR(INDEX('Lower Hot Cell Logistics'!$I$13:$O$19,MATCH($J120,'Lower Hot Cell Logistics'!$H$13:$H$19,0),MATCH($K120,'Lower Hot Cell Logistics'!$H$13:$H$19,0)),"N/A")</f>
        <v>50</v>
      </c>
      <c r="M120" s="2220">
        <f>IFERROR(VLOOKUP($I120,'Lower Hot Cell Logistics'!$H$4:$I$8,2,FALSE),"N/A")</f>
        <v>0.02</v>
      </c>
      <c r="N120" s="1332">
        <f t="shared" si="12"/>
        <v>0.69444444444444442</v>
      </c>
      <c r="O120" s="1352"/>
      <c r="P120" s="1353" t="str">
        <f>IF($D120="Logistics",VLOOKUP($O120,'Lower Hot Cell Logistics'!$C$4:$D$69,2,FALSE),"N/A")</f>
        <v>N/A</v>
      </c>
      <c r="R120"/>
      <c r="S120"/>
    </row>
    <row r="121" spans="2:19" s="89" customFormat="1" ht="15" customHeight="1" x14ac:dyDescent="0.4">
      <c r="B121" s="3815"/>
      <c r="C121" s="1362" t="s">
        <v>1757</v>
      </c>
      <c r="D121" s="1294" t="s">
        <v>3</v>
      </c>
      <c r="E121" s="1330">
        <f t="shared" si="11"/>
        <v>0.88000000000000012</v>
      </c>
      <c r="F121" s="1330">
        <f>IF($D121="Trigger",VLOOKUP($C121,'Lower Hot Cell Critical Path'!$C$6:$F$384,4,FALSE),E121+F120)</f>
        <v>142.5049710359223</v>
      </c>
      <c r="G121" s="1722"/>
      <c r="H121" s="2219" t="s">
        <v>263</v>
      </c>
      <c r="I121" s="1724"/>
      <c r="J121" s="1294"/>
      <c r="K121" s="1294"/>
      <c r="L121" s="2042" t="str">
        <f>IFERROR(INDEX('Lower Hot Cell Logistics'!$I$13:$O$19,MATCH($J121,'Lower Hot Cell Logistics'!$H$13:$H$19,0),MATCH($K121,'Lower Hot Cell Logistics'!$H$13:$H$19,0)),"N/A")</f>
        <v>N/A</v>
      </c>
      <c r="M121" s="2220" t="str">
        <f>IFERROR(VLOOKUP($I121,'Lower Hot Cell Logistics'!$H$4:$I$8,2,FALSE),"N/A")</f>
        <v>N/A</v>
      </c>
      <c r="N121" s="1332" t="str">
        <f t="shared" si="12"/>
        <v>N/A</v>
      </c>
      <c r="O121" s="1352" t="s">
        <v>2144</v>
      </c>
      <c r="P121" s="1353">
        <f>IF($D121="Logistics",VLOOKUP($O121,'Lower Hot Cell Logistics'!$C$4:$D$69,2,FALSE),"N/A")</f>
        <v>0.88000000000000012</v>
      </c>
      <c r="R121"/>
      <c r="S121"/>
    </row>
    <row r="122" spans="2:19" s="89" customFormat="1" x14ac:dyDescent="0.4">
      <c r="B122" s="3815"/>
      <c r="C122" s="1294" t="s">
        <v>2189</v>
      </c>
      <c r="D122" s="1294" t="s">
        <v>778</v>
      </c>
      <c r="E122" s="1292">
        <f t="shared" si="11"/>
        <v>0.23148148148148148</v>
      </c>
      <c r="F122" s="1292">
        <f>IF($D122="Trigger",VLOOKUP($C122,'Lower Hot Cell Critical Path'!$C$6:$F$384,4,FALSE),E122+F121)</f>
        <v>142.73645251740379</v>
      </c>
      <c r="G122" s="862"/>
      <c r="H122" s="1328" t="s">
        <v>263</v>
      </c>
      <c r="I122" s="1724" t="s">
        <v>2190</v>
      </c>
      <c r="J122" s="1294" t="s">
        <v>799</v>
      </c>
      <c r="K122" s="1294" t="s">
        <v>451</v>
      </c>
      <c r="L122" s="865">
        <f>IFERROR(INDEX('Lower Hot Cell Logistics'!$I$13:$O$19,MATCH($J122,'Lower Hot Cell Logistics'!$H$13:$H$19,0),MATCH($K122,'Lower Hot Cell Logistics'!$H$13:$H$19,0)),"N/A")</f>
        <v>50</v>
      </c>
      <c r="M122" s="865">
        <f>IFERROR(VLOOKUP($I122,'Lower Hot Cell Logistics'!$H$4:$I$8,2,FALSE),"N/A")</f>
        <v>0.06</v>
      </c>
      <c r="N122" s="2197">
        <f t="shared" si="12"/>
        <v>0.23148148148148148</v>
      </c>
      <c r="O122" s="1331"/>
      <c r="P122" s="1332" t="str">
        <f>IF($D122="Logistics",VLOOKUP($O122,'Lower Hot Cell Logistics'!$C$4:$D$69,2,FALSE),"N/A")</f>
        <v>N/A</v>
      </c>
      <c r="R122"/>
      <c r="S122"/>
    </row>
    <row r="123" spans="2:19" s="89" customFormat="1" ht="15" thickBot="1" x14ac:dyDescent="0.45">
      <c r="B123" s="3816"/>
      <c r="C123" s="1340" t="str">
        <f>B119</f>
        <v>COB pipe module stored;  Pipe Module handling System Moved to Lower Port</v>
      </c>
      <c r="D123" s="1340" t="s">
        <v>11</v>
      </c>
      <c r="E123" s="1295">
        <f t="shared" si="11"/>
        <v>0</v>
      </c>
      <c r="F123" s="1295">
        <f>IF($D123="Trigger",VLOOKUP($C123,'Lower Hot Cell Critical Path'!$C$6:$F$384,4,FALSE),E123+F122)</f>
        <v>142.73645251740379</v>
      </c>
      <c r="G123" s="839"/>
      <c r="H123" s="1341" t="s">
        <v>263</v>
      </c>
      <c r="I123" s="1727"/>
      <c r="J123" s="1340"/>
      <c r="K123" s="1340"/>
      <c r="L123" s="842" t="str">
        <f>IFERROR(INDEX('Lower Hot Cell Logistics'!$I$13:$O$19,MATCH($J123,'Lower Hot Cell Logistics'!$H$13:$H$19,0),MATCH($K123,'Lower Hot Cell Logistics'!$H$13:$H$19,0)),"N/A")</f>
        <v>N/A</v>
      </c>
      <c r="M123" s="842" t="str">
        <f>IFERROR(VLOOKUP($I123,'Lower Hot Cell Logistics'!$H$4:$I$8,2,FALSE),"N/A")</f>
        <v>N/A</v>
      </c>
      <c r="N123" s="2199" t="str">
        <f t="shared" si="12"/>
        <v>N/A</v>
      </c>
      <c r="O123" s="1344"/>
      <c r="P123" s="1345" t="str">
        <f>IF($D123="Logistics",VLOOKUP($O123,'Lower Hot Cell Logistics'!$C$4:$D$69,2,FALSE),"N/A")</f>
        <v>N/A</v>
      </c>
      <c r="R123"/>
      <c r="S123"/>
    </row>
    <row r="124" spans="2:19" s="89" customFormat="1" ht="15" customHeight="1" x14ac:dyDescent="0.4">
      <c r="B124" s="3787" t="s">
        <v>2052</v>
      </c>
      <c r="C124" s="617" t="s">
        <v>2044</v>
      </c>
      <c r="D124" s="617" t="s">
        <v>907</v>
      </c>
      <c r="E124" s="567">
        <f t="shared" si="11"/>
        <v>0</v>
      </c>
      <c r="F124" s="567">
        <f>IF($D124="Trigger",VLOOKUP($C124,'Lower Hot Cell Critical Path'!$C$6:$F$384,4,FALSE),E124+F123)</f>
        <v>151.88054638739112</v>
      </c>
      <c r="G124" s="568"/>
      <c r="H124" s="569" t="s">
        <v>263</v>
      </c>
      <c r="I124" s="1270"/>
      <c r="J124" s="617"/>
      <c r="K124" s="617"/>
      <c r="L124" s="570" t="str">
        <f>IFERROR(INDEX('Lower Hot Cell Logistics'!$I$13:$O$19,MATCH($J124,'Lower Hot Cell Logistics'!$H$13:$H$19,0),MATCH($K124,'Lower Hot Cell Logistics'!$H$13:$H$19,0)),"N/A")</f>
        <v>N/A</v>
      </c>
      <c r="M124" s="802" t="str">
        <f>IFERROR(VLOOKUP($I124,'Lower Hot Cell Logistics'!$H$4:$I$8,2,FALSE),"N/A")</f>
        <v>N/A</v>
      </c>
      <c r="N124" s="1182" t="str">
        <f t="shared" si="12"/>
        <v>N/A</v>
      </c>
      <c r="O124" s="620"/>
      <c r="P124" s="621" t="str">
        <f>IF($D124="Logistics",VLOOKUP($O124,'Lower Hot Cell Logistics'!$C$4:$D$69,2,FALSE),"N/A")</f>
        <v>N/A</v>
      </c>
      <c r="R124"/>
      <c r="S124"/>
    </row>
    <row r="125" spans="2:19" s="89" customFormat="1" ht="15" customHeight="1" x14ac:dyDescent="0.4">
      <c r="B125" s="3786"/>
      <c r="C125" s="1275" t="s">
        <v>2141</v>
      </c>
      <c r="D125" s="572" t="s">
        <v>778</v>
      </c>
      <c r="E125" s="578">
        <f t="shared" si="11"/>
        <v>0.69444444444444442</v>
      </c>
      <c r="F125" s="578">
        <f>IF($D125="Trigger",VLOOKUP($C125,'Lower Hot Cell Critical Path'!$C$6:$F$384,4,FALSE),E125+F124)</f>
        <v>152.57499083183558</v>
      </c>
      <c r="G125" s="872"/>
      <c r="H125" s="2221" t="s">
        <v>263</v>
      </c>
      <c r="I125" s="1281" t="s">
        <v>1826</v>
      </c>
      <c r="J125" s="572" t="s">
        <v>451</v>
      </c>
      <c r="K125" s="572" t="s">
        <v>831</v>
      </c>
      <c r="L125" s="1176">
        <f>IFERROR(INDEX('Lower Hot Cell Logistics'!$I$13:$O$19,MATCH($J125,'Lower Hot Cell Logistics'!$H$13:$H$19,0),MATCH($K125,'Lower Hot Cell Logistics'!$H$13:$H$19,0)),"N/A")</f>
        <v>50</v>
      </c>
      <c r="M125" s="2222">
        <f>IFERROR(VLOOKUP($I125,'Lower Hot Cell Logistics'!$H$4:$I$8,2,FALSE),"N/A")</f>
        <v>0.02</v>
      </c>
      <c r="N125" s="580">
        <f t="shared" si="12"/>
        <v>0.69444444444444442</v>
      </c>
      <c r="O125" s="631"/>
      <c r="P125" s="632" t="str">
        <f>IF($D125="Logistics",VLOOKUP($O125,'Lower Hot Cell Logistics'!$C$4:$D$69,2,FALSE),"N/A")</f>
        <v>N/A</v>
      </c>
      <c r="R125"/>
      <c r="S125"/>
    </row>
    <row r="126" spans="2:19" s="89" customFormat="1" ht="15" customHeight="1" x14ac:dyDescent="0.4">
      <c r="B126" s="3786"/>
      <c r="C126" s="1275" t="s">
        <v>1757</v>
      </c>
      <c r="D126" s="572" t="s">
        <v>3</v>
      </c>
      <c r="E126" s="578">
        <f t="shared" si="11"/>
        <v>0.88000000000000012</v>
      </c>
      <c r="F126" s="578">
        <f>IF($D126="Trigger",VLOOKUP($C126,'Lower Hot Cell Critical Path'!$C$6:$F$384,4,FALSE),E126+F125)</f>
        <v>153.45499083183557</v>
      </c>
      <c r="G126" s="872"/>
      <c r="H126" s="2221" t="s">
        <v>263</v>
      </c>
      <c r="I126" s="1281"/>
      <c r="J126" s="572"/>
      <c r="K126" s="572"/>
      <c r="L126" s="1176" t="str">
        <f>IFERROR(INDEX('Lower Hot Cell Logistics'!$I$13:$O$19,MATCH($J126,'Lower Hot Cell Logistics'!$H$13:$H$19,0),MATCH($K126,'Lower Hot Cell Logistics'!$H$13:$H$19,0)),"N/A")</f>
        <v>N/A</v>
      </c>
      <c r="M126" s="2222" t="str">
        <f>IFERROR(VLOOKUP($I126,'Lower Hot Cell Logistics'!$H$4:$I$8,2,FALSE),"N/A")</f>
        <v>N/A</v>
      </c>
      <c r="N126" s="580" t="str">
        <f t="shared" si="12"/>
        <v>N/A</v>
      </c>
      <c r="O126" s="631" t="s">
        <v>2144</v>
      </c>
      <c r="P126" s="632">
        <f>IF($D126="Logistics",VLOOKUP($O126,'Lower Hot Cell Logistics'!$C$4:$D$69,2,FALSE),"N/A")</f>
        <v>0.88000000000000012</v>
      </c>
      <c r="R126"/>
      <c r="S126"/>
    </row>
    <row r="127" spans="2:19" s="89" customFormat="1" x14ac:dyDescent="0.4">
      <c r="B127" s="3786"/>
      <c r="C127" s="572" t="s">
        <v>2189</v>
      </c>
      <c r="D127" s="572" t="s">
        <v>778</v>
      </c>
      <c r="E127" s="578">
        <f t="shared" si="11"/>
        <v>0.23148148148148148</v>
      </c>
      <c r="F127" s="578">
        <f>IF($D127="Trigger",VLOOKUP($C127,'Lower Hot Cell Critical Path'!$C$6:$F$384,4,FALSE),E127+F126)</f>
        <v>153.68647231331707</v>
      </c>
      <c r="G127" s="575"/>
      <c r="H127" s="576" t="s">
        <v>263</v>
      </c>
      <c r="I127" s="1281" t="s">
        <v>2190</v>
      </c>
      <c r="J127" s="572" t="s">
        <v>799</v>
      </c>
      <c r="K127" s="572" t="s">
        <v>451</v>
      </c>
      <c r="L127" s="853">
        <f>IFERROR(INDEX('Lower Hot Cell Logistics'!$I$13:$O$19,MATCH($J127,'Lower Hot Cell Logistics'!$H$13:$H$19,0),MATCH($K127,'Lower Hot Cell Logistics'!$H$13:$H$19,0)),"N/A")</f>
        <v>50</v>
      </c>
      <c r="M127" s="853">
        <f>IFERROR(VLOOKUP($I127,'Lower Hot Cell Logistics'!$H$4:$I$8,2,FALSE),"N/A")</f>
        <v>0.06</v>
      </c>
      <c r="N127" s="1180">
        <f t="shared" si="12"/>
        <v>0.23148148148148148</v>
      </c>
      <c r="O127" s="579"/>
      <c r="P127" s="580" t="str">
        <f>IF($D127="Logistics",VLOOKUP($O127,'Lower Hot Cell Logistics'!$C$4:$D$69,2,FALSE),"N/A")</f>
        <v>N/A</v>
      </c>
      <c r="R127"/>
      <c r="S127"/>
    </row>
    <row r="128" spans="2:19" s="89" customFormat="1" ht="15" thickBot="1" x14ac:dyDescent="0.45">
      <c r="B128" s="3788"/>
      <c r="C128" s="583" t="str">
        <f>B124</f>
        <v>LOB pipe module stored;  Pipe Module handling System Moved to Lower Port</v>
      </c>
      <c r="D128" s="583" t="s">
        <v>11</v>
      </c>
      <c r="E128" s="585">
        <f t="shared" si="11"/>
        <v>0</v>
      </c>
      <c r="F128" s="585">
        <f>IF($D128="Trigger",VLOOKUP($C128,'Lower Hot Cell Critical Path'!$C$6:$F$384,4,FALSE),E128+F127)</f>
        <v>153.68647231331707</v>
      </c>
      <c r="G128" s="586"/>
      <c r="H128" s="587" t="s">
        <v>263</v>
      </c>
      <c r="I128" s="1720"/>
      <c r="J128" s="583"/>
      <c r="K128" s="583"/>
      <c r="L128" s="814" t="str">
        <f>IFERROR(INDEX('Lower Hot Cell Logistics'!$I$13:$O$19,MATCH($J128,'Lower Hot Cell Logistics'!$H$13:$H$19,0),MATCH($K128,'Lower Hot Cell Logistics'!$H$13:$H$19,0)),"N/A")</f>
        <v>N/A</v>
      </c>
      <c r="M128" s="814" t="str">
        <f>IFERROR(VLOOKUP($I128,'Lower Hot Cell Logistics'!$H$4:$I$8,2,FALSE),"N/A")</f>
        <v>N/A</v>
      </c>
      <c r="N128" s="1181" t="str">
        <f t="shared" si="12"/>
        <v>N/A</v>
      </c>
      <c r="O128" s="590"/>
      <c r="P128" s="591" t="str">
        <f>IF($D128="Logistics",VLOOKUP($O128,'Lower Hot Cell Logistics'!$C$4:$D$69,2,FALSE),"N/A")</f>
        <v>N/A</v>
      </c>
      <c r="R128"/>
      <c r="S128"/>
    </row>
    <row r="129" spans="2:19" s="89" customFormat="1" ht="15" customHeight="1" x14ac:dyDescent="0.4">
      <c r="B129" s="3814" t="s">
        <v>2055</v>
      </c>
      <c r="C129" s="617" t="s">
        <v>2041</v>
      </c>
      <c r="D129" s="1324" t="s">
        <v>907</v>
      </c>
      <c r="E129" s="1291">
        <f t="shared" si="11"/>
        <v>0</v>
      </c>
      <c r="F129" s="1291">
        <f>IF($D129="Trigger",VLOOKUP($C129,'Lower Hot Cell Critical Path'!$C$6:$F$384,4,FALSE),E129+F128)</f>
        <v>140.93052659147784</v>
      </c>
      <c r="G129" s="825"/>
      <c r="H129" s="1323" t="s">
        <v>263</v>
      </c>
      <c r="I129" s="1721"/>
      <c r="J129" s="1324"/>
      <c r="K129" s="1324"/>
      <c r="L129" s="828" t="str">
        <f>IFERROR(INDEX('Lower Hot Cell Logistics'!$I$13:$O$19,MATCH($J129,'Lower Hot Cell Logistics'!$H$13:$H$19,0),MATCH($K129,'Lower Hot Cell Logistics'!$H$13:$H$19,0)),"N/A")</f>
        <v>N/A</v>
      </c>
      <c r="M129" s="827" t="str">
        <f>IFERROR(VLOOKUP($I129,'Lower Hot Cell Logistics'!$H$4:$I$8,2,FALSE),"N/A")</f>
        <v>N/A</v>
      </c>
      <c r="N129" s="2200" t="str">
        <f t="shared" si="12"/>
        <v>N/A</v>
      </c>
      <c r="O129" s="1327"/>
      <c r="P129" s="824" t="str">
        <f>IF($D129="Logistics",VLOOKUP($O129,'Lower Hot Cell Logistics'!$C$4:$D$69,2,FALSE),"N/A")</f>
        <v>N/A</v>
      </c>
      <c r="R129"/>
      <c r="S129"/>
    </row>
    <row r="130" spans="2:19" s="89" customFormat="1" ht="15" customHeight="1" x14ac:dyDescent="0.4">
      <c r="B130" s="3815"/>
      <c r="C130" s="1362" t="s">
        <v>2141</v>
      </c>
      <c r="D130" s="1294" t="s">
        <v>778</v>
      </c>
      <c r="E130" s="1330">
        <f t="shared" si="11"/>
        <v>0.69444444444444442</v>
      </c>
      <c r="F130" s="1330">
        <f>IF($D130="Trigger",VLOOKUP($C130,'Lower Hot Cell Critical Path'!$C$6:$F$384,4,FALSE),E130+F129)</f>
        <v>141.6249710359223</v>
      </c>
      <c r="G130" s="1722"/>
      <c r="H130" s="2219" t="s">
        <v>263</v>
      </c>
      <c r="I130" s="1724" t="s">
        <v>1826</v>
      </c>
      <c r="J130" s="1294" t="s">
        <v>451</v>
      </c>
      <c r="K130" s="1294" t="s">
        <v>831</v>
      </c>
      <c r="L130" s="2042">
        <f>IFERROR(INDEX('Lower Hot Cell Logistics'!$I$13:$O$19,MATCH($J130,'Lower Hot Cell Logistics'!$H$13:$H$19,0),MATCH($K130,'Lower Hot Cell Logistics'!$H$13:$H$19,0)),"N/A")</f>
        <v>50</v>
      </c>
      <c r="M130" s="2220">
        <f>IFERROR(VLOOKUP($I130,'Lower Hot Cell Logistics'!$H$4:$I$8,2,FALSE),"N/A")</f>
        <v>0.02</v>
      </c>
      <c r="N130" s="1332">
        <f t="shared" si="12"/>
        <v>0.69444444444444442</v>
      </c>
      <c r="O130" s="1352"/>
      <c r="P130" s="1353" t="str">
        <f>IF($D130="Logistics",VLOOKUP($O130,'Lower Hot Cell Logistics'!$C$4:$D$69,2,FALSE),"N/A")</f>
        <v>N/A</v>
      </c>
      <c r="R130"/>
      <c r="S130"/>
    </row>
    <row r="131" spans="2:19" s="89" customFormat="1" ht="15" customHeight="1" x14ac:dyDescent="0.4">
      <c r="B131" s="3815"/>
      <c r="C131" s="1362" t="s">
        <v>1757</v>
      </c>
      <c r="D131" s="1294" t="s">
        <v>3</v>
      </c>
      <c r="E131" s="1330">
        <f t="shared" si="11"/>
        <v>0.88000000000000012</v>
      </c>
      <c r="F131" s="1330">
        <f>IF($D131="Trigger",VLOOKUP($C131,'Lower Hot Cell Critical Path'!$C$6:$F$384,4,FALSE),E131+F130)</f>
        <v>142.5049710359223</v>
      </c>
      <c r="G131" s="1722"/>
      <c r="H131" s="2219" t="s">
        <v>263</v>
      </c>
      <c r="I131" s="1724"/>
      <c r="J131" s="1294"/>
      <c r="K131" s="1294"/>
      <c r="L131" s="2042" t="str">
        <f>IFERROR(INDEX('Lower Hot Cell Logistics'!$I$13:$O$19,MATCH($J131,'Lower Hot Cell Logistics'!$H$13:$H$19,0),MATCH($K131,'Lower Hot Cell Logistics'!$H$13:$H$19,0)),"N/A")</f>
        <v>N/A</v>
      </c>
      <c r="M131" s="2220" t="str">
        <f>IFERROR(VLOOKUP($I131,'Lower Hot Cell Logistics'!$H$4:$I$8,2,FALSE),"N/A")</f>
        <v>N/A</v>
      </c>
      <c r="N131" s="1332" t="str">
        <f t="shared" si="12"/>
        <v>N/A</v>
      </c>
      <c r="O131" s="1352" t="s">
        <v>2144</v>
      </c>
      <c r="P131" s="1353">
        <f>IF($D131="Logistics",VLOOKUP($O131,'Lower Hot Cell Logistics'!$C$4:$D$69,2,FALSE),"N/A")</f>
        <v>0.88000000000000012</v>
      </c>
      <c r="R131"/>
      <c r="S131"/>
    </row>
    <row r="132" spans="2:19" s="89" customFormat="1" x14ac:dyDescent="0.4">
      <c r="B132" s="3815"/>
      <c r="C132" s="1294" t="s">
        <v>2189</v>
      </c>
      <c r="D132" s="1294" t="s">
        <v>778</v>
      </c>
      <c r="E132" s="1292">
        <f t="shared" si="11"/>
        <v>0.23148148148148148</v>
      </c>
      <c r="F132" s="1292">
        <f>IF($D132="Trigger",VLOOKUP($C132,'Lower Hot Cell Critical Path'!$C$6:$F$384,4,FALSE),E132+F131)</f>
        <v>142.73645251740379</v>
      </c>
      <c r="G132" s="862"/>
      <c r="H132" s="1328" t="s">
        <v>263</v>
      </c>
      <c r="I132" s="1724" t="s">
        <v>2190</v>
      </c>
      <c r="J132" s="1294" t="s">
        <v>799</v>
      </c>
      <c r="K132" s="1294" t="s">
        <v>451</v>
      </c>
      <c r="L132" s="865">
        <f>IFERROR(INDEX('Lower Hot Cell Logistics'!$I$13:$O$19,MATCH($J132,'Lower Hot Cell Logistics'!$H$13:$H$19,0),MATCH($K132,'Lower Hot Cell Logistics'!$H$13:$H$19,0)),"N/A")</f>
        <v>50</v>
      </c>
      <c r="M132" s="865">
        <f>IFERROR(VLOOKUP($I132,'Lower Hot Cell Logistics'!$H$4:$I$8,2,FALSE),"N/A")</f>
        <v>0.06</v>
      </c>
      <c r="N132" s="2197">
        <f t="shared" si="12"/>
        <v>0.23148148148148148</v>
      </c>
      <c r="O132" s="1331"/>
      <c r="P132" s="1332" t="str">
        <f>IF($D132="Logistics",VLOOKUP($O132,'Lower Hot Cell Logistics'!$C$4:$D$69,2,FALSE),"N/A")</f>
        <v>N/A</v>
      </c>
      <c r="R132"/>
      <c r="S132"/>
    </row>
    <row r="133" spans="2:19" s="89" customFormat="1" ht="15" thickBot="1" x14ac:dyDescent="0.45">
      <c r="B133" s="3816"/>
      <c r="C133" s="1340" t="str">
        <f>B129</f>
        <v>ROB pipe module stored;  Pipe Module handling System Moved to Lower Port</v>
      </c>
      <c r="D133" s="1340" t="s">
        <v>11</v>
      </c>
      <c r="E133" s="1295">
        <f t="shared" si="11"/>
        <v>0</v>
      </c>
      <c r="F133" s="1295">
        <f>IF($D133="Trigger",VLOOKUP($C133,'Lower Hot Cell Critical Path'!$C$6:$F$384,4,FALSE),E133+F132)</f>
        <v>142.73645251740379</v>
      </c>
      <c r="G133" s="839"/>
      <c r="H133" s="1341" t="s">
        <v>263</v>
      </c>
      <c r="I133" s="1727"/>
      <c r="J133" s="1340"/>
      <c r="K133" s="1340"/>
      <c r="L133" s="842" t="str">
        <f>IFERROR(INDEX('Lower Hot Cell Logistics'!$I$13:$O$19,MATCH($J133,'Lower Hot Cell Logistics'!$H$13:$H$19,0),MATCH($K133,'Lower Hot Cell Logistics'!$H$13:$H$19,0)),"N/A")</f>
        <v>N/A</v>
      </c>
      <c r="M133" s="842" t="str">
        <f>IFERROR(VLOOKUP($I133,'Lower Hot Cell Logistics'!$H$4:$I$8,2,FALSE),"N/A")</f>
        <v>N/A</v>
      </c>
      <c r="N133" s="2199" t="str">
        <f t="shared" si="12"/>
        <v>N/A</v>
      </c>
      <c r="O133" s="1344"/>
      <c r="P133" s="1345" t="str">
        <f>IF($D133="Logistics",VLOOKUP($O133,'Lower Hot Cell Logistics'!$C$4:$D$69,2,FALSE),"N/A")</f>
        <v>N/A</v>
      </c>
      <c r="R133"/>
      <c r="S133"/>
    </row>
    <row r="134" spans="2:19" s="89" customFormat="1" ht="15" customHeight="1" x14ac:dyDescent="0.4">
      <c r="B134" s="3787" t="s">
        <v>2059</v>
      </c>
      <c r="C134" s="617" t="s">
        <v>2191</v>
      </c>
      <c r="D134" s="617" t="s">
        <v>907</v>
      </c>
      <c r="E134" s="567">
        <f t="shared" si="11"/>
        <v>0</v>
      </c>
      <c r="F134" s="567">
        <f>IF($D134="Trigger",VLOOKUP($C134,'Lower Hot Cell Critical Path'!$C$6:$F$384,4,FALSE),E134+F133)</f>
        <v>155.93058597921762</v>
      </c>
      <c r="G134" s="568"/>
      <c r="H134" s="569" t="s">
        <v>263</v>
      </c>
      <c r="I134" s="1270"/>
      <c r="J134" s="617"/>
      <c r="K134" s="617"/>
      <c r="L134" s="570" t="str">
        <f>IFERROR(INDEX('Lower Hot Cell Logistics'!$I$13:$O$19,MATCH($J134,'Lower Hot Cell Logistics'!$H$13:$H$19,0),MATCH($K134,'Lower Hot Cell Logistics'!$H$13:$H$19,0)),"N/A")</f>
        <v>N/A</v>
      </c>
      <c r="M134" s="802" t="str">
        <f>IFERROR(VLOOKUP($I134,'Lower Hot Cell Logistics'!$H$4:$I$8,2,FALSE),"N/A")</f>
        <v>N/A</v>
      </c>
      <c r="N134" s="1182" t="str">
        <f t="shared" si="12"/>
        <v>N/A</v>
      </c>
      <c r="O134" s="620"/>
      <c r="P134" s="621" t="str">
        <f>IF($D134="Logistics",VLOOKUP($O134,'Lower Hot Cell Logistics'!$C$4:$D$69,2,FALSE),"N/A")</f>
        <v>N/A</v>
      </c>
      <c r="R134"/>
      <c r="S134"/>
    </row>
    <row r="135" spans="2:19" s="89" customFormat="1" ht="15" customHeight="1" x14ac:dyDescent="0.4">
      <c r="B135" s="3786"/>
      <c r="C135" s="1275" t="s">
        <v>2141</v>
      </c>
      <c r="D135" s="572" t="s">
        <v>778</v>
      </c>
      <c r="E135" s="578">
        <f t="shared" si="11"/>
        <v>0.69444444444444442</v>
      </c>
      <c r="F135" s="578">
        <f>IF($D135="Trigger",VLOOKUP($C135,'Lower Hot Cell Critical Path'!$C$6:$F$384,4,FALSE),E135+F134)</f>
        <v>156.62503042366208</v>
      </c>
      <c r="G135" s="872"/>
      <c r="H135" s="2221" t="s">
        <v>263</v>
      </c>
      <c r="I135" s="1281" t="s">
        <v>1826</v>
      </c>
      <c r="J135" s="572" t="s">
        <v>451</v>
      </c>
      <c r="K135" s="572" t="s">
        <v>831</v>
      </c>
      <c r="L135" s="1176">
        <f>IFERROR(INDEX('Lower Hot Cell Logistics'!$I$13:$O$19,MATCH($J135,'Lower Hot Cell Logistics'!$H$13:$H$19,0),MATCH($K135,'Lower Hot Cell Logistics'!$H$13:$H$19,0)),"N/A")</f>
        <v>50</v>
      </c>
      <c r="M135" s="2222">
        <f>IFERROR(VLOOKUP($I135,'Lower Hot Cell Logistics'!$H$4:$I$8,2,FALSE),"N/A")</f>
        <v>0.02</v>
      </c>
      <c r="N135" s="580">
        <f t="shared" si="12"/>
        <v>0.69444444444444442</v>
      </c>
      <c r="O135" s="631"/>
      <c r="P135" s="632" t="str">
        <f>IF($D135="Logistics",VLOOKUP($O135,'Lower Hot Cell Logistics'!$C$4:$D$69,2,FALSE),"N/A")</f>
        <v>N/A</v>
      </c>
      <c r="R135"/>
      <c r="S135"/>
    </row>
    <row r="136" spans="2:19" s="89" customFormat="1" ht="15" customHeight="1" x14ac:dyDescent="0.4">
      <c r="B136" s="3786"/>
      <c r="C136" s="1275" t="s">
        <v>1757</v>
      </c>
      <c r="D136" s="572" t="s">
        <v>3</v>
      </c>
      <c r="E136" s="578">
        <f t="shared" si="11"/>
        <v>0.88000000000000012</v>
      </c>
      <c r="F136" s="578">
        <f>IF($D136="Trigger",VLOOKUP($C136,'Lower Hot Cell Critical Path'!$C$6:$F$384,4,FALSE),E136+F135)</f>
        <v>157.50503042366208</v>
      </c>
      <c r="G136" s="872"/>
      <c r="H136" s="2221" t="s">
        <v>263</v>
      </c>
      <c r="I136" s="1281"/>
      <c r="J136" s="572"/>
      <c r="K136" s="572"/>
      <c r="L136" s="1176" t="str">
        <f>IFERROR(INDEX('Lower Hot Cell Logistics'!$I$13:$O$19,MATCH($J136,'Lower Hot Cell Logistics'!$H$13:$H$19,0),MATCH($K136,'Lower Hot Cell Logistics'!$H$13:$H$19,0)),"N/A")</f>
        <v>N/A</v>
      </c>
      <c r="M136" s="2222" t="str">
        <f>IFERROR(VLOOKUP($I136,'Lower Hot Cell Logistics'!$H$4:$I$8,2,FALSE),"N/A")</f>
        <v>N/A</v>
      </c>
      <c r="N136" s="580" t="str">
        <f t="shared" si="12"/>
        <v>N/A</v>
      </c>
      <c r="O136" s="631" t="s">
        <v>2144</v>
      </c>
      <c r="P136" s="632">
        <f>IF($D136="Logistics",VLOOKUP($O136,'Lower Hot Cell Logistics'!$C$4:$D$69,2,FALSE),"N/A")</f>
        <v>0.88000000000000012</v>
      </c>
      <c r="R136"/>
      <c r="S136"/>
    </row>
    <row r="137" spans="2:19" s="89" customFormat="1" x14ac:dyDescent="0.4">
      <c r="B137" s="3786"/>
      <c r="C137" s="572" t="s">
        <v>2189</v>
      </c>
      <c r="D137" s="572" t="s">
        <v>778</v>
      </c>
      <c r="E137" s="578">
        <f t="shared" si="11"/>
        <v>0.23148148148148148</v>
      </c>
      <c r="F137" s="578">
        <f>IF($D137="Trigger",VLOOKUP($C137,'Lower Hot Cell Critical Path'!$C$6:$F$384,4,FALSE),E137+F136)</f>
        <v>157.73651190514357</v>
      </c>
      <c r="G137" s="575"/>
      <c r="H137" s="576" t="s">
        <v>263</v>
      </c>
      <c r="I137" s="1281" t="s">
        <v>2190</v>
      </c>
      <c r="J137" s="572" t="s">
        <v>799</v>
      </c>
      <c r="K137" s="572" t="s">
        <v>451</v>
      </c>
      <c r="L137" s="853">
        <f>IFERROR(INDEX('Lower Hot Cell Logistics'!$I$13:$O$19,MATCH($J137,'Lower Hot Cell Logistics'!$H$13:$H$19,0),MATCH($K137,'Lower Hot Cell Logistics'!$H$13:$H$19,0)),"N/A")</f>
        <v>50</v>
      </c>
      <c r="M137" s="853">
        <f>IFERROR(VLOOKUP($I137,'Lower Hot Cell Logistics'!$H$4:$I$8,2,FALSE),"N/A")</f>
        <v>0.06</v>
      </c>
      <c r="N137" s="1180">
        <f t="shared" si="12"/>
        <v>0.23148148148148148</v>
      </c>
      <c r="O137" s="579"/>
      <c r="P137" s="580" t="str">
        <f>IF($D137="Logistics",VLOOKUP($O137,'Lower Hot Cell Logistics'!$C$4:$D$69,2,FALSE),"N/A")</f>
        <v>N/A</v>
      </c>
      <c r="R137"/>
      <c r="S137"/>
    </row>
    <row r="138" spans="2:19" s="89" customFormat="1" ht="15" thickBot="1" x14ac:dyDescent="0.45">
      <c r="B138" s="3788"/>
      <c r="C138" s="583" t="str">
        <f>B134</f>
        <v>LIB pipe module stored;  Pipe Module handling System Moved to Lower Port</v>
      </c>
      <c r="D138" s="583" t="s">
        <v>11</v>
      </c>
      <c r="E138" s="585">
        <f t="shared" si="11"/>
        <v>0</v>
      </c>
      <c r="F138" s="585">
        <f>IF($D138="Trigger",VLOOKUP($C138,'Lower Hot Cell Critical Path'!$C$6:$F$384,4,FALSE),E138+F137)</f>
        <v>157.73651190514357</v>
      </c>
      <c r="G138" s="586"/>
      <c r="H138" s="587" t="s">
        <v>263</v>
      </c>
      <c r="I138" s="1720"/>
      <c r="J138" s="583"/>
      <c r="K138" s="583"/>
      <c r="L138" s="814" t="str">
        <f>IFERROR(INDEX('Lower Hot Cell Logistics'!$I$13:$O$19,MATCH($J138,'Lower Hot Cell Logistics'!$H$13:$H$19,0),MATCH($K138,'Lower Hot Cell Logistics'!$H$13:$H$19,0)),"N/A")</f>
        <v>N/A</v>
      </c>
      <c r="M138" s="814" t="str">
        <f>IFERROR(VLOOKUP($I138,'Lower Hot Cell Logistics'!$H$4:$I$8,2,FALSE),"N/A")</f>
        <v>N/A</v>
      </c>
      <c r="N138" s="1181" t="str">
        <f t="shared" si="12"/>
        <v>N/A</v>
      </c>
      <c r="O138" s="590"/>
      <c r="P138" s="591" t="str">
        <f>IF($D138="Logistics",VLOOKUP($O138,'Lower Hot Cell Logistics'!$C$4:$D$69,2,FALSE),"N/A")</f>
        <v>N/A</v>
      </c>
      <c r="R138"/>
      <c r="S138"/>
    </row>
    <row r="139" spans="2:19" s="89" customFormat="1" ht="15" customHeight="1" x14ac:dyDescent="0.4">
      <c r="B139" s="3814" t="s">
        <v>2062</v>
      </c>
      <c r="C139" s="617" t="s">
        <v>2192</v>
      </c>
      <c r="D139" s="1324" t="s">
        <v>907</v>
      </c>
      <c r="E139" s="1291">
        <f t="shared" si="11"/>
        <v>0</v>
      </c>
      <c r="F139" s="1291">
        <f>IF($D139="Trigger",VLOOKUP($C139,'Lower Hot Cell Critical Path'!$C$6:$F$384,4,FALSE),E139+F138)</f>
        <v>157.82060577513087</v>
      </c>
      <c r="G139" s="825"/>
      <c r="H139" s="1323" t="s">
        <v>263</v>
      </c>
      <c r="I139" s="1721"/>
      <c r="J139" s="1324"/>
      <c r="K139" s="1324"/>
      <c r="L139" s="828" t="str">
        <f>IFERROR(INDEX('Lower Hot Cell Logistics'!$I$13:$O$19,MATCH($J139,'Lower Hot Cell Logistics'!$H$13:$H$19,0),MATCH($K139,'Lower Hot Cell Logistics'!$H$13:$H$19,0)),"N/A")</f>
        <v>N/A</v>
      </c>
      <c r="M139" s="827" t="str">
        <f>IFERROR(VLOOKUP($I139,'Lower Hot Cell Logistics'!$H$4:$I$8,2,FALSE),"N/A")</f>
        <v>N/A</v>
      </c>
      <c r="N139" s="2200" t="str">
        <f t="shared" si="12"/>
        <v>N/A</v>
      </c>
      <c r="O139" s="1327"/>
      <c r="P139" s="824" t="str">
        <f>IF($D139="Logistics",VLOOKUP($O139,'Lower Hot Cell Logistics'!$C$4:$D$69,2,FALSE),"N/A")</f>
        <v>N/A</v>
      </c>
      <c r="R139"/>
      <c r="S139"/>
    </row>
    <row r="140" spans="2:19" s="89" customFormat="1" ht="15" customHeight="1" x14ac:dyDescent="0.4">
      <c r="B140" s="3815"/>
      <c r="C140" s="1362" t="s">
        <v>2141</v>
      </c>
      <c r="D140" s="1294" t="s">
        <v>778</v>
      </c>
      <c r="E140" s="1330">
        <f t="shared" si="11"/>
        <v>0.69444444444444442</v>
      </c>
      <c r="F140" s="1330">
        <f>IF($D140="Trigger",VLOOKUP($C140,'Lower Hot Cell Critical Path'!$C$6:$F$384,4,FALSE),E140+F139)</f>
        <v>158.51505021957533</v>
      </c>
      <c r="G140" s="1722"/>
      <c r="H140" s="2219" t="s">
        <v>263</v>
      </c>
      <c r="I140" s="1724" t="s">
        <v>1826</v>
      </c>
      <c r="J140" s="1294" t="s">
        <v>451</v>
      </c>
      <c r="K140" s="1294" t="s">
        <v>831</v>
      </c>
      <c r="L140" s="2042">
        <f>IFERROR(INDEX('Lower Hot Cell Logistics'!$I$13:$O$19,MATCH($J140,'Lower Hot Cell Logistics'!$H$13:$H$19,0),MATCH($K140,'Lower Hot Cell Logistics'!$H$13:$H$19,0)),"N/A")</f>
        <v>50</v>
      </c>
      <c r="M140" s="2220">
        <f>IFERROR(VLOOKUP($I140,'Lower Hot Cell Logistics'!$H$4:$I$8,2,FALSE),"N/A")</f>
        <v>0.02</v>
      </c>
      <c r="N140" s="1332">
        <f t="shared" si="12"/>
        <v>0.69444444444444442</v>
      </c>
      <c r="O140" s="1352"/>
      <c r="P140" s="1353" t="str">
        <f>IF($D140="Logistics",VLOOKUP($O140,'Lower Hot Cell Logistics'!$C$4:$D$69,2,FALSE),"N/A")</f>
        <v>N/A</v>
      </c>
      <c r="R140"/>
      <c r="S140"/>
    </row>
    <row r="141" spans="2:19" s="89" customFormat="1" ht="15" customHeight="1" x14ac:dyDescent="0.4">
      <c r="B141" s="3815"/>
      <c r="C141" s="1362" t="s">
        <v>1757</v>
      </c>
      <c r="D141" s="1294" t="s">
        <v>3</v>
      </c>
      <c r="E141" s="1330">
        <f t="shared" si="11"/>
        <v>0.88000000000000012</v>
      </c>
      <c r="F141" s="1330">
        <f>IF($D141="Trigger",VLOOKUP($C141,'Lower Hot Cell Critical Path'!$C$6:$F$384,4,FALSE),E141+F140)</f>
        <v>159.39505021957532</v>
      </c>
      <c r="G141" s="1722"/>
      <c r="H141" s="2219" t="s">
        <v>263</v>
      </c>
      <c r="I141" s="1724"/>
      <c r="J141" s="1294"/>
      <c r="K141" s="1294"/>
      <c r="L141" s="2042" t="str">
        <f>IFERROR(INDEX('Lower Hot Cell Logistics'!$I$13:$O$19,MATCH($J141,'Lower Hot Cell Logistics'!$H$13:$H$19,0),MATCH($K141,'Lower Hot Cell Logistics'!$H$13:$H$19,0)),"N/A")</f>
        <v>N/A</v>
      </c>
      <c r="M141" s="2220" t="str">
        <f>IFERROR(VLOOKUP($I141,'Lower Hot Cell Logistics'!$H$4:$I$8,2,FALSE),"N/A")</f>
        <v>N/A</v>
      </c>
      <c r="N141" s="1332" t="str">
        <f t="shared" si="12"/>
        <v>N/A</v>
      </c>
      <c r="O141" s="1352" t="s">
        <v>2144</v>
      </c>
      <c r="P141" s="1353">
        <f>IF($D141="Logistics",VLOOKUP($O141,'Lower Hot Cell Logistics'!$C$4:$D$69,2,FALSE),"N/A")</f>
        <v>0.88000000000000012</v>
      </c>
      <c r="R141"/>
      <c r="S141"/>
    </row>
    <row r="142" spans="2:19" s="89" customFormat="1" x14ac:dyDescent="0.4">
      <c r="B142" s="3815"/>
      <c r="C142" s="1294" t="s">
        <v>2189</v>
      </c>
      <c r="D142" s="1294" t="s">
        <v>778</v>
      </c>
      <c r="E142" s="1292">
        <f t="shared" si="11"/>
        <v>0.23148148148148148</v>
      </c>
      <c r="F142" s="1292">
        <f>IF($D142="Trigger",VLOOKUP($C142,'Lower Hot Cell Critical Path'!$C$6:$F$384,4,FALSE),E142+F141)</f>
        <v>159.62653170105682</v>
      </c>
      <c r="G142" s="862"/>
      <c r="H142" s="1328" t="s">
        <v>263</v>
      </c>
      <c r="I142" s="1724" t="s">
        <v>2190</v>
      </c>
      <c r="J142" s="1294" t="s">
        <v>799</v>
      </c>
      <c r="K142" s="1294" t="s">
        <v>451</v>
      </c>
      <c r="L142" s="865">
        <f>IFERROR(INDEX('Lower Hot Cell Logistics'!$I$13:$O$19,MATCH($J142,'Lower Hot Cell Logistics'!$H$13:$H$19,0),MATCH($K142,'Lower Hot Cell Logistics'!$H$13:$H$19,0)),"N/A")</f>
        <v>50</v>
      </c>
      <c r="M142" s="865">
        <f>IFERROR(VLOOKUP($I142,'Lower Hot Cell Logistics'!$H$4:$I$8,2,FALSE),"N/A")</f>
        <v>0.06</v>
      </c>
      <c r="N142" s="2197">
        <f t="shared" si="12"/>
        <v>0.23148148148148148</v>
      </c>
      <c r="O142" s="1331"/>
      <c r="P142" s="1332" t="str">
        <f>IF($D142="Logistics",VLOOKUP($O142,'Lower Hot Cell Logistics'!$C$4:$D$69,2,FALSE),"N/A")</f>
        <v>N/A</v>
      </c>
      <c r="R142"/>
      <c r="S142"/>
    </row>
    <row r="143" spans="2:19" s="89" customFormat="1" ht="15" thickBot="1" x14ac:dyDescent="0.45">
      <c r="B143" s="3816"/>
      <c r="C143" s="1340" t="str">
        <f>B139</f>
        <v>RIB pipe module stored;  Pipe Module handling System Moved to Lower Port</v>
      </c>
      <c r="D143" s="1340" t="s">
        <v>11</v>
      </c>
      <c r="E143" s="1295">
        <f t="shared" si="11"/>
        <v>0</v>
      </c>
      <c r="F143" s="1295">
        <f>IF($D143="Trigger",VLOOKUP($C143,'Lower Hot Cell Critical Path'!$C$6:$F$384,4,FALSE),E143+F142)</f>
        <v>159.62653170105682</v>
      </c>
      <c r="G143" s="839"/>
      <c r="H143" s="1341" t="s">
        <v>263</v>
      </c>
      <c r="I143" s="1727"/>
      <c r="J143" s="1340"/>
      <c r="K143" s="1340"/>
      <c r="L143" s="842" t="str">
        <f>IFERROR(INDEX('Lower Hot Cell Logistics'!$I$13:$O$19,MATCH($J143,'Lower Hot Cell Logistics'!$H$13:$H$19,0),MATCH($K143,'Lower Hot Cell Logistics'!$H$13:$H$19,0)),"N/A")</f>
        <v>N/A</v>
      </c>
      <c r="M143" s="842" t="str">
        <f>IFERROR(VLOOKUP($I143,'Lower Hot Cell Logistics'!$H$4:$I$8,2,FALSE),"N/A")</f>
        <v>N/A</v>
      </c>
      <c r="N143" s="2199" t="str">
        <f t="shared" si="12"/>
        <v>N/A</v>
      </c>
      <c r="O143" s="1344"/>
      <c r="P143" s="1345" t="str">
        <f>IF($D143="Logistics",VLOOKUP($O143,'Lower Hot Cell Logistics'!$C$4:$D$69,2,FALSE),"N/A")</f>
        <v>N/A</v>
      </c>
      <c r="R143"/>
      <c r="S143"/>
    </row>
    <row r="144" spans="2:19" s="89" customFormat="1" ht="15" customHeight="1" x14ac:dyDescent="0.4">
      <c r="B144" s="3787" t="s">
        <v>2193</v>
      </c>
      <c r="C144" s="617" t="s">
        <v>2041</v>
      </c>
      <c r="D144" s="617" t="s">
        <v>907</v>
      </c>
      <c r="E144" s="567">
        <f t="shared" si="11"/>
        <v>0</v>
      </c>
      <c r="F144" s="567">
        <f>IF($D144="Trigger",VLOOKUP($C144,'Lower Hot Cell Critical Path'!$C$6:$F$384,4,FALSE),E144+F143)</f>
        <v>140.93052659147784</v>
      </c>
      <c r="G144" s="568"/>
      <c r="H144" s="569" t="s">
        <v>263</v>
      </c>
      <c r="I144" s="1270"/>
      <c r="J144" s="617"/>
      <c r="K144" s="617"/>
      <c r="L144" s="570" t="str">
        <f>IFERROR(INDEX('Lower Hot Cell Logistics'!$I$13:$O$19,MATCH($J144,'Lower Hot Cell Logistics'!$H$13:$H$19,0),MATCH($K144,'Lower Hot Cell Logistics'!$H$13:$H$19,0)),"N/A")</f>
        <v>N/A</v>
      </c>
      <c r="M144" s="802" t="str">
        <f>IFERROR(VLOOKUP($I144,'Lower Hot Cell Logistics'!$H$4:$I$8,2,FALSE),"N/A")</f>
        <v>N/A</v>
      </c>
      <c r="N144" s="1182" t="str">
        <f t="shared" si="12"/>
        <v>N/A</v>
      </c>
      <c r="O144" s="620"/>
      <c r="P144" s="621" t="str">
        <f>IF($D144="Logistics",VLOOKUP($O144,'Lower Hot Cell Logistics'!$C$4:$D$69,2,FALSE),"N/A")</f>
        <v>N/A</v>
      </c>
      <c r="R144"/>
      <c r="S144"/>
    </row>
    <row r="145" spans="1:19" s="89" customFormat="1" ht="15" customHeight="1" x14ac:dyDescent="0.4">
      <c r="B145" s="3786"/>
      <c r="C145" s="1275" t="s">
        <v>2141</v>
      </c>
      <c r="D145" s="572" t="s">
        <v>778</v>
      </c>
      <c r="E145" s="578">
        <f t="shared" si="11"/>
        <v>0.69444444444444442</v>
      </c>
      <c r="F145" s="578">
        <f>IF($D145="Trigger",VLOOKUP($C145,'Lower Hot Cell Critical Path'!$C$6:$F$384,4,FALSE),E145+F144)</f>
        <v>141.6249710359223</v>
      </c>
      <c r="G145" s="872"/>
      <c r="H145" s="2221" t="s">
        <v>263</v>
      </c>
      <c r="I145" s="1281" t="s">
        <v>1826</v>
      </c>
      <c r="J145" s="572" t="s">
        <v>451</v>
      </c>
      <c r="K145" s="572" t="s">
        <v>831</v>
      </c>
      <c r="L145" s="1176">
        <f>IFERROR(INDEX('Lower Hot Cell Logistics'!$I$13:$O$19,MATCH($J145,'Lower Hot Cell Logistics'!$H$13:$H$19,0),MATCH($K145,'Lower Hot Cell Logistics'!$H$13:$H$19,0)),"N/A")</f>
        <v>50</v>
      </c>
      <c r="M145" s="2222">
        <f>IFERROR(VLOOKUP($I145,'Lower Hot Cell Logistics'!$H$4:$I$8,2,FALSE),"N/A")</f>
        <v>0.02</v>
      </c>
      <c r="N145" s="580">
        <f t="shared" si="12"/>
        <v>0.69444444444444442</v>
      </c>
      <c r="O145" s="631"/>
      <c r="P145" s="632" t="str">
        <f>IF($D145="Logistics",VLOOKUP($O145,'Lower Hot Cell Logistics'!$C$4:$D$69,2,FALSE),"N/A")</f>
        <v>N/A</v>
      </c>
      <c r="R145"/>
      <c r="S145"/>
    </row>
    <row r="146" spans="1:19" s="89" customFormat="1" ht="15" customHeight="1" x14ac:dyDescent="0.4">
      <c r="B146" s="3786"/>
      <c r="C146" s="1275" t="s">
        <v>1757</v>
      </c>
      <c r="D146" s="572" t="s">
        <v>3</v>
      </c>
      <c r="E146" s="578">
        <f t="shared" si="11"/>
        <v>0.88000000000000012</v>
      </c>
      <c r="F146" s="578">
        <f>IF($D146="Trigger",VLOOKUP($C146,'Lower Hot Cell Critical Path'!$C$6:$F$384,4,FALSE),E146+F145)</f>
        <v>142.5049710359223</v>
      </c>
      <c r="G146" s="872"/>
      <c r="H146" s="2221" t="s">
        <v>263</v>
      </c>
      <c r="I146" s="1281"/>
      <c r="J146" s="572"/>
      <c r="K146" s="572"/>
      <c r="L146" s="1176" t="str">
        <f>IFERROR(INDEX('Lower Hot Cell Logistics'!$I$13:$O$19,MATCH($J146,'Lower Hot Cell Logistics'!$H$13:$H$19,0),MATCH($K146,'Lower Hot Cell Logistics'!$H$13:$H$19,0)),"N/A")</f>
        <v>N/A</v>
      </c>
      <c r="M146" s="2222" t="str">
        <f>IFERROR(VLOOKUP($I146,'Lower Hot Cell Logistics'!$H$4:$I$8,2,FALSE),"N/A")</f>
        <v>N/A</v>
      </c>
      <c r="N146" s="580" t="str">
        <f t="shared" si="12"/>
        <v>N/A</v>
      </c>
      <c r="O146" s="631" t="s">
        <v>2144</v>
      </c>
      <c r="P146" s="632">
        <f>IF($D146="Logistics",VLOOKUP($O146,'Lower Hot Cell Logistics'!$C$4:$D$69,2,FALSE),"N/A")</f>
        <v>0.88000000000000012</v>
      </c>
      <c r="R146"/>
      <c r="S146"/>
    </row>
    <row r="147" spans="1:19" s="89" customFormat="1" x14ac:dyDescent="0.4">
      <c r="B147" s="3786"/>
      <c r="C147" s="572" t="s">
        <v>2189</v>
      </c>
      <c r="D147" s="572" t="s">
        <v>778</v>
      </c>
      <c r="E147" s="574">
        <f t="shared" si="11"/>
        <v>0.23148148148148148</v>
      </c>
      <c r="F147" s="574">
        <f>IF($D147="Trigger",VLOOKUP($C147,'Lower Hot Cell Critical Path'!$C$6:$F$384,4,FALSE),E147+F146)</f>
        <v>142.73645251740379</v>
      </c>
      <c r="G147" s="575"/>
      <c r="H147" s="576" t="s">
        <v>263</v>
      </c>
      <c r="I147" s="1281" t="s">
        <v>2190</v>
      </c>
      <c r="J147" s="572" t="s">
        <v>799</v>
      </c>
      <c r="K147" s="572" t="s">
        <v>451</v>
      </c>
      <c r="L147" s="853">
        <f>IFERROR(INDEX('Lower Hot Cell Logistics'!$I$13:$O$19,MATCH($J147,'Lower Hot Cell Logistics'!$H$13:$H$19,0),MATCH($K147,'Lower Hot Cell Logistics'!$H$13:$H$19,0)),"N/A")</f>
        <v>50</v>
      </c>
      <c r="M147" s="853">
        <f>IFERROR(VLOOKUP($I147,'Lower Hot Cell Logistics'!$H$4:$I$8,2,FALSE),"N/A")</f>
        <v>0.06</v>
      </c>
      <c r="N147" s="1180">
        <f t="shared" si="12"/>
        <v>0.23148148148148148</v>
      </c>
      <c r="O147" s="579"/>
      <c r="P147" s="580" t="str">
        <f>IF($D147="Logistics",VLOOKUP($O147,'Lower Hot Cell Logistics'!$C$4:$D$69,2,FALSE),"N/A")</f>
        <v>N/A</v>
      </c>
      <c r="R147"/>
      <c r="S147"/>
    </row>
    <row r="148" spans="1:19" s="89" customFormat="1" ht="15" thickBot="1" x14ac:dyDescent="0.45">
      <c r="B148" s="3788"/>
      <c r="C148" s="583" t="str">
        <f>B144</f>
        <v>LIB Inner pipe module stored;  Blanket Pipe Module handling System Stored</v>
      </c>
      <c r="D148" s="583" t="s">
        <v>11</v>
      </c>
      <c r="E148" s="585">
        <f t="shared" si="11"/>
        <v>0</v>
      </c>
      <c r="F148" s="585">
        <f>IF($D148="Trigger",VLOOKUP($C148,'Lower Hot Cell Critical Path'!$C$6:$F$384,4,FALSE),E148+F147)</f>
        <v>142.73645251740379</v>
      </c>
      <c r="G148" s="586"/>
      <c r="H148" s="587" t="s">
        <v>263</v>
      </c>
      <c r="I148" s="1720"/>
      <c r="J148" s="583"/>
      <c r="K148" s="583"/>
      <c r="L148" s="814" t="str">
        <f>IFERROR(INDEX('Lower Hot Cell Logistics'!$I$13:$O$19,MATCH($J148,'Lower Hot Cell Logistics'!$H$13:$H$19,0),MATCH($K148,'Lower Hot Cell Logistics'!$H$13:$H$19,0)),"N/A")</f>
        <v>N/A</v>
      </c>
      <c r="M148" s="814" t="str">
        <f>IFERROR(VLOOKUP($I148,'Lower Hot Cell Logistics'!$H$4:$I$8,2,FALSE),"N/A")</f>
        <v>N/A</v>
      </c>
      <c r="N148" s="1181" t="str">
        <f t="shared" si="12"/>
        <v>N/A</v>
      </c>
      <c r="O148" s="590"/>
      <c r="P148" s="591" t="str">
        <f>IF($D148="Logistics",VLOOKUP($O148,'Lower Hot Cell Logistics'!$C$4:$D$69,2,FALSE),"N/A")</f>
        <v>N/A</v>
      </c>
      <c r="R148"/>
      <c r="S148"/>
    </row>
    <row r="149" spans="1:19" s="89" customFormat="1" ht="15" customHeight="1" x14ac:dyDescent="0.4">
      <c r="B149" s="3814" t="s">
        <v>2194</v>
      </c>
      <c r="C149" s="1324" t="s">
        <v>2063</v>
      </c>
      <c r="D149" s="1324" t="s">
        <v>907</v>
      </c>
      <c r="E149" s="1291">
        <f t="shared" si="11"/>
        <v>0</v>
      </c>
      <c r="F149" s="1291">
        <f>IF($D149="Trigger",VLOOKUP($C149,'Lower Hot Cell Critical Path'!$C$6:$F$384,4,FALSE),E149+F148)</f>
        <v>164.29468495878382</v>
      </c>
      <c r="G149" s="825"/>
      <c r="H149" s="1323" t="s">
        <v>263</v>
      </c>
      <c r="I149" s="1721"/>
      <c r="J149" s="1324"/>
      <c r="K149" s="1324"/>
      <c r="L149" s="828" t="str">
        <f>IFERROR(INDEX('Lower Hot Cell Logistics'!$I$13:$O$19,MATCH($J149,'Lower Hot Cell Logistics'!$H$13:$H$19,0),MATCH($K149,'Lower Hot Cell Logistics'!$H$13:$H$19,0)),"N/A")</f>
        <v>N/A</v>
      </c>
      <c r="M149" s="827" t="str">
        <f>IFERROR(VLOOKUP($I149,'Lower Hot Cell Logistics'!$H$4:$I$8,2,FALSE),"N/A")</f>
        <v>N/A</v>
      </c>
      <c r="N149" s="2200" t="str">
        <f t="shared" ref="N149:N154" si="13">IF(D149="Movement",IFERROR((L149/M149)/(60*60),"Error"),"N/A")</f>
        <v>N/A</v>
      </c>
      <c r="O149" s="1327"/>
      <c r="P149" s="824" t="str">
        <f>IF($D149="Logistics",VLOOKUP($O149,'Lower Hot Cell Logistics'!$C$4:$D$69,2,FALSE),"N/A")</f>
        <v>N/A</v>
      </c>
      <c r="R149"/>
      <c r="S149"/>
    </row>
    <row r="150" spans="1:19" s="89" customFormat="1" ht="15" customHeight="1" x14ac:dyDescent="0.4">
      <c r="B150" s="3815"/>
      <c r="C150" s="1362" t="s">
        <v>2141</v>
      </c>
      <c r="D150" s="1294" t="s">
        <v>778</v>
      </c>
      <c r="E150" s="1330">
        <f t="shared" si="11"/>
        <v>0.23148148148148148</v>
      </c>
      <c r="F150" s="1330">
        <f>IF($D150="Trigger",VLOOKUP($C150,'Lower Hot Cell Critical Path'!$C$6:$F$384,4,FALSE),E150+F149)</f>
        <v>164.52616644026531</v>
      </c>
      <c r="G150" s="1722"/>
      <c r="H150" s="2219" t="s">
        <v>263</v>
      </c>
      <c r="I150" s="1724" t="s">
        <v>2142</v>
      </c>
      <c r="J150" s="1294" t="s">
        <v>451</v>
      </c>
      <c r="K150" s="1294" t="s">
        <v>914</v>
      </c>
      <c r="L150" s="2042">
        <f>IFERROR(INDEX('Lower Hot Cell Logistics'!$I$13:$O$19,MATCH($J150,'Lower Hot Cell Logistics'!$H$13:$H$19,0),MATCH($K150,'Lower Hot Cell Logistics'!$H$13:$H$19,0)),"N/A")</f>
        <v>50</v>
      </c>
      <c r="M150" s="2220">
        <f>IFERROR(VLOOKUP($I150,'Lower Hot Cell Logistics'!$H$4:$I$8,2,FALSE),"N/A")</f>
        <v>0.06</v>
      </c>
      <c r="N150" s="1332">
        <f t="shared" si="13"/>
        <v>0.23148148148148148</v>
      </c>
      <c r="O150" s="1352"/>
      <c r="P150" s="1353" t="str">
        <f>IF($D150="Logistics",VLOOKUP($O150,'Lower Hot Cell Logistics'!$C$4:$D$69,2,FALSE),"N/A")</f>
        <v>N/A</v>
      </c>
      <c r="R150"/>
      <c r="S150"/>
    </row>
    <row r="151" spans="1:19" s="89" customFormat="1" ht="15" customHeight="1" x14ac:dyDescent="0.4">
      <c r="B151" s="3815"/>
      <c r="C151" s="1362" t="s">
        <v>1757</v>
      </c>
      <c r="D151" s="1294" t="s">
        <v>3</v>
      </c>
      <c r="E151" s="1330">
        <f t="shared" si="11"/>
        <v>0.88000000000000012</v>
      </c>
      <c r="F151" s="1330">
        <f>IF($D151="Trigger",VLOOKUP($C151,'Lower Hot Cell Critical Path'!$C$6:$F$384,4,FALSE),E151+F150)</f>
        <v>165.40616644026531</v>
      </c>
      <c r="G151" s="1722"/>
      <c r="H151" s="2219" t="s">
        <v>263</v>
      </c>
      <c r="I151" s="1724"/>
      <c r="J151" s="1294"/>
      <c r="K151" s="1294"/>
      <c r="L151" s="2042" t="str">
        <f>IFERROR(INDEX('Lower Hot Cell Logistics'!$I$13:$O$19,MATCH($J151,'Lower Hot Cell Logistics'!$H$13:$H$19,0),MATCH($K151,'Lower Hot Cell Logistics'!$H$13:$H$19,0)),"N/A")</f>
        <v>N/A</v>
      </c>
      <c r="M151" s="2220" t="str">
        <f>IFERROR(VLOOKUP($I151,'Lower Hot Cell Logistics'!$H$4:$I$8,2,FALSE),"N/A")</f>
        <v>N/A</v>
      </c>
      <c r="N151" s="1332" t="str">
        <f t="shared" si="13"/>
        <v>N/A</v>
      </c>
      <c r="O151" s="1352" t="s">
        <v>2168</v>
      </c>
      <c r="P151" s="1353">
        <f>IF($D151="Logistics",VLOOKUP($O151,'Lower Hot Cell Logistics'!$C$4:$D$69,2,FALSE),"N/A")</f>
        <v>0.88000000000000012</v>
      </c>
      <c r="R151"/>
      <c r="S151"/>
    </row>
    <row r="152" spans="1:19" s="89" customFormat="1" ht="15" customHeight="1" x14ac:dyDescent="0.4">
      <c r="B152" s="3815"/>
      <c r="C152" s="1362" t="s">
        <v>2145</v>
      </c>
      <c r="D152" s="1294" t="s">
        <v>778</v>
      </c>
      <c r="E152" s="1330">
        <f t="shared" si="11"/>
        <v>2.7777777777777776E-2</v>
      </c>
      <c r="F152" s="1330">
        <f>IF($D152="Trigger",VLOOKUP($C152,'Lower Hot Cell Critical Path'!$C$6:$F$384,4,FALSE),E152+F151)</f>
        <v>165.43394421804308</v>
      </c>
      <c r="G152" s="1722"/>
      <c r="H152" s="2219" t="s">
        <v>263</v>
      </c>
      <c r="I152" s="1724" t="s">
        <v>2146</v>
      </c>
      <c r="J152" s="1294" t="s">
        <v>914</v>
      </c>
      <c r="K152" s="1294" t="s">
        <v>799</v>
      </c>
      <c r="L152" s="2042">
        <f>IFERROR(INDEX('Lower Hot Cell Logistics'!$I$13:$O$19,MATCH($J152,'Lower Hot Cell Logistics'!$H$13:$H$19,0),MATCH($K152,'Lower Hot Cell Logistics'!$H$13:$H$19,0)),"N/A")</f>
        <v>20</v>
      </c>
      <c r="M152" s="2220">
        <f>IFERROR(VLOOKUP($I152,'Lower Hot Cell Logistics'!$H$4:$I$8,2,FALSE),"N/A")</f>
        <v>0.2</v>
      </c>
      <c r="N152" s="1332">
        <f t="shared" si="13"/>
        <v>2.7777777777777776E-2</v>
      </c>
      <c r="O152" s="1352"/>
      <c r="P152" s="1353" t="str">
        <f>IF($D152="Logistics",VLOOKUP($O152,'Lower Hot Cell Logistics'!$C$4:$D$69,2,FALSE),"N/A")</f>
        <v>N/A</v>
      </c>
      <c r="R152"/>
      <c r="S152"/>
    </row>
    <row r="153" spans="1:19" s="89" customFormat="1" x14ac:dyDescent="0.4">
      <c r="B153" s="3815"/>
      <c r="C153" s="1294" t="s">
        <v>2195</v>
      </c>
      <c r="D153" s="1294" t="s">
        <v>3</v>
      </c>
      <c r="E153" s="1292">
        <f t="shared" si="11"/>
        <v>0.68</v>
      </c>
      <c r="F153" s="1292">
        <f>IF($D153="Trigger",VLOOKUP($C153,'Lower Hot Cell Critical Path'!$C$6:$F$384,4,FALSE),E153+F152)</f>
        <v>166.11394421804309</v>
      </c>
      <c r="G153" s="862"/>
      <c r="H153" s="1328" t="s">
        <v>263</v>
      </c>
      <c r="I153" s="1724"/>
      <c r="J153" s="1294"/>
      <c r="K153" s="1294"/>
      <c r="L153" s="865" t="str">
        <f>IFERROR(INDEX('Lower Hot Cell Logistics'!$I$13:$O$19,MATCH($J153,'Lower Hot Cell Logistics'!$H$13:$H$19,0),MATCH($K153,'Lower Hot Cell Logistics'!$H$13:$H$19,0)),"N/A")</f>
        <v>N/A</v>
      </c>
      <c r="M153" s="864" t="str">
        <f>IFERROR(VLOOKUP($I153,'Lower Hot Cell Logistics'!$H$4:$I$8,2,FALSE),"N/A")</f>
        <v>N/A</v>
      </c>
      <c r="N153" s="2197" t="str">
        <f t="shared" si="13"/>
        <v>N/A</v>
      </c>
      <c r="O153" s="1331" t="s">
        <v>2148</v>
      </c>
      <c r="P153" s="1332">
        <f>IF($D153="Logistics",VLOOKUP($O153,'Lower Hot Cell Logistics'!$C$4:$D$69,2,FALSE),"N/A")</f>
        <v>0.68</v>
      </c>
      <c r="R153"/>
      <c r="S153"/>
    </row>
    <row r="154" spans="1:19" s="89" customFormat="1" x14ac:dyDescent="0.4">
      <c r="B154" s="3815"/>
      <c r="C154" s="1294" t="s">
        <v>2162</v>
      </c>
      <c r="D154" s="1294" t="s">
        <v>778</v>
      </c>
      <c r="E154" s="1292">
        <f t="shared" si="11"/>
        <v>0.69444444444444442</v>
      </c>
      <c r="F154" s="1292">
        <f>IF($D154="Trigger",VLOOKUP($C154,'Lower Hot Cell Critical Path'!$C$6:$F$384,4,FALSE),E154+F153)</f>
        <v>166.80838866248754</v>
      </c>
      <c r="G154" s="862"/>
      <c r="H154" s="1328" t="s">
        <v>263</v>
      </c>
      <c r="I154" s="1724" t="s">
        <v>1826</v>
      </c>
      <c r="J154" s="1294" t="s">
        <v>799</v>
      </c>
      <c r="K154" s="1294" t="s">
        <v>451</v>
      </c>
      <c r="L154" s="865">
        <f>IFERROR(INDEX('Lower Hot Cell Logistics'!$I$13:$O$19,MATCH($J154,'Lower Hot Cell Logistics'!$H$13:$H$19,0),MATCH($K154,'Lower Hot Cell Logistics'!$H$13:$H$19,0)),"N/A")</f>
        <v>50</v>
      </c>
      <c r="M154" s="865">
        <f>IFERROR(VLOOKUP($I154,'Lower Hot Cell Logistics'!$H$4:$I$8,2,FALSE),"N/A")</f>
        <v>0.02</v>
      </c>
      <c r="N154" s="2197">
        <f t="shared" si="13"/>
        <v>0.69444444444444442</v>
      </c>
      <c r="O154" s="1331"/>
      <c r="P154" s="1332" t="str">
        <f>IF($D154="Logistics",VLOOKUP($O154,'Lower Hot Cell Logistics'!$C$4:$D$69,2,FALSE),"N/A")</f>
        <v>N/A</v>
      </c>
      <c r="R154"/>
      <c r="S154"/>
    </row>
    <row r="155" spans="1:19" s="89" customFormat="1" ht="15" thickBot="1" x14ac:dyDescent="0.45">
      <c r="B155" s="3816"/>
      <c r="C155" s="1340" t="str">
        <f>B149</f>
        <v>RIB Inner pipe module stored;  Blanket Pipe Module handling System Stored</v>
      </c>
      <c r="D155" s="1340" t="s">
        <v>11</v>
      </c>
      <c r="E155" s="1295">
        <f t="shared" si="11"/>
        <v>0</v>
      </c>
      <c r="F155" s="1295">
        <f>IF($D155="Trigger",VLOOKUP($C155,'Lower Hot Cell Critical Path'!$C$6:$F$384,4,FALSE),E155+F154)</f>
        <v>166.80838866248754</v>
      </c>
      <c r="G155" s="839"/>
      <c r="H155" s="1341" t="s">
        <v>263</v>
      </c>
      <c r="I155" s="1727"/>
      <c r="J155" s="1340"/>
      <c r="K155" s="1340"/>
      <c r="L155" s="842" t="str">
        <f>IFERROR(INDEX('Lower Hot Cell Logistics'!$I$13:$O$19,MATCH($J155,'Lower Hot Cell Logistics'!$H$13:$H$19,0),MATCH($K155,'Lower Hot Cell Logistics'!$H$13:$H$19,0)),"N/A")</f>
        <v>N/A</v>
      </c>
      <c r="M155" s="842" t="str">
        <f>IFERROR(VLOOKUP($I155,'Lower Hot Cell Logistics'!$H$4:$I$8,2,FALSE),"N/A")</f>
        <v>N/A</v>
      </c>
      <c r="N155" s="2199" t="str">
        <f>IF(D155="Movement",IFERROR((L155/M155)/(60*60),"Error"),"N/A")</f>
        <v>N/A</v>
      </c>
      <c r="O155" s="1344"/>
      <c r="P155" s="1345" t="str">
        <f>IF($D155="Logistics",VLOOKUP($O155,'Lower Hot Cell Logistics'!$C$4:$D$69,2,FALSE),"N/A")</f>
        <v>N/A</v>
      </c>
      <c r="R155"/>
      <c r="S155"/>
    </row>
    <row r="156" spans="1:19" s="89" customFormat="1" x14ac:dyDescent="0.4">
      <c r="B156" s="3817"/>
      <c r="C156" s="520"/>
      <c r="D156" s="520"/>
      <c r="E156" s="521"/>
      <c r="F156" s="521"/>
      <c r="G156" s="523"/>
      <c r="H156" s="524"/>
      <c r="I156" s="523"/>
      <c r="J156" s="523"/>
      <c r="K156" s="523"/>
      <c r="L156" s="2223"/>
      <c r="M156" s="2223"/>
      <c r="N156" s="2223"/>
      <c r="O156" s="523"/>
      <c r="P156" s="1732" t="str">
        <f>IF($D156="Logistics",VLOOKUP($O156,'Lower Hot Cell Logistics'!$C$4:$D$69,2,FALSE),"N/A")</f>
        <v>N/A</v>
      </c>
      <c r="R156"/>
      <c r="S156"/>
    </row>
    <row r="157" spans="1:19" s="89" customFormat="1" x14ac:dyDescent="0.4">
      <c r="B157" s="3818"/>
      <c r="C157" s="1733"/>
      <c r="D157" s="1734"/>
      <c r="E157" s="528"/>
      <c r="F157" s="1735"/>
      <c r="G157" s="530"/>
      <c r="H157" s="531"/>
      <c r="I157" s="530"/>
      <c r="J157" s="530"/>
      <c r="K157" s="530"/>
      <c r="L157" s="2224"/>
      <c r="M157" s="2224"/>
      <c r="N157" s="2224"/>
      <c r="O157" s="530"/>
      <c r="P157" s="1736" t="str">
        <f>IF($D157="Logistics",VLOOKUP($O157,'Lower Hot Cell Logistics'!$C$4:$D$69,2,FALSE),"N/A")</f>
        <v>N/A</v>
      </c>
      <c r="R157"/>
      <c r="S157"/>
    </row>
    <row r="158" spans="1:19" s="89" customFormat="1" x14ac:dyDescent="0.4">
      <c r="B158" s="3818"/>
      <c r="C158" s="1733"/>
      <c r="D158" s="1734"/>
      <c r="E158" s="528"/>
      <c r="F158" s="1735"/>
      <c r="G158" s="527"/>
      <c r="H158" s="2225"/>
      <c r="I158" s="527"/>
      <c r="J158" s="527"/>
      <c r="K158" s="527"/>
      <c r="L158" s="2226"/>
      <c r="M158" s="2226"/>
      <c r="N158" s="2226"/>
      <c r="O158" s="527"/>
      <c r="P158" s="1736" t="str">
        <f>IF($D158="Logistics",VLOOKUP($O158,'Lower Hot Cell Logistics'!$C$4:$D$69,2,FALSE),"N/A")</f>
        <v>N/A</v>
      </c>
      <c r="R158"/>
      <c r="S158"/>
    </row>
    <row r="159" spans="1:19" s="89" customFormat="1" ht="15" thickBot="1" x14ac:dyDescent="0.45">
      <c r="B159" s="3819"/>
      <c r="C159" s="633"/>
      <c r="D159" s="633"/>
      <c r="E159" s="1737"/>
      <c r="F159" s="1737"/>
      <c r="G159" s="633"/>
      <c r="H159" s="2227"/>
      <c r="I159" s="633"/>
      <c r="J159" s="633"/>
      <c r="K159" s="633"/>
      <c r="L159" s="2228"/>
      <c r="M159" s="2228"/>
      <c r="N159" s="2228"/>
      <c r="O159" s="633"/>
      <c r="P159" s="1738" t="str">
        <f>IF($D159="Logistics",VLOOKUP($O159,'Lower Hot Cell Logistics'!$C$4:$D$69,2,FALSE),"N/A")</f>
        <v>N/A</v>
      </c>
      <c r="R159"/>
      <c r="S159"/>
    </row>
    <row r="160" spans="1:19" x14ac:dyDescent="0.4">
      <c r="A160" s="88"/>
      <c r="B160" s="3820" t="s">
        <v>1675</v>
      </c>
      <c r="C160" s="596" t="s">
        <v>272</v>
      </c>
      <c r="D160" s="596" t="s">
        <v>907</v>
      </c>
      <c r="E160" s="593">
        <f t="shared" ref="E160:E256" si="14">MAX($P160,$N160,$H160)</f>
        <v>0</v>
      </c>
      <c r="F160" s="593">
        <f>IF($D160="Trigger",VLOOKUP($C160,'Lower Hot Cell Critical Path'!$C$6:$F$384,4,FALSE),E160+#REF!)</f>
        <v>0</v>
      </c>
      <c r="G160" s="594"/>
      <c r="H160" s="595" t="s">
        <v>263</v>
      </c>
      <c r="I160" s="596"/>
      <c r="J160" s="596"/>
      <c r="K160" s="596"/>
      <c r="L160" s="958" t="str">
        <f>IFERROR(INDEX(#REF!,MATCH($J160,#REF!,0),MATCH($K160,#REF!,0)),"N/A")</f>
        <v>N/A</v>
      </c>
      <c r="M160" s="958" t="str">
        <f>IFERROR(VLOOKUP($I160,#REF!,2,FALSE),"N/A")</f>
        <v>N/A</v>
      </c>
      <c r="N160" s="2229" t="str">
        <f t="shared" ref="N160:N193" si="15">IF(D160="Movement",IFERROR((L160/M160)/(60*60),"Error"),"N/A")</f>
        <v>N/A</v>
      </c>
      <c r="O160" s="599"/>
      <c r="P160" s="600" t="str">
        <f>IF($D160="Logistics",VLOOKUP($O160,#REF!,2,FALSE),"N/A")</f>
        <v>N/A</v>
      </c>
    </row>
    <row r="161" spans="1:17" x14ac:dyDescent="0.4">
      <c r="A161" s="88"/>
      <c r="B161" s="3821"/>
      <c r="C161" s="622" t="s">
        <v>2196</v>
      </c>
      <c r="D161" s="622" t="s">
        <v>251</v>
      </c>
      <c r="E161" s="602">
        <f t="shared" si="14"/>
        <v>43.966111111111097</v>
      </c>
      <c r="F161" s="602">
        <f>IF($D161="Trigger",VLOOKUP($C161,'Lower Hot Cell Critical Path'!$C$6:$F$384,4,FALSE),E161+F160)</f>
        <v>43.966111111111097</v>
      </c>
      <c r="G161" s="603" t="s">
        <v>134</v>
      </c>
      <c r="H161" s="608">
        <f>VLOOKUP(G161, 'Upper Hot Cell Critical Path'!C:F, 4, FALSE)</f>
        <v>43.966111111111097</v>
      </c>
      <c r="I161" s="601"/>
      <c r="J161" s="601"/>
      <c r="K161" s="601"/>
      <c r="L161" s="1002" t="str">
        <f>IFERROR(INDEX(#REF!,MATCH($J161,#REF!,0),MATCH($K161,#REF!,0)),"N/A")</f>
        <v>N/A</v>
      </c>
      <c r="M161" s="1002" t="str">
        <f>IFERROR(VLOOKUP($I161,#REF!,2,FALSE),"N/A")</f>
        <v>N/A</v>
      </c>
      <c r="N161" s="2230" t="str">
        <f t="shared" si="15"/>
        <v>N/A</v>
      </c>
      <c r="O161" s="607"/>
      <c r="P161" s="608" t="str">
        <f>IF($D161="Logistics",VLOOKUP($O161,#REF!,2,FALSE),"N/A")</f>
        <v>N/A</v>
      </c>
    </row>
    <row r="162" spans="1:17" ht="15" thickBot="1" x14ac:dyDescent="0.45">
      <c r="A162" s="88"/>
      <c r="B162" s="3822"/>
      <c r="C162" s="609" t="str">
        <f>B160</f>
        <v>COB Installed</v>
      </c>
      <c r="D162" s="609" t="s">
        <v>11</v>
      </c>
      <c r="E162" s="602">
        <f t="shared" si="14"/>
        <v>0</v>
      </c>
      <c r="F162" s="602">
        <f>IF($D162="Trigger",VLOOKUP($C162,'Lower Hot Cell Critical Path'!$C$6:$F$384,4,FALSE),E162+F161)</f>
        <v>43.966111111111097</v>
      </c>
      <c r="G162" s="603"/>
      <c r="H162" s="604" t="s">
        <v>263</v>
      </c>
      <c r="I162" s="601"/>
      <c r="J162" s="601"/>
      <c r="K162" s="601"/>
      <c r="L162" s="1002" t="str">
        <f>IFERROR(INDEX(#REF!,MATCH($J162,#REF!,0),MATCH($K162,#REF!,0)),"N/A")</f>
        <v>N/A</v>
      </c>
      <c r="M162" s="1002" t="str">
        <f>IFERROR(VLOOKUP($I162,#REF!,2,FALSE),"N/A")</f>
        <v>N/A</v>
      </c>
      <c r="N162" s="2230" t="str">
        <f t="shared" si="15"/>
        <v>N/A</v>
      </c>
      <c r="O162" s="607"/>
      <c r="P162" s="608" t="str">
        <f>IF($D162="Logistics",VLOOKUP($O162,#REF!,2,FALSE),"N/A")</f>
        <v>N/A</v>
      </c>
    </row>
    <row r="163" spans="1:17" s="8" customFormat="1" x14ac:dyDescent="0.4">
      <c r="A163" s="623"/>
      <c r="B163" s="3787" t="s">
        <v>1671</v>
      </c>
      <c r="C163" s="596" t="s">
        <v>272</v>
      </c>
      <c r="D163" s="617" t="s">
        <v>907</v>
      </c>
      <c r="E163" s="567">
        <f t="shared" si="14"/>
        <v>0</v>
      </c>
      <c r="F163" s="567">
        <f>IF($D163="Trigger",VLOOKUP($C163,'Lower Hot Cell Critical Path'!$C$6:$F$384,4,FALSE),E163+F162)</f>
        <v>0</v>
      </c>
      <c r="G163" s="568"/>
      <c r="H163" s="569" t="s">
        <v>263</v>
      </c>
      <c r="I163" s="617"/>
      <c r="J163" s="617"/>
      <c r="K163" s="617"/>
      <c r="L163" s="570" t="str">
        <f>IFERROR(INDEX(#REF!,MATCH($J163,#REF!,0),MATCH($K163,#REF!,0)),"N/A")</f>
        <v>N/A</v>
      </c>
      <c r="M163" s="570" t="str">
        <f>IFERROR(VLOOKUP($I163,#REF!,2,FALSE),"N/A")</f>
        <v>N/A</v>
      </c>
      <c r="N163" s="1182" t="str">
        <f t="shared" si="15"/>
        <v>N/A</v>
      </c>
      <c r="O163" s="620"/>
      <c r="P163" s="621" t="str">
        <f>IF($D163="Logistics",VLOOKUP($O163,#REF!,2,FALSE),"N/A")</f>
        <v>N/A</v>
      </c>
      <c r="Q163" s="624"/>
    </row>
    <row r="164" spans="1:17" s="8" customFormat="1" x14ac:dyDescent="0.4">
      <c r="A164" s="623"/>
      <c r="B164" s="3786"/>
      <c r="C164" s="625" t="s">
        <v>2197</v>
      </c>
      <c r="D164" s="625" t="s">
        <v>251</v>
      </c>
      <c r="E164" s="574">
        <f t="shared" si="14"/>
        <v>38.941666666666656</v>
      </c>
      <c r="F164" s="574">
        <f>IF($D164="Trigger",VLOOKUP($C164,'Lower Hot Cell Critical Path'!$C$6:$F$384,4,FALSE),E164+F163)</f>
        <v>38.941666666666656</v>
      </c>
      <c r="G164" s="575" t="s">
        <v>133</v>
      </c>
      <c r="H164" s="580">
        <f>VLOOKUP(G164, 'Upper Hot Cell Critical Path'!C:F, 4, FALSE)</f>
        <v>38.941666666666656</v>
      </c>
      <c r="I164" s="572"/>
      <c r="J164" s="572"/>
      <c r="K164" s="572"/>
      <c r="L164" s="853" t="str">
        <f>IFERROR(INDEX(#REF!,MATCH($J164,#REF!,0),MATCH($K164,#REF!,0)),"N/A")</f>
        <v>N/A</v>
      </c>
      <c r="M164" s="853" t="str">
        <f>IFERROR(VLOOKUP($I164,#REF!,2,FALSE),"N/A")</f>
        <v>N/A</v>
      </c>
      <c r="N164" s="1180" t="str">
        <f t="shared" si="15"/>
        <v>N/A</v>
      </c>
      <c r="O164" s="579"/>
      <c r="P164" s="580" t="str">
        <f>IF($D164="Logistics",VLOOKUP($O164,#REF!,2,FALSE),"N/A")</f>
        <v>N/A</v>
      </c>
      <c r="Q164" s="624"/>
    </row>
    <row r="165" spans="1:17" s="8" customFormat="1" ht="15" thickBot="1" x14ac:dyDescent="0.45">
      <c r="A165" s="623"/>
      <c r="B165" s="3788"/>
      <c r="C165" s="583" t="str">
        <f>B163</f>
        <v>LOB Installed</v>
      </c>
      <c r="D165" s="583" t="s">
        <v>11</v>
      </c>
      <c r="E165" s="574">
        <f t="shared" si="14"/>
        <v>0</v>
      </c>
      <c r="F165" s="574">
        <f>IF($D165="Trigger",VLOOKUP($C165,'Lower Hot Cell Critical Path'!$C$6:$F$384,4,FALSE),E165+F164)</f>
        <v>38.941666666666656</v>
      </c>
      <c r="G165" s="575"/>
      <c r="H165" s="576" t="s">
        <v>263</v>
      </c>
      <c r="I165" s="572"/>
      <c r="J165" s="572"/>
      <c r="K165" s="572"/>
      <c r="L165" s="853" t="str">
        <f>IFERROR(INDEX(#REF!,MATCH($J165,#REF!,0),MATCH($K165,#REF!,0)),"N/A")</f>
        <v>N/A</v>
      </c>
      <c r="M165" s="853" t="str">
        <f>IFERROR(VLOOKUP($I165,#REF!,2,FALSE),"N/A")</f>
        <v>N/A</v>
      </c>
      <c r="N165" s="1180" t="str">
        <f t="shared" si="15"/>
        <v>N/A</v>
      </c>
      <c r="O165" s="579"/>
      <c r="P165" s="580" t="str">
        <f>IF($D165="Logistics",VLOOKUP($O165,#REF!,2,FALSE),"N/A")</f>
        <v>N/A</v>
      </c>
      <c r="Q165" s="624"/>
    </row>
    <row r="166" spans="1:17" x14ac:dyDescent="0.4">
      <c r="A166" s="88"/>
      <c r="B166" s="3820" t="s">
        <v>1668</v>
      </c>
      <c r="C166" s="596" t="s">
        <v>272</v>
      </c>
      <c r="D166" s="596" t="s">
        <v>907</v>
      </c>
      <c r="E166" s="593">
        <f t="shared" si="14"/>
        <v>0</v>
      </c>
      <c r="F166" s="593">
        <f>IF($D166="Trigger",VLOOKUP($C166,'Lower Hot Cell Critical Path'!$C$6:$F$384,4,FALSE),E166+F165)</f>
        <v>0</v>
      </c>
      <c r="G166" s="594"/>
      <c r="H166" s="595" t="s">
        <v>263</v>
      </c>
      <c r="I166" s="596"/>
      <c r="J166" s="596"/>
      <c r="K166" s="596"/>
      <c r="L166" s="958" t="str">
        <f>IFERROR(INDEX(#REF!,MATCH($J166,#REF!,0),MATCH($K166,#REF!,0)),"N/A")</f>
        <v>N/A</v>
      </c>
      <c r="M166" s="958" t="str">
        <f>IFERROR(VLOOKUP($I166,#REF!,2,FALSE),"N/A")</f>
        <v>N/A</v>
      </c>
      <c r="N166" s="2229" t="str">
        <f t="shared" si="15"/>
        <v>N/A</v>
      </c>
      <c r="O166" s="599"/>
      <c r="P166" s="600" t="str">
        <f>IF($D166="Logistics",VLOOKUP($O166,#REF!,2,FALSE),"N/A")</f>
        <v>N/A</v>
      </c>
    </row>
    <row r="167" spans="1:17" x14ac:dyDescent="0.4">
      <c r="A167" s="88"/>
      <c r="B167" s="3821"/>
      <c r="C167" s="622" t="s">
        <v>2198</v>
      </c>
      <c r="D167" s="622" t="s">
        <v>251</v>
      </c>
      <c r="E167" s="602">
        <f t="shared" si="14"/>
        <v>33.917222222222215</v>
      </c>
      <c r="F167" s="602">
        <f>IF($D167="Trigger",VLOOKUP($C167,'Lower Hot Cell Critical Path'!$C$6:$F$384,4,FALSE),E167+F166)</f>
        <v>33.917222222222215</v>
      </c>
      <c r="G167" s="603" t="s">
        <v>137</v>
      </c>
      <c r="H167" s="608">
        <f>VLOOKUP(G167, 'Upper Hot Cell Critical Path'!C:F, 4, FALSE)</f>
        <v>33.917222222222215</v>
      </c>
      <c r="I167" s="601"/>
      <c r="J167" s="601"/>
      <c r="K167" s="601"/>
      <c r="L167" s="1002" t="str">
        <f>IFERROR(INDEX(#REF!,MATCH($J167,#REF!,0),MATCH($K167,#REF!,0)),"N/A")</f>
        <v>N/A</v>
      </c>
      <c r="M167" s="1002" t="str">
        <f>IFERROR(VLOOKUP($I167,#REF!,2,FALSE),"N/A")</f>
        <v>N/A</v>
      </c>
      <c r="N167" s="2230" t="str">
        <f t="shared" si="15"/>
        <v>N/A</v>
      </c>
      <c r="O167" s="607"/>
      <c r="P167" s="608" t="str">
        <f>IF($D167="Logistics",VLOOKUP($O167,#REF!,2,FALSE),"N/A")</f>
        <v>N/A</v>
      </c>
    </row>
    <row r="168" spans="1:17" ht="15" thickBot="1" x14ac:dyDescent="0.45">
      <c r="A168" s="88"/>
      <c r="B168" s="3822"/>
      <c r="C168" s="609" t="str">
        <f>B166</f>
        <v>ROB Installed</v>
      </c>
      <c r="D168" s="609" t="s">
        <v>11</v>
      </c>
      <c r="E168" s="602">
        <f t="shared" si="14"/>
        <v>0</v>
      </c>
      <c r="F168" s="602">
        <f>IF($D168="Trigger",VLOOKUP($C168,'Lower Hot Cell Critical Path'!$C$6:$F$384,4,FALSE),E168+F167)</f>
        <v>33.917222222222215</v>
      </c>
      <c r="G168" s="603"/>
      <c r="H168" s="604" t="s">
        <v>263</v>
      </c>
      <c r="I168" s="601"/>
      <c r="J168" s="601"/>
      <c r="K168" s="601"/>
      <c r="L168" s="1002" t="str">
        <f>IFERROR(INDEX(#REF!,MATCH($J168,#REF!,0),MATCH($K168,#REF!,0)),"N/A")</f>
        <v>N/A</v>
      </c>
      <c r="M168" s="1002" t="str">
        <f>IFERROR(VLOOKUP($I168,#REF!,2,FALSE),"N/A")</f>
        <v>N/A</v>
      </c>
      <c r="N168" s="2230" t="str">
        <f t="shared" si="15"/>
        <v>N/A</v>
      </c>
      <c r="O168" s="607"/>
      <c r="P168" s="608" t="str">
        <f>IF($D168="Logistics",VLOOKUP($O168,#REF!,2,FALSE),"N/A")</f>
        <v>N/A</v>
      </c>
    </row>
    <row r="169" spans="1:17" s="8" customFormat="1" x14ac:dyDescent="0.4">
      <c r="A169" s="623"/>
      <c r="B169" s="3787" t="s">
        <v>1655</v>
      </c>
      <c r="C169" s="596" t="s">
        <v>272</v>
      </c>
      <c r="D169" s="617" t="s">
        <v>907</v>
      </c>
      <c r="E169" s="567">
        <f t="shared" si="14"/>
        <v>0</v>
      </c>
      <c r="F169" s="567">
        <f>IF($D169="Trigger",VLOOKUP($C169,'Lower Hot Cell Critical Path'!$C$6:$F$384,4,FALSE),E169+F168)</f>
        <v>0</v>
      </c>
      <c r="G169" s="568"/>
      <c r="H169" s="569" t="s">
        <v>263</v>
      </c>
      <c r="I169" s="617"/>
      <c r="J169" s="617"/>
      <c r="K169" s="617"/>
      <c r="L169" s="570" t="str">
        <f>IFERROR(INDEX(#REF!,MATCH($J169,#REF!,0),MATCH($K169,#REF!,0)),"N/A")</f>
        <v>N/A</v>
      </c>
      <c r="M169" s="570" t="str">
        <f>IFERROR(VLOOKUP($I169,#REF!,2,FALSE),"N/A")</f>
        <v>N/A</v>
      </c>
      <c r="N169" s="1182" t="str">
        <f t="shared" si="15"/>
        <v>N/A</v>
      </c>
      <c r="O169" s="620"/>
      <c r="P169" s="621" t="str">
        <f>IF($D169="Logistics",VLOOKUP($O169,#REF!,2,FALSE),"N/A")</f>
        <v>N/A</v>
      </c>
      <c r="Q169" s="624"/>
    </row>
    <row r="170" spans="1:17" s="8" customFormat="1" x14ac:dyDescent="0.4">
      <c r="A170" s="623"/>
      <c r="B170" s="3786"/>
      <c r="C170" s="625" t="s">
        <v>2199</v>
      </c>
      <c r="D170" s="625" t="s">
        <v>251</v>
      </c>
      <c r="E170" s="574">
        <f t="shared" si="14"/>
        <v>28.892777777777773</v>
      </c>
      <c r="F170" s="574">
        <f>IF($D170="Trigger",VLOOKUP($C170,'Lower Hot Cell Critical Path'!$C$6:$F$384,4,FALSE),E170+F169)</f>
        <v>28.892777777777773</v>
      </c>
      <c r="G170" s="575" t="s">
        <v>139</v>
      </c>
      <c r="H170" s="580">
        <f>VLOOKUP(G170, 'Upper Hot Cell Critical Path'!C:F, 4, FALSE)</f>
        <v>28.892777777777773</v>
      </c>
      <c r="I170" s="572"/>
      <c r="J170" s="572"/>
      <c r="K170" s="572"/>
      <c r="L170" s="853" t="str">
        <f>IFERROR(INDEX(#REF!,MATCH($J170,#REF!,0),MATCH($K170,#REF!,0)),"N/A")</f>
        <v>N/A</v>
      </c>
      <c r="M170" s="853" t="str">
        <f>IFERROR(VLOOKUP($I170,#REF!,2,FALSE),"N/A")</f>
        <v>N/A</v>
      </c>
      <c r="N170" s="1180" t="str">
        <f t="shared" si="15"/>
        <v>N/A</v>
      </c>
      <c r="O170" s="579"/>
      <c r="P170" s="580" t="str">
        <f>IF($D170="Logistics",VLOOKUP($O170,#REF!,2,FALSE),"N/A")</f>
        <v>N/A</v>
      </c>
      <c r="Q170" s="624"/>
    </row>
    <row r="171" spans="1:17" s="8" customFormat="1" ht="15" thickBot="1" x14ac:dyDescent="0.45">
      <c r="A171" s="623"/>
      <c r="B171" s="3788"/>
      <c r="C171" s="583" t="str">
        <f>B169</f>
        <v>LIB Installed</v>
      </c>
      <c r="D171" s="583" t="s">
        <v>11</v>
      </c>
      <c r="E171" s="574">
        <f t="shared" si="14"/>
        <v>0</v>
      </c>
      <c r="F171" s="574">
        <f>IF($D171="Trigger",VLOOKUP($C171,'Lower Hot Cell Critical Path'!$C$6:$F$384,4,FALSE),E171+F170)</f>
        <v>28.892777777777773</v>
      </c>
      <c r="G171" s="575"/>
      <c r="H171" s="576" t="s">
        <v>263</v>
      </c>
      <c r="I171" s="572"/>
      <c r="J171" s="572"/>
      <c r="K171" s="572"/>
      <c r="L171" s="853" t="str">
        <f>IFERROR(INDEX(#REF!,MATCH($J171,#REF!,0),MATCH($K171,#REF!,0)),"N/A")</f>
        <v>N/A</v>
      </c>
      <c r="M171" s="853" t="str">
        <f>IFERROR(VLOOKUP($I171,#REF!,2,FALSE),"N/A")</f>
        <v>N/A</v>
      </c>
      <c r="N171" s="1180" t="str">
        <f t="shared" si="15"/>
        <v>N/A</v>
      </c>
      <c r="O171" s="579"/>
      <c r="P171" s="580" t="str">
        <f>IF($D171="Logistics",VLOOKUP($O171,#REF!,2,FALSE),"N/A")</f>
        <v>N/A</v>
      </c>
      <c r="Q171" s="624"/>
    </row>
    <row r="172" spans="1:17" x14ac:dyDescent="0.4">
      <c r="A172" s="88"/>
      <c r="B172" s="3820" t="s">
        <v>1651</v>
      </c>
      <c r="C172" s="596" t="s">
        <v>272</v>
      </c>
      <c r="D172" s="596" t="s">
        <v>907</v>
      </c>
      <c r="E172" s="593">
        <f t="shared" si="14"/>
        <v>0</v>
      </c>
      <c r="F172" s="593">
        <f>IF($D172="Trigger",VLOOKUP($C172,'Lower Hot Cell Critical Path'!$C$6:$F$384,4,FALSE),E172+F171)</f>
        <v>0</v>
      </c>
      <c r="G172" s="594"/>
      <c r="H172" s="595" t="s">
        <v>263</v>
      </c>
      <c r="I172" s="596"/>
      <c r="J172" s="596"/>
      <c r="K172" s="596"/>
      <c r="L172" s="958" t="str">
        <f>IFERROR(INDEX(#REF!,MATCH($J172,#REF!,0),MATCH($K172,#REF!,0)),"N/A")</f>
        <v>N/A</v>
      </c>
      <c r="M172" s="958" t="str">
        <f>IFERROR(VLOOKUP($I172,#REF!,2,FALSE),"N/A")</f>
        <v>N/A</v>
      </c>
      <c r="N172" s="2229" t="str">
        <f t="shared" si="15"/>
        <v>N/A</v>
      </c>
      <c r="O172" s="599"/>
      <c r="P172" s="600" t="str">
        <f>IF($D172="Logistics",VLOOKUP($O172,#REF!,2,FALSE),"N/A")</f>
        <v>N/A</v>
      </c>
    </row>
    <row r="173" spans="1:17" x14ac:dyDescent="0.4">
      <c r="A173" s="88"/>
      <c r="B173" s="3821"/>
      <c r="C173" s="622" t="s">
        <v>2200</v>
      </c>
      <c r="D173" s="622" t="s">
        <v>251</v>
      </c>
      <c r="E173" s="602">
        <f t="shared" si="14"/>
        <v>23.868333333333332</v>
      </c>
      <c r="F173" s="602">
        <f>IF($D173="Trigger",VLOOKUP($C173,'Lower Hot Cell Critical Path'!$C$6:$F$384,4,FALSE),E173+F172)</f>
        <v>23.868333333333332</v>
      </c>
      <c r="G173" s="603" t="s">
        <v>141</v>
      </c>
      <c r="H173" s="608">
        <f>VLOOKUP(G173, 'Upper Hot Cell Critical Path'!C:F, 4, FALSE)</f>
        <v>23.868333333333332</v>
      </c>
      <c r="I173" s="601"/>
      <c r="J173" s="601"/>
      <c r="K173" s="601"/>
      <c r="L173" s="1002" t="str">
        <f>IFERROR(INDEX(#REF!,MATCH($J173,#REF!,0),MATCH($K173,#REF!,0)),"N/A")</f>
        <v>N/A</v>
      </c>
      <c r="M173" s="1002" t="str">
        <f>IFERROR(VLOOKUP($I173,#REF!,2,FALSE),"N/A")</f>
        <v>N/A</v>
      </c>
      <c r="N173" s="2230" t="str">
        <f t="shared" si="15"/>
        <v>N/A</v>
      </c>
      <c r="O173" s="607"/>
      <c r="P173" s="608" t="str">
        <f>IF($D173="Logistics",VLOOKUP($O173,#REF!,2,FALSE),"N/A")</f>
        <v>N/A</v>
      </c>
    </row>
    <row r="174" spans="1:17" ht="15" thickBot="1" x14ac:dyDescent="0.45">
      <c r="A174" s="88"/>
      <c r="B174" s="3822"/>
      <c r="C174" s="609" t="str">
        <f>B172</f>
        <v>RIB Installed</v>
      </c>
      <c r="D174" s="609" t="s">
        <v>11</v>
      </c>
      <c r="E174" s="602">
        <f t="shared" si="14"/>
        <v>0</v>
      </c>
      <c r="F174" s="602">
        <f>IF($D174="Trigger",VLOOKUP($C174,'Lower Hot Cell Critical Path'!$C$6:$F$384,4,FALSE),E174+F173)</f>
        <v>23.868333333333332</v>
      </c>
      <c r="G174" s="603"/>
      <c r="H174" s="604" t="s">
        <v>263</v>
      </c>
      <c r="I174" s="601"/>
      <c r="J174" s="601"/>
      <c r="K174" s="601"/>
      <c r="L174" s="1002" t="str">
        <f>IFERROR(INDEX(#REF!,MATCH($J174,#REF!,0),MATCH($K174,#REF!,0)),"N/A")</f>
        <v>N/A</v>
      </c>
      <c r="M174" s="1002" t="str">
        <f>IFERROR(VLOOKUP($I174,#REF!,2,FALSE),"N/A")</f>
        <v>N/A</v>
      </c>
      <c r="N174" s="2230" t="str">
        <f t="shared" si="15"/>
        <v>N/A</v>
      </c>
      <c r="O174" s="607"/>
      <c r="P174" s="608" t="str">
        <f>IF($D174="Logistics",VLOOKUP($O174,#REF!,2,FALSE),"N/A")</f>
        <v>N/A</v>
      </c>
    </row>
    <row r="175" spans="1:17" x14ac:dyDescent="0.4">
      <c r="B175" s="3814" t="s">
        <v>2068</v>
      </c>
      <c r="C175" s="1324" t="s">
        <v>272</v>
      </c>
      <c r="D175" s="1324" t="s">
        <v>907</v>
      </c>
      <c r="E175" s="1291">
        <f t="shared" si="14"/>
        <v>0</v>
      </c>
      <c r="F175" s="1739">
        <f>IF($D175="Trigger",VLOOKUP($C175,'Lower Hot Cell Critical Path'!$C$6:$F$384,4,FALSE),E175+F174)</f>
        <v>0</v>
      </c>
      <c r="G175" s="825"/>
      <c r="H175" s="1323" t="s">
        <v>263</v>
      </c>
      <c r="I175" s="1721"/>
      <c r="J175" s="1324"/>
      <c r="K175" s="1324"/>
      <c r="L175" s="828" t="str">
        <f>IFERROR(INDEX('Lower Hot Cell Logistics'!$I$13:$O$19,MATCH($J175,'Lower Hot Cell Logistics'!$H$13:$H$19,0),MATCH($K175,'Lower Hot Cell Logistics'!$H$13:$H$19,0)),"N/A")</f>
        <v>N/A</v>
      </c>
      <c r="M175" s="828" t="str">
        <f>IFERROR(VLOOKUP($I175,'Lower Hot Cell Logistics'!$H$4:$I$8,2,FALSE),"N/A")</f>
        <v>N/A</v>
      </c>
      <c r="N175" s="2200" t="str">
        <f t="shared" si="15"/>
        <v>N/A</v>
      </c>
      <c r="O175" s="1327"/>
      <c r="P175" s="824" t="str">
        <f>IF($D175="Logistics",VLOOKUP($O175,'Lower Hot Cell Logistics'!$C$4:$D$69,2,FALSE),"N/A")</f>
        <v>N/A</v>
      </c>
    </row>
    <row r="176" spans="1:17" x14ac:dyDescent="0.4">
      <c r="B176" s="3815"/>
      <c r="C176" s="1362" t="s">
        <v>2201</v>
      </c>
      <c r="D176" s="1362" t="s">
        <v>3</v>
      </c>
      <c r="E176" s="1292">
        <f t="shared" si="14"/>
        <v>0.68</v>
      </c>
      <c r="F176" s="1293">
        <f>IF($D176="Trigger",VLOOKUP($C176,'Lower Hot Cell Critical Path'!$C$6:$F$384,4,FALSE),E176+F175)</f>
        <v>0.68</v>
      </c>
      <c r="G176" s="862"/>
      <c r="H176" s="1328" t="s">
        <v>263</v>
      </c>
      <c r="I176" s="1724"/>
      <c r="J176" s="1294"/>
      <c r="K176" s="1294"/>
      <c r="L176" s="865" t="str">
        <f>IFERROR(INDEX('Lower Hot Cell Logistics'!$I$13:$O$19,MATCH($J176,'Lower Hot Cell Logistics'!$H$13:$H$19,0),MATCH($K176,'Lower Hot Cell Logistics'!$H$13:$H$19,0)),"N/A")</f>
        <v>N/A</v>
      </c>
      <c r="M176" s="865" t="str">
        <f>IFERROR(VLOOKUP($I176,'Lower Hot Cell Logistics'!$H$4:$I$8,2,FALSE),"N/A")</f>
        <v>N/A</v>
      </c>
      <c r="N176" s="2197" t="str">
        <f t="shared" si="15"/>
        <v>N/A</v>
      </c>
      <c r="O176" s="1331" t="s">
        <v>2148</v>
      </c>
      <c r="P176" s="1332">
        <f>IF($D176="Logistics",VLOOKUP($O176,'Lower Hot Cell Logistics'!$C$4:$D$69,2,FALSE),"N/A")</f>
        <v>0.68</v>
      </c>
    </row>
    <row r="177" spans="2:19" x14ac:dyDescent="0.4">
      <c r="B177" s="3815"/>
      <c r="C177" s="1362" t="s">
        <v>2202</v>
      </c>
      <c r="D177" s="1294" t="s">
        <v>778</v>
      </c>
      <c r="E177" s="1292">
        <f t="shared" si="14"/>
        <v>9.2592592592592601E-2</v>
      </c>
      <c r="F177" s="1293">
        <f>IF($D177="Trigger",VLOOKUP($C177,'Lower Hot Cell Critical Path'!$C$6:$F$384,4,FALSE),E177+F176)</f>
        <v>0.77259259259259261</v>
      </c>
      <c r="G177" s="862"/>
      <c r="H177" s="1328" t="s">
        <v>263</v>
      </c>
      <c r="I177" s="1724" t="s">
        <v>2190</v>
      </c>
      <c r="J177" s="1294" t="s">
        <v>799</v>
      </c>
      <c r="K177" s="1294" t="s">
        <v>1957</v>
      </c>
      <c r="L177" s="865">
        <f>IFERROR(INDEX('Lower Hot Cell Logistics'!$I$13:$O$19,MATCH($J177,'Lower Hot Cell Logistics'!$H$13:$H$19,0),MATCH($K177,'Lower Hot Cell Logistics'!$H$13:$H$19,0)),"N/A")</f>
        <v>20</v>
      </c>
      <c r="M177" s="865">
        <f>IFERROR(VLOOKUP($I177,'Lower Hot Cell Logistics'!$H$4:$I$8,2,FALSE),"N/A")</f>
        <v>0.06</v>
      </c>
      <c r="N177" s="2197">
        <f t="shared" si="15"/>
        <v>9.2592592592592601E-2</v>
      </c>
      <c r="O177" s="1331"/>
      <c r="P177" s="1332" t="str">
        <f>IF($D177="Logistics",VLOOKUP($O177,'Lower Hot Cell Logistics'!$C$4:$D$69,2,FALSE),"N/A")</f>
        <v>N/A</v>
      </c>
    </row>
    <row r="178" spans="2:19" x14ac:dyDescent="0.4">
      <c r="B178" s="3815"/>
      <c r="C178" s="1362" t="s">
        <v>2203</v>
      </c>
      <c r="D178" s="1294" t="s">
        <v>3</v>
      </c>
      <c r="E178" s="1292">
        <f t="shared" si="14"/>
        <v>0.68</v>
      </c>
      <c r="F178" s="1293">
        <f>IF($D178="Trigger",VLOOKUP($C178,'Lower Hot Cell Critical Path'!$C$6:$F$384,4,FALSE),E178+F177)</f>
        <v>1.4525925925925927</v>
      </c>
      <c r="G178" s="862"/>
      <c r="H178" s="1328" t="s">
        <v>263</v>
      </c>
      <c r="I178" s="1724"/>
      <c r="J178" s="1294"/>
      <c r="K178" s="1294"/>
      <c r="L178" s="865" t="str">
        <f>IFERROR(INDEX('Lower Hot Cell Logistics'!$I$13:$O$19,MATCH($J178,'Lower Hot Cell Logistics'!$H$13:$H$19,0),MATCH($K178,'Lower Hot Cell Logistics'!$H$13:$H$19,0)),"N/A")</f>
        <v>N/A</v>
      </c>
      <c r="M178" s="865" t="str">
        <f>IFERROR(VLOOKUP($I178,'Lower Hot Cell Logistics'!$H$4:$I$8,2,FALSE),"N/A")</f>
        <v>N/A</v>
      </c>
      <c r="N178" s="2197" t="str">
        <f t="shared" si="15"/>
        <v>N/A</v>
      </c>
      <c r="O178" s="1331" t="s">
        <v>2148</v>
      </c>
      <c r="P178" s="1332">
        <f>IF($D178="Logistics",VLOOKUP($O178,'Lower Hot Cell Logistics'!$C$4:$D$69,2,FALSE),"N/A")</f>
        <v>0.68</v>
      </c>
    </row>
    <row r="179" spans="2:19" x14ac:dyDescent="0.4">
      <c r="B179" s="3815"/>
      <c r="C179" s="1294" t="s">
        <v>2204</v>
      </c>
      <c r="D179" s="1294" t="s">
        <v>778</v>
      </c>
      <c r="E179" s="1292">
        <f t="shared" si="14"/>
        <v>0.69444444444444442</v>
      </c>
      <c r="F179" s="1292">
        <f>IF($D179="Trigger",VLOOKUP($C179,'Lower Hot Cell Critical Path'!$C$6:$F$384,4,FALSE),E179+F178)</f>
        <v>2.1470370370370371</v>
      </c>
      <c r="G179" s="862"/>
      <c r="H179" s="1328" t="s">
        <v>263</v>
      </c>
      <c r="I179" s="1724" t="s">
        <v>1826</v>
      </c>
      <c r="J179" s="1294" t="s">
        <v>799</v>
      </c>
      <c r="K179" s="1294" t="s">
        <v>451</v>
      </c>
      <c r="L179" s="865">
        <f>IFERROR(INDEX('Lower Hot Cell Logistics'!$I$13:$O$19,MATCH($J179,'Lower Hot Cell Logistics'!$H$13:$H$19,0),MATCH($K179,'Lower Hot Cell Logistics'!$H$13:$H$19,0)),"N/A")</f>
        <v>50</v>
      </c>
      <c r="M179" s="865">
        <f>IFERROR(VLOOKUP($I179,'Lower Hot Cell Logistics'!$H$4:$I$8,2,FALSE),"N/A")</f>
        <v>0.02</v>
      </c>
      <c r="N179" s="2197">
        <f t="shared" si="15"/>
        <v>0.69444444444444442</v>
      </c>
      <c r="O179" s="1331"/>
      <c r="P179" s="1332" t="str">
        <f>IF($D179="Logistics",VLOOKUP($O179,'Lower Hot Cell Logistics'!$C$4:$D$69,2,FALSE),"N/A")</f>
        <v>N/A</v>
      </c>
    </row>
    <row r="180" spans="2:19" ht="26.6" thickBot="1" x14ac:dyDescent="0.45">
      <c r="B180" s="3816"/>
      <c r="C180" s="1340" t="str">
        <f>B175</f>
        <v>Inner Port Pipework Collected and Prepared; RIB inner pipe module collected; Inner Port Pipework Cask Moved to Lower Port</v>
      </c>
      <c r="D180" s="1340" t="s">
        <v>11</v>
      </c>
      <c r="E180" s="1295">
        <f t="shared" si="14"/>
        <v>0</v>
      </c>
      <c r="F180" s="1295">
        <f>IF($D180="Trigger",VLOOKUP($C180,'Lower Hot Cell Critical Path'!$C$6:$F$384,4,FALSE),E180+F179)</f>
        <v>2.1470370370370371</v>
      </c>
      <c r="G180" s="839"/>
      <c r="H180" s="1341" t="s">
        <v>263</v>
      </c>
      <c r="I180" s="1727"/>
      <c r="J180" s="1340"/>
      <c r="K180" s="1340"/>
      <c r="L180" s="842" t="str">
        <f>IFERROR(INDEX('Lower Hot Cell Logistics'!$I$13:$O$19,MATCH($J180,'Lower Hot Cell Logistics'!$H$13:$H$19,0),MATCH($K180,'Lower Hot Cell Logistics'!$H$13:$H$19,0)),"N/A")</f>
        <v>N/A</v>
      </c>
      <c r="M180" s="842" t="str">
        <f>IFERROR(VLOOKUP($I180,'Lower Hot Cell Logistics'!$H$4:$I$8,2,FALSE),"N/A")</f>
        <v>N/A</v>
      </c>
      <c r="N180" s="2199" t="str">
        <f t="shared" si="15"/>
        <v>N/A</v>
      </c>
      <c r="O180" s="1344"/>
      <c r="P180" s="1345" t="str">
        <f>IF($D180="Logistics",VLOOKUP($O180,'Lower Hot Cell Logistics'!$C$4:$D$69,2,FALSE),"N/A")</f>
        <v>N/A</v>
      </c>
    </row>
    <row r="181" spans="2:19" s="89" customFormat="1" x14ac:dyDescent="0.4">
      <c r="B181" s="3787" t="s">
        <v>2072</v>
      </c>
      <c r="C181" s="617" t="s">
        <v>2066</v>
      </c>
      <c r="D181" s="617" t="s">
        <v>907</v>
      </c>
      <c r="E181" s="567">
        <f t="shared" si="14"/>
        <v>0</v>
      </c>
      <c r="F181" s="567">
        <f>IF($D181="Trigger",VLOOKUP($C181,'Lower Hot Cell Critical Path'!$C$6:$F$384,4,FALSE),E181+F180)</f>
        <v>18.133333333333333</v>
      </c>
      <c r="G181" s="568"/>
      <c r="H181" s="569" t="s">
        <v>263</v>
      </c>
      <c r="I181" s="1270"/>
      <c r="J181" s="617"/>
      <c r="K181" s="617"/>
      <c r="L181" s="570" t="str">
        <f>IFERROR(INDEX('Lower Hot Cell Logistics'!$I$13:$O$19,MATCH($J181,'Lower Hot Cell Logistics'!$H$13:$H$19,0),MATCH($K181,'Lower Hot Cell Logistics'!$H$13:$H$19,0)),"N/A")</f>
        <v>N/A</v>
      </c>
      <c r="M181" s="570" t="str">
        <f>IFERROR(VLOOKUP($I181,'Lower Hot Cell Logistics'!$H$4:$I$8,2,FALSE),"N/A")</f>
        <v>N/A</v>
      </c>
      <c r="N181" s="1182" t="str">
        <f t="shared" si="15"/>
        <v>N/A</v>
      </c>
      <c r="O181" s="620"/>
      <c r="P181" s="621" t="str">
        <f>IF($D181="Logistics",VLOOKUP($O181,'Lower Hot Cell Logistics'!$C$4:$D$69,2,FALSE),"N/A")</f>
        <v>N/A</v>
      </c>
      <c r="R181"/>
      <c r="S181"/>
    </row>
    <row r="182" spans="2:19" s="89" customFormat="1" x14ac:dyDescent="0.4">
      <c r="B182" s="3786"/>
      <c r="C182" s="572" t="s">
        <v>2205</v>
      </c>
      <c r="D182" s="572" t="s">
        <v>778</v>
      </c>
      <c r="E182" s="574">
        <f t="shared" si="14"/>
        <v>0.69444444444444442</v>
      </c>
      <c r="F182" s="574">
        <f>IF($D182="Trigger",VLOOKUP($C182,'Lower Hot Cell Critical Path'!$C$6:$F$384,4,FALSE),E182+F181)</f>
        <v>18.827777777777776</v>
      </c>
      <c r="G182" s="575"/>
      <c r="H182" s="576" t="s">
        <v>263</v>
      </c>
      <c r="I182" s="1281" t="s">
        <v>1826</v>
      </c>
      <c r="J182" s="572" t="s">
        <v>451</v>
      </c>
      <c r="K182" s="572" t="s">
        <v>914</v>
      </c>
      <c r="L182" s="853">
        <f>IFERROR(INDEX('Lower Hot Cell Logistics'!$I$13:$O$19,MATCH($J182,'Lower Hot Cell Logistics'!$H$13:$H$19,0),MATCH($K182,'Lower Hot Cell Logistics'!$H$13:$H$19,0)),"N/A")</f>
        <v>50</v>
      </c>
      <c r="M182" s="853">
        <f>IFERROR(VLOOKUP($I182,'Lower Hot Cell Logistics'!$H$4:$I$8,2,FALSE),"N/A")</f>
        <v>0.02</v>
      </c>
      <c r="N182" s="1180">
        <f t="shared" si="15"/>
        <v>0.69444444444444442</v>
      </c>
      <c r="O182" s="579"/>
      <c r="P182" s="580" t="str">
        <f>IF($D182="Logistics",VLOOKUP($O182,'Lower Hot Cell Logistics'!$C$4:$D$69,2,FALSE),"N/A")</f>
        <v>N/A</v>
      </c>
      <c r="R182"/>
      <c r="S182"/>
    </row>
    <row r="183" spans="2:19" s="89" customFormat="1" x14ac:dyDescent="0.4">
      <c r="B183" s="3786"/>
      <c r="C183" s="572" t="s">
        <v>2206</v>
      </c>
      <c r="D183" s="572" t="s">
        <v>3</v>
      </c>
      <c r="E183" s="574">
        <f t="shared" si="14"/>
        <v>0.88000000000000012</v>
      </c>
      <c r="F183" s="574">
        <f>IF($D183="Trigger",VLOOKUP($C183,'Lower Hot Cell Critical Path'!$C$6:$F$384,4,FALSE),E183+F182)</f>
        <v>19.707777777777775</v>
      </c>
      <c r="G183" s="575"/>
      <c r="H183" s="576" t="s">
        <v>263</v>
      </c>
      <c r="I183" s="1281"/>
      <c r="J183" s="572"/>
      <c r="K183" s="572"/>
      <c r="L183" s="853" t="str">
        <f>IFERROR(INDEX('Lower Hot Cell Logistics'!$I$13:$O$19,MATCH($J183,'Lower Hot Cell Logistics'!$H$13:$H$19,0),MATCH($K183,'Lower Hot Cell Logistics'!$H$13:$H$19,0)),"N/A")</f>
        <v>N/A</v>
      </c>
      <c r="M183" s="853" t="str">
        <f>IFERROR(VLOOKUP($I183,'Lower Hot Cell Logistics'!$H$4:$I$8,2,FALSE),"N/A")</f>
        <v>N/A</v>
      </c>
      <c r="N183" s="1180" t="str">
        <f t="shared" si="15"/>
        <v>N/A</v>
      </c>
      <c r="O183" s="579" t="s">
        <v>2168</v>
      </c>
      <c r="P183" s="580">
        <f>IF($D183="Logistics",VLOOKUP($O183,'Lower Hot Cell Logistics'!$C$4:$D$69,2,FALSE),"N/A")</f>
        <v>0.88000000000000012</v>
      </c>
      <c r="R183"/>
      <c r="S183"/>
    </row>
    <row r="184" spans="2:19" s="89" customFormat="1" x14ac:dyDescent="0.4">
      <c r="B184" s="3786"/>
      <c r="C184" s="572" t="s">
        <v>2145</v>
      </c>
      <c r="D184" s="572" t="s">
        <v>778</v>
      </c>
      <c r="E184" s="574">
        <f t="shared" si="14"/>
        <v>2.7777777777777776E-2</v>
      </c>
      <c r="F184" s="574">
        <f>IF($D184="Trigger",VLOOKUP($C184,'Lower Hot Cell Critical Path'!$C$6:$F$384,4,FALSE),E184+F183)</f>
        <v>19.735555555555553</v>
      </c>
      <c r="G184" s="575"/>
      <c r="H184" s="576" t="s">
        <v>263</v>
      </c>
      <c r="I184" s="1281" t="s">
        <v>2146</v>
      </c>
      <c r="J184" s="572" t="s">
        <v>914</v>
      </c>
      <c r="K184" s="572" t="s">
        <v>799</v>
      </c>
      <c r="L184" s="853">
        <f>IFERROR(INDEX('Lower Hot Cell Logistics'!$I$13:$O$19,MATCH($J184,'Lower Hot Cell Logistics'!$H$13:$H$19,0),MATCH($K184,'Lower Hot Cell Logistics'!$H$13:$H$19,0)),"N/A")</f>
        <v>20</v>
      </c>
      <c r="M184" s="853">
        <f>IFERROR(VLOOKUP($I184,'Lower Hot Cell Logistics'!$H$4:$I$8,2,FALSE),"N/A")</f>
        <v>0.2</v>
      </c>
      <c r="N184" s="1180">
        <f t="shared" si="15"/>
        <v>2.7777777777777776E-2</v>
      </c>
      <c r="O184" s="579"/>
      <c r="P184" s="580" t="str">
        <f>IF($D184="Logistics",VLOOKUP($O184,'Lower Hot Cell Logistics'!$C$4:$D$69,2,FALSE),"N/A")</f>
        <v>N/A</v>
      </c>
      <c r="R184"/>
      <c r="S184"/>
    </row>
    <row r="185" spans="2:19" s="89" customFormat="1" x14ac:dyDescent="0.4">
      <c r="B185" s="3786"/>
      <c r="C185" s="572" t="s">
        <v>2201</v>
      </c>
      <c r="D185" s="572" t="s">
        <v>3</v>
      </c>
      <c r="E185" s="574">
        <f t="shared" si="14"/>
        <v>0.68</v>
      </c>
      <c r="F185" s="574">
        <f>IF($D185="Trigger",VLOOKUP($C185,'Lower Hot Cell Critical Path'!$C$6:$F$384,4,FALSE),E185+F184)</f>
        <v>20.415555555555553</v>
      </c>
      <c r="G185" s="575"/>
      <c r="H185" s="576" t="s">
        <v>263</v>
      </c>
      <c r="I185" s="1281"/>
      <c r="J185" s="572"/>
      <c r="K185" s="572"/>
      <c r="L185" s="853" t="str">
        <f>IFERROR(INDEX('Lower Hot Cell Logistics'!$I$13:$O$19,MATCH($J185,'Lower Hot Cell Logistics'!$H$13:$H$19,0),MATCH($K185,'Lower Hot Cell Logistics'!$H$13:$H$19,0)),"N/A")</f>
        <v>N/A</v>
      </c>
      <c r="M185" s="853" t="str">
        <f>IFERROR(VLOOKUP($I185,'Lower Hot Cell Logistics'!$H$4:$I$8,2,FALSE),"N/A")</f>
        <v>N/A</v>
      </c>
      <c r="N185" s="1180" t="str">
        <f t="shared" si="15"/>
        <v>N/A</v>
      </c>
      <c r="O185" s="579" t="s">
        <v>2148</v>
      </c>
      <c r="P185" s="580">
        <f>IF($D185="Logistics",VLOOKUP($O185,'Lower Hot Cell Logistics'!$C$4:$D$69,2,FALSE),"N/A")</f>
        <v>0.68</v>
      </c>
      <c r="R185"/>
      <c r="S185"/>
    </row>
    <row r="186" spans="2:19" s="89" customFormat="1" x14ac:dyDescent="0.4">
      <c r="B186" s="3786"/>
      <c r="C186" s="572" t="s">
        <v>2207</v>
      </c>
      <c r="D186" s="572" t="s">
        <v>778</v>
      </c>
      <c r="E186" s="574">
        <f t="shared" si="14"/>
        <v>9.2592592592592601E-2</v>
      </c>
      <c r="F186" s="574">
        <f>IF($D186="Trigger",VLOOKUP($C186,'Lower Hot Cell Critical Path'!$C$6:$F$384,4,FALSE),E186+F185)</f>
        <v>20.508148148148145</v>
      </c>
      <c r="G186" s="575"/>
      <c r="H186" s="576" t="s">
        <v>263</v>
      </c>
      <c r="I186" s="1281" t="s">
        <v>2142</v>
      </c>
      <c r="J186" s="572" t="s">
        <v>799</v>
      </c>
      <c r="K186" s="572" t="s">
        <v>1957</v>
      </c>
      <c r="L186" s="853">
        <f>IFERROR(INDEX('Lower Hot Cell Logistics'!$I$13:$O$19,MATCH($J186,'Lower Hot Cell Logistics'!$H$13:$H$19,0),MATCH($K186,'Lower Hot Cell Logistics'!$H$13:$H$19,0)),"N/A")</f>
        <v>20</v>
      </c>
      <c r="M186" s="853">
        <f>IFERROR(VLOOKUP($I186,'Lower Hot Cell Logistics'!$H$4:$I$8,2,FALSE),"N/A")</f>
        <v>0.06</v>
      </c>
      <c r="N186" s="1180">
        <f t="shared" si="15"/>
        <v>9.2592592592592601E-2</v>
      </c>
      <c r="O186" s="579"/>
      <c r="P186" s="580" t="str">
        <f>IF($D186="Logistics",VLOOKUP($O186,'Lower Hot Cell Logistics'!$C$4:$D$69,2,FALSE),"N/A")</f>
        <v>N/A</v>
      </c>
      <c r="R186"/>
      <c r="S186"/>
    </row>
    <row r="187" spans="2:19" s="89" customFormat="1" x14ac:dyDescent="0.4">
      <c r="B187" s="3786"/>
      <c r="C187" s="581" t="s">
        <v>2208</v>
      </c>
      <c r="D187" s="581" t="s">
        <v>3</v>
      </c>
      <c r="E187" s="574">
        <f t="shared" si="14"/>
        <v>0.68</v>
      </c>
      <c r="F187" s="574">
        <f>IF($D187="Trigger",VLOOKUP($C187,'Lower Hot Cell Critical Path'!$C$6:$F$384,4,FALSE),E187+F186)</f>
        <v>21.188148148148144</v>
      </c>
      <c r="G187" s="575"/>
      <c r="H187" s="576" t="s">
        <v>263</v>
      </c>
      <c r="I187" s="1281"/>
      <c r="J187" s="572"/>
      <c r="K187" s="572"/>
      <c r="L187" s="853" t="str">
        <f>IFERROR(INDEX('Lower Hot Cell Logistics'!$I$13:$O$19,MATCH($J187,'Lower Hot Cell Logistics'!$H$13:$H$19,0),MATCH($K187,'Lower Hot Cell Logistics'!$H$13:$H$19,0)),"N/A")</f>
        <v>N/A</v>
      </c>
      <c r="M187" s="853" t="str">
        <f>IFERROR(VLOOKUP($I187,'Lower Hot Cell Logistics'!$H$4:$I$8,2,FALSE),"N/A")</f>
        <v>N/A</v>
      </c>
      <c r="N187" s="1180" t="str">
        <f t="shared" si="15"/>
        <v>N/A</v>
      </c>
      <c r="O187" s="579" t="s">
        <v>2148</v>
      </c>
      <c r="P187" s="580">
        <f>IF($D187="Logistics",VLOOKUP($O187,'Lower Hot Cell Logistics'!$C$4:$D$69,2,FALSE),"N/A")</f>
        <v>0.68</v>
      </c>
      <c r="R187"/>
      <c r="S187"/>
    </row>
    <row r="188" spans="2:19" s="89" customFormat="1" x14ac:dyDescent="0.4">
      <c r="B188" s="3786"/>
      <c r="C188" s="581" t="s">
        <v>2209</v>
      </c>
      <c r="D188" s="581" t="s">
        <v>778</v>
      </c>
      <c r="E188" s="574">
        <f t="shared" si="14"/>
        <v>0.69444444444444442</v>
      </c>
      <c r="F188" s="574">
        <f>IF($D188="Trigger",VLOOKUP($C188,'Lower Hot Cell Critical Path'!$C$6:$F$384,4,FALSE),E188+F187)</f>
        <v>21.882592592592587</v>
      </c>
      <c r="G188" s="575"/>
      <c r="H188" s="576" t="s">
        <v>263</v>
      </c>
      <c r="I188" s="1281" t="s">
        <v>2171</v>
      </c>
      <c r="J188" s="572" t="s">
        <v>1957</v>
      </c>
      <c r="K188" s="572" t="s">
        <v>451</v>
      </c>
      <c r="L188" s="853">
        <f>IFERROR(INDEX('Lower Hot Cell Logistics'!$I$13:$O$19,MATCH($J188,'Lower Hot Cell Logistics'!$H$13:$H$19,0),MATCH($K188,'Lower Hot Cell Logistics'!$H$13:$H$19,0)),"N/A")</f>
        <v>50</v>
      </c>
      <c r="M188" s="853">
        <f>IFERROR(VLOOKUP($I188,'Lower Hot Cell Logistics'!$H$4:$I$8,2,FALSE),"N/A")</f>
        <v>0.02</v>
      </c>
      <c r="N188" s="1180">
        <f t="shared" si="15"/>
        <v>0.69444444444444442</v>
      </c>
      <c r="O188" s="579"/>
      <c r="P188" s="580" t="str">
        <f>IF($D188="Logistics",VLOOKUP($O188,'Lower Hot Cell Logistics'!$C$4:$D$69,2,FALSE),"N/A")</f>
        <v>N/A</v>
      </c>
      <c r="R188"/>
      <c r="S188"/>
    </row>
    <row r="189" spans="2:19" s="89" customFormat="1" ht="26.6" thickBot="1" x14ac:dyDescent="0.45">
      <c r="B189" s="3788"/>
      <c r="C189" s="583" t="str">
        <f>B181</f>
        <v>Inspection Cask Stored; Blanket Pipe Module handling system collected; LIB Inner Pipe Module collected; hardware transporter moved to Lower Port</v>
      </c>
      <c r="D189" s="583" t="s">
        <v>11</v>
      </c>
      <c r="E189" s="585">
        <f t="shared" si="14"/>
        <v>0</v>
      </c>
      <c r="F189" s="585">
        <f>IF($D189="Trigger",VLOOKUP($C189,'Lower Hot Cell Critical Path'!$C$6:$F$384,4,FALSE),E189+F188)</f>
        <v>21.882592592592587</v>
      </c>
      <c r="G189" s="586"/>
      <c r="H189" s="587" t="s">
        <v>263</v>
      </c>
      <c r="I189" s="1720"/>
      <c r="J189" s="583"/>
      <c r="K189" s="583"/>
      <c r="L189" s="814" t="str">
        <f>IFERROR(INDEX('Lower Hot Cell Logistics'!$I$13:$O$19,MATCH($J189,'Lower Hot Cell Logistics'!$H$13:$H$19,0),MATCH($K189,'Lower Hot Cell Logistics'!$H$13:$H$19,0)),"N/A")</f>
        <v>N/A</v>
      </c>
      <c r="M189" s="814" t="str">
        <f>IFERROR(VLOOKUP($I189,'Lower Hot Cell Logistics'!$H$4:$I$8,2,FALSE),"N/A")</f>
        <v>N/A</v>
      </c>
      <c r="N189" s="1181" t="str">
        <f t="shared" si="15"/>
        <v>N/A</v>
      </c>
      <c r="O189" s="590"/>
      <c r="P189" s="591" t="str">
        <f>IF($D189="Logistics",VLOOKUP($O189,'Lower Hot Cell Logistics'!$C$4:$D$69,2,FALSE),"N/A")</f>
        <v>N/A</v>
      </c>
      <c r="R189"/>
      <c r="S189"/>
    </row>
    <row r="190" spans="2:19" s="89" customFormat="1" ht="15" customHeight="1" x14ac:dyDescent="0.4">
      <c r="B190" s="3814" t="s">
        <v>2077</v>
      </c>
      <c r="C190" s="617" t="s">
        <v>2210</v>
      </c>
      <c r="D190" s="1324" t="s">
        <v>907</v>
      </c>
      <c r="E190" s="1291">
        <f t="shared" si="14"/>
        <v>0</v>
      </c>
      <c r="F190" s="1291">
        <f>IF($D190="Trigger",VLOOKUP($C190,'Lower Hot Cell Critical Path'!$C$6:$F$384,4,FALSE),E190+F189)</f>
        <v>73.517970647111653</v>
      </c>
      <c r="G190" s="825"/>
      <c r="H190" s="1323" t="s">
        <v>263</v>
      </c>
      <c r="I190" s="1721"/>
      <c r="J190" s="1324"/>
      <c r="K190" s="1324"/>
      <c r="L190" s="828" t="str">
        <f>IFERROR(INDEX('Lower Hot Cell Logistics'!$I$13:$O$19,MATCH($J190,'Lower Hot Cell Logistics'!$H$13:$H$19,0),MATCH($K190,'Lower Hot Cell Logistics'!$H$13:$H$19,0)),"N/A")</f>
        <v>N/A</v>
      </c>
      <c r="M190" s="827" t="str">
        <f>IFERROR(VLOOKUP($I190,'Lower Hot Cell Logistics'!$H$4:$I$8,2,FALSE),"N/A")</f>
        <v>N/A</v>
      </c>
      <c r="N190" s="2200" t="str">
        <f t="shared" si="15"/>
        <v>N/A</v>
      </c>
      <c r="O190" s="1327"/>
      <c r="P190" s="824" t="str">
        <f>IF($D190="Logistics",VLOOKUP($O190,'Lower Hot Cell Logistics'!$C$4:$D$69,2,FALSE),"N/A")</f>
        <v>N/A</v>
      </c>
      <c r="R190"/>
      <c r="S190"/>
    </row>
    <row r="191" spans="2:19" s="89" customFormat="1" ht="15" customHeight="1" x14ac:dyDescent="0.4">
      <c r="B191" s="3815"/>
      <c r="C191" s="1362" t="s">
        <v>2211</v>
      </c>
      <c r="D191" s="1294" t="s">
        <v>778</v>
      </c>
      <c r="E191" s="1330">
        <f t="shared" si="14"/>
        <v>0.23148148148148148</v>
      </c>
      <c r="F191" s="1330">
        <f>IF($D191="Trigger",VLOOKUP($C191,'Lower Hot Cell Critical Path'!$C$6:$F$384,4,FALSE),E191+F190)</f>
        <v>73.749452128593134</v>
      </c>
      <c r="G191" s="1722"/>
      <c r="H191" s="2219" t="s">
        <v>263</v>
      </c>
      <c r="I191" s="1724" t="s">
        <v>2142</v>
      </c>
      <c r="J191" s="1294" t="s">
        <v>451</v>
      </c>
      <c r="K191" s="1294" t="s">
        <v>1965</v>
      </c>
      <c r="L191" s="2042">
        <f>IFERROR(INDEX('Lower Hot Cell Logistics'!$I$13:$O$19,MATCH($J191,'Lower Hot Cell Logistics'!$H$13:$H$19,0),MATCH($K191,'Lower Hot Cell Logistics'!$H$13:$H$19,0)),"N/A")</f>
        <v>50</v>
      </c>
      <c r="M191" s="2220">
        <f>IFERROR(VLOOKUP($I191,'Lower Hot Cell Logistics'!$H$4:$I$8,2,FALSE),"N/A")</f>
        <v>0.06</v>
      </c>
      <c r="N191" s="1332">
        <f t="shared" si="15"/>
        <v>0.23148148148148148</v>
      </c>
      <c r="O191" s="1352"/>
      <c r="P191" s="1353" t="str">
        <f>IF($D191="Logistics",VLOOKUP($O191,'Lower Hot Cell Logistics'!$C$4:$D$69,2,FALSE),"N/A")</f>
        <v>N/A</v>
      </c>
      <c r="R191"/>
      <c r="S191"/>
    </row>
    <row r="192" spans="2:19" s="89" customFormat="1" ht="15" customHeight="1" x14ac:dyDescent="0.4">
      <c r="B192" s="3815"/>
      <c r="C192" s="1362" t="s">
        <v>2212</v>
      </c>
      <c r="D192" s="1294" t="s">
        <v>3</v>
      </c>
      <c r="E192" s="1330">
        <f t="shared" si="14"/>
        <v>0.68</v>
      </c>
      <c r="F192" s="1330">
        <f>IF($D192="Trigger",VLOOKUP($C192,'Lower Hot Cell Critical Path'!$C$6:$F$384,4,FALSE),E192+F191)</f>
        <v>74.429452128593141</v>
      </c>
      <c r="G192" s="1722"/>
      <c r="H192" s="2219" t="s">
        <v>263</v>
      </c>
      <c r="I192" s="1724"/>
      <c r="J192" s="1294"/>
      <c r="K192" s="1294"/>
      <c r="L192" s="2042" t="str">
        <f>IFERROR(INDEX('Lower Hot Cell Logistics'!$I$13:$O$19,MATCH($J192,'Lower Hot Cell Logistics'!$H$13:$H$19,0),MATCH($K192,'Lower Hot Cell Logistics'!$H$13:$H$19,0)),"N/A")</f>
        <v>N/A</v>
      </c>
      <c r="M192" s="2220" t="str">
        <f>IFERROR(VLOOKUP($I192,'Lower Hot Cell Logistics'!$H$4:$I$8,2,FALSE),"N/A")</f>
        <v>N/A</v>
      </c>
      <c r="N192" s="1332" t="str">
        <f t="shared" si="15"/>
        <v>N/A</v>
      </c>
      <c r="O192" s="1352" t="s">
        <v>2148</v>
      </c>
      <c r="P192" s="1353">
        <f>IF($D192="Logistics",VLOOKUP($O192,'Lower Hot Cell Logistics'!$C$4:$D$69,2,FALSE),"N/A")</f>
        <v>0.68</v>
      </c>
      <c r="R192"/>
      <c r="S192"/>
    </row>
    <row r="193" spans="2:19" s="89" customFormat="1" x14ac:dyDescent="0.4">
      <c r="B193" s="3815"/>
      <c r="C193" s="1294" t="s">
        <v>2189</v>
      </c>
      <c r="D193" s="1294" t="s">
        <v>778</v>
      </c>
      <c r="E193" s="1292">
        <f t="shared" si="14"/>
        <v>0.69444444444444442</v>
      </c>
      <c r="F193" s="1292">
        <f>IF($D193="Trigger",VLOOKUP($C193,'Lower Hot Cell Critical Path'!$C$6:$F$384,4,FALSE),E193+F192)</f>
        <v>75.123896573037584</v>
      </c>
      <c r="G193" s="862"/>
      <c r="H193" s="1328" t="s">
        <v>263</v>
      </c>
      <c r="I193" s="1724" t="s">
        <v>2171</v>
      </c>
      <c r="J193" s="1294" t="s">
        <v>799</v>
      </c>
      <c r="K193" s="1294" t="s">
        <v>451</v>
      </c>
      <c r="L193" s="865">
        <f>IFERROR(INDEX('Lower Hot Cell Logistics'!$I$13:$O$19,MATCH($J193,'Lower Hot Cell Logistics'!$H$13:$H$19,0),MATCH($K193,'Lower Hot Cell Logistics'!$H$13:$H$19,0)),"N/A")</f>
        <v>50</v>
      </c>
      <c r="M193" s="865">
        <f>IFERROR(VLOOKUP($I193,'Lower Hot Cell Logistics'!$H$4:$I$8,2,FALSE),"N/A")</f>
        <v>0.02</v>
      </c>
      <c r="N193" s="2197">
        <f t="shared" si="15"/>
        <v>0.69444444444444442</v>
      </c>
      <c r="O193" s="1331"/>
      <c r="P193" s="1332" t="str">
        <f>IF($D193="Logistics",VLOOKUP($O193,'Lower Hot Cell Logistics'!$C$4:$D$69,2,FALSE),"N/A")</f>
        <v>N/A</v>
      </c>
      <c r="R193"/>
      <c r="S193"/>
    </row>
    <row r="194" spans="2:19" s="89" customFormat="1" ht="15" thickBot="1" x14ac:dyDescent="0.45">
      <c r="B194" s="3816"/>
      <c r="C194" s="1340" t="str">
        <f>B190</f>
        <v>RIB pipe module collected; Pipe Module handling System Moved to Lower Port</v>
      </c>
      <c r="D194" s="1340" t="s">
        <v>11</v>
      </c>
      <c r="E194" s="1295">
        <f t="shared" si="14"/>
        <v>0</v>
      </c>
      <c r="F194" s="1295">
        <f>IF($D194="Trigger",VLOOKUP($C194,'Lower Hot Cell Critical Path'!$C$6:$F$384,4,FALSE),E194+F193)</f>
        <v>75.123896573037584</v>
      </c>
      <c r="G194" s="839"/>
      <c r="H194" s="1341" t="s">
        <v>263</v>
      </c>
      <c r="I194" s="1727"/>
      <c r="J194" s="1340"/>
      <c r="K194" s="1340"/>
      <c r="L194" s="842" t="str">
        <f>IFERROR(INDEX('Lower Hot Cell Logistics'!$I$13:$O$19,MATCH($J194,'Lower Hot Cell Logistics'!$H$13:$H$19,0),MATCH($K194,'Lower Hot Cell Logistics'!$H$13:$H$19,0)),"N/A")</f>
        <v>N/A</v>
      </c>
      <c r="M194" s="842" t="str">
        <f>IFERROR(VLOOKUP($I194,'Lower Hot Cell Logistics'!$H$4:$I$8,2,FALSE),"N/A")</f>
        <v>N/A</v>
      </c>
      <c r="N194" s="2199" t="str">
        <f t="shared" ref="N194:N222" si="16">IF(D194="Movement",IFERROR((L194/M194)/(60*60),"Error"),"N/A")</f>
        <v>N/A</v>
      </c>
      <c r="O194" s="1344"/>
      <c r="P194" s="1345" t="str">
        <f>IF($D194="Logistics",VLOOKUP($O194,'Lower Hot Cell Logistics'!$C$4:$D$69,2,FALSE),"N/A")</f>
        <v>N/A</v>
      </c>
      <c r="R194"/>
      <c r="S194"/>
    </row>
    <row r="195" spans="2:19" s="89" customFormat="1" ht="15" customHeight="1" x14ac:dyDescent="0.4">
      <c r="B195" s="3787" t="s">
        <v>2079</v>
      </c>
      <c r="C195" s="617" t="s">
        <v>2213</v>
      </c>
      <c r="D195" s="617" t="s">
        <v>907</v>
      </c>
      <c r="E195" s="567">
        <f t="shared" si="14"/>
        <v>0</v>
      </c>
      <c r="F195" s="567">
        <f>IF($D195="Trigger",VLOOKUP($C195,'Lower Hot Cell Critical Path'!$C$6:$F$384,4,FALSE),E195+F194)</f>
        <v>128.63260796088997</v>
      </c>
      <c r="G195" s="568"/>
      <c r="H195" s="569" t="s">
        <v>263</v>
      </c>
      <c r="I195" s="1270"/>
      <c r="J195" s="617"/>
      <c r="K195" s="617"/>
      <c r="L195" s="570" t="str">
        <f>IFERROR(INDEX('Lower Hot Cell Logistics'!$I$13:$O$19,MATCH($J195,'Lower Hot Cell Logistics'!$H$13:$H$19,0),MATCH($K195,'Lower Hot Cell Logistics'!$H$13:$H$19,0)),"N/A")</f>
        <v>N/A</v>
      </c>
      <c r="M195" s="802" t="str">
        <f>IFERROR(VLOOKUP($I195,'Lower Hot Cell Logistics'!$H$4:$I$8,2,FALSE),"N/A")</f>
        <v>N/A</v>
      </c>
      <c r="N195" s="1182" t="str">
        <f t="shared" si="16"/>
        <v>N/A</v>
      </c>
      <c r="O195" s="620"/>
      <c r="P195" s="621" t="str">
        <f>IF($D195="Logistics",VLOOKUP($O195,'Lower Hot Cell Logistics'!$C$4:$D$69,2,FALSE),"N/A")</f>
        <v>N/A</v>
      </c>
      <c r="R195"/>
      <c r="S195"/>
    </row>
    <row r="196" spans="2:19" s="89" customFormat="1" ht="15" customHeight="1" x14ac:dyDescent="0.4">
      <c r="B196" s="3786"/>
      <c r="C196" s="1275" t="s">
        <v>2211</v>
      </c>
      <c r="D196" s="572" t="s">
        <v>778</v>
      </c>
      <c r="E196" s="578">
        <f t="shared" si="14"/>
        <v>0.23148148148148148</v>
      </c>
      <c r="F196" s="578">
        <f>IF($D196="Trigger",VLOOKUP($C196,'Lower Hot Cell Critical Path'!$C$6:$F$384,4,FALSE),E196+F195)</f>
        <v>128.86408944237147</v>
      </c>
      <c r="G196" s="872"/>
      <c r="H196" s="2221" t="s">
        <v>263</v>
      </c>
      <c r="I196" s="1281" t="s">
        <v>2142</v>
      </c>
      <c r="J196" s="572" t="s">
        <v>451</v>
      </c>
      <c r="K196" s="572" t="s">
        <v>1965</v>
      </c>
      <c r="L196" s="1176">
        <f>IFERROR(INDEX('Lower Hot Cell Logistics'!$I$13:$O$19,MATCH($J196,'Lower Hot Cell Logistics'!$H$13:$H$19,0),MATCH($K196,'Lower Hot Cell Logistics'!$H$13:$H$19,0)),"N/A")</f>
        <v>50</v>
      </c>
      <c r="M196" s="2222">
        <f>IFERROR(VLOOKUP($I196,'Lower Hot Cell Logistics'!$H$4:$I$8,2,FALSE),"N/A")</f>
        <v>0.06</v>
      </c>
      <c r="N196" s="580">
        <f t="shared" si="16"/>
        <v>0.23148148148148148</v>
      </c>
      <c r="O196" s="631"/>
      <c r="P196" s="632" t="str">
        <f>IF($D196="Logistics",VLOOKUP($O196,'Lower Hot Cell Logistics'!$C$4:$D$69,2,FALSE),"N/A")</f>
        <v>N/A</v>
      </c>
      <c r="R196"/>
      <c r="S196"/>
    </row>
    <row r="197" spans="2:19" s="89" customFormat="1" ht="15" customHeight="1" x14ac:dyDescent="0.4">
      <c r="B197" s="3786"/>
      <c r="C197" s="1275" t="s">
        <v>2212</v>
      </c>
      <c r="D197" s="572" t="s">
        <v>3</v>
      </c>
      <c r="E197" s="578">
        <f t="shared" si="14"/>
        <v>0.88000000000000012</v>
      </c>
      <c r="F197" s="578">
        <f>IF($D197="Trigger",VLOOKUP($C197,'Lower Hot Cell Critical Path'!$C$6:$F$384,4,FALSE),E197+F196)</f>
        <v>129.74408944237146</v>
      </c>
      <c r="G197" s="872"/>
      <c r="H197" s="2221" t="s">
        <v>263</v>
      </c>
      <c r="I197" s="1281"/>
      <c r="J197" s="572"/>
      <c r="K197" s="572"/>
      <c r="L197" s="1176" t="str">
        <f>IFERROR(INDEX('Lower Hot Cell Logistics'!$I$13:$O$19,MATCH($J197,'Lower Hot Cell Logistics'!$H$13:$H$19,0),MATCH($K197,'Lower Hot Cell Logistics'!$H$13:$H$19,0)),"N/A")</f>
        <v>N/A</v>
      </c>
      <c r="M197" s="2222" t="str">
        <f>IFERROR(VLOOKUP($I197,'Lower Hot Cell Logistics'!$H$4:$I$8,2,FALSE),"N/A")</f>
        <v>N/A</v>
      </c>
      <c r="N197" s="580" t="str">
        <f t="shared" si="16"/>
        <v>N/A</v>
      </c>
      <c r="O197" s="631" t="s">
        <v>2144</v>
      </c>
      <c r="P197" s="632">
        <f>IF($D197="Logistics",VLOOKUP($O197,'Lower Hot Cell Logistics'!$C$4:$D$69,2,FALSE),"N/A")</f>
        <v>0.88000000000000012</v>
      </c>
      <c r="R197"/>
      <c r="S197"/>
    </row>
    <row r="198" spans="2:19" s="89" customFormat="1" x14ac:dyDescent="0.4">
      <c r="B198" s="3786"/>
      <c r="C198" s="572" t="s">
        <v>2189</v>
      </c>
      <c r="D198" s="572" t="s">
        <v>778</v>
      </c>
      <c r="E198" s="574">
        <f t="shared" si="14"/>
        <v>0.69444444444444442</v>
      </c>
      <c r="F198" s="574">
        <f>IF($D198="Trigger",VLOOKUP($C198,'Lower Hot Cell Critical Path'!$C$6:$F$384,4,FALSE),E198+F197)</f>
        <v>130.43853388681592</v>
      </c>
      <c r="G198" s="575"/>
      <c r="H198" s="576" t="s">
        <v>263</v>
      </c>
      <c r="I198" s="1281" t="s">
        <v>2171</v>
      </c>
      <c r="J198" s="572" t="s">
        <v>799</v>
      </c>
      <c r="K198" s="572" t="s">
        <v>451</v>
      </c>
      <c r="L198" s="853">
        <f>IFERROR(INDEX('Lower Hot Cell Logistics'!$I$13:$O$19,MATCH($J198,'Lower Hot Cell Logistics'!$H$13:$H$19,0),MATCH($K198,'Lower Hot Cell Logistics'!$H$13:$H$19,0)),"N/A")</f>
        <v>50</v>
      </c>
      <c r="M198" s="853">
        <f>IFERROR(VLOOKUP($I198,'Lower Hot Cell Logistics'!$H$4:$I$8,2,FALSE),"N/A")</f>
        <v>0.02</v>
      </c>
      <c r="N198" s="1180">
        <f t="shared" si="16"/>
        <v>0.69444444444444442</v>
      </c>
      <c r="O198" s="579"/>
      <c r="P198" s="580" t="str">
        <f>IF($D198="Logistics",VLOOKUP($O198,'Lower Hot Cell Logistics'!$C$4:$D$69,2,FALSE),"N/A")</f>
        <v>N/A</v>
      </c>
      <c r="R198"/>
      <c r="S198"/>
    </row>
    <row r="199" spans="2:19" s="89" customFormat="1" ht="15" thickBot="1" x14ac:dyDescent="0.45">
      <c r="B199" s="3788"/>
      <c r="C199" s="583" t="str">
        <f>B195</f>
        <v>LIB pipe module collected; Pipe Module handling System Moved to Lower Port</v>
      </c>
      <c r="D199" s="583" t="s">
        <v>11</v>
      </c>
      <c r="E199" s="585">
        <f t="shared" si="14"/>
        <v>0</v>
      </c>
      <c r="F199" s="585">
        <f>IF($D199="Trigger",VLOOKUP($C199,'Lower Hot Cell Critical Path'!$C$6:$F$384,4,FALSE),E199+F198)</f>
        <v>130.43853388681592</v>
      </c>
      <c r="G199" s="586"/>
      <c r="H199" s="587" t="s">
        <v>263</v>
      </c>
      <c r="I199" s="1720"/>
      <c r="J199" s="583"/>
      <c r="K199" s="583"/>
      <c r="L199" s="814" t="str">
        <f>IFERROR(INDEX('Lower Hot Cell Logistics'!$I$13:$O$19,MATCH($J199,'Lower Hot Cell Logistics'!$H$13:$H$19,0),MATCH($K199,'Lower Hot Cell Logistics'!$H$13:$H$19,0)),"N/A")</f>
        <v>N/A</v>
      </c>
      <c r="M199" s="814" t="str">
        <f>IFERROR(VLOOKUP($I199,'Lower Hot Cell Logistics'!$H$4:$I$8,2,FALSE),"N/A")</f>
        <v>N/A</v>
      </c>
      <c r="N199" s="1181" t="str">
        <f t="shared" si="16"/>
        <v>N/A</v>
      </c>
      <c r="O199" s="590"/>
      <c r="P199" s="591" t="str">
        <f>IF($D199="Logistics",VLOOKUP($O199,'Lower Hot Cell Logistics'!$C$4:$D$69,2,FALSE),"N/A")</f>
        <v>N/A</v>
      </c>
      <c r="R199"/>
      <c r="S199"/>
    </row>
    <row r="200" spans="2:19" s="89" customFormat="1" ht="15" customHeight="1" x14ac:dyDescent="0.4">
      <c r="B200" s="3814" t="s">
        <v>2082</v>
      </c>
      <c r="C200" s="617" t="s">
        <v>2214</v>
      </c>
      <c r="D200" s="1324" t="s">
        <v>907</v>
      </c>
      <c r="E200" s="1291">
        <f t="shared" si="14"/>
        <v>0</v>
      </c>
      <c r="F200" s="1291">
        <f>IF($D200="Trigger",VLOOKUP($C200,'Lower Hot Cell Critical Path'!$C$6:$F$384,4,FALSE),E200+F199)</f>
        <v>184.41724527466829</v>
      </c>
      <c r="G200" s="825"/>
      <c r="H200" s="1323" t="s">
        <v>263</v>
      </c>
      <c r="I200" s="1721"/>
      <c r="J200" s="1324"/>
      <c r="K200" s="1324"/>
      <c r="L200" s="828" t="str">
        <f>IFERROR(INDEX('Lower Hot Cell Logistics'!$I$13:$O$19,MATCH($J200,'Lower Hot Cell Logistics'!$H$13:$H$19,0),MATCH($K200,'Lower Hot Cell Logistics'!$H$13:$H$19,0)),"N/A")</f>
        <v>N/A</v>
      </c>
      <c r="M200" s="827" t="str">
        <f>IFERROR(VLOOKUP($I200,'Lower Hot Cell Logistics'!$H$4:$I$8,2,FALSE),"N/A")</f>
        <v>N/A</v>
      </c>
      <c r="N200" s="2200" t="str">
        <f t="shared" si="16"/>
        <v>N/A</v>
      </c>
      <c r="O200" s="1327"/>
      <c r="P200" s="824" t="str">
        <f>IF($D200="Logistics",VLOOKUP($O200,'Lower Hot Cell Logistics'!$C$4:$D$69,2,FALSE),"N/A")</f>
        <v>N/A</v>
      </c>
      <c r="R200"/>
      <c r="S200"/>
    </row>
    <row r="201" spans="2:19" s="89" customFormat="1" ht="15" customHeight="1" x14ac:dyDescent="0.4">
      <c r="B201" s="3815"/>
      <c r="C201" s="1362" t="s">
        <v>2211</v>
      </c>
      <c r="D201" s="1294" t="s">
        <v>778</v>
      </c>
      <c r="E201" s="1330">
        <f t="shared" si="14"/>
        <v>0.23148148148148148</v>
      </c>
      <c r="F201" s="1330">
        <f>IF($D201="Trigger",VLOOKUP($C201,'Lower Hot Cell Critical Path'!$C$6:$F$384,4,FALSE),E201+F200)</f>
        <v>184.64872675614978</v>
      </c>
      <c r="G201" s="1722"/>
      <c r="H201" s="2219" t="s">
        <v>263</v>
      </c>
      <c r="I201" s="1724" t="s">
        <v>2142</v>
      </c>
      <c r="J201" s="1294" t="s">
        <v>451</v>
      </c>
      <c r="K201" s="1294" t="s">
        <v>1965</v>
      </c>
      <c r="L201" s="2042">
        <f>IFERROR(INDEX('Lower Hot Cell Logistics'!$I$13:$O$19,MATCH($J201,'Lower Hot Cell Logistics'!$H$13:$H$19,0),MATCH($K201,'Lower Hot Cell Logistics'!$H$13:$H$19,0)),"N/A")</f>
        <v>50</v>
      </c>
      <c r="M201" s="2220">
        <f>IFERROR(VLOOKUP($I201,'Lower Hot Cell Logistics'!$H$4:$I$8,2,FALSE),"N/A")</f>
        <v>0.06</v>
      </c>
      <c r="N201" s="1332">
        <f t="shared" si="16"/>
        <v>0.23148148148148148</v>
      </c>
      <c r="O201" s="1352"/>
      <c r="P201" s="1353" t="str">
        <f>IF($D201="Logistics",VLOOKUP($O201,'Lower Hot Cell Logistics'!$C$4:$D$69,2,FALSE),"N/A")</f>
        <v>N/A</v>
      </c>
      <c r="R201"/>
      <c r="S201"/>
    </row>
    <row r="202" spans="2:19" s="89" customFormat="1" ht="15" customHeight="1" x14ac:dyDescent="0.4">
      <c r="B202" s="3815"/>
      <c r="C202" s="1362" t="s">
        <v>2212</v>
      </c>
      <c r="D202" s="1294" t="s">
        <v>3</v>
      </c>
      <c r="E202" s="1330">
        <f t="shared" si="14"/>
        <v>0.88000000000000012</v>
      </c>
      <c r="F202" s="1330">
        <f>IF($D202="Trigger",VLOOKUP($C202,'Lower Hot Cell Critical Path'!$C$6:$F$384,4,FALSE),E202+F201)</f>
        <v>185.52872675614978</v>
      </c>
      <c r="G202" s="1722"/>
      <c r="H202" s="2219" t="s">
        <v>263</v>
      </c>
      <c r="I202" s="1724"/>
      <c r="J202" s="1294"/>
      <c r="K202" s="1294"/>
      <c r="L202" s="2042" t="str">
        <f>IFERROR(INDEX('Lower Hot Cell Logistics'!$I$13:$O$19,MATCH($J202,'Lower Hot Cell Logistics'!$H$13:$H$19,0),MATCH($K202,'Lower Hot Cell Logistics'!$H$13:$H$19,0)),"N/A")</f>
        <v>N/A</v>
      </c>
      <c r="M202" s="2220" t="str">
        <f>IFERROR(VLOOKUP($I202,'Lower Hot Cell Logistics'!$H$4:$I$8,2,FALSE),"N/A")</f>
        <v>N/A</v>
      </c>
      <c r="N202" s="1332" t="str">
        <f t="shared" si="16"/>
        <v>N/A</v>
      </c>
      <c r="O202" s="1352" t="s">
        <v>2144</v>
      </c>
      <c r="P202" s="1353">
        <f>IF($D202="Logistics",VLOOKUP($O202,'Lower Hot Cell Logistics'!$C$4:$D$69,2,FALSE),"N/A")</f>
        <v>0.88000000000000012</v>
      </c>
      <c r="R202"/>
      <c r="S202"/>
    </row>
    <row r="203" spans="2:19" s="89" customFormat="1" x14ac:dyDescent="0.4">
      <c r="B203" s="3815"/>
      <c r="C203" s="1294" t="s">
        <v>2189</v>
      </c>
      <c r="D203" s="1294" t="s">
        <v>778</v>
      </c>
      <c r="E203" s="1292">
        <f t="shared" si="14"/>
        <v>0.69444444444444442</v>
      </c>
      <c r="F203" s="1292">
        <f>IF($D203="Trigger",VLOOKUP($C203,'Lower Hot Cell Critical Path'!$C$6:$F$384,4,FALSE),E203+F202)</f>
        <v>186.22317120059424</v>
      </c>
      <c r="G203" s="862"/>
      <c r="H203" s="1328" t="s">
        <v>263</v>
      </c>
      <c r="I203" s="1724" t="s">
        <v>2171</v>
      </c>
      <c r="J203" s="1294" t="s">
        <v>799</v>
      </c>
      <c r="K203" s="1294" t="s">
        <v>451</v>
      </c>
      <c r="L203" s="865">
        <f>IFERROR(INDEX('Lower Hot Cell Logistics'!$I$13:$O$19,MATCH($J203,'Lower Hot Cell Logistics'!$H$13:$H$19,0),MATCH($K203,'Lower Hot Cell Logistics'!$H$13:$H$19,0)),"N/A")</f>
        <v>50</v>
      </c>
      <c r="M203" s="865">
        <f>IFERROR(VLOOKUP($I203,'Lower Hot Cell Logistics'!$H$4:$I$8,2,FALSE),"N/A")</f>
        <v>0.02</v>
      </c>
      <c r="N203" s="2197">
        <f t="shared" si="16"/>
        <v>0.69444444444444442</v>
      </c>
      <c r="O203" s="1331"/>
      <c r="P203" s="1332" t="str">
        <f>IF($D203="Logistics",VLOOKUP($O203,'Lower Hot Cell Logistics'!$C$4:$D$69,2,FALSE),"N/A")</f>
        <v>N/A</v>
      </c>
      <c r="R203"/>
      <c r="S203"/>
    </row>
    <row r="204" spans="2:19" s="89" customFormat="1" ht="15" thickBot="1" x14ac:dyDescent="0.45">
      <c r="B204" s="3816"/>
      <c r="C204" s="1340" t="str">
        <f>B200</f>
        <v>ROB pipe module collected; Pipe Module handling System Moved to Lower Port</v>
      </c>
      <c r="D204" s="1340" t="s">
        <v>11</v>
      </c>
      <c r="E204" s="1295">
        <f t="shared" si="14"/>
        <v>0</v>
      </c>
      <c r="F204" s="1295">
        <f>IF($D204="Trigger",VLOOKUP($C204,'Lower Hot Cell Critical Path'!$C$6:$F$384,4,FALSE),E204+F203)</f>
        <v>186.22317120059424</v>
      </c>
      <c r="G204" s="839"/>
      <c r="H204" s="1341" t="s">
        <v>263</v>
      </c>
      <c r="I204" s="1727"/>
      <c r="J204" s="1340"/>
      <c r="K204" s="1340"/>
      <c r="L204" s="842" t="str">
        <f>IFERROR(INDEX('Lower Hot Cell Logistics'!$I$13:$O$19,MATCH($J204,'Lower Hot Cell Logistics'!$H$13:$H$19,0),MATCH($K204,'Lower Hot Cell Logistics'!$H$13:$H$19,0)),"N/A")</f>
        <v>N/A</v>
      </c>
      <c r="M204" s="842" t="str">
        <f>IFERROR(VLOOKUP($I204,'Lower Hot Cell Logistics'!$H$4:$I$8,2,FALSE),"N/A")</f>
        <v>N/A</v>
      </c>
      <c r="N204" s="2199" t="str">
        <f t="shared" si="16"/>
        <v>N/A</v>
      </c>
      <c r="O204" s="1344"/>
      <c r="P204" s="1345" t="str">
        <f>IF($D204="Logistics",VLOOKUP($O204,'Lower Hot Cell Logistics'!$C$4:$D$69,2,FALSE),"N/A")</f>
        <v>N/A</v>
      </c>
      <c r="R204"/>
      <c r="S204"/>
    </row>
    <row r="205" spans="2:19" s="89" customFormat="1" ht="15" customHeight="1" x14ac:dyDescent="0.4">
      <c r="B205" s="3787" t="s">
        <v>2085</v>
      </c>
      <c r="C205" s="617" t="s">
        <v>1089</v>
      </c>
      <c r="D205" s="617" t="s">
        <v>907</v>
      </c>
      <c r="E205" s="567">
        <f t="shared" si="14"/>
        <v>0</v>
      </c>
      <c r="F205" s="567">
        <f>IF($D205="Trigger",VLOOKUP($C205,'Lower Hot Cell Critical Path'!$C$6:$F$384,4,FALSE),E205+F204)</f>
        <v>239.80188258844663</v>
      </c>
      <c r="G205" s="568"/>
      <c r="H205" s="569" t="s">
        <v>263</v>
      </c>
      <c r="I205" s="1270"/>
      <c r="J205" s="617"/>
      <c r="K205" s="617"/>
      <c r="L205" s="570" t="str">
        <f>IFERROR(INDEX('Lower Hot Cell Logistics'!$I$13:$O$19,MATCH($J205,'Lower Hot Cell Logistics'!$H$13:$H$19,0),MATCH($K205,'Lower Hot Cell Logistics'!$H$13:$H$19,0)),"N/A")</f>
        <v>N/A</v>
      </c>
      <c r="M205" s="802" t="str">
        <f>IFERROR(VLOOKUP($I205,'Lower Hot Cell Logistics'!$H$4:$I$8,2,FALSE),"N/A")</f>
        <v>N/A</v>
      </c>
      <c r="N205" s="1182" t="str">
        <f t="shared" si="16"/>
        <v>N/A</v>
      </c>
      <c r="O205" s="620"/>
      <c r="P205" s="621" t="str">
        <f>IF($D205="Logistics",VLOOKUP($O205,'Lower Hot Cell Logistics'!$C$4:$D$69,2,FALSE),"N/A")</f>
        <v>N/A</v>
      </c>
      <c r="R205"/>
      <c r="S205"/>
    </row>
    <row r="206" spans="2:19" s="89" customFormat="1" ht="15" customHeight="1" x14ac:dyDescent="0.4">
      <c r="B206" s="3786"/>
      <c r="C206" s="1275" t="s">
        <v>2211</v>
      </c>
      <c r="D206" s="572" t="s">
        <v>778</v>
      </c>
      <c r="E206" s="578">
        <f t="shared" si="14"/>
        <v>0.23148148148148148</v>
      </c>
      <c r="F206" s="578">
        <f>IF($D206="Trigger",VLOOKUP($C206,'Lower Hot Cell Critical Path'!$C$6:$F$384,4,FALSE),E206+F205)</f>
        <v>240.03336406992813</v>
      </c>
      <c r="G206" s="872"/>
      <c r="H206" s="2221" t="s">
        <v>263</v>
      </c>
      <c r="I206" s="1281" t="s">
        <v>2142</v>
      </c>
      <c r="J206" s="572" t="s">
        <v>451</v>
      </c>
      <c r="K206" s="572" t="s">
        <v>1965</v>
      </c>
      <c r="L206" s="1176">
        <f>IFERROR(INDEX('Lower Hot Cell Logistics'!$I$13:$O$19,MATCH($J206,'Lower Hot Cell Logistics'!$H$13:$H$19,0),MATCH($K206,'Lower Hot Cell Logistics'!$H$13:$H$19,0)),"N/A")</f>
        <v>50</v>
      </c>
      <c r="M206" s="2222">
        <f>IFERROR(VLOOKUP($I206,'Lower Hot Cell Logistics'!$H$4:$I$8,2,FALSE),"N/A")</f>
        <v>0.06</v>
      </c>
      <c r="N206" s="580">
        <f t="shared" si="16"/>
        <v>0.23148148148148148</v>
      </c>
      <c r="O206" s="631"/>
      <c r="P206" s="632" t="str">
        <f>IF($D206="Logistics",VLOOKUP($O206,'Lower Hot Cell Logistics'!$C$4:$D$69,2,FALSE),"N/A")</f>
        <v>N/A</v>
      </c>
      <c r="R206"/>
      <c r="S206"/>
    </row>
    <row r="207" spans="2:19" s="89" customFormat="1" ht="15" customHeight="1" x14ac:dyDescent="0.4">
      <c r="B207" s="3786"/>
      <c r="C207" s="1275" t="s">
        <v>2212</v>
      </c>
      <c r="D207" s="572" t="s">
        <v>3</v>
      </c>
      <c r="E207" s="578">
        <f t="shared" si="14"/>
        <v>0.88000000000000012</v>
      </c>
      <c r="F207" s="578">
        <f>IF($D207="Trigger",VLOOKUP($C207,'Lower Hot Cell Critical Path'!$C$6:$F$384,4,FALSE),E207+F206)</f>
        <v>240.91336406992812</v>
      </c>
      <c r="G207" s="872"/>
      <c r="H207" s="2221" t="s">
        <v>263</v>
      </c>
      <c r="I207" s="1281"/>
      <c r="J207" s="572"/>
      <c r="K207" s="572"/>
      <c r="L207" s="1176" t="str">
        <f>IFERROR(INDEX('Lower Hot Cell Logistics'!$I$13:$O$19,MATCH($J207,'Lower Hot Cell Logistics'!$H$13:$H$19,0),MATCH($K207,'Lower Hot Cell Logistics'!$H$13:$H$19,0)),"N/A")</f>
        <v>N/A</v>
      </c>
      <c r="M207" s="2222" t="str">
        <f>IFERROR(VLOOKUP($I207,'Lower Hot Cell Logistics'!$H$4:$I$8,2,FALSE),"N/A")</f>
        <v>N/A</v>
      </c>
      <c r="N207" s="580" t="str">
        <f t="shared" si="16"/>
        <v>N/A</v>
      </c>
      <c r="O207" s="631" t="s">
        <v>2144</v>
      </c>
      <c r="P207" s="632">
        <f>IF($D207="Logistics",VLOOKUP($O207,'Lower Hot Cell Logistics'!$C$4:$D$69,2,FALSE),"N/A")</f>
        <v>0.88000000000000012</v>
      </c>
      <c r="R207"/>
      <c r="S207"/>
    </row>
    <row r="208" spans="2:19" s="89" customFormat="1" x14ac:dyDescent="0.4">
      <c r="B208" s="3786"/>
      <c r="C208" s="572" t="s">
        <v>2189</v>
      </c>
      <c r="D208" s="572" t="s">
        <v>778</v>
      </c>
      <c r="E208" s="574">
        <f t="shared" si="14"/>
        <v>0.69444444444444442</v>
      </c>
      <c r="F208" s="574">
        <f>IF($D208="Trigger",VLOOKUP($C208,'Lower Hot Cell Critical Path'!$C$6:$F$384,4,FALSE),E208+F207)</f>
        <v>241.60780851437258</v>
      </c>
      <c r="G208" s="575"/>
      <c r="H208" s="576" t="s">
        <v>263</v>
      </c>
      <c r="I208" s="1281" t="s">
        <v>2171</v>
      </c>
      <c r="J208" s="572" t="s">
        <v>799</v>
      </c>
      <c r="K208" s="572" t="s">
        <v>451</v>
      </c>
      <c r="L208" s="853">
        <f>IFERROR(INDEX('Lower Hot Cell Logistics'!$I$13:$O$19,MATCH($J208,'Lower Hot Cell Logistics'!$H$13:$H$19,0),MATCH($K208,'Lower Hot Cell Logistics'!$H$13:$H$19,0)),"N/A")</f>
        <v>50</v>
      </c>
      <c r="M208" s="853">
        <f>IFERROR(VLOOKUP($I208,'Lower Hot Cell Logistics'!$H$4:$I$8,2,FALSE),"N/A")</f>
        <v>0.02</v>
      </c>
      <c r="N208" s="1180">
        <f t="shared" si="16"/>
        <v>0.69444444444444442</v>
      </c>
      <c r="O208" s="579"/>
      <c r="P208" s="580" t="str">
        <f>IF($D208="Logistics",VLOOKUP($O208,'Lower Hot Cell Logistics'!$C$4:$D$69,2,FALSE),"N/A")</f>
        <v>N/A</v>
      </c>
      <c r="R208"/>
      <c r="S208"/>
    </row>
    <row r="209" spans="2:19" s="89" customFormat="1" ht="15" thickBot="1" x14ac:dyDescent="0.45">
      <c r="B209" s="3788"/>
      <c r="C209" s="583" t="str">
        <f>B205</f>
        <v>LOB pipe module collected; Pipe Module handling System Moved to Lower Port</v>
      </c>
      <c r="D209" s="583" t="s">
        <v>11</v>
      </c>
      <c r="E209" s="585">
        <f t="shared" si="14"/>
        <v>0</v>
      </c>
      <c r="F209" s="585">
        <f>IF($D209="Trigger",VLOOKUP($C209,'Lower Hot Cell Critical Path'!$C$6:$F$384,4,FALSE),E209+F208)</f>
        <v>241.60780851437258</v>
      </c>
      <c r="G209" s="586"/>
      <c r="H209" s="587" t="s">
        <v>263</v>
      </c>
      <c r="I209" s="1720"/>
      <c r="J209" s="583"/>
      <c r="K209" s="583"/>
      <c r="L209" s="814" t="str">
        <f>IFERROR(INDEX('Lower Hot Cell Logistics'!$I$13:$O$19,MATCH($J209,'Lower Hot Cell Logistics'!$H$13:$H$19,0),MATCH($K209,'Lower Hot Cell Logistics'!$H$13:$H$19,0)),"N/A")</f>
        <v>N/A</v>
      </c>
      <c r="M209" s="814" t="str">
        <f>IFERROR(VLOOKUP($I209,'Lower Hot Cell Logistics'!$H$4:$I$8,2,FALSE),"N/A")</f>
        <v>N/A</v>
      </c>
      <c r="N209" s="1181" t="str">
        <f t="shared" si="16"/>
        <v>N/A</v>
      </c>
      <c r="O209" s="590"/>
      <c r="P209" s="591" t="str">
        <f>IF($D209="Logistics",VLOOKUP($O209,'Lower Hot Cell Logistics'!$C$4:$D$69,2,FALSE),"N/A")</f>
        <v>N/A</v>
      </c>
      <c r="R209"/>
      <c r="S209"/>
    </row>
    <row r="210" spans="2:19" s="89" customFormat="1" ht="15" customHeight="1" x14ac:dyDescent="0.4">
      <c r="B210" s="3787" t="s">
        <v>2087</v>
      </c>
      <c r="C210" s="617" t="s">
        <v>1092</v>
      </c>
      <c r="D210" s="617" t="s">
        <v>907</v>
      </c>
      <c r="E210" s="567">
        <f t="shared" si="14"/>
        <v>0</v>
      </c>
      <c r="F210" s="567">
        <f>IF($D210="Trigger",VLOOKUP($C210,'Lower Hot Cell Critical Path'!$C$6:$F$384,4,FALSE),E210+F209)</f>
        <v>267.37515362628818</v>
      </c>
      <c r="G210" s="568"/>
      <c r="H210" s="569" t="s">
        <v>263</v>
      </c>
      <c r="I210" s="1270"/>
      <c r="J210" s="617"/>
      <c r="K210" s="617"/>
      <c r="L210" s="570" t="str">
        <f>IFERROR(INDEX('Lower Hot Cell Logistics'!$I$13:$O$19,MATCH($J210,'Lower Hot Cell Logistics'!$H$13:$H$19,0),MATCH($K210,'Lower Hot Cell Logistics'!$H$13:$H$19,0)),"N/A")</f>
        <v>N/A</v>
      </c>
      <c r="M210" s="802" t="str">
        <f>IFERROR(VLOOKUP($I210,'Lower Hot Cell Logistics'!$H$4:$I$8,2,FALSE),"N/A")</f>
        <v>N/A</v>
      </c>
      <c r="N210" s="1182" t="str">
        <f t="shared" si="16"/>
        <v>N/A</v>
      </c>
      <c r="O210" s="620"/>
      <c r="P210" s="621" t="str">
        <f>IF($D210="Logistics",VLOOKUP($O210,'Lower Hot Cell Logistics'!$C$4:$D$69,2,FALSE),"N/A")</f>
        <v>N/A</v>
      </c>
      <c r="R210"/>
      <c r="S210"/>
    </row>
    <row r="211" spans="2:19" s="89" customFormat="1" ht="15" customHeight="1" x14ac:dyDescent="0.4">
      <c r="B211" s="3786"/>
      <c r="C211" s="1275" t="s">
        <v>2211</v>
      </c>
      <c r="D211" s="572" t="s">
        <v>778</v>
      </c>
      <c r="E211" s="578">
        <f t="shared" si="14"/>
        <v>0.23148148148148148</v>
      </c>
      <c r="F211" s="578">
        <f>IF($D211="Trigger",VLOOKUP($C211,'Lower Hot Cell Critical Path'!$C$6:$F$384,4,FALSE),E211+F210)</f>
        <v>267.60663510776965</v>
      </c>
      <c r="G211" s="872"/>
      <c r="H211" s="2221" t="s">
        <v>263</v>
      </c>
      <c r="I211" s="1281" t="s">
        <v>2142</v>
      </c>
      <c r="J211" s="572" t="s">
        <v>451</v>
      </c>
      <c r="K211" s="572" t="s">
        <v>1965</v>
      </c>
      <c r="L211" s="1176">
        <f>IFERROR(INDEX('Lower Hot Cell Logistics'!$I$13:$O$19,MATCH($J211,'Lower Hot Cell Logistics'!$H$13:$H$19,0),MATCH($K211,'Lower Hot Cell Logistics'!$H$13:$H$19,0)),"N/A")</f>
        <v>50</v>
      </c>
      <c r="M211" s="2222">
        <f>IFERROR(VLOOKUP($I211,'Lower Hot Cell Logistics'!$H$4:$I$8,2,FALSE),"N/A")</f>
        <v>0.06</v>
      </c>
      <c r="N211" s="580">
        <f t="shared" si="16"/>
        <v>0.23148148148148148</v>
      </c>
      <c r="O211" s="631"/>
      <c r="P211" s="632" t="str">
        <f>IF($D211="Logistics",VLOOKUP($O211,'Lower Hot Cell Logistics'!$C$4:$D$69,2,FALSE),"N/A")</f>
        <v>N/A</v>
      </c>
      <c r="R211"/>
      <c r="S211"/>
    </row>
    <row r="212" spans="2:19" s="89" customFormat="1" ht="15" customHeight="1" x14ac:dyDescent="0.4">
      <c r="B212" s="3786"/>
      <c r="C212" s="1275" t="s">
        <v>2212</v>
      </c>
      <c r="D212" s="572" t="s">
        <v>3</v>
      </c>
      <c r="E212" s="578">
        <f t="shared" si="14"/>
        <v>0.88000000000000012</v>
      </c>
      <c r="F212" s="578">
        <f>IF($D212="Trigger",VLOOKUP($C212,'Lower Hot Cell Critical Path'!$C$6:$F$384,4,FALSE),E212+F211)</f>
        <v>268.48663510776964</v>
      </c>
      <c r="G212" s="872"/>
      <c r="H212" s="2221" t="s">
        <v>263</v>
      </c>
      <c r="I212" s="1281"/>
      <c r="J212" s="572"/>
      <c r="K212" s="572"/>
      <c r="L212" s="1176" t="str">
        <f>IFERROR(INDEX('Lower Hot Cell Logistics'!$I$13:$O$19,MATCH($J212,'Lower Hot Cell Logistics'!$H$13:$H$19,0),MATCH($K212,'Lower Hot Cell Logistics'!$H$13:$H$19,0)),"N/A")</f>
        <v>N/A</v>
      </c>
      <c r="M212" s="2222" t="str">
        <f>IFERROR(VLOOKUP($I212,'Lower Hot Cell Logistics'!$H$4:$I$8,2,FALSE),"N/A")</f>
        <v>N/A</v>
      </c>
      <c r="N212" s="580" t="str">
        <f t="shared" si="16"/>
        <v>N/A</v>
      </c>
      <c r="O212" s="631" t="s">
        <v>2144</v>
      </c>
      <c r="P212" s="632">
        <f>IF($D212="Logistics",VLOOKUP($O212,'Lower Hot Cell Logistics'!$C$4:$D$69,2,FALSE),"N/A")</f>
        <v>0.88000000000000012</v>
      </c>
      <c r="R212"/>
      <c r="S212"/>
    </row>
    <row r="213" spans="2:19" s="89" customFormat="1" x14ac:dyDescent="0.4">
      <c r="B213" s="3786"/>
      <c r="C213" s="572" t="s">
        <v>2189</v>
      </c>
      <c r="D213" s="572" t="s">
        <v>778</v>
      </c>
      <c r="E213" s="574">
        <f t="shared" si="14"/>
        <v>0.69444444444444442</v>
      </c>
      <c r="F213" s="574">
        <f>IF($D213="Trigger",VLOOKUP($C213,'Lower Hot Cell Critical Path'!$C$6:$F$384,4,FALSE),E213+F212)</f>
        <v>269.1810795522141</v>
      </c>
      <c r="G213" s="575"/>
      <c r="H213" s="576" t="s">
        <v>263</v>
      </c>
      <c r="I213" s="1281" t="s">
        <v>2171</v>
      </c>
      <c r="J213" s="572" t="s">
        <v>799</v>
      </c>
      <c r="K213" s="572" t="s">
        <v>451</v>
      </c>
      <c r="L213" s="853">
        <f>IFERROR(INDEX('Lower Hot Cell Logistics'!$I$13:$O$19,MATCH($J213,'Lower Hot Cell Logistics'!$H$13:$H$19,0),MATCH($K213,'Lower Hot Cell Logistics'!$H$13:$H$19,0)),"N/A")</f>
        <v>50</v>
      </c>
      <c r="M213" s="853">
        <f>IFERROR(VLOOKUP($I213,'Lower Hot Cell Logistics'!$H$4:$I$8,2,FALSE),"N/A")</f>
        <v>0.02</v>
      </c>
      <c r="N213" s="1180">
        <f t="shared" si="16"/>
        <v>0.69444444444444442</v>
      </c>
      <c r="O213" s="579"/>
      <c r="P213" s="580" t="str">
        <f>IF($D213="Logistics",VLOOKUP($O213,'Lower Hot Cell Logistics'!$C$4:$D$69,2,FALSE),"N/A")</f>
        <v>N/A</v>
      </c>
      <c r="R213"/>
      <c r="S213"/>
    </row>
    <row r="214" spans="2:19" s="89" customFormat="1" ht="15" thickBot="1" x14ac:dyDescent="0.45">
      <c r="B214" s="3788"/>
      <c r="C214" s="583" t="str">
        <f>B210</f>
        <v>COB pipe module collected; Pipe Module handling System Moved to Lower Port</v>
      </c>
      <c r="D214" s="583" t="s">
        <v>11</v>
      </c>
      <c r="E214" s="585">
        <f t="shared" si="14"/>
        <v>0</v>
      </c>
      <c r="F214" s="585">
        <f>IF($D214="Trigger",VLOOKUP($C214,'Lower Hot Cell Critical Path'!$C$6:$F$384,4,FALSE),E214+F213)</f>
        <v>269.1810795522141</v>
      </c>
      <c r="G214" s="586"/>
      <c r="H214" s="587" t="s">
        <v>263</v>
      </c>
      <c r="I214" s="1720"/>
      <c r="J214" s="583"/>
      <c r="K214" s="583"/>
      <c r="L214" s="814" t="str">
        <f>IFERROR(INDEX('Lower Hot Cell Logistics'!$I$13:$O$19,MATCH($J214,'Lower Hot Cell Logistics'!$H$13:$H$19,0),MATCH($K214,'Lower Hot Cell Logistics'!$H$13:$H$19,0)),"N/A")</f>
        <v>N/A</v>
      </c>
      <c r="M214" s="814" t="str">
        <f>IFERROR(VLOOKUP($I214,'Lower Hot Cell Logistics'!$H$4:$I$8,2,FALSE),"N/A")</f>
        <v>N/A</v>
      </c>
      <c r="N214" s="1181" t="str">
        <f t="shared" si="16"/>
        <v>N/A</v>
      </c>
      <c r="O214" s="590"/>
      <c r="P214" s="591" t="str">
        <f>IF($D214="Logistics",VLOOKUP($O214,'Lower Hot Cell Logistics'!$C$4:$D$69,2,FALSE),"N/A")</f>
        <v>N/A</v>
      </c>
      <c r="R214"/>
      <c r="S214"/>
    </row>
    <row r="215" spans="2:19" x14ac:dyDescent="0.4">
      <c r="B215" s="3815" t="s">
        <v>2091</v>
      </c>
      <c r="C215" s="1362" t="s">
        <v>1095</v>
      </c>
      <c r="D215" s="1362" t="s">
        <v>907</v>
      </c>
      <c r="E215" s="1363">
        <f t="shared" si="14"/>
        <v>0</v>
      </c>
      <c r="F215" s="1363">
        <f>IF($D215="Trigger",VLOOKUP($C215,'Lower Hot Cell Critical Path'!$C$6:$F$384,4,FALSE),E215+F214)</f>
        <v>295.4784246641297</v>
      </c>
      <c r="G215" s="1364"/>
      <c r="H215" s="1365" t="s">
        <v>263</v>
      </c>
      <c r="I215" s="2231"/>
      <c r="J215" s="1362"/>
      <c r="K215" s="1362"/>
      <c r="L215" s="2232" t="str">
        <f>IFERROR(INDEX('Lower Hot Cell Logistics'!$I$13:$O$19,MATCH($J215,'Lower Hot Cell Logistics'!$H$13:$H$19,0),MATCH($K215,'Lower Hot Cell Logistics'!$H$13:$H$19,0)),"N/A")</f>
        <v>N/A</v>
      </c>
      <c r="M215" s="2232" t="str">
        <f>IFERROR(VLOOKUP($I215,'Lower Hot Cell Logistics'!$H$4:$I$8,2,FALSE),"N/A")</f>
        <v>N/A</v>
      </c>
      <c r="N215" s="2233" t="str">
        <f t="shared" si="16"/>
        <v>N/A</v>
      </c>
      <c r="O215" s="1368"/>
      <c r="P215" s="861" t="str">
        <f>IF($D215="Logistics",VLOOKUP($O215,'Lower Hot Cell Logistics'!$C$4:$D$69,2,FALSE),"N/A")</f>
        <v>N/A</v>
      </c>
    </row>
    <row r="216" spans="2:19" x14ac:dyDescent="0.4">
      <c r="B216" s="3815"/>
      <c r="C216" s="1362" t="s">
        <v>2215</v>
      </c>
      <c r="D216" s="1362" t="s">
        <v>778</v>
      </c>
      <c r="E216" s="1292">
        <f t="shared" si="14"/>
        <v>0.23148148148148148</v>
      </c>
      <c r="F216" s="1292">
        <f>IF($D216="Trigger",VLOOKUP($C216,'Lower Hot Cell Critical Path'!$C$6:$F$384,4,FALSE),E216+F215)</f>
        <v>295.70990614561117</v>
      </c>
      <c r="G216" s="862"/>
      <c r="H216" s="1328" t="s">
        <v>263</v>
      </c>
      <c r="I216" s="1724" t="s">
        <v>2142</v>
      </c>
      <c r="J216" s="1294" t="s">
        <v>451</v>
      </c>
      <c r="K216" s="1294" t="s">
        <v>914</v>
      </c>
      <c r="L216" s="865">
        <f>IFERROR(INDEX('Lower Hot Cell Logistics'!$I$13:$O$19,MATCH($J216,'Lower Hot Cell Logistics'!$H$13:$H$19,0),MATCH($K216,'Lower Hot Cell Logistics'!$H$13:$H$19,0)),"N/A")</f>
        <v>50</v>
      </c>
      <c r="M216" s="865">
        <f>IFERROR(VLOOKUP($I216,'Lower Hot Cell Logistics'!$H$4:$I$8,2,FALSE),"N/A")</f>
        <v>0.06</v>
      </c>
      <c r="N216" s="2197">
        <f t="shared" si="16"/>
        <v>0.23148148148148148</v>
      </c>
      <c r="O216" s="1331"/>
      <c r="P216" s="1332" t="str">
        <f>IF($D216="Logistics",VLOOKUP($O216,'Lower Hot Cell Logistics'!$C$4:$D$69,2,FALSE),"N/A")</f>
        <v>N/A</v>
      </c>
    </row>
    <row r="217" spans="2:19" x14ac:dyDescent="0.4">
      <c r="B217" s="3815"/>
      <c r="C217" s="1362" t="s">
        <v>2216</v>
      </c>
      <c r="D217" s="1362" t="s">
        <v>3</v>
      </c>
      <c r="E217" s="1292">
        <f t="shared" si="14"/>
        <v>0.88000000000000012</v>
      </c>
      <c r="F217" s="1292">
        <f>IF($D217="Trigger",VLOOKUP($C217,'Lower Hot Cell Critical Path'!$C$6:$F$384,4,FALSE),E217+F216)</f>
        <v>296.58990614561117</v>
      </c>
      <c r="G217" s="862"/>
      <c r="H217" s="1328" t="s">
        <v>263</v>
      </c>
      <c r="I217" s="1724"/>
      <c r="J217" s="1294"/>
      <c r="K217" s="1294"/>
      <c r="L217" s="865" t="str">
        <f>IFERROR(INDEX('Lower Hot Cell Logistics'!$I$13:$O$19,MATCH($J217,'Lower Hot Cell Logistics'!$H$13:$H$19,0),MATCH($K217,'Lower Hot Cell Logistics'!$H$13:$H$19,0)),"N/A")</f>
        <v>N/A</v>
      </c>
      <c r="M217" s="865" t="str">
        <f>IFERROR(VLOOKUP($I217,'Lower Hot Cell Logistics'!$H$4:$I$8,2,FALSE),"N/A")</f>
        <v>N/A</v>
      </c>
      <c r="N217" s="2197" t="str">
        <f t="shared" si="16"/>
        <v>N/A</v>
      </c>
      <c r="O217" s="1331" t="s">
        <v>2168</v>
      </c>
      <c r="P217" s="1332">
        <f>IF($D217="Logistics",VLOOKUP($O217,'Lower Hot Cell Logistics'!$C$4:$D$69,2,FALSE),"N/A")</f>
        <v>0.88000000000000012</v>
      </c>
    </row>
    <row r="218" spans="2:19" x14ac:dyDescent="0.4">
      <c r="B218" s="3815"/>
      <c r="C218" s="1294" t="s">
        <v>2145</v>
      </c>
      <c r="D218" s="1294" t="s">
        <v>778</v>
      </c>
      <c r="E218" s="1292">
        <f t="shared" si="14"/>
        <v>2.7777777777777776E-2</v>
      </c>
      <c r="F218" s="1292">
        <f>IF($D218="Trigger",VLOOKUP($C218,'Lower Hot Cell Critical Path'!$C$6:$F$384,4,FALSE),E218+F217)</f>
        <v>296.61768392338894</v>
      </c>
      <c r="G218" s="862"/>
      <c r="H218" s="1328" t="s">
        <v>263</v>
      </c>
      <c r="I218" s="1724" t="s">
        <v>2146</v>
      </c>
      <c r="J218" s="1294" t="s">
        <v>914</v>
      </c>
      <c r="K218" s="1294" t="s">
        <v>799</v>
      </c>
      <c r="L218" s="865">
        <f>IFERROR(INDEX('Lower Hot Cell Logistics'!$I$13:$O$19,MATCH($J218,'Lower Hot Cell Logistics'!$H$13:$H$19,0),MATCH($K218,'Lower Hot Cell Logistics'!$H$13:$H$19,0)),"N/A")</f>
        <v>20</v>
      </c>
      <c r="M218" s="865">
        <f>IFERROR(VLOOKUP($I218,'Lower Hot Cell Logistics'!$H$4:$I$8,2,FALSE),"N/A")</f>
        <v>0.2</v>
      </c>
      <c r="N218" s="2197">
        <f t="shared" si="16"/>
        <v>2.7777777777777776E-2</v>
      </c>
      <c r="O218" s="1331"/>
      <c r="P218" s="1332" t="str">
        <f>IF($D218="Logistics",VLOOKUP($O218,'Lower Hot Cell Logistics'!$C$4:$D$69,2,FALSE),"N/A")</f>
        <v>N/A</v>
      </c>
    </row>
    <row r="219" spans="2:19" x14ac:dyDescent="0.4">
      <c r="B219" s="3815"/>
      <c r="C219" s="1294" t="s">
        <v>2174</v>
      </c>
      <c r="D219" s="1294" t="s">
        <v>3</v>
      </c>
      <c r="E219" s="1292">
        <f t="shared" si="14"/>
        <v>0.68</v>
      </c>
      <c r="F219" s="1292">
        <f>IF($D219="Trigger",VLOOKUP($C219,'Lower Hot Cell Critical Path'!$C$6:$F$384,4,FALSE),E219+F218)</f>
        <v>297.29768392338895</v>
      </c>
      <c r="G219" s="862"/>
      <c r="H219" s="1328" t="s">
        <v>263</v>
      </c>
      <c r="I219" s="1724"/>
      <c r="J219" s="1294"/>
      <c r="K219" s="1294"/>
      <c r="L219" s="865" t="str">
        <f>IFERROR(INDEX('Lower Hot Cell Logistics'!$I$13:$O$19,MATCH($J219,'Lower Hot Cell Logistics'!$H$13:$H$19,0),MATCH($K219,'Lower Hot Cell Logistics'!$H$13:$H$19,0)),"N/A")</f>
        <v>N/A</v>
      </c>
      <c r="M219" s="865" t="str">
        <f>IFERROR(VLOOKUP($I219,'Lower Hot Cell Logistics'!$H$4:$I$8,2,FALSE),"N/A")</f>
        <v>N/A</v>
      </c>
      <c r="N219" s="2197" t="str">
        <f t="shared" si="16"/>
        <v>N/A</v>
      </c>
      <c r="O219" s="1331" t="s">
        <v>2148</v>
      </c>
      <c r="P219" s="1332">
        <f>IF($D219="Logistics",VLOOKUP($O219,'Lower Hot Cell Logistics'!$C$4:$D$69,2,FALSE),"N/A")</f>
        <v>0.68</v>
      </c>
    </row>
    <row r="220" spans="2:19" x14ac:dyDescent="0.4">
      <c r="B220" s="3815"/>
      <c r="C220" s="1294" t="s">
        <v>2217</v>
      </c>
      <c r="D220" s="1294" t="s">
        <v>778</v>
      </c>
      <c r="E220" s="1292">
        <f t="shared" si="14"/>
        <v>9.2592592592592601E-2</v>
      </c>
      <c r="F220" s="1292">
        <f>IF($D220="Trigger",VLOOKUP($C220,'Lower Hot Cell Critical Path'!$C$6:$F$384,4,FALSE),E220+F219)</f>
        <v>297.39027651598155</v>
      </c>
      <c r="G220" s="862"/>
      <c r="H220" s="1328" t="s">
        <v>263</v>
      </c>
      <c r="I220" s="1724" t="s">
        <v>2190</v>
      </c>
      <c r="J220" s="1294" t="s">
        <v>2218</v>
      </c>
      <c r="K220" s="1294" t="s">
        <v>1965</v>
      </c>
      <c r="L220" s="865">
        <f>IFERROR(INDEX('Lower Hot Cell Logistics'!$I$13:$O$19,MATCH($J220,'Lower Hot Cell Logistics'!$H$13:$H$19,0),MATCH($K220,'Lower Hot Cell Logistics'!$H$13:$H$19,0)),"N/A")</f>
        <v>20</v>
      </c>
      <c r="M220" s="865">
        <f>IFERROR(VLOOKUP($I220,'Lower Hot Cell Logistics'!$H$4:$I$8,2,FALSE),"N/A")</f>
        <v>0.06</v>
      </c>
      <c r="N220" s="2197">
        <f t="shared" si="16"/>
        <v>9.2592592592592601E-2</v>
      </c>
      <c r="O220" s="1331"/>
      <c r="P220" s="1332" t="str">
        <f>IF($D220="Logistics",VLOOKUP($O220,'Lower Hot Cell Logistics'!$C$4:$D$69,2,FALSE),"N/A")</f>
        <v>N/A</v>
      </c>
    </row>
    <row r="221" spans="2:19" x14ac:dyDescent="0.4">
      <c r="B221" s="3815"/>
      <c r="C221" s="1294" t="s">
        <v>1787</v>
      </c>
      <c r="D221" s="1294" t="s">
        <v>3</v>
      </c>
      <c r="E221" s="1292">
        <f t="shared" si="14"/>
        <v>0.68</v>
      </c>
      <c r="F221" s="1292">
        <f>IF($D221="Trigger",VLOOKUP($C221,'Lower Hot Cell Critical Path'!$C$6:$F$384,4,FALSE),E221+F220)</f>
        <v>298.07027651598156</v>
      </c>
      <c r="G221" s="862"/>
      <c r="H221" s="1328" t="s">
        <v>263</v>
      </c>
      <c r="I221" s="1724"/>
      <c r="J221" s="1294"/>
      <c r="K221" s="1294"/>
      <c r="L221" s="865" t="str">
        <f>IFERROR(INDEX('Lower Hot Cell Logistics'!$I$13:$O$19,MATCH($J221,'Lower Hot Cell Logistics'!$H$13:$H$19,0),MATCH($K221,'Lower Hot Cell Logistics'!$H$13:$H$19,0)),"N/A")</f>
        <v>N/A</v>
      </c>
      <c r="M221" s="865" t="str">
        <f>IFERROR(VLOOKUP($I221,'Lower Hot Cell Logistics'!$H$4:$I$8,2,FALSE),"N/A")</f>
        <v>N/A</v>
      </c>
      <c r="N221" s="2197" t="str">
        <f t="shared" si="16"/>
        <v>N/A</v>
      </c>
      <c r="O221" s="1331" t="s">
        <v>2148</v>
      </c>
      <c r="P221" s="1332">
        <f>IF($D221="Logistics",VLOOKUP($O221,'Lower Hot Cell Logistics'!$C$4:$D$69,2,FALSE),"N/A")</f>
        <v>0.68</v>
      </c>
    </row>
    <row r="222" spans="2:19" x14ac:dyDescent="0.4">
      <c r="B222" s="3815"/>
      <c r="C222" s="1346" t="s">
        <v>2219</v>
      </c>
      <c r="D222" s="1294" t="s">
        <v>778</v>
      </c>
      <c r="E222" s="1292">
        <f t="shared" si="14"/>
        <v>0.69444444444444442</v>
      </c>
      <c r="F222" s="1292">
        <f>IF($D222="Trigger",VLOOKUP($C222,'Lower Hot Cell Critical Path'!$C$6:$F$384,4,FALSE),E222+F221)</f>
        <v>298.76472096042602</v>
      </c>
      <c r="G222" s="862"/>
      <c r="H222" s="1328" t="s">
        <v>263</v>
      </c>
      <c r="I222" s="1724" t="s">
        <v>1826</v>
      </c>
      <c r="J222" s="1294" t="s">
        <v>1965</v>
      </c>
      <c r="K222" s="1294" t="s">
        <v>451</v>
      </c>
      <c r="L222" s="865">
        <f>IFERROR(INDEX('Lower Hot Cell Logistics'!$I$13:$O$19,MATCH($J222,'Lower Hot Cell Logistics'!$H$13:$H$19,0),MATCH($K222,'Lower Hot Cell Logistics'!$H$13:$H$19,0)),"N/A")</f>
        <v>50</v>
      </c>
      <c r="M222" s="865">
        <f>IFERROR(VLOOKUP($I222,'Lower Hot Cell Logistics'!$H$4:$I$8,2,FALSE),"N/A")</f>
        <v>0.02</v>
      </c>
      <c r="N222" s="2197">
        <f t="shared" si="16"/>
        <v>0.69444444444444442</v>
      </c>
      <c r="O222" s="1331"/>
      <c r="P222" s="1332" t="str">
        <f>IF($D222="Logistics",VLOOKUP($O222,'Lower Hot Cell Logistics'!$C$4:$D$69,2,FALSE),"N/A")</f>
        <v>N/A</v>
      </c>
    </row>
    <row r="223" spans="2:19" ht="26.6" thickBot="1" x14ac:dyDescent="0.45">
      <c r="B223" s="3816"/>
      <c r="C223" s="1340" t="str">
        <f>B215</f>
        <v>Blanket pipe module handling system stored; divertor cassette handling system collect; Divertor cassette collected; hardware transporter moved to port</v>
      </c>
      <c r="D223" s="1340" t="s">
        <v>11</v>
      </c>
      <c r="E223" s="1292">
        <f t="shared" si="14"/>
        <v>0</v>
      </c>
      <c r="F223" s="1292">
        <f>IF($D223="Trigger",VLOOKUP($C223,'Lower Hot Cell Critical Path'!$C$6:$F$384,4,FALSE),E223+F222)</f>
        <v>298.76472096042602</v>
      </c>
      <c r="G223" s="862"/>
      <c r="H223" s="1328" t="s">
        <v>263</v>
      </c>
      <c r="I223" s="1727"/>
      <c r="J223" s="1340"/>
      <c r="K223" s="1340"/>
      <c r="L223" s="842" t="str">
        <f>IFERROR(INDEX('Lower Hot Cell Logistics'!$I$13:$O$19,MATCH($J223,'Lower Hot Cell Logistics'!$H$13:$H$19,0),MATCH($K223,'Lower Hot Cell Logistics'!$H$13:$H$19,0)),"N/A")</f>
        <v>N/A</v>
      </c>
      <c r="M223" s="842" t="str">
        <f>IFERROR(VLOOKUP($I223,'Lower Hot Cell Logistics'!$H$4:$I$8,2,FALSE),"N/A")</f>
        <v>N/A</v>
      </c>
      <c r="N223" s="2199" t="str">
        <f t="shared" ref="N223:N255" si="17">IF(D223="Movement",IFERROR((L223/M223)/(60*60),"Error"),"N/A")</f>
        <v>N/A</v>
      </c>
      <c r="O223" s="1344"/>
      <c r="P223" s="1345" t="str">
        <f>IF($D223="Logistics",VLOOKUP($O223,'Lower Hot Cell Logistics'!$C$4:$D$69,2,FALSE),"N/A")</f>
        <v>N/A</v>
      </c>
    </row>
    <row r="224" spans="2:19" x14ac:dyDescent="0.4">
      <c r="B224" s="3891" t="s">
        <v>2093</v>
      </c>
      <c r="C224" s="1240" t="s">
        <v>2220</v>
      </c>
      <c r="D224" s="1240" t="s">
        <v>907</v>
      </c>
      <c r="E224" s="1241">
        <f t="shared" si="14"/>
        <v>0</v>
      </c>
      <c r="F224" s="1241">
        <f>IF($D224="Trigger",VLOOKUP($C224,'Lower Hot Cell Critical Path'!$C$6:$F$384,4,FALSE),E224+F223)</f>
        <v>343.86169570197143</v>
      </c>
      <c r="G224" s="1354"/>
      <c r="H224" s="1355" t="s">
        <v>263</v>
      </c>
      <c r="I224" s="2234"/>
      <c r="J224" s="1240"/>
      <c r="K224" s="1240"/>
      <c r="L224" s="2235" t="str">
        <f>IFERROR(INDEX('Lower Hot Cell Logistics'!$I$13:$O$19,MATCH($J224,'Lower Hot Cell Logistics'!$H$13:$H$19,0),MATCH($K224,'Lower Hot Cell Logistics'!$H$13:$H$19,0)),"N/A")</f>
        <v>N/A</v>
      </c>
      <c r="M224" s="2235" t="str">
        <f>IFERROR(VLOOKUP($I224,'Lower Hot Cell Logistics'!$H$4:$I$8,2,FALSE),"N/A")</f>
        <v>N/A</v>
      </c>
      <c r="N224" s="2236" t="str">
        <f t="shared" si="17"/>
        <v>N/A</v>
      </c>
      <c r="O224" s="1357"/>
      <c r="P224" s="1358" t="str">
        <f>IF($D224="Logistics",VLOOKUP($O224,'Lower Hot Cell Logistics'!$C$4:$D$69,2,FALSE),"N/A")</f>
        <v>N/A</v>
      </c>
    </row>
    <row r="225" spans="2:19" x14ac:dyDescent="0.4">
      <c r="B225" s="3891"/>
      <c r="C225" s="1240" t="s">
        <v>2215</v>
      </c>
      <c r="D225" s="1240" t="s">
        <v>778</v>
      </c>
      <c r="E225" s="1244">
        <f t="shared" si="14"/>
        <v>0.23148148148148148</v>
      </c>
      <c r="F225" s="1244">
        <f>IF($D225="Trigger",VLOOKUP($C225,'Lower Hot Cell Critical Path'!$C$6:$F$384,4,FALSE),E225+F224)</f>
        <v>344.09317718345289</v>
      </c>
      <c r="G225" s="1309"/>
      <c r="H225" s="1310" t="s">
        <v>263</v>
      </c>
      <c r="I225" s="2237" t="s">
        <v>2142</v>
      </c>
      <c r="J225" s="1243" t="s">
        <v>451</v>
      </c>
      <c r="K225" s="1243" t="s">
        <v>914</v>
      </c>
      <c r="L225" s="2238">
        <f>IFERROR(INDEX('Lower Hot Cell Logistics'!$I$13:$O$19,MATCH($J225,'Lower Hot Cell Logistics'!$H$13:$H$19,0),MATCH($K225,'Lower Hot Cell Logistics'!$H$13:$H$19,0)),"N/A")</f>
        <v>50</v>
      </c>
      <c r="M225" s="2238">
        <f>IFERROR(VLOOKUP($I225,'Lower Hot Cell Logistics'!$H$4:$I$8,2,FALSE),"N/A")</f>
        <v>0.06</v>
      </c>
      <c r="N225" s="2239">
        <f t="shared" ref="N225:N237" si="18">IF(D225="Movement",IFERROR((L225/M225)/(60*60),"Error"),"N/A")</f>
        <v>0.23148148148148148</v>
      </c>
      <c r="O225" s="1312"/>
      <c r="P225" s="1313" t="str">
        <f>IF($D225="Logistics",VLOOKUP($O225,'Lower Hot Cell Logistics'!$C$4:$D$69,2,FALSE),"N/A")</f>
        <v>N/A</v>
      </c>
    </row>
    <row r="226" spans="2:19" x14ac:dyDescent="0.4">
      <c r="B226" s="3891"/>
      <c r="C226" s="1240" t="s">
        <v>2216</v>
      </c>
      <c r="D226" s="1240" t="s">
        <v>3</v>
      </c>
      <c r="E226" s="1244">
        <f t="shared" si="14"/>
        <v>0.88000000000000012</v>
      </c>
      <c r="F226" s="1244">
        <f>IF($D226="Trigger",VLOOKUP($C226,'Lower Hot Cell Critical Path'!$C$6:$F$384,4,FALSE),E226+F225)</f>
        <v>344.97317718345289</v>
      </c>
      <c r="G226" s="1309"/>
      <c r="H226" s="1310" t="s">
        <v>263</v>
      </c>
      <c r="I226" s="2237"/>
      <c r="J226" s="1243"/>
      <c r="K226" s="1243"/>
      <c r="L226" s="2238" t="str">
        <f>IFERROR(INDEX('Lower Hot Cell Logistics'!$I$13:$O$19,MATCH($J226,'Lower Hot Cell Logistics'!$H$13:$H$19,0),MATCH($K226,'Lower Hot Cell Logistics'!$H$13:$H$19,0)),"N/A")</f>
        <v>N/A</v>
      </c>
      <c r="M226" s="2238" t="str">
        <f>IFERROR(VLOOKUP($I226,'Lower Hot Cell Logistics'!$H$4:$I$8,2,FALSE),"N/A")</f>
        <v>N/A</v>
      </c>
      <c r="N226" s="2239" t="str">
        <f t="shared" si="18"/>
        <v>N/A</v>
      </c>
      <c r="O226" s="1312" t="s">
        <v>2168</v>
      </c>
      <c r="P226" s="1313">
        <f>IF($D226="Logistics",VLOOKUP($O226,'Lower Hot Cell Logistics'!$C$4:$D$69,2,FALSE),"N/A")</f>
        <v>0.88000000000000012</v>
      </c>
    </row>
    <row r="227" spans="2:19" x14ac:dyDescent="0.4">
      <c r="B227" s="3891"/>
      <c r="C227" s="1243" t="s">
        <v>2145</v>
      </c>
      <c r="D227" s="1243" t="s">
        <v>778</v>
      </c>
      <c r="E227" s="1244">
        <f t="shared" si="14"/>
        <v>2.7777777777777776E-2</v>
      </c>
      <c r="F227" s="1244">
        <f>IF($D227="Trigger",VLOOKUP($C227,'Lower Hot Cell Critical Path'!$C$6:$F$384,4,FALSE),E227+F226)</f>
        <v>345.00095496123066</v>
      </c>
      <c r="G227" s="1309"/>
      <c r="H227" s="1310" t="s">
        <v>263</v>
      </c>
      <c r="I227" s="2237" t="s">
        <v>2146</v>
      </c>
      <c r="J227" s="1243" t="s">
        <v>914</v>
      </c>
      <c r="K227" s="1243" t="s">
        <v>799</v>
      </c>
      <c r="L227" s="2238">
        <f>IFERROR(INDEX('Lower Hot Cell Logistics'!$I$13:$O$19,MATCH($J227,'Lower Hot Cell Logistics'!$H$13:$H$19,0),MATCH($K227,'Lower Hot Cell Logistics'!$H$13:$H$19,0)),"N/A")</f>
        <v>20</v>
      </c>
      <c r="M227" s="2238">
        <f>IFERROR(VLOOKUP($I227,'Lower Hot Cell Logistics'!$H$4:$I$8,2,FALSE),"N/A")</f>
        <v>0.2</v>
      </c>
      <c r="N227" s="2239">
        <f t="shared" si="18"/>
        <v>2.7777777777777776E-2</v>
      </c>
      <c r="O227" s="1312"/>
      <c r="P227" s="1313" t="str">
        <f>IF($D227="Logistics",VLOOKUP($O227,'Lower Hot Cell Logistics'!$C$4:$D$69,2,FALSE),"N/A")</f>
        <v>N/A</v>
      </c>
    </row>
    <row r="228" spans="2:19" x14ac:dyDescent="0.4">
      <c r="B228" s="3891"/>
      <c r="C228" s="1243" t="s">
        <v>2174</v>
      </c>
      <c r="D228" s="1243" t="s">
        <v>3</v>
      </c>
      <c r="E228" s="1244">
        <f t="shared" si="14"/>
        <v>0.68</v>
      </c>
      <c r="F228" s="1244">
        <f>IF($D228="Trigger",VLOOKUP($C228,'Lower Hot Cell Critical Path'!$C$6:$F$384,4,FALSE),E228+F227)</f>
        <v>345.68095496123067</v>
      </c>
      <c r="G228" s="1309"/>
      <c r="H228" s="1310" t="s">
        <v>263</v>
      </c>
      <c r="I228" s="2237"/>
      <c r="J228" s="1243"/>
      <c r="K228" s="1243"/>
      <c r="L228" s="2238" t="str">
        <f>IFERROR(INDEX('Lower Hot Cell Logistics'!$I$13:$O$19,MATCH($J228,'Lower Hot Cell Logistics'!$H$13:$H$19,0),MATCH($K228,'Lower Hot Cell Logistics'!$H$13:$H$19,0)),"N/A")</f>
        <v>N/A</v>
      </c>
      <c r="M228" s="2238" t="str">
        <f>IFERROR(VLOOKUP($I228,'Lower Hot Cell Logistics'!$H$4:$I$8,2,FALSE),"N/A")</f>
        <v>N/A</v>
      </c>
      <c r="N228" s="2239" t="str">
        <f t="shared" si="18"/>
        <v>N/A</v>
      </c>
      <c r="O228" s="1312" t="s">
        <v>2148</v>
      </c>
      <c r="P228" s="1313">
        <f>IF($D228="Logistics",VLOOKUP($O228,'Lower Hot Cell Logistics'!$C$4:$D$69,2,FALSE),"N/A")</f>
        <v>0.68</v>
      </c>
    </row>
    <row r="229" spans="2:19" x14ac:dyDescent="0.4">
      <c r="B229" s="3891"/>
      <c r="C229" s="1243" t="s">
        <v>2217</v>
      </c>
      <c r="D229" s="1243" t="s">
        <v>778</v>
      </c>
      <c r="E229" s="1244">
        <f t="shared" si="14"/>
        <v>9.2592592592592601E-2</v>
      </c>
      <c r="F229" s="1244">
        <f>IF($D229="Trigger",VLOOKUP($C229,'Lower Hot Cell Critical Path'!$C$6:$F$384,4,FALSE),E229+F228)</f>
        <v>345.77354755382328</v>
      </c>
      <c r="G229" s="1309"/>
      <c r="H229" s="1310" t="s">
        <v>263</v>
      </c>
      <c r="I229" s="2237" t="s">
        <v>2190</v>
      </c>
      <c r="J229" s="1243" t="s">
        <v>2218</v>
      </c>
      <c r="K229" s="1243" t="s">
        <v>1965</v>
      </c>
      <c r="L229" s="2238">
        <f>IFERROR(INDEX('Lower Hot Cell Logistics'!$I$13:$O$19,MATCH($J229,'Lower Hot Cell Logistics'!$H$13:$H$19,0),MATCH($K229,'Lower Hot Cell Logistics'!$H$13:$H$19,0)),"N/A")</f>
        <v>20</v>
      </c>
      <c r="M229" s="2238">
        <f>IFERROR(VLOOKUP($I229,'Lower Hot Cell Logistics'!$H$4:$I$8,2,FALSE),"N/A")</f>
        <v>0.06</v>
      </c>
      <c r="N229" s="2239">
        <f t="shared" si="18"/>
        <v>9.2592592592592601E-2</v>
      </c>
      <c r="O229" s="1312"/>
      <c r="P229" s="1313" t="str">
        <f>IF($D229="Logistics",VLOOKUP($O229,'Lower Hot Cell Logistics'!$C$4:$D$69,2,FALSE),"N/A")</f>
        <v>N/A</v>
      </c>
    </row>
    <row r="230" spans="2:19" x14ac:dyDescent="0.4">
      <c r="B230" s="3891"/>
      <c r="C230" s="1243" t="s">
        <v>1787</v>
      </c>
      <c r="D230" s="1243" t="s">
        <v>3</v>
      </c>
      <c r="E230" s="1244">
        <f t="shared" si="14"/>
        <v>0.68</v>
      </c>
      <c r="F230" s="1244">
        <f>IF($D230="Trigger",VLOOKUP($C230,'Lower Hot Cell Critical Path'!$C$6:$F$384,4,FALSE),E230+F229)</f>
        <v>346.45354755382328</v>
      </c>
      <c r="G230" s="1309"/>
      <c r="H230" s="1310" t="s">
        <v>263</v>
      </c>
      <c r="I230" s="2237"/>
      <c r="J230" s="1243"/>
      <c r="K230" s="1243"/>
      <c r="L230" s="2238" t="str">
        <f>IFERROR(INDEX('Lower Hot Cell Logistics'!$I$13:$O$19,MATCH($J230,'Lower Hot Cell Logistics'!$H$13:$H$19,0),MATCH($K230,'Lower Hot Cell Logistics'!$H$13:$H$19,0)),"N/A")</f>
        <v>N/A</v>
      </c>
      <c r="M230" s="2238" t="str">
        <f>IFERROR(VLOOKUP($I230,'Lower Hot Cell Logistics'!$H$4:$I$8,2,FALSE),"N/A")</f>
        <v>N/A</v>
      </c>
      <c r="N230" s="2239" t="str">
        <f t="shared" si="18"/>
        <v>N/A</v>
      </c>
      <c r="O230" s="1312" t="s">
        <v>2148</v>
      </c>
      <c r="P230" s="1313">
        <f>IF($D230="Logistics",VLOOKUP($O230,'Lower Hot Cell Logistics'!$C$4:$D$69,2,FALSE),"N/A")</f>
        <v>0.68</v>
      </c>
    </row>
    <row r="231" spans="2:19" x14ac:dyDescent="0.4">
      <c r="B231" s="3891"/>
      <c r="C231" s="1249" t="s">
        <v>2219</v>
      </c>
      <c r="D231" s="1243" t="s">
        <v>778</v>
      </c>
      <c r="E231" s="1244">
        <f t="shared" si="14"/>
        <v>0.69444444444444442</v>
      </c>
      <c r="F231" s="1244">
        <f>IF($D231="Trigger",VLOOKUP($C231,'Lower Hot Cell Critical Path'!$C$6:$F$384,4,FALSE),E231+F230)</f>
        <v>347.14799199826774</v>
      </c>
      <c r="G231" s="1309"/>
      <c r="H231" s="1310" t="s">
        <v>263</v>
      </c>
      <c r="I231" s="2237" t="s">
        <v>1826</v>
      </c>
      <c r="J231" s="1243" t="s">
        <v>1965</v>
      </c>
      <c r="K231" s="1243" t="s">
        <v>451</v>
      </c>
      <c r="L231" s="2238">
        <f>IFERROR(INDEX('Lower Hot Cell Logistics'!$I$13:$O$19,MATCH($J231,'Lower Hot Cell Logistics'!$H$13:$H$19,0),MATCH($K231,'Lower Hot Cell Logistics'!$H$13:$H$19,0)),"N/A")</f>
        <v>50</v>
      </c>
      <c r="M231" s="2238">
        <f>IFERROR(VLOOKUP($I231,'Lower Hot Cell Logistics'!$H$4:$I$8,2,FALSE),"N/A")</f>
        <v>0.02</v>
      </c>
      <c r="N231" s="2239">
        <f t="shared" si="18"/>
        <v>0.69444444444444442</v>
      </c>
      <c r="O231" s="1312"/>
      <c r="P231" s="1313" t="str">
        <f>IF($D231="Logistics",VLOOKUP($O231,'Lower Hot Cell Logistics'!$C$4:$D$69,2,FALSE),"N/A")</f>
        <v>N/A</v>
      </c>
    </row>
    <row r="232" spans="2:19" ht="26.6" thickBot="1" x14ac:dyDescent="0.45">
      <c r="B232" s="3892"/>
      <c r="C232" s="1314" t="str">
        <f>B224</f>
        <v>Blanket pipe module handling system stored; second divertor cassette handling system collect; Divertor cassette collected; hardware transporter moved to port</v>
      </c>
      <c r="D232" s="1314" t="s">
        <v>11</v>
      </c>
      <c r="E232" s="1244">
        <f t="shared" si="14"/>
        <v>0</v>
      </c>
      <c r="F232" s="1244">
        <f>IF($D232="Trigger",VLOOKUP($C232,'Lower Hot Cell Critical Path'!$C$6:$F$384,4,FALSE),E232+F231)</f>
        <v>347.14799199826774</v>
      </c>
      <c r="G232" s="1309"/>
      <c r="H232" s="1310" t="s">
        <v>263</v>
      </c>
      <c r="I232" s="2240"/>
      <c r="J232" s="1314"/>
      <c r="K232" s="1314"/>
      <c r="L232" s="2241" t="str">
        <f>IFERROR(INDEX('Lower Hot Cell Logistics'!$I$13:$O$19,MATCH($J232,'Lower Hot Cell Logistics'!$H$13:$H$19,0),MATCH($K232,'Lower Hot Cell Logistics'!$H$13:$H$19,0)),"N/A")</f>
        <v>N/A</v>
      </c>
      <c r="M232" s="2241" t="str">
        <f>IFERROR(VLOOKUP($I232,'Lower Hot Cell Logistics'!$H$4:$I$8,2,FALSE),"N/A")</f>
        <v>N/A</v>
      </c>
      <c r="N232" s="2242" t="str">
        <f t="shared" si="18"/>
        <v>N/A</v>
      </c>
      <c r="O232" s="1321"/>
      <c r="P232" s="1322" t="str">
        <f>IF($D232="Logistics",VLOOKUP($O232,'Lower Hot Cell Logistics'!$C$4:$D$69,2,FALSE),"N/A")</f>
        <v>N/A</v>
      </c>
    </row>
    <row r="233" spans="2:19" s="89" customFormat="1" ht="15" customHeight="1" x14ac:dyDescent="0.4">
      <c r="B233" s="3893" t="s">
        <v>2095</v>
      </c>
      <c r="C233" s="2243" t="s">
        <v>2221</v>
      </c>
      <c r="D233" s="2243" t="s">
        <v>907</v>
      </c>
      <c r="E233" s="2045">
        <f t="shared" si="14"/>
        <v>0</v>
      </c>
      <c r="F233" s="2045">
        <f>IF($D233="Trigger",VLOOKUP($C233,'Lower Hot Cell Critical Path'!$C$6:$F$384,4,FALSE),E233+F232)</f>
        <v>345.99169570197142</v>
      </c>
      <c r="G233" s="2244"/>
      <c r="H233" s="2245" t="s">
        <v>263</v>
      </c>
      <c r="I233" s="2246"/>
      <c r="J233" s="2243"/>
      <c r="K233" s="2243"/>
      <c r="L233" s="2247" t="str">
        <f>IFERROR(INDEX('Lower Hot Cell Logistics'!$I$13:$O$19,MATCH($J233,'Lower Hot Cell Logistics'!$H$13:$H$19,0),MATCH($K233,'Lower Hot Cell Logistics'!$H$13:$H$19,0)),"N/A")</f>
        <v>N/A</v>
      </c>
      <c r="M233" s="2248" t="str">
        <f>IFERROR(VLOOKUP($I233,'Lower Hot Cell Logistics'!$H$4:$I$8,2,FALSE),"N/A")</f>
        <v>N/A</v>
      </c>
      <c r="N233" s="2249" t="str">
        <f t="shared" si="18"/>
        <v>N/A</v>
      </c>
      <c r="O233" s="2250"/>
      <c r="P233" s="2053" t="str">
        <f>IF($D233="Logistics",VLOOKUP($O233,'Lower Hot Cell Logistics'!$C$4:$D$69,2,FALSE),"N/A")</f>
        <v>N/A</v>
      </c>
      <c r="R233"/>
      <c r="S233"/>
    </row>
    <row r="234" spans="2:19" s="89" customFormat="1" ht="15" customHeight="1" x14ac:dyDescent="0.4">
      <c r="B234" s="3894"/>
      <c r="C234" s="2251" t="s">
        <v>2211</v>
      </c>
      <c r="D234" s="2252" t="s">
        <v>778</v>
      </c>
      <c r="E234" s="2253">
        <f t="shared" si="14"/>
        <v>0.23148148148148148</v>
      </c>
      <c r="F234" s="2253">
        <f>IF($D234="Trigger",VLOOKUP($C234,'Lower Hot Cell Critical Path'!$C$6:$F$384,4,FALSE),E234+F233)</f>
        <v>346.22317718345289</v>
      </c>
      <c r="G234" s="2254"/>
      <c r="H234" s="2255" t="s">
        <v>263</v>
      </c>
      <c r="I234" s="2256" t="s">
        <v>2142</v>
      </c>
      <c r="J234" s="2252" t="s">
        <v>451</v>
      </c>
      <c r="K234" s="2252" t="s">
        <v>1965</v>
      </c>
      <c r="L234" s="2063">
        <f>IFERROR(INDEX('Lower Hot Cell Logistics'!$I$13:$O$19,MATCH($J234,'Lower Hot Cell Logistics'!$H$13:$H$19,0),MATCH($K234,'Lower Hot Cell Logistics'!$H$13:$H$19,0)),"N/A")</f>
        <v>50</v>
      </c>
      <c r="M234" s="2257">
        <f>IFERROR(VLOOKUP($I234,'Lower Hot Cell Logistics'!$H$4:$I$8,2,FALSE),"N/A")</f>
        <v>0.06</v>
      </c>
      <c r="N234" s="2064">
        <f t="shared" si="18"/>
        <v>0.23148148148148148</v>
      </c>
      <c r="O234" s="2258"/>
      <c r="P234" s="2067" t="str">
        <f>IF($D234="Logistics",VLOOKUP($O234,'Lower Hot Cell Logistics'!$C$4:$D$69,2,FALSE),"N/A")</f>
        <v>N/A</v>
      </c>
      <c r="R234"/>
      <c r="S234"/>
    </row>
    <row r="235" spans="2:19" s="89" customFormat="1" ht="15" customHeight="1" x14ac:dyDescent="0.4">
      <c r="B235" s="3894"/>
      <c r="C235" s="2251" t="s">
        <v>2212</v>
      </c>
      <c r="D235" s="2252" t="s">
        <v>3</v>
      </c>
      <c r="E235" s="2253">
        <f t="shared" si="14"/>
        <v>0.88000000000000012</v>
      </c>
      <c r="F235" s="2253">
        <f>IF($D235="Trigger",VLOOKUP($C235,'Lower Hot Cell Critical Path'!$C$6:$F$384,4,FALSE),E235+F234)</f>
        <v>347.10317718345289</v>
      </c>
      <c r="G235" s="2254"/>
      <c r="H235" s="2255" t="s">
        <v>263</v>
      </c>
      <c r="I235" s="2256"/>
      <c r="J235" s="2252"/>
      <c r="K235" s="2252"/>
      <c r="L235" s="2063" t="str">
        <f>IFERROR(INDEX('Lower Hot Cell Logistics'!$I$13:$O$19,MATCH($J235,'Lower Hot Cell Logistics'!$H$13:$H$19,0),MATCH($K235,'Lower Hot Cell Logistics'!$H$13:$H$19,0)),"N/A")</f>
        <v>N/A</v>
      </c>
      <c r="M235" s="2257" t="str">
        <f>IFERROR(VLOOKUP($I235,'Lower Hot Cell Logistics'!$H$4:$I$8,2,FALSE),"N/A")</f>
        <v>N/A</v>
      </c>
      <c r="N235" s="2064" t="str">
        <f t="shared" si="18"/>
        <v>N/A</v>
      </c>
      <c r="O235" s="2258" t="s">
        <v>2144</v>
      </c>
      <c r="P235" s="2067">
        <f>IF($D235="Logistics",VLOOKUP($O235,'Lower Hot Cell Logistics'!$C$4:$D$69,2,FALSE),"N/A")</f>
        <v>0.88000000000000012</v>
      </c>
      <c r="R235"/>
      <c r="S235"/>
    </row>
    <row r="236" spans="2:19" s="89" customFormat="1" x14ac:dyDescent="0.4">
      <c r="B236" s="3894"/>
      <c r="C236" s="2252" t="s">
        <v>2189</v>
      </c>
      <c r="D236" s="2252" t="s">
        <v>778</v>
      </c>
      <c r="E236" s="2259">
        <f t="shared" si="14"/>
        <v>0.69444444444444442</v>
      </c>
      <c r="F236" s="2259">
        <f>IF($D236="Trigger",VLOOKUP($C236,'Lower Hot Cell Critical Path'!$C$6:$F$384,4,FALSE),E236+F235)</f>
        <v>347.79762162789734</v>
      </c>
      <c r="G236" s="2260"/>
      <c r="H236" s="2261" t="s">
        <v>263</v>
      </c>
      <c r="I236" s="2256" t="s">
        <v>2171</v>
      </c>
      <c r="J236" s="2252" t="s">
        <v>799</v>
      </c>
      <c r="K236" s="2252" t="s">
        <v>451</v>
      </c>
      <c r="L236" s="2262">
        <f>IFERROR(INDEX('Lower Hot Cell Logistics'!$I$13:$O$19,MATCH($J236,'Lower Hot Cell Logistics'!$H$13:$H$19,0),MATCH($K236,'Lower Hot Cell Logistics'!$H$13:$H$19,0)),"N/A")</f>
        <v>50</v>
      </c>
      <c r="M236" s="2262">
        <f>IFERROR(VLOOKUP($I236,'Lower Hot Cell Logistics'!$H$4:$I$8,2,FALSE),"N/A")</f>
        <v>0.02</v>
      </c>
      <c r="N236" s="2263">
        <f t="shared" si="18"/>
        <v>0.69444444444444442</v>
      </c>
      <c r="O236" s="2264"/>
      <c r="P236" s="2064" t="str">
        <f>IF($D236="Logistics",VLOOKUP($O236,'Lower Hot Cell Logistics'!$C$4:$D$69,2,FALSE),"N/A")</f>
        <v>N/A</v>
      </c>
      <c r="R236"/>
      <c r="S236"/>
    </row>
    <row r="237" spans="2:19" s="89" customFormat="1" ht="15" thickBot="1" x14ac:dyDescent="0.45">
      <c r="B237" s="3895"/>
      <c r="C237" s="2265" t="str">
        <f>B233</f>
        <v>Divertor cassette collected; Divertor cassette handling System Moved to Lower Port</v>
      </c>
      <c r="D237" s="2265" t="s">
        <v>11</v>
      </c>
      <c r="E237" s="2266">
        <f t="shared" si="14"/>
        <v>0</v>
      </c>
      <c r="F237" s="2266">
        <f>IF($D237="Trigger",VLOOKUP($C237,'Lower Hot Cell Critical Path'!$C$6:$F$384,4,FALSE),E237+F236)</f>
        <v>347.79762162789734</v>
      </c>
      <c r="G237" s="2267"/>
      <c r="H237" s="2268" t="s">
        <v>263</v>
      </c>
      <c r="I237" s="2269"/>
      <c r="J237" s="2265"/>
      <c r="K237" s="2265"/>
      <c r="L237" s="2095" t="str">
        <f>IFERROR(INDEX('Lower Hot Cell Logistics'!$I$13:$O$19,MATCH($J237,'Lower Hot Cell Logistics'!$H$13:$H$19,0),MATCH($K237,'Lower Hot Cell Logistics'!$H$13:$H$19,0)),"N/A")</f>
        <v>N/A</v>
      </c>
      <c r="M237" s="2095" t="str">
        <f>IFERROR(VLOOKUP($I237,'Lower Hot Cell Logistics'!$H$4:$I$8,2,FALSE),"N/A")</f>
        <v>N/A</v>
      </c>
      <c r="N237" s="2270" t="str">
        <f t="shared" si="18"/>
        <v>N/A</v>
      </c>
      <c r="O237" s="2271"/>
      <c r="P237" s="2272" t="str">
        <f>IF($D237="Logistics",VLOOKUP($O237,'Lower Hot Cell Logistics'!$C$4:$D$69,2,FALSE),"N/A")</f>
        <v>N/A</v>
      </c>
      <c r="R237"/>
      <c r="S237"/>
    </row>
    <row r="238" spans="2:19" x14ac:dyDescent="0.4">
      <c r="B238" s="3787" t="s">
        <v>2100</v>
      </c>
      <c r="C238" s="617" t="s">
        <v>2094</v>
      </c>
      <c r="D238" s="617" t="s">
        <v>907</v>
      </c>
      <c r="E238" s="567">
        <f t="shared" si="14"/>
        <v>0</v>
      </c>
      <c r="F238" s="567">
        <f>IF($D238="Trigger",VLOOKUP($C238,'Lower Hot Cell Critical Path'!$C$6:$F$384,4,FALSE),E238+F237)</f>
        <v>349.27799199826774</v>
      </c>
      <c r="G238" s="568"/>
      <c r="H238" s="569" t="s">
        <v>263</v>
      </c>
      <c r="I238" s="1270"/>
      <c r="J238" s="617"/>
      <c r="K238" s="617"/>
      <c r="L238" s="570" t="str">
        <f>IFERROR(INDEX('Lower Hot Cell Logistics'!$I$13:$O$19,MATCH($J238,'Lower Hot Cell Logistics'!$H$13:$H$19,0),MATCH($K238,'Lower Hot Cell Logistics'!$H$13:$H$19,0)),"N/A")</f>
        <v>N/A</v>
      </c>
      <c r="M238" s="570" t="str">
        <f>IFERROR(VLOOKUP($I238,'Lower Hot Cell Logistics'!$H$4:$I$8,2,FALSE),"N/A")</f>
        <v>N/A</v>
      </c>
      <c r="N238" s="1182" t="str">
        <f t="shared" si="17"/>
        <v>N/A</v>
      </c>
      <c r="O238" s="620"/>
      <c r="P238" s="621" t="str">
        <f>IF($D238="Logistics",VLOOKUP($O238,'Lower Hot Cell Logistics'!$C$4:$D$69,2,FALSE),"N/A")</f>
        <v>N/A</v>
      </c>
    </row>
    <row r="239" spans="2:19" x14ac:dyDescent="0.4">
      <c r="B239" s="3786"/>
      <c r="C239" s="572" t="s">
        <v>2222</v>
      </c>
      <c r="D239" s="572" t="s">
        <v>778</v>
      </c>
      <c r="E239" s="574">
        <f t="shared" si="14"/>
        <v>0.23148148148148148</v>
      </c>
      <c r="F239" s="574">
        <f>IF($D239="Trigger",VLOOKUP($C239,'Lower Hot Cell Critical Path'!$C$6:$F$384,4,FALSE),E239+F238)</f>
        <v>349.5094734797492</v>
      </c>
      <c r="G239" s="575"/>
      <c r="H239" s="576" t="s">
        <v>263</v>
      </c>
      <c r="I239" s="1281" t="s">
        <v>2142</v>
      </c>
      <c r="J239" s="572" t="s">
        <v>451</v>
      </c>
      <c r="K239" s="572" t="s">
        <v>799</v>
      </c>
      <c r="L239" s="853">
        <f>IFERROR(INDEX('Lower Hot Cell Logistics'!$I$13:$O$19,MATCH($J239,'Lower Hot Cell Logistics'!$H$13:$H$19,0),MATCH($K239,'Lower Hot Cell Logistics'!$H$13:$H$19,0)),"N/A")</f>
        <v>50</v>
      </c>
      <c r="M239" s="853">
        <f>IFERROR(VLOOKUP($I239,'Lower Hot Cell Logistics'!$H$4:$I$8,2,FALSE),"N/A")</f>
        <v>0.06</v>
      </c>
      <c r="N239" s="1180">
        <f t="shared" si="17"/>
        <v>0.23148148148148148</v>
      </c>
      <c r="O239" s="579"/>
      <c r="P239" s="580" t="str">
        <f>IF($D239="Logistics",VLOOKUP($O239,'Lower Hot Cell Logistics'!$C$4:$D$69,2,FALSE),"N/A")</f>
        <v>N/A</v>
      </c>
    </row>
    <row r="240" spans="2:19" x14ac:dyDescent="0.4">
      <c r="B240" s="3786"/>
      <c r="C240" s="572" t="s">
        <v>2223</v>
      </c>
      <c r="D240" s="572" t="s">
        <v>3</v>
      </c>
      <c r="E240" s="574">
        <f t="shared" si="14"/>
        <v>0.88000000000000012</v>
      </c>
      <c r="F240" s="574">
        <f>IF($D240="Trigger",VLOOKUP($C240,'Lower Hot Cell Critical Path'!$C$6:$F$384,4,FALSE),E240+F239)</f>
        <v>350.3894734797492</v>
      </c>
      <c r="G240" s="575"/>
      <c r="H240" s="576" t="s">
        <v>263</v>
      </c>
      <c r="I240" s="1281"/>
      <c r="J240" s="572"/>
      <c r="K240" s="572"/>
      <c r="L240" s="853" t="str">
        <f>IFERROR(INDEX('Lower Hot Cell Logistics'!$I$13:$O$19,MATCH($J240,'Lower Hot Cell Logistics'!$H$13:$H$19,0),MATCH($K240,'Lower Hot Cell Logistics'!$H$13:$H$19,0)),"N/A")</f>
        <v>N/A</v>
      </c>
      <c r="M240" s="853" t="str">
        <f>IFERROR(VLOOKUP($I240,'Lower Hot Cell Logistics'!$H$4:$I$8,2,FALSE),"N/A")</f>
        <v>N/A</v>
      </c>
      <c r="N240" s="1180" t="str">
        <f t="shared" si="17"/>
        <v>N/A</v>
      </c>
      <c r="O240" s="579" t="s">
        <v>2168</v>
      </c>
      <c r="P240" s="580">
        <f>IF($D240="Logistics",VLOOKUP($O240,'Lower Hot Cell Logistics'!$C$4:$D$69,2,FALSE),"N/A")</f>
        <v>0.88000000000000012</v>
      </c>
    </row>
    <row r="241" spans="2:19" x14ac:dyDescent="0.4">
      <c r="B241" s="3786"/>
      <c r="C241" s="572" t="s">
        <v>2224</v>
      </c>
      <c r="D241" s="572" t="s">
        <v>778</v>
      </c>
      <c r="E241" s="574">
        <f t="shared" si="14"/>
        <v>2.7777777777777776E-2</v>
      </c>
      <c r="F241" s="574">
        <f>IF($D241="Trigger",VLOOKUP($C241,'Lower Hot Cell Critical Path'!$C$6:$F$384,4,FALSE),E241+F240)</f>
        <v>350.41725125752697</v>
      </c>
      <c r="G241" s="575"/>
      <c r="H241" s="576" t="s">
        <v>263</v>
      </c>
      <c r="I241" s="1281" t="s">
        <v>2146</v>
      </c>
      <c r="J241" s="1281" t="s">
        <v>1777</v>
      </c>
      <c r="K241" s="572" t="s">
        <v>1778</v>
      </c>
      <c r="L241" s="853">
        <f>IFERROR(INDEX('Lower Hot Cell Logistics'!$I$13:$O$19,MATCH($J241,'Lower Hot Cell Logistics'!$H$13:$H$19,0),MATCH($K241,'Lower Hot Cell Logistics'!$H$13:$H$19,0)),"N/A")</f>
        <v>20</v>
      </c>
      <c r="M241" s="853">
        <f>IFERROR(VLOOKUP($I241,'Lower Hot Cell Logistics'!$H$4:$I$8,2,FALSE),"N/A")</f>
        <v>0.2</v>
      </c>
      <c r="N241" s="1180">
        <f t="shared" si="17"/>
        <v>2.7777777777777776E-2</v>
      </c>
      <c r="O241" s="579"/>
      <c r="P241" s="580" t="str">
        <f>IF($D241="Logistics",VLOOKUP($O241,'Lower Hot Cell Logistics'!$C$4:$D$69,2,FALSE),"N/A")</f>
        <v>N/A</v>
      </c>
    </row>
    <row r="242" spans="2:19" x14ac:dyDescent="0.4">
      <c r="B242" s="3786"/>
      <c r="C242" s="572" t="s">
        <v>2225</v>
      </c>
      <c r="D242" s="572" t="s">
        <v>3</v>
      </c>
      <c r="E242" s="574">
        <f t="shared" si="14"/>
        <v>0.68</v>
      </c>
      <c r="F242" s="574">
        <f>IF($D242="Trigger",VLOOKUP($C242,'Lower Hot Cell Critical Path'!$C$6:$F$384,4,FALSE),E242+F241)</f>
        <v>351.09725125752698</v>
      </c>
      <c r="G242" s="575"/>
      <c r="H242" s="576" t="s">
        <v>263</v>
      </c>
      <c r="I242" s="1281"/>
      <c r="J242" s="572"/>
      <c r="K242" s="572"/>
      <c r="L242" s="853" t="str">
        <f>IFERROR(INDEX('Lower Hot Cell Logistics'!$I$13:$O$19,MATCH($J242,'Lower Hot Cell Logistics'!$H$13:$H$19,0),MATCH($K242,'Lower Hot Cell Logistics'!$H$13:$H$19,0)),"N/A")</f>
        <v>N/A</v>
      </c>
      <c r="M242" s="853" t="str">
        <f>IFERROR(VLOOKUP($I242,'Lower Hot Cell Logistics'!$H$4:$I$8,2,FALSE),"N/A")</f>
        <v>N/A</v>
      </c>
      <c r="N242" s="1180" t="str">
        <f t="shared" si="17"/>
        <v>N/A</v>
      </c>
      <c r="O242" s="579" t="s">
        <v>2139</v>
      </c>
      <c r="P242" s="580">
        <f>IF($D242="Logistics",VLOOKUP($O242,'Lower Hot Cell Logistics'!$C$4:$D$69,2,FALSE),"N/A")</f>
        <v>0.68</v>
      </c>
    </row>
    <row r="243" spans="2:19" x14ac:dyDescent="0.4">
      <c r="B243" s="3786"/>
      <c r="C243" s="572" t="s">
        <v>2226</v>
      </c>
      <c r="D243" s="572" t="s">
        <v>778</v>
      </c>
      <c r="E243" s="574">
        <f t="shared" si="14"/>
        <v>0.69444444444444442</v>
      </c>
      <c r="F243" s="574">
        <f>IF($D243="Trigger",VLOOKUP($C243,'Lower Hot Cell Critical Path'!$C$6:$F$384,4,FALSE),E243+F242)</f>
        <v>351.79169570197143</v>
      </c>
      <c r="G243" s="575"/>
      <c r="H243" s="576" t="s">
        <v>263</v>
      </c>
      <c r="I243" s="1281" t="s">
        <v>1826</v>
      </c>
      <c r="J243" s="572" t="s">
        <v>799</v>
      </c>
      <c r="K243" s="572" t="s">
        <v>451</v>
      </c>
      <c r="L243" s="853">
        <f>IFERROR(INDEX('Lower Hot Cell Logistics'!$I$13:$O$19,MATCH($J243,'Lower Hot Cell Logistics'!$H$13:$H$19,0),MATCH($K243,'Lower Hot Cell Logistics'!$H$13:$H$19,0)),"N/A")</f>
        <v>50</v>
      </c>
      <c r="M243" s="853">
        <f>IFERROR(VLOOKUP($I243,'Lower Hot Cell Logistics'!$H$4:$I$8,2,FALSE),"N/A")</f>
        <v>0.02</v>
      </c>
      <c r="N243" s="1180">
        <f t="shared" si="17"/>
        <v>0.69444444444444442</v>
      </c>
      <c r="O243" s="579"/>
      <c r="P243" s="580" t="str">
        <f>IF($D243="Logistics",VLOOKUP($O243,'Lower Hot Cell Logistics'!$C$4:$D$69,2,FALSE),"N/A")</f>
        <v>N/A</v>
      </c>
    </row>
    <row r="244" spans="2:19" ht="26.6" thickBot="1" x14ac:dyDescent="0.45">
      <c r="B244" s="3788"/>
      <c r="C244" s="583" t="str">
        <f>B238</f>
        <v>Divertor Handling system Stored; Divertor Pipework handling system collected; Right Divertor pipe module collected; Transport Moved to Lower Port</v>
      </c>
      <c r="D244" s="583" t="s">
        <v>11</v>
      </c>
      <c r="E244" s="585">
        <f t="shared" si="14"/>
        <v>0</v>
      </c>
      <c r="F244" s="585">
        <f>IF($D244="Trigger",VLOOKUP($C244,'Lower Hot Cell Critical Path'!$C$6:$F$384,4,FALSE),E244+F243)</f>
        <v>351.79169570197143</v>
      </c>
      <c r="G244" s="586"/>
      <c r="H244" s="587" t="s">
        <v>263</v>
      </c>
      <c r="I244" s="1720"/>
      <c r="J244" s="583"/>
      <c r="K244" s="583"/>
      <c r="L244" s="814" t="str">
        <f>IFERROR(INDEX('Lower Hot Cell Logistics'!$I$13:$O$19,MATCH($J244,'Lower Hot Cell Logistics'!$H$13:$H$19,0),MATCH($K244,'Lower Hot Cell Logistics'!$H$13:$H$19,0)),"N/A")</f>
        <v>N/A</v>
      </c>
      <c r="M244" s="814" t="str">
        <f>IFERROR(VLOOKUP($I244,'Lower Hot Cell Logistics'!$H$4:$I$8,2,FALSE),"N/A")</f>
        <v>N/A</v>
      </c>
      <c r="N244" s="1181" t="str">
        <f t="shared" si="17"/>
        <v>N/A</v>
      </c>
      <c r="O244" s="590"/>
      <c r="P244" s="591" t="str">
        <f>IF($D244="Logistics",VLOOKUP($O244,'Lower Hot Cell Logistics'!$C$4:$D$69,2,FALSE),"N/A")</f>
        <v>N/A</v>
      </c>
    </row>
    <row r="245" spans="2:19" x14ac:dyDescent="0.4">
      <c r="B245" s="3893" t="s">
        <v>2104</v>
      </c>
      <c r="C245" s="2243" t="s">
        <v>2094</v>
      </c>
      <c r="D245" s="2243" t="s">
        <v>907</v>
      </c>
      <c r="E245" s="2045">
        <f t="shared" si="14"/>
        <v>0</v>
      </c>
      <c r="F245" s="2045">
        <f>IF($D245="Trigger",VLOOKUP($C245,'Lower Hot Cell Critical Path'!$C$6:$F$384,4,FALSE),E245+F244)</f>
        <v>349.27799199826774</v>
      </c>
      <c r="G245" s="2244"/>
      <c r="H245" s="2245" t="s">
        <v>263</v>
      </c>
      <c r="I245" s="2246"/>
      <c r="J245" s="2243"/>
      <c r="K245" s="2243"/>
      <c r="L245" s="2247" t="str">
        <f>IFERROR(INDEX('Lower Hot Cell Logistics'!$I$13:$O$19,MATCH($J245,'Lower Hot Cell Logistics'!$H$13:$H$19,0),MATCH($K245,'Lower Hot Cell Logistics'!$H$13:$H$19,0)),"N/A")</f>
        <v>N/A</v>
      </c>
      <c r="M245" s="2247" t="str">
        <f>IFERROR(VLOOKUP($I245,'Lower Hot Cell Logistics'!$H$4:$I$8,2,FALSE),"N/A")</f>
        <v>N/A</v>
      </c>
      <c r="N245" s="2249" t="str">
        <f t="shared" si="17"/>
        <v>N/A</v>
      </c>
      <c r="O245" s="2250"/>
      <c r="P245" s="2053" t="str">
        <f>IF($D245="Logistics",VLOOKUP($O245,'Lower Hot Cell Logistics'!$C$4:$D$69,2,FALSE),"N/A")</f>
        <v>N/A</v>
      </c>
    </row>
    <row r="246" spans="2:19" x14ac:dyDescent="0.4">
      <c r="B246" s="3894"/>
      <c r="C246" s="2252" t="s">
        <v>2222</v>
      </c>
      <c r="D246" s="2252" t="s">
        <v>778</v>
      </c>
      <c r="E246" s="2259">
        <f t="shared" si="14"/>
        <v>0.23148148148148148</v>
      </c>
      <c r="F246" s="2259">
        <f>IF($D246="Trigger",VLOOKUP($C246,'Lower Hot Cell Critical Path'!$C$6:$F$384,4,FALSE),E246+F245)</f>
        <v>349.5094734797492</v>
      </c>
      <c r="G246" s="2260"/>
      <c r="H246" s="2261" t="s">
        <v>263</v>
      </c>
      <c r="I246" s="2256" t="s">
        <v>2142</v>
      </c>
      <c r="J246" s="2252" t="s">
        <v>451</v>
      </c>
      <c r="K246" s="2252" t="s">
        <v>799</v>
      </c>
      <c r="L246" s="2262">
        <f>IFERROR(INDEX('Lower Hot Cell Logistics'!$I$13:$O$19,MATCH($J246,'Lower Hot Cell Logistics'!$H$13:$H$19,0),MATCH($K246,'Lower Hot Cell Logistics'!$H$13:$H$19,0)),"N/A")</f>
        <v>50</v>
      </c>
      <c r="M246" s="2262">
        <f>IFERROR(VLOOKUP($I246,'Lower Hot Cell Logistics'!$H$4:$I$8,2,FALSE),"N/A")</f>
        <v>0.06</v>
      </c>
      <c r="N246" s="2263">
        <f t="shared" si="17"/>
        <v>0.23148148148148148</v>
      </c>
      <c r="O246" s="2264"/>
      <c r="P246" s="2064" t="str">
        <f>IF($D246="Logistics",VLOOKUP($O246,'Lower Hot Cell Logistics'!$C$4:$D$69,2,FALSE),"N/A")</f>
        <v>N/A</v>
      </c>
    </row>
    <row r="247" spans="2:19" x14ac:dyDescent="0.4">
      <c r="B247" s="3894"/>
      <c r="C247" s="2252" t="s">
        <v>2223</v>
      </c>
      <c r="D247" s="2252" t="s">
        <v>3</v>
      </c>
      <c r="E247" s="2259">
        <f t="shared" si="14"/>
        <v>0.88000000000000012</v>
      </c>
      <c r="F247" s="2259">
        <f>IF($D247="Trigger",VLOOKUP($C247,'Lower Hot Cell Critical Path'!$C$6:$F$384,4,FALSE),E247+F246)</f>
        <v>350.3894734797492</v>
      </c>
      <c r="G247" s="2260"/>
      <c r="H247" s="2261" t="s">
        <v>263</v>
      </c>
      <c r="I247" s="2256"/>
      <c r="J247" s="2252"/>
      <c r="K247" s="2252"/>
      <c r="L247" s="2262" t="str">
        <f>IFERROR(INDEX('Lower Hot Cell Logistics'!$I$13:$O$19,MATCH($J247,'Lower Hot Cell Logistics'!$H$13:$H$19,0),MATCH($K247,'Lower Hot Cell Logistics'!$H$13:$H$19,0)),"N/A")</f>
        <v>N/A</v>
      </c>
      <c r="M247" s="2262" t="str">
        <f>IFERROR(VLOOKUP($I247,'Lower Hot Cell Logistics'!$H$4:$I$8,2,FALSE),"N/A")</f>
        <v>N/A</v>
      </c>
      <c r="N247" s="2263" t="str">
        <f t="shared" si="17"/>
        <v>N/A</v>
      </c>
      <c r="O247" s="2264" t="s">
        <v>2168</v>
      </c>
      <c r="P247" s="2064">
        <f>IF($D247="Logistics",VLOOKUP($O247,'Lower Hot Cell Logistics'!$C$4:$D$69,2,FALSE),"N/A")</f>
        <v>0.88000000000000012</v>
      </c>
    </row>
    <row r="248" spans="2:19" x14ac:dyDescent="0.4">
      <c r="B248" s="3894"/>
      <c r="C248" s="2252" t="s">
        <v>2224</v>
      </c>
      <c r="D248" s="2252" t="s">
        <v>778</v>
      </c>
      <c r="E248" s="2259">
        <f t="shared" si="14"/>
        <v>2.7777777777777776E-2</v>
      </c>
      <c r="F248" s="2259">
        <f>IF($D248="Trigger",VLOOKUP($C248,'Lower Hot Cell Critical Path'!$C$6:$F$384,4,FALSE),E248+F247)</f>
        <v>350.41725125752697</v>
      </c>
      <c r="G248" s="2260"/>
      <c r="H248" s="2261" t="s">
        <v>263</v>
      </c>
      <c r="I248" s="2256" t="s">
        <v>2146</v>
      </c>
      <c r="J248" s="2256" t="s">
        <v>1777</v>
      </c>
      <c r="K248" s="2252" t="s">
        <v>1778</v>
      </c>
      <c r="L248" s="2262">
        <f>IFERROR(INDEX('Lower Hot Cell Logistics'!$I$13:$O$19,MATCH($J248,'Lower Hot Cell Logistics'!$H$13:$H$19,0),MATCH($K248,'Lower Hot Cell Logistics'!$H$13:$H$19,0)),"N/A")</f>
        <v>20</v>
      </c>
      <c r="M248" s="2262">
        <f>IFERROR(VLOOKUP($I248,'Lower Hot Cell Logistics'!$H$4:$I$8,2,FALSE),"N/A")</f>
        <v>0.2</v>
      </c>
      <c r="N248" s="2263">
        <f t="shared" si="17"/>
        <v>2.7777777777777776E-2</v>
      </c>
      <c r="O248" s="2264"/>
      <c r="P248" s="2064" t="str">
        <f>IF($D248="Logistics",VLOOKUP($O248,'Lower Hot Cell Logistics'!$C$4:$D$69,2,FALSE),"N/A")</f>
        <v>N/A</v>
      </c>
    </row>
    <row r="249" spans="2:19" x14ac:dyDescent="0.4">
      <c r="B249" s="3894"/>
      <c r="C249" s="2252" t="s">
        <v>2225</v>
      </c>
      <c r="D249" s="2252" t="s">
        <v>3</v>
      </c>
      <c r="E249" s="2259">
        <f t="shared" si="14"/>
        <v>0.68</v>
      </c>
      <c r="F249" s="2259">
        <f>IF($D249="Trigger",VLOOKUP($C249,'Lower Hot Cell Critical Path'!$C$6:$F$384,4,FALSE),E249+F248)</f>
        <v>351.09725125752698</v>
      </c>
      <c r="G249" s="2260"/>
      <c r="H249" s="2261" t="s">
        <v>263</v>
      </c>
      <c r="I249" s="2256"/>
      <c r="J249" s="2252"/>
      <c r="K249" s="2252"/>
      <c r="L249" s="2262" t="str">
        <f>IFERROR(INDEX('Lower Hot Cell Logistics'!$I$13:$O$19,MATCH($J249,'Lower Hot Cell Logistics'!$H$13:$H$19,0),MATCH($K249,'Lower Hot Cell Logistics'!$H$13:$H$19,0)),"N/A")</f>
        <v>N/A</v>
      </c>
      <c r="M249" s="2262" t="str">
        <f>IFERROR(VLOOKUP($I249,'Lower Hot Cell Logistics'!$H$4:$I$8,2,FALSE),"N/A")</f>
        <v>N/A</v>
      </c>
      <c r="N249" s="2263" t="str">
        <f t="shared" si="17"/>
        <v>N/A</v>
      </c>
      <c r="O249" s="2264" t="s">
        <v>2139</v>
      </c>
      <c r="P249" s="2064">
        <f>IF($D249="Logistics",VLOOKUP($O249,'Lower Hot Cell Logistics'!$C$4:$D$69,2,FALSE),"N/A")</f>
        <v>0.68</v>
      </c>
    </row>
    <row r="250" spans="2:19" x14ac:dyDescent="0.4">
      <c r="B250" s="3894"/>
      <c r="C250" s="2252" t="s">
        <v>2226</v>
      </c>
      <c r="D250" s="2252" t="s">
        <v>778</v>
      </c>
      <c r="E250" s="2259">
        <f t="shared" si="14"/>
        <v>0.69444444444444442</v>
      </c>
      <c r="F250" s="2259">
        <f>IF($D250="Trigger",VLOOKUP($C250,'Lower Hot Cell Critical Path'!$C$6:$F$384,4,FALSE),E250+F249)</f>
        <v>351.79169570197143</v>
      </c>
      <c r="G250" s="2260"/>
      <c r="H250" s="2261" t="s">
        <v>263</v>
      </c>
      <c r="I250" s="2256" t="s">
        <v>1826</v>
      </c>
      <c r="J250" s="2252" t="s">
        <v>799</v>
      </c>
      <c r="K250" s="2252" t="s">
        <v>451</v>
      </c>
      <c r="L250" s="2262">
        <f>IFERROR(INDEX('Lower Hot Cell Logistics'!$I$13:$O$19,MATCH($J250,'Lower Hot Cell Logistics'!$H$13:$H$19,0),MATCH($K250,'Lower Hot Cell Logistics'!$H$13:$H$19,0)),"N/A")</f>
        <v>50</v>
      </c>
      <c r="M250" s="2262">
        <f>IFERROR(VLOOKUP($I250,'Lower Hot Cell Logistics'!$H$4:$I$8,2,FALSE),"N/A")</f>
        <v>0.02</v>
      </c>
      <c r="N250" s="2263">
        <f t="shared" si="17"/>
        <v>0.69444444444444442</v>
      </c>
      <c r="O250" s="2264"/>
      <c r="P250" s="2064" t="str">
        <f>IF($D250="Logistics",VLOOKUP($O250,'Lower Hot Cell Logistics'!$C$4:$D$69,2,FALSE),"N/A")</f>
        <v>N/A</v>
      </c>
    </row>
    <row r="251" spans="2:19" ht="26.6" thickBot="1" x14ac:dyDescent="0.45">
      <c r="B251" s="3895"/>
      <c r="C251" s="2265" t="str">
        <f>B245</f>
        <v>Divertor Handling system Stored; Divertor Pipework handling system collected; Left Divertor pipe module collected; Transport Moved to Lower Port</v>
      </c>
      <c r="D251" s="2265" t="s">
        <v>11</v>
      </c>
      <c r="E251" s="2266">
        <f t="shared" si="14"/>
        <v>0</v>
      </c>
      <c r="F251" s="2266">
        <f>IF($D251="Trigger",VLOOKUP($C251,'Lower Hot Cell Critical Path'!$C$6:$F$384,4,FALSE),E251+F250)</f>
        <v>351.79169570197143</v>
      </c>
      <c r="G251" s="2267"/>
      <c r="H251" s="2268" t="s">
        <v>263</v>
      </c>
      <c r="I251" s="2269"/>
      <c r="J251" s="2265"/>
      <c r="K251" s="2265"/>
      <c r="L251" s="2095" t="str">
        <f>IFERROR(INDEX('Lower Hot Cell Logistics'!$I$13:$O$19,MATCH($J251,'Lower Hot Cell Logistics'!$H$13:$H$19,0),MATCH($K251,'Lower Hot Cell Logistics'!$H$13:$H$19,0)),"N/A")</f>
        <v>N/A</v>
      </c>
      <c r="M251" s="2095" t="str">
        <f>IFERROR(VLOOKUP($I251,'Lower Hot Cell Logistics'!$H$4:$I$8,2,FALSE),"N/A")</f>
        <v>N/A</v>
      </c>
      <c r="N251" s="2270" t="str">
        <f t="shared" si="17"/>
        <v>N/A</v>
      </c>
      <c r="O251" s="2271"/>
      <c r="P251" s="2272" t="str">
        <f>IF($D251="Logistics",VLOOKUP($O251,'Lower Hot Cell Logistics'!$C$4:$D$69,2,FALSE),"N/A")</f>
        <v>N/A</v>
      </c>
    </row>
    <row r="252" spans="2:19" s="89" customFormat="1" ht="15" customHeight="1" x14ac:dyDescent="0.4">
      <c r="B252" s="3787" t="s">
        <v>2107</v>
      </c>
      <c r="C252" s="617" t="s">
        <v>2227</v>
      </c>
      <c r="D252" s="617" t="s">
        <v>907</v>
      </c>
      <c r="E252" s="567">
        <f t="shared" si="14"/>
        <v>0</v>
      </c>
      <c r="F252" s="567">
        <f>IF($D252="Trigger",VLOOKUP($C252,'Lower Hot Cell Critical Path'!$C$6:$F$384,4,FALSE),E252+F251)</f>
        <v>370.35675301111621</v>
      </c>
      <c r="G252" s="568"/>
      <c r="H252" s="569" t="s">
        <v>263</v>
      </c>
      <c r="I252" s="1270"/>
      <c r="J252" s="617"/>
      <c r="K252" s="617"/>
      <c r="L252" s="570" t="str">
        <f>IFERROR(INDEX('Lower Hot Cell Logistics'!$I$13:$O$19,MATCH($J252,'Lower Hot Cell Logistics'!$H$13:$H$19,0),MATCH($K252,'Lower Hot Cell Logistics'!$H$13:$H$19,0)),"N/A")</f>
        <v>N/A</v>
      </c>
      <c r="M252" s="802" t="str">
        <f>IFERROR(VLOOKUP($I252,'Lower Hot Cell Logistics'!$H$4:$I$8,2,FALSE),"N/A")</f>
        <v>N/A</v>
      </c>
      <c r="N252" s="1182" t="str">
        <f t="shared" si="17"/>
        <v>N/A</v>
      </c>
      <c r="O252" s="620"/>
      <c r="P252" s="621" t="str">
        <f>IF($D252="Logistics",VLOOKUP($O252,'Lower Hot Cell Logistics'!$C$4:$D$69,2,FALSE),"N/A")</f>
        <v>N/A</v>
      </c>
      <c r="R252"/>
      <c r="S252"/>
    </row>
    <row r="253" spans="2:19" s="89" customFormat="1" ht="15" customHeight="1" x14ac:dyDescent="0.4">
      <c r="B253" s="3786"/>
      <c r="C253" s="1275" t="s">
        <v>2211</v>
      </c>
      <c r="D253" s="572" t="s">
        <v>778</v>
      </c>
      <c r="E253" s="578">
        <f t="shared" si="14"/>
        <v>0.23148148148148148</v>
      </c>
      <c r="F253" s="578">
        <f>IF($D253="Trigger",VLOOKUP($C253,'Lower Hot Cell Critical Path'!$C$6:$F$384,4,FALSE),E253+F252)</f>
        <v>370.58823449259768</v>
      </c>
      <c r="G253" s="872"/>
      <c r="H253" s="2221" t="s">
        <v>263</v>
      </c>
      <c r="I253" s="1281" t="s">
        <v>2142</v>
      </c>
      <c r="J253" s="572" t="s">
        <v>451</v>
      </c>
      <c r="K253" s="572" t="s">
        <v>1965</v>
      </c>
      <c r="L253" s="1176">
        <f>IFERROR(INDEX('Lower Hot Cell Logistics'!$I$13:$O$19,MATCH($J253,'Lower Hot Cell Logistics'!$H$13:$H$19,0),MATCH($K253,'Lower Hot Cell Logistics'!$H$13:$H$19,0)),"N/A")</f>
        <v>50</v>
      </c>
      <c r="M253" s="2222">
        <f>IFERROR(VLOOKUP($I253,'Lower Hot Cell Logistics'!$H$4:$I$8,2,FALSE),"N/A")</f>
        <v>0.06</v>
      </c>
      <c r="N253" s="580">
        <f t="shared" si="17"/>
        <v>0.23148148148148148</v>
      </c>
      <c r="O253" s="631"/>
      <c r="P253" s="632" t="str">
        <f>IF($D253="Logistics",VLOOKUP($O253,'Lower Hot Cell Logistics'!$C$4:$D$69,2,FALSE),"N/A")</f>
        <v>N/A</v>
      </c>
      <c r="R253"/>
      <c r="S253"/>
    </row>
    <row r="254" spans="2:19" s="89" customFormat="1" ht="15" customHeight="1" x14ac:dyDescent="0.4">
      <c r="B254" s="3786"/>
      <c r="C254" s="1275" t="s">
        <v>2212</v>
      </c>
      <c r="D254" s="572" t="s">
        <v>3</v>
      </c>
      <c r="E254" s="578">
        <f t="shared" si="14"/>
        <v>0.88000000000000012</v>
      </c>
      <c r="F254" s="578">
        <f>IF($D254="Trigger",VLOOKUP($C254,'Lower Hot Cell Critical Path'!$C$6:$F$384,4,FALSE),E254+F253)</f>
        <v>371.46823449259767</v>
      </c>
      <c r="G254" s="872"/>
      <c r="H254" s="2221" t="s">
        <v>263</v>
      </c>
      <c r="I254" s="1281"/>
      <c r="J254" s="572"/>
      <c r="K254" s="572"/>
      <c r="L254" s="1176" t="str">
        <f>IFERROR(INDEX('Lower Hot Cell Logistics'!$I$13:$O$19,MATCH($J254,'Lower Hot Cell Logistics'!$H$13:$H$19,0),MATCH($K254,'Lower Hot Cell Logistics'!$H$13:$H$19,0)),"N/A")</f>
        <v>N/A</v>
      </c>
      <c r="M254" s="2222" t="str">
        <f>IFERROR(VLOOKUP($I254,'Lower Hot Cell Logistics'!$H$4:$I$8,2,FALSE),"N/A")</f>
        <v>N/A</v>
      </c>
      <c r="N254" s="580" t="str">
        <f t="shared" si="17"/>
        <v>N/A</v>
      </c>
      <c r="O254" s="631" t="s">
        <v>2144</v>
      </c>
      <c r="P254" s="632">
        <f>IF($D254="Logistics",VLOOKUP($O254,'Lower Hot Cell Logistics'!$C$4:$D$69,2,FALSE),"N/A")</f>
        <v>0.88000000000000012</v>
      </c>
      <c r="R254"/>
      <c r="S254"/>
    </row>
    <row r="255" spans="2:19" s="89" customFormat="1" x14ac:dyDescent="0.4">
      <c r="B255" s="3786"/>
      <c r="C255" s="572" t="s">
        <v>2189</v>
      </c>
      <c r="D255" s="572" t="s">
        <v>778</v>
      </c>
      <c r="E255" s="574">
        <f t="shared" si="14"/>
        <v>0.69444444444444442</v>
      </c>
      <c r="F255" s="574">
        <f>IF($D255="Trigger",VLOOKUP($C255,'Lower Hot Cell Critical Path'!$C$6:$F$384,4,FALSE),E255+F254)</f>
        <v>372.16267893704213</v>
      </c>
      <c r="G255" s="575"/>
      <c r="H255" s="576" t="s">
        <v>263</v>
      </c>
      <c r="I255" s="1281" t="s">
        <v>2171</v>
      </c>
      <c r="J255" s="572" t="s">
        <v>799</v>
      </c>
      <c r="K255" s="572" t="s">
        <v>451</v>
      </c>
      <c r="L255" s="853">
        <f>IFERROR(INDEX('Lower Hot Cell Logistics'!$I$13:$O$19,MATCH($J255,'Lower Hot Cell Logistics'!$H$13:$H$19,0),MATCH($K255,'Lower Hot Cell Logistics'!$H$13:$H$19,0)),"N/A")</f>
        <v>50</v>
      </c>
      <c r="M255" s="853">
        <f>IFERROR(VLOOKUP($I255,'Lower Hot Cell Logistics'!$H$4:$I$8,2,FALSE),"N/A")</f>
        <v>0.02</v>
      </c>
      <c r="N255" s="1180">
        <f t="shared" si="17"/>
        <v>0.69444444444444442</v>
      </c>
      <c r="O255" s="579"/>
      <c r="P255" s="580" t="str">
        <f>IF($D255="Logistics",VLOOKUP($O255,'Lower Hot Cell Logistics'!$C$4:$D$69,2,FALSE),"N/A")</f>
        <v>N/A</v>
      </c>
      <c r="R255"/>
      <c r="S255"/>
    </row>
    <row r="256" spans="2:19" s="89" customFormat="1" ht="26.6" thickBot="1" x14ac:dyDescent="0.45">
      <c r="B256" s="3788"/>
      <c r="C256" s="583" t="str">
        <f>B252</f>
        <v>Divertor pipe module collected; Divertor cassette handling System Moved to Lower Port</v>
      </c>
      <c r="D256" s="583" t="s">
        <v>11</v>
      </c>
      <c r="E256" s="585">
        <f t="shared" si="14"/>
        <v>0</v>
      </c>
      <c r="F256" s="585">
        <f>IF($D256="Trigger",VLOOKUP($C256,'Lower Hot Cell Critical Path'!$C$6:$F$384,4,FALSE),E256+F255)</f>
        <v>372.16267893704213</v>
      </c>
      <c r="G256" s="586"/>
      <c r="H256" s="587" t="s">
        <v>263</v>
      </c>
      <c r="I256" s="1720"/>
      <c r="J256" s="583"/>
      <c r="K256" s="583"/>
      <c r="L256" s="814" t="str">
        <f>IFERROR(INDEX('Lower Hot Cell Logistics'!$I$13:$O$19,MATCH($J256,'Lower Hot Cell Logistics'!$H$13:$H$19,0),MATCH($K256,'Lower Hot Cell Logistics'!$H$13:$H$19,0)),"N/A")</f>
        <v>N/A</v>
      </c>
      <c r="M256" s="814" t="str">
        <f>IFERROR(VLOOKUP($I256,'Lower Hot Cell Logistics'!$H$4:$I$8,2,FALSE),"N/A")</f>
        <v>N/A</v>
      </c>
      <c r="N256" s="1181" t="str">
        <f>IF(D256="Movement",IFERROR((L256/M256)/(60*60),"Error"),"N/A")</f>
        <v>N/A</v>
      </c>
      <c r="O256" s="590"/>
      <c r="P256" s="591" t="str">
        <f>IF($D256="Logistics",VLOOKUP($O256,'Lower Hot Cell Logistics'!$C$4:$D$69,2,FALSE),"N/A")</f>
        <v>N/A</v>
      </c>
      <c r="R256"/>
      <c r="S256"/>
    </row>
    <row r="257" spans="2:16" ht="15.75" customHeight="1" x14ac:dyDescent="0.4">
      <c r="B257" s="3814" t="s">
        <v>2110</v>
      </c>
      <c r="C257" s="1324" t="s">
        <v>2105</v>
      </c>
      <c r="D257" s="1324" t="s">
        <v>907</v>
      </c>
      <c r="E257" s="1291">
        <f t="shared" ref="E257:E314" si="19">MAX($P257,$N257,$H257)</f>
        <v>0</v>
      </c>
      <c r="F257" s="1291">
        <f>IF($D257="Trigger",VLOOKUP($C257,'Lower Hot Cell Critical Path'!$C$6:$F$384,4,FALSE),E257+F256)</f>
        <v>388.65181032026095</v>
      </c>
      <c r="G257" s="825"/>
      <c r="H257" s="1323" t="s">
        <v>263</v>
      </c>
      <c r="I257" s="1721"/>
      <c r="J257" s="1324"/>
      <c r="K257" s="1324"/>
      <c r="L257" s="828" t="str">
        <f>IFERROR(INDEX('Lower Hot Cell Logistics'!$I$13:$O$19,MATCH($J257,'Lower Hot Cell Logistics'!$H$13:$H$19,0),MATCH($K257,'Lower Hot Cell Logistics'!$H$13:$H$19,0)),"N/A")</f>
        <v>N/A</v>
      </c>
      <c r="M257" s="828" t="str">
        <f>IFERROR(VLOOKUP($I257,'Lower Hot Cell Logistics'!$H$4:$I$8,2,FALSE),"N/A")</f>
        <v>N/A</v>
      </c>
      <c r="N257" s="2200" t="str">
        <f t="shared" ref="N257:N314" si="20">IF(D257="Movement",IFERROR((L257/M257)/(60*60),"Error"),"N/A")</f>
        <v>N/A</v>
      </c>
      <c r="O257" s="1327"/>
      <c r="P257" s="824" t="str">
        <f>IF($D257="Logistics",VLOOKUP($O257,'Lower Hot Cell Logistics'!$C$4:$D$69,2,FALSE),"N/A")</f>
        <v>N/A</v>
      </c>
    </row>
    <row r="258" spans="2:16" x14ac:dyDescent="0.4">
      <c r="B258" s="3815"/>
      <c r="C258" s="1294" t="s">
        <v>2165</v>
      </c>
      <c r="D258" s="1294" t="s">
        <v>778</v>
      </c>
      <c r="E258" s="1292">
        <f t="shared" si="19"/>
        <v>0.23148148148148148</v>
      </c>
      <c r="F258" s="1292">
        <f>IF($D258="Trigger",VLOOKUP($C258,'Lower Hot Cell Critical Path'!$C$6:$F$384,4,FALSE),E258+F257)</f>
        <v>388.88329180174242</v>
      </c>
      <c r="G258" s="862"/>
      <c r="H258" s="1328" t="s">
        <v>263</v>
      </c>
      <c r="I258" s="1724" t="s">
        <v>2142</v>
      </c>
      <c r="J258" s="1294" t="s">
        <v>451</v>
      </c>
      <c r="K258" s="1294" t="s">
        <v>914</v>
      </c>
      <c r="L258" s="865">
        <f>IFERROR(INDEX('Lower Hot Cell Logistics'!$I$13:$O$19,MATCH($J258,'Lower Hot Cell Logistics'!$H$13:$H$19,0),MATCH($K258,'Lower Hot Cell Logistics'!$H$13:$H$19,0)),"N/A")</f>
        <v>50</v>
      </c>
      <c r="M258" s="865">
        <f>IFERROR(VLOOKUP($I258,'Lower Hot Cell Logistics'!$H$4:$I$8,2,FALSE),"N/A")</f>
        <v>0.06</v>
      </c>
      <c r="N258" s="2197">
        <f t="shared" si="20"/>
        <v>0.23148148148148148</v>
      </c>
      <c r="O258" s="1331"/>
      <c r="P258" s="1332" t="str">
        <f>IF($D258="Logistics",VLOOKUP($O258,'Lower Hot Cell Logistics'!$C$4:$D$69,2,FALSE),"N/A")</f>
        <v>N/A</v>
      </c>
    </row>
    <row r="259" spans="2:16" x14ac:dyDescent="0.4">
      <c r="B259" s="3815"/>
      <c r="C259" s="1294" t="s">
        <v>2184</v>
      </c>
      <c r="D259" s="1294" t="s">
        <v>3</v>
      </c>
      <c r="E259" s="1292">
        <f t="shared" si="19"/>
        <v>0.88000000000000012</v>
      </c>
      <c r="F259" s="1292">
        <f>IF($D259="Trigger",VLOOKUP($C259,'Lower Hot Cell Critical Path'!$C$6:$F$384,4,FALSE),E259+F258)</f>
        <v>389.76329180174241</v>
      </c>
      <c r="G259" s="862"/>
      <c r="H259" s="1328" t="s">
        <v>263</v>
      </c>
      <c r="I259" s="1724"/>
      <c r="J259" s="1294"/>
      <c r="K259" s="1294"/>
      <c r="L259" s="865" t="str">
        <f>IFERROR(INDEX('Lower Hot Cell Logistics'!$I$13:$O$19,MATCH($J259,'Lower Hot Cell Logistics'!$H$13:$H$19,0),MATCH($K259,'Lower Hot Cell Logistics'!$H$13:$H$19,0)),"N/A")</f>
        <v>N/A</v>
      </c>
      <c r="M259" s="865" t="str">
        <f>IFERROR(VLOOKUP($I259,'Lower Hot Cell Logistics'!$H$4:$I$8,2,FALSE),"N/A")</f>
        <v>N/A</v>
      </c>
      <c r="N259" s="2197" t="str">
        <f t="shared" si="20"/>
        <v>N/A</v>
      </c>
      <c r="O259" s="1331" t="s">
        <v>2168</v>
      </c>
      <c r="P259" s="1332">
        <f>IF($D259="Logistics",VLOOKUP($O259,'Lower Hot Cell Logistics'!$C$4:$D$69,2,FALSE),"N/A")</f>
        <v>0.88000000000000012</v>
      </c>
    </row>
    <row r="260" spans="2:16" x14ac:dyDescent="0.4">
      <c r="B260" s="3815"/>
      <c r="C260" s="1294" t="s">
        <v>2145</v>
      </c>
      <c r="D260" s="1294" t="s">
        <v>778</v>
      </c>
      <c r="E260" s="1292">
        <f t="shared" si="19"/>
        <v>2.7777777777777776E-2</v>
      </c>
      <c r="F260" s="1292">
        <f>IF($D260="Trigger",VLOOKUP($C260,'Lower Hot Cell Critical Path'!$C$6:$F$384,4,FALSE),E260+F259)</f>
        <v>389.79106957952018</v>
      </c>
      <c r="G260" s="862"/>
      <c r="H260" s="1328" t="s">
        <v>263</v>
      </c>
      <c r="I260" s="1724" t="s">
        <v>2146</v>
      </c>
      <c r="J260" s="1294" t="s">
        <v>914</v>
      </c>
      <c r="K260" s="1294" t="s">
        <v>799</v>
      </c>
      <c r="L260" s="865">
        <f>IFERROR(INDEX('Lower Hot Cell Logistics'!$I$13:$O$19,MATCH($J260,'Lower Hot Cell Logistics'!$H$13:$H$19,0),MATCH($K260,'Lower Hot Cell Logistics'!$H$13:$H$19,0)),"N/A")</f>
        <v>20</v>
      </c>
      <c r="M260" s="865">
        <f>IFERROR(VLOOKUP($I260,'Lower Hot Cell Logistics'!$H$4:$I$8,2,FALSE),"N/A")</f>
        <v>0.2</v>
      </c>
      <c r="N260" s="2197">
        <f t="shared" si="20"/>
        <v>2.7777777777777776E-2</v>
      </c>
      <c r="O260" s="1331"/>
      <c r="P260" s="1332" t="str">
        <f>IF($D260="Logistics",VLOOKUP($O260,'Lower Hot Cell Logistics'!$C$4:$D$69,2,FALSE),"N/A")</f>
        <v>N/A</v>
      </c>
    </row>
    <row r="261" spans="2:16" x14ac:dyDescent="0.4">
      <c r="B261" s="3815"/>
      <c r="C261" s="1294" t="s">
        <v>2228</v>
      </c>
      <c r="D261" s="1294" t="s">
        <v>3</v>
      </c>
      <c r="E261" s="1292">
        <f t="shared" si="19"/>
        <v>0.58000000000000007</v>
      </c>
      <c r="F261" s="1292">
        <f>IF($D261="Trigger",VLOOKUP($C261,'Lower Hot Cell Critical Path'!$C$6:$F$384,4,FALSE),E261+F260)</f>
        <v>390.37106957952017</v>
      </c>
      <c r="G261" s="862"/>
      <c r="H261" s="1328" t="s">
        <v>263</v>
      </c>
      <c r="I261" s="1724"/>
      <c r="J261" s="1294"/>
      <c r="K261" s="1294"/>
      <c r="L261" s="865" t="str">
        <f>IFERROR(INDEX('Lower Hot Cell Logistics'!$I$13:$O$19,MATCH($J261,'Lower Hot Cell Logistics'!$H$13:$H$19,0),MATCH($K261,'Lower Hot Cell Logistics'!$H$13:$H$19,0)),"N/A")</f>
        <v>N/A</v>
      </c>
      <c r="M261" s="865" t="str">
        <f>IFERROR(VLOOKUP($I261,'Lower Hot Cell Logistics'!$H$4:$I$8,2,FALSE),"N/A")</f>
        <v>N/A</v>
      </c>
      <c r="N261" s="2197" t="str">
        <f t="shared" si="20"/>
        <v>N/A</v>
      </c>
      <c r="O261" s="1331" t="s">
        <v>796</v>
      </c>
      <c r="P261" s="1332">
        <f>IF($D261="Logistics",VLOOKUP($O261,'Lower Hot Cell Logistics'!$C$4:$D$69,2,FALSE),"N/A")</f>
        <v>0.58000000000000007</v>
      </c>
    </row>
    <row r="262" spans="2:16" x14ac:dyDescent="0.4">
      <c r="B262" s="3815"/>
      <c r="C262" s="1294" t="s">
        <v>2229</v>
      </c>
      <c r="D262" s="1294" t="s">
        <v>778</v>
      </c>
      <c r="E262" s="1292">
        <f t="shared" si="19"/>
        <v>0.41666666666666669</v>
      </c>
      <c r="F262" s="1292">
        <f>IF($D262="Trigger",VLOOKUP($C262,'Lower Hot Cell Critical Path'!$C$6:$F$384,4,FALSE),E262+F261)</f>
        <v>390.78773624618685</v>
      </c>
      <c r="G262" s="862"/>
      <c r="H262" s="1328" t="s">
        <v>263</v>
      </c>
      <c r="I262" s="1724" t="s">
        <v>2171</v>
      </c>
      <c r="J262" s="1294" t="s">
        <v>901</v>
      </c>
      <c r="K262" s="1294" t="s">
        <v>451</v>
      </c>
      <c r="L262" s="865">
        <f>IFERROR(INDEX('Lower Hot Cell Logistics'!$I$13:$O$19,MATCH($J262,'Lower Hot Cell Logistics'!$H$13:$H$19,0),MATCH($K262,'Lower Hot Cell Logistics'!$H$13:$H$19,0)),"N/A")</f>
        <v>30</v>
      </c>
      <c r="M262" s="865">
        <f>IFERROR(VLOOKUP($I262,'Lower Hot Cell Logistics'!$H$4:$I$8,2,FALSE),"N/A")</f>
        <v>0.02</v>
      </c>
      <c r="N262" s="2197">
        <f t="shared" si="20"/>
        <v>0.41666666666666669</v>
      </c>
      <c r="O262" s="1331"/>
      <c r="P262" s="1332" t="str">
        <f>IF($D262="Logistics",VLOOKUP($O262,'Lower Hot Cell Logistics'!$C$4:$D$69,2,FALSE),"N/A")</f>
        <v>N/A</v>
      </c>
    </row>
    <row r="263" spans="2:16" ht="26.6" thickBot="1" x14ac:dyDescent="0.45">
      <c r="B263" s="3816"/>
      <c r="C263" s="1340" t="str">
        <f>B257</f>
        <v>Store Divertor pipework handling system; Collect Shield module handling system &amp; shield modules; Move to Lower Port</v>
      </c>
      <c r="D263" s="1340" t="s">
        <v>11</v>
      </c>
      <c r="E263" s="1295">
        <f t="shared" si="19"/>
        <v>0</v>
      </c>
      <c r="F263" s="1295">
        <f>IF($D263="Trigger",VLOOKUP($C263,'Lower Hot Cell Critical Path'!$C$6:$F$384,4,FALSE),E263+F262)</f>
        <v>390.78773624618685</v>
      </c>
      <c r="G263" s="839"/>
      <c r="H263" s="1341" t="s">
        <v>263</v>
      </c>
      <c r="I263" s="1727"/>
      <c r="J263" s="1340"/>
      <c r="K263" s="1340"/>
      <c r="L263" s="842" t="str">
        <f>IFERROR(INDEX('Lower Hot Cell Logistics'!$I$13:$O$19,MATCH($J263,'Lower Hot Cell Logistics'!$H$13:$H$19,0),MATCH($K263,'Lower Hot Cell Logistics'!$H$13:$H$19,0)),"N/A")</f>
        <v>N/A</v>
      </c>
      <c r="M263" s="842" t="str">
        <f>IFERROR(VLOOKUP($I263,'Lower Hot Cell Logistics'!$H$4:$I$8,2,FALSE),"N/A")</f>
        <v>N/A</v>
      </c>
      <c r="N263" s="2199" t="str">
        <f t="shared" si="20"/>
        <v>N/A</v>
      </c>
      <c r="O263" s="1344"/>
      <c r="P263" s="1345" t="str">
        <f>IF($D263="Logistics",VLOOKUP($O263,'Lower Hot Cell Logistics'!$C$4:$D$69,2,FALSE),"N/A")</f>
        <v>N/A</v>
      </c>
    </row>
    <row r="264" spans="2:16" ht="15.75" customHeight="1" x14ac:dyDescent="0.4">
      <c r="B264" s="3787" t="s">
        <v>2112</v>
      </c>
      <c r="C264" s="1324" t="s">
        <v>2108</v>
      </c>
      <c r="D264" s="617" t="s">
        <v>907</v>
      </c>
      <c r="E264" s="567">
        <f t="shared" si="19"/>
        <v>0</v>
      </c>
      <c r="F264" s="567">
        <f>IF($D264="Trigger",VLOOKUP($C264,'Lower Hot Cell Critical Path'!$C$6:$F$384,4,FALSE),E264+F263)</f>
        <v>406.94686762940569</v>
      </c>
      <c r="G264" s="568"/>
      <c r="H264" s="569" t="s">
        <v>263</v>
      </c>
      <c r="I264" s="1270"/>
      <c r="J264" s="617"/>
      <c r="K264" s="617"/>
      <c r="L264" s="570" t="str">
        <f>IFERROR(INDEX('Lower Hot Cell Logistics'!$I$13:$O$19,MATCH($J264,'Lower Hot Cell Logistics'!$H$13:$H$19,0),MATCH($K264,'Lower Hot Cell Logistics'!$H$13:$H$19,0)),"N/A")</f>
        <v>N/A</v>
      </c>
      <c r="M264" s="570" t="str">
        <f>IFERROR(VLOOKUP($I264,'Lower Hot Cell Logistics'!$H$4:$I$8,2,FALSE),"N/A")</f>
        <v>N/A</v>
      </c>
      <c r="N264" s="1182" t="str">
        <f t="shared" si="20"/>
        <v>N/A</v>
      </c>
      <c r="O264" s="620"/>
      <c r="P264" s="621" t="str">
        <f>IF($D264="Logistics",VLOOKUP($O264,'Lower Hot Cell Logistics'!$C$4:$D$69,2,FALSE),"N/A")</f>
        <v>N/A</v>
      </c>
    </row>
    <row r="265" spans="2:16" x14ac:dyDescent="0.4">
      <c r="B265" s="3786"/>
      <c r="C265" s="572" t="s">
        <v>2165</v>
      </c>
      <c r="D265" s="572" t="s">
        <v>778</v>
      </c>
      <c r="E265" s="574">
        <f t="shared" si="19"/>
        <v>0.23148148148148148</v>
      </c>
      <c r="F265" s="574">
        <f>IF($D265="Trigger",VLOOKUP($C265,'Lower Hot Cell Critical Path'!$C$6:$F$384,4,FALSE),E265+F264)</f>
        <v>407.17834911088715</v>
      </c>
      <c r="G265" s="575"/>
      <c r="H265" s="576" t="s">
        <v>263</v>
      </c>
      <c r="I265" s="1281" t="s">
        <v>2142</v>
      </c>
      <c r="J265" s="572" t="s">
        <v>451</v>
      </c>
      <c r="K265" s="572" t="s">
        <v>914</v>
      </c>
      <c r="L265" s="853">
        <f>IFERROR(INDEX('Lower Hot Cell Logistics'!$I$13:$O$19,MATCH($J265,'Lower Hot Cell Logistics'!$H$13:$H$19,0),MATCH($K265,'Lower Hot Cell Logistics'!$H$13:$H$19,0)),"N/A")</f>
        <v>50</v>
      </c>
      <c r="M265" s="853">
        <f>IFERROR(VLOOKUP($I265,'Lower Hot Cell Logistics'!$H$4:$I$8,2,FALSE),"N/A")</f>
        <v>0.06</v>
      </c>
      <c r="N265" s="1180">
        <f t="shared" si="20"/>
        <v>0.23148148148148148</v>
      </c>
      <c r="O265" s="579"/>
      <c r="P265" s="580" t="str">
        <f>IF($D265="Logistics",VLOOKUP($O265,'Lower Hot Cell Logistics'!$C$4:$D$69,2,FALSE),"N/A")</f>
        <v>N/A</v>
      </c>
    </row>
    <row r="266" spans="2:16" x14ac:dyDescent="0.4">
      <c r="B266" s="3786"/>
      <c r="C266" s="572" t="s">
        <v>2184</v>
      </c>
      <c r="D266" s="572" t="s">
        <v>3</v>
      </c>
      <c r="E266" s="574">
        <f t="shared" si="19"/>
        <v>0.88000000000000012</v>
      </c>
      <c r="F266" s="574">
        <f>IF($D266="Trigger",VLOOKUP($C266,'Lower Hot Cell Critical Path'!$C$6:$F$384,4,FALSE),E266+F265)</f>
        <v>408.05834911088715</v>
      </c>
      <c r="G266" s="575"/>
      <c r="H266" s="576" t="s">
        <v>263</v>
      </c>
      <c r="I266" s="1281"/>
      <c r="J266" s="572"/>
      <c r="K266" s="572"/>
      <c r="L266" s="853" t="str">
        <f>IFERROR(INDEX('Lower Hot Cell Logistics'!$I$13:$O$19,MATCH($J266,'Lower Hot Cell Logistics'!$H$13:$H$19,0),MATCH($K266,'Lower Hot Cell Logistics'!$H$13:$H$19,0)),"N/A")</f>
        <v>N/A</v>
      </c>
      <c r="M266" s="853" t="str">
        <f>IFERROR(VLOOKUP($I266,'Lower Hot Cell Logistics'!$H$4:$I$8,2,FALSE),"N/A")</f>
        <v>N/A</v>
      </c>
      <c r="N266" s="1180" t="str">
        <f t="shared" si="20"/>
        <v>N/A</v>
      </c>
      <c r="O266" s="579" t="s">
        <v>2168</v>
      </c>
      <c r="P266" s="580">
        <f>IF($D266="Logistics",VLOOKUP($O266,'Lower Hot Cell Logistics'!$C$4:$D$69,2,FALSE),"N/A")</f>
        <v>0.88000000000000012</v>
      </c>
    </row>
    <row r="267" spans="2:16" x14ac:dyDescent="0.4">
      <c r="B267" s="3786"/>
      <c r="C267" s="572" t="s">
        <v>2145</v>
      </c>
      <c r="D267" s="572" t="s">
        <v>778</v>
      </c>
      <c r="E267" s="574">
        <f t="shared" si="19"/>
        <v>2.7777777777777776E-2</v>
      </c>
      <c r="F267" s="574">
        <f>IF($D267="Trigger",VLOOKUP($C267,'Lower Hot Cell Critical Path'!$C$6:$F$384,4,FALSE),E267+F266)</f>
        <v>408.08612688866492</v>
      </c>
      <c r="G267" s="575"/>
      <c r="H267" s="576" t="s">
        <v>263</v>
      </c>
      <c r="I267" s="1281" t="s">
        <v>2146</v>
      </c>
      <c r="J267" s="572" t="s">
        <v>914</v>
      </c>
      <c r="K267" s="572" t="s">
        <v>799</v>
      </c>
      <c r="L267" s="853">
        <f>IFERROR(INDEX('Lower Hot Cell Logistics'!$I$13:$O$19,MATCH($J267,'Lower Hot Cell Logistics'!$H$13:$H$19,0),MATCH($K267,'Lower Hot Cell Logistics'!$H$13:$H$19,0)),"N/A")</f>
        <v>20</v>
      </c>
      <c r="M267" s="853">
        <f>IFERROR(VLOOKUP($I267,'Lower Hot Cell Logistics'!$H$4:$I$8,2,FALSE),"N/A")</f>
        <v>0.2</v>
      </c>
      <c r="N267" s="1180">
        <f t="shared" si="20"/>
        <v>2.7777777777777776E-2</v>
      </c>
      <c r="O267" s="579"/>
      <c r="P267" s="580" t="str">
        <f>IF($D267="Logistics",VLOOKUP($O267,'Lower Hot Cell Logistics'!$C$4:$D$69,2,FALSE),"N/A")</f>
        <v>N/A</v>
      </c>
    </row>
    <row r="268" spans="2:16" x14ac:dyDescent="0.4">
      <c r="B268" s="3786"/>
      <c r="C268" s="572" t="s">
        <v>2230</v>
      </c>
      <c r="D268" s="572" t="s">
        <v>3</v>
      </c>
      <c r="E268" s="574">
        <f t="shared" si="19"/>
        <v>0.58000000000000007</v>
      </c>
      <c r="F268" s="574">
        <f>IF($D268="Trigger",VLOOKUP($C268,'Lower Hot Cell Critical Path'!$C$6:$F$384,4,FALSE),E268+F267)</f>
        <v>408.66612688866491</v>
      </c>
      <c r="G268" s="575"/>
      <c r="H268" s="576" t="s">
        <v>263</v>
      </c>
      <c r="I268" s="1281"/>
      <c r="J268" s="572"/>
      <c r="K268" s="572"/>
      <c r="L268" s="853" t="str">
        <f>IFERROR(INDEX('Lower Hot Cell Logistics'!$I$13:$O$19,MATCH($J268,'Lower Hot Cell Logistics'!$H$13:$H$19,0),MATCH($K268,'Lower Hot Cell Logistics'!$H$13:$H$19,0)),"N/A")</f>
        <v>N/A</v>
      </c>
      <c r="M268" s="853" t="str">
        <f>IFERROR(VLOOKUP($I268,'Lower Hot Cell Logistics'!$H$4:$I$8,2,FALSE),"N/A")</f>
        <v>N/A</v>
      </c>
      <c r="N268" s="1180" t="str">
        <f t="shared" si="20"/>
        <v>N/A</v>
      </c>
      <c r="O268" s="579" t="s">
        <v>796</v>
      </c>
      <c r="P268" s="580">
        <f>IF($D268="Logistics",VLOOKUP($O268,'Lower Hot Cell Logistics'!$C$4:$D$69,2,FALSE),"N/A")</f>
        <v>0.58000000000000007</v>
      </c>
    </row>
    <row r="269" spans="2:16" x14ac:dyDescent="0.4">
      <c r="B269" s="3786"/>
      <c r="C269" s="572" t="s">
        <v>2231</v>
      </c>
      <c r="D269" s="572" t="s">
        <v>778</v>
      </c>
      <c r="E269" s="574">
        <f t="shared" si="19"/>
        <v>0.41666666666666669</v>
      </c>
      <c r="F269" s="574">
        <f>IF($D269="Trigger",VLOOKUP($C269,'Lower Hot Cell Critical Path'!$C$6:$F$384,4,FALSE),E269+F268)</f>
        <v>409.08279355533159</v>
      </c>
      <c r="G269" s="575"/>
      <c r="H269" s="576" t="s">
        <v>263</v>
      </c>
      <c r="I269" s="1281" t="s">
        <v>2171</v>
      </c>
      <c r="J269" s="572" t="s">
        <v>901</v>
      </c>
      <c r="K269" s="572" t="s">
        <v>451</v>
      </c>
      <c r="L269" s="853">
        <f>IFERROR(INDEX('Lower Hot Cell Logistics'!$I$13:$O$19,MATCH($J269,'Lower Hot Cell Logistics'!$H$13:$H$19,0),MATCH($K269,'Lower Hot Cell Logistics'!$H$13:$H$19,0)),"N/A")</f>
        <v>30</v>
      </c>
      <c r="M269" s="853">
        <f>IFERROR(VLOOKUP($I269,'Lower Hot Cell Logistics'!$H$4:$I$8,2,FALSE),"N/A")</f>
        <v>0.02</v>
      </c>
      <c r="N269" s="1180">
        <f t="shared" si="20"/>
        <v>0.41666666666666669</v>
      </c>
      <c r="O269" s="579"/>
      <c r="P269" s="580" t="str">
        <f>IF($D269="Logistics",VLOOKUP($O269,'Lower Hot Cell Logistics'!$C$4:$D$69,2,FALSE),"N/A")</f>
        <v>N/A</v>
      </c>
    </row>
    <row r="270" spans="2:16" ht="26.6" thickBot="1" x14ac:dyDescent="0.45">
      <c r="B270" s="3788"/>
      <c r="C270" s="583" t="str">
        <f>B264</f>
        <v>Store Divertor pipework handling system; Collect Vacuum Plumping system handling system &amp; vaccum pumping sled; move to port</v>
      </c>
      <c r="D270" s="583" t="s">
        <v>11</v>
      </c>
      <c r="E270" s="585">
        <f t="shared" si="19"/>
        <v>0</v>
      </c>
      <c r="F270" s="585">
        <f>IF($D270="Trigger",VLOOKUP($C270,'Lower Hot Cell Critical Path'!$C$6:$F$384,4,FALSE),E270+F269)</f>
        <v>409.08279355533159</v>
      </c>
      <c r="G270" s="586"/>
      <c r="H270" s="587" t="s">
        <v>263</v>
      </c>
      <c r="I270" s="1720"/>
      <c r="J270" s="583"/>
      <c r="K270" s="583"/>
      <c r="L270" s="814" t="str">
        <f>IFERROR(INDEX('Lower Hot Cell Logistics'!$I$13:$O$19,MATCH($J270,'Lower Hot Cell Logistics'!$H$13:$H$19,0),MATCH($K270,'Lower Hot Cell Logistics'!$H$13:$H$19,0)),"N/A")</f>
        <v>N/A</v>
      </c>
      <c r="M270" s="814" t="str">
        <f>IFERROR(VLOOKUP($I270,'Lower Hot Cell Logistics'!$H$4:$I$8,2,FALSE),"N/A")</f>
        <v>N/A</v>
      </c>
      <c r="N270" s="1181" t="str">
        <f t="shared" si="20"/>
        <v>N/A</v>
      </c>
      <c r="O270" s="590"/>
      <c r="P270" s="591" t="str">
        <f>IF($D270="Logistics",VLOOKUP($O270,'Lower Hot Cell Logistics'!$C$4:$D$69,2,FALSE),"N/A")</f>
        <v>N/A</v>
      </c>
    </row>
    <row r="271" spans="2:16" ht="15.75" customHeight="1" x14ac:dyDescent="0.4">
      <c r="B271" s="3814" t="s">
        <v>2117</v>
      </c>
      <c r="C271" s="1324" t="s">
        <v>2111</v>
      </c>
      <c r="D271" s="1324" t="s">
        <v>907</v>
      </c>
      <c r="E271" s="1291">
        <f t="shared" si="19"/>
        <v>0</v>
      </c>
      <c r="F271" s="1291">
        <f>IF($D271="Trigger",VLOOKUP($C271,'Lower Hot Cell Critical Path'!$C$6:$F$384,4,FALSE),E271+F270)</f>
        <v>429.95686762940585</v>
      </c>
      <c r="G271" s="825"/>
      <c r="H271" s="1323" t="s">
        <v>263</v>
      </c>
      <c r="I271" s="1721"/>
      <c r="J271" s="1324"/>
      <c r="K271" s="1324"/>
      <c r="L271" s="828" t="str">
        <f>IFERROR(INDEX('Lower Hot Cell Logistics'!$I$13:$O$19,MATCH($J271,'Lower Hot Cell Logistics'!$H$13:$H$19,0),MATCH($K271,'Lower Hot Cell Logistics'!$H$13:$H$19,0)),"N/A")</f>
        <v>N/A</v>
      </c>
      <c r="M271" s="828" t="str">
        <f>IFERROR(VLOOKUP($I271,'Lower Hot Cell Logistics'!$H$4:$I$8,2,FALSE),"N/A")</f>
        <v>N/A</v>
      </c>
      <c r="N271" s="2200" t="str">
        <f t="shared" si="20"/>
        <v>N/A</v>
      </c>
      <c r="O271" s="1327"/>
      <c r="P271" s="824" t="str">
        <f>IF($D271="Logistics",VLOOKUP($O271,'Lower Hot Cell Logistics'!$C$4:$D$69,2,FALSE),"N/A")</f>
        <v>N/A</v>
      </c>
    </row>
    <row r="272" spans="2:16" x14ac:dyDescent="0.4">
      <c r="B272" s="3815"/>
      <c r="C272" s="1294" t="s">
        <v>2165</v>
      </c>
      <c r="D272" s="1294" t="s">
        <v>778</v>
      </c>
      <c r="E272" s="1292">
        <f t="shared" si="19"/>
        <v>0.23148148148148148</v>
      </c>
      <c r="F272" s="1292">
        <f>IF($D272="Trigger",VLOOKUP($C272,'Lower Hot Cell Critical Path'!$C$6:$F$384,4,FALSE),E272+F271)</f>
        <v>430.18834911088732</v>
      </c>
      <c r="G272" s="862"/>
      <c r="H272" s="1328" t="s">
        <v>263</v>
      </c>
      <c r="I272" s="1724" t="s">
        <v>2142</v>
      </c>
      <c r="J272" s="1294" t="s">
        <v>451</v>
      </c>
      <c r="K272" s="1294" t="s">
        <v>914</v>
      </c>
      <c r="L272" s="865">
        <f>IFERROR(INDEX('Lower Hot Cell Logistics'!$I$13:$O$19,MATCH($J272,'Lower Hot Cell Logistics'!$H$13:$H$19,0),MATCH($K272,'Lower Hot Cell Logistics'!$H$13:$H$19,0)),"N/A")</f>
        <v>50</v>
      </c>
      <c r="M272" s="865">
        <f>IFERROR(VLOOKUP($I272,'Lower Hot Cell Logistics'!$H$4:$I$8,2,FALSE),"N/A")</f>
        <v>0.06</v>
      </c>
      <c r="N272" s="2197">
        <f t="shared" si="20"/>
        <v>0.23148148148148148</v>
      </c>
      <c r="O272" s="1331"/>
      <c r="P272" s="1332" t="str">
        <f>IF($D272="Logistics",VLOOKUP($O272,'Lower Hot Cell Logistics'!$C$4:$D$69,2,FALSE),"N/A")</f>
        <v>N/A</v>
      </c>
    </row>
    <row r="273" spans="2:16" x14ac:dyDescent="0.4">
      <c r="B273" s="3815"/>
      <c r="C273" s="1294" t="s">
        <v>2184</v>
      </c>
      <c r="D273" s="1294" t="s">
        <v>3</v>
      </c>
      <c r="E273" s="1292">
        <f t="shared" si="19"/>
        <v>0.88000000000000012</v>
      </c>
      <c r="F273" s="1292">
        <f>IF($D273="Trigger",VLOOKUP($C273,'Lower Hot Cell Critical Path'!$C$6:$F$384,4,FALSE),E273+F272)</f>
        <v>431.06834911088731</v>
      </c>
      <c r="G273" s="862"/>
      <c r="H273" s="1328" t="s">
        <v>263</v>
      </c>
      <c r="I273" s="1724"/>
      <c r="J273" s="1294"/>
      <c r="K273" s="1294"/>
      <c r="L273" s="865" t="str">
        <f>IFERROR(INDEX('Lower Hot Cell Logistics'!$I$13:$O$19,MATCH($J273,'Lower Hot Cell Logistics'!$H$13:$H$19,0),MATCH($K273,'Lower Hot Cell Logistics'!$H$13:$H$19,0)),"N/A")</f>
        <v>N/A</v>
      </c>
      <c r="M273" s="865" t="str">
        <f>IFERROR(VLOOKUP($I273,'Lower Hot Cell Logistics'!$H$4:$I$8,2,FALSE),"N/A")</f>
        <v>N/A</v>
      </c>
      <c r="N273" s="2197" t="str">
        <f t="shared" si="20"/>
        <v>N/A</v>
      </c>
      <c r="O273" s="1331" t="s">
        <v>2168</v>
      </c>
      <c r="P273" s="1332">
        <f>IF($D273="Logistics",VLOOKUP($O273,'Lower Hot Cell Logistics'!$C$4:$D$69,2,FALSE),"N/A")</f>
        <v>0.88000000000000012</v>
      </c>
    </row>
    <row r="274" spans="2:16" x14ac:dyDescent="0.4">
      <c r="B274" s="3815"/>
      <c r="C274" s="1294" t="s">
        <v>2145</v>
      </c>
      <c r="D274" s="1294" t="s">
        <v>778</v>
      </c>
      <c r="E274" s="1292">
        <f t="shared" si="19"/>
        <v>2.7777777777777776E-2</v>
      </c>
      <c r="F274" s="1292">
        <f>IF($D274="Trigger",VLOOKUP($C274,'Lower Hot Cell Critical Path'!$C$6:$F$384,4,FALSE),E274+F273)</f>
        <v>431.09612688866508</v>
      </c>
      <c r="G274" s="862"/>
      <c r="H274" s="1328" t="s">
        <v>263</v>
      </c>
      <c r="I274" s="1724" t="s">
        <v>2146</v>
      </c>
      <c r="J274" s="1294" t="s">
        <v>914</v>
      </c>
      <c r="K274" s="1294" t="s">
        <v>799</v>
      </c>
      <c r="L274" s="865">
        <f>IFERROR(INDEX('Lower Hot Cell Logistics'!$I$13:$O$19,MATCH($J274,'Lower Hot Cell Logistics'!$H$13:$H$19,0),MATCH($K274,'Lower Hot Cell Logistics'!$H$13:$H$19,0)),"N/A")</f>
        <v>20</v>
      </c>
      <c r="M274" s="865">
        <f>IFERROR(VLOOKUP($I274,'Lower Hot Cell Logistics'!$H$4:$I$8,2,FALSE),"N/A")</f>
        <v>0.2</v>
      </c>
      <c r="N274" s="2197">
        <f t="shared" si="20"/>
        <v>2.7777777777777776E-2</v>
      </c>
      <c r="O274" s="1331"/>
      <c r="P274" s="1332" t="str">
        <f>IF($D274="Logistics",VLOOKUP($O274,'Lower Hot Cell Logistics'!$C$4:$D$69,2,FALSE),"N/A")</f>
        <v>N/A</v>
      </c>
    </row>
    <row r="275" spans="2:16" x14ac:dyDescent="0.4">
      <c r="B275" s="3815"/>
      <c r="C275" s="1294" t="s">
        <v>2230</v>
      </c>
      <c r="D275" s="1294" t="s">
        <v>3</v>
      </c>
      <c r="E275" s="1292">
        <f t="shared" si="19"/>
        <v>0.58000000000000007</v>
      </c>
      <c r="F275" s="1292">
        <f>IF($D275="Trigger",VLOOKUP($C275,'Lower Hot Cell Critical Path'!$C$6:$F$384,4,FALSE),E275+F274)</f>
        <v>431.67612688866507</v>
      </c>
      <c r="G275" s="862"/>
      <c r="H275" s="1328" t="s">
        <v>263</v>
      </c>
      <c r="I275" s="1724"/>
      <c r="J275" s="1294"/>
      <c r="K275" s="1294"/>
      <c r="L275" s="865" t="str">
        <f>IFERROR(INDEX('Lower Hot Cell Logistics'!$I$13:$O$19,MATCH($J275,'Lower Hot Cell Logistics'!$H$13:$H$19,0),MATCH($K275,'Lower Hot Cell Logistics'!$H$13:$H$19,0)),"N/A")</f>
        <v>N/A</v>
      </c>
      <c r="M275" s="865" t="str">
        <f>IFERROR(VLOOKUP($I275,'Lower Hot Cell Logistics'!$H$4:$I$8,2,FALSE),"N/A")</f>
        <v>N/A</v>
      </c>
      <c r="N275" s="2197" t="str">
        <f t="shared" si="20"/>
        <v>N/A</v>
      </c>
      <c r="O275" s="1331" t="s">
        <v>796</v>
      </c>
      <c r="P275" s="1332">
        <f>IF($D275="Logistics",VLOOKUP($O275,'Lower Hot Cell Logistics'!$C$4:$D$69,2,FALSE),"N/A")</f>
        <v>0.58000000000000007</v>
      </c>
    </row>
    <row r="276" spans="2:16" x14ac:dyDescent="0.4">
      <c r="B276" s="3815"/>
      <c r="C276" s="1294" t="s">
        <v>2231</v>
      </c>
      <c r="D276" s="1294" t="s">
        <v>778</v>
      </c>
      <c r="E276" s="1292">
        <f t="shared" si="19"/>
        <v>0.41666666666666669</v>
      </c>
      <c r="F276" s="1292">
        <f>IF($D276="Trigger",VLOOKUP($C276,'Lower Hot Cell Critical Path'!$C$6:$F$384,4,FALSE),E276+F275)</f>
        <v>432.09279355533175</v>
      </c>
      <c r="G276" s="862"/>
      <c r="H276" s="1328" t="s">
        <v>263</v>
      </c>
      <c r="I276" s="1724" t="s">
        <v>2171</v>
      </c>
      <c r="J276" s="1294" t="s">
        <v>901</v>
      </c>
      <c r="K276" s="1294" t="s">
        <v>451</v>
      </c>
      <c r="L276" s="865">
        <f>IFERROR(INDEX('Lower Hot Cell Logistics'!$I$13:$O$19,MATCH($J276,'Lower Hot Cell Logistics'!$H$13:$H$19,0),MATCH($K276,'Lower Hot Cell Logistics'!$H$13:$H$19,0)),"N/A")</f>
        <v>30</v>
      </c>
      <c r="M276" s="865">
        <f>IFERROR(VLOOKUP($I276,'Lower Hot Cell Logistics'!$H$4:$I$8,2,FALSE),"N/A")</f>
        <v>0.02</v>
      </c>
      <c r="N276" s="2197">
        <f t="shared" si="20"/>
        <v>0.41666666666666669</v>
      </c>
      <c r="O276" s="1331"/>
      <c r="P276" s="1332" t="str">
        <f>IF($D276="Logistics",VLOOKUP($O276,'Lower Hot Cell Logistics'!$C$4:$D$69,2,FALSE),"N/A")</f>
        <v>N/A</v>
      </c>
    </row>
    <row r="277" spans="2:16" ht="26.6" thickBot="1" x14ac:dyDescent="0.45">
      <c r="B277" s="3816"/>
      <c r="C277" s="1340" t="str">
        <f>B271</f>
        <v>Store Shield Module handling system; Collect in-port diagnostic system; move to port</v>
      </c>
      <c r="D277" s="1340" t="s">
        <v>11</v>
      </c>
      <c r="E277" s="1295">
        <f t="shared" si="19"/>
        <v>0</v>
      </c>
      <c r="F277" s="1295">
        <f>IF($D277="Trigger",VLOOKUP($C277,'Lower Hot Cell Critical Path'!$C$6:$F$384,4,FALSE),E277+F276)</f>
        <v>432.09279355533175</v>
      </c>
      <c r="G277" s="839"/>
      <c r="H277" s="1341" t="s">
        <v>263</v>
      </c>
      <c r="I277" s="1727"/>
      <c r="J277" s="1340"/>
      <c r="K277" s="1340"/>
      <c r="L277" s="842" t="str">
        <f>IFERROR(INDEX('Lower Hot Cell Logistics'!$I$13:$O$19,MATCH($J277,'Lower Hot Cell Logistics'!$H$13:$H$19,0),MATCH($K277,'Lower Hot Cell Logistics'!$H$13:$H$19,0)),"N/A")</f>
        <v>N/A</v>
      </c>
      <c r="M277" s="842" t="str">
        <f>IFERROR(VLOOKUP($I277,'Lower Hot Cell Logistics'!$H$4:$I$8,2,FALSE),"N/A")</f>
        <v>N/A</v>
      </c>
      <c r="N277" s="2199" t="str">
        <f t="shared" si="20"/>
        <v>N/A</v>
      </c>
      <c r="O277" s="1344"/>
      <c r="P277" s="1345" t="str">
        <f>IF($D277="Logistics",VLOOKUP($O277,'Lower Hot Cell Logistics'!$C$4:$D$69,2,FALSE),"N/A")</f>
        <v>N/A</v>
      </c>
    </row>
    <row r="278" spans="2:16" ht="15.75" customHeight="1" x14ac:dyDescent="0.4">
      <c r="B278" s="3787" t="s">
        <v>2122</v>
      </c>
      <c r="C278" s="617" t="s">
        <v>2115</v>
      </c>
      <c r="D278" s="617" t="s">
        <v>907</v>
      </c>
      <c r="E278" s="567">
        <f t="shared" si="19"/>
        <v>0</v>
      </c>
      <c r="F278" s="567">
        <f>IF($D278="Trigger",VLOOKUP($C278,'Lower Hot Cell Critical Path'!$C$6:$F$384,4,FALSE),E278+F277)</f>
        <v>444.60131207385035</v>
      </c>
      <c r="G278" s="568"/>
      <c r="H278" s="569" t="s">
        <v>263</v>
      </c>
      <c r="I278" s="1270"/>
      <c r="J278" s="617"/>
      <c r="K278" s="617"/>
      <c r="L278" s="570" t="str">
        <f>IFERROR(INDEX('Lower Hot Cell Logistics'!$I$13:$O$19,MATCH($J278,'Lower Hot Cell Logistics'!$H$13:$H$19,0),MATCH($K278,'Lower Hot Cell Logistics'!$H$13:$H$19,0)),"N/A")</f>
        <v>N/A</v>
      </c>
      <c r="M278" s="570" t="str">
        <f>IFERROR(VLOOKUP($I278,'Lower Hot Cell Logistics'!$H$4:$I$8,2,FALSE),"N/A")</f>
        <v>N/A</v>
      </c>
      <c r="N278" s="1182" t="str">
        <f t="shared" si="20"/>
        <v>N/A</v>
      </c>
      <c r="O278" s="620"/>
      <c r="P278" s="621" t="str">
        <f>IF($D278="Logistics",VLOOKUP($O278,'Lower Hot Cell Logistics'!$C$4:$D$69,2,FALSE),"N/A")</f>
        <v>N/A</v>
      </c>
    </row>
    <row r="279" spans="2:16" x14ac:dyDescent="0.4">
      <c r="B279" s="3786"/>
      <c r="C279" s="572" t="s">
        <v>2165</v>
      </c>
      <c r="D279" s="572" t="s">
        <v>778</v>
      </c>
      <c r="E279" s="574">
        <f t="shared" si="19"/>
        <v>0.23148148148148148</v>
      </c>
      <c r="F279" s="574">
        <f>IF($D279="Trigger",VLOOKUP($C279,'Lower Hot Cell Critical Path'!$C$6:$F$384,4,FALSE),E279+F278)</f>
        <v>444.83279355533182</v>
      </c>
      <c r="G279" s="575"/>
      <c r="H279" s="576" t="s">
        <v>263</v>
      </c>
      <c r="I279" s="1281" t="s">
        <v>2142</v>
      </c>
      <c r="J279" s="572" t="s">
        <v>451</v>
      </c>
      <c r="K279" s="572" t="s">
        <v>914</v>
      </c>
      <c r="L279" s="853">
        <f>IFERROR(INDEX('Lower Hot Cell Logistics'!$I$13:$O$19,MATCH($J279,'Lower Hot Cell Logistics'!$H$13:$H$19,0),MATCH($K279,'Lower Hot Cell Logistics'!$H$13:$H$19,0)),"N/A")</f>
        <v>50</v>
      </c>
      <c r="M279" s="853">
        <f>IFERROR(VLOOKUP($I279,'Lower Hot Cell Logistics'!$H$4:$I$8,2,FALSE),"N/A")</f>
        <v>0.06</v>
      </c>
      <c r="N279" s="1180">
        <f t="shared" si="20"/>
        <v>0.23148148148148148</v>
      </c>
      <c r="O279" s="579"/>
      <c r="P279" s="580" t="str">
        <f>IF($D279="Logistics",VLOOKUP($O279,'Lower Hot Cell Logistics'!$C$4:$D$69,2,FALSE),"N/A")</f>
        <v>N/A</v>
      </c>
    </row>
    <row r="280" spans="2:16" x14ac:dyDescent="0.4">
      <c r="B280" s="3786"/>
      <c r="C280" s="572" t="s">
        <v>2184</v>
      </c>
      <c r="D280" s="572" t="s">
        <v>3</v>
      </c>
      <c r="E280" s="574">
        <f t="shared" si="19"/>
        <v>0.88000000000000012</v>
      </c>
      <c r="F280" s="574">
        <f>IF($D280="Trigger",VLOOKUP($C280,'Lower Hot Cell Critical Path'!$C$6:$F$384,4,FALSE),E280+F279)</f>
        <v>445.71279355533181</v>
      </c>
      <c r="G280" s="575"/>
      <c r="H280" s="576" t="s">
        <v>263</v>
      </c>
      <c r="I280" s="1281"/>
      <c r="J280" s="572"/>
      <c r="K280" s="572"/>
      <c r="L280" s="853" t="str">
        <f>IFERROR(INDEX('Lower Hot Cell Logistics'!$I$13:$O$19,MATCH($J280,'Lower Hot Cell Logistics'!$H$13:$H$19,0),MATCH($K280,'Lower Hot Cell Logistics'!$H$13:$H$19,0)),"N/A")</f>
        <v>N/A</v>
      </c>
      <c r="M280" s="853" t="str">
        <f>IFERROR(VLOOKUP($I280,'Lower Hot Cell Logistics'!$H$4:$I$8,2,FALSE),"N/A")</f>
        <v>N/A</v>
      </c>
      <c r="N280" s="1180" t="str">
        <f t="shared" si="20"/>
        <v>N/A</v>
      </c>
      <c r="O280" s="579" t="s">
        <v>2168</v>
      </c>
      <c r="P280" s="580">
        <f>IF($D280="Logistics",VLOOKUP($O280,'Lower Hot Cell Logistics'!$C$4:$D$69,2,FALSE),"N/A")</f>
        <v>0.88000000000000012</v>
      </c>
    </row>
    <row r="281" spans="2:16" x14ac:dyDescent="0.4">
      <c r="B281" s="3786"/>
      <c r="C281" s="572" t="s">
        <v>2145</v>
      </c>
      <c r="D281" s="572" t="s">
        <v>778</v>
      </c>
      <c r="E281" s="574">
        <f t="shared" si="19"/>
        <v>2.7777777777777776E-2</v>
      </c>
      <c r="F281" s="574">
        <f>IF($D281="Trigger",VLOOKUP($C281,'Lower Hot Cell Critical Path'!$C$6:$F$384,4,FALSE),E281+F280)</f>
        <v>445.74057133310959</v>
      </c>
      <c r="G281" s="575"/>
      <c r="H281" s="576" t="s">
        <v>263</v>
      </c>
      <c r="I281" s="1281" t="s">
        <v>2146</v>
      </c>
      <c r="J281" s="572" t="s">
        <v>914</v>
      </c>
      <c r="K281" s="572" t="s">
        <v>799</v>
      </c>
      <c r="L281" s="853">
        <f>IFERROR(INDEX('Lower Hot Cell Logistics'!$I$13:$O$19,MATCH($J281,'Lower Hot Cell Logistics'!$H$13:$H$19,0),MATCH($K281,'Lower Hot Cell Logistics'!$H$13:$H$19,0)),"N/A")</f>
        <v>20</v>
      </c>
      <c r="M281" s="853">
        <f>IFERROR(VLOOKUP($I281,'Lower Hot Cell Logistics'!$H$4:$I$8,2,FALSE),"N/A")</f>
        <v>0.2</v>
      </c>
      <c r="N281" s="1180">
        <f t="shared" si="20"/>
        <v>2.7777777777777776E-2</v>
      </c>
      <c r="O281" s="579"/>
      <c r="P281" s="580" t="str">
        <f>IF($D281="Logistics",VLOOKUP($O281,'Lower Hot Cell Logistics'!$C$4:$D$69,2,FALSE),"N/A")</f>
        <v>N/A</v>
      </c>
    </row>
    <row r="282" spans="2:16" x14ac:dyDescent="0.4">
      <c r="B282" s="3786"/>
      <c r="C282" s="572" t="s">
        <v>2232</v>
      </c>
      <c r="D282" s="572" t="s">
        <v>3</v>
      </c>
      <c r="E282" s="574">
        <f t="shared" si="19"/>
        <v>0.58000000000000007</v>
      </c>
      <c r="F282" s="574">
        <f>IF($D282="Trigger",VLOOKUP($C282,'Lower Hot Cell Critical Path'!$C$6:$F$384,4,FALSE),E282+F281)</f>
        <v>446.32057133310957</v>
      </c>
      <c r="G282" s="575"/>
      <c r="H282" s="576" t="s">
        <v>263</v>
      </c>
      <c r="I282" s="1281"/>
      <c r="J282" s="572"/>
      <c r="K282" s="572"/>
      <c r="L282" s="853" t="str">
        <f>IFERROR(INDEX('Lower Hot Cell Logistics'!$I$13:$O$19,MATCH($J282,'Lower Hot Cell Logistics'!$H$13:$H$19,0),MATCH($K282,'Lower Hot Cell Logistics'!$H$13:$H$19,0)),"N/A")</f>
        <v>N/A</v>
      </c>
      <c r="M282" s="853" t="str">
        <f>IFERROR(VLOOKUP($I282,'Lower Hot Cell Logistics'!$H$4:$I$8,2,FALSE),"N/A")</f>
        <v>N/A</v>
      </c>
      <c r="N282" s="1180" t="str">
        <f t="shared" si="20"/>
        <v>N/A</v>
      </c>
      <c r="O282" s="579" t="s">
        <v>796</v>
      </c>
      <c r="P282" s="580">
        <f>IF($D282="Logistics",VLOOKUP($O282,'Lower Hot Cell Logistics'!$C$4:$D$69,2,FALSE),"N/A")</f>
        <v>0.58000000000000007</v>
      </c>
    </row>
    <row r="283" spans="2:16" x14ac:dyDescent="0.4">
      <c r="B283" s="3786"/>
      <c r="C283" s="572" t="s">
        <v>2233</v>
      </c>
      <c r="D283" s="572" t="s">
        <v>778</v>
      </c>
      <c r="E283" s="574">
        <f t="shared" si="19"/>
        <v>0.41666666666666669</v>
      </c>
      <c r="F283" s="574">
        <f>IF($D283="Trigger",VLOOKUP($C283,'Lower Hot Cell Critical Path'!$C$6:$F$384,4,FALSE),E283+F282)</f>
        <v>446.73723799977626</v>
      </c>
      <c r="G283" s="575"/>
      <c r="H283" s="576" t="s">
        <v>263</v>
      </c>
      <c r="I283" s="1281" t="s">
        <v>2171</v>
      </c>
      <c r="J283" s="572" t="s">
        <v>901</v>
      </c>
      <c r="K283" s="572" t="s">
        <v>451</v>
      </c>
      <c r="L283" s="853">
        <f>IFERROR(INDEX('Lower Hot Cell Logistics'!$I$13:$O$19,MATCH($J283,'Lower Hot Cell Logistics'!$H$13:$H$19,0),MATCH($K283,'Lower Hot Cell Logistics'!$H$13:$H$19,0)),"N/A")</f>
        <v>30</v>
      </c>
      <c r="M283" s="853">
        <f>IFERROR(VLOOKUP($I283,'Lower Hot Cell Logistics'!$H$4:$I$8,2,FALSE),"N/A")</f>
        <v>0.02</v>
      </c>
      <c r="N283" s="1180">
        <f t="shared" si="20"/>
        <v>0.41666666666666669</v>
      </c>
      <c r="O283" s="579"/>
      <c r="P283" s="580" t="str">
        <f>IF($D283="Logistics",VLOOKUP($O283,'Lower Hot Cell Logistics'!$C$4:$D$69,2,FALSE),"N/A")</f>
        <v>N/A</v>
      </c>
    </row>
    <row r="284" spans="2:16" ht="26.6" thickBot="1" x14ac:dyDescent="0.45">
      <c r="B284" s="3788"/>
      <c r="C284" s="583" t="str">
        <f>B278</f>
        <v>Store Pumping system handling system; Collect threshold rail lifting interface; Move to Lower Port</v>
      </c>
      <c r="D284" s="583" t="s">
        <v>11</v>
      </c>
      <c r="E284" s="585">
        <f t="shared" si="19"/>
        <v>0</v>
      </c>
      <c r="F284" s="585">
        <f>IF($D284="Trigger",VLOOKUP($C284,'Lower Hot Cell Critical Path'!$C$6:$F$384,4,FALSE),E284+F283)</f>
        <v>446.73723799977626</v>
      </c>
      <c r="G284" s="586"/>
      <c r="H284" s="587" t="s">
        <v>263</v>
      </c>
      <c r="I284" s="1720"/>
      <c r="J284" s="583"/>
      <c r="K284" s="583"/>
      <c r="L284" s="814" t="str">
        <f>IFERROR(INDEX('Lower Hot Cell Logistics'!$I$13:$O$19,MATCH($J284,'Lower Hot Cell Logistics'!$H$13:$H$19,0),MATCH($K284,'Lower Hot Cell Logistics'!$H$13:$H$19,0)),"N/A")</f>
        <v>N/A</v>
      </c>
      <c r="M284" s="814" t="str">
        <f>IFERROR(VLOOKUP($I284,'Lower Hot Cell Logistics'!$H$4:$I$8,2,FALSE),"N/A")</f>
        <v>N/A</v>
      </c>
      <c r="N284" s="1181" t="str">
        <f t="shared" si="20"/>
        <v>N/A</v>
      </c>
      <c r="O284" s="590"/>
      <c r="P284" s="591" t="str">
        <f>IF($D284="Logistics",VLOOKUP($O284,'Lower Hot Cell Logistics'!$C$4:$D$69,2,FALSE),"N/A")</f>
        <v>N/A</v>
      </c>
    </row>
    <row r="285" spans="2:16" ht="15.75" customHeight="1" x14ac:dyDescent="0.4">
      <c r="B285" s="3814" t="s">
        <v>2125</v>
      </c>
      <c r="C285" s="1324" t="s">
        <v>2119</v>
      </c>
      <c r="D285" s="1324" t="s">
        <v>907</v>
      </c>
      <c r="E285" s="1291">
        <f t="shared" si="19"/>
        <v>0</v>
      </c>
      <c r="F285" s="1291">
        <f>IF($D285="Trigger",VLOOKUP($C285,'Lower Hot Cell Critical Path'!$C$6:$F$384,4,FALSE),E285+F284)</f>
        <v>454.59520096273923</v>
      </c>
      <c r="G285" s="825"/>
      <c r="H285" s="1323" t="s">
        <v>263</v>
      </c>
      <c r="I285" s="1721"/>
      <c r="J285" s="1324"/>
      <c r="K285" s="1324"/>
      <c r="L285" s="828" t="str">
        <f>IFERROR(INDEX('Lower Hot Cell Logistics'!$I$13:$O$19,MATCH($J285,'Lower Hot Cell Logistics'!$H$13:$H$19,0),MATCH($K285,'Lower Hot Cell Logistics'!$H$13:$H$19,0)),"N/A")</f>
        <v>N/A</v>
      </c>
      <c r="M285" s="828" t="str">
        <f>IFERROR(VLOOKUP($I285,'Lower Hot Cell Logistics'!$H$4:$I$8,2,FALSE),"N/A")</f>
        <v>N/A</v>
      </c>
      <c r="N285" s="2200" t="str">
        <f t="shared" si="20"/>
        <v>N/A</v>
      </c>
      <c r="O285" s="1327"/>
      <c r="P285" s="824" t="str">
        <f>IF($D285="Logistics",VLOOKUP($O285,'Lower Hot Cell Logistics'!$C$4:$D$69,2,FALSE),"N/A")</f>
        <v>N/A</v>
      </c>
    </row>
    <row r="286" spans="2:16" x14ac:dyDescent="0.4">
      <c r="B286" s="3815"/>
      <c r="C286" s="1294" t="s">
        <v>2165</v>
      </c>
      <c r="D286" s="1294" t="s">
        <v>778</v>
      </c>
      <c r="E286" s="1292">
        <f t="shared" si="19"/>
        <v>0.23148148148148148</v>
      </c>
      <c r="F286" s="1292">
        <f>IF($D286="Trigger",VLOOKUP($C286,'Lower Hot Cell Critical Path'!$C$6:$F$384,4,FALSE),E286+F285)</f>
        <v>454.82668244422069</v>
      </c>
      <c r="G286" s="862"/>
      <c r="H286" s="1328" t="s">
        <v>263</v>
      </c>
      <c r="I286" s="1724" t="s">
        <v>2142</v>
      </c>
      <c r="J286" s="1294" t="s">
        <v>451</v>
      </c>
      <c r="K286" s="1294" t="s">
        <v>914</v>
      </c>
      <c r="L286" s="865">
        <f>IFERROR(INDEX('Lower Hot Cell Logistics'!$I$13:$O$19,MATCH($J286,'Lower Hot Cell Logistics'!$H$13:$H$19,0),MATCH($K286,'Lower Hot Cell Logistics'!$H$13:$H$19,0)),"N/A")</f>
        <v>50</v>
      </c>
      <c r="M286" s="865">
        <f>IFERROR(VLOOKUP($I286,'Lower Hot Cell Logistics'!$H$4:$I$8,2,FALSE),"N/A")</f>
        <v>0.06</v>
      </c>
      <c r="N286" s="2197">
        <f t="shared" si="20"/>
        <v>0.23148148148148148</v>
      </c>
      <c r="O286" s="1331"/>
      <c r="P286" s="1332" t="str">
        <f>IF($D286="Logistics",VLOOKUP($O286,'Lower Hot Cell Logistics'!$C$4:$D$69,2,FALSE),"N/A")</f>
        <v>N/A</v>
      </c>
    </row>
    <row r="287" spans="2:16" x14ac:dyDescent="0.4">
      <c r="B287" s="3815"/>
      <c r="C287" s="1294" t="s">
        <v>2184</v>
      </c>
      <c r="D287" s="1294" t="s">
        <v>3</v>
      </c>
      <c r="E287" s="1292">
        <f t="shared" si="19"/>
        <v>0.88000000000000012</v>
      </c>
      <c r="F287" s="1292">
        <f>IF($D287="Trigger",VLOOKUP($C287,'Lower Hot Cell Critical Path'!$C$6:$F$384,4,FALSE),E287+F286)</f>
        <v>455.70668244422069</v>
      </c>
      <c r="G287" s="862"/>
      <c r="H287" s="1328" t="s">
        <v>263</v>
      </c>
      <c r="I287" s="1724"/>
      <c r="J287" s="1294"/>
      <c r="K287" s="1294"/>
      <c r="L287" s="865" t="str">
        <f>IFERROR(INDEX('Lower Hot Cell Logistics'!$I$13:$O$19,MATCH($J287,'Lower Hot Cell Logistics'!$H$13:$H$19,0),MATCH($K287,'Lower Hot Cell Logistics'!$H$13:$H$19,0)),"N/A")</f>
        <v>N/A</v>
      </c>
      <c r="M287" s="865" t="str">
        <f>IFERROR(VLOOKUP($I287,'Lower Hot Cell Logistics'!$H$4:$I$8,2,FALSE),"N/A")</f>
        <v>N/A</v>
      </c>
      <c r="N287" s="2197" t="str">
        <f t="shared" si="20"/>
        <v>N/A</v>
      </c>
      <c r="O287" s="1331" t="s">
        <v>2168</v>
      </c>
      <c r="P287" s="1332">
        <f>IF($D287="Logistics",VLOOKUP($O287,'Lower Hot Cell Logistics'!$C$4:$D$69,2,FALSE),"N/A")</f>
        <v>0.88000000000000012</v>
      </c>
    </row>
    <row r="288" spans="2:16" x14ac:dyDescent="0.4">
      <c r="B288" s="3815"/>
      <c r="C288" s="1294" t="s">
        <v>2145</v>
      </c>
      <c r="D288" s="1294" t="s">
        <v>778</v>
      </c>
      <c r="E288" s="1292">
        <f t="shared" si="19"/>
        <v>2.7777777777777776E-2</v>
      </c>
      <c r="F288" s="1292">
        <f>IF($D288="Trigger",VLOOKUP($C288,'Lower Hot Cell Critical Path'!$C$6:$F$384,4,FALSE),E288+F287)</f>
        <v>455.73446022199846</v>
      </c>
      <c r="G288" s="862"/>
      <c r="H288" s="1328" t="s">
        <v>263</v>
      </c>
      <c r="I288" s="1724" t="s">
        <v>2146</v>
      </c>
      <c r="J288" s="1294" t="s">
        <v>914</v>
      </c>
      <c r="K288" s="1294" t="s">
        <v>799</v>
      </c>
      <c r="L288" s="865">
        <f>IFERROR(INDEX('Lower Hot Cell Logistics'!$I$13:$O$19,MATCH($J288,'Lower Hot Cell Logistics'!$H$13:$H$19,0),MATCH($K288,'Lower Hot Cell Logistics'!$H$13:$H$19,0)),"N/A")</f>
        <v>20</v>
      </c>
      <c r="M288" s="865">
        <f>IFERROR(VLOOKUP($I288,'Lower Hot Cell Logistics'!$H$4:$I$8,2,FALSE),"N/A")</f>
        <v>0.2</v>
      </c>
      <c r="N288" s="2197">
        <f t="shared" si="20"/>
        <v>2.7777777777777776E-2</v>
      </c>
      <c r="O288" s="1331"/>
      <c r="P288" s="1332" t="str">
        <f>IF($D288="Logistics",VLOOKUP($O288,'Lower Hot Cell Logistics'!$C$4:$D$69,2,FALSE),"N/A")</f>
        <v>N/A</v>
      </c>
    </row>
    <row r="289" spans="2:16" x14ac:dyDescent="0.4">
      <c r="B289" s="3815"/>
      <c r="C289" s="1294" t="s">
        <v>2147</v>
      </c>
      <c r="D289" s="1294" t="s">
        <v>3</v>
      </c>
      <c r="E289" s="1292">
        <f t="shared" si="19"/>
        <v>0.58000000000000007</v>
      </c>
      <c r="F289" s="1292">
        <f>IF($D289="Trigger",VLOOKUP($C289,'Lower Hot Cell Critical Path'!$C$6:$F$384,4,FALSE),E289+F288)</f>
        <v>456.31446022199844</v>
      </c>
      <c r="G289" s="862"/>
      <c r="H289" s="1328" t="s">
        <v>263</v>
      </c>
      <c r="I289" s="1724"/>
      <c r="J289" s="1294"/>
      <c r="K289" s="1294"/>
      <c r="L289" s="865" t="str">
        <f>IFERROR(INDEX('Lower Hot Cell Logistics'!$I$13:$O$19,MATCH($J289,'Lower Hot Cell Logistics'!$H$13:$H$19,0),MATCH($K289,'Lower Hot Cell Logistics'!$H$13:$H$19,0)),"N/A")</f>
        <v>N/A</v>
      </c>
      <c r="M289" s="865" t="str">
        <f>IFERROR(VLOOKUP($I289,'Lower Hot Cell Logistics'!$H$4:$I$8,2,FALSE),"N/A")</f>
        <v>N/A</v>
      </c>
      <c r="N289" s="2197" t="str">
        <f t="shared" si="20"/>
        <v>N/A</v>
      </c>
      <c r="O289" s="1331" t="s">
        <v>796</v>
      </c>
      <c r="P289" s="1332">
        <f>IF($D289="Logistics",VLOOKUP($O289,'Lower Hot Cell Logistics'!$C$4:$D$69,2,FALSE),"N/A")</f>
        <v>0.58000000000000007</v>
      </c>
    </row>
    <row r="290" spans="2:16" x14ac:dyDescent="0.4">
      <c r="B290" s="3815"/>
      <c r="C290" s="1294" t="s">
        <v>2233</v>
      </c>
      <c r="D290" s="1294" t="s">
        <v>778</v>
      </c>
      <c r="E290" s="1292">
        <f t="shared" si="19"/>
        <v>0.41666666666666669</v>
      </c>
      <c r="F290" s="1292">
        <f>IF($D290="Trigger",VLOOKUP($C290,'Lower Hot Cell Critical Path'!$C$6:$F$384,4,FALSE),E290+F289)</f>
        <v>456.73112688866513</v>
      </c>
      <c r="G290" s="862"/>
      <c r="H290" s="1328" t="s">
        <v>263</v>
      </c>
      <c r="I290" s="1724" t="s">
        <v>2171</v>
      </c>
      <c r="J290" s="1294" t="s">
        <v>901</v>
      </c>
      <c r="K290" s="1294" t="s">
        <v>451</v>
      </c>
      <c r="L290" s="865">
        <f>IFERROR(INDEX('Lower Hot Cell Logistics'!$I$13:$O$19,MATCH($J290,'Lower Hot Cell Logistics'!$H$13:$H$19,0),MATCH($K290,'Lower Hot Cell Logistics'!$H$13:$H$19,0)),"N/A")</f>
        <v>30</v>
      </c>
      <c r="M290" s="865">
        <f>IFERROR(VLOOKUP($I290,'Lower Hot Cell Logistics'!$H$4:$I$8,2,FALSE),"N/A")</f>
        <v>0.02</v>
      </c>
      <c r="N290" s="2197">
        <f t="shared" si="20"/>
        <v>0.41666666666666669</v>
      </c>
      <c r="O290" s="1331"/>
      <c r="P290" s="1332" t="str">
        <f>IF($D290="Logistics",VLOOKUP($O290,'Lower Hot Cell Logistics'!$C$4:$D$69,2,FALSE),"N/A")</f>
        <v>N/A</v>
      </c>
    </row>
    <row r="291" spans="2:16" ht="26.6" thickBot="1" x14ac:dyDescent="0.45">
      <c r="B291" s="3816"/>
      <c r="C291" s="1340" t="str">
        <f>B285</f>
        <v>Store diagnostic handling system; Collect port inspection system; Move to Lower Port</v>
      </c>
      <c r="D291" s="1340" t="s">
        <v>11</v>
      </c>
      <c r="E291" s="1295">
        <f t="shared" si="19"/>
        <v>0</v>
      </c>
      <c r="F291" s="1295">
        <f>IF($D291="Trigger",VLOOKUP($C291,'Lower Hot Cell Critical Path'!$C$6:$F$384,4,FALSE),E291+F290)</f>
        <v>456.73112688866513</v>
      </c>
      <c r="G291" s="839"/>
      <c r="H291" s="1341" t="s">
        <v>263</v>
      </c>
      <c r="I291" s="1727"/>
      <c r="J291" s="1340"/>
      <c r="K291" s="1340"/>
      <c r="L291" s="842" t="str">
        <f>IFERROR(INDEX('Lower Hot Cell Logistics'!$I$13:$O$19,MATCH($J291,'Lower Hot Cell Logistics'!$H$13:$H$19,0),MATCH($K291,'Lower Hot Cell Logistics'!$H$13:$H$19,0)),"N/A")</f>
        <v>N/A</v>
      </c>
      <c r="M291" s="842" t="str">
        <f>IFERROR(VLOOKUP($I291,'Lower Hot Cell Logistics'!$H$4:$I$8,2,FALSE),"N/A")</f>
        <v>N/A</v>
      </c>
      <c r="N291" s="2199" t="str">
        <f t="shared" si="20"/>
        <v>N/A</v>
      </c>
      <c r="O291" s="1344"/>
      <c r="P291" s="1345" t="str">
        <f>IF($D291="Logistics",VLOOKUP($O291,'Lower Hot Cell Logistics'!$C$4:$D$69,2,FALSE),"N/A")</f>
        <v>N/A</v>
      </c>
    </row>
    <row r="292" spans="2:16" ht="15.75" customHeight="1" x14ac:dyDescent="0.4">
      <c r="B292" s="3787" t="s">
        <v>2128</v>
      </c>
      <c r="C292" s="617" t="s">
        <v>2124</v>
      </c>
      <c r="D292" s="617" t="s">
        <v>907</v>
      </c>
      <c r="E292" s="567">
        <f t="shared" si="19"/>
        <v>0</v>
      </c>
      <c r="F292" s="567">
        <f>IF($D292="Trigger",VLOOKUP($C292,'Lower Hot Cell Critical Path'!$C$6:$F$384,4,FALSE),E292+F291)</f>
        <v>465.50908985162818</v>
      </c>
      <c r="G292" s="568"/>
      <c r="H292" s="569" t="s">
        <v>263</v>
      </c>
      <c r="I292" s="1270"/>
      <c r="J292" s="617"/>
      <c r="K292" s="617"/>
      <c r="L292" s="570" t="str">
        <f>IFERROR(INDEX('Lower Hot Cell Logistics'!$I$13:$O$19,MATCH($J292,'Lower Hot Cell Logistics'!$H$13:$H$19,0),MATCH($K292,'Lower Hot Cell Logistics'!$H$13:$H$19,0)),"N/A")</f>
        <v>N/A</v>
      </c>
      <c r="M292" s="570" t="str">
        <f>IFERROR(VLOOKUP($I292,'Lower Hot Cell Logistics'!$H$4:$I$8,2,FALSE),"N/A")</f>
        <v>N/A</v>
      </c>
      <c r="N292" s="1182" t="str">
        <f t="shared" si="20"/>
        <v>N/A</v>
      </c>
      <c r="O292" s="620"/>
      <c r="P292" s="621" t="str">
        <f>IF($D292="Logistics",VLOOKUP($O292,'Lower Hot Cell Logistics'!$C$4:$D$69,2,FALSE),"N/A")</f>
        <v>N/A</v>
      </c>
    </row>
    <row r="293" spans="2:16" x14ac:dyDescent="0.4">
      <c r="B293" s="3786"/>
      <c r="C293" s="572" t="s">
        <v>2165</v>
      </c>
      <c r="D293" s="572" t="s">
        <v>778</v>
      </c>
      <c r="E293" s="574">
        <f t="shared" si="19"/>
        <v>0.23148148148148148</v>
      </c>
      <c r="F293" s="574">
        <f>IF($D293="Trigger",VLOOKUP($C293,'Lower Hot Cell Critical Path'!$C$6:$F$384,4,FALSE),E293+F292)</f>
        <v>465.74057133310964</v>
      </c>
      <c r="G293" s="575"/>
      <c r="H293" s="576" t="s">
        <v>263</v>
      </c>
      <c r="I293" s="1281" t="s">
        <v>2142</v>
      </c>
      <c r="J293" s="572" t="s">
        <v>451</v>
      </c>
      <c r="K293" s="572" t="s">
        <v>914</v>
      </c>
      <c r="L293" s="853">
        <f>IFERROR(INDEX('Lower Hot Cell Logistics'!$I$13:$O$19,MATCH($J293,'Lower Hot Cell Logistics'!$H$13:$H$19,0),MATCH($K293,'Lower Hot Cell Logistics'!$H$13:$H$19,0)),"N/A")</f>
        <v>50</v>
      </c>
      <c r="M293" s="853">
        <f>IFERROR(VLOOKUP($I293,'Lower Hot Cell Logistics'!$H$4:$I$8,2,FALSE),"N/A")</f>
        <v>0.06</v>
      </c>
      <c r="N293" s="1180">
        <f t="shared" si="20"/>
        <v>0.23148148148148148</v>
      </c>
      <c r="O293" s="579"/>
      <c r="P293" s="580" t="str">
        <f>IF($D293="Logistics",VLOOKUP($O293,'Lower Hot Cell Logistics'!$C$4:$D$69,2,FALSE),"N/A")</f>
        <v>N/A</v>
      </c>
    </row>
    <row r="294" spans="2:16" x14ac:dyDescent="0.4">
      <c r="B294" s="3786"/>
      <c r="C294" s="572" t="s">
        <v>2184</v>
      </c>
      <c r="D294" s="572" t="s">
        <v>3</v>
      </c>
      <c r="E294" s="574">
        <f t="shared" si="19"/>
        <v>0.88000000000000012</v>
      </c>
      <c r="F294" s="574">
        <f>IF($D294="Trigger",VLOOKUP($C294,'Lower Hot Cell Critical Path'!$C$6:$F$384,4,FALSE),E294+F293)</f>
        <v>466.62057133310964</v>
      </c>
      <c r="G294" s="575"/>
      <c r="H294" s="576" t="s">
        <v>263</v>
      </c>
      <c r="I294" s="1281"/>
      <c r="J294" s="572"/>
      <c r="K294" s="572"/>
      <c r="L294" s="853" t="str">
        <f>IFERROR(INDEX('Lower Hot Cell Logistics'!$I$13:$O$19,MATCH($J294,'Lower Hot Cell Logistics'!$H$13:$H$19,0),MATCH($K294,'Lower Hot Cell Logistics'!$H$13:$H$19,0)),"N/A")</f>
        <v>N/A</v>
      </c>
      <c r="M294" s="853" t="str">
        <f>IFERROR(VLOOKUP($I294,'Lower Hot Cell Logistics'!$H$4:$I$8,2,FALSE),"N/A")</f>
        <v>N/A</v>
      </c>
      <c r="N294" s="1180" t="str">
        <f t="shared" si="20"/>
        <v>N/A</v>
      </c>
      <c r="O294" s="579" t="s">
        <v>2168</v>
      </c>
      <c r="P294" s="580">
        <f>IF($D294="Logistics",VLOOKUP($O294,'Lower Hot Cell Logistics'!$C$4:$D$69,2,FALSE),"N/A")</f>
        <v>0.88000000000000012</v>
      </c>
    </row>
    <row r="295" spans="2:16" x14ac:dyDescent="0.4">
      <c r="B295" s="3786"/>
      <c r="C295" s="572" t="s">
        <v>2145</v>
      </c>
      <c r="D295" s="572" t="s">
        <v>778</v>
      </c>
      <c r="E295" s="574">
        <f t="shared" si="19"/>
        <v>2.7777777777777776E-2</v>
      </c>
      <c r="F295" s="574">
        <f>IF($D295="Trigger",VLOOKUP($C295,'Lower Hot Cell Critical Path'!$C$6:$F$384,4,FALSE),E295+F294)</f>
        <v>466.64834911088741</v>
      </c>
      <c r="G295" s="575"/>
      <c r="H295" s="576" t="s">
        <v>263</v>
      </c>
      <c r="I295" s="1281" t="s">
        <v>2146</v>
      </c>
      <c r="J295" s="572" t="s">
        <v>914</v>
      </c>
      <c r="K295" s="572" t="s">
        <v>799</v>
      </c>
      <c r="L295" s="853">
        <f>IFERROR(INDEX('Lower Hot Cell Logistics'!$I$13:$O$19,MATCH($J295,'Lower Hot Cell Logistics'!$H$13:$H$19,0),MATCH($K295,'Lower Hot Cell Logistics'!$H$13:$H$19,0)),"N/A")</f>
        <v>20</v>
      </c>
      <c r="M295" s="853">
        <f>IFERROR(VLOOKUP($I295,'Lower Hot Cell Logistics'!$H$4:$I$8,2,FALSE),"N/A")</f>
        <v>0.2</v>
      </c>
      <c r="N295" s="1180">
        <f t="shared" si="20"/>
        <v>2.7777777777777776E-2</v>
      </c>
      <c r="O295" s="579"/>
      <c r="P295" s="580" t="str">
        <f>IF($D295="Logistics",VLOOKUP($O295,'Lower Hot Cell Logistics'!$C$4:$D$69,2,FALSE),"N/A")</f>
        <v>N/A</v>
      </c>
    </row>
    <row r="296" spans="2:16" x14ac:dyDescent="0.4">
      <c r="B296" s="3786"/>
      <c r="C296" s="572" t="s">
        <v>2232</v>
      </c>
      <c r="D296" s="572" t="s">
        <v>3</v>
      </c>
      <c r="E296" s="574">
        <f t="shared" si="19"/>
        <v>0.58000000000000007</v>
      </c>
      <c r="F296" s="574">
        <f>IF($D296="Trigger",VLOOKUP($C296,'Lower Hot Cell Critical Path'!$C$6:$F$384,4,FALSE),E296+F295)</f>
        <v>467.22834911088739</v>
      </c>
      <c r="G296" s="575"/>
      <c r="H296" s="576" t="s">
        <v>263</v>
      </c>
      <c r="I296" s="1281"/>
      <c r="J296" s="572"/>
      <c r="K296" s="572"/>
      <c r="L296" s="853" t="str">
        <f>IFERROR(INDEX('Lower Hot Cell Logistics'!$I$13:$O$19,MATCH($J296,'Lower Hot Cell Logistics'!$H$13:$H$19,0),MATCH($K296,'Lower Hot Cell Logistics'!$H$13:$H$19,0)),"N/A")</f>
        <v>N/A</v>
      </c>
      <c r="M296" s="853" t="str">
        <f>IFERROR(VLOOKUP($I296,'Lower Hot Cell Logistics'!$H$4:$I$8,2,FALSE),"N/A")</f>
        <v>N/A</v>
      </c>
      <c r="N296" s="1180" t="str">
        <f t="shared" si="20"/>
        <v>N/A</v>
      </c>
      <c r="O296" s="579" t="s">
        <v>796</v>
      </c>
      <c r="P296" s="580">
        <f>IF($D296="Logistics",VLOOKUP($O296,'Lower Hot Cell Logistics'!$C$4:$D$69,2,FALSE),"N/A")</f>
        <v>0.58000000000000007</v>
      </c>
    </row>
    <row r="297" spans="2:16" x14ac:dyDescent="0.4">
      <c r="B297" s="3786"/>
      <c r="C297" s="572" t="s">
        <v>2233</v>
      </c>
      <c r="D297" s="572" t="s">
        <v>778</v>
      </c>
      <c r="E297" s="574">
        <f t="shared" si="19"/>
        <v>0.41666666666666669</v>
      </c>
      <c r="F297" s="574">
        <f>IF($D297="Trigger",VLOOKUP($C297,'Lower Hot Cell Critical Path'!$C$6:$F$384,4,FALSE),E297+F296)</f>
        <v>467.64501577755408</v>
      </c>
      <c r="G297" s="575"/>
      <c r="H297" s="576" t="s">
        <v>263</v>
      </c>
      <c r="I297" s="1281" t="s">
        <v>2171</v>
      </c>
      <c r="J297" s="572" t="s">
        <v>901</v>
      </c>
      <c r="K297" s="572" t="s">
        <v>451</v>
      </c>
      <c r="L297" s="853">
        <f>IFERROR(INDEX('Lower Hot Cell Logistics'!$I$13:$O$19,MATCH($J297,'Lower Hot Cell Logistics'!$H$13:$H$19,0),MATCH($K297,'Lower Hot Cell Logistics'!$H$13:$H$19,0)),"N/A")</f>
        <v>30</v>
      </c>
      <c r="M297" s="853">
        <f>IFERROR(VLOOKUP($I297,'Lower Hot Cell Logistics'!$H$4:$I$8,2,FALSE),"N/A")</f>
        <v>0.02</v>
      </c>
      <c r="N297" s="1180">
        <f t="shared" si="20"/>
        <v>0.41666666666666669</v>
      </c>
      <c r="O297" s="579"/>
      <c r="P297" s="580" t="str">
        <f>IF($D297="Logistics",VLOOKUP($O297,'Lower Hot Cell Logistics'!$C$4:$D$69,2,FALSE),"N/A")</f>
        <v>N/A</v>
      </c>
    </row>
    <row r="298" spans="2:16" ht="26.6" thickBot="1" x14ac:dyDescent="0.45">
      <c r="B298" s="3788"/>
      <c r="C298" s="583" t="str">
        <f>B292</f>
        <v>Store threshold rail handling system; Collect vacuum closure plate &amp; handling system; Move to Lower Port</v>
      </c>
      <c r="D298" s="583" t="s">
        <v>11</v>
      </c>
      <c r="E298" s="585">
        <f t="shared" si="19"/>
        <v>0</v>
      </c>
      <c r="F298" s="585">
        <f>IF($D298="Trigger",VLOOKUP($C298,'Lower Hot Cell Critical Path'!$C$6:$F$384,4,FALSE),E298+F297)</f>
        <v>467.64501577755408</v>
      </c>
      <c r="G298" s="586"/>
      <c r="H298" s="587" t="s">
        <v>263</v>
      </c>
      <c r="I298" s="1720"/>
      <c r="J298" s="583"/>
      <c r="K298" s="583"/>
      <c r="L298" s="814" t="str">
        <f>IFERROR(INDEX('Lower Hot Cell Logistics'!$I$13:$O$19,MATCH($J298,'Lower Hot Cell Logistics'!$H$13:$H$19,0),MATCH($K298,'Lower Hot Cell Logistics'!$H$13:$H$19,0)),"N/A")</f>
        <v>N/A</v>
      </c>
      <c r="M298" s="814" t="str">
        <f>IFERROR(VLOOKUP($I298,'Lower Hot Cell Logistics'!$H$4:$I$8,2,FALSE),"N/A")</f>
        <v>N/A</v>
      </c>
      <c r="N298" s="1181" t="str">
        <f t="shared" si="20"/>
        <v>N/A</v>
      </c>
      <c r="O298" s="590"/>
      <c r="P298" s="591" t="str">
        <f>IF($D298="Logistics",VLOOKUP($O298,'Lower Hot Cell Logistics'!$C$4:$D$69,2,FALSE),"N/A")</f>
        <v>N/A</v>
      </c>
    </row>
    <row r="299" spans="2:16" ht="15.75" customHeight="1" x14ac:dyDescent="0.4">
      <c r="B299" s="3814" t="s">
        <v>2133</v>
      </c>
      <c r="C299" s="1324" t="s">
        <v>2130</v>
      </c>
      <c r="D299" s="1324" t="s">
        <v>907</v>
      </c>
      <c r="E299" s="1291">
        <f t="shared" si="19"/>
        <v>0</v>
      </c>
      <c r="F299" s="1291">
        <f>IF($D299="Trigger",VLOOKUP($C299,'Lower Hot Cell Critical Path'!$C$6:$F$384,4,FALSE),E299+F298)</f>
        <v>484.36464540718379</v>
      </c>
      <c r="G299" s="825"/>
      <c r="H299" s="1323" t="s">
        <v>263</v>
      </c>
      <c r="I299" s="1721"/>
      <c r="J299" s="1324"/>
      <c r="K299" s="1324"/>
      <c r="L299" s="828" t="str">
        <f>IFERROR(INDEX('Lower Hot Cell Logistics'!$I$13:$O$19,MATCH($J299,'Lower Hot Cell Logistics'!$H$13:$H$19,0),MATCH($K299,'Lower Hot Cell Logistics'!$H$13:$H$19,0)),"N/A")</f>
        <v>N/A</v>
      </c>
      <c r="M299" s="828" t="str">
        <f>IFERROR(VLOOKUP($I299,'Lower Hot Cell Logistics'!$H$4:$I$8,2,FALSE),"N/A")</f>
        <v>N/A</v>
      </c>
      <c r="N299" s="2200" t="str">
        <f t="shared" si="20"/>
        <v>N/A</v>
      </c>
      <c r="O299" s="1327"/>
      <c r="P299" s="824" t="str">
        <f>IF($D299="Logistics",VLOOKUP($O299,'Lower Hot Cell Logistics'!$C$4:$D$69,2,FALSE),"N/A")</f>
        <v>N/A</v>
      </c>
    </row>
    <row r="300" spans="2:16" x14ac:dyDescent="0.4">
      <c r="B300" s="3815"/>
      <c r="C300" s="1294" t="s">
        <v>2165</v>
      </c>
      <c r="D300" s="1294" t="s">
        <v>778</v>
      </c>
      <c r="E300" s="1292">
        <f t="shared" si="19"/>
        <v>0.23148148148148148</v>
      </c>
      <c r="F300" s="1292">
        <f>IF($D300="Trigger",VLOOKUP($C300,'Lower Hot Cell Critical Path'!$C$6:$F$384,4,FALSE),E300+F299)</f>
        <v>484.59612688866525</v>
      </c>
      <c r="G300" s="862"/>
      <c r="H300" s="1328" t="s">
        <v>263</v>
      </c>
      <c r="I300" s="1724" t="s">
        <v>2142</v>
      </c>
      <c r="J300" s="1294" t="s">
        <v>451</v>
      </c>
      <c r="K300" s="1294" t="s">
        <v>914</v>
      </c>
      <c r="L300" s="865">
        <f>IFERROR(INDEX('Lower Hot Cell Logistics'!$I$13:$O$19,MATCH($J300,'Lower Hot Cell Logistics'!$H$13:$H$19,0),MATCH($K300,'Lower Hot Cell Logistics'!$H$13:$H$19,0)),"N/A")</f>
        <v>50</v>
      </c>
      <c r="M300" s="865">
        <f>IFERROR(VLOOKUP($I300,'Lower Hot Cell Logistics'!$H$4:$I$8,2,FALSE),"N/A")</f>
        <v>0.06</v>
      </c>
      <c r="N300" s="2197">
        <f t="shared" si="20"/>
        <v>0.23148148148148148</v>
      </c>
      <c r="O300" s="1331"/>
      <c r="P300" s="1332" t="str">
        <f>IF($D300="Logistics",VLOOKUP($O300,'Lower Hot Cell Logistics'!$C$4:$D$69,2,FALSE),"N/A")</f>
        <v>N/A</v>
      </c>
    </row>
    <row r="301" spans="2:16" x14ac:dyDescent="0.4">
      <c r="B301" s="3815"/>
      <c r="C301" s="1294" t="s">
        <v>2184</v>
      </c>
      <c r="D301" s="1294" t="s">
        <v>3</v>
      </c>
      <c r="E301" s="1292">
        <f t="shared" si="19"/>
        <v>0.88000000000000012</v>
      </c>
      <c r="F301" s="1292">
        <f>IF($D301="Trigger",VLOOKUP($C301,'Lower Hot Cell Critical Path'!$C$6:$F$384,4,FALSE),E301+F300)</f>
        <v>485.47612688866525</v>
      </c>
      <c r="G301" s="862"/>
      <c r="H301" s="1328" t="s">
        <v>263</v>
      </c>
      <c r="I301" s="1724"/>
      <c r="J301" s="1294"/>
      <c r="K301" s="1294"/>
      <c r="L301" s="865" t="str">
        <f>IFERROR(INDEX('Lower Hot Cell Logistics'!$I$13:$O$19,MATCH($J301,'Lower Hot Cell Logistics'!$H$13:$H$19,0),MATCH($K301,'Lower Hot Cell Logistics'!$H$13:$H$19,0)),"N/A")</f>
        <v>N/A</v>
      </c>
      <c r="M301" s="865" t="str">
        <f>IFERROR(VLOOKUP($I301,'Lower Hot Cell Logistics'!$H$4:$I$8,2,FALSE),"N/A")</f>
        <v>N/A</v>
      </c>
      <c r="N301" s="2197" t="str">
        <f t="shared" si="20"/>
        <v>N/A</v>
      </c>
      <c r="O301" s="1331" t="s">
        <v>2168</v>
      </c>
      <c r="P301" s="1332">
        <f>IF($D301="Logistics",VLOOKUP($O301,'Lower Hot Cell Logistics'!$C$4:$D$69,2,FALSE),"N/A")</f>
        <v>0.88000000000000012</v>
      </c>
    </row>
    <row r="302" spans="2:16" x14ac:dyDescent="0.4">
      <c r="B302" s="3815"/>
      <c r="C302" s="1294" t="s">
        <v>2145</v>
      </c>
      <c r="D302" s="1294" t="s">
        <v>778</v>
      </c>
      <c r="E302" s="1292">
        <f t="shared" si="19"/>
        <v>2.7777777777777776E-2</v>
      </c>
      <c r="F302" s="1292">
        <f>IF($D302="Trigger",VLOOKUP($C302,'Lower Hot Cell Critical Path'!$C$6:$F$384,4,FALSE),E302+F301)</f>
        <v>485.50390466644302</v>
      </c>
      <c r="G302" s="862"/>
      <c r="H302" s="1328" t="s">
        <v>263</v>
      </c>
      <c r="I302" s="1724" t="s">
        <v>2146</v>
      </c>
      <c r="J302" s="1294" t="s">
        <v>914</v>
      </c>
      <c r="K302" s="1294" t="s">
        <v>799</v>
      </c>
      <c r="L302" s="865">
        <f>IFERROR(INDEX('Lower Hot Cell Logistics'!$I$13:$O$19,MATCH($J302,'Lower Hot Cell Logistics'!$H$13:$H$19,0),MATCH($K302,'Lower Hot Cell Logistics'!$H$13:$H$19,0)),"N/A")</f>
        <v>20</v>
      </c>
      <c r="M302" s="865">
        <f>IFERROR(VLOOKUP($I302,'Lower Hot Cell Logistics'!$H$4:$I$8,2,FALSE),"N/A")</f>
        <v>0.2</v>
      </c>
      <c r="N302" s="2197">
        <f t="shared" si="20"/>
        <v>2.7777777777777776E-2</v>
      </c>
      <c r="O302" s="1331"/>
      <c r="P302" s="1332" t="str">
        <f>IF($D302="Logistics",VLOOKUP($O302,'Lower Hot Cell Logistics'!$C$4:$D$69,2,FALSE),"N/A")</f>
        <v>N/A</v>
      </c>
    </row>
    <row r="303" spans="2:16" x14ac:dyDescent="0.4">
      <c r="B303" s="3815"/>
      <c r="C303" s="1294" t="s">
        <v>2232</v>
      </c>
      <c r="D303" s="1294" t="s">
        <v>3</v>
      </c>
      <c r="E303" s="1292">
        <f t="shared" si="19"/>
        <v>0.58000000000000007</v>
      </c>
      <c r="F303" s="1292">
        <f>IF($D303="Trigger",VLOOKUP($C303,'Lower Hot Cell Critical Path'!$C$6:$F$384,4,FALSE),E303+F302)</f>
        <v>486.083904666443</v>
      </c>
      <c r="G303" s="862"/>
      <c r="H303" s="1328" t="s">
        <v>263</v>
      </c>
      <c r="I303" s="1724"/>
      <c r="J303" s="1294"/>
      <c r="K303" s="1294"/>
      <c r="L303" s="865" t="str">
        <f>IFERROR(INDEX('Lower Hot Cell Logistics'!$I$13:$O$19,MATCH($J303,'Lower Hot Cell Logistics'!$H$13:$H$19,0),MATCH($K303,'Lower Hot Cell Logistics'!$H$13:$H$19,0)),"N/A")</f>
        <v>N/A</v>
      </c>
      <c r="M303" s="865" t="str">
        <f>IFERROR(VLOOKUP($I303,'Lower Hot Cell Logistics'!$H$4:$I$8,2,FALSE),"N/A")</f>
        <v>N/A</v>
      </c>
      <c r="N303" s="2197" t="str">
        <f t="shared" si="20"/>
        <v>N/A</v>
      </c>
      <c r="O303" s="1331" t="s">
        <v>796</v>
      </c>
      <c r="P303" s="1332">
        <f>IF($D303="Logistics",VLOOKUP($O303,'Lower Hot Cell Logistics'!$C$4:$D$69,2,FALSE),"N/A")</f>
        <v>0.58000000000000007</v>
      </c>
    </row>
    <row r="304" spans="2:16" x14ac:dyDescent="0.4">
      <c r="B304" s="3815"/>
      <c r="C304" s="1294" t="s">
        <v>2233</v>
      </c>
      <c r="D304" s="1294" t="s">
        <v>778</v>
      </c>
      <c r="E304" s="1292">
        <f t="shared" si="19"/>
        <v>0.41666666666666669</v>
      </c>
      <c r="F304" s="1292">
        <f>IF($D304="Trigger",VLOOKUP($C304,'Lower Hot Cell Critical Path'!$C$6:$F$384,4,FALSE),E304+F303)</f>
        <v>486.50057133310969</v>
      </c>
      <c r="G304" s="862"/>
      <c r="H304" s="1328" t="s">
        <v>263</v>
      </c>
      <c r="I304" s="1724" t="s">
        <v>2171</v>
      </c>
      <c r="J304" s="1294" t="s">
        <v>901</v>
      </c>
      <c r="K304" s="1294" t="s">
        <v>451</v>
      </c>
      <c r="L304" s="865">
        <f>IFERROR(INDEX('Lower Hot Cell Logistics'!$I$13:$O$19,MATCH($J304,'Lower Hot Cell Logistics'!$H$13:$H$19,0),MATCH($K304,'Lower Hot Cell Logistics'!$H$13:$H$19,0)),"N/A")</f>
        <v>30</v>
      </c>
      <c r="M304" s="865">
        <f>IFERROR(VLOOKUP($I304,'Lower Hot Cell Logistics'!$H$4:$I$8,2,FALSE),"N/A")</f>
        <v>0.02</v>
      </c>
      <c r="N304" s="2197">
        <f t="shared" si="20"/>
        <v>0.41666666666666669</v>
      </c>
      <c r="O304" s="1331"/>
      <c r="P304" s="1332" t="str">
        <f>IF($D304="Logistics",VLOOKUP($O304,'Lower Hot Cell Logistics'!$C$4:$D$69,2,FALSE),"N/A")</f>
        <v>N/A</v>
      </c>
    </row>
    <row r="305" spans="2:16" ht="26.6" thickBot="1" x14ac:dyDescent="0.45">
      <c r="B305" s="3816"/>
      <c r="C305" s="1340" t="str">
        <f>B299</f>
        <v>Store vacuum closure plate handling system; Collect CCS handling system; Move to Lower Port</v>
      </c>
      <c r="D305" s="1340" t="s">
        <v>11</v>
      </c>
      <c r="E305" s="1295">
        <f t="shared" si="19"/>
        <v>0</v>
      </c>
      <c r="F305" s="1295">
        <f>IF($D305="Trigger",VLOOKUP($C305,'Lower Hot Cell Critical Path'!$C$6:$F$384,4,FALSE),E305+F304)</f>
        <v>486.50057133310969</v>
      </c>
      <c r="G305" s="839"/>
      <c r="H305" s="1341" t="s">
        <v>263</v>
      </c>
      <c r="I305" s="1727"/>
      <c r="J305" s="1340"/>
      <c r="K305" s="1340"/>
      <c r="L305" s="842" t="str">
        <f>IFERROR(INDEX('Lower Hot Cell Logistics'!$I$13:$O$19,MATCH($J305,'Lower Hot Cell Logistics'!$H$13:$H$19,0),MATCH($K305,'Lower Hot Cell Logistics'!$H$13:$H$19,0)),"N/A")</f>
        <v>N/A</v>
      </c>
      <c r="M305" s="842" t="str">
        <f>IFERROR(VLOOKUP($I305,'Lower Hot Cell Logistics'!$H$4:$I$8,2,FALSE),"N/A")</f>
        <v>N/A</v>
      </c>
      <c r="N305" s="2199" t="str">
        <f t="shared" si="20"/>
        <v>N/A</v>
      </c>
      <c r="O305" s="1344"/>
      <c r="P305" s="1345" t="str">
        <f>IF($D305="Logistics",VLOOKUP($O305,'Lower Hot Cell Logistics'!$C$4:$D$69,2,FALSE),"N/A")</f>
        <v>N/A</v>
      </c>
    </row>
    <row r="306" spans="2:16" ht="15.75" customHeight="1" x14ac:dyDescent="0.4">
      <c r="B306" s="3787" t="s">
        <v>2136</v>
      </c>
      <c r="C306" s="617" t="s">
        <v>2131</v>
      </c>
      <c r="D306" s="617" t="s">
        <v>907</v>
      </c>
      <c r="E306" s="567">
        <f t="shared" si="19"/>
        <v>0</v>
      </c>
      <c r="F306" s="567">
        <f>IF($D306="Trigger",VLOOKUP($C306,'Lower Hot Cell Critical Path'!$C$6:$F$384,4,FALSE),E306+F305)</f>
        <v>492.53686762940606</v>
      </c>
      <c r="G306" s="568"/>
      <c r="H306" s="569" t="s">
        <v>263</v>
      </c>
      <c r="I306" s="1270"/>
      <c r="J306" s="617"/>
      <c r="K306" s="617"/>
      <c r="L306" s="570" t="str">
        <f>IFERROR(INDEX('Lower Hot Cell Logistics'!$I$13:$O$19,MATCH($J306,'Lower Hot Cell Logistics'!$H$13:$H$19,0),MATCH($K306,'Lower Hot Cell Logistics'!$H$13:$H$19,0)),"N/A")</f>
        <v>N/A</v>
      </c>
      <c r="M306" s="570" t="str">
        <f>IFERROR(VLOOKUP($I306,'Lower Hot Cell Logistics'!$H$4:$I$8,2,FALSE),"N/A")</f>
        <v>N/A</v>
      </c>
      <c r="N306" s="1182" t="str">
        <f t="shared" si="20"/>
        <v>N/A</v>
      </c>
      <c r="O306" s="620"/>
      <c r="P306" s="621" t="str">
        <f>IF($D306="Logistics",VLOOKUP($O306,'Lower Hot Cell Logistics'!$C$4:$D$69,2,FALSE),"N/A")</f>
        <v>N/A</v>
      </c>
    </row>
    <row r="307" spans="2:16" x14ac:dyDescent="0.4">
      <c r="B307" s="3786"/>
      <c r="C307" s="572" t="s">
        <v>2165</v>
      </c>
      <c r="D307" s="572" t="s">
        <v>778</v>
      </c>
      <c r="E307" s="574">
        <f t="shared" si="19"/>
        <v>0.23148148148148148</v>
      </c>
      <c r="F307" s="574">
        <f>IF($D307="Trigger",VLOOKUP($C307,'Lower Hot Cell Critical Path'!$C$6:$F$384,4,FALSE),E307+F306)</f>
        <v>492.76834911088753</v>
      </c>
      <c r="G307" s="575"/>
      <c r="H307" s="576" t="s">
        <v>263</v>
      </c>
      <c r="I307" s="1281" t="s">
        <v>2142</v>
      </c>
      <c r="J307" s="572" t="s">
        <v>451</v>
      </c>
      <c r="K307" s="572" t="s">
        <v>914</v>
      </c>
      <c r="L307" s="853">
        <f>IFERROR(INDEX('Lower Hot Cell Logistics'!$I$13:$O$19,MATCH($J307,'Lower Hot Cell Logistics'!$H$13:$H$19,0),MATCH($K307,'Lower Hot Cell Logistics'!$H$13:$H$19,0)),"N/A")</f>
        <v>50</v>
      </c>
      <c r="M307" s="853">
        <f>IFERROR(VLOOKUP($I307,'Lower Hot Cell Logistics'!$H$4:$I$8,2,FALSE),"N/A")</f>
        <v>0.06</v>
      </c>
      <c r="N307" s="1180">
        <f t="shared" si="20"/>
        <v>0.23148148148148148</v>
      </c>
      <c r="O307" s="579"/>
      <c r="P307" s="580" t="str">
        <f>IF($D307="Logistics",VLOOKUP($O307,'Lower Hot Cell Logistics'!$C$4:$D$69,2,FALSE),"N/A")</f>
        <v>N/A</v>
      </c>
    </row>
    <row r="308" spans="2:16" x14ac:dyDescent="0.4">
      <c r="B308" s="3786"/>
      <c r="C308" s="572" t="s">
        <v>2234</v>
      </c>
      <c r="D308" s="572" t="s">
        <v>3</v>
      </c>
      <c r="E308" s="574">
        <f t="shared" si="19"/>
        <v>0.88000000000000012</v>
      </c>
      <c r="F308" s="574">
        <f>IF($D308="Trigger",VLOOKUP($C308,'Lower Hot Cell Critical Path'!$C$6:$F$384,4,FALSE),E308+F307)</f>
        <v>493.64834911088752</v>
      </c>
      <c r="G308" s="575"/>
      <c r="H308" s="576" t="s">
        <v>263</v>
      </c>
      <c r="I308" s="1281"/>
      <c r="J308" s="572"/>
      <c r="K308" s="572"/>
      <c r="L308" s="853" t="str">
        <f>IFERROR(INDEX('Lower Hot Cell Logistics'!$I$13:$O$19,MATCH($J308,'Lower Hot Cell Logistics'!$H$13:$H$19,0),MATCH($K308,'Lower Hot Cell Logistics'!$H$13:$H$19,0)),"N/A")</f>
        <v>N/A</v>
      </c>
      <c r="M308" s="853" t="str">
        <f>IFERROR(VLOOKUP($I308,'Lower Hot Cell Logistics'!$H$4:$I$8,2,FALSE),"N/A")</f>
        <v>N/A</v>
      </c>
      <c r="N308" s="1180" t="str">
        <f t="shared" si="20"/>
        <v>N/A</v>
      </c>
      <c r="O308" s="579" t="s">
        <v>2168</v>
      </c>
      <c r="P308" s="580">
        <f>IF($D308="Logistics",VLOOKUP($O308,'Lower Hot Cell Logistics'!$C$4:$D$69,2,FALSE),"N/A")</f>
        <v>0.88000000000000012</v>
      </c>
    </row>
    <row r="309" spans="2:16" x14ac:dyDescent="0.4">
      <c r="B309" s="3786"/>
      <c r="C309" s="572" t="s">
        <v>2145</v>
      </c>
      <c r="D309" s="572" t="s">
        <v>778</v>
      </c>
      <c r="E309" s="574">
        <f t="shared" si="19"/>
        <v>2.7777777777777776E-2</v>
      </c>
      <c r="F309" s="574">
        <f>IF($D309="Trigger",VLOOKUP($C309,'Lower Hot Cell Critical Path'!$C$6:$F$384,4,FALSE),E309+F308)</f>
        <v>493.67612688866529</v>
      </c>
      <c r="G309" s="575"/>
      <c r="H309" s="576" t="s">
        <v>263</v>
      </c>
      <c r="I309" s="1281" t="s">
        <v>2146</v>
      </c>
      <c r="J309" s="572" t="s">
        <v>914</v>
      </c>
      <c r="K309" s="572" t="s">
        <v>799</v>
      </c>
      <c r="L309" s="853">
        <f>IFERROR(INDEX('Lower Hot Cell Logistics'!$I$13:$O$19,MATCH($J309,'Lower Hot Cell Logistics'!$H$13:$H$19,0),MATCH($K309,'Lower Hot Cell Logistics'!$H$13:$H$19,0)),"N/A")</f>
        <v>20</v>
      </c>
      <c r="M309" s="853">
        <f>IFERROR(VLOOKUP($I309,'Lower Hot Cell Logistics'!$H$4:$I$8,2,FALSE),"N/A")</f>
        <v>0.2</v>
      </c>
      <c r="N309" s="1180">
        <f t="shared" si="20"/>
        <v>2.7777777777777776E-2</v>
      </c>
      <c r="O309" s="579"/>
      <c r="P309" s="580" t="str">
        <f>IF($D309="Logistics",VLOOKUP($O309,'Lower Hot Cell Logistics'!$C$4:$D$69,2,FALSE),"N/A")</f>
        <v>N/A</v>
      </c>
    </row>
    <row r="310" spans="2:16" x14ac:dyDescent="0.4">
      <c r="B310" s="3786"/>
      <c r="C310" s="572" t="s">
        <v>795</v>
      </c>
      <c r="D310" s="572" t="s">
        <v>3</v>
      </c>
      <c r="E310" s="574">
        <f t="shared" si="19"/>
        <v>0.58000000000000007</v>
      </c>
      <c r="F310" s="574">
        <f>IF($D310="Trigger",VLOOKUP($C310,'Lower Hot Cell Critical Path'!$C$6:$F$384,4,FALSE),E310+F309)</f>
        <v>494.25612688866528</v>
      </c>
      <c r="G310" s="575"/>
      <c r="H310" s="576" t="s">
        <v>263</v>
      </c>
      <c r="I310" s="1281"/>
      <c r="J310" s="572"/>
      <c r="K310" s="572"/>
      <c r="L310" s="853" t="str">
        <f>IFERROR(INDEX('Lower Hot Cell Logistics'!$I$13:$O$19,MATCH($J310,'Lower Hot Cell Logistics'!$H$13:$H$19,0),MATCH($K310,'Lower Hot Cell Logistics'!$H$13:$H$19,0)),"N/A")</f>
        <v>N/A</v>
      </c>
      <c r="M310" s="853" t="str">
        <f>IFERROR(VLOOKUP($I310,'Lower Hot Cell Logistics'!$H$4:$I$8,2,FALSE),"N/A")</f>
        <v>N/A</v>
      </c>
      <c r="N310" s="1180" t="str">
        <f t="shared" si="20"/>
        <v>N/A</v>
      </c>
      <c r="O310" s="579" t="s">
        <v>796</v>
      </c>
      <c r="P310" s="580">
        <f>IF($D310="Logistics",VLOOKUP($O310,'Lower Hot Cell Logistics'!$C$4:$D$69,2,FALSE),"N/A")</f>
        <v>0.58000000000000007</v>
      </c>
    </row>
    <row r="311" spans="2:16" x14ac:dyDescent="0.4">
      <c r="B311" s="3786"/>
      <c r="C311" s="572" t="s">
        <v>2235</v>
      </c>
      <c r="D311" s="572" t="s">
        <v>778</v>
      </c>
      <c r="E311" s="574">
        <f t="shared" si="19"/>
        <v>0.23148148148148148</v>
      </c>
      <c r="F311" s="574">
        <f>IF($D311="Trigger",VLOOKUP($C311,'Lower Hot Cell Critical Path'!$C$6:$F$384,4,FALSE),E311+F310)</f>
        <v>494.48760837014675</v>
      </c>
      <c r="G311" s="575"/>
      <c r="H311" s="576" t="s">
        <v>263</v>
      </c>
      <c r="I311" s="1281" t="s">
        <v>2142</v>
      </c>
      <c r="J311" s="572" t="s">
        <v>799</v>
      </c>
      <c r="K311" s="572" t="s">
        <v>901</v>
      </c>
      <c r="L311" s="853">
        <f>IFERROR(INDEX('Lower Hot Cell Logistics'!$I$13:$O$19,MATCH($J311,'Lower Hot Cell Logistics'!$H$13:$H$19,0),MATCH($K311,'Lower Hot Cell Logistics'!$H$13:$H$19,0)),"N/A")</f>
        <v>50</v>
      </c>
      <c r="M311" s="853">
        <f>IFERROR(VLOOKUP($I311,'Lower Hot Cell Logistics'!$H$4:$I$8,2,FALSE),"N/A")</f>
        <v>0.06</v>
      </c>
      <c r="N311" s="1180">
        <f t="shared" si="20"/>
        <v>0.23148148148148148</v>
      </c>
      <c r="O311" s="579"/>
      <c r="P311" s="580" t="str">
        <f>IF($D311="Logistics",VLOOKUP($O311,'Lower Hot Cell Logistics'!$C$4:$D$69,2,FALSE),"N/A")</f>
        <v>N/A</v>
      </c>
    </row>
    <row r="312" spans="2:16" x14ac:dyDescent="0.4">
      <c r="B312" s="3786"/>
      <c r="C312" s="572" t="s">
        <v>1800</v>
      </c>
      <c r="D312" s="572" t="s">
        <v>3</v>
      </c>
      <c r="E312" s="574">
        <f t="shared" si="19"/>
        <v>0.58000000000000007</v>
      </c>
      <c r="F312" s="574">
        <f>IF($D312="Trigger",VLOOKUP($C312,'Lower Hot Cell Critical Path'!$C$6:$F$384,4,FALSE),E312+F311)</f>
        <v>495.06760837014673</v>
      </c>
      <c r="G312" s="575"/>
      <c r="H312" s="576" t="s">
        <v>263</v>
      </c>
      <c r="I312" s="1281"/>
      <c r="J312" s="572"/>
      <c r="K312" s="572"/>
      <c r="L312" s="853" t="str">
        <f>IFERROR(INDEX('Lower Hot Cell Logistics'!$I$13:$O$19,MATCH($J312,'Lower Hot Cell Logistics'!$H$13:$H$19,0),MATCH($K312,'Lower Hot Cell Logistics'!$H$13:$H$19,0)),"N/A")</f>
        <v>N/A</v>
      </c>
      <c r="M312" s="853" t="str">
        <f>IFERROR(VLOOKUP($I312,'Lower Hot Cell Logistics'!$H$4:$I$8,2,FALSE),"N/A")</f>
        <v>N/A</v>
      </c>
      <c r="N312" s="1180" t="str">
        <f t="shared" si="20"/>
        <v>N/A</v>
      </c>
      <c r="O312" s="579" t="s">
        <v>796</v>
      </c>
      <c r="P312" s="580">
        <f>IF($D312="Logistics",VLOOKUP($O312,'Lower Hot Cell Logistics'!$C$4:$D$69,2,FALSE),"N/A")</f>
        <v>0.58000000000000007</v>
      </c>
    </row>
    <row r="313" spans="2:16" x14ac:dyDescent="0.4">
      <c r="B313" s="3786"/>
      <c r="C313" s="572" t="s">
        <v>2236</v>
      </c>
      <c r="D313" s="572" t="s">
        <v>778</v>
      </c>
      <c r="E313" s="574">
        <f t="shared" si="19"/>
        <v>0.41666666666666669</v>
      </c>
      <c r="F313" s="574">
        <f>IF($D313="Trigger",VLOOKUP($C313,'Lower Hot Cell Critical Path'!$C$6:$F$384,4,FALSE),E313+F312)</f>
        <v>495.48427503681341</v>
      </c>
      <c r="G313" s="575"/>
      <c r="H313" s="576" t="s">
        <v>263</v>
      </c>
      <c r="I313" s="1281" t="s">
        <v>2171</v>
      </c>
      <c r="J313" s="572" t="s">
        <v>901</v>
      </c>
      <c r="K313" s="572" t="s">
        <v>451</v>
      </c>
      <c r="L313" s="853">
        <f>IFERROR(INDEX('Lower Hot Cell Logistics'!$I$13:$O$19,MATCH($J313,'Lower Hot Cell Logistics'!$H$13:$H$19,0),MATCH($K313,'Lower Hot Cell Logistics'!$H$13:$H$19,0)),"N/A")</f>
        <v>30</v>
      </c>
      <c r="M313" s="853">
        <f>IFERROR(VLOOKUP($I313,'Lower Hot Cell Logistics'!$H$4:$I$8,2,FALSE),"N/A")</f>
        <v>0.02</v>
      </c>
      <c r="N313" s="1180">
        <f t="shared" si="20"/>
        <v>0.41666666666666669</v>
      </c>
      <c r="O313" s="579"/>
      <c r="P313" s="580" t="str">
        <f>IF($D313="Logistics",VLOOKUP($O313,'Lower Hot Cell Logistics'!$C$4:$D$69,2,FALSE),"N/A")</f>
        <v>N/A</v>
      </c>
    </row>
    <row r="314" spans="2:16" ht="26.6" thickBot="1" x14ac:dyDescent="0.45">
      <c r="B314" s="3788"/>
      <c r="C314" s="583" t="str">
        <f>B306</f>
        <v>Store Port Inspection system; Collect Bioshield plug handling system; collect bioshield plug; move to port</v>
      </c>
      <c r="D314" s="583" t="s">
        <v>11</v>
      </c>
      <c r="E314" s="585">
        <f t="shared" si="19"/>
        <v>0</v>
      </c>
      <c r="F314" s="585">
        <f>IF($D314="Trigger",VLOOKUP($C314,'Lower Hot Cell Critical Path'!$C$6:$F$384,4,FALSE),E314+F313)</f>
        <v>495.48427503681341</v>
      </c>
      <c r="G314" s="586"/>
      <c r="H314" s="587" t="s">
        <v>263</v>
      </c>
      <c r="I314" s="1720"/>
      <c r="J314" s="583"/>
      <c r="K314" s="583"/>
      <c r="L314" s="814" t="str">
        <f>IFERROR(INDEX('Lower Hot Cell Logistics'!$I$13:$O$19,MATCH($J314,'Lower Hot Cell Logistics'!$H$13:$H$19,0),MATCH($K314,'Lower Hot Cell Logistics'!$H$13:$H$19,0)),"N/A")</f>
        <v>N/A</v>
      </c>
      <c r="M314" s="814" t="str">
        <f>IFERROR(VLOOKUP($I314,'Lower Hot Cell Logistics'!$H$4:$I$8,2,FALSE),"N/A")</f>
        <v>N/A</v>
      </c>
      <c r="N314" s="1181" t="str">
        <f t="shared" si="20"/>
        <v>N/A</v>
      </c>
      <c r="O314" s="590"/>
      <c r="P314" s="591" t="str">
        <f>IF($D314="Logistics",VLOOKUP($O314,'Lower Hot Cell Logistics'!$C$4:$D$69,2,FALSE),"N/A")</f>
        <v>N/A</v>
      </c>
    </row>
  </sheetData>
  <autoFilter ref="B5:P314"/>
  <customSheetViews>
    <customSheetView guid="{9C0AA20B-B2A2-4A2C-B279-4A5988F4E71A}" showAutoFilter="1" state="hidden">
      <selection activeCell="Q20" sqref="Q20"/>
      <pageMargins left="0.7" right="0.7" top="0.75" bottom="0.75" header="0.3" footer="0.3"/>
      <pageSetup paperSize="9" orientation="portrait" verticalDpi="0" r:id="rId1"/>
      <autoFilter ref="B5:P5"/>
    </customSheetView>
  </customSheetViews>
  <mergeCells count="53">
    <mergeCell ref="B278:B284"/>
    <mergeCell ref="B285:B291"/>
    <mergeCell ref="B292:B298"/>
    <mergeCell ref="B299:B305"/>
    <mergeCell ref="B306:B314"/>
    <mergeCell ref="B271:B277"/>
    <mergeCell ref="B200:B204"/>
    <mergeCell ref="B205:B209"/>
    <mergeCell ref="B210:B214"/>
    <mergeCell ref="B215:B223"/>
    <mergeCell ref="B224:B232"/>
    <mergeCell ref="B233:B237"/>
    <mergeCell ref="B238:B244"/>
    <mergeCell ref="B245:B251"/>
    <mergeCell ref="B252:B256"/>
    <mergeCell ref="B257:B263"/>
    <mergeCell ref="B264:B270"/>
    <mergeCell ref="B195:B199"/>
    <mergeCell ref="B144:B148"/>
    <mergeCell ref="B149:B155"/>
    <mergeCell ref="B156:B159"/>
    <mergeCell ref="B160:B162"/>
    <mergeCell ref="B163:B165"/>
    <mergeCell ref="B166:B168"/>
    <mergeCell ref="B169:B171"/>
    <mergeCell ref="B172:B174"/>
    <mergeCell ref="B175:B180"/>
    <mergeCell ref="B181:B189"/>
    <mergeCell ref="B190:B194"/>
    <mergeCell ref="B139:B143"/>
    <mergeCell ref="B66:B70"/>
    <mergeCell ref="B71:B79"/>
    <mergeCell ref="B80:B88"/>
    <mergeCell ref="B89:B95"/>
    <mergeCell ref="B96:B104"/>
    <mergeCell ref="B105:B111"/>
    <mergeCell ref="B112:B118"/>
    <mergeCell ref="B119:B123"/>
    <mergeCell ref="B124:B128"/>
    <mergeCell ref="B129:B133"/>
    <mergeCell ref="B134:B138"/>
    <mergeCell ref="B59:B65"/>
    <mergeCell ref="G4:H4"/>
    <mergeCell ref="I4:N4"/>
    <mergeCell ref="O4:P4"/>
    <mergeCell ref="B6:B9"/>
    <mergeCell ref="B10:B16"/>
    <mergeCell ref="B17:B23"/>
    <mergeCell ref="B24:B30"/>
    <mergeCell ref="B31:B37"/>
    <mergeCell ref="B38:B44"/>
    <mergeCell ref="B45:B51"/>
    <mergeCell ref="B52:B58"/>
  </mergeCells>
  <conditionalFormatting sqref="I111:P111 E104:P104 I95:P95 I70:P70 I30:P30 E30:F30 I9:P9 G6:P7 E6:E7 F7 I109:K110 G109:G110 O109:O110 E8:F9 E67:P68 L90:N90 G91:H93 I91:J94 L91:P94 E90:F95 K93:K94 P107:P110 H107:H110 L106:N110 E106:F111 O107 G107 I106:K107 G69:P69 E69:F70 G127:P127 E128:F128 G122:P122 E122:F123 E175:P189 E215:P223 E238:P244">
    <cfRule type="cellIs" dxfId="2142" priority="1719" stopIfTrue="1" operator="equal">
      <formula>"Operation"</formula>
    </cfRule>
  </conditionalFormatting>
  <conditionalFormatting sqref="D1:D7 D89:D98 D9 D29:D30 D101:D111 D119:D128 D156:D189 D215:D223 D238:D244 D66:D70 D306:D1048576">
    <cfRule type="cellIs" dxfId="2141" priority="1718" stopIfTrue="1" operator="equal">
      <formula>"Total"</formula>
    </cfRule>
  </conditionalFormatting>
  <conditionalFormatting sqref="H104:P104 E30:F30 H6:P7 E6:E7 F7 I109:K110 O109:O110 E8:F9 E67:P68 H91:H93 L90:N90 L91:P94 E90:F94 P107:P110 H107:H110 L106:N110 E106:F110 O107 G107 I106:K107 H69:P69 E69:F70 H127:P127 E128:F128 H122:P122 E122:F123 E175:F189 H175:P189 E215:F223 H215:P223 H238:P244 E238:F244">
    <cfRule type="cellIs" dxfId="2140" priority="1716" stopIfTrue="1" operator="equal">
      <formula>"N/A"</formula>
    </cfRule>
  </conditionalFormatting>
  <conditionalFormatting sqref="D156 D159">
    <cfRule type="cellIs" dxfId="2139" priority="1715" stopIfTrue="1" operator="equal">
      <formula>"Total"</formula>
    </cfRule>
  </conditionalFormatting>
  <conditionalFormatting sqref="G9:H9">
    <cfRule type="cellIs" dxfId="2138" priority="1712" stopIfTrue="1" operator="equal">
      <formula>"Operation"</formula>
    </cfRule>
  </conditionalFormatting>
  <conditionalFormatting sqref="H9:P9">
    <cfRule type="cellIs" dxfId="2137" priority="1711" stopIfTrue="1" operator="equal">
      <formula>"N/A"</formula>
    </cfRule>
  </conditionalFormatting>
  <conditionalFormatting sqref="L96:N96 I96:J96 I102:J103 L102:N103">
    <cfRule type="cellIs" dxfId="2136" priority="1709" stopIfTrue="1" operator="equal">
      <formula>"Operation"</formula>
    </cfRule>
  </conditionalFormatting>
  <conditionalFormatting sqref="K96 K102:K103">
    <cfRule type="cellIs" dxfId="2135" priority="1708" stopIfTrue="1" operator="equal">
      <formula>"Operation"</formula>
    </cfRule>
  </conditionalFormatting>
  <conditionalFormatting sqref="G96:H96 G102:H103">
    <cfRule type="cellIs" dxfId="2134" priority="1707" stopIfTrue="1" operator="equal">
      <formula>"Operation"</formula>
    </cfRule>
  </conditionalFormatting>
  <conditionalFormatting sqref="H96:P96 H102:P103">
    <cfRule type="cellIs" dxfId="2133" priority="1705" stopIfTrue="1" operator="equal">
      <formula>"N/A"</formula>
    </cfRule>
  </conditionalFormatting>
  <conditionalFormatting sqref="O96:P96 O102:P103">
    <cfRule type="cellIs" dxfId="2132" priority="1710" stopIfTrue="1" operator="equal">
      <formula>"Operation"</formula>
    </cfRule>
  </conditionalFormatting>
  <conditionalFormatting sqref="D96 D102:D103">
    <cfRule type="cellIs" dxfId="2131" priority="1706" stopIfTrue="1" operator="equal">
      <formula>"Total"</formula>
    </cfRule>
  </conditionalFormatting>
  <conditionalFormatting sqref="E96">
    <cfRule type="cellIs" dxfId="2130" priority="1703" stopIfTrue="1" operator="equal">
      <formula>"Operation"</formula>
    </cfRule>
  </conditionalFormatting>
  <conditionalFormatting sqref="J90">
    <cfRule type="cellIs" dxfId="2129" priority="1686" stopIfTrue="1" operator="equal">
      <formula>"Operation"</formula>
    </cfRule>
  </conditionalFormatting>
  <conditionalFormatting sqref="G90:H90">
    <cfRule type="cellIs" dxfId="2128" priority="1690" stopIfTrue="1" operator="equal">
      <formula>"Operation"</formula>
    </cfRule>
  </conditionalFormatting>
  <conditionalFormatting sqref="O90:P90">
    <cfRule type="cellIs" dxfId="2127" priority="1688" stopIfTrue="1" operator="equal">
      <formula>"Operation"</formula>
    </cfRule>
  </conditionalFormatting>
  <conditionalFormatting sqref="K90">
    <cfRule type="cellIs" dxfId="2126" priority="1685" stopIfTrue="1" operator="equal">
      <formula>"Operation"</formula>
    </cfRule>
  </conditionalFormatting>
  <conditionalFormatting sqref="E104">
    <cfRule type="cellIs" dxfId="2125" priority="1704" stopIfTrue="1" operator="equal">
      <formula>"N/A"</formula>
    </cfRule>
  </conditionalFormatting>
  <conditionalFormatting sqref="E96">
    <cfRule type="cellIs" dxfId="2124" priority="1702" stopIfTrue="1" operator="equal">
      <formula>"N/A"</formula>
    </cfRule>
  </conditionalFormatting>
  <conditionalFormatting sqref="E89">
    <cfRule type="cellIs" dxfId="2123" priority="1692" stopIfTrue="1" operator="equal">
      <formula>"Operation"</formula>
    </cfRule>
  </conditionalFormatting>
  <conditionalFormatting sqref="E89">
    <cfRule type="cellIs" dxfId="2122" priority="1691" stopIfTrue="1" operator="equal">
      <formula>"N/A"</formula>
    </cfRule>
  </conditionalFormatting>
  <conditionalFormatting sqref="G90:H90">
    <cfRule type="cellIs" dxfId="2121" priority="1689" stopIfTrue="1" operator="equal">
      <formula>"N/A"</formula>
    </cfRule>
  </conditionalFormatting>
  <conditionalFormatting sqref="O90:P90">
    <cfRule type="cellIs" dxfId="2120" priority="1687" stopIfTrue="1" operator="equal">
      <formula>"N/A"</formula>
    </cfRule>
  </conditionalFormatting>
  <conditionalFormatting sqref="J90:K90">
    <cfRule type="cellIs" dxfId="2119" priority="1684" stopIfTrue="1" operator="equal">
      <formula>"N/A"</formula>
    </cfRule>
  </conditionalFormatting>
  <conditionalFormatting sqref="D90">
    <cfRule type="cellIs" dxfId="2118" priority="1683" stopIfTrue="1" operator="equal">
      <formula>"Total"</formula>
    </cfRule>
  </conditionalFormatting>
  <conditionalFormatting sqref="G95:H95 P156:P159">
    <cfRule type="cellIs" dxfId="2117" priority="1701" stopIfTrue="1" operator="equal">
      <formula>"Operation"</formula>
    </cfRule>
  </conditionalFormatting>
  <conditionalFormatting sqref="H95:P95 P156:P159">
    <cfRule type="cellIs" dxfId="2116" priority="1700" stopIfTrue="1" operator="equal">
      <formula>"N/A"</formula>
    </cfRule>
  </conditionalFormatting>
  <conditionalFormatting sqref="E95">
    <cfRule type="cellIs" dxfId="2115" priority="1693" stopIfTrue="1" operator="equal">
      <formula>"N/A"</formula>
    </cfRule>
  </conditionalFormatting>
  <conditionalFormatting sqref="L89:N89 I89:J89">
    <cfRule type="cellIs" dxfId="2114" priority="1698" stopIfTrue="1" operator="equal">
      <formula>"Operation"</formula>
    </cfRule>
  </conditionalFormatting>
  <conditionalFormatting sqref="K89 K91">
    <cfRule type="cellIs" dxfId="2113" priority="1697" stopIfTrue="1" operator="equal">
      <formula>"Operation"</formula>
    </cfRule>
  </conditionalFormatting>
  <conditionalFormatting sqref="G89:H89 G94:H94">
    <cfRule type="cellIs" dxfId="2112" priority="1696" stopIfTrue="1" operator="equal">
      <formula>"Operation"</formula>
    </cfRule>
  </conditionalFormatting>
  <conditionalFormatting sqref="H89:P89 I91:K91 H94:K94 I92:J92 I93:K93">
    <cfRule type="cellIs" dxfId="2111" priority="1694" stopIfTrue="1" operator="equal">
      <formula>"N/A"</formula>
    </cfRule>
  </conditionalFormatting>
  <conditionalFormatting sqref="O89:P89">
    <cfRule type="cellIs" dxfId="2110" priority="1699" stopIfTrue="1" operator="equal">
      <formula>"Operation"</formula>
    </cfRule>
  </conditionalFormatting>
  <conditionalFormatting sqref="D89">
    <cfRule type="cellIs" dxfId="2109" priority="1695" stopIfTrue="1" operator="equal">
      <formula>"Total"</formula>
    </cfRule>
  </conditionalFormatting>
  <conditionalFormatting sqref="K306:K314">
    <cfRule type="cellIs" dxfId="2108" priority="1658" stopIfTrue="1" operator="equal">
      <formula>"Operation"</formula>
    </cfRule>
  </conditionalFormatting>
  <conditionalFormatting sqref="K215:K218">
    <cfRule type="cellIs" dxfId="2107" priority="1619" stopIfTrue="1" operator="equal">
      <formula>"Operation"</formula>
    </cfRule>
  </conditionalFormatting>
  <conditionalFormatting sqref="O97:P98">
    <cfRule type="cellIs" dxfId="2106" priority="1679" stopIfTrue="1" operator="equal">
      <formula>"Operation"</formula>
    </cfRule>
  </conditionalFormatting>
  <conditionalFormatting sqref="O97:P98">
    <cfRule type="cellIs" dxfId="2105" priority="1678" stopIfTrue="1" operator="equal">
      <formula>"N/A"</formula>
    </cfRule>
  </conditionalFormatting>
  <conditionalFormatting sqref="K101">
    <cfRule type="cellIs" dxfId="2104" priority="1665" stopIfTrue="1" operator="equal">
      <formula>"Operation"</formula>
    </cfRule>
  </conditionalFormatting>
  <conditionalFormatting sqref="I101 K101">
    <cfRule type="cellIs" dxfId="2103" priority="1664" stopIfTrue="1" operator="equal">
      <formula>"N/A"</formula>
    </cfRule>
  </conditionalFormatting>
  <conditionalFormatting sqref="M101:N101">
    <cfRule type="cellIs" dxfId="2102" priority="1671" stopIfTrue="1" operator="equal">
      <formula>"Operation"</formula>
    </cfRule>
  </conditionalFormatting>
  <conditionalFormatting sqref="G97:H98 L97:L98">
    <cfRule type="cellIs" dxfId="2101" priority="1681" stopIfTrue="1" operator="equal">
      <formula>"Operation"</formula>
    </cfRule>
  </conditionalFormatting>
  <conditionalFormatting sqref="G97:H98 L97:N98">
    <cfRule type="cellIs" dxfId="2100" priority="1680" stopIfTrue="1" operator="equal">
      <formula>"N/A"</formula>
    </cfRule>
  </conditionalFormatting>
  <conditionalFormatting sqref="M97:N98">
    <cfRule type="cellIs" dxfId="2099" priority="1682" stopIfTrue="1" operator="equal">
      <formula>"Operation"</formula>
    </cfRule>
  </conditionalFormatting>
  <conditionalFormatting sqref="I97:J98">
    <cfRule type="cellIs" dxfId="2098" priority="1677" stopIfTrue="1" operator="equal">
      <formula>"Operation"</formula>
    </cfRule>
  </conditionalFormatting>
  <conditionalFormatting sqref="K97:K98">
    <cfRule type="cellIs" dxfId="2097" priority="1676" stopIfTrue="1" operator="equal">
      <formula>"Operation"</formula>
    </cfRule>
  </conditionalFormatting>
  <conditionalFormatting sqref="I97:K98">
    <cfRule type="cellIs" dxfId="2096" priority="1675" stopIfTrue="1" operator="equal">
      <formula>"N/A"</formula>
    </cfRule>
  </conditionalFormatting>
  <conditionalFormatting sqref="D97:D98">
    <cfRule type="cellIs" dxfId="2095" priority="1674" stopIfTrue="1" operator="equal">
      <formula>"Total"</formula>
    </cfRule>
  </conditionalFormatting>
  <conditionalFormatting sqref="E97:E103">
    <cfRule type="cellIs" dxfId="2094" priority="1673" stopIfTrue="1" operator="equal">
      <formula>"Operation"</formula>
    </cfRule>
  </conditionalFormatting>
  <conditionalFormatting sqref="E97:E103">
    <cfRule type="cellIs" dxfId="2093" priority="1672" stopIfTrue="1" operator="equal">
      <formula>"N/A"</formula>
    </cfRule>
  </conditionalFormatting>
  <conditionalFormatting sqref="G101:H101 L101">
    <cfRule type="cellIs" dxfId="2092" priority="1670" stopIfTrue="1" operator="equal">
      <formula>"Operation"</formula>
    </cfRule>
  </conditionalFormatting>
  <conditionalFormatting sqref="G101:H101 L101:N101">
    <cfRule type="cellIs" dxfId="2091" priority="1669" stopIfTrue="1" operator="equal">
      <formula>"N/A"</formula>
    </cfRule>
  </conditionalFormatting>
  <conditionalFormatting sqref="O101:P101">
    <cfRule type="cellIs" dxfId="2090" priority="1667" stopIfTrue="1" operator="equal">
      <formula>"N/A"</formula>
    </cfRule>
  </conditionalFormatting>
  <conditionalFormatting sqref="O101:P101">
    <cfRule type="cellIs" dxfId="2089" priority="1668" stopIfTrue="1" operator="equal">
      <formula>"Operation"</formula>
    </cfRule>
  </conditionalFormatting>
  <conditionalFormatting sqref="I101">
    <cfRule type="cellIs" dxfId="2088" priority="1666" stopIfTrue="1" operator="equal">
      <formula>"Operation"</formula>
    </cfRule>
  </conditionalFormatting>
  <conditionalFormatting sqref="D101">
    <cfRule type="cellIs" dxfId="2087" priority="1663" stopIfTrue="1" operator="equal">
      <formula>"Total"</formula>
    </cfRule>
  </conditionalFormatting>
  <conditionalFormatting sqref="I184:J184">
    <cfRule type="cellIs" dxfId="2086" priority="1644" stopIfTrue="1" operator="equal">
      <formula>"Operation"</formula>
    </cfRule>
  </conditionalFormatting>
  <conditionalFormatting sqref="G184:H184 H182:H183 H185:H189">
    <cfRule type="cellIs" dxfId="2085" priority="1648" stopIfTrue="1" operator="equal">
      <formula>"Operation"</formula>
    </cfRule>
  </conditionalFormatting>
  <conditionalFormatting sqref="O184:P184">
    <cfRule type="cellIs" dxfId="2084" priority="1646" stopIfTrue="1" operator="equal">
      <formula>"Operation"</formula>
    </cfRule>
  </conditionalFormatting>
  <conditionalFormatting sqref="K184">
    <cfRule type="cellIs" dxfId="2083" priority="1643" stopIfTrue="1" operator="equal">
      <formula>"Operation"</formula>
    </cfRule>
  </conditionalFormatting>
  <conditionalFormatting sqref="E306:E314">
    <cfRule type="cellIs" dxfId="2082" priority="1651" stopIfTrue="1" operator="equal">
      <formula>"Operation"</formula>
    </cfRule>
  </conditionalFormatting>
  <conditionalFormatting sqref="E306:E314">
    <cfRule type="cellIs" dxfId="2081" priority="1650" stopIfTrue="1" operator="equal">
      <formula>"N/A"</formula>
    </cfRule>
  </conditionalFormatting>
  <conditionalFormatting sqref="G184:H184 H182:H183 H185:H189">
    <cfRule type="cellIs" dxfId="2080" priority="1647" stopIfTrue="1" operator="equal">
      <formula>"N/A"</formula>
    </cfRule>
  </conditionalFormatting>
  <conditionalFormatting sqref="O184:P184">
    <cfRule type="cellIs" dxfId="2079" priority="1645" stopIfTrue="1" operator="equal">
      <formula>"N/A"</formula>
    </cfRule>
  </conditionalFormatting>
  <conditionalFormatting sqref="I184:K184">
    <cfRule type="cellIs" dxfId="2078" priority="1642" stopIfTrue="1" operator="equal">
      <formula>"N/A"</formula>
    </cfRule>
  </conditionalFormatting>
  <conditionalFormatting sqref="D184">
    <cfRule type="cellIs" dxfId="2077" priority="1641" stopIfTrue="1" operator="equal">
      <formula>"Total"</formula>
    </cfRule>
  </conditionalFormatting>
  <conditionalFormatting sqref="G189:H189">
    <cfRule type="cellIs" dxfId="2076" priority="1662" stopIfTrue="1" operator="equal">
      <formula>"Operation"</formula>
    </cfRule>
  </conditionalFormatting>
  <conditionalFormatting sqref="H189:P189">
    <cfRule type="cellIs" dxfId="2075" priority="1661" stopIfTrue="1" operator="equal">
      <formula>"N/A"</formula>
    </cfRule>
  </conditionalFormatting>
  <conditionalFormatting sqref="E189">
    <cfRule type="cellIs" dxfId="2074" priority="1652" stopIfTrue="1" operator="equal">
      <formula>"N/A"</formula>
    </cfRule>
  </conditionalFormatting>
  <conditionalFormatting sqref="L306:N314 I306:J314">
    <cfRule type="cellIs" dxfId="2073" priority="1659" stopIfTrue="1" operator="equal">
      <formula>"Operation"</formula>
    </cfRule>
  </conditionalFormatting>
  <conditionalFormatting sqref="G306:H314">
    <cfRule type="cellIs" dxfId="2072" priority="1657" stopIfTrue="1" operator="equal">
      <formula>"Operation"</formula>
    </cfRule>
  </conditionalFormatting>
  <conditionalFormatting sqref="H306:P314">
    <cfRule type="cellIs" dxfId="2071" priority="1654" stopIfTrue="1" operator="equal">
      <formula>"N/A"</formula>
    </cfRule>
  </conditionalFormatting>
  <conditionalFormatting sqref="O306:P314">
    <cfRule type="cellIs" dxfId="2070" priority="1660" stopIfTrue="1" operator="equal">
      <formula>"Operation"</formula>
    </cfRule>
  </conditionalFormatting>
  <conditionalFormatting sqref="D306:D314">
    <cfRule type="cellIs" dxfId="2069" priority="1656" stopIfTrue="1" operator="equal">
      <formula>"Total"</formula>
    </cfRule>
  </conditionalFormatting>
  <conditionalFormatting sqref="I215:J218">
    <cfRule type="cellIs" dxfId="2068" priority="1620" stopIfTrue="1" operator="equal">
      <formula>"Operation"</formula>
    </cfRule>
  </conditionalFormatting>
  <conditionalFormatting sqref="M215:N222">
    <cfRule type="cellIs" dxfId="2067" priority="1625" stopIfTrue="1" operator="equal">
      <formula>"Operation"</formula>
    </cfRule>
  </conditionalFormatting>
  <conditionalFormatting sqref="G215:H218 L215:L222 H219:H223">
    <cfRule type="cellIs" dxfId="2066" priority="1624" stopIfTrue="1" operator="equal">
      <formula>"Operation"</formula>
    </cfRule>
  </conditionalFormatting>
  <conditionalFormatting sqref="O215:P218 P219:P222">
    <cfRule type="cellIs" dxfId="2065" priority="1622" stopIfTrue="1" operator="equal">
      <formula>"Operation"</formula>
    </cfRule>
  </conditionalFormatting>
  <conditionalFormatting sqref="E215:E218">
    <cfRule type="cellIs" dxfId="2064" priority="1615" stopIfTrue="1" operator="equal">
      <formula>"Operation"</formula>
    </cfRule>
  </conditionalFormatting>
  <conditionalFormatting sqref="E215:E217 E219:E223">
    <cfRule type="cellIs" dxfId="2063" priority="1628" stopIfTrue="1" operator="equal">
      <formula>"Operation"</formula>
    </cfRule>
  </conditionalFormatting>
  <conditionalFormatting sqref="E215:E217 E219:E223">
    <cfRule type="cellIs" dxfId="2062" priority="1627" stopIfTrue="1" operator="equal">
      <formula>"N/A"</formula>
    </cfRule>
  </conditionalFormatting>
  <conditionalFormatting sqref="G215:H218 L215:N222 H219:H223">
    <cfRule type="cellIs" dxfId="2061" priority="1623" stopIfTrue="1" operator="equal">
      <formula>"N/A"</formula>
    </cfRule>
  </conditionalFormatting>
  <conditionalFormatting sqref="O215:P218 P219:P222">
    <cfRule type="cellIs" dxfId="2060" priority="1621" stopIfTrue="1" operator="equal">
      <formula>"N/A"</formula>
    </cfRule>
  </conditionalFormatting>
  <conditionalFormatting sqref="I215:K218">
    <cfRule type="cellIs" dxfId="2059" priority="1618" stopIfTrue="1" operator="equal">
      <formula>"N/A"</formula>
    </cfRule>
  </conditionalFormatting>
  <conditionalFormatting sqref="D218">
    <cfRule type="cellIs" dxfId="2058" priority="1617" stopIfTrue="1" operator="equal">
      <formula>"Total"</formula>
    </cfRule>
  </conditionalFormatting>
  <conditionalFormatting sqref="E215:E218">
    <cfRule type="cellIs" dxfId="2057" priority="1614" stopIfTrue="1" operator="equal">
      <formula>"N/A"</formula>
    </cfRule>
  </conditionalFormatting>
  <conditionalFormatting sqref="G223:H223">
    <cfRule type="cellIs" dxfId="2056" priority="1639" stopIfTrue="1" operator="equal">
      <formula>"Operation"</formula>
    </cfRule>
  </conditionalFormatting>
  <conditionalFormatting sqref="H223:P223">
    <cfRule type="cellIs" dxfId="2055" priority="1638" stopIfTrue="1" operator="equal">
      <formula>"N/A"</formula>
    </cfRule>
  </conditionalFormatting>
  <conditionalFormatting sqref="E223">
    <cfRule type="cellIs" dxfId="2054" priority="1629" stopIfTrue="1" operator="equal">
      <formula>"N/A"</formula>
    </cfRule>
  </conditionalFormatting>
  <conditionalFormatting sqref="I215:J217 I219:J222 L215:N222">
    <cfRule type="cellIs" dxfId="2053" priority="1636" stopIfTrue="1" operator="equal">
      <formula>"Operation"</formula>
    </cfRule>
  </conditionalFormatting>
  <conditionalFormatting sqref="K215:K217 K219:K222">
    <cfRule type="cellIs" dxfId="2052" priority="1635" stopIfTrue="1" operator="equal">
      <formula>"Operation"</formula>
    </cfRule>
  </conditionalFormatting>
  <conditionalFormatting sqref="G215:H217 G219:H223">
    <cfRule type="cellIs" dxfId="2051" priority="1634" stopIfTrue="1" operator="equal">
      <formula>"Operation"</formula>
    </cfRule>
  </conditionalFormatting>
  <conditionalFormatting sqref="H215:P217 L218:N222 H219:K222 P218:P222 O219:O222 H223">
    <cfRule type="cellIs" dxfId="2050" priority="1631" stopIfTrue="1" operator="equal">
      <formula>"N/A"</formula>
    </cfRule>
  </conditionalFormatting>
  <conditionalFormatting sqref="O215:P217 P218:P222 O219:O222">
    <cfRule type="cellIs" dxfId="2049" priority="1637" stopIfTrue="1" operator="equal">
      <formula>"Operation"</formula>
    </cfRule>
  </conditionalFormatting>
  <conditionalFormatting sqref="D215:D217 D219:D222">
    <cfRule type="cellIs" dxfId="2048" priority="1633" stopIfTrue="1" operator="equal">
      <formula>"Total"</formula>
    </cfRule>
  </conditionalFormatting>
  <conditionalFormatting sqref="I240:J241">
    <cfRule type="cellIs" dxfId="2047" priority="1598" stopIfTrue="1" operator="equal">
      <formula>"Operation"</formula>
    </cfRule>
  </conditionalFormatting>
  <conditionalFormatting sqref="G240:H241">
    <cfRule type="cellIs" dxfId="2046" priority="1602" stopIfTrue="1" operator="equal">
      <formula>"Operation"</formula>
    </cfRule>
  </conditionalFormatting>
  <conditionalFormatting sqref="O240:P241">
    <cfRule type="cellIs" dxfId="2045" priority="1600" stopIfTrue="1" operator="equal">
      <formula>"Operation"</formula>
    </cfRule>
  </conditionalFormatting>
  <conditionalFormatting sqref="K240:K241">
    <cfRule type="cellIs" dxfId="2044" priority="1597" stopIfTrue="1" operator="equal">
      <formula>"Operation"</formula>
    </cfRule>
  </conditionalFormatting>
  <conditionalFormatting sqref="E240:E241">
    <cfRule type="cellIs" dxfId="2043" priority="1593" stopIfTrue="1" operator="equal">
      <formula>"Operation"</formula>
    </cfRule>
  </conditionalFormatting>
  <conditionalFormatting sqref="E238">
    <cfRule type="cellIs" dxfId="2042" priority="1604" stopIfTrue="1" operator="equal">
      <formula>"Operation"</formula>
    </cfRule>
  </conditionalFormatting>
  <conditionalFormatting sqref="E238">
    <cfRule type="cellIs" dxfId="2041" priority="1603" stopIfTrue="1" operator="equal">
      <formula>"N/A"</formula>
    </cfRule>
  </conditionalFormatting>
  <conditionalFormatting sqref="G240:H241">
    <cfRule type="cellIs" dxfId="2040" priority="1601" stopIfTrue="1" operator="equal">
      <formula>"N/A"</formula>
    </cfRule>
  </conditionalFormatting>
  <conditionalFormatting sqref="O240:P241">
    <cfRule type="cellIs" dxfId="2039" priority="1599" stopIfTrue="1" operator="equal">
      <formula>"N/A"</formula>
    </cfRule>
  </conditionalFormatting>
  <conditionalFormatting sqref="I240:K241">
    <cfRule type="cellIs" dxfId="2038" priority="1596" stopIfTrue="1" operator="equal">
      <formula>"N/A"</formula>
    </cfRule>
  </conditionalFormatting>
  <conditionalFormatting sqref="D240:D241">
    <cfRule type="cellIs" dxfId="2037" priority="1595" stopIfTrue="1" operator="equal">
      <formula>"Total"</formula>
    </cfRule>
  </conditionalFormatting>
  <conditionalFormatting sqref="E240:E241">
    <cfRule type="cellIs" dxfId="2036" priority="1592" stopIfTrue="1" operator="equal">
      <formula>"N/A"</formula>
    </cfRule>
  </conditionalFormatting>
  <conditionalFormatting sqref="G244:H244">
    <cfRule type="cellIs" dxfId="2035" priority="1613" stopIfTrue="1" operator="equal">
      <formula>"Operation"</formula>
    </cfRule>
  </conditionalFormatting>
  <conditionalFormatting sqref="H244:P244">
    <cfRule type="cellIs" dxfId="2034" priority="1612" stopIfTrue="1" operator="equal">
      <formula>"N/A"</formula>
    </cfRule>
  </conditionalFormatting>
  <conditionalFormatting sqref="E244">
    <cfRule type="cellIs" dxfId="2033" priority="1605" stopIfTrue="1" operator="equal">
      <formula>"N/A"</formula>
    </cfRule>
  </conditionalFormatting>
  <conditionalFormatting sqref="L238:N238 I238:J238">
    <cfRule type="cellIs" dxfId="2032" priority="1610" stopIfTrue="1" operator="equal">
      <formula>"Operation"</formula>
    </cfRule>
  </conditionalFormatting>
  <conditionalFormatting sqref="K238">
    <cfRule type="cellIs" dxfId="2031" priority="1609" stopIfTrue="1" operator="equal">
      <formula>"Operation"</formula>
    </cfRule>
  </conditionalFormatting>
  <conditionalFormatting sqref="G238:H238">
    <cfRule type="cellIs" dxfId="2030" priority="1608" stopIfTrue="1" operator="equal">
      <formula>"Operation"</formula>
    </cfRule>
  </conditionalFormatting>
  <conditionalFormatting sqref="H238:P238">
    <cfRule type="cellIs" dxfId="2029" priority="1606" stopIfTrue="1" operator="equal">
      <formula>"N/A"</formula>
    </cfRule>
  </conditionalFormatting>
  <conditionalFormatting sqref="O238:P238">
    <cfRule type="cellIs" dxfId="2028" priority="1611" stopIfTrue="1" operator="equal">
      <formula>"Operation"</formula>
    </cfRule>
  </conditionalFormatting>
  <conditionalFormatting sqref="D238">
    <cfRule type="cellIs" dxfId="2027" priority="1607" stopIfTrue="1" operator="equal">
      <formula>"Total"</formula>
    </cfRule>
  </conditionalFormatting>
  <conditionalFormatting sqref="K239">
    <cfRule type="cellIs" dxfId="2026" priority="1584" stopIfTrue="1" operator="equal">
      <formula>"Operation"</formula>
    </cfRule>
  </conditionalFormatting>
  <conditionalFormatting sqref="I239:K239">
    <cfRule type="cellIs" dxfId="2025" priority="1583" stopIfTrue="1" operator="equal">
      <formula>"N/A"</formula>
    </cfRule>
  </conditionalFormatting>
  <conditionalFormatting sqref="M239:N239">
    <cfRule type="cellIs" dxfId="2024" priority="1590" stopIfTrue="1" operator="equal">
      <formula>"Operation"</formula>
    </cfRule>
  </conditionalFormatting>
  <conditionalFormatting sqref="G239:H239 L239">
    <cfRule type="cellIs" dxfId="2023" priority="1589" stopIfTrue="1" operator="equal">
      <formula>"Operation"</formula>
    </cfRule>
  </conditionalFormatting>
  <conditionalFormatting sqref="G239:H239 L239:N239">
    <cfRule type="cellIs" dxfId="2022" priority="1588" stopIfTrue="1" operator="equal">
      <formula>"N/A"</formula>
    </cfRule>
  </conditionalFormatting>
  <conditionalFormatting sqref="O239:P239">
    <cfRule type="cellIs" dxfId="2021" priority="1586" stopIfTrue="1" operator="equal">
      <formula>"N/A"</formula>
    </cfRule>
  </conditionalFormatting>
  <conditionalFormatting sqref="O239:P239">
    <cfRule type="cellIs" dxfId="2020" priority="1587" stopIfTrue="1" operator="equal">
      <formula>"Operation"</formula>
    </cfRule>
  </conditionalFormatting>
  <conditionalFormatting sqref="I239:J239">
    <cfRule type="cellIs" dxfId="2019" priority="1585" stopIfTrue="1" operator="equal">
      <formula>"Operation"</formula>
    </cfRule>
  </conditionalFormatting>
  <conditionalFormatting sqref="D239">
    <cfRule type="cellIs" dxfId="2018" priority="1582" stopIfTrue="1" operator="equal">
      <formula>"Total"</formula>
    </cfRule>
  </conditionalFormatting>
  <conditionalFormatting sqref="E239">
    <cfRule type="cellIs" dxfId="2017" priority="1580" stopIfTrue="1" operator="equal">
      <formula>"Operation"</formula>
    </cfRule>
  </conditionalFormatting>
  <conditionalFormatting sqref="E239">
    <cfRule type="cellIs" dxfId="2016" priority="1579" stopIfTrue="1" operator="equal">
      <formula>"N/A"</formula>
    </cfRule>
  </conditionalFormatting>
  <conditionalFormatting sqref="G180:H180">
    <cfRule type="cellIs" dxfId="2015" priority="1578" stopIfTrue="1" operator="equal">
      <formula>"Operation"</formula>
    </cfRule>
  </conditionalFormatting>
  <conditionalFormatting sqref="H180:P180">
    <cfRule type="cellIs" dxfId="2014" priority="1577" stopIfTrue="1" operator="equal">
      <formula>"N/A"</formula>
    </cfRule>
  </conditionalFormatting>
  <conditionalFormatting sqref="E180">
    <cfRule type="cellIs" dxfId="2013" priority="1576" stopIfTrue="1" operator="equal">
      <formula>"N/A"</formula>
    </cfRule>
  </conditionalFormatting>
  <conditionalFormatting sqref="H314:P314">
    <cfRule type="cellIs" dxfId="2012" priority="1522" stopIfTrue="1" operator="equal">
      <formula>"N/A"</formula>
    </cfRule>
  </conditionalFormatting>
  <conditionalFormatting sqref="E314">
    <cfRule type="cellIs" dxfId="2011" priority="1521" stopIfTrue="1" operator="equal">
      <formula>"Operation"</formula>
    </cfRule>
  </conditionalFormatting>
  <conditionalFormatting sqref="I312:J313">
    <cfRule type="cellIs" dxfId="2010" priority="1534" stopIfTrue="1" operator="equal">
      <formula>"Operation"</formula>
    </cfRule>
  </conditionalFormatting>
  <conditionalFormatting sqref="K312:K313">
    <cfRule type="cellIs" dxfId="2009" priority="1533" stopIfTrue="1" operator="equal">
      <formula>"Operation"</formula>
    </cfRule>
  </conditionalFormatting>
  <conditionalFormatting sqref="G312:H313">
    <cfRule type="cellIs" dxfId="2008" priority="1532" stopIfTrue="1" operator="equal">
      <formula>"Operation"</formula>
    </cfRule>
  </conditionalFormatting>
  <conditionalFormatting sqref="G306:H306">
    <cfRule type="cellIs" dxfId="2007" priority="1575" stopIfTrue="1" operator="equal">
      <formula>"Operation"</formula>
    </cfRule>
  </conditionalFormatting>
  <conditionalFormatting sqref="D306">
    <cfRule type="cellIs" dxfId="2006" priority="1574" stopIfTrue="1" operator="equal">
      <formula>"Total"</formula>
    </cfRule>
  </conditionalFormatting>
  <conditionalFormatting sqref="H306:P306">
    <cfRule type="cellIs" dxfId="2005" priority="1572" stopIfTrue="1" operator="equal">
      <formula>"N/A"</formula>
    </cfRule>
  </conditionalFormatting>
  <conditionalFormatting sqref="E312:E313">
    <cfRule type="cellIs" dxfId="2004" priority="1527" stopIfTrue="1" operator="equal">
      <formula>"Operation"</formula>
    </cfRule>
  </conditionalFormatting>
  <conditionalFormatting sqref="E306">
    <cfRule type="cellIs" dxfId="2003" priority="1571" stopIfTrue="1" operator="equal">
      <formula>"N/A"</formula>
    </cfRule>
  </conditionalFormatting>
  <conditionalFormatting sqref="E307:E308">
    <cfRule type="cellIs" dxfId="2002" priority="1550" stopIfTrue="1" operator="equal">
      <formula>"Operation"</formula>
    </cfRule>
  </conditionalFormatting>
  <conditionalFormatting sqref="E307:E308">
    <cfRule type="cellIs" dxfId="2001" priority="1549" stopIfTrue="1" operator="equal">
      <formula>"N/A"</formula>
    </cfRule>
  </conditionalFormatting>
  <conditionalFormatting sqref="I310:J311 L310:N313">
    <cfRule type="cellIs" dxfId="2000" priority="1569" stopIfTrue="1" operator="equal">
      <formula>"Operation"</formula>
    </cfRule>
  </conditionalFormatting>
  <conditionalFormatting sqref="K310:K311">
    <cfRule type="cellIs" dxfId="1999" priority="1568" stopIfTrue="1" operator="equal">
      <formula>"Operation"</formula>
    </cfRule>
  </conditionalFormatting>
  <conditionalFormatting sqref="G310:H311">
    <cfRule type="cellIs" dxfId="1998" priority="1567" stopIfTrue="1" operator="equal">
      <formula>"Operation"</formula>
    </cfRule>
  </conditionalFormatting>
  <conditionalFormatting sqref="H310:P311 L312:N313">
    <cfRule type="cellIs" dxfId="1997" priority="1564" stopIfTrue="1" operator="equal">
      <formula>"N/A"</formula>
    </cfRule>
  </conditionalFormatting>
  <conditionalFormatting sqref="O310:P311">
    <cfRule type="cellIs" dxfId="1996" priority="1570" stopIfTrue="1" operator="equal">
      <formula>"Operation"</formula>
    </cfRule>
  </conditionalFormatting>
  <conditionalFormatting sqref="D310:D311">
    <cfRule type="cellIs" dxfId="1995" priority="1566" stopIfTrue="1" operator="equal">
      <formula>"Total"</formula>
    </cfRule>
  </conditionalFormatting>
  <conditionalFormatting sqref="E310:E311">
    <cfRule type="cellIs" dxfId="1994" priority="1562" stopIfTrue="1" operator="equal">
      <formula>"Operation"</formula>
    </cfRule>
  </conditionalFormatting>
  <conditionalFormatting sqref="E310:E311">
    <cfRule type="cellIs" dxfId="1993" priority="1561" stopIfTrue="1" operator="equal">
      <formula>"N/A"</formula>
    </cfRule>
  </conditionalFormatting>
  <conditionalFormatting sqref="O307:P308">
    <cfRule type="cellIs" dxfId="1992" priority="1556" stopIfTrue="1" operator="equal">
      <formula>"Operation"</formula>
    </cfRule>
  </conditionalFormatting>
  <conditionalFormatting sqref="O307:P308">
    <cfRule type="cellIs" dxfId="1991" priority="1555" stopIfTrue="1" operator="equal">
      <formula>"N/A"</formula>
    </cfRule>
  </conditionalFormatting>
  <conditionalFormatting sqref="K309">
    <cfRule type="cellIs" dxfId="1990" priority="1541" stopIfTrue="1" operator="equal">
      <formula>"Operation"</formula>
    </cfRule>
  </conditionalFormatting>
  <conditionalFormatting sqref="I309:K309">
    <cfRule type="cellIs" dxfId="1989" priority="1540" stopIfTrue="1" operator="equal">
      <formula>"N/A"</formula>
    </cfRule>
  </conditionalFormatting>
  <conditionalFormatting sqref="M309:N309">
    <cfRule type="cellIs" dxfId="1988" priority="1547" stopIfTrue="1" operator="equal">
      <formula>"Operation"</formula>
    </cfRule>
  </conditionalFormatting>
  <conditionalFormatting sqref="G307:H308 L307:L308">
    <cfRule type="cellIs" dxfId="1987" priority="1558" stopIfTrue="1" operator="equal">
      <formula>"Operation"</formula>
    </cfRule>
  </conditionalFormatting>
  <conditionalFormatting sqref="G307:H308 L307:N308">
    <cfRule type="cellIs" dxfId="1986" priority="1557" stopIfTrue="1" operator="equal">
      <formula>"N/A"</formula>
    </cfRule>
  </conditionalFormatting>
  <conditionalFormatting sqref="M307:N308">
    <cfRule type="cellIs" dxfId="1985" priority="1559" stopIfTrue="1" operator="equal">
      <formula>"Operation"</formula>
    </cfRule>
  </conditionalFormatting>
  <conditionalFormatting sqref="I307:J308">
    <cfRule type="cellIs" dxfId="1984" priority="1554" stopIfTrue="1" operator="equal">
      <formula>"Operation"</formula>
    </cfRule>
  </conditionalFormatting>
  <conditionalFormatting sqref="K307:K308">
    <cfRule type="cellIs" dxfId="1983" priority="1553" stopIfTrue="1" operator="equal">
      <formula>"Operation"</formula>
    </cfRule>
  </conditionalFormatting>
  <conditionalFormatting sqref="I307:K308">
    <cfRule type="cellIs" dxfId="1982" priority="1552" stopIfTrue="1" operator="equal">
      <formula>"N/A"</formula>
    </cfRule>
  </conditionalFormatting>
  <conditionalFormatting sqref="D307:D308">
    <cfRule type="cellIs" dxfId="1981" priority="1551" stopIfTrue="1" operator="equal">
      <formula>"Total"</formula>
    </cfRule>
  </conditionalFormatting>
  <conditionalFormatting sqref="G309:H309 L309">
    <cfRule type="cellIs" dxfId="1980" priority="1546" stopIfTrue="1" operator="equal">
      <formula>"Operation"</formula>
    </cfRule>
  </conditionalFormatting>
  <conditionalFormatting sqref="G309:H309 L309:N309">
    <cfRule type="cellIs" dxfId="1979" priority="1545" stopIfTrue="1" operator="equal">
      <formula>"N/A"</formula>
    </cfRule>
  </conditionalFormatting>
  <conditionalFormatting sqref="O309:P309">
    <cfRule type="cellIs" dxfId="1978" priority="1543" stopIfTrue="1" operator="equal">
      <formula>"N/A"</formula>
    </cfRule>
  </conditionalFormatting>
  <conditionalFormatting sqref="O309:P309">
    <cfRule type="cellIs" dxfId="1977" priority="1544" stopIfTrue="1" operator="equal">
      <formula>"Operation"</formula>
    </cfRule>
  </conditionalFormatting>
  <conditionalFormatting sqref="I309:J309">
    <cfRule type="cellIs" dxfId="1976" priority="1542" stopIfTrue="1" operator="equal">
      <formula>"Operation"</formula>
    </cfRule>
  </conditionalFormatting>
  <conditionalFormatting sqref="D309">
    <cfRule type="cellIs" dxfId="1975" priority="1539" stopIfTrue="1" operator="equal">
      <formula>"Total"</formula>
    </cfRule>
  </conditionalFormatting>
  <conditionalFormatting sqref="E309">
    <cfRule type="cellIs" dxfId="1974" priority="1537" stopIfTrue="1" operator="equal">
      <formula>"Operation"</formula>
    </cfRule>
  </conditionalFormatting>
  <conditionalFormatting sqref="E309">
    <cfRule type="cellIs" dxfId="1973" priority="1536" stopIfTrue="1" operator="equal">
      <formula>"N/A"</formula>
    </cfRule>
  </conditionalFormatting>
  <conditionalFormatting sqref="F307:F308">
    <cfRule type="cellIs" dxfId="1972" priority="1492" stopIfTrue="1" operator="equal">
      <formula>"Operation"</formula>
    </cfRule>
  </conditionalFormatting>
  <conditionalFormatting sqref="H312:K313 O312:P313">
    <cfRule type="cellIs" dxfId="1971" priority="1529" stopIfTrue="1" operator="equal">
      <formula>"N/A"</formula>
    </cfRule>
  </conditionalFormatting>
  <conditionalFormatting sqref="O312:P313">
    <cfRule type="cellIs" dxfId="1970" priority="1535" stopIfTrue="1" operator="equal">
      <formula>"Operation"</formula>
    </cfRule>
  </conditionalFormatting>
  <conditionalFormatting sqref="D312">
    <cfRule type="cellIs" dxfId="1969" priority="1531" stopIfTrue="1" operator="equal">
      <formula>"Total"</formula>
    </cfRule>
  </conditionalFormatting>
  <conditionalFormatting sqref="F314">
    <cfRule type="cellIs" dxfId="1968" priority="1486" stopIfTrue="1" operator="equal">
      <formula>"Operation"</formula>
    </cfRule>
  </conditionalFormatting>
  <conditionalFormatting sqref="E312:E313">
    <cfRule type="cellIs" dxfId="1967" priority="1526" stopIfTrue="1" operator="equal">
      <formula>"N/A"</formula>
    </cfRule>
  </conditionalFormatting>
  <conditionalFormatting sqref="G314:P314">
    <cfRule type="cellIs" dxfId="1966" priority="1525" stopIfTrue="1" operator="equal">
      <formula>"Operation"</formula>
    </cfRule>
  </conditionalFormatting>
  <conditionalFormatting sqref="D314">
    <cfRule type="cellIs" dxfId="1965" priority="1524" stopIfTrue="1" operator="equal">
      <formula>"Total"</formula>
    </cfRule>
  </conditionalFormatting>
  <conditionalFormatting sqref="E314">
    <cfRule type="cellIs" dxfId="1964" priority="1520" stopIfTrue="1" operator="equal">
      <formula>"N/A"</formula>
    </cfRule>
  </conditionalFormatting>
  <conditionalFormatting sqref="F312:F313">
    <cfRule type="cellIs" dxfId="1963" priority="1488" stopIfTrue="1" operator="equal">
      <formula>"Operation"</formula>
    </cfRule>
  </conditionalFormatting>
  <conditionalFormatting sqref="F306">
    <cfRule type="cellIs" dxfId="1962" priority="1495" stopIfTrue="1" operator="equal">
      <formula>"N/A"</formula>
    </cfRule>
  </conditionalFormatting>
  <conditionalFormatting sqref="F307:F308">
    <cfRule type="cellIs" dxfId="1961" priority="1491" stopIfTrue="1" operator="equal">
      <formula>"N/A"</formula>
    </cfRule>
  </conditionalFormatting>
  <conditionalFormatting sqref="F310:F311">
    <cfRule type="cellIs" dxfId="1960" priority="1494" stopIfTrue="1" operator="equal">
      <formula>"Operation"</formula>
    </cfRule>
  </conditionalFormatting>
  <conditionalFormatting sqref="F310:F311">
    <cfRule type="cellIs" dxfId="1959" priority="1493" stopIfTrue="1" operator="equal">
      <formula>"N/A"</formula>
    </cfRule>
  </conditionalFormatting>
  <conditionalFormatting sqref="F309">
    <cfRule type="cellIs" dxfId="1958" priority="1490" stopIfTrue="1" operator="equal">
      <formula>"Operation"</formula>
    </cfRule>
  </conditionalFormatting>
  <conditionalFormatting sqref="F309">
    <cfRule type="cellIs" dxfId="1957" priority="1489" stopIfTrue="1" operator="equal">
      <formula>"N/A"</formula>
    </cfRule>
  </conditionalFormatting>
  <conditionalFormatting sqref="F312:F313">
    <cfRule type="cellIs" dxfId="1956" priority="1487" stopIfTrue="1" operator="equal">
      <formula>"N/A"</formula>
    </cfRule>
  </conditionalFormatting>
  <conditionalFormatting sqref="F314">
    <cfRule type="cellIs" dxfId="1955" priority="1485" stopIfTrue="1" operator="equal">
      <formula>"N/A"</formula>
    </cfRule>
  </conditionalFormatting>
  <conditionalFormatting sqref="F306:F314">
    <cfRule type="cellIs" dxfId="1954" priority="1510" stopIfTrue="1" operator="equal">
      <formula>"Operation"</formula>
    </cfRule>
  </conditionalFormatting>
  <conditionalFormatting sqref="F306:F314">
    <cfRule type="cellIs" dxfId="1953" priority="1509" stopIfTrue="1" operator="equal">
      <formula>"N/A"</formula>
    </cfRule>
  </conditionalFormatting>
  <conditionalFormatting sqref="F189">
    <cfRule type="cellIs" dxfId="1952" priority="1511" stopIfTrue="1" operator="equal">
      <formula>"N/A"</formula>
    </cfRule>
  </conditionalFormatting>
  <conditionalFormatting sqref="F215:F218">
    <cfRule type="cellIs" dxfId="1951" priority="1505" stopIfTrue="1" operator="equal">
      <formula>"Operation"</formula>
    </cfRule>
  </conditionalFormatting>
  <conditionalFormatting sqref="F215:F217 F219:F223">
    <cfRule type="cellIs" dxfId="1950" priority="1507" stopIfTrue="1" operator="equal">
      <formula>"Operation"</formula>
    </cfRule>
  </conditionalFormatting>
  <conditionalFormatting sqref="F215:F217 F219:F223">
    <cfRule type="cellIs" dxfId="1949" priority="1506" stopIfTrue="1" operator="equal">
      <formula>"N/A"</formula>
    </cfRule>
  </conditionalFormatting>
  <conditionalFormatting sqref="F215:F218">
    <cfRule type="cellIs" dxfId="1948" priority="1504" stopIfTrue="1" operator="equal">
      <formula>"N/A"</formula>
    </cfRule>
  </conditionalFormatting>
  <conditionalFormatting sqref="F223">
    <cfRule type="cellIs" dxfId="1947" priority="1508" stopIfTrue="1" operator="equal">
      <formula>"N/A"</formula>
    </cfRule>
  </conditionalFormatting>
  <conditionalFormatting sqref="F240:F241">
    <cfRule type="cellIs" dxfId="1946" priority="1500" stopIfTrue="1" operator="equal">
      <formula>"Operation"</formula>
    </cfRule>
  </conditionalFormatting>
  <conditionalFormatting sqref="F238">
    <cfRule type="cellIs" dxfId="1945" priority="1502" stopIfTrue="1" operator="equal">
      <formula>"Operation"</formula>
    </cfRule>
  </conditionalFormatting>
  <conditionalFormatting sqref="F238">
    <cfRule type="cellIs" dxfId="1944" priority="1501" stopIfTrue="1" operator="equal">
      <formula>"N/A"</formula>
    </cfRule>
  </conditionalFormatting>
  <conditionalFormatting sqref="F240:F241">
    <cfRule type="cellIs" dxfId="1943" priority="1499" stopIfTrue="1" operator="equal">
      <formula>"N/A"</formula>
    </cfRule>
  </conditionalFormatting>
  <conditionalFormatting sqref="F244">
    <cfRule type="cellIs" dxfId="1942" priority="1503" stopIfTrue="1" operator="equal">
      <formula>"N/A"</formula>
    </cfRule>
  </conditionalFormatting>
  <conditionalFormatting sqref="F239">
    <cfRule type="cellIs" dxfId="1941" priority="1498" stopIfTrue="1" operator="equal">
      <formula>"Operation"</formula>
    </cfRule>
  </conditionalFormatting>
  <conditionalFormatting sqref="F239">
    <cfRule type="cellIs" dxfId="1940" priority="1497" stopIfTrue="1" operator="equal">
      <formula>"N/A"</formula>
    </cfRule>
  </conditionalFormatting>
  <conditionalFormatting sqref="F180">
    <cfRule type="cellIs" dxfId="1939" priority="1496" stopIfTrue="1" operator="equal">
      <formula>"N/A"</formula>
    </cfRule>
  </conditionalFormatting>
  <conditionalFormatting sqref="F96">
    <cfRule type="cellIs" dxfId="1938" priority="1518" stopIfTrue="1" operator="equal">
      <formula>"Operation"</formula>
    </cfRule>
  </conditionalFormatting>
  <conditionalFormatting sqref="F104">
    <cfRule type="cellIs" dxfId="1937" priority="1519" stopIfTrue="1" operator="equal">
      <formula>"N/A"</formula>
    </cfRule>
  </conditionalFormatting>
  <conditionalFormatting sqref="F96">
    <cfRule type="cellIs" dxfId="1936" priority="1517" stopIfTrue="1" operator="equal">
      <formula>"N/A"</formula>
    </cfRule>
  </conditionalFormatting>
  <conditionalFormatting sqref="F89">
    <cfRule type="cellIs" dxfId="1935" priority="1515" stopIfTrue="1" operator="equal">
      <formula>"Operation"</formula>
    </cfRule>
  </conditionalFormatting>
  <conditionalFormatting sqref="F89">
    <cfRule type="cellIs" dxfId="1934" priority="1514" stopIfTrue="1" operator="equal">
      <formula>"N/A"</formula>
    </cfRule>
  </conditionalFormatting>
  <conditionalFormatting sqref="F95">
    <cfRule type="cellIs" dxfId="1933" priority="1516" stopIfTrue="1" operator="equal">
      <formula>"N/A"</formula>
    </cfRule>
  </conditionalFormatting>
  <conditionalFormatting sqref="F97:F103">
    <cfRule type="cellIs" dxfId="1932" priority="1513" stopIfTrue="1" operator="equal">
      <formula>"Operation"</formula>
    </cfRule>
  </conditionalFormatting>
  <conditionalFormatting sqref="F97:F103">
    <cfRule type="cellIs" dxfId="1931" priority="1512" stopIfTrue="1" operator="equal">
      <formula>"N/A"</formula>
    </cfRule>
  </conditionalFormatting>
  <conditionalFormatting sqref="F6">
    <cfRule type="cellIs" dxfId="1930" priority="1484" stopIfTrue="1" operator="equal">
      <formula>"Operation"</formula>
    </cfRule>
  </conditionalFormatting>
  <conditionalFormatting sqref="F6">
    <cfRule type="cellIs" dxfId="1929" priority="1483" stopIfTrue="1" operator="equal">
      <formula>"N/A"</formula>
    </cfRule>
  </conditionalFormatting>
  <conditionalFormatting sqref="G111:H111">
    <cfRule type="cellIs" dxfId="1928" priority="1482" stopIfTrue="1" operator="equal">
      <formula>"Operation"</formula>
    </cfRule>
  </conditionalFormatting>
  <conditionalFormatting sqref="H111:P111">
    <cfRule type="cellIs" dxfId="1927" priority="1481" stopIfTrue="1" operator="equal">
      <formula>"N/A"</formula>
    </cfRule>
  </conditionalFormatting>
  <conditionalFormatting sqref="L105:N105 I105:J105">
    <cfRule type="cellIs" dxfId="1926" priority="1479" stopIfTrue="1" operator="equal">
      <formula>"Operation"</formula>
    </cfRule>
  </conditionalFormatting>
  <conditionalFormatting sqref="K105">
    <cfRule type="cellIs" dxfId="1925" priority="1478" stopIfTrue="1" operator="equal">
      <formula>"Operation"</formula>
    </cfRule>
  </conditionalFormatting>
  <conditionalFormatting sqref="G105:H105">
    <cfRule type="cellIs" dxfId="1924" priority="1477" stopIfTrue="1" operator="equal">
      <formula>"Operation"</formula>
    </cfRule>
  </conditionalFormatting>
  <conditionalFormatting sqref="H105:P105">
    <cfRule type="cellIs" dxfId="1923" priority="1475" stopIfTrue="1" operator="equal">
      <formula>"N/A"</formula>
    </cfRule>
  </conditionalFormatting>
  <conditionalFormatting sqref="O105:P105">
    <cfRule type="cellIs" dxfId="1922" priority="1480" stopIfTrue="1" operator="equal">
      <formula>"Operation"</formula>
    </cfRule>
  </conditionalFormatting>
  <conditionalFormatting sqref="D105">
    <cfRule type="cellIs" dxfId="1921" priority="1476" stopIfTrue="1" operator="equal">
      <formula>"Total"</formula>
    </cfRule>
  </conditionalFormatting>
  <conditionalFormatting sqref="E105">
    <cfRule type="cellIs" dxfId="1920" priority="1473" stopIfTrue="1" operator="equal">
      <formula>"Operation"</formula>
    </cfRule>
  </conditionalFormatting>
  <conditionalFormatting sqref="E111">
    <cfRule type="cellIs" dxfId="1919" priority="1474" stopIfTrue="1" operator="equal">
      <formula>"N/A"</formula>
    </cfRule>
  </conditionalFormatting>
  <conditionalFormatting sqref="E105">
    <cfRule type="cellIs" dxfId="1918" priority="1472" stopIfTrue="1" operator="equal">
      <formula>"N/A"</formula>
    </cfRule>
  </conditionalFormatting>
  <conditionalFormatting sqref="O106:P106">
    <cfRule type="cellIs" dxfId="1917" priority="1469" stopIfTrue="1" operator="equal">
      <formula>"Operation"</formula>
    </cfRule>
  </conditionalFormatting>
  <conditionalFormatting sqref="O106:P106">
    <cfRule type="cellIs" dxfId="1916" priority="1468" stopIfTrue="1" operator="equal">
      <formula>"N/A"</formula>
    </cfRule>
  </conditionalFormatting>
  <conditionalFormatting sqref="K108">
    <cfRule type="cellIs" dxfId="1915" priority="1462" stopIfTrue="1" operator="equal">
      <formula>"Operation"</formula>
    </cfRule>
  </conditionalFormatting>
  <conditionalFormatting sqref="I108:K108">
    <cfRule type="cellIs" dxfId="1914" priority="1461" stopIfTrue="1" operator="equal">
      <formula>"N/A"</formula>
    </cfRule>
  </conditionalFormatting>
  <conditionalFormatting sqref="G106:H106">
    <cfRule type="cellIs" dxfId="1913" priority="1471" stopIfTrue="1" operator="equal">
      <formula>"Operation"</formula>
    </cfRule>
  </conditionalFormatting>
  <conditionalFormatting sqref="G106:H106">
    <cfRule type="cellIs" dxfId="1912" priority="1470" stopIfTrue="1" operator="equal">
      <formula>"N/A"</formula>
    </cfRule>
  </conditionalFormatting>
  <conditionalFormatting sqref="G108">
    <cfRule type="cellIs" dxfId="1911" priority="1467" stopIfTrue="1" operator="equal">
      <formula>"Operation"</formula>
    </cfRule>
  </conditionalFormatting>
  <conditionalFormatting sqref="G108">
    <cfRule type="cellIs" dxfId="1910" priority="1466" stopIfTrue="1" operator="equal">
      <formula>"N/A"</formula>
    </cfRule>
  </conditionalFormatting>
  <conditionalFormatting sqref="O108">
    <cfRule type="cellIs" dxfId="1909" priority="1464" stopIfTrue="1" operator="equal">
      <formula>"N/A"</formula>
    </cfRule>
  </conditionalFormatting>
  <conditionalFormatting sqref="O108">
    <cfRule type="cellIs" dxfId="1908" priority="1465" stopIfTrue="1" operator="equal">
      <formula>"Operation"</formula>
    </cfRule>
  </conditionalFormatting>
  <conditionalFormatting sqref="I108:J108">
    <cfRule type="cellIs" dxfId="1907" priority="1463" stopIfTrue="1" operator="equal">
      <formula>"Operation"</formula>
    </cfRule>
  </conditionalFormatting>
  <conditionalFormatting sqref="D108">
    <cfRule type="cellIs" dxfId="1906" priority="1460" stopIfTrue="1" operator="equal">
      <formula>"Total"</formula>
    </cfRule>
  </conditionalFormatting>
  <conditionalFormatting sqref="F105">
    <cfRule type="cellIs" dxfId="1905" priority="1458" stopIfTrue="1" operator="equal">
      <formula>"Operation"</formula>
    </cfRule>
  </conditionalFormatting>
  <conditionalFormatting sqref="F111">
    <cfRule type="cellIs" dxfId="1904" priority="1459" stopIfTrue="1" operator="equal">
      <formula>"N/A"</formula>
    </cfRule>
  </conditionalFormatting>
  <conditionalFormatting sqref="F105">
    <cfRule type="cellIs" dxfId="1903" priority="1457" stopIfTrue="1" operator="equal">
      <formula>"N/A"</formula>
    </cfRule>
  </conditionalFormatting>
  <conditionalFormatting sqref="L66:N66 I66:J66">
    <cfRule type="cellIs" dxfId="1902" priority="1455" stopIfTrue="1" operator="equal">
      <formula>"Operation"</formula>
    </cfRule>
  </conditionalFormatting>
  <conditionalFormatting sqref="K66">
    <cfRule type="cellIs" dxfId="1901" priority="1454" stopIfTrue="1" operator="equal">
      <formula>"Operation"</formula>
    </cfRule>
  </conditionalFormatting>
  <conditionalFormatting sqref="G66:H66">
    <cfRule type="cellIs" dxfId="1900" priority="1453" stopIfTrue="1" operator="equal">
      <formula>"Operation"</formula>
    </cfRule>
  </conditionalFormatting>
  <conditionalFormatting sqref="H66:P66">
    <cfRule type="cellIs" dxfId="1899" priority="1450" stopIfTrue="1" operator="equal">
      <formula>"N/A"</formula>
    </cfRule>
  </conditionalFormatting>
  <conditionalFormatting sqref="O66:P66">
    <cfRule type="cellIs" dxfId="1898" priority="1456" stopIfTrue="1" operator="equal">
      <formula>"Operation"</formula>
    </cfRule>
  </conditionalFormatting>
  <conditionalFormatting sqref="D66">
    <cfRule type="cellIs" dxfId="1897" priority="1452" stopIfTrue="1" operator="equal">
      <formula>"Total"</formula>
    </cfRule>
  </conditionalFormatting>
  <conditionalFormatting sqref="G70:H70">
    <cfRule type="cellIs" dxfId="1896" priority="1449" stopIfTrue="1" operator="equal">
      <formula>"Operation"</formula>
    </cfRule>
  </conditionalFormatting>
  <conditionalFormatting sqref="H70:P70">
    <cfRule type="cellIs" dxfId="1895" priority="1448" stopIfTrue="1" operator="equal">
      <formula>"N/A"</formula>
    </cfRule>
  </conditionalFormatting>
  <conditionalFormatting sqref="E66">
    <cfRule type="cellIs" dxfId="1894" priority="1447" stopIfTrue="1" operator="equal">
      <formula>"Operation"</formula>
    </cfRule>
  </conditionalFormatting>
  <conditionalFormatting sqref="E66">
    <cfRule type="cellIs" dxfId="1893" priority="1446" stopIfTrue="1" operator="equal">
      <formula>"N/A"</formula>
    </cfRule>
  </conditionalFormatting>
  <conditionalFormatting sqref="F66">
    <cfRule type="cellIs" dxfId="1892" priority="1445" stopIfTrue="1" operator="equal">
      <formula>"Operation"</formula>
    </cfRule>
  </conditionalFormatting>
  <conditionalFormatting sqref="F66">
    <cfRule type="cellIs" dxfId="1891" priority="1444" stopIfTrue="1" operator="equal">
      <formula>"N/A"</formula>
    </cfRule>
  </conditionalFormatting>
  <conditionalFormatting sqref="L24:N24 I24:J24 L28:N29 I28:J29">
    <cfRule type="cellIs" dxfId="1890" priority="1442" stopIfTrue="1" operator="equal">
      <formula>"Operation"</formula>
    </cfRule>
  </conditionalFormatting>
  <conditionalFormatting sqref="K24 K28:K29">
    <cfRule type="cellIs" dxfId="1889" priority="1441" stopIfTrue="1" operator="equal">
      <formula>"Operation"</formula>
    </cfRule>
  </conditionalFormatting>
  <conditionalFormatting sqref="G24:H24 G28:H29">
    <cfRule type="cellIs" dxfId="1888" priority="1440" stopIfTrue="1" operator="equal">
      <formula>"Operation"</formula>
    </cfRule>
  </conditionalFormatting>
  <conditionalFormatting sqref="H24:P24 H28:P29">
    <cfRule type="cellIs" dxfId="1887" priority="1437" stopIfTrue="1" operator="equal">
      <formula>"N/A"</formula>
    </cfRule>
  </conditionalFormatting>
  <conditionalFormatting sqref="O24:P24 O28:P29">
    <cfRule type="cellIs" dxfId="1886" priority="1443" stopIfTrue="1" operator="equal">
      <formula>"Operation"</formula>
    </cfRule>
  </conditionalFormatting>
  <conditionalFormatting sqref="D24 D28:D29">
    <cfRule type="cellIs" dxfId="1885" priority="1439" stopIfTrue="1" operator="equal">
      <formula>"Total"</formula>
    </cfRule>
  </conditionalFormatting>
  <conditionalFormatting sqref="G30:H30">
    <cfRule type="cellIs" dxfId="1884" priority="1435" stopIfTrue="1" operator="equal">
      <formula>"Operation"</formula>
    </cfRule>
  </conditionalFormatting>
  <conditionalFormatting sqref="H30:P30">
    <cfRule type="cellIs" dxfId="1883" priority="1434" stopIfTrue="1" operator="equal">
      <formula>"N/A"</formula>
    </cfRule>
  </conditionalFormatting>
  <conditionalFormatting sqref="E24 E28:E29">
    <cfRule type="cellIs" dxfId="1882" priority="1433" stopIfTrue="1" operator="equal">
      <formula>"Operation"</formula>
    </cfRule>
  </conditionalFormatting>
  <conditionalFormatting sqref="E24 E28:E29">
    <cfRule type="cellIs" dxfId="1881" priority="1432" stopIfTrue="1" operator="equal">
      <formula>"N/A"</formula>
    </cfRule>
  </conditionalFormatting>
  <conditionalFormatting sqref="O25:P26">
    <cfRule type="cellIs" dxfId="1880" priority="1427" stopIfTrue="1" operator="equal">
      <formula>"Operation"</formula>
    </cfRule>
  </conditionalFormatting>
  <conditionalFormatting sqref="O25:P26">
    <cfRule type="cellIs" dxfId="1879" priority="1426" stopIfTrue="1" operator="equal">
      <formula>"N/A"</formula>
    </cfRule>
  </conditionalFormatting>
  <conditionalFormatting sqref="K27">
    <cfRule type="cellIs" dxfId="1878" priority="1412" stopIfTrue="1" operator="equal">
      <formula>"Operation"</formula>
    </cfRule>
  </conditionalFormatting>
  <conditionalFormatting sqref="I27:K27">
    <cfRule type="cellIs" dxfId="1877" priority="1411" stopIfTrue="1" operator="equal">
      <formula>"N/A"</formula>
    </cfRule>
  </conditionalFormatting>
  <conditionalFormatting sqref="M27:N27">
    <cfRule type="cellIs" dxfId="1876" priority="1418" stopIfTrue="1" operator="equal">
      <formula>"Operation"</formula>
    </cfRule>
  </conditionalFormatting>
  <conditionalFormatting sqref="L25:L26 G25:H26">
    <cfRule type="cellIs" dxfId="1875" priority="1429" stopIfTrue="1" operator="equal">
      <formula>"Operation"</formula>
    </cfRule>
  </conditionalFormatting>
  <conditionalFormatting sqref="L25:N26 G25:H26">
    <cfRule type="cellIs" dxfId="1874" priority="1428" stopIfTrue="1" operator="equal">
      <formula>"N/A"</formula>
    </cfRule>
  </conditionalFormatting>
  <conditionalFormatting sqref="M25:N26">
    <cfRule type="cellIs" dxfId="1873" priority="1430" stopIfTrue="1" operator="equal">
      <formula>"Operation"</formula>
    </cfRule>
  </conditionalFormatting>
  <conditionalFormatting sqref="I25:J26">
    <cfRule type="cellIs" dxfId="1872" priority="1425" stopIfTrue="1" operator="equal">
      <formula>"Operation"</formula>
    </cfRule>
  </conditionalFormatting>
  <conditionalFormatting sqref="K25:K26">
    <cfRule type="cellIs" dxfId="1871" priority="1424" stopIfTrue="1" operator="equal">
      <formula>"Operation"</formula>
    </cfRule>
  </conditionalFormatting>
  <conditionalFormatting sqref="I25:K26">
    <cfRule type="cellIs" dxfId="1870" priority="1423" stopIfTrue="1" operator="equal">
      <formula>"N/A"</formula>
    </cfRule>
  </conditionalFormatting>
  <conditionalFormatting sqref="D25:D26">
    <cfRule type="cellIs" dxfId="1869" priority="1422" stopIfTrue="1" operator="equal">
      <formula>"Total"</formula>
    </cfRule>
  </conditionalFormatting>
  <conditionalFormatting sqref="E25:E26">
    <cfRule type="cellIs" dxfId="1868" priority="1421" stopIfTrue="1" operator="equal">
      <formula>"Operation"</formula>
    </cfRule>
  </conditionalFormatting>
  <conditionalFormatting sqref="E25:E26">
    <cfRule type="cellIs" dxfId="1867" priority="1420" stopIfTrue="1" operator="equal">
      <formula>"N/A"</formula>
    </cfRule>
  </conditionalFormatting>
  <conditionalFormatting sqref="G27:H27 L27">
    <cfRule type="cellIs" dxfId="1866" priority="1417" stopIfTrue="1" operator="equal">
      <formula>"Operation"</formula>
    </cfRule>
  </conditionalFormatting>
  <conditionalFormatting sqref="G27:H27 L27:N27">
    <cfRule type="cellIs" dxfId="1865" priority="1416" stopIfTrue="1" operator="equal">
      <formula>"N/A"</formula>
    </cfRule>
  </conditionalFormatting>
  <conditionalFormatting sqref="O27:P27">
    <cfRule type="cellIs" dxfId="1864" priority="1414" stopIfTrue="1" operator="equal">
      <formula>"N/A"</formula>
    </cfRule>
  </conditionalFormatting>
  <conditionalFormatting sqref="O27:P27">
    <cfRule type="cellIs" dxfId="1863" priority="1415" stopIfTrue="1" operator="equal">
      <formula>"Operation"</formula>
    </cfRule>
  </conditionalFormatting>
  <conditionalFormatting sqref="I27:J27">
    <cfRule type="cellIs" dxfId="1862" priority="1413" stopIfTrue="1" operator="equal">
      <formula>"Operation"</formula>
    </cfRule>
  </conditionalFormatting>
  <conditionalFormatting sqref="D27">
    <cfRule type="cellIs" dxfId="1861" priority="1410" stopIfTrue="1" operator="equal">
      <formula>"Total"</formula>
    </cfRule>
  </conditionalFormatting>
  <conditionalFormatting sqref="E27">
    <cfRule type="cellIs" dxfId="1860" priority="1408" stopIfTrue="1" operator="equal">
      <formula>"Operation"</formula>
    </cfRule>
  </conditionalFormatting>
  <conditionalFormatting sqref="E27">
    <cfRule type="cellIs" dxfId="1859" priority="1407" stopIfTrue="1" operator="equal">
      <formula>"N/A"</formula>
    </cfRule>
  </conditionalFormatting>
  <conditionalFormatting sqref="F24 F28:F29">
    <cfRule type="cellIs" dxfId="1858" priority="1406" stopIfTrue="1" operator="equal">
      <formula>"Operation"</formula>
    </cfRule>
  </conditionalFormatting>
  <conditionalFormatting sqref="F24 F28:F29">
    <cfRule type="cellIs" dxfId="1857" priority="1405" stopIfTrue="1" operator="equal">
      <formula>"N/A"</formula>
    </cfRule>
  </conditionalFormatting>
  <conditionalFormatting sqref="F25:F26">
    <cfRule type="cellIs" dxfId="1856" priority="1404" stopIfTrue="1" operator="equal">
      <formula>"Operation"</formula>
    </cfRule>
  </conditionalFormatting>
  <conditionalFormatting sqref="F25:F26">
    <cfRule type="cellIs" dxfId="1855" priority="1403" stopIfTrue="1" operator="equal">
      <formula>"N/A"</formula>
    </cfRule>
  </conditionalFormatting>
  <conditionalFormatting sqref="F27">
    <cfRule type="cellIs" dxfId="1854" priority="1402" stopIfTrue="1" operator="equal">
      <formula>"Operation"</formula>
    </cfRule>
  </conditionalFormatting>
  <conditionalFormatting sqref="F27">
    <cfRule type="cellIs" dxfId="1853" priority="1401" stopIfTrue="1" operator="equal">
      <formula>"N/A"</formula>
    </cfRule>
  </conditionalFormatting>
  <conditionalFormatting sqref="K241">
    <cfRule type="cellIs" dxfId="1852" priority="1400" stopIfTrue="1" operator="equal">
      <formula>"Operation"</formula>
    </cfRule>
  </conditionalFormatting>
  <conditionalFormatting sqref="I90">
    <cfRule type="cellIs" dxfId="1851" priority="1399" stopIfTrue="1" operator="equal">
      <formula>"Operation"</formula>
    </cfRule>
  </conditionalFormatting>
  <conditionalFormatting sqref="I90">
    <cfRule type="cellIs" dxfId="1850" priority="1398" stopIfTrue="1" operator="equal">
      <formula>"N/A"</formula>
    </cfRule>
  </conditionalFormatting>
  <conditionalFormatting sqref="K92">
    <cfRule type="cellIs" dxfId="1849" priority="1397" stopIfTrue="1" operator="equal">
      <formula>"Operation"</formula>
    </cfRule>
  </conditionalFormatting>
  <conditionalFormatting sqref="K92">
    <cfRule type="cellIs" dxfId="1848" priority="1396" stopIfTrue="1" operator="equal">
      <formula>"N/A"</formula>
    </cfRule>
  </conditionalFormatting>
  <conditionalFormatting sqref="D24:D28">
    <cfRule type="cellIs" dxfId="1847" priority="1395" stopIfTrue="1" operator="equal">
      <formula>"Total"</formula>
    </cfRule>
  </conditionalFormatting>
  <conditionalFormatting sqref="O163:P165">
    <cfRule type="cellIs" dxfId="1846" priority="1394" stopIfTrue="1" operator="equal">
      <formula>"Operation"</formula>
    </cfRule>
  </conditionalFormatting>
  <conditionalFormatting sqref="I163:J165 L163:N165">
    <cfRule type="cellIs" dxfId="1845" priority="1393" stopIfTrue="1" operator="equal">
      <formula>"Operation"</formula>
    </cfRule>
  </conditionalFormatting>
  <conditionalFormatting sqref="K163:K165">
    <cfRule type="cellIs" dxfId="1844" priority="1392" stopIfTrue="1" operator="equal">
      <formula>"Operation"</formula>
    </cfRule>
  </conditionalFormatting>
  <conditionalFormatting sqref="G163:H163 G165:H165 H164">
    <cfRule type="cellIs" dxfId="1843" priority="1391" stopIfTrue="1" operator="equal">
      <formula>"Operation"</formula>
    </cfRule>
  </conditionalFormatting>
  <conditionalFormatting sqref="H163:P165">
    <cfRule type="cellIs" dxfId="1842" priority="1390" stopIfTrue="1" operator="equal">
      <formula>"N/A"</formula>
    </cfRule>
  </conditionalFormatting>
  <conditionalFormatting sqref="O160:P162">
    <cfRule type="cellIs" dxfId="1841" priority="1389" stopIfTrue="1" operator="equal">
      <formula>"Operation"</formula>
    </cfRule>
  </conditionalFormatting>
  <conditionalFormatting sqref="I160:J162 L160:N162">
    <cfRule type="cellIs" dxfId="1840" priority="1388" stopIfTrue="1" operator="equal">
      <formula>"Operation"</formula>
    </cfRule>
  </conditionalFormatting>
  <conditionalFormatting sqref="K160:K162">
    <cfRule type="cellIs" dxfId="1839" priority="1387" stopIfTrue="1" operator="equal">
      <formula>"Operation"</formula>
    </cfRule>
  </conditionalFormatting>
  <conditionalFormatting sqref="G160:H162">
    <cfRule type="cellIs" dxfId="1838" priority="1386" stopIfTrue="1" operator="equal">
      <formula>"Operation"</formula>
    </cfRule>
  </conditionalFormatting>
  <conditionalFormatting sqref="H160:P162">
    <cfRule type="cellIs" dxfId="1837" priority="1385" stopIfTrue="1" operator="equal">
      <formula>"N/A"</formula>
    </cfRule>
  </conditionalFormatting>
  <conditionalFormatting sqref="O166:P168">
    <cfRule type="cellIs" dxfId="1836" priority="1384" stopIfTrue="1" operator="equal">
      <formula>"Operation"</formula>
    </cfRule>
  </conditionalFormatting>
  <conditionalFormatting sqref="I166:J168 L166:N168">
    <cfRule type="cellIs" dxfId="1835" priority="1383" stopIfTrue="1" operator="equal">
      <formula>"Operation"</formula>
    </cfRule>
  </conditionalFormatting>
  <conditionalFormatting sqref="K166:K168">
    <cfRule type="cellIs" dxfId="1834" priority="1382" stopIfTrue="1" operator="equal">
      <formula>"Operation"</formula>
    </cfRule>
  </conditionalFormatting>
  <conditionalFormatting sqref="G166:H166 G168:H168 H167">
    <cfRule type="cellIs" dxfId="1833" priority="1381" stopIfTrue="1" operator="equal">
      <formula>"Operation"</formula>
    </cfRule>
  </conditionalFormatting>
  <conditionalFormatting sqref="H166:P168">
    <cfRule type="cellIs" dxfId="1832" priority="1380" stopIfTrue="1" operator="equal">
      <formula>"N/A"</formula>
    </cfRule>
  </conditionalFormatting>
  <conditionalFormatting sqref="O169:P171">
    <cfRule type="cellIs" dxfId="1831" priority="1379" stopIfTrue="1" operator="equal">
      <formula>"Operation"</formula>
    </cfRule>
  </conditionalFormatting>
  <conditionalFormatting sqref="I169:J171 L169:N171">
    <cfRule type="cellIs" dxfId="1830" priority="1378" stopIfTrue="1" operator="equal">
      <formula>"Operation"</formula>
    </cfRule>
  </conditionalFormatting>
  <conditionalFormatting sqref="K169:K171">
    <cfRule type="cellIs" dxfId="1829" priority="1377" stopIfTrue="1" operator="equal">
      <formula>"Operation"</formula>
    </cfRule>
  </conditionalFormatting>
  <conditionalFormatting sqref="G169:H169 G171:H171 H170">
    <cfRule type="cellIs" dxfId="1828" priority="1376" stopIfTrue="1" operator="equal">
      <formula>"Operation"</formula>
    </cfRule>
  </conditionalFormatting>
  <conditionalFormatting sqref="H169:P171">
    <cfRule type="cellIs" dxfId="1827" priority="1375" stopIfTrue="1" operator="equal">
      <formula>"N/A"</formula>
    </cfRule>
  </conditionalFormatting>
  <conditionalFormatting sqref="O172:P174">
    <cfRule type="cellIs" dxfId="1826" priority="1374" stopIfTrue="1" operator="equal">
      <formula>"Operation"</formula>
    </cfRule>
  </conditionalFormatting>
  <conditionalFormatting sqref="I172:J174 L172:N174">
    <cfRule type="cellIs" dxfId="1825" priority="1373" stopIfTrue="1" operator="equal">
      <formula>"Operation"</formula>
    </cfRule>
  </conditionalFormatting>
  <conditionalFormatting sqref="K172:K174">
    <cfRule type="cellIs" dxfId="1824" priority="1372" stopIfTrue="1" operator="equal">
      <formula>"Operation"</formula>
    </cfRule>
  </conditionalFormatting>
  <conditionalFormatting sqref="G172:H172 G174:H174 H173">
    <cfRule type="cellIs" dxfId="1823" priority="1371" stopIfTrue="1" operator="equal">
      <formula>"Operation"</formula>
    </cfRule>
  </conditionalFormatting>
  <conditionalFormatting sqref="H172:P174">
    <cfRule type="cellIs" dxfId="1822" priority="1370" stopIfTrue="1" operator="equal">
      <formula>"N/A"</formula>
    </cfRule>
  </conditionalFormatting>
  <conditionalFormatting sqref="G164">
    <cfRule type="cellIs" dxfId="1821" priority="1369" stopIfTrue="1" operator="equal">
      <formula>"Operation"</formula>
    </cfRule>
  </conditionalFormatting>
  <conditionalFormatting sqref="G167">
    <cfRule type="cellIs" dxfId="1820" priority="1368" stopIfTrue="1" operator="equal">
      <formula>"Operation"</formula>
    </cfRule>
  </conditionalFormatting>
  <conditionalFormatting sqref="G173">
    <cfRule type="cellIs" dxfId="1819" priority="1367" stopIfTrue="1" operator="equal">
      <formula>"Operation"</formula>
    </cfRule>
  </conditionalFormatting>
  <conditionalFormatting sqref="L8:N8 I8:J8">
    <cfRule type="cellIs" dxfId="1818" priority="1363" stopIfTrue="1" operator="equal">
      <formula>"Operation"</formula>
    </cfRule>
  </conditionalFormatting>
  <conditionalFormatting sqref="K8">
    <cfRule type="cellIs" dxfId="1817" priority="1362" stopIfTrue="1" operator="equal">
      <formula>"Operation"</formula>
    </cfRule>
  </conditionalFormatting>
  <conditionalFormatting sqref="G8:H8">
    <cfRule type="cellIs" dxfId="1816" priority="1361" stopIfTrue="1" operator="equal">
      <formula>"Operation"</formula>
    </cfRule>
  </conditionalFormatting>
  <conditionalFormatting sqref="H8:P8">
    <cfRule type="cellIs" dxfId="1815" priority="1359" stopIfTrue="1" operator="equal">
      <formula>"N/A"</formula>
    </cfRule>
  </conditionalFormatting>
  <conditionalFormatting sqref="O8:P8">
    <cfRule type="cellIs" dxfId="1814" priority="1364" stopIfTrue="1" operator="equal">
      <formula>"Operation"</formula>
    </cfRule>
  </conditionalFormatting>
  <conditionalFormatting sqref="D8">
    <cfRule type="cellIs" dxfId="1813" priority="1360" stopIfTrue="1" operator="equal">
      <formula>"Total"</formula>
    </cfRule>
  </conditionalFormatting>
  <conditionalFormatting sqref="D8">
    <cfRule type="cellIs" dxfId="1812" priority="1358" stopIfTrue="1" operator="equal">
      <formula>"Total"</formula>
    </cfRule>
  </conditionalFormatting>
  <conditionalFormatting sqref="I88:P88 G86:P87 E86:F88 E81:P84">
    <cfRule type="cellIs" dxfId="1811" priority="1356" stopIfTrue="1" operator="equal">
      <formula>"Operation"</formula>
    </cfRule>
  </conditionalFormatting>
  <conditionalFormatting sqref="D80:D88">
    <cfRule type="cellIs" dxfId="1810" priority="1355" stopIfTrue="1" operator="equal">
      <formula>"Total"</formula>
    </cfRule>
  </conditionalFormatting>
  <conditionalFormatting sqref="H86:P87 E86:F88 E81:P84">
    <cfRule type="cellIs" dxfId="1809" priority="1353" stopIfTrue="1" operator="equal">
      <formula>"N/A"</formula>
    </cfRule>
  </conditionalFormatting>
  <conditionalFormatting sqref="L80:N80 I80:J80">
    <cfRule type="cellIs" dxfId="1808" priority="1350" stopIfTrue="1" operator="equal">
      <formula>"Operation"</formula>
    </cfRule>
  </conditionalFormatting>
  <conditionalFormatting sqref="K80">
    <cfRule type="cellIs" dxfId="1807" priority="1349" stopIfTrue="1" operator="equal">
      <formula>"Operation"</formula>
    </cfRule>
  </conditionalFormatting>
  <conditionalFormatting sqref="G80:H80">
    <cfRule type="cellIs" dxfId="1806" priority="1348" stopIfTrue="1" operator="equal">
      <formula>"Operation"</formula>
    </cfRule>
  </conditionalFormatting>
  <conditionalFormatting sqref="H80:P80">
    <cfRule type="cellIs" dxfId="1805" priority="1345" stopIfTrue="1" operator="equal">
      <formula>"N/A"</formula>
    </cfRule>
  </conditionalFormatting>
  <conditionalFormatting sqref="O80:P80">
    <cfRule type="cellIs" dxfId="1804" priority="1351" stopIfTrue="1" operator="equal">
      <formula>"Operation"</formula>
    </cfRule>
  </conditionalFormatting>
  <conditionalFormatting sqref="D80">
    <cfRule type="cellIs" dxfId="1803" priority="1347" stopIfTrue="1" operator="equal">
      <formula>"Total"</formula>
    </cfRule>
  </conditionalFormatting>
  <conditionalFormatting sqref="G88:H88">
    <cfRule type="cellIs" dxfId="1802" priority="1344" stopIfTrue="1" operator="equal">
      <formula>"Operation"</formula>
    </cfRule>
  </conditionalFormatting>
  <conditionalFormatting sqref="H88:P88">
    <cfRule type="cellIs" dxfId="1801" priority="1343" stopIfTrue="1" operator="equal">
      <formula>"N/A"</formula>
    </cfRule>
  </conditionalFormatting>
  <conditionalFormatting sqref="E80">
    <cfRule type="cellIs" dxfId="1800" priority="1342" stopIfTrue="1" operator="equal">
      <formula>"Operation"</formula>
    </cfRule>
  </conditionalFormatting>
  <conditionalFormatting sqref="E80">
    <cfRule type="cellIs" dxfId="1799" priority="1341" stopIfTrue="1" operator="equal">
      <formula>"N/A"</formula>
    </cfRule>
  </conditionalFormatting>
  <conditionalFormatting sqref="K85">
    <cfRule type="cellIs" dxfId="1798" priority="1334" stopIfTrue="1" operator="equal">
      <formula>"Operation"</formula>
    </cfRule>
  </conditionalFormatting>
  <conditionalFormatting sqref="I85:K85">
    <cfRule type="cellIs" dxfId="1797" priority="1333" stopIfTrue="1" operator="equal">
      <formula>"N/A"</formula>
    </cfRule>
  </conditionalFormatting>
  <conditionalFormatting sqref="M85:N85">
    <cfRule type="cellIs" dxfId="1796" priority="1340" stopIfTrue="1" operator="equal">
      <formula>"Operation"</formula>
    </cfRule>
  </conditionalFormatting>
  <conditionalFormatting sqref="G85:H85 L85">
    <cfRule type="cellIs" dxfId="1795" priority="1339" stopIfTrue="1" operator="equal">
      <formula>"Operation"</formula>
    </cfRule>
  </conditionalFormatting>
  <conditionalFormatting sqref="G85:H85 L85:N85">
    <cfRule type="cellIs" dxfId="1794" priority="1338" stopIfTrue="1" operator="equal">
      <formula>"N/A"</formula>
    </cfRule>
  </conditionalFormatting>
  <conditionalFormatting sqref="O85:P85">
    <cfRule type="cellIs" dxfId="1793" priority="1336" stopIfTrue="1" operator="equal">
      <formula>"N/A"</formula>
    </cfRule>
  </conditionalFormatting>
  <conditionalFormatting sqref="O85:P85">
    <cfRule type="cellIs" dxfId="1792" priority="1337" stopIfTrue="1" operator="equal">
      <formula>"Operation"</formula>
    </cfRule>
  </conditionalFormatting>
  <conditionalFormatting sqref="I85:J85">
    <cfRule type="cellIs" dxfId="1791" priority="1335" stopIfTrue="1" operator="equal">
      <formula>"Operation"</formula>
    </cfRule>
  </conditionalFormatting>
  <conditionalFormatting sqref="D85">
    <cfRule type="cellIs" dxfId="1790" priority="1332" stopIfTrue="1" operator="equal">
      <formula>"Total"</formula>
    </cfRule>
  </conditionalFormatting>
  <conditionalFormatting sqref="E85">
    <cfRule type="cellIs" dxfId="1789" priority="1331" stopIfTrue="1" operator="equal">
      <formula>"Operation"</formula>
    </cfRule>
  </conditionalFormatting>
  <conditionalFormatting sqref="E85">
    <cfRule type="cellIs" dxfId="1788" priority="1330" stopIfTrue="1" operator="equal">
      <formula>"N/A"</formula>
    </cfRule>
  </conditionalFormatting>
  <conditionalFormatting sqref="F80">
    <cfRule type="cellIs" dxfId="1787" priority="1329" stopIfTrue="1" operator="equal">
      <formula>"Operation"</formula>
    </cfRule>
  </conditionalFormatting>
  <conditionalFormatting sqref="F80">
    <cfRule type="cellIs" dxfId="1786" priority="1328" stopIfTrue="1" operator="equal">
      <formula>"N/A"</formula>
    </cfRule>
  </conditionalFormatting>
  <conditionalFormatting sqref="F85">
    <cfRule type="cellIs" dxfId="1785" priority="1327" stopIfTrue="1" operator="equal">
      <formula>"Operation"</formula>
    </cfRule>
  </conditionalFormatting>
  <conditionalFormatting sqref="F85">
    <cfRule type="cellIs" dxfId="1784" priority="1326" stopIfTrue="1" operator="equal">
      <formula>"N/A"</formula>
    </cfRule>
  </conditionalFormatting>
  <conditionalFormatting sqref="I79:P79 G77:P78 E77:F79 E72:P75">
    <cfRule type="cellIs" dxfId="1783" priority="1324" stopIfTrue="1" operator="equal">
      <formula>"Operation"</formula>
    </cfRule>
  </conditionalFormatting>
  <conditionalFormatting sqref="D71:D79">
    <cfRule type="cellIs" dxfId="1782" priority="1323" stopIfTrue="1" operator="equal">
      <formula>"Total"</formula>
    </cfRule>
  </conditionalFormatting>
  <conditionalFormatting sqref="H77:P78 E77:F79 E72:P75">
    <cfRule type="cellIs" dxfId="1781" priority="1321" stopIfTrue="1" operator="equal">
      <formula>"N/A"</formula>
    </cfRule>
  </conditionalFormatting>
  <conditionalFormatting sqref="L71:N71 I71:J71">
    <cfRule type="cellIs" dxfId="1780" priority="1318" stopIfTrue="1" operator="equal">
      <formula>"Operation"</formula>
    </cfRule>
  </conditionalFormatting>
  <conditionalFormatting sqref="K71">
    <cfRule type="cellIs" dxfId="1779" priority="1317" stopIfTrue="1" operator="equal">
      <formula>"Operation"</formula>
    </cfRule>
  </conditionalFormatting>
  <conditionalFormatting sqref="G71:H71">
    <cfRule type="cellIs" dxfId="1778" priority="1316" stopIfTrue="1" operator="equal">
      <formula>"Operation"</formula>
    </cfRule>
  </conditionalFormatting>
  <conditionalFormatting sqref="H71:P71">
    <cfRule type="cellIs" dxfId="1777" priority="1313" stopIfTrue="1" operator="equal">
      <formula>"N/A"</formula>
    </cfRule>
  </conditionalFormatting>
  <conditionalFormatting sqref="O71:P71">
    <cfRule type="cellIs" dxfId="1776" priority="1319" stopIfTrue="1" operator="equal">
      <formula>"Operation"</formula>
    </cfRule>
  </conditionalFormatting>
  <conditionalFormatting sqref="D71">
    <cfRule type="cellIs" dxfId="1775" priority="1315" stopIfTrue="1" operator="equal">
      <formula>"Total"</formula>
    </cfRule>
  </conditionalFormatting>
  <conditionalFormatting sqref="G79:H79">
    <cfRule type="cellIs" dxfId="1774" priority="1312" stopIfTrue="1" operator="equal">
      <formula>"Operation"</formula>
    </cfRule>
  </conditionalFormatting>
  <conditionalFormatting sqref="H79:P79">
    <cfRule type="cellIs" dxfId="1773" priority="1311" stopIfTrue="1" operator="equal">
      <formula>"N/A"</formula>
    </cfRule>
  </conditionalFormatting>
  <conditionalFormatting sqref="E71">
    <cfRule type="cellIs" dxfId="1772" priority="1310" stopIfTrue="1" operator="equal">
      <formula>"Operation"</formula>
    </cfRule>
  </conditionalFormatting>
  <conditionalFormatting sqref="E71">
    <cfRule type="cellIs" dxfId="1771" priority="1309" stopIfTrue="1" operator="equal">
      <formula>"N/A"</formula>
    </cfRule>
  </conditionalFormatting>
  <conditionalFormatting sqref="K76">
    <cfRule type="cellIs" dxfId="1770" priority="1302" stopIfTrue="1" operator="equal">
      <formula>"Operation"</formula>
    </cfRule>
  </conditionalFormatting>
  <conditionalFormatting sqref="I76:K76">
    <cfRule type="cellIs" dxfId="1769" priority="1301" stopIfTrue="1" operator="equal">
      <formula>"N/A"</formula>
    </cfRule>
  </conditionalFormatting>
  <conditionalFormatting sqref="M76:N76">
    <cfRule type="cellIs" dxfId="1768" priority="1308" stopIfTrue="1" operator="equal">
      <formula>"Operation"</formula>
    </cfRule>
  </conditionalFormatting>
  <conditionalFormatting sqref="G76:H76 L76">
    <cfRule type="cellIs" dxfId="1767" priority="1307" stopIfTrue="1" operator="equal">
      <formula>"Operation"</formula>
    </cfRule>
  </conditionalFormatting>
  <conditionalFormatting sqref="G76:H76 L76:N76">
    <cfRule type="cellIs" dxfId="1766" priority="1306" stopIfTrue="1" operator="equal">
      <formula>"N/A"</formula>
    </cfRule>
  </conditionalFormatting>
  <conditionalFormatting sqref="O76:P76">
    <cfRule type="cellIs" dxfId="1765" priority="1304" stopIfTrue="1" operator="equal">
      <formula>"N/A"</formula>
    </cfRule>
  </conditionalFormatting>
  <conditionalFormatting sqref="O76:P76">
    <cfRule type="cellIs" dxfId="1764" priority="1305" stopIfTrue="1" operator="equal">
      <formula>"Operation"</formula>
    </cfRule>
  </conditionalFormatting>
  <conditionalFormatting sqref="I76:J76">
    <cfRule type="cellIs" dxfId="1763" priority="1303" stopIfTrue="1" operator="equal">
      <formula>"Operation"</formula>
    </cfRule>
  </conditionalFormatting>
  <conditionalFormatting sqref="D76">
    <cfRule type="cellIs" dxfId="1762" priority="1300" stopIfTrue="1" operator="equal">
      <formula>"Total"</formula>
    </cfRule>
  </conditionalFormatting>
  <conditionalFormatting sqref="E76">
    <cfRule type="cellIs" dxfId="1761" priority="1299" stopIfTrue="1" operator="equal">
      <formula>"Operation"</formula>
    </cfRule>
  </conditionalFormatting>
  <conditionalFormatting sqref="E76">
    <cfRule type="cellIs" dxfId="1760" priority="1298" stopIfTrue="1" operator="equal">
      <formula>"N/A"</formula>
    </cfRule>
  </conditionalFormatting>
  <conditionalFormatting sqref="F71">
    <cfRule type="cellIs" dxfId="1759" priority="1297" stopIfTrue="1" operator="equal">
      <formula>"Operation"</formula>
    </cfRule>
  </conditionalFormatting>
  <conditionalFormatting sqref="F71">
    <cfRule type="cellIs" dxfId="1758" priority="1296" stopIfTrue="1" operator="equal">
      <formula>"N/A"</formula>
    </cfRule>
  </conditionalFormatting>
  <conditionalFormatting sqref="F76">
    <cfRule type="cellIs" dxfId="1757" priority="1295" stopIfTrue="1" operator="equal">
      <formula>"Operation"</formula>
    </cfRule>
  </conditionalFormatting>
  <conditionalFormatting sqref="F76">
    <cfRule type="cellIs" dxfId="1756" priority="1294" stopIfTrue="1" operator="equal">
      <formula>"N/A"</formula>
    </cfRule>
  </conditionalFormatting>
  <conditionalFormatting sqref="I118:P118 G116:P117 E116:F118 E113:P114">
    <cfRule type="cellIs" dxfId="1755" priority="1286" stopIfTrue="1" operator="equal">
      <formula>"Operation"</formula>
    </cfRule>
  </conditionalFormatting>
  <conditionalFormatting sqref="D112:D118">
    <cfRule type="cellIs" dxfId="1754" priority="1285" stopIfTrue="1" operator="equal">
      <formula>"Total"</formula>
    </cfRule>
  </conditionalFormatting>
  <conditionalFormatting sqref="H116:P117 E116:F118 E113:P114">
    <cfRule type="cellIs" dxfId="1753" priority="1283" stopIfTrue="1" operator="equal">
      <formula>"N/A"</formula>
    </cfRule>
  </conditionalFormatting>
  <conditionalFormatting sqref="L112:N112 I112:J112">
    <cfRule type="cellIs" dxfId="1752" priority="1280" stopIfTrue="1" operator="equal">
      <formula>"Operation"</formula>
    </cfRule>
  </conditionalFormatting>
  <conditionalFormatting sqref="K112">
    <cfRule type="cellIs" dxfId="1751" priority="1279" stopIfTrue="1" operator="equal">
      <formula>"Operation"</formula>
    </cfRule>
  </conditionalFormatting>
  <conditionalFormatting sqref="G112:H112">
    <cfRule type="cellIs" dxfId="1750" priority="1278" stopIfTrue="1" operator="equal">
      <formula>"Operation"</formula>
    </cfRule>
  </conditionalFormatting>
  <conditionalFormatting sqref="H112:P112">
    <cfRule type="cellIs" dxfId="1749" priority="1275" stopIfTrue="1" operator="equal">
      <formula>"N/A"</formula>
    </cfRule>
  </conditionalFormatting>
  <conditionalFormatting sqref="O112:P112">
    <cfRule type="cellIs" dxfId="1748" priority="1281" stopIfTrue="1" operator="equal">
      <formula>"Operation"</formula>
    </cfRule>
  </conditionalFormatting>
  <conditionalFormatting sqref="D112">
    <cfRule type="cellIs" dxfId="1747" priority="1277" stopIfTrue="1" operator="equal">
      <formula>"Total"</formula>
    </cfRule>
  </conditionalFormatting>
  <conditionalFormatting sqref="G118:H118">
    <cfRule type="cellIs" dxfId="1746" priority="1274" stopIfTrue="1" operator="equal">
      <formula>"Operation"</formula>
    </cfRule>
  </conditionalFormatting>
  <conditionalFormatting sqref="H118:P118">
    <cfRule type="cellIs" dxfId="1745" priority="1273" stopIfTrue="1" operator="equal">
      <formula>"N/A"</formula>
    </cfRule>
  </conditionalFormatting>
  <conditionalFormatting sqref="E112">
    <cfRule type="cellIs" dxfId="1744" priority="1272" stopIfTrue="1" operator="equal">
      <formula>"Operation"</formula>
    </cfRule>
  </conditionalFormatting>
  <conditionalFormatting sqref="E112">
    <cfRule type="cellIs" dxfId="1743" priority="1271" stopIfTrue="1" operator="equal">
      <formula>"N/A"</formula>
    </cfRule>
  </conditionalFormatting>
  <conditionalFormatting sqref="K115">
    <cfRule type="cellIs" dxfId="1742" priority="1264" stopIfTrue="1" operator="equal">
      <formula>"Operation"</formula>
    </cfRule>
  </conditionalFormatting>
  <conditionalFormatting sqref="I115:K115">
    <cfRule type="cellIs" dxfId="1741" priority="1263" stopIfTrue="1" operator="equal">
      <formula>"N/A"</formula>
    </cfRule>
  </conditionalFormatting>
  <conditionalFormatting sqref="M115:N115">
    <cfRule type="cellIs" dxfId="1740" priority="1270" stopIfTrue="1" operator="equal">
      <formula>"Operation"</formula>
    </cfRule>
  </conditionalFormatting>
  <conditionalFormatting sqref="G115:H115 L115">
    <cfRule type="cellIs" dxfId="1739" priority="1269" stopIfTrue="1" operator="equal">
      <formula>"Operation"</formula>
    </cfRule>
  </conditionalFormatting>
  <conditionalFormatting sqref="G115:H115 L115:N115">
    <cfRule type="cellIs" dxfId="1738" priority="1268" stopIfTrue="1" operator="equal">
      <formula>"N/A"</formula>
    </cfRule>
  </conditionalFormatting>
  <conditionalFormatting sqref="O115:P115">
    <cfRule type="cellIs" dxfId="1737" priority="1266" stopIfTrue="1" operator="equal">
      <formula>"N/A"</formula>
    </cfRule>
  </conditionalFormatting>
  <conditionalFormatting sqref="O115:P115">
    <cfRule type="cellIs" dxfId="1736" priority="1267" stopIfTrue="1" operator="equal">
      <formula>"Operation"</formula>
    </cfRule>
  </conditionalFormatting>
  <conditionalFormatting sqref="I115:J115">
    <cfRule type="cellIs" dxfId="1735" priority="1265" stopIfTrue="1" operator="equal">
      <formula>"Operation"</formula>
    </cfRule>
  </conditionalFormatting>
  <conditionalFormatting sqref="D115">
    <cfRule type="cellIs" dxfId="1734" priority="1262" stopIfTrue="1" operator="equal">
      <formula>"Total"</formula>
    </cfRule>
  </conditionalFormatting>
  <conditionalFormatting sqref="E115">
    <cfRule type="cellIs" dxfId="1733" priority="1261" stopIfTrue="1" operator="equal">
      <formula>"Operation"</formula>
    </cfRule>
  </conditionalFormatting>
  <conditionalFormatting sqref="E115">
    <cfRule type="cellIs" dxfId="1732" priority="1260" stopIfTrue="1" operator="equal">
      <formula>"N/A"</formula>
    </cfRule>
  </conditionalFormatting>
  <conditionalFormatting sqref="F112">
    <cfRule type="cellIs" dxfId="1731" priority="1259" stopIfTrue="1" operator="equal">
      <formula>"Operation"</formula>
    </cfRule>
  </conditionalFormatting>
  <conditionalFormatting sqref="F112">
    <cfRule type="cellIs" dxfId="1730" priority="1258" stopIfTrue="1" operator="equal">
      <formula>"N/A"</formula>
    </cfRule>
  </conditionalFormatting>
  <conditionalFormatting sqref="F115">
    <cfRule type="cellIs" dxfId="1729" priority="1257" stopIfTrue="1" operator="equal">
      <formula>"Operation"</formula>
    </cfRule>
  </conditionalFormatting>
  <conditionalFormatting sqref="F115">
    <cfRule type="cellIs" dxfId="1728" priority="1256" stopIfTrue="1" operator="equal">
      <formula>"N/A"</formula>
    </cfRule>
  </conditionalFormatting>
  <conditionalFormatting sqref="I123:P123 E120:P121">
    <cfRule type="cellIs" dxfId="1727" priority="1254" stopIfTrue="1" operator="equal">
      <formula>"Operation"</formula>
    </cfRule>
  </conditionalFormatting>
  <conditionalFormatting sqref="E120:P121">
    <cfRule type="cellIs" dxfId="1726" priority="1252" stopIfTrue="1" operator="equal">
      <formula>"N/A"</formula>
    </cfRule>
  </conditionalFormatting>
  <conditionalFormatting sqref="L119:N119 I119:J119">
    <cfRule type="cellIs" dxfId="1725" priority="1250" stopIfTrue="1" operator="equal">
      <formula>"Operation"</formula>
    </cfRule>
  </conditionalFormatting>
  <conditionalFormatting sqref="K119">
    <cfRule type="cellIs" dxfId="1724" priority="1249" stopIfTrue="1" operator="equal">
      <formula>"Operation"</formula>
    </cfRule>
  </conditionalFormatting>
  <conditionalFormatting sqref="G119:H119">
    <cfRule type="cellIs" dxfId="1723" priority="1248" stopIfTrue="1" operator="equal">
      <formula>"Operation"</formula>
    </cfRule>
  </conditionalFormatting>
  <conditionalFormatting sqref="H119:P119">
    <cfRule type="cellIs" dxfId="1722" priority="1245" stopIfTrue="1" operator="equal">
      <formula>"N/A"</formula>
    </cfRule>
  </conditionalFormatting>
  <conditionalFormatting sqref="O119:P119">
    <cfRule type="cellIs" dxfId="1721" priority="1251" stopIfTrue="1" operator="equal">
      <formula>"Operation"</formula>
    </cfRule>
  </conditionalFormatting>
  <conditionalFormatting sqref="D119">
    <cfRule type="cellIs" dxfId="1720" priority="1247" stopIfTrue="1" operator="equal">
      <formula>"Total"</formula>
    </cfRule>
  </conditionalFormatting>
  <conditionalFormatting sqref="G123:H123">
    <cfRule type="cellIs" dxfId="1719" priority="1244" stopIfTrue="1" operator="equal">
      <formula>"Operation"</formula>
    </cfRule>
  </conditionalFormatting>
  <conditionalFormatting sqref="H123:P123">
    <cfRule type="cellIs" dxfId="1718" priority="1243" stopIfTrue="1" operator="equal">
      <formula>"N/A"</formula>
    </cfRule>
  </conditionalFormatting>
  <conditionalFormatting sqref="E119">
    <cfRule type="cellIs" dxfId="1717" priority="1242" stopIfTrue="1" operator="equal">
      <formula>"Operation"</formula>
    </cfRule>
  </conditionalFormatting>
  <conditionalFormatting sqref="E119">
    <cfRule type="cellIs" dxfId="1716" priority="1241" stopIfTrue="1" operator="equal">
      <formula>"N/A"</formula>
    </cfRule>
  </conditionalFormatting>
  <conditionalFormatting sqref="F119">
    <cfRule type="cellIs" dxfId="1715" priority="1240" stopIfTrue="1" operator="equal">
      <formula>"Operation"</formula>
    </cfRule>
  </conditionalFormatting>
  <conditionalFormatting sqref="F119">
    <cfRule type="cellIs" dxfId="1714" priority="1239" stopIfTrue="1" operator="equal">
      <formula>"N/A"</formula>
    </cfRule>
  </conditionalFormatting>
  <conditionalFormatting sqref="I128:P128 E125:P126 E127:F127">
    <cfRule type="cellIs" dxfId="1713" priority="1234" stopIfTrue="1" operator="equal">
      <formula>"Operation"</formula>
    </cfRule>
  </conditionalFormatting>
  <conditionalFormatting sqref="E125:P126 E127:F127">
    <cfRule type="cellIs" dxfId="1712" priority="1232" stopIfTrue="1" operator="equal">
      <formula>"N/A"</formula>
    </cfRule>
  </conditionalFormatting>
  <conditionalFormatting sqref="L124:N124 I124:J124">
    <cfRule type="cellIs" dxfId="1711" priority="1230" stopIfTrue="1" operator="equal">
      <formula>"Operation"</formula>
    </cfRule>
  </conditionalFormatting>
  <conditionalFormatting sqref="K124">
    <cfRule type="cellIs" dxfId="1710" priority="1229" stopIfTrue="1" operator="equal">
      <formula>"Operation"</formula>
    </cfRule>
  </conditionalFormatting>
  <conditionalFormatting sqref="G124:H124">
    <cfRule type="cellIs" dxfId="1709" priority="1228" stopIfTrue="1" operator="equal">
      <formula>"Operation"</formula>
    </cfRule>
  </conditionalFormatting>
  <conditionalFormatting sqref="H124:P124">
    <cfRule type="cellIs" dxfId="1708" priority="1225" stopIfTrue="1" operator="equal">
      <formula>"N/A"</formula>
    </cfRule>
  </conditionalFormatting>
  <conditionalFormatting sqref="O124:P124">
    <cfRule type="cellIs" dxfId="1707" priority="1231" stopIfTrue="1" operator="equal">
      <formula>"Operation"</formula>
    </cfRule>
  </conditionalFormatting>
  <conditionalFormatting sqref="D124">
    <cfRule type="cellIs" dxfId="1706" priority="1227" stopIfTrue="1" operator="equal">
      <formula>"Total"</formula>
    </cfRule>
  </conditionalFormatting>
  <conditionalFormatting sqref="G128:H128">
    <cfRule type="cellIs" dxfId="1705" priority="1224" stopIfTrue="1" operator="equal">
      <formula>"Operation"</formula>
    </cfRule>
  </conditionalFormatting>
  <conditionalFormatting sqref="H128:P128">
    <cfRule type="cellIs" dxfId="1704" priority="1223" stopIfTrue="1" operator="equal">
      <formula>"N/A"</formula>
    </cfRule>
  </conditionalFormatting>
  <conditionalFormatting sqref="E124">
    <cfRule type="cellIs" dxfId="1703" priority="1222" stopIfTrue="1" operator="equal">
      <formula>"Operation"</formula>
    </cfRule>
  </conditionalFormatting>
  <conditionalFormatting sqref="E124">
    <cfRule type="cellIs" dxfId="1702" priority="1221" stopIfTrue="1" operator="equal">
      <formula>"N/A"</formula>
    </cfRule>
  </conditionalFormatting>
  <conditionalFormatting sqref="F124">
    <cfRule type="cellIs" dxfId="1701" priority="1220" stopIfTrue="1" operator="equal">
      <formula>"Operation"</formula>
    </cfRule>
  </conditionalFormatting>
  <conditionalFormatting sqref="F124">
    <cfRule type="cellIs" dxfId="1700" priority="1219" stopIfTrue="1" operator="equal">
      <formula>"N/A"</formula>
    </cfRule>
  </conditionalFormatting>
  <conditionalFormatting sqref="I155:P155 G153:P154 E153:F155 E150:P151">
    <cfRule type="cellIs" dxfId="1699" priority="1214" stopIfTrue="1" operator="equal">
      <formula>"Operation"</formula>
    </cfRule>
  </conditionalFormatting>
  <conditionalFormatting sqref="D149:D155">
    <cfRule type="cellIs" dxfId="1698" priority="1213" stopIfTrue="1" operator="equal">
      <formula>"Total"</formula>
    </cfRule>
  </conditionalFormatting>
  <conditionalFormatting sqref="H153:P154 E153:F155 E150:P151">
    <cfRule type="cellIs" dxfId="1697" priority="1211" stopIfTrue="1" operator="equal">
      <formula>"N/A"</formula>
    </cfRule>
  </conditionalFormatting>
  <conditionalFormatting sqref="L149:N149 I149:J149">
    <cfRule type="cellIs" dxfId="1696" priority="1208" stopIfTrue="1" operator="equal">
      <formula>"Operation"</formula>
    </cfRule>
  </conditionalFormatting>
  <conditionalFormatting sqref="K149">
    <cfRule type="cellIs" dxfId="1695" priority="1207" stopIfTrue="1" operator="equal">
      <formula>"Operation"</formula>
    </cfRule>
  </conditionalFormatting>
  <conditionalFormatting sqref="G149:H149">
    <cfRule type="cellIs" dxfId="1694" priority="1206" stopIfTrue="1" operator="equal">
      <formula>"Operation"</formula>
    </cfRule>
  </conditionalFormatting>
  <conditionalFormatting sqref="H149:P149">
    <cfRule type="cellIs" dxfId="1693" priority="1203" stopIfTrue="1" operator="equal">
      <formula>"N/A"</formula>
    </cfRule>
  </conditionalFormatting>
  <conditionalFormatting sqref="O149:P149">
    <cfRule type="cellIs" dxfId="1692" priority="1209" stopIfTrue="1" operator="equal">
      <formula>"Operation"</formula>
    </cfRule>
  </conditionalFormatting>
  <conditionalFormatting sqref="D149">
    <cfRule type="cellIs" dxfId="1691" priority="1205" stopIfTrue="1" operator="equal">
      <formula>"Total"</formula>
    </cfRule>
  </conditionalFormatting>
  <conditionalFormatting sqref="G155:H155">
    <cfRule type="cellIs" dxfId="1690" priority="1202" stopIfTrue="1" operator="equal">
      <formula>"Operation"</formula>
    </cfRule>
  </conditionalFormatting>
  <conditionalFormatting sqref="H155:P155">
    <cfRule type="cellIs" dxfId="1689" priority="1201" stopIfTrue="1" operator="equal">
      <formula>"N/A"</formula>
    </cfRule>
  </conditionalFormatting>
  <conditionalFormatting sqref="E149">
    <cfRule type="cellIs" dxfId="1688" priority="1200" stopIfTrue="1" operator="equal">
      <formula>"Operation"</formula>
    </cfRule>
  </conditionalFormatting>
  <conditionalFormatting sqref="E149">
    <cfRule type="cellIs" dxfId="1687" priority="1199" stopIfTrue="1" operator="equal">
      <formula>"N/A"</formula>
    </cfRule>
  </conditionalFormatting>
  <conditionalFormatting sqref="K152">
    <cfRule type="cellIs" dxfId="1686" priority="1192" stopIfTrue="1" operator="equal">
      <formula>"Operation"</formula>
    </cfRule>
  </conditionalFormatting>
  <conditionalFormatting sqref="I152:K152">
    <cfRule type="cellIs" dxfId="1685" priority="1191" stopIfTrue="1" operator="equal">
      <formula>"N/A"</formula>
    </cfRule>
  </conditionalFormatting>
  <conditionalFormatting sqref="M152:N152">
    <cfRule type="cellIs" dxfId="1684" priority="1198" stopIfTrue="1" operator="equal">
      <formula>"Operation"</formula>
    </cfRule>
  </conditionalFormatting>
  <conditionalFormatting sqref="G152:H152 L152">
    <cfRule type="cellIs" dxfId="1683" priority="1197" stopIfTrue="1" operator="equal">
      <formula>"Operation"</formula>
    </cfRule>
  </conditionalFormatting>
  <conditionalFormatting sqref="G152:H152 L152:N152">
    <cfRule type="cellIs" dxfId="1682" priority="1196" stopIfTrue="1" operator="equal">
      <formula>"N/A"</formula>
    </cfRule>
  </conditionalFormatting>
  <conditionalFormatting sqref="O152:P152">
    <cfRule type="cellIs" dxfId="1681" priority="1194" stopIfTrue="1" operator="equal">
      <formula>"N/A"</formula>
    </cfRule>
  </conditionalFormatting>
  <conditionalFormatting sqref="O152:P152">
    <cfRule type="cellIs" dxfId="1680" priority="1195" stopIfTrue="1" operator="equal">
      <formula>"Operation"</formula>
    </cfRule>
  </conditionalFormatting>
  <conditionalFormatting sqref="I152:J152">
    <cfRule type="cellIs" dxfId="1679" priority="1193" stopIfTrue="1" operator="equal">
      <formula>"Operation"</formula>
    </cfRule>
  </conditionalFormatting>
  <conditionalFormatting sqref="D152">
    <cfRule type="cellIs" dxfId="1678" priority="1190" stopIfTrue="1" operator="equal">
      <formula>"Total"</formula>
    </cfRule>
  </conditionalFormatting>
  <conditionalFormatting sqref="E152">
    <cfRule type="cellIs" dxfId="1677" priority="1189" stopIfTrue="1" operator="equal">
      <formula>"Operation"</formula>
    </cfRule>
  </conditionalFormatting>
  <conditionalFormatting sqref="E152">
    <cfRule type="cellIs" dxfId="1676" priority="1188" stopIfTrue="1" operator="equal">
      <formula>"N/A"</formula>
    </cfRule>
  </conditionalFormatting>
  <conditionalFormatting sqref="F149">
    <cfRule type="cellIs" dxfId="1675" priority="1187" stopIfTrue="1" operator="equal">
      <formula>"Operation"</formula>
    </cfRule>
  </conditionalFormatting>
  <conditionalFormatting sqref="F149">
    <cfRule type="cellIs" dxfId="1674" priority="1186" stopIfTrue="1" operator="equal">
      <formula>"N/A"</formula>
    </cfRule>
  </conditionalFormatting>
  <conditionalFormatting sqref="F152">
    <cfRule type="cellIs" dxfId="1673" priority="1185" stopIfTrue="1" operator="equal">
      <formula>"Operation"</formula>
    </cfRule>
  </conditionalFormatting>
  <conditionalFormatting sqref="F152">
    <cfRule type="cellIs" dxfId="1672" priority="1184" stopIfTrue="1" operator="equal">
      <formula>"N/A"</formula>
    </cfRule>
  </conditionalFormatting>
  <conditionalFormatting sqref="I16:P16 E16:F16">
    <cfRule type="cellIs" dxfId="1671" priority="1182" stopIfTrue="1" operator="equal">
      <formula>"Operation"</formula>
    </cfRule>
  </conditionalFormatting>
  <conditionalFormatting sqref="D15:D16">
    <cfRule type="cellIs" dxfId="1670" priority="1181" stopIfTrue="1" operator="equal">
      <formula>"Total"</formula>
    </cfRule>
  </conditionalFormatting>
  <conditionalFormatting sqref="E16:F16">
    <cfRule type="cellIs" dxfId="1669" priority="1180" stopIfTrue="1" operator="equal">
      <formula>"N/A"</formula>
    </cfRule>
  </conditionalFormatting>
  <conditionalFormatting sqref="L10:N10 I10:J10 L14:N15 I14:J15">
    <cfRule type="cellIs" dxfId="1668" priority="1178" stopIfTrue="1" operator="equal">
      <formula>"Operation"</formula>
    </cfRule>
  </conditionalFormatting>
  <conditionalFormatting sqref="K10 K14:K15">
    <cfRule type="cellIs" dxfId="1667" priority="1177" stopIfTrue="1" operator="equal">
      <formula>"Operation"</formula>
    </cfRule>
  </conditionalFormatting>
  <conditionalFormatting sqref="G10:H10 G14:H15">
    <cfRule type="cellIs" dxfId="1666" priority="1176" stopIfTrue="1" operator="equal">
      <formula>"Operation"</formula>
    </cfRule>
  </conditionalFormatting>
  <conditionalFormatting sqref="H10:P10 H14:P15">
    <cfRule type="cellIs" dxfId="1665" priority="1173" stopIfTrue="1" operator="equal">
      <formula>"N/A"</formula>
    </cfRule>
  </conditionalFormatting>
  <conditionalFormatting sqref="O10:P10 O14:P15">
    <cfRule type="cellIs" dxfId="1664" priority="1179" stopIfTrue="1" operator="equal">
      <formula>"Operation"</formula>
    </cfRule>
  </conditionalFormatting>
  <conditionalFormatting sqref="D10 D14:D15">
    <cfRule type="cellIs" dxfId="1663" priority="1175" stopIfTrue="1" operator="equal">
      <formula>"Total"</formula>
    </cfRule>
  </conditionalFormatting>
  <conditionalFormatting sqref="G16:H16">
    <cfRule type="cellIs" dxfId="1662" priority="1171" stopIfTrue="1" operator="equal">
      <formula>"Operation"</formula>
    </cfRule>
  </conditionalFormatting>
  <conditionalFormatting sqref="H16:P16">
    <cfRule type="cellIs" dxfId="1661" priority="1170" stopIfTrue="1" operator="equal">
      <formula>"N/A"</formula>
    </cfRule>
  </conditionalFormatting>
  <conditionalFormatting sqref="E10 E14:E15">
    <cfRule type="cellIs" dxfId="1660" priority="1169" stopIfTrue="1" operator="equal">
      <formula>"Operation"</formula>
    </cfRule>
  </conditionalFormatting>
  <conditionalFormatting sqref="E10 E14:E15">
    <cfRule type="cellIs" dxfId="1659" priority="1168" stopIfTrue="1" operator="equal">
      <formula>"N/A"</formula>
    </cfRule>
  </conditionalFormatting>
  <conditionalFormatting sqref="O11:P12">
    <cfRule type="cellIs" dxfId="1658" priority="1163" stopIfTrue="1" operator="equal">
      <formula>"Operation"</formula>
    </cfRule>
  </conditionalFormatting>
  <conditionalFormatting sqref="O11:P12">
    <cfRule type="cellIs" dxfId="1657" priority="1162" stopIfTrue="1" operator="equal">
      <formula>"N/A"</formula>
    </cfRule>
  </conditionalFormatting>
  <conditionalFormatting sqref="K13">
    <cfRule type="cellIs" dxfId="1656" priority="1148" stopIfTrue="1" operator="equal">
      <formula>"Operation"</formula>
    </cfRule>
  </conditionalFormatting>
  <conditionalFormatting sqref="I13:K13">
    <cfRule type="cellIs" dxfId="1655" priority="1147" stopIfTrue="1" operator="equal">
      <formula>"N/A"</formula>
    </cfRule>
  </conditionalFormatting>
  <conditionalFormatting sqref="M13:N13">
    <cfRule type="cellIs" dxfId="1654" priority="1154" stopIfTrue="1" operator="equal">
      <formula>"Operation"</formula>
    </cfRule>
  </conditionalFormatting>
  <conditionalFormatting sqref="L11:L12 G11:H12">
    <cfRule type="cellIs" dxfId="1653" priority="1165" stopIfTrue="1" operator="equal">
      <formula>"Operation"</formula>
    </cfRule>
  </conditionalFormatting>
  <conditionalFormatting sqref="L11:N12 G11:H12">
    <cfRule type="cellIs" dxfId="1652" priority="1164" stopIfTrue="1" operator="equal">
      <formula>"N/A"</formula>
    </cfRule>
  </conditionalFormatting>
  <conditionalFormatting sqref="M11:N12">
    <cfRule type="cellIs" dxfId="1651" priority="1166" stopIfTrue="1" operator="equal">
      <formula>"Operation"</formula>
    </cfRule>
  </conditionalFormatting>
  <conditionalFormatting sqref="I11:J12">
    <cfRule type="cellIs" dxfId="1650" priority="1161" stopIfTrue="1" operator="equal">
      <formula>"Operation"</formula>
    </cfRule>
  </conditionalFormatting>
  <conditionalFormatting sqref="K11:K12">
    <cfRule type="cellIs" dxfId="1649" priority="1160" stopIfTrue="1" operator="equal">
      <formula>"Operation"</formula>
    </cfRule>
  </conditionalFormatting>
  <conditionalFormatting sqref="I11:K12">
    <cfRule type="cellIs" dxfId="1648" priority="1159" stopIfTrue="1" operator="equal">
      <formula>"N/A"</formula>
    </cfRule>
  </conditionalFormatting>
  <conditionalFormatting sqref="D11:D12">
    <cfRule type="cellIs" dxfId="1647" priority="1158" stopIfTrue="1" operator="equal">
      <formula>"Total"</formula>
    </cfRule>
  </conditionalFormatting>
  <conditionalFormatting sqref="E11:E12">
    <cfRule type="cellIs" dxfId="1646" priority="1157" stopIfTrue="1" operator="equal">
      <formula>"Operation"</formula>
    </cfRule>
  </conditionalFormatting>
  <conditionalFormatting sqref="E11:E12">
    <cfRule type="cellIs" dxfId="1645" priority="1156" stopIfTrue="1" operator="equal">
      <formula>"N/A"</formula>
    </cfRule>
  </conditionalFormatting>
  <conditionalFormatting sqref="G13:H13 L13">
    <cfRule type="cellIs" dxfId="1644" priority="1153" stopIfTrue="1" operator="equal">
      <formula>"Operation"</formula>
    </cfRule>
  </conditionalFormatting>
  <conditionalFormatting sqref="G13:H13 L13:N13">
    <cfRule type="cellIs" dxfId="1643" priority="1152" stopIfTrue="1" operator="equal">
      <formula>"N/A"</formula>
    </cfRule>
  </conditionalFormatting>
  <conditionalFormatting sqref="O13:P13">
    <cfRule type="cellIs" dxfId="1642" priority="1150" stopIfTrue="1" operator="equal">
      <formula>"N/A"</formula>
    </cfRule>
  </conditionalFormatting>
  <conditionalFormatting sqref="O13:P13">
    <cfRule type="cellIs" dxfId="1641" priority="1151" stopIfTrue="1" operator="equal">
      <formula>"Operation"</formula>
    </cfRule>
  </conditionalFormatting>
  <conditionalFormatting sqref="I13:J13">
    <cfRule type="cellIs" dxfId="1640" priority="1149" stopIfTrue="1" operator="equal">
      <formula>"Operation"</formula>
    </cfRule>
  </conditionalFormatting>
  <conditionalFormatting sqref="D13">
    <cfRule type="cellIs" dxfId="1639" priority="1146" stopIfTrue="1" operator="equal">
      <formula>"Total"</formula>
    </cfRule>
  </conditionalFormatting>
  <conditionalFormatting sqref="E13">
    <cfRule type="cellIs" dxfId="1638" priority="1144" stopIfTrue="1" operator="equal">
      <formula>"Operation"</formula>
    </cfRule>
  </conditionalFormatting>
  <conditionalFormatting sqref="E13">
    <cfRule type="cellIs" dxfId="1637" priority="1143" stopIfTrue="1" operator="equal">
      <formula>"N/A"</formula>
    </cfRule>
  </conditionalFormatting>
  <conditionalFormatting sqref="F10 F14:F15">
    <cfRule type="cellIs" dxfId="1636" priority="1142" stopIfTrue="1" operator="equal">
      <formula>"Operation"</formula>
    </cfRule>
  </conditionalFormatting>
  <conditionalFormatting sqref="F10 F14:F15">
    <cfRule type="cellIs" dxfId="1635" priority="1141" stopIfTrue="1" operator="equal">
      <formula>"N/A"</formula>
    </cfRule>
  </conditionalFormatting>
  <conditionalFormatting sqref="F11:F12">
    <cfRule type="cellIs" dxfId="1634" priority="1140" stopIfTrue="1" operator="equal">
      <formula>"Operation"</formula>
    </cfRule>
  </conditionalFormatting>
  <conditionalFormatting sqref="F11:F12">
    <cfRule type="cellIs" dxfId="1633" priority="1139" stopIfTrue="1" operator="equal">
      <formula>"N/A"</formula>
    </cfRule>
  </conditionalFormatting>
  <conditionalFormatting sqref="F13">
    <cfRule type="cellIs" dxfId="1632" priority="1138" stopIfTrue="1" operator="equal">
      <formula>"Operation"</formula>
    </cfRule>
  </conditionalFormatting>
  <conditionalFormatting sqref="F13">
    <cfRule type="cellIs" dxfId="1631" priority="1137" stopIfTrue="1" operator="equal">
      <formula>"N/A"</formula>
    </cfRule>
  </conditionalFormatting>
  <conditionalFormatting sqref="D10:D14">
    <cfRule type="cellIs" dxfId="1630" priority="1136" stopIfTrue="1" operator="equal">
      <formula>"Total"</formula>
    </cfRule>
  </conditionalFormatting>
  <conditionalFormatting sqref="I65:P65 E65:F65">
    <cfRule type="cellIs" dxfId="1629" priority="1135" stopIfTrue="1" operator="equal">
      <formula>"Operation"</formula>
    </cfRule>
  </conditionalFormatting>
  <conditionalFormatting sqref="D64:D65">
    <cfRule type="cellIs" dxfId="1628" priority="1134" stopIfTrue="1" operator="equal">
      <formula>"Total"</formula>
    </cfRule>
  </conditionalFormatting>
  <conditionalFormatting sqref="E65:F65">
    <cfRule type="cellIs" dxfId="1627" priority="1133" stopIfTrue="1" operator="equal">
      <formula>"N/A"</formula>
    </cfRule>
  </conditionalFormatting>
  <conditionalFormatting sqref="L59:N59 I59:J59 L63:N64 I63:J64">
    <cfRule type="cellIs" dxfId="1626" priority="1131" stopIfTrue="1" operator="equal">
      <formula>"Operation"</formula>
    </cfRule>
  </conditionalFormatting>
  <conditionalFormatting sqref="K59 K63:K64">
    <cfRule type="cellIs" dxfId="1625" priority="1130" stopIfTrue="1" operator="equal">
      <formula>"Operation"</formula>
    </cfRule>
  </conditionalFormatting>
  <conditionalFormatting sqref="G59:H59 G63:H64">
    <cfRule type="cellIs" dxfId="1624" priority="1129" stopIfTrue="1" operator="equal">
      <formula>"Operation"</formula>
    </cfRule>
  </conditionalFormatting>
  <conditionalFormatting sqref="H59:P59 H63:P64">
    <cfRule type="cellIs" dxfId="1623" priority="1127" stopIfTrue="1" operator="equal">
      <formula>"N/A"</formula>
    </cfRule>
  </conditionalFormatting>
  <conditionalFormatting sqref="O59:P59 O63:P64">
    <cfRule type="cellIs" dxfId="1622" priority="1132" stopIfTrue="1" operator="equal">
      <formula>"Operation"</formula>
    </cfRule>
  </conditionalFormatting>
  <conditionalFormatting sqref="D59 D63:D64">
    <cfRule type="cellIs" dxfId="1621" priority="1128" stopIfTrue="1" operator="equal">
      <formula>"Total"</formula>
    </cfRule>
  </conditionalFormatting>
  <conditionalFormatting sqref="G65:H65">
    <cfRule type="cellIs" dxfId="1620" priority="1126" stopIfTrue="1" operator="equal">
      <formula>"Operation"</formula>
    </cfRule>
  </conditionalFormatting>
  <conditionalFormatting sqref="H65:P65">
    <cfRule type="cellIs" dxfId="1619" priority="1125" stopIfTrue="1" operator="equal">
      <formula>"N/A"</formula>
    </cfRule>
  </conditionalFormatting>
  <conditionalFormatting sqref="E59 E63:E64">
    <cfRule type="cellIs" dxfId="1618" priority="1124" stopIfTrue="1" operator="equal">
      <formula>"Operation"</formula>
    </cfRule>
  </conditionalFormatting>
  <conditionalFormatting sqref="E59 E63:E64">
    <cfRule type="cellIs" dxfId="1617" priority="1123" stopIfTrue="1" operator="equal">
      <formula>"N/A"</formula>
    </cfRule>
  </conditionalFormatting>
  <conditionalFormatting sqref="O60:P61">
    <cfRule type="cellIs" dxfId="1616" priority="1119" stopIfTrue="1" operator="equal">
      <formula>"Operation"</formula>
    </cfRule>
  </conditionalFormatting>
  <conditionalFormatting sqref="O60:P61">
    <cfRule type="cellIs" dxfId="1615" priority="1118" stopIfTrue="1" operator="equal">
      <formula>"N/A"</formula>
    </cfRule>
  </conditionalFormatting>
  <conditionalFormatting sqref="K62">
    <cfRule type="cellIs" dxfId="1614" priority="1105" stopIfTrue="1" operator="equal">
      <formula>"Operation"</formula>
    </cfRule>
  </conditionalFormatting>
  <conditionalFormatting sqref="I62:K62">
    <cfRule type="cellIs" dxfId="1613" priority="1104" stopIfTrue="1" operator="equal">
      <formula>"N/A"</formula>
    </cfRule>
  </conditionalFormatting>
  <conditionalFormatting sqref="M62:N62">
    <cfRule type="cellIs" dxfId="1612" priority="1111" stopIfTrue="1" operator="equal">
      <formula>"Operation"</formula>
    </cfRule>
  </conditionalFormatting>
  <conditionalFormatting sqref="L60:L61 G60:H61">
    <cfRule type="cellIs" dxfId="1611" priority="1121" stopIfTrue="1" operator="equal">
      <formula>"Operation"</formula>
    </cfRule>
  </conditionalFormatting>
  <conditionalFormatting sqref="L60:N61 G60:H61">
    <cfRule type="cellIs" dxfId="1610" priority="1120" stopIfTrue="1" operator="equal">
      <formula>"N/A"</formula>
    </cfRule>
  </conditionalFormatting>
  <conditionalFormatting sqref="M60:N61">
    <cfRule type="cellIs" dxfId="1609" priority="1122" stopIfTrue="1" operator="equal">
      <formula>"Operation"</formula>
    </cfRule>
  </conditionalFormatting>
  <conditionalFormatting sqref="I60:J61">
    <cfRule type="cellIs" dxfId="1608" priority="1117" stopIfTrue="1" operator="equal">
      <formula>"Operation"</formula>
    </cfRule>
  </conditionalFormatting>
  <conditionalFormatting sqref="K60:K61">
    <cfRule type="cellIs" dxfId="1607" priority="1116" stopIfTrue="1" operator="equal">
      <formula>"Operation"</formula>
    </cfRule>
  </conditionalFormatting>
  <conditionalFormatting sqref="I60:K61">
    <cfRule type="cellIs" dxfId="1606" priority="1115" stopIfTrue="1" operator="equal">
      <formula>"N/A"</formula>
    </cfRule>
  </conditionalFormatting>
  <conditionalFormatting sqref="D60:D61">
    <cfRule type="cellIs" dxfId="1605" priority="1114" stopIfTrue="1" operator="equal">
      <formula>"Total"</formula>
    </cfRule>
  </conditionalFormatting>
  <conditionalFormatting sqref="E60:E61">
    <cfRule type="cellIs" dxfId="1604" priority="1113" stopIfTrue="1" operator="equal">
      <formula>"Operation"</formula>
    </cfRule>
  </conditionalFormatting>
  <conditionalFormatting sqref="E60:E61">
    <cfRule type="cellIs" dxfId="1603" priority="1112" stopIfTrue="1" operator="equal">
      <formula>"N/A"</formula>
    </cfRule>
  </conditionalFormatting>
  <conditionalFormatting sqref="G62:H62 L62">
    <cfRule type="cellIs" dxfId="1602" priority="1110" stopIfTrue="1" operator="equal">
      <formula>"Operation"</formula>
    </cfRule>
  </conditionalFormatting>
  <conditionalFormatting sqref="G62:H62 L62:N62">
    <cfRule type="cellIs" dxfId="1601" priority="1109" stopIfTrue="1" operator="equal">
      <formula>"N/A"</formula>
    </cfRule>
  </conditionalFormatting>
  <conditionalFormatting sqref="O62:P62">
    <cfRule type="cellIs" dxfId="1600" priority="1107" stopIfTrue="1" operator="equal">
      <formula>"N/A"</formula>
    </cfRule>
  </conditionalFormatting>
  <conditionalFormatting sqref="O62:P62">
    <cfRule type="cellIs" dxfId="1599" priority="1108" stopIfTrue="1" operator="equal">
      <formula>"Operation"</formula>
    </cfRule>
  </conditionalFormatting>
  <conditionalFormatting sqref="I62:J62">
    <cfRule type="cellIs" dxfId="1598" priority="1106" stopIfTrue="1" operator="equal">
      <formula>"Operation"</formula>
    </cfRule>
  </conditionalFormatting>
  <conditionalFormatting sqref="D62">
    <cfRule type="cellIs" dxfId="1597" priority="1103" stopIfTrue="1" operator="equal">
      <formula>"Total"</formula>
    </cfRule>
  </conditionalFormatting>
  <conditionalFormatting sqref="E62">
    <cfRule type="cellIs" dxfId="1596" priority="1102" stopIfTrue="1" operator="equal">
      <formula>"Operation"</formula>
    </cfRule>
  </conditionalFormatting>
  <conditionalFormatting sqref="E62">
    <cfRule type="cellIs" dxfId="1595" priority="1101" stopIfTrue="1" operator="equal">
      <formula>"N/A"</formula>
    </cfRule>
  </conditionalFormatting>
  <conditionalFormatting sqref="F59 F63:F64">
    <cfRule type="cellIs" dxfId="1594" priority="1100" stopIfTrue="1" operator="equal">
      <formula>"Operation"</formula>
    </cfRule>
  </conditionalFormatting>
  <conditionalFormatting sqref="F59 F63:F64">
    <cfRule type="cellIs" dxfId="1593" priority="1099" stopIfTrue="1" operator="equal">
      <formula>"N/A"</formula>
    </cfRule>
  </conditionalFormatting>
  <conditionalFormatting sqref="F60:F61">
    <cfRule type="cellIs" dxfId="1592" priority="1098" stopIfTrue="1" operator="equal">
      <formula>"Operation"</formula>
    </cfRule>
  </conditionalFormatting>
  <conditionalFormatting sqref="F60:F61">
    <cfRule type="cellIs" dxfId="1591" priority="1097" stopIfTrue="1" operator="equal">
      <formula>"N/A"</formula>
    </cfRule>
  </conditionalFormatting>
  <conditionalFormatting sqref="F62">
    <cfRule type="cellIs" dxfId="1590" priority="1096" stopIfTrue="1" operator="equal">
      <formula>"Operation"</formula>
    </cfRule>
  </conditionalFormatting>
  <conditionalFormatting sqref="F62">
    <cfRule type="cellIs" dxfId="1589" priority="1095" stopIfTrue="1" operator="equal">
      <formula>"N/A"</formula>
    </cfRule>
  </conditionalFormatting>
  <conditionalFormatting sqref="D59:D63">
    <cfRule type="cellIs" dxfId="1588" priority="1094" stopIfTrue="1" operator="equal">
      <formula>"Total"</formula>
    </cfRule>
  </conditionalFormatting>
  <conditionalFormatting sqref="D99:D100">
    <cfRule type="cellIs" dxfId="1587" priority="1093" stopIfTrue="1" operator="equal">
      <formula>"Total"</formula>
    </cfRule>
  </conditionalFormatting>
  <conditionalFormatting sqref="I100:J100 L100:N100">
    <cfRule type="cellIs" dxfId="1586" priority="1090" stopIfTrue="1" operator="equal">
      <formula>"Operation"</formula>
    </cfRule>
  </conditionalFormatting>
  <conditionalFormatting sqref="K100">
    <cfRule type="cellIs" dxfId="1585" priority="1089" stopIfTrue="1" operator="equal">
      <formula>"Operation"</formula>
    </cfRule>
  </conditionalFormatting>
  <conditionalFormatting sqref="G100:H100">
    <cfRule type="cellIs" dxfId="1584" priority="1088" stopIfTrue="1" operator="equal">
      <formula>"Operation"</formula>
    </cfRule>
  </conditionalFormatting>
  <conditionalFormatting sqref="H100:P100">
    <cfRule type="cellIs" dxfId="1583" priority="1086" stopIfTrue="1" operator="equal">
      <formula>"N/A"</formula>
    </cfRule>
  </conditionalFormatting>
  <conditionalFormatting sqref="O100:P100">
    <cfRule type="cellIs" dxfId="1582" priority="1091" stopIfTrue="1" operator="equal">
      <formula>"Operation"</formula>
    </cfRule>
  </conditionalFormatting>
  <conditionalFormatting sqref="D100">
    <cfRule type="cellIs" dxfId="1581" priority="1087" stopIfTrue="1" operator="equal">
      <formula>"Total"</formula>
    </cfRule>
  </conditionalFormatting>
  <conditionalFormatting sqref="M99:N99">
    <cfRule type="cellIs" dxfId="1580" priority="1085" stopIfTrue="1" operator="equal">
      <formula>"Operation"</formula>
    </cfRule>
  </conditionalFormatting>
  <conditionalFormatting sqref="K99">
    <cfRule type="cellIs" dxfId="1579" priority="1079" stopIfTrue="1" operator="equal">
      <formula>"Operation"</formula>
    </cfRule>
  </conditionalFormatting>
  <conditionalFormatting sqref="I99:K99">
    <cfRule type="cellIs" dxfId="1578" priority="1078" stopIfTrue="1" operator="equal">
      <formula>"N/A"</formula>
    </cfRule>
  </conditionalFormatting>
  <conditionalFormatting sqref="G99:H99 L99">
    <cfRule type="cellIs" dxfId="1577" priority="1084" stopIfTrue="1" operator="equal">
      <formula>"Operation"</formula>
    </cfRule>
  </conditionalFormatting>
  <conditionalFormatting sqref="G99:H99 L99:N99">
    <cfRule type="cellIs" dxfId="1576" priority="1083" stopIfTrue="1" operator="equal">
      <formula>"N/A"</formula>
    </cfRule>
  </conditionalFormatting>
  <conditionalFormatting sqref="O99:P99">
    <cfRule type="cellIs" dxfId="1575" priority="1081" stopIfTrue="1" operator="equal">
      <formula>"N/A"</formula>
    </cfRule>
  </conditionalFormatting>
  <conditionalFormatting sqref="O99:P99">
    <cfRule type="cellIs" dxfId="1574" priority="1082" stopIfTrue="1" operator="equal">
      <formula>"Operation"</formula>
    </cfRule>
  </conditionalFormatting>
  <conditionalFormatting sqref="I99:J99">
    <cfRule type="cellIs" dxfId="1573" priority="1080" stopIfTrue="1" operator="equal">
      <formula>"Operation"</formula>
    </cfRule>
  </conditionalFormatting>
  <conditionalFormatting sqref="D99">
    <cfRule type="cellIs" dxfId="1572" priority="1077" stopIfTrue="1" operator="equal">
      <formula>"Total"</formula>
    </cfRule>
  </conditionalFormatting>
  <conditionalFormatting sqref="J101">
    <cfRule type="cellIs" dxfId="1571" priority="1075" stopIfTrue="1" operator="equal">
      <formula>"Operation"</formula>
    </cfRule>
  </conditionalFormatting>
  <conditionalFormatting sqref="J101">
    <cfRule type="cellIs" dxfId="1570" priority="1074" stopIfTrue="1" operator="equal">
      <formula>"N/A"</formula>
    </cfRule>
  </conditionalFormatting>
  <conditionalFormatting sqref="G137:P137 E138:F138 G132:P132 E132:F133">
    <cfRule type="cellIs" dxfId="1569" priority="1073" stopIfTrue="1" operator="equal">
      <formula>"Operation"</formula>
    </cfRule>
  </conditionalFormatting>
  <conditionalFormatting sqref="D129:D138">
    <cfRule type="cellIs" dxfId="1568" priority="1072" stopIfTrue="1" operator="equal">
      <formula>"Total"</formula>
    </cfRule>
  </conditionalFormatting>
  <conditionalFormatting sqref="H137:P137 E138:F138 H132:P132 E132:F133">
    <cfRule type="cellIs" dxfId="1567" priority="1070" stopIfTrue="1" operator="equal">
      <formula>"N/A"</formula>
    </cfRule>
  </conditionalFormatting>
  <conditionalFormatting sqref="I133:P133 E130:P131">
    <cfRule type="cellIs" dxfId="1566" priority="1067" stopIfTrue="1" operator="equal">
      <formula>"Operation"</formula>
    </cfRule>
  </conditionalFormatting>
  <conditionalFormatting sqref="E130:P131">
    <cfRule type="cellIs" dxfId="1565" priority="1065" stopIfTrue="1" operator="equal">
      <formula>"N/A"</formula>
    </cfRule>
  </conditionalFormatting>
  <conditionalFormatting sqref="L129:N129 I129:J129">
    <cfRule type="cellIs" dxfId="1564" priority="1063" stopIfTrue="1" operator="equal">
      <formula>"Operation"</formula>
    </cfRule>
  </conditionalFormatting>
  <conditionalFormatting sqref="K129">
    <cfRule type="cellIs" dxfId="1563" priority="1062" stopIfTrue="1" operator="equal">
      <formula>"Operation"</formula>
    </cfRule>
  </conditionalFormatting>
  <conditionalFormatting sqref="G129:H129">
    <cfRule type="cellIs" dxfId="1562" priority="1061" stopIfTrue="1" operator="equal">
      <formula>"Operation"</formula>
    </cfRule>
  </conditionalFormatting>
  <conditionalFormatting sqref="H129:P129">
    <cfRule type="cellIs" dxfId="1561" priority="1058" stopIfTrue="1" operator="equal">
      <formula>"N/A"</formula>
    </cfRule>
  </conditionalFormatting>
  <conditionalFormatting sqref="O129:P129">
    <cfRule type="cellIs" dxfId="1560" priority="1064" stopIfTrue="1" operator="equal">
      <formula>"Operation"</formula>
    </cfRule>
  </conditionalFormatting>
  <conditionalFormatting sqref="D129">
    <cfRule type="cellIs" dxfId="1559" priority="1060" stopIfTrue="1" operator="equal">
      <formula>"Total"</formula>
    </cfRule>
  </conditionalFormatting>
  <conditionalFormatting sqref="G133:H133">
    <cfRule type="cellIs" dxfId="1558" priority="1057" stopIfTrue="1" operator="equal">
      <formula>"Operation"</formula>
    </cfRule>
  </conditionalFormatting>
  <conditionalFormatting sqref="H133:P133">
    <cfRule type="cellIs" dxfId="1557" priority="1056" stopIfTrue="1" operator="equal">
      <formula>"N/A"</formula>
    </cfRule>
  </conditionalFormatting>
  <conditionalFormatting sqref="E129">
    <cfRule type="cellIs" dxfId="1556" priority="1055" stopIfTrue="1" operator="equal">
      <formula>"Operation"</formula>
    </cfRule>
  </conditionalFormatting>
  <conditionalFormatting sqref="E129">
    <cfRule type="cellIs" dxfId="1555" priority="1054" stopIfTrue="1" operator="equal">
      <formula>"N/A"</formula>
    </cfRule>
  </conditionalFormatting>
  <conditionalFormatting sqref="F129">
    <cfRule type="cellIs" dxfId="1554" priority="1053" stopIfTrue="1" operator="equal">
      <formula>"Operation"</formula>
    </cfRule>
  </conditionalFormatting>
  <conditionalFormatting sqref="F129">
    <cfRule type="cellIs" dxfId="1553" priority="1052" stopIfTrue="1" operator="equal">
      <formula>"N/A"</formula>
    </cfRule>
  </conditionalFormatting>
  <conditionalFormatting sqref="I138:P138 E135:P136 E137:F137">
    <cfRule type="cellIs" dxfId="1552" priority="1047" stopIfTrue="1" operator="equal">
      <formula>"Operation"</formula>
    </cfRule>
  </conditionalFormatting>
  <conditionalFormatting sqref="E135:P136 E137:F137">
    <cfRule type="cellIs" dxfId="1551" priority="1045" stopIfTrue="1" operator="equal">
      <formula>"N/A"</formula>
    </cfRule>
  </conditionalFormatting>
  <conditionalFormatting sqref="L134:N134 I134:J134">
    <cfRule type="cellIs" dxfId="1550" priority="1043" stopIfTrue="1" operator="equal">
      <formula>"Operation"</formula>
    </cfRule>
  </conditionalFormatting>
  <conditionalFormatting sqref="K134">
    <cfRule type="cellIs" dxfId="1549" priority="1042" stopIfTrue="1" operator="equal">
      <formula>"Operation"</formula>
    </cfRule>
  </conditionalFormatting>
  <conditionalFormatting sqref="G134:H134">
    <cfRule type="cellIs" dxfId="1548" priority="1041" stopIfTrue="1" operator="equal">
      <formula>"Operation"</formula>
    </cfRule>
  </conditionalFormatting>
  <conditionalFormatting sqref="H134:P134">
    <cfRule type="cellIs" dxfId="1547" priority="1038" stopIfTrue="1" operator="equal">
      <formula>"N/A"</formula>
    </cfRule>
  </conditionalFormatting>
  <conditionalFormatting sqref="O134:P134">
    <cfRule type="cellIs" dxfId="1546" priority="1044" stopIfTrue="1" operator="equal">
      <formula>"Operation"</formula>
    </cfRule>
  </conditionalFormatting>
  <conditionalFormatting sqref="D134">
    <cfRule type="cellIs" dxfId="1545" priority="1040" stopIfTrue="1" operator="equal">
      <formula>"Total"</formula>
    </cfRule>
  </conditionalFormatting>
  <conditionalFormatting sqref="G138:H138">
    <cfRule type="cellIs" dxfId="1544" priority="1037" stopIfTrue="1" operator="equal">
      <formula>"Operation"</formula>
    </cfRule>
  </conditionalFormatting>
  <conditionalFormatting sqref="H138:P138">
    <cfRule type="cellIs" dxfId="1543" priority="1036" stopIfTrue="1" operator="equal">
      <formula>"N/A"</formula>
    </cfRule>
  </conditionalFormatting>
  <conditionalFormatting sqref="E134">
    <cfRule type="cellIs" dxfId="1542" priority="1035" stopIfTrue="1" operator="equal">
      <formula>"Operation"</formula>
    </cfRule>
  </conditionalFormatting>
  <conditionalFormatting sqref="E134">
    <cfRule type="cellIs" dxfId="1541" priority="1034" stopIfTrue="1" operator="equal">
      <formula>"N/A"</formula>
    </cfRule>
  </conditionalFormatting>
  <conditionalFormatting sqref="F134">
    <cfRule type="cellIs" dxfId="1540" priority="1033" stopIfTrue="1" operator="equal">
      <formula>"Operation"</formula>
    </cfRule>
  </conditionalFormatting>
  <conditionalFormatting sqref="F134">
    <cfRule type="cellIs" dxfId="1539" priority="1032" stopIfTrue="1" operator="equal">
      <formula>"N/A"</formula>
    </cfRule>
  </conditionalFormatting>
  <conditionalFormatting sqref="G142:P142 E142:F143">
    <cfRule type="cellIs" dxfId="1538" priority="1027" stopIfTrue="1" operator="equal">
      <formula>"Operation"</formula>
    </cfRule>
  </conditionalFormatting>
  <conditionalFormatting sqref="D139:D143">
    <cfRule type="cellIs" dxfId="1537" priority="1026" stopIfTrue="1" operator="equal">
      <formula>"Total"</formula>
    </cfRule>
  </conditionalFormatting>
  <conditionalFormatting sqref="H142:P142 E142:F143">
    <cfRule type="cellIs" dxfId="1536" priority="1024" stopIfTrue="1" operator="equal">
      <formula>"N/A"</formula>
    </cfRule>
  </conditionalFormatting>
  <conditionalFormatting sqref="I143:P143 E140:P141">
    <cfRule type="cellIs" dxfId="1535" priority="1021" stopIfTrue="1" operator="equal">
      <formula>"Operation"</formula>
    </cfRule>
  </conditionalFormatting>
  <conditionalFormatting sqref="E140:P141">
    <cfRule type="cellIs" dxfId="1534" priority="1019" stopIfTrue="1" operator="equal">
      <formula>"N/A"</formula>
    </cfRule>
  </conditionalFormatting>
  <conditionalFormatting sqref="L139:N139 I139:J139">
    <cfRule type="cellIs" dxfId="1533" priority="1017" stopIfTrue="1" operator="equal">
      <formula>"Operation"</formula>
    </cfRule>
  </conditionalFormatting>
  <conditionalFormatting sqref="K139">
    <cfRule type="cellIs" dxfId="1532" priority="1016" stopIfTrue="1" operator="equal">
      <formula>"Operation"</formula>
    </cfRule>
  </conditionalFormatting>
  <conditionalFormatting sqref="G139:H139">
    <cfRule type="cellIs" dxfId="1531" priority="1015" stopIfTrue="1" operator="equal">
      <formula>"Operation"</formula>
    </cfRule>
  </conditionalFormatting>
  <conditionalFormatting sqref="H139:P139">
    <cfRule type="cellIs" dxfId="1530" priority="1012" stopIfTrue="1" operator="equal">
      <formula>"N/A"</formula>
    </cfRule>
  </conditionalFormatting>
  <conditionalFormatting sqref="O139:P139">
    <cfRule type="cellIs" dxfId="1529" priority="1018" stopIfTrue="1" operator="equal">
      <formula>"Operation"</formula>
    </cfRule>
  </conditionalFormatting>
  <conditionalFormatting sqref="D139">
    <cfRule type="cellIs" dxfId="1528" priority="1014" stopIfTrue="1" operator="equal">
      <formula>"Total"</formula>
    </cfRule>
  </conditionalFormatting>
  <conditionalFormatting sqref="G143:H143">
    <cfRule type="cellIs" dxfId="1527" priority="1011" stopIfTrue="1" operator="equal">
      <formula>"Operation"</formula>
    </cfRule>
  </conditionalFormatting>
  <conditionalFormatting sqref="H143:P143">
    <cfRule type="cellIs" dxfId="1526" priority="1010" stopIfTrue="1" operator="equal">
      <formula>"N/A"</formula>
    </cfRule>
  </conditionalFormatting>
  <conditionalFormatting sqref="E139">
    <cfRule type="cellIs" dxfId="1525" priority="1009" stopIfTrue="1" operator="equal">
      <formula>"Operation"</formula>
    </cfRule>
  </conditionalFormatting>
  <conditionalFormatting sqref="E139">
    <cfRule type="cellIs" dxfId="1524" priority="1008" stopIfTrue="1" operator="equal">
      <formula>"N/A"</formula>
    </cfRule>
  </conditionalFormatting>
  <conditionalFormatting sqref="F139">
    <cfRule type="cellIs" dxfId="1523" priority="1007" stopIfTrue="1" operator="equal">
      <formula>"Operation"</formula>
    </cfRule>
  </conditionalFormatting>
  <conditionalFormatting sqref="F139">
    <cfRule type="cellIs" dxfId="1522" priority="1006" stopIfTrue="1" operator="equal">
      <formula>"N/A"</formula>
    </cfRule>
  </conditionalFormatting>
  <conditionalFormatting sqref="G147:P147 E147:F148">
    <cfRule type="cellIs" dxfId="1521" priority="1001" stopIfTrue="1" operator="equal">
      <formula>"Operation"</formula>
    </cfRule>
  </conditionalFormatting>
  <conditionalFormatting sqref="D144:D148">
    <cfRule type="cellIs" dxfId="1520" priority="1000" stopIfTrue="1" operator="equal">
      <formula>"Total"</formula>
    </cfRule>
  </conditionalFormatting>
  <conditionalFormatting sqref="H147:P147 E147:F148">
    <cfRule type="cellIs" dxfId="1519" priority="998" stopIfTrue="1" operator="equal">
      <formula>"N/A"</formula>
    </cfRule>
  </conditionalFormatting>
  <conditionalFormatting sqref="I148:P148 E145:P146">
    <cfRule type="cellIs" dxfId="1518" priority="995" stopIfTrue="1" operator="equal">
      <formula>"Operation"</formula>
    </cfRule>
  </conditionalFormatting>
  <conditionalFormatting sqref="E145:P146">
    <cfRule type="cellIs" dxfId="1517" priority="993" stopIfTrue="1" operator="equal">
      <formula>"N/A"</formula>
    </cfRule>
  </conditionalFormatting>
  <conditionalFormatting sqref="L144:N144 I144:J144">
    <cfRule type="cellIs" dxfId="1516" priority="991" stopIfTrue="1" operator="equal">
      <formula>"Operation"</formula>
    </cfRule>
  </conditionalFormatting>
  <conditionalFormatting sqref="K144">
    <cfRule type="cellIs" dxfId="1515" priority="990" stopIfTrue="1" operator="equal">
      <formula>"Operation"</formula>
    </cfRule>
  </conditionalFormatting>
  <conditionalFormatting sqref="G144:H144">
    <cfRule type="cellIs" dxfId="1514" priority="989" stopIfTrue="1" operator="equal">
      <formula>"Operation"</formula>
    </cfRule>
  </conditionalFormatting>
  <conditionalFormatting sqref="H144:P144">
    <cfRule type="cellIs" dxfId="1513" priority="986" stopIfTrue="1" operator="equal">
      <formula>"N/A"</formula>
    </cfRule>
  </conditionalFormatting>
  <conditionalFormatting sqref="O144:P144">
    <cfRule type="cellIs" dxfId="1512" priority="992" stopIfTrue="1" operator="equal">
      <formula>"Operation"</formula>
    </cfRule>
  </conditionalFormatting>
  <conditionalFormatting sqref="D144">
    <cfRule type="cellIs" dxfId="1511" priority="988" stopIfTrue="1" operator="equal">
      <formula>"Total"</formula>
    </cfRule>
  </conditionalFormatting>
  <conditionalFormatting sqref="G148:H148">
    <cfRule type="cellIs" dxfId="1510" priority="985" stopIfTrue="1" operator="equal">
      <formula>"Operation"</formula>
    </cfRule>
  </conditionalFormatting>
  <conditionalFormatting sqref="H148:P148">
    <cfRule type="cellIs" dxfId="1509" priority="984" stopIfTrue="1" operator="equal">
      <formula>"N/A"</formula>
    </cfRule>
  </conditionalFormatting>
  <conditionalFormatting sqref="E144">
    <cfRule type="cellIs" dxfId="1508" priority="983" stopIfTrue="1" operator="equal">
      <formula>"Operation"</formula>
    </cfRule>
  </conditionalFormatting>
  <conditionalFormatting sqref="E144">
    <cfRule type="cellIs" dxfId="1507" priority="982" stopIfTrue="1" operator="equal">
      <formula>"N/A"</formula>
    </cfRule>
  </conditionalFormatting>
  <conditionalFormatting sqref="F144">
    <cfRule type="cellIs" dxfId="1506" priority="981" stopIfTrue="1" operator="equal">
      <formula>"Operation"</formula>
    </cfRule>
  </conditionalFormatting>
  <conditionalFormatting sqref="F144">
    <cfRule type="cellIs" dxfId="1505" priority="980" stopIfTrue="1" operator="equal">
      <formula>"N/A"</formula>
    </cfRule>
  </conditionalFormatting>
  <conditionalFormatting sqref="J186">
    <cfRule type="cellIs" dxfId="1504" priority="975" stopIfTrue="1" operator="equal">
      <formula>"Operation"</formula>
    </cfRule>
  </conditionalFormatting>
  <conditionalFormatting sqref="J186">
    <cfRule type="cellIs" dxfId="1503" priority="974" stopIfTrue="1" operator="equal">
      <formula>"N/A"</formula>
    </cfRule>
  </conditionalFormatting>
  <conditionalFormatting sqref="L198:P198 G193:P193 E193:F194">
    <cfRule type="cellIs" dxfId="1502" priority="973" stopIfTrue="1" operator="equal">
      <formula>"Operation"</formula>
    </cfRule>
  </conditionalFormatting>
  <conditionalFormatting sqref="D190:D194">
    <cfRule type="cellIs" dxfId="1501" priority="972" stopIfTrue="1" operator="equal">
      <formula>"Total"</formula>
    </cfRule>
  </conditionalFormatting>
  <conditionalFormatting sqref="L198:P198 H193:P193 E193:F194">
    <cfRule type="cellIs" dxfId="1500" priority="970" stopIfTrue="1" operator="equal">
      <formula>"N/A"</formula>
    </cfRule>
  </conditionalFormatting>
  <conditionalFormatting sqref="I194:P194 E191:P191 E192:N192 P192">
    <cfRule type="cellIs" dxfId="1499" priority="967" stopIfTrue="1" operator="equal">
      <formula>"Operation"</formula>
    </cfRule>
  </conditionalFormatting>
  <conditionalFormatting sqref="E191:P191 E192:N192 P192">
    <cfRule type="cellIs" dxfId="1498" priority="965" stopIfTrue="1" operator="equal">
      <formula>"N/A"</formula>
    </cfRule>
  </conditionalFormatting>
  <conditionalFormatting sqref="L190:N190 I190:J190">
    <cfRule type="cellIs" dxfId="1497" priority="963" stopIfTrue="1" operator="equal">
      <formula>"Operation"</formula>
    </cfRule>
  </conditionalFormatting>
  <conditionalFormatting sqref="K190">
    <cfRule type="cellIs" dxfId="1496" priority="962" stopIfTrue="1" operator="equal">
      <formula>"Operation"</formula>
    </cfRule>
  </conditionalFormatting>
  <conditionalFormatting sqref="G190:H190">
    <cfRule type="cellIs" dxfId="1495" priority="961" stopIfTrue="1" operator="equal">
      <formula>"Operation"</formula>
    </cfRule>
  </conditionalFormatting>
  <conditionalFormatting sqref="H190:P190">
    <cfRule type="cellIs" dxfId="1494" priority="958" stopIfTrue="1" operator="equal">
      <formula>"N/A"</formula>
    </cfRule>
  </conditionalFormatting>
  <conditionalFormatting sqref="O190:P190">
    <cfRule type="cellIs" dxfId="1493" priority="964" stopIfTrue="1" operator="equal">
      <formula>"Operation"</formula>
    </cfRule>
  </conditionalFormatting>
  <conditionalFormatting sqref="D190">
    <cfRule type="cellIs" dxfId="1492" priority="960" stopIfTrue="1" operator="equal">
      <formula>"Total"</formula>
    </cfRule>
  </conditionalFormatting>
  <conditionalFormatting sqref="G194:H194">
    <cfRule type="cellIs" dxfId="1491" priority="957" stopIfTrue="1" operator="equal">
      <formula>"Operation"</formula>
    </cfRule>
  </conditionalFormatting>
  <conditionalFormatting sqref="H194:P194">
    <cfRule type="cellIs" dxfId="1490" priority="956" stopIfTrue="1" operator="equal">
      <formula>"N/A"</formula>
    </cfRule>
  </conditionalFormatting>
  <conditionalFormatting sqref="E190">
    <cfRule type="cellIs" dxfId="1489" priority="955" stopIfTrue="1" operator="equal">
      <formula>"Operation"</formula>
    </cfRule>
  </conditionalFormatting>
  <conditionalFormatting sqref="E190">
    <cfRule type="cellIs" dxfId="1488" priority="954" stopIfTrue="1" operator="equal">
      <formula>"N/A"</formula>
    </cfRule>
  </conditionalFormatting>
  <conditionalFormatting sqref="F190">
    <cfRule type="cellIs" dxfId="1487" priority="953" stopIfTrue="1" operator="equal">
      <formula>"Operation"</formula>
    </cfRule>
  </conditionalFormatting>
  <conditionalFormatting sqref="F190">
    <cfRule type="cellIs" dxfId="1486" priority="952" stopIfTrue="1" operator="equal">
      <formula>"N/A"</formula>
    </cfRule>
  </conditionalFormatting>
  <conditionalFormatting sqref="L199:P199 L196:P197">
    <cfRule type="cellIs" dxfId="1485" priority="947" stopIfTrue="1" operator="equal">
      <formula>"Operation"</formula>
    </cfRule>
  </conditionalFormatting>
  <conditionalFormatting sqref="L196:P197">
    <cfRule type="cellIs" dxfId="1484" priority="946" stopIfTrue="1" operator="equal">
      <formula>"N/A"</formula>
    </cfRule>
  </conditionalFormatting>
  <conditionalFormatting sqref="L195:N195">
    <cfRule type="cellIs" dxfId="1483" priority="944" stopIfTrue="1" operator="equal">
      <formula>"Operation"</formula>
    </cfRule>
  </conditionalFormatting>
  <conditionalFormatting sqref="L195:P195">
    <cfRule type="cellIs" dxfId="1482" priority="943" stopIfTrue="1" operator="equal">
      <formula>"N/A"</formula>
    </cfRule>
  </conditionalFormatting>
  <conditionalFormatting sqref="O195:P195">
    <cfRule type="cellIs" dxfId="1481" priority="945" stopIfTrue="1" operator="equal">
      <formula>"Operation"</formula>
    </cfRule>
  </conditionalFormatting>
  <conditionalFormatting sqref="L199:P199">
    <cfRule type="cellIs" dxfId="1480" priority="942" stopIfTrue="1" operator="equal">
      <formula>"N/A"</formula>
    </cfRule>
  </conditionalFormatting>
  <conditionalFormatting sqref="L203:P203">
    <cfRule type="cellIs" dxfId="1479" priority="941" stopIfTrue="1" operator="equal">
      <formula>"Operation"</formula>
    </cfRule>
  </conditionalFormatting>
  <conditionalFormatting sqref="L203:P203">
    <cfRule type="cellIs" dxfId="1478" priority="940" stopIfTrue="1" operator="equal">
      <formula>"N/A"</formula>
    </cfRule>
  </conditionalFormatting>
  <conditionalFormatting sqref="L204:P204 L201:P202">
    <cfRule type="cellIs" dxfId="1477" priority="939" stopIfTrue="1" operator="equal">
      <formula>"Operation"</formula>
    </cfRule>
  </conditionalFormatting>
  <conditionalFormatting sqref="L201:P202">
    <cfRule type="cellIs" dxfId="1476" priority="938" stopIfTrue="1" operator="equal">
      <formula>"N/A"</formula>
    </cfRule>
  </conditionalFormatting>
  <conditionalFormatting sqref="L200:N200">
    <cfRule type="cellIs" dxfId="1475" priority="936" stopIfTrue="1" operator="equal">
      <formula>"Operation"</formula>
    </cfRule>
  </conditionalFormatting>
  <conditionalFormatting sqref="L200:P200">
    <cfRule type="cellIs" dxfId="1474" priority="935" stopIfTrue="1" operator="equal">
      <formula>"N/A"</formula>
    </cfRule>
  </conditionalFormatting>
  <conditionalFormatting sqref="O200:P200">
    <cfRule type="cellIs" dxfId="1473" priority="937" stopIfTrue="1" operator="equal">
      <formula>"Operation"</formula>
    </cfRule>
  </conditionalFormatting>
  <conditionalFormatting sqref="L204:P204">
    <cfRule type="cellIs" dxfId="1472" priority="934" stopIfTrue="1" operator="equal">
      <formula>"N/A"</formula>
    </cfRule>
  </conditionalFormatting>
  <conditionalFormatting sqref="O192">
    <cfRule type="cellIs" dxfId="1471" priority="933" stopIfTrue="1" operator="equal">
      <formula>"Operation"</formula>
    </cfRule>
  </conditionalFormatting>
  <conditionalFormatting sqref="O192">
    <cfRule type="cellIs" dxfId="1470" priority="932" stopIfTrue="1" operator="equal">
      <formula>"N/A"</formula>
    </cfRule>
  </conditionalFormatting>
  <conditionalFormatting sqref="G198:K198 E198:F199">
    <cfRule type="cellIs" dxfId="1469" priority="931" stopIfTrue="1" operator="equal">
      <formula>"Operation"</formula>
    </cfRule>
  </conditionalFormatting>
  <conditionalFormatting sqref="D195:D199">
    <cfRule type="cellIs" dxfId="1468" priority="930" stopIfTrue="1" operator="equal">
      <formula>"Total"</formula>
    </cfRule>
  </conditionalFormatting>
  <conditionalFormatting sqref="H198:K198 E198:F199">
    <cfRule type="cellIs" dxfId="1467" priority="928" stopIfTrue="1" operator="equal">
      <formula>"N/A"</formula>
    </cfRule>
  </conditionalFormatting>
  <conditionalFormatting sqref="I199:K199 E196:K197">
    <cfRule type="cellIs" dxfId="1466" priority="925" stopIfTrue="1" operator="equal">
      <formula>"Operation"</formula>
    </cfRule>
  </conditionalFormatting>
  <conditionalFormatting sqref="E196:K197">
    <cfRule type="cellIs" dxfId="1465" priority="923" stopIfTrue="1" operator="equal">
      <formula>"N/A"</formula>
    </cfRule>
  </conditionalFormatting>
  <conditionalFormatting sqref="I195:J195">
    <cfRule type="cellIs" dxfId="1464" priority="922" stopIfTrue="1" operator="equal">
      <formula>"Operation"</formula>
    </cfRule>
  </conditionalFormatting>
  <conditionalFormatting sqref="K195">
    <cfRule type="cellIs" dxfId="1463" priority="921" stopIfTrue="1" operator="equal">
      <formula>"Operation"</formula>
    </cfRule>
  </conditionalFormatting>
  <conditionalFormatting sqref="G195:H195">
    <cfRule type="cellIs" dxfId="1462" priority="920" stopIfTrue="1" operator="equal">
      <formula>"Operation"</formula>
    </cfRule>
  </conditionalFormatting>
  <conditionalFormatting sqref="H195:K195">
    <cfRule type="cellIs" dxfId="1461" priority="917" stopIfTrue="1" operator="equal">
      <formula>"N/A"</formula>
    </cfRule>
  </conditionalFormatting>
  <conditionalFormatting sqref="D195">
    <cfRule type="cellIs" dxfId="1460" priority="919" stopIfTrue="1" operator="equal">
      <formula>"Total"</formula>
    </cfRule>
  </conditionalFormatting>
  <conditionalFormatting sqref="G199:H199">
    <cfRule type="cellIs" dxfId="1459" priority="916" stopIfTrue="1" operator="equal">
      <formula>"Operation"</formula>
    </cfRule>
  </conditionalFormatting>
  <conditionalFormatting sqref="H199:K199">
    <cfRule type="cellIs" dxfId="1458" priority="915" stopIfTrue="1" operator="equal">
      <formula>"N/A"</formula>
    </cfRule>
  </conditionalFormatting>
  <conditionalFormatting sqref="E195">
    <cfRule type="cellIs" dxfId="1457" priority="914" stopIfTrue="1" operator="equal">
      <formula>"Operation"</formula>
    </cfRule>
  </conditionalFormatting>
  <conditionalFormatting sqref="E195">
    <cfRule type="cellIs" dxfId="1456" priority="913" stopIfTrue="1" operator="equal">
      <formula>"N/A"</formula>
    </cfRule>
  </conditionalFormatting>
  <conditionalFormatting sqref="F195">
    <cfRule type="cellIs" dxfId="1455" priority="912" stopIfTrue="1" operator="equal">
      <formula>"Operation"</formula>
    </cfRule>
  </conditionalFormatting>
  <conditionalFormatting sqref="F195">
    <cfRule type="cellIs" dxfId="1454" priority="911" stopIfTrue="1" operator="equal">
      <formula>"N/A"</formula>
    </cfRule>
  </conditionalFormatting>
  <conditionalFormatting sqref="G203:K203 E203:F204">
    <cfRule type="cellIs" dxfId="1453" priority="906" stopIfTrue="1" operator="equal">
      <formula>"Operation"</formula>
    </cfRule>
  </conditionalFormatting>
  <conditionalFormatting sqref="D200:D204">
    <cfRule type="cellIs" dxfId="1452" priority="905" stopIfTrue="1" operator="equal">
      <formula>"Total"</formula>
    </cfRule>
  </conditionalFormatting>
  <conditionalFormatting sqref="H203:K203 E203:F204">
    <cfRule type="cellIs" dxfId="1451" priority="903" stopIfTrue="1" operator="equal">
      <formula>"N/A"</formula>
    </cfRule>
  </conditionalFormatting>
  <conditionalFormatting sqref="I204:K204 E201:K202">
    <cfRule type="cellIs" dxfId="1450" priority="900" stopIfTrue="1" operator="equal">
      <formula>"Operation"</formula>
    </cfRule>
  </conditionalFormatting>
  <conditionalFormatting sqref="E201:K202">
    <cfRule type="cellIs" dxfId="1449" priority="898" stopIfTrue="1" operator="equal">
      <formula>"N/A"</formula>
    </cfRule>
  </conditionalFormatting>
  <conditionalFormatting sqref="I200:J200">
    <cfRule type="cellIs" dxfId="1448" priority="897" stopIfTrue="1" operator="equal">
      <formula>"Operation"</formula>
    </cfRule>
  </conditionalFormatting>
  <conditionalFormatting sqref="K200">
    <cfRule type="cellIs" dxfId="1447" priority="896" stopIfTrue="1" operator="equal">
      <formula>"Operation"</formula>
    </cfRule>
  </conditionalFormatting>
  <conditionalFormatting sqref="G200:H200">
    <cfRule type="cellIs" dxfId="1446" priority="895" stopIfTrue="1" operator="equal">
      <formula>"Operation"</formula>
    </cfRule>
  </conditionalFormatting>
  <conditionalFormatting sqref="H200:K200">
    <cfRule type="cellIs" dxfId="1445" priority="892" stopIfTrue="1" operator="equal">
      <formula>"N/A"</formula>
    </cfRule>
  </conditionalFormatting>
  <conditionalFormatting sqref="D200">
    <cfRule type="cellIs" dxfId="1444" priority="894" stopIfTrue="1" operator="equal">
      <formula>"Total"</formula>
    </cfRule>
  </conditionalFormatting>
  <conditionalFormatting sqref="G204:H204">
    <cfRule type="cellIs" dxfId="1443" priority="891" stopIfTrue="1" operator="equal">
      <formula>"Operation"</formula>
    </cfRule>
  </conditionalFormatting>
  <conditionalFormatting sqref="H204:K204">
    <cfRule type="cellIs" dxfId="1442" priority="890" stopIfTrue="1" operator="equal">
      <formula>"N/A"</formula>
    </cfRule>
  </conditionalFormatting>
  <conditionalFormatting sqref="E200">
    <cfRule type="cellIs" dxfId="1441" priority="889" stopIfTrue="1" operator="equal">
      <formula>"Operation"</formula>
    </cfRule>
  </conditionalFormatting>
  <conditionalFormatting sqref="E200">
    <cfRule type="cellIs" dxfId="1440" priority="888" stopIfTrue="1" operator="equal">
      <formula>"N/A"</formula>
    </cfRule>
  </conditionalFormatting>
  <conditionalFormatting sqref="F200">
    <cfRule type="cellIs" dxfId="1439" priority="887" stopIfTrue="1" operator="equal">
      <formula>"Operation"</formula>
    </cfRule>
  </conditionalFormatting>
  <conditionalFormatting sqref="F200">
    <cfRule type="cellIs" dxfId="1438" priority="886" stopIfTrue="1" operator="equal">
      <formula>"N/A"</formula>
    </cfRule>
  </conditionalFormatting>
  <conditionalFormatting sqref="L208:P208">
    <cfRule type="cellIs" dxfId="1437" priority="881" stopIfTrue="1" operator="equal">
      <formula>"Operation"</formula>
    </cfRule>
  </conditionalFormatting>
  <conditionalFormatting sqref="L208:P208">
    <cfRule type="cellIs" dxfId="1436" priority="880" stopIfTrue="1" operator="equal">
      <formula>"N/A"</formula>
    </cfRule>
  </conditionalFormatting>
  <conditionalFormatting sqref="L209:P209 L206:P207">
    <cfRule type="cellIs" dxfId="1435" priority="879" stopIfTrue="1" operator="equal">
      <formula>"Operation"</formula>
    </cfRule>
  </conditionalFormatting>
  <conditionalFormatting sqref="L206:P207">
    <cfRule type="cellIs" dxfId="1434" priority="878" stopIfTrue="1" operator="equal">
      <formula>"N/A"</formula>
    </cfRule>
  </conditionalFormatting>
  <conditionalFormatting sqref="L205:N205">
    <cfRule type="cellIs" dxfId="1433" priority="876" stopIfTrue="1" operator="equal">
      <formula>"Operation"</formula>
    </cfRule>
  </conditionalFormatting>
  <conditionalFormatting sqref="L205:P205">
    <cfRule type="cellIs" dxfId="1432" priority="875" stopIfTrue="1" operator="equal">
      <formula>"N/A"</formula>
    </cfRule>
  </conditionalFormatting>
  <conditionalFormatting sqref="O205:P205">
    <cfRule type="cellIs" dxfId="1431" priority="877" stopIfTrue="1" operator="equal">
      <formula>"Operation"</formula>
    </cfRule>
  </conditionalFormatting>
  <conditionalFormatting sqref="L209:P209">
    <cfRule type="cellIs" dxfId="1430" priority="874" stopIfTrue="1" operator="equal">
      <formula>"N/A"</formula>
    </cfRule>
  </conditionalFormatting>
  <conditionalFormatting sqref="G208:K208 E208:F209">
    <cfRule type="cellIs" dxfId="1429" priority="873" stopIfTrue="1" operator="equal">
      <formula>"Operation"</formula>
    </cfRule>
  </conditionalFormatting>
  <conditionalFormatting sqref="D205:D209">
    <cfRule type="cellIs" dxfId="1428" priority="872" stopIfTrue="1" operator="equal">
      <formula>"Total"</formula>
    </cfRule>
  </conditionalFormatting>
  <conditionalFormatting sqref="H208:K208 E208:F209">
    <cfRule type="cellIs" dxfId="1427" priority="870" stopIfTrue="1" operator="equal">
      <formula>"N/A"</formula>
    </cfRule>
  </conditionalFormatting>
  <conditionalFormatting sqref="I209:K209 E206:K207">
    <cfRule type="cellIs" dxfId="1426" priority="867" stopIfTrue="1" operator="equal">
      <formula>"Operation"</formula>
    </cfRule>
  </conditionalFormatting>
  <conditionalFormatting sqref="E206:K207">
    <cfRule type="cellIs" dxfId="1425" priority="865" stopIfTrue="1" operator="equal">
      <formula>"N/A"</formula>
    </cfRule>
  </conditionalFormatting>
  <conditionalFormatting sqref="I205:J205">
    <cfRule type="cellIs" dxfId="1424" priority="864" stopIfTrue="1" operator="equal">
      <formula>"Operation"</formula>
    </cfRule>
  </conditionalFormatting>
  <conditionalFormatting sqref="K205">
    <cfRule type="cellIs" dxfId="1423" priority="863" stopIfTrue="1" operator="equal">
      <formula>"Operation"</formula>
    </cfRule>
  </conditionalFormatting>
  <conditionalFormatting sqref="G205:H205">
    <cfRule type="cellIs" dxfId="1422" priority="862" stopIfTrue="1" operator="equal">
      <formula>"Operation"</formula>
    </cfRule>
  </conditionalFormatting>
  <conditionalFormatting sqref="H205:K205">
    <cfRule type="cellIs" dxfId="1421" priority="859" stopIfTrue="1" operator="equal">
      <formula>"N/A"</formula>
    </cfRule>
  </conditionalFormatting>
  <conditionalFormatting sqref="D205">
    <cfRule type="cellIs" dxfId="1420" priority="861" stopIfTrue="1" operator="equal">
      <formula>"Total"</formula>
    </cfRule>
  </conditionalFormatting>
  <conditionalFormatting sqref="G209:H209">
    <cfRule type="cellIs" dxfId="1419" priority="858" stopIfTrue="1" operator="equal">
      <formula>"Operation"</formula>
    </cfRule>
  </conditionalFormatting>
  <conditionalFormatting sqref="H209:K209">
    <cfRule type="cellIs" dxfId="1418" priority="857" stopIfTrue="1" operator="equal">
      <formula>"N/A"</formula>
    </cfRule>
  </conditionalFormatting>
  <conditionalFormatting sqref="E205">
    <cfRule type="cellIs" dxfId="1417" priority="856" stopIfTrue="1" operator="equal">
      <formula>"Operation"</formula>
    </cfRule>
  </conditionalFormatting>
  <conditionalFormatting sqref="E205">
    <cfRule type="cellIs" dxfId="1416" priority="855" stopIfTrue="1" operator="equal">
      <formula>"N/A"</formula>
    </cfRule>
  </conditionalFormatting>
  <conditionalFormatting sqref="F205">
    <cfRule type="cellIs" dxfId="1415" priority="854" stopIfTrue="1" operator="equal">
      <formula>"Operation"</formula>
    </cfRule>
  </conditionalFormatting>
  <conditionalFormatting sqref="F205">
    <cfRule type="cellIs" dxfId="1414" priority="853" stopIfTrue="1" operator="equal">
      <formula>"N/A"</formula>
    </cfRule>
  </conditionalFormatting>
  <conditionalFormatting sqref="L213:P213">
    <cfRule type="cellIs" dxfId="1413" priority="848" stopIfTrue="1" operator="equal">
      <formula>"Operation"</formula>
    </cfRule>
  </conditionalFormatting>
  <conditionalFormatting sqref="L213:P213">
    <cfRule type="cellIs" dxfId="1412" priority="847" stopIfTrue="1" operator="equal">
      <formula>"N/A"</formula>
    </cfRule>
  </conditionalFormatting>
  <conditionalFormatting sqref="L214:P214 L211:P212">
    <cfRule type="cellIs" dxfId="1411" priority="846" stopIfTrue="1" operator="equal">
      <formula>"Operation"</formula>
    </cfRule>
  </conditionalFormatting>
  <conditionalFormatting sqref="L211:P212">
    <cfRule type="cellIs" dxfId="1410" priority="845" stopIfTrue="1" operator="equal">
      <formula>"N/A"</formula>
    </cfRule>
  </conditionalFormatting>
  <conditionalFormatting sqref="L210:N210">
    <cfRule type="cellIs" dxfId="1409" priority="843" stopIfTrue="1" operator="equal">
      <formula>"Operation"</formula>
    </cfRule>
  </conditionalFormatting>
  <conditionalFormatting sqref="L210:P210">
    <cfRule type="cellIs" dxfId="1408" priority="842" stopIfTrue="1" operator="equal">
      <formula>"N/A"</formula>
    </cfRule>
  </conditionalFormatting>
  <conditionalFormatting sqref="O210:P210">
    <cfRule type="cellIs" dxfId="1407" priority="844" stopIfTrue="1" operator="equal">
      <formula>"Operation"</formula>
    </cfRule>
  </conditionalFormatting>
  <conditionalFormatting sqref="L214:P214">
    <cfRule type="cellIs" dxfId="1406" priority="841" stopIfTrue="1" operator="equal">
      <formula>"N/A"</formula>
    </cfRule>
  </conditionalFormatting>
  <conditionalFormatting sqref="G213:K213 E213:F214">
    <cfRule type="cellIs" dxfId="1405" priority="840" stopIfTrue="1" operator="equal">
      <formula>"Operation"</formula>
    </cfRule>
  </conditionalFormatting>
  <conditionalFormatting sqref="D210:D214">
    <cfRule type="cellIs" dxfId="1404" priority="839" stopIfTrue="1" operator="equal">
      <formula>"Total"</formula>
    </cfRule>
  </conditionalFormatting>
  <conditionalFormatting sqref="H213:K213 E213:F214">
    <cfRule type="cellIs" dxfId="1403" priority="837" stopIfTrue="1" operator="equal">
      <formula>"N/A"</formula>
    </cfRule>
  </conditionalFormatting>
  <conditionalFormatting sqref="I214:K214 E211:K212">
    <cfRule type="cellIs" dxfId="1402" priority="834" stopIfTrue="1" operator="equal">
      <formula>"Operation"</formula>
    </cfRule>
  </conditionalFormatting>
  <conditionalFormatting sqref="E211:K212">
    <cfRule type="cellIs" dxfId="1401" priority="832" stopIfTrue="1" operator="equal">
      <formula>"N/A"</formula>
    </cfRule>
  </conditionalFormatting>
  <conditionalFormatting sqref="I210:J210">
    <cfRule type="cellIs" dxfId="1400" priority="831" stopIfTrue="1" operator="equal">
      <formula>"Operation"</formula>
    </cfRule>
  </conditionalFormatting>
  <conditionalFormatting sqref="K210">
    <cfRule type="cellIs" dxfId="1399" priority="830" stopIfTrue="1" operator="equal">
      <formula>"Operation"</formula>
    </cfRule>
  </conditionalFormatting>
  <conditionalFormatting sqref="G210:H210">
    <cfRule type="cellIs" dxfId="1398" priority="829" stopIfTrue="1" operator="equal">
      <formula>"Operation"</formula>
    </cfRule>
  </conditionalFormatting>
  <conditionalFormatting sqref="H210:K210">
    <cfRule type="cellIs" dxfId="1397" priority="826" stopIfTrue="1" operator="equal">
      <formula>"N/A"</formula>
    </cfRule>
  </conditionalFormatting>
  <conditionalFormatting sqref="D210">
    <cfRule type="cellIs" dxfId="1396" priority="828" stopIfTrue="1" operator="equal">
      <formula>"Total"</formula>
    </cfRule>
  </conditionalFormatting>
  <conditionalFormatting sqref="G214:H214">
    <cfRule type="cellIs" dxfId="1395" priority="825" stopIfTrue="1" operator="equal">
      <formula>"Operation"</formula>
    </cfRule>
  </conditionalFormatting>
  <conditionalFormatting sqref="H214:K214">
    <cfRule type="cellIs" dxfId="1394" priority="824" stopIfTrue="1" operator="equal">
      <formula>"N/A"</formula>
    </cfRule>
  </conditionalFormatting>
  <conditionalFormatting sqref="E210">
    <cfRule type="cellIs" dxfId="1393" priority="823" stopIfTrue="1" operator="equal">
      <formula>"Operation"</formula>
    </cfRule>
  </conditionalFormatting>
  <conditionalFormatting sqref="E210">
    <cfRule type="cellIs" dxfId="1392" priority="822" stopIfTrue="1" operator="equal">
      <formula>"N/A"</formula>
    </cfRule>
  </conditionalFormatting>
  <conditionalFormatting sqref="F210">
    <cfRule type="cellIs" dxfId="1391" priority="821" stopIfTrue="1" operator="equal">
      <formula>"Operation"</formula>
    </cfRule>
  </conditionalFormatting>
  <conditionalFormatting sqref="F210">
    <cfRule type="cellIs" dxfId="1390" priority="820" stopIfTrue="1" operator="equal">
      <formula>"N/A"</formula>
    </cfRule>
  </conditionalFormatting>
  <conditionalFormatting sqref="E224:P232">
    <cfRule type="cellIs" dxfId="1389" priority="815" stopIfTrue="1" operator="equal">
      <formula>"Operation"</formula>
    </cfRule>
  </conditionalFormatting>
  <conditionalFormatting sqref="D224:D232">
    <cfRule type="cellIs" dxfId="1388" priority="814" stopIfTrue="1" operator="equal">
      <formula>"Total"</formula>
    </cfRule>
  </conditionalFormatting>
  <conditionalFormatting sqref="E224:F232 H224:P232">
    <cfRule type="cellIs" dxfId="1387" priority="812" stopIfTrue="1" operator="equal">
      <formula>"N/A"</formula>
    </cfRule>
  </conditionalFormatting>
  <conditionalFormatting sqref="K224:K227">
    <cfRule type="cellIs" dxfId="1386" priority="791" stopIfTrue="1" operator="equal">
      <formula>"Operation"</formula>
    </cfRule>
  </conditionalFormatting>
  <conditionalFormatting sqref="I224:J227">
    <cfRule type="cellIs" dxfId="1385" priority="792" stopIfTrue="1" operator="equal">
      <formula>"Operation"</formula>
    </cfRule>
  </conditionalFormatting>
  <conditionalFormatting sqref="M224:N231">
    <cfRule type="cellIs" dxfId="1384" priority="797" stopIfTrue="1" operator="equal">
      <formula>"Operation"</formula>
    </cfRule>
  </conditionalFormatting>
  <conditionalFormatting sqref="G224:H227 L224:L231 H228:H232">
    <cfRule type="cellIs" dxfId="1383" priority="796" stopIfTrue="1" operator="equal">
      <formula>"Operation"</formula>
    </cfRule>
  </conditionalFormatting>
  <conditionalFormatting sqref="O224:P227 P228:P231">
    <cfRule type="cellIs" dxfId="1382" priority="794" stopIfTrue="1" operator="equal">
      <formula>"Operation"</formula>
    </cfRule>
  </conditionalFormatting>
  <conditionalFormatting sqref="E224:E227">
    <cfRule type="cellIs" dxfId="1381" priority="787" stopIfTrue="1" operator="equal">
      <formula>"Operation"</formula>
    </cfRule>
  </conditionalFormatting>
  <conditionalFormatting sqref="E224:E226 E228:E232">
    <cfRule type="cellIs" dxfId="1380" priority="800" stopIfTrue="1" operator="equal">
      <formula>"Operation"</formula>
    </cfRule>
  </conditionalFormatting>
  <conditionalFormatting sqref="E224:E226 E228:E232">
    <cfRule type="cellIs" dxfId="1379" priority="799" stopIfTrue="1" operator="equal">
      <formula>"N/A"</formula>
    </cfRule>
  </conditionalFormatting>
  <conditionalFormatting sqref="G224:H227 L224:N231 H228:H232">
    <cfRule type="cellIs" dxfId="1378" priority="795" stopIfTrue="1" operator="equal">
      <formula>"N/A"</formula>
    </cfRule>
  </conditionalFormatting>
  <conditionalFormatting sqref="O224:P227 P228:P231">
    <cfRule type="cellIs" dxfId="1377" priority="793" stopIfTrue="1" operator="equal">
      <formula>"N/A"</formula>
    </cfRule>
  </conditionalFormatting>
  <conditionalFormatting sqref="I224:K227">
    <cfRule type="cellIs" dxfId="1376" priority="790" stopIfTrue="1" operator="equal">
      <formula>"N/A"</formula>
    </cfRule>
  </conditionalFormatting>
  <conditionalFormatting sqref="D227">
    <cfRule type="cellIs" dxfId="1375" priority="789" stopIfTrue="1" operator="equal">
      <formula>"Total"</formula>
    </cfRule>
  </conditionalFormatting>
  <conditionalFormatting sqref="E224:E227">
    <cfRule type="cellIs" dxfId="1374" priority="786" stopIfTrue="1" operator="equal">
      <formula>"N/A"</formula>
    </cfRule>
  </conditionalFormatting>
  <conditionalFormatting sqref="G232:H232">
    <cfRule type="cellIs" dxfId="1373" priority="811" stopIfTrue="1" operator="equal">
      <formula>"Operation"</formula>
    </cfRule>
  </conditionalFormatting>
  <conditionalFormatting sqref="H232:P232">
    <cfRule type="cellIs" dxfId="1372" priority="810" stopIfTrue="1" operator="equal">
      <formula>"N/A"</formula>
    </cfRule>
  </conditionalFormatting>
  <conditionalFormatting sqref="E232">
    <cfRule type="cellIs" dxfId="1371" priority="801" stopIfTrue="1" operator="equal">
      <formula>"N/A"</formula>
    </cfRule>
  </conditionalFormatting>
  <conditionalFormatting sqref="I224:J226 I228:J231 L224:N231">
    <cfRule type="cellIs" dxfId="1370" priority="808" stopIfTrue="1" operator="equal">
      <formula>"Operation"</formula>
    </cfRule>
  </conditionalFormatting>
  <conditionalFormatting sqref="K224:K226 K228:K231">
    <cfRule type="cellIs" dxfId="1369" priority="807" stopIfTrue="1" operator="equal">
      <formula>"Operation"</formula>
    </cfRule>
  </conditionalFormatting>
  <conditionalFormatting sqref="G224:H226 G228:H232">
    <cfRule type="cellIs" dxfId="1368" priority="806" stopIfTrue="1" operator="equal">
      <formula>"Operation"</formula>
    </cfRule>
  </conditionalFormatting>
  <conditionalFormatting sqref="H224:P226 L227:N231 H228:K231 P227:P231 O228:O231 H232">
    <cfRule type="cellIs" dxfId="1367" priority="803" stopIfTrue="1" operator="equal">
      <formula>"N/A"</formula>
    </cfRule>
  </conditionalFormatting>
  <conditionalFormatting sqref="O224:P226 P227:P231 O228:O231">
    <cfRule type="cellIs" dxfId="1366" priority="809" stopIfTrue="1" operator="equal">
      <formula>"Operation"</formula>
    </cfRule>
  </conditionalFormatting>
  <conditionalFormatting sqref="D224:D226 D228:D231">
    <cfRule type="cellIs" dxfId="1365" priority="805" stopIfTrue="1" operator="equal">
      <formula>"Total"</formula>
    </cfRule>
  </conditionalFormatting>
  <conditionalFormatting sqref="F224:F227">
    <cfRule type="cellIs" dxfId="1364" priority="782" stopIfTrue="1" operator="equal">
      <formula>"Operation"</formula>
    </cfRule>
  </conditionalFormatting>
  <conditionalFormatting sqref="F224:F226 F228:F232">
    <cfRule type="cellIs" dxfId="1363" priority="784" stopIfTrue="1" operator="equal">
      <formula>"Operation"</formula>
    </cfRule>
  </conditionalFormatting>
  <conditionalFormatting sqref="F224:F226 F228:F232">
    <cfRule type="cellIs" dxfId="1362" priority="783" stopIfTrue="1" operator="equal">
      <formula>"N/A"</formula>
    </cfRule>
  </conditionalFormatting>
  <conditionalFormatting sqref="F224:F227">
    <cfRule type="cellIs" dxfId="1361" priority="781" stopIfTrue="1" operator="equal">
      <formula>"N/A"</formula>
    </cfRule>
  </conditionalFormatting>
  <conditionalFormatting sqref="F232">
    <cfRule type="cellIs" dxfId="1360" priority="785" stopIfTrue="1" operator="equal">
      <formula>"N/A"</formula>
    </cfRule>
  </conditionalFormatting>
  <conditionalFormatting sqref="L236:P236">
    <cfRule type="cellIs" dxfId="1359" priority="779" stopIfTrue="1" operator="equal">
      <formula>"Operation"</formula>
    </cfRule>
  </conditionalFormatting>
  <conditionalFormatting sqref="L236:P236">
    <cfRule type="cellIs" dxfId="1358" priority="778" stopIfTrue="1" operator="equal">
      <formula>"N/A"</formula>
    </cfRule>
  </conditionalFormatting>
  <conditionalFormatting sqref="L237:P237 L234:P235">
    <cfRule type="cellIs" dxfId="1357" priority="777" stopIfTrue="1" operator="equal">
      <formula>"Operation"</formula>
    </cfRule>
  </conditionalFormatting>
  <conditionalFormatting sqref="L234:P235">
    <cfRule type="cellIs" dxfId="1356" priority="776" stopIfTrue="1" operator="equal">
      <formula>"N/A"</formula>
    </cfRule>
  </conditionalFormatting>
  <conditionalFormatting sqref="L233:N233">
    <cfRule type="cellIs" dxfId="1355" priority="774" stopIfTrue="1" operator="equal">
      <formula>"Operation"</formula>
    </cfRule>
  </conditionalFormatting>
  <conditionalFormatting sqref="L233:P233">
    <cfRule type="cellIs" dxfId="1354" priority="773" stopIfTrue="1" operator="equal">
      <formula>"N/A"</formula>
    </cfRule>
  </conditionalFormatting>
  <conditionalFormatting sqref="O233:P233">
    <cfRule type="cellIs" dxfId="1353" priority="775" stopIfTrue="1" operator="equal">
      <formula>"Operation"</formula>
    </cfRule>
  </conditionalFormatting>
  <conditionalFormatting sqref="L237:P237">
    <cfRule type="cellIs" dxfId="1352" priority="772" stopIfTrue="1" operator="equal">
      <formula>"N/A"</formula>
    </cfRule>
  </conditionalFormatting>
  <conditionalFormatting sqref="G236:K236 E236:F237">
    <cfRule type="cellIs" dxfId="1351" priority="771" stopIfTrue="1" operator="equal">
      <formula>"Operation"</formula>
    </cfRule>
  </conditionalFormatting>
  <conditionalFormatting sqref="D233:D237">
    <cfRule type="cellIs" dxfId="1350" priority="770" stopIfTrue="1" operator="equal">
      <formula>"Total"</formula>
    </cfRule>
  </conditionalFormatting>
  <conditionalFormatting sqref="H236:K236 E236:F237">
    <cfRule type="cellIs" dxfId="1349" priority="768" stopIfTrue="1" operator="equal">
      <formula>"N/A"</formula>
    </cfRule>
  </conditionalFormatting>
  <conditionalFormatting sqref="I237:K237 E234:K235">
    <cfRule type="cellIs" dxfId="1348" priority="765" stopIfTrue="1" operator="equal">
      <formula>"Operation"</formula>
    </cfRule>
  </conditionalFormatting>
  <conditionalFormatting sqref="E234:K235">
    <cfRule type="cellIs" dxfId="1347" priority="763" stopIfTrue="1" operator="equal">
      <formula>"N/A"</formula>
    </cfRule>
  </conditionalFormatting>
  <conditionalFormatting sqref="I233:J233">
    <cfRule type="cellIs" dxfId="1346" priority="762" stopIfTrue="1" operator="equal">
      <formula>"Operation"</formula>
    </cfRule>
  </conditionalFormatting>
  <conditionalFormatting sqref="K233">
    <cfRule type="cellIs" dxfId="1345" priority="761" stopIfTrue="1" operator="equal">
      <formula>"Operation"</formula>
    </cfRule>
  </conditionalFormatting>
  <conditionalFormatting sqref="G233:H233">
    <cfRule type="cellIs" dxfId="1344" priority="760" stopIfTrue="1" operator="equal">
      <formula>"Operation"</formula>
    </cfRule>
  </conditionalFormatting>
  <conditionalFormatting sqref="H233:K233">
    <cfRule type="cellIs" dxfId="1343" priority="757" stopIfTrue="1" operator="equal">
      <formula>"N/A"</formula>
    </cfRule>
  </conditionalFormatting>
  <conditionalFormatting sqref="D233">
    <cfRule type="cellIs" dxfId="1342" priority="759" stopIfTrue="1" operator="equal">
      <formula>"Total"</formula>
    </cfRule>
  </conditionalFormatting>
  <conditionalFormatting sqref="G237:H237">
    <cfRule type="cellIs" dxfId="1341" priority="756" stopIfTrue="1" operator="equal">
      <formula>"Operation"</formula>
    </cfRule>
  </conditionalFormatting>
  <conditionalFormatting sqref="H237:K237">
    <cfRule type="cellIs" dxfId="1340" priority="755" stopIfTrue="1" operator="equal">
      <formula>"N/A"</formula>
    </cfRule>
  </conditionalFormatting>
  <conditionalFormatting sqref="E233">
    <cfRule type="cellIs" dxfId="1339" priority="754" stopIfTrue="1" operator="equal">
      <formula>"Operation"</formula>
    </cfRule>
  </conditionalFormatting>
  <conditionalFormatting sqref="E233">
    <cfRule type="cellIs" dxfId="1338" priority="753" stopIfTrue="1" operator="equal">
      <formula>"N/A"</formula>
    </cfRule>
  </conditionalFormatting>
  <conditionalFormatting sqref="F233">
    <cfRule type="cellIs" dxfId="1337" priority="752" stopIfTrue="1" operator="equal">
      <formula>"Operation"</formula>
    </cfRule>
  </conditionalFormatting>
  <conditionalFormatting sqref="F233">
    <cfRule type="cellIs" dxfId="1336" priority="751" stopIfTrue="1" operator="equal">
      <formula>"N/A"</formula>
    </cfRule>
  </conditionalFormatting>
  <conditionalFormatting sqref="E245:P251">
    <cfRule type="cellIs" dxfId="1335" priority="746" stopIfTrue="1" operator="equal">
      <formula>"Operation"</formula>
    </cfRule>
  </conditionalFormatting>
  <conditionalFormatting sqref="D245:D251">
    <cfRule type="cellIs" dxfId="1334" priority="745" stopIfTrue="1" operator="equal">
      <formula>"Total"</formula>
    </cfRule>
  </conditionalFormatting>
  <conditionalFormatting sqref="H245:P251 E245:F251">
    <cfRule type="cellIs" dxfId="1333" priority="743" stopIfTrue="1" operator="equal">
      <formula>"N/A"</formula>
    </cfRule>
  </conditionalFormatting>
  <conditionalFormatting sqref="I247:J248">
    <cfRule type="cellIs" dxfId="1332" priority="726" stopIfTrue="1" operator="equal">
      <formula>"Operation"</formula>
    </cfRule>
  </conditionalFormatting>
  <conditionalFormatting sqref="G247:H248">
    <cfRule type="cellIs" dxfId="1331" priority="730" stopIfTrue="1" operator="equal">
      <formula>"Operation"</formula>
    </cfRule>
  </conditionalFormatting>
  <conditionalFormatting sqref="O247:P248">
    <cfRule type="cellIs" dxfId="1330" priority="728" stopIfTrue="1" operator="equal">
      <formula>"Operation"</formula>
    </cfRule>
  </conditionalFormatting>
  <conditionalFormatting sqref="K247:K248">
    <cfRule type="cellIs" dxfId="1329" priority="725" stopIfTrue="1" operator="equal">
      <formula>"Operation"</formula>
    </cfRule>
  </conditionalFormatting>
  <conditionalFormatting sqref="E247:E248">
    <cfRule type="cellIs" dxfId="1328" priority="721" stopIfTrue="1" operator="equal">
      <formula>"Operation"</formula>
    </cfRule>
  </conditionalFormatting>
  <conditionalFormatting sqref="E245">
    <cfRule type="cellIs" dxfId="1327" priority="732" stopIfTrue="1" operator="equal">
      <formula>"Operation"</formula>
    </cfRule>
  </conditionalFormatting>
  <conditionalFormatting sqref="E245">
    <cfRule type="cellIs" dxfId="1326" priority="731" stopIfTrue="1" operator="equal">
      <formula>"N/A"</formula>
    </cfRule>
  </conditionalFormatting>
  <conditionalFormatting sqref="G247:H248">
    <cfRule type="cellIs" dxfId="1325" priority="729" stopIfTrue="1" operator="equal">
      <formula>"N/A"</formula>
    </cfRule>
  </conditionalFormatting>
  <conditionalFormatting sqref="O247:P248">
    <cfRule type="cellIs" dxfId="1324" priority="727" stopIfTrue="1" operator="equal">
      <formula>"N/A"</formula>
    </cfRule>
  </conditionalFormatting>
  <conditionalFormatting sqref="I247:K248">
    <cfRule type="cellIs" dxfId="1323" priority="724" stopIfTrue="1" operator="equal">
      <formula>"N/A"</formula>
    </cfRule>
  </conditionalFormatting>
  <conditionalFormatting sqref="D247:D248">
    <cfRule type="cellIs" dxfId="1322" priority="723" stopIfTrue="1" operator="equal">
      <formula>"Total"</formula>
    </cfRule>
  </conditionalFormatting>
  <conditionalFormatting sqref="E247:E248">
    <cfRule type="cellIs" dxfId="1321" priority="720" stopIfTrue="1" operator="equal">
      <formula>"N/A"</formula>
    </cfRule>
  </conditionalFormatting>
  <conditionalFormatting sqref="G251:H251">
    <cfRule type="cellIs" dxfId="1320" priority="741" stopIfTrue="1" operator="equal">
      <formula>"Operation"</formula>
    </cfRule>
  </conditionalFormatting>
  <conditionalFormatting sqref="H251:P251">
    <cfRule type="cellIs" dxfId="1319" priority="740" stopIfTrue="1" operator="equal">
      <formula>"N/A"</formula>
    </cfRule>
  </conditionalFormatting>
  <conditionalFormatting sqref="E251">
    <cfRule type="cellIs" dxfId="1318" priority="733" stopIfTrue="1" operator="equal">
      <formula>"N/A"</formula>
    </cfRule>
  </conditionalFormatting>
  <conditionalFormatting sqref="L245:N245 I245:J245">
    <cfRule type="cellIs" dxfId="1317" priority="738" stopIfTrue="1" operator="equal">
      <formula>"Operation"</formula>
    </cfRule>
  </conditionalFormatting>
  <conditionalFormatting sqref="K245">
    <cfRule type="cellIs" dxfId="1316" priority="737" stopIfTrue="1" operator="equal">
      <formula>"Operation"</formula>
    </cfRule>
  </conditionalFormatting>
  <conditionalFormatting sqref="G245:H245">
    <cfRule type="cellIs" dxfId="1315" priority="736" stopIfTrue="1" operator="equal">
      <formula>"Operation"</formula>
    </cfRule>
  </conditionalFormatting>
  <conditionalFormatting sqref="H245:P245">
    <cfRule type="cellIs" dxfId="1314" priority="734" stopIfTrue="1" operator="equal">
      <formula>"N/A"</formula>
    </cfRule>
  </conditionalFormatting>
  <conditionalFormatting sqref="O245:P245">
    <cfRule type="cellIs" dxfId="1313" priority="739" stopIfTrue="1" operator="equal">
      <formula>"Operation"</formula>
    </cfRule>
  </conditionalFormatting>
  <conditionalFormatting sqref="D245">
    <cfRule type="cellIs" dxfId="1312" priority="735" stopIfTrue="1" operator="equal">
      <formula>"Total"</formula>
    </cfRule>
  </conditionalFormatting>
  <conditionalFormatting sqref="K246">
    <cfRule type="cellIs" dxfId="1311" priority="712" stopIfTrue="1" operator="equal">
      <formula>"Operation"</formula>
    </cfRule>
  </conditionalFormatting>
  <conditionalFormatting sqref="I246:K246">
    <cfRule type="cellIs" dxfId="1310" priority="711" stopIfTrue="1" operator="equal">
      <formula>"N/A"</formula>
    </cfRule>
  </conditionalFormatting>
  <conditionalFormatting sqref="M246:N246">
    <cfRule type="cellIs" dxfId="1309" priority="718" stopIfTrue="1" operator="equal">
      <formula>"Operation"</formula>
    </cfRule>
  </conditionalFormatting>
  <conditionalFormatting sqref="G246:H246 L246">
    <cfRule type="cellIs" dxfId="1308" priority="717" stopIfTrue="1" operator="equal">
      <formula>"Operation"</formula>
    </cfRule>
  </conditionalFormatting>
  <conditionalFormatting sqref="G246:H246 L246:N246">
    <cfRule type="cellIs" dxfId="1307" priority="716" stopIfTrue="1" operator="equal">
      <formula>"N/A"</formula>
    </cfRule>
  </conditionalFormatting>
  <conditionalFormatting sqref="O246:P246">
    <cfRule type="cellIs" dxfId="1306" priority="714" stopIfTrue="1" operator="equal">
      <formula>"N/A"</formula>
    </cfRule>
  </conditionalFormatting>
  <conditionalFormatting sqref="O246:P246">
    <cfRule type="cellIs" dxfId="1305" priority="715" stopIfTrue="1" operator="equal">
      <formula>"Operation"</formula>
    </cfRule>
  </conditionalFormatting>
  <conditionalFormatting sqref="I246:J246">
    <cfRule type="cellIs" dxfId="1304" priority="713" stopIfTrue="1" operator="equal">
      <formula>"Operation"</formula>
    </cfRule>
  </conditionalFormatting>
  <conditionalFormatting sqref="D246">
    <cfRule type="cellIs" dxfId="1303" priority="710" stopIfTrue="1" operator="equal">
      <formula>"Total"</formula>
    </cfRule>
  </conditionalFormatting>
  <conditionalFormatting sqref="E246">
    <cfRule type="cellIs" dxfId="1302" priority="708" stopIfTrue="1" operator="equal">
      <formula>"Operation"</formula>
    </cfRule>
  </conditionalFormatting>
  <conditionalFormatting sqref="E246">
    <cfRule type="cellIs" dxfId="1301" priority="707" stopIfTrue="1" operator="equal">
      <formula>"N/A"</formula>
    </cfRule>
  </conditionalFormatting>
  <conditionalFormatting sqref="F247:F248">
    <cfRule type="cellIs" dxfId="1300" priority="703" stopIfTrue="1" operator="equal">
      <formula>"Operation"</formula>
    </cfRule>
  </conditionalFormatting>
  <conditionalFormatting sqref="F245">
    <cfRule type="cellIs" dxfId="1299" priority="705" stopIfTrue="1" operator="equal">
      <formula>"Operation"</formula>
    </cfRule>
  </conditionalFormatting>
  <conditionalFormatting sqref="F245">
    <cfRule type="cellIs" dxfId="1298" priority="704" stopIfTrue="1" operator="equal">
      <formula>"N/A"</formula>
    </cfRule>
  </conditionalFormatting>
  <conditionalFormatting sqref="F247:F248">
    <cfRule type="cellIs" dxfId="1297" priority="702" stopIfTrue="1" operator="equal">
      <formula>"N/A"</formula>
    </cfRule>
  </conditionalFormatting>
  <conditionalFormatting sqref="F251">
    <cfRule type="cellIs" dxfId="1296" priority="706" stopIfTrue="1" operator="equal">
      <formula>"N/A"</formula>
    </cfRule>
  </conditionalFormatting>
  <conditionalFormatting sqref="F246">
    <cfRule type="cellIs" dxfId="1295" priority="701" stopIfTrue="1" operator="equal">
      <formula>"Operation"</formula>
    </cfRule>
  </conditionalFormatting>
  <conditionalFormatting sqref="F246">
    <cfRule type="cellIs" dxfId="1294" priority="700" stopIfTrue="1" operator="equal">
      <formula>"N/A"</formula>
    </cfRule>
  </conditionalFormatting>
  <conditionalFormatting sqref="K248">
    <cfRule type="cellIs" dxfId="1293" priority="699" stopIfTrue="1" operator="equal">
      <formula>"Operation"</formula>
    </cfRule>
  </conditionalFormatting>
  <conditionalFormatting sqref="L255:P255">
    <cfRule type="cellIs" dxfId="1292" priority="697" stopIfTrue="1" operator="equal">
      <formula>"Operation"</formula>
    </cfRule>
  </conditionalFormatting>
  <conditionalFormatting sqref="L255:P255">
    <cfRule type="cellIs" dxfId="1291" priority="696" stopIfTrue="1" operator="equal">
      <formula>"N/A"</formula>
    </cfRule>
  </conditionalFormatting>
  <conditionalFormatting sqref="L256:P256 L253:P254">
    <cfRule type="cellIs" dxfId="1290" priority="695" stopIfTrue="1" operator="equal">
      <formula>"Operation"</formula>
    </cfRule>
  </conditionalFormatting>
  <conditionalFormatting sqref="L253:P254">
    <cfRule type="cellIs" dxfId="1289" priority="694" stopIfTrue="1" operator="equal">
      <formula>"N/A"</formula>
    </cfRule>
  </conditionalFormatting>
  <conditionalFormatting sqref="L252:N252">
    <cfRule type="cellIs" dxfId="1288" priority="692" stopIfTrue="1" operator="equal">
      <formula>"Operation"</formula>
    </cfRule>
  </conditionalFormatting>
  <conditionalFormatting sqref="L252:P252">
    <cfRule type="cellIs" dxfId="1287" priority="691" stopIfTrue="1" operator="equal">
      <formula>"N/A"</formula>
    </cfRule>
  </conditionalFormatting>
  <conditionalFormatting sqref="O252:P252">
    <cfRule type="cellIs" dxfId="1286" priority="693" stopIfTrue="1" operator="equal">
      <formula>"Operation"</formula>
    </cfRule>
  </conditionalFormatting>
  <conditionalFormatting sqref="L256:P256">
    <cfRule type="cellIs" dxfId="1285" priority="690" stopIfTrue="1" operator="equal">
      <formula>"N/A"</formula>
    </cfRule>
  </conditionalFormatting>
  <conditionalFormatting sqref="G255:K255 E255:F256">
    <cfRule type="cellIs" dxfId="1284" priority="689" stopIfTrue="1" operator="equal">
      <formula>"Operation"</formula>
    </cfRule>
  </conditionalFormatting>
  <conditionalFormatting sqref="D252:D256">
    <cfRule type="cellIs" dxfId="1283" priority="688" stopIfTrue="1" operator="equal">
      <formula>"Total"</formula>
    </cfRule>
  </conditionalFormatting>
  <conditionalFormatting sqref="H255:K255 E255:F256">
    <cfRule type="cellIs" dxfId="1282" priority="686" stopIfTrue="1" operator="equal">
      <formula>"N/A"</formula>
    </cfRule>
  </conditionalFormatting>
  <conditionalFormatting sqref="I256:K256 E253:K254">
    <cfRule type="cellIs" dxfId="1281" priority="683" stopIfTrue="1" operator="equal">
      <formula>"Operation"</formula>
    </cfRule>
  </conditionalFormatting>
  <conditionalFormatting sqref="E253:K254">
    <cfRule type="cellIs" dxfId="1280" priority="681" stopIfTrue="1" operator="equal">
      <formula>"N/A"</formula>
    </cfRule>
  </conditionalFormatting>
  <conditionalFormatting sqref="I252:J252">
    <cfRule type="cellIs" dxfId="1279" priority="680" stopIfTrue="1" operator="equal">
      <formula>"Operation"</formula>
    </cfRule>
  </conditionalFormatting>
  <conditionalFormatting sqref="K252">
    <cfRule type="cellIs" dxfId="1278" priority="679" stopIfTrue="1" operator="equal">
      <formula>"Operation"</formula>
    </cfRule>
  </conditionalFormatting>
  <conditionalFormatting sqref="G252:H252">
    <cfRule type="cellIs" dxfId="1277" priority="678" stopIfTrue="1" operator="equal">
      <formula>"Operation"</formula>
    </cfRule>
  </conditionalFormatting>
  <conditionalFormatting sqref="H252:K252">
    <cfRule type="cellIs" dxfId="1276" priority="675" stopIfTrue="1" operator="equal">
      <formula>"N/A"</formula>
    </cfRule>
  </conditionalFormatting>
  <conditionalFormatting sqref="D252">
    <cfRule type="cellIs" dxfId="1275" priority="677" stopIfTrue="1" operator="equal">
      <formula>"Total"</formula>
    </cfRule>
  </conditionalFormatting>
  <conditionalFormatting sqref="G256:H256">
    <cfRule type="cellIs" dxfId="1274" priority="674" stopIfTrue="1" operator="equal">
      <formula>"Operation"</formula>
    </cfRule>
  </conditionalFormatting>
  <conditionalFormatting sqref="H256:K256">
    <cfRule type="cellIs" dxfId="1273" priority="673" stopIfTrue="1" operator="equal">
      <formula>"N/A"</formula>
    </cfRule>
  </conditionalFormatting>
  <conditionalFormatting sqref="E252">
    <cfRule type="cellIs" dxfId="1272" priority="672" stopIfTrue="1" operator="equal">
      <formula>"Operation"</formula>
    </cfRule>
  </conditionalFormatting>
  <conditionalFormatting sqref="E252">
    <cfRule type="cellIs" dxfId="1271" priority="671" stopIfTrue="1" operator="equal">
      <formula>"N/A"</formula>
    </cfRule>
  </conditionalFormatting>
  <conditionalFormatting sqref="F252">
    <cfRule type="cellIs" dxfId="1270" priority="670" stopIfTrue="1" operator="equal">
      <formula>"Operation"</formula>
    </cfRule>
  </conditionalFormatting>
  <conditionalFormatting sqref="F252">
    <cfRule type="cellIs" dxfId="1269" priority="669" stopIfTrue="1" operator="equal">
      <formula>"N/A"</formula>
    </cfRule>
  </conditionalFormatting>
  <conditionalFormatting sqref="I23:P23 E23:F23">
    <cfRule type="cellIs" dxfId="1268" priority="661" stopIfTrue="1" operator="equal">
      <formula>"Operation"</formula>
    </cfRule>
  </conditionalFormatting>
  <conditionalFormatting sqref="D22:D23">
    <cfRule type="cellIs" dxfId="1267" priority="660" stopIfTrue="1" operator="equal">
      <formula>"Total"</formula>
    </cfRule>
  </conditionalFormatting>
  <conditionalFormatting sqref="E23:F23">
    <cfRule type="cellIs" dxfId="1266" priority="659" stopIfTrue="1" operator="equal">
      <formula>"N/A"</formula>
    </cfRule>
  </conditionalFormatting>
  <conditionalFormatting sqref="L17:N17 I17:J17 L21:N22 I21:J22">
    <cfRule type="cellIs" dxfId="1265" priority="657" stopIfTrue="1" operator="equal">
      <formula>"Operation"</formula>
    </cfRule>
  </conditionalFormatting>
  <conditionalFormatting sqref="K17 K21:K22">
    <cfRule type="cellIs" dxfId="1264" priority="656" stopIfTrue="1" operator="equal">
      <formula>"Operation"</formula>
    </cfRule>
  </conditionalFormatting>
  <conditionalFormatting sqref="G17:H17 G21:H22">
    <cfRule type="cellIs" dxfId="1263" priority="655" stopIfTrue="1" operator="equal">
      <formula>"Operation"</formula>
    </cfRule>
  </conditionalFormatting>
  <conditionalFormatting sqref="H17:P17 H21:P22">
    <cfRule type="cellIs" dxfId="1262" priority="652" stopIfTrue="1" operator="equal">
      <formula>"N/A"</formula>
    </cfRule>
  </conditionalFormatting>
  <conditionalFormatting sqref="O17:P17 O21:P22">
    <cfRule type="cellIs" dxfId="1261" priority="658" stopIfTrue="1" operator="equal">
      <formula>"Operation"</formula>
    </cfRule>
  </conditionalFormatting>
  <conditionalFormatting sqref="D17 D21:D22">
    <cfRule type="cellIs" dxfId="1260" priority="654" stopIfTrue="1" operator="equal">
      <formula>"Total"</formula>
    </cfRule>
  </conditionalFormatting>
  <conditionalFormatting sqref="G23:H23">
    <cfRule type="cellIs" dxfId="1259" priority="650" stopIfTrue="1" operator="equal">
      <formula>"Operation"</formula>
    </cfRule>
  </conditionalFormatting>
  <conditionalFormatting sqref="H23:P23">
    <cfRule type="cellIs" dxfId="1258" priority="649" stopIfTrue="1" operator="equal">
      <formula>"N/A"</formula>
    </cfRule>
  </conditionalFormatting>
  <conditionalFormatting sqref="E17 E21:E22">
    <cfRule type="cellIs" dxfId="1257" priority="648" stopIfTrue="1" operator="equal">
      <formula>"Operation"</formula>
    </cfRule>
  </conditionalFormatting>
  <conditionalFormatting sqref="E17 E21:E22">
    <cfRule type="cellIs" dxfId="1256" priority="647" stopIfTrue="1" operator="equal">
      <formula>"N/A"</formula>
    </cfRule>
  </conditionalFormatting>
  <conditionalFormatting sqref="O18:P19">
    <cfRule type="cellIs" dxfId="1255" priority="642" stopIfTrue="1" operator="equal">
      <formula>"Operation"</formula>
    </cfRule>
  </conditionalFormatting>
  <conditionalFormatting sqref="O18:P19">
    <cfRule type="cellIs" dxfId="1254" priority="641" stopIfTrue="1" operator="equal">
      <formula>"N/A"</formula>
    </cfRule>
  </conditionalFormatting>
  <conditionalFormatting sqref="K20">
    <cfRule type="cellIs" dxfId="1253" priority="627" stopIfTrue="1" operator="equal">
      <formula>"Operation"</formula>
    </cfRule>
  </conditionalFormatting>
  <conditionalFormatting sqref="I20:K20">
    <cfRule type="cellIs" dxfId="1252" priority="626" stopIfTrue="1" operator="equal">
      <formula>"N/A"</formula>
    </cfRule>
  </conditionalFormatting>
  <conditionalFormatting sqref="M20:N20">
    <cfRule type="cellIs" dxfId="1251" priority="633" stopIfTrue="1" operator="equal">
      <formula>"Operation"</formula>
    </cfRule>
  </conditionalFormatting>
  <conditionalFormatting sqref="L18:L19 G18:H19">
    <cfRule type="cellIs" dxfId="1250" priority="644" stopIfTrue="1" operator="equal">
      <formula>"Operation"</formula>
    </cfRule>
  </conditionalFormatting>
  <conditionalFormatting sqref="L18:N19 G18:H19">
    <cfRule type="cellIs" dxfId="1249" priority="643" stopIfTrue="1" operator="equal">
      <formula>"N/A"</formula>
    </cfRule>
  </conditionalFormatting>
  <conditionalFormatting sqref="M18:N19">
    <cfRule type="cellIs" dxfId="1248" priority="645" stopIfTrue="1" operator="equal">
      <formula>"Operation"</formula>
    </cfRule>
  </conditionalFormatting>
  <conditionalFormatting sqref="I18:J19">
    <cfRule type="cellIs" dxfId="1247" priority="640" stopIfTrue="1" operator="equal">
      <formula>"Operation"</formula>
    </cfRule>
  </conditionalFormatting>
  <conditionalFormatting sqref="K18:K19">
    <cfRule type="cellIs" dxfId="1246" priority="639" stopIfTrue="1" operator="equal">
      <formula>"Operation"</formula>
    </cfRule>
  </conditionalFormatting>
  <conditionalFormatting sqref="I18:K19">
    <cfRule type="cellIs" dxfId="1245" priority="638" stopIfTrue="1" operator="equal">
      <formula>"N/A"</formula>
    </cfRule>
  </conditionalFormatting>
  <conditionalFormatting sqref="D18:D19">
    <cfRule type="cellIs" dxfId="1244" priority="637" stopIfTrue="1" operator="equal">
      <formula>"Total"</formula>
    </cfRule>
  </conditionalFormatting>
  <conditionalFormatting sqref="E18:E19">
    <cfRule type="cellIs" dxfId="1243" priority="636" stopIfTrue="1" operator="equal">
      <formula>"Operation"</formula>
    </cfRule>
  </conditionalFormatting>
  <conditionalFormatting sqref="E18:E19">
    <cfRule type="cellIs" dxfId="1242" priority="635" stopIfTrue="1" operator="equal">
      <formula>"N/A"</formula>
    </cfRule>
  </conditionalFormatting>
  <conditionalFormatting sqref="G20:H20 L20">
    <cfRule type="cellIs" dxfId="1241" priority="632" stopIfTrue="1" operator="equal">
      <formula>"Operation"</formula>
    </cfRule>
  </conditionalFormatting>
  <conditionalFormatting sqref="G20:H20 L20:N20">
    <cfRule type="cellIs" dxfId="1240" priority="631" stopIfTrue="1" operator="equal">
      <formula>"N/A"</formula>
    </cfRule>
  </conditionalFormatting>
  <conditionalFormatting sqref="O20:P20">
    <cfRule type="cellIs" dxfId="1239" priority="629" stopIfTrue="1" operator="equal">
      <formula>"N/A"</formula>
    </cfRule>
  </conditionalFormatting>
  <conditionalFormatting sqref="O20:P20">
    <cfRule type="cellIs" dxfId="1238" priority="630" stopIfTrue="1" operator="equal">
      <formula>"Operation"</formula>
    </cfRule>
  </conditionalFormatting>
  <conditionalFormatting sqref="I20:J20">
    <cfRule type="cellIs" dxfId="1237" priority="628" stopIfTrue="1" operator="equal">
      <formula>"Operation"</formula>
    </cfRule>
  </conditionalFormatting>
  <conditionalFormatting sqref="D20">
    <cfRule type="cellIs" dxfId="1236" priority="625" stopIfTrue="1" operator="equal">
      <formula>"Total"</formula>
    </cfRule>
  </conditionalFormatting>
  <conditionalFormatting sqref="E20">
    <cfRule type="cellIs" dxfId="1235" priority="623" stopIfTrue="1" operator="equal">
      <formula>"Operation"</formula>
    </cfRule>
  </conditionalFormatting>
  <conditionalFormatting sqref="E20">
    <cfRule type="cellIs" dxfId="1234" priority="622" stopIfTrue="1" operator="equal">
      <formula>"N/A"</formula>
    </cfRule>
  </conditionalFormatting>
  <conditionalFormatting sqref="F17 F21:F22">
    <cfRule type="cellIs" dxfId="1233" priority="621" stopIfTrue="1" operator="equal">
      <formula>"Operation"</formula>
    </cfRule>
  </conditionalFormatting>
  <conditionalFormatting sqref="F17 F21:F22">
    <cfRule type="cellIs" dxfId="1232" priority="620" stopIfTrue="1" operator="equal">
      <formula>"N/A"</formula>
    </cfRule>
  </conditionalFormatting>
  <conditionalFormatting sqref="F18:F19">
    <cfRule type="cellIs" dxfId="1231" priority="619" stopIfTrue="1" operator="equal">
      <formula>"Operation"</formula>
    </cfRule>
  </conditionalFormatting>
  <conditionalFormatting sqref="F18:F19">
    <cfRule type="cellIs" dxfId="1230" priority="618" stopIfTrue="1" operator="equal">
      <formula>"N/A"</formula>
    </cfRule>
  </conditionalFormatting>
  <conditionalFormatting sqref="F20">
    <cfRule type="cellIs" dxfId="1229" priority="617" stopIfTrue="1" operator="equal">
      <formula>"Operation"</formula>
    </cfRule>
  </conditionalFormatting>
  <conditionalFormatting sqref="F20">
    <cfRule type="cellIs" dxfId="1228" priority="616" stopIfTrue="1" operator="equal">
      <formula>"N/A"</formula>
    </cfRule>
  </conditionalFormatting>
  <conditionalFormatting sqref="D17:D21">
    <cfRule type="cellIs" dxfId="1227" priority="615" stopIfTrue="1" operator="equal">
      <formula>"Total"</formula>
    </cfRule>
  </conditionalFormatting>
  <conditionalFormatting sqref="I37:P37 E37:F37">
    <cfRule type="cellIs" dxfId="1226" priority="614" stopIfTrue="1" operator="equal">
      <formula>"Operation"</formula>
    </cfRule>
  </conditionalFormatting>
  <conditionalFormatting sqref="D36:D37">
    <cfRule type="cellIs" dxfId="1225" priority="613" stopIfTrue="1" operator="equal">
      <formula>"Total"</formula>
    </cfRule>
  </conditionalFormatting>
  <conditionalFormatting sqref="E37:F37">
    <cfRule type="cellIs" dxfId="1224" priority="611" stopIfTrue="1" operator="equal">
      <formula>"N/A"</formula>
    </cfRule>
  </conditionalFormatting>
  <conditionalFormatting sqref="L31:N31 I31:J31 L35:N36 I35:J36">
    <cfRule type="cellIs" dxfId="1223" priority="609" stopIfTrue="1" operator="equal">
      <formula>"Operation"</formula>
    </cfRule>
  </conditionalFormatting>
  <conditionalFormatting sqref="K31 K35:K36">
    <cfRule type="cellIs" dxfId="1222" priority="608" stopIfTrue="1" operator="equal">
      <formula>"Operation"</formula>
    </cfRule>
  </conditionalFormatting>
  <conditionalFormatting sqref="G31:H31 G35:H36">
    <cfRule type="cellIs" dxfId="1221" priority="607" stopIfTrue="1" operator="equal">
      <formula>"Operation"</formula>
    </cfRule>
  </conditionalFormatting>
  <conditionalFormatting sqref="H31:P31 H35:P36">
    <cfRule type="cellIs" dxfId="1220" priority="604" stopIfTrue="1" operator="equal">
      <formula>"N/A"</formula>
    </cfRule>
  </conditionalFormatting>
  <conditionalFormatting sqref="O31:P31 O35:P36">
    <cfRule type="cellIs" dxfId="1219" priority="610" stopIfTrue="1" operator="equal">
      <formula>"Operation"</formula>
    </cfRule>
  </conditionalFormatting>
  <conditionalFormatting sqref="D31 D35:D36">
    <cfRule type="cellIs" dxfId="1218" priority="606" stopIfTrue="1" operator="equal">
      <formula>"Total"</formula>
    </cfRule>
  </conditionalFormatting>
  <conditionalFormatting sqref="G37:H37">
    <cfRule type="cellIs" dxfId="1217" priority="602" stopIfTrue="1" operator="equal">
      <formula>"Operation"</formula>
    </cfRule>
  </conditionalFormatting>
  <conditionalFormatting sqref="H37:P37">
    <cfRule type="cellIs" dxfId="1216" priority="601" stopIfTrue="1" operator="equal">
      <formula>"N/A"</formula>
    </cfRule>
  </conditionalFormatting>
  <conditionalFormatting sqref="E31 E35:E36">
    <cfRule type="cellIs" dxfId="1215" priority="600" stopIfTrue="1" operator="equal">
      <formula>"Operation"</formula>
    </cfRule>
  </conditionalFormatting>
  <conditionalFormatting sqref="E31 E35:E36">
    <cfRule type="cellIs" dxfId="1214" priority="599" stopIfTrue="1" operator="equal">
      <formula>"N/A"</formula>
    </cfRule>
  </conditionalFormatting>
  <conditionalFormatting sqref="O32:P33">
    <cfRule type="cellIs" dxfId="1213" priority="594" stopIfTrue="1" operator="equal">
      <formula>"Operation"</formula>
    </cfRule>
  </conditionalFormatting>
  <conditionalFormatting sqref="O32:P33">
    <cfRule type="cellIs" dxfId="1212" priority="593" stopIfTrue="1" operator="equal">
      <formula>"N/A"</formula>
    </cfRule>
  </conditionalFormatting>
  <conditionalFormatting sqref="K34">
    <cfRule type="cellIs" dxfId="1211" priority="579" stopIfTrue="1" operator="equal">
      <formula>"Operation"</formula>
    </cfRule>
  </conditionalFormatting>
  <conditionalFormatting sqref="I34:K34">
    <cfRule type="cellIs" dxfId="1210" priority="578" stopIfTrue="1" operator="equal">
      <formula>"N/A"</formula>
    </cfRule>
  </conditionalFormatting>
  <conditionalFormatting sqref="M34:N34">
    <cfRule type="cellIs" dxfId="1209" priority="585" stopIfTrue="1" operator="equal">
      <formula>"Operation"</formula>
    </cfRule>
  </conditionalFormatting>
  <conditionalFormatting sqref="L32:L33 G32:H33">
    <cfRule type="cellIs" dxfId="1208" priority="596" stopIfTrue="1" operator="equal">
      <formula>"Operation"</formula>
    </cfRule>
  </conditionalFormatting>
  <conditionalFormatting sqref="L32:N33 G32:H33">
    <cfRule type="cellIs" dxfId="1207" priority="595" stopIfTrue="1" operator="equal">
      <formula>"N/A"</formula>
    </cfRule>
  </conditionalFormatting>
  <conditionalFormatting sqref="M32:N33">
    <cfRule type="cellIs" dxfId="1206" priority="597" stopIfTrue="1" operator="equal">
      <formula>"Operation"</formula>
    </cfRule>
  </conditionalFormatting>
  <conditionalFormatting sqref="I32:J33">
    <cfRule type="cellIs" dxfId="1205" priority="592" stopIfTrue="1" operator="equal">
      <formula>"Operation"</formula>
    </cfRule>
  </conditionalFormatting>
  <conditionalFormatting sqref="K32:K33">
    <cfRule type="cellIs" dxfId="1204" priority="591" stopIfTrue="1" operator="equal">
      <formula>"Operation"</formula>
    </cfRule>
  </conditionalFormatting>
  <conditionalFormatting sqref="I32:K33">
    <cfRule type="cellIs" dxfId="1203" priority="590" stopIfTrue="1" operator="equal">
      <formula>"N/A"</formula>
    </cfRule>
  </conditionalFormatting>
  <conditionalFormatting sqref="D32:D33">
    <cfRule type="cellIs" dxfId="1202" priority="589" stopIfTrue="1" operator="equal">
      <formula>"Total"</formula>
    </cfRule>
  </conditionalFormatting>
  <conditionalFormatting sqref="E32:E33">
    <cfRule type="cellIs" dxfId="1201" priority="588" stopIfTrue="1" operator="equal">
      <formula>"Operation"</formula>
    </cfRule>
  </conditionalFormatting>
  <conditionalFormatting sqref="E32:E33">
    <cfRule type="cellIs" dxfId="1200" priority="587" stopIfTrue="1" operator="equal">
      <formula>"N/A"</formula>
    </cfRule>
  </conditionalFormatting>
  <conditionalFormatting sqref="G34:H34 L34">
    <cfRule type="cellIs" dxfId="1199" priority="584" stopIfTrue="1" operator="equal">
      <formula>"Operation"</formula>
    </cfRule>
  </conditionalFormatting>
  <conditionalFormatting sqref="G34:H34 L34:N34">
    <cfRule type="cellIs" dxfId="1198" priority="583" stopIfTrue="1" operator="equal">
      <formula>"N/A"</formula>
    </cfRule>
  </conditionalFormatting>
  <conditionalFormatting sqref="O34:P34">
    <cfRule type="cellIs" dxfId="1197" priority="581" stopIfTrue="1" operator="equal">
      <formula>"N/A"</formula>
    </cfRule>
  </conditionalFormatting>
  <conditionalFormatting sqref="O34:P34">
    <cfRule type="cellIs" dxfId="1196" priority="582" stopIfTrue="1" operator="equal">
      <formula>"Operation"</formula>
    </cfRule>
  </conditionalFormatting>
  <conditionalFormatting sqref="I34:J34">
    <cfRule type="cellIs" dxfId="1195" priority="580" stopIfTrue="1" operator="equal">
      <formula>"Operation"</formula>
    </cfRule>
  </conditionalFormatting>
  <conditionalFormatting sqref="D34">
    <cfRule type="cellIs" dxfId="1194" priority="577" stopIfTrue="1" operator="equal">
      <formula>"Total"</formula>
    </cfRule>
  </conditionalFormatting>
  <conditionalFormatting sqref="E34">
    <cfRule type="cellIs" dxfId="1193" priority="575" stopIfTrue="1" operator="equal">
      <formula>"Operation"</formula>
    </cfRule>
  </conditionalFormatting>
  <conditionalFormatting sqref="E34">
    <cfRule type="cellIs" dxfId="1192" priority="574" stopIfTrue="1" operator="equal">
      <formula>"N/A"</formula>
    </cfRule>
  </conditionalFormatting>
  <conditionalFormatting sqref="F31 F35:F36">
    <cfRule type="cellIs" dxfId="1191" priority="573" stopIfTrue="1" operator="equal">
      <formula>"Operation"</formula>
    </cfRule>
  </conditionalFormatting>
  <conditionalFormatting sqref="F31 F35:F36">
    <cfRule type="cellIs" dxfId="1190" priority="572" stopIfTrue="1" operator="equal">
      <formula>"N/A"</formula>
    </cfRule>
  </conditionalFormatting>
  <conditionalFormatting sqref="F32:F33">
    <cfRule type="cellIs" dxfId="1189" priority="571" stopIfTrue="1" operator="equal">
      <formula>"Operation"</formula>
    </cfRule>
  </conditionalFormatting>
  <conditionalFormatting sqref="F32:F33">
    <cfRule type="cellIs" dxfId="1188" priority="570" stopIfTrue="1" operator="equal">
      <formula>"N/A"</formula>
    </cfRule>
  </conditionalFormatting>
  <conditionalFormatting sqref="F34">
    <cfRule type="cellIs" dxfId="1187" priority="569" stopIfTrue="1" operator="equal">
      <formula>"Operation"</formula>
    </cfRule>
  </conditionalFormatting>
  <conditionalFormatting sqref="F34">
    <cfRule type="cellIs" dxfId="1186" priority="568" stopIfTrue="1" operator="equal">
      <formula>"N/A"</formula>
    </cfRule>
  </conditionalFormatting>
  <conditionalFormatting sqref="D31:D35">
    <cfRule type="cellIs" dxfId="1185" priority="567" stopIfTrue="1" operator="equal">
      <formula>"Total"</formula>
    </cfRule>
  </conditionalFormatting>
  <conditionalFormatting sqref="I44:P44 E44:F44">
    <cfRule type="cellIs" dxfId="1184" priority="565" stopIfTrue="1" operator="equal">
      <formula>"Operation"</formula>
    </cfRule>
  </conditionalFormatting>
  <conditionalFormatting sqref="D43:D44">
    <cfRule type="cellIs" dxfId="1183" priority="564" stopIfTrue="1" operator="equal">
      <formula>"Total"</formula>
    </cfRule>
  </conditionalFormatting>
  <conditionalFormatting sqref="E44:F44">
    <cfRule type="cellIs" dxfId="1182" priority="562" stopIfTrue="1" operator="equal">
      <formula>"N/A"</formula>
    </cfRule>
  </conditionalFormatting>
  <conditionalFormatting sqref="L38:N38 I38:J38 L42:N43 I42:J43">
    <cfRule type="cellIs" dxfId="1181" priority="560" stopIfTrue="1" operator="equal">
      <formula>"Operation"</formula>
    </cfRule>
  </conditionalFormatting>
  <conditionalFormatting sqref="K38 K42:K43">
    <cfRule type="cellIs" dxfId="1180" priority="559" stopIfTrue="1" operator="equal">
      <formula>"Operation"</formula>
    </cfRule>
  </conditionalFormatting>
  <conditionalFormatting sqref="G38:H38 G42:H43">
    <cfRule type="cellIs" dxfId="1179" priority="558" stopIfTrue="1" operator="equal">
      <formula>"Operation"</formula>
    </cfRule>
  </conditionalFormatting>
  <conditionalFormatting sqref="H38:P38 H42:P43">
    <cfRule type="cellIs" dxfId="1178" priority="555" stopIfTrue="1" operator="equal">
      <formula>"N/A"</formula>
    </cfRule>
  </conditionalFormatting>
  <conditionalFormatting sqref="O38:P38 O42:P43">
    <cfRule type="cellIs" dxfId="1177" priority="561" stopIfTrue="1" operator="equal">
      <formula>"Operation"</formula>
    </cfRule>
  </conditionalFormatting>
  <conditionalFormatting sqref="D38 D42:D43">
    <cfRule type="cellIs" dxfId="1176" priority="557" stopIfTrue="1" operator="equal">
      <formula>"Total"</formula>
    </cfRule>
  </conditionalFormatting>
  <conditionalFormatting sqref="G44:H44">
    <cfRule type="cellIs" dxfId="1175" priority="553" stopIfTrue="1" operator="equal">
      <formula>"Operation"</formula>
    </cfRule>
  </conditionalFormatting>
  <conditionalFormatting sqref="H44:P44">
    <cfRule type="cellIs" dxfId="1174" priority="552" stopIfTrue="1" operator="equal">
      <formula>"N/A"</formula>
    </cfRule>
  </conditionalFormatting>
  <conditionalFormatting sqref="E38 E42:E43">
    <cfRule type="cellIs" dxfId="1173" priority="551" stopIfTrue="1" operator="equal">
      <formula>"Operation"</formula>
    </cfRule>
  </conditionalFormatting>
  <conditionalFormatting sqref="E38 E42:E43">
    <cfRule type="cellIs" dxfId="1172" priority="550" stopIfTrue="1" operator="equal">
      <formula>"N/A"</formula>
    </cfRule>
  </conditionalFormatting>
  <conditionalFormatting sqref="O39:P40">
    <cfRule type="cellIs" dxfId="1171" priority="545" stopIfTrue="1" operator="equal">
      <formula>"Operation"</formula>
    </cfRule>
  </conditionalFormatting>
  <conditionalFormatting sqref="O39:P40">
    <cfRule type="cellIs" dxfId="1170" priority="544" stopIfTrue="1" operator="equal">
      <formula>"N/A"</formula>
    </cfRule>
  </conditionalFormatting>
  <conditionalFormatting sqref="K41">
    <cfRule type="cellIs" dxfId="1169" priority="530" stopIfTrue="1" operator="equal">
      <formula>"Operation"</formula>
    </cfRule>
  </conditionalFormatting>
  <conditionalFormatting sqref="I41:K41">
    <cfRule type="cellIs" dxfId="1168" priority="529" stopIfTrue="1" operator="equal">
      <formula>"N/A"</formula>
    </cfRule>
  </conditionalFormatting>
  <conditionalFormatting sqref="M41:N41">
    <cfRule type="cellIs" dxfId="1167" priority="536" stopIfTrue="1" operator="equal">
      <formula>"Operation"</formula>
    </cfRule>
  </conditionalFormatting>
  <conditionalFormatting sqref="L39:L40 G39:H40">
    <cfRule type="cellIs" dxfId="1166" priority="547" stopIfTrue="1" operator="equal">
      <formula>"Operation"</formula>
    </cfRule>
  </conditionalFormatting>
  <conditionalFormatting sqref="L39:N40 G39:H40">
    <cfRule type="cellIs" dxfId="1165" priority="546" stopIfTrue="1" operator="equal">
      <formula>"N/A"</formula>
    </cfRule>
  </conditionalFormatting>
  <conditionalFormatting sqref="M39:N40">
    <cfRule type="cellIs" dxfId="1164" priority="548" stopIfTrue="1" operator="equal">
      <formula>"Operation"</formula>
    </cfRule>
  </conditionalFormatting>
  <conditionalFormatting sqref="I39:J40">
    <cfRule type="cellIs" dxfId="1163" priority="543" stopIfTrue="1" operator="equal">
      <formula>"Operation"</formula>
    </cfRule>
  </conditionalFormatting>
  <conditionalFormatting sqref="K39:K40">
    <cfRule type="cellIs" dxfId="1162" priority="542" stopIfTrue="1" operator="equal">
      <formula>"Operation"</formula>
    </cfRule>
  </conditionalFormatting>
  <conditionalFormatting sqref="I39:K40">
    <cfRule type="cellIs" dxfId="1161" priority="541" stopIfTrue="1" operator="equal">
      <formula>"N/A"</formula>
    </cfRule>
  </conditionalFormatting>
  <conditionalFormatting sqref="D39:D40">
    <cfRule type="cellIs" dxfId="1160" priority="540" stopIfTrue="1" operator="equal">
      <formula>"Total"</formula>
    </cfRule>
  </conditionalFormatting>
  <conditionalFormatting sqref="E39:E40">
    <cfRule type="cellIs" dxfId="1159" priority="539" stopIfTrue="1" operator="equal">
      <formula>"Operation"</formula>
    </cfRule>
  </conditionalFormatting>
  <conditionalFormatting sqref="E39:E40">
    <cfRule type="cellIs" dxfId="1158" priority="538" stopIfTrue="1" operator="equal">
      <formula>"N/A"</formula>
    </cfRule>
  </conditionalFormatting>
  <conditionalFormatting sqref="G41:H41 L41">
    <cfRule type="cellIs" dxfId="1157" priority="535" stopIfTrue="1" operator="equal">
      <formula>"Operation"</formula>
    </cfRule>
  </conditionalFormatting>
  <conditionalFormatting sqref="G41:H41 L41:N41">
    <cfRule type="cellIs" dxfId="1156" priority="534" stopIfTrue="1" operator="equal">
      <formula>"N/A"</formula>
    </cfRule>
  </conditionalFormatting>
  <conditionalFormatting sqref="O41:P41">
    <cfRule type="cellIs" dxfId="1155" priority="532" stopIfTrue="1" operator="equal">
      <formula>"N/A"</formula>
    </cfRule>
  </conditionalFormatting>
  <conditionalFormatting sqref="O41:P41">
    <cfRule type="cellIs" dxfId="1154" priority="533" stopIfTrue="1" operator="equal">
      <formula>"Operation"</formula>
    </cfRule>
  </conditionalFormatting>
  <conditionalFormatting sqref="I41:J41">
    <cfRule type="cellIs" dxfId="1153" priority="531" stopIfTrue="1" operator="equal">
      <formula>"Operation"</formula>
    </cfRule>
  </conditionalFormatting>
  <conditionalFormatting sqref="D41">
    <cfRule type="cellIs" dxfId="1152" priority="528" stopIfTrue="1" operator="equal">
      <formula>"Total"</formula>
    </cfRule>
  </conditionalFormatting>
  <conditionalFormatting sqref="E41">
    <cfRule type="cellIs" dxfId="1151" priority="526" stopIfTrue="1" operator="equal">
      <formula>"Operation"</formula>
    </cfRule>
  </conditionalFormatting>
  <conditionalFormatting sqref="E41">
    <cfRule type="cellIs" dxfId="1150" priority="525" stopIfTrue="1" operator="equal">
      <formula>"N/A"</formula>
    </cfRule>
  </conditionalFormatting>
  <conditionalFormatting sqref="F38 F42:F43">
    <cfRule type="cellIs" dxfId="1149" priority="524" stopIfTrue="1" operator="equal">
      <formula>"Operation"</formula>
    </cfRule>
  </conditionalFormatting>
  <conditionalFormatting sqref="F38 F42:F43">
    <cfRule type="cellIs" dxfId="1148" priority="523" stopIfTrue="1" operator="equal">
      <formula>"N/A"</formula>
    </cfRule>
  </conditionalFormatting>
  <conditionalFormatting sqref="F39:F40">
    <cfRule type="cellIs" dxfId="1147" priority="522" stopIfTrue="1" operator="equal">
      <formula>"Operation"</formula>
    </cfRule>
  </conditionalFormatting>
  <conditionalFormatting sqref="F39:F40">
    <cfRule type="cellIs" dxfId="1146" priority="521" stopIfTrue="1" operator="equal">
      <formula>"N/A"</formula>
    </cfRule>
  </conditionalFormatting>
  <conditionalFormatting sqref="F41">
    <cfRule type="cellIs" dxfId="1145" priority="520" stopIfTrue="1" operator="equal">
      <formula>"Operation"</formula>
    </cfRule>
  </conditionalFormatting>
  <conditionalFormatting sqref="F41">
    <cfRule type="cellIs" dxfId="1144" priority="519" stopIfTrue="1" operator="equal">
      <formula>"N/A"</formula>
    </cfRule>
  </conditionalFormatting>
  <conditionalFormatting sqref="D38:D42">
    <cfRule type="cellIs" dxfId="1143" priority="518" stopIfTrue="1" operator="equal">
      <formula>"Total"</formula>
    </cfRule>
  </conditionalFormatting>
  <conditionalFormatting sqref="I51:P51 E51:F51">
    <cfRule type="cellIs" dxfId="1142" priority="516" stopIfTrue="1" operator="equal">
      <formula>"Operation"</formula>
    </cfRule>
  </conditionalFormatting>
  <conditionalFormatting sqref="D50:D51">
    <cfRule type="cellIs" dxfId="1141" priority="515" stopIfTrue="1" operator="equal">
      <formula>"Total"</formula>
    </cfRule>
  </conditionalFormatting>
  <conditionalFormatting sqref="E51:F51">
    <cfRule type="cellIs" dxfId="1140" priority="513" stopIfTrue="1" operator="equal">
      <formula>"N/A"</formula>
    </cfRule>
  </conditionalFormatting>
  <conditionalFormatting sqref="L45:N45 I45:J45 L49:N50 I49:J50">
    <cfRule type="cellIs" dxfId="1139" priority="511" stopIfTrue="1" operator="equal">
      <formula>"Operation"</formula>
    </cfRule>
  </conditionalFormatting>
  <conditionalFormatting sqref="K45 K49:K50">
    <cfRule type="cellIs" dxfId="1138" priority="510" stopIfTrue="1" operator="equal">
      <formula>"Operation"</formula>
    </cfRule>
  </conditionalFormatting>
  <conditionalFormatting sqref="G45:H45 G49:H50">
    <cfRule type="cellIs" dxfId="1137" priority="509" stopIfTrue="1" operator="equal">
      <formula>"Operation"</formula>
    </cfRule>
  </conditionalFormatting>
  <conditionalFormatting sqref="H45:P45 H49:P50">
    <cfRule type="cellIs" dxfId="1136" priority="506" stopIfTrue="1" operator="equal">
      <formula>"N/A"</formula>
    </cfRule>
  </conditionalFormatting>
  <conditionalFormatting sqref="O45:P45 O49:P50">
    <cfRule type="cellIs" dxfId="1135" priority="512" stopIfTrue="1" operator="equal">
      <formula>"Operation"</formula>
    </cfRule>
  </conditionalFormatting>
  <conditionalFormatting sqref="D45 D49:D50">
    <cfRule type="cellIs" dxfId="1134" priority="508" stopIfTrue="1" operator="equal">
      <formula>"Total"</formula>
    </cfRule>
  </conditionalFormatting>
  <conditionalFormatting sqref="G51:H51">
    <cfRule type="cellIs" dxfId="1133" priority="504" stopIfTrue="1" operator="equal">
      <formula>"Operation"</formula>
    </cfRule>
  </conditionalFormatting>
  <conditionalFormatting sqref="H51:P51">
    <cfRule type="cellIs" dxfId="1132" priority="503" stopIfTrue="1" operator="equal">
      <formula>"N/A"</formula>
    </cfRule>
  </conditionalFormatting>
  <conditionalFormatting sqref="E45 E49:E50">
    <cfRule type="cellIs" dxfId="1131" priority="502" stopIfTrue="1" operator="equal">
      <formula>"Operation"</formula>
    </cfRule>
  </conditionalFormatting>
  <conditionalFormatting sqref="E45 E49:E50">
    <cfRule type="cellIs" dxfId="1130" priority="501" stopIfTrue="1" operator="equal">
      <formula>"N/A"</formula>
    </cfRule>
  </conditionalFormatting>
  <conditionalFormatting sqref="O46:P47">
    <cfRule type="cellIs" dxfId="1129" priority="496" stopIfTrue="1" operator="equal">
      <formula>"Operation"</formula>
    </cfRule>
  </conditionalFormatting>
  <conditionalFormatting sqref="O46:P47">
    <cfRule type="cellIs" dxfId="1128" priority="495" stopIfTrue="1" operator="equal">
      <formula>"N/A"</formula>
    </cfRule>
  </conditionalFormatting>
  <conditionalFormatting sqref="K48">
    <cfRule type="cellIs" dxfId="1127" priority="481" stopIfTrue="1" operator="equal">
      <formula>"Operation"</formula>
    </cfRule>
  </conditionalFormatting>
  <conditionalFormatting sqref="I48:K48">
    <cfRule type="cellIs" dxfId="1126" priority="480" stopIfTrue="1" operator="equal">
      <formula>"N/A"</formula>
    </cfRule>
  </conditionalFormatting>
  <conditionalFormatting sqref="M48:N48">
    <cfRule type="cellIs" dxfId="1125" priority="487" stopIfTrue="1" operator="equal">
      <formula>"Operation"</formula>
    </cfRule>
  </conditionalFormatting>
  <conditionalFormatting sqref="L46:L47 G46:H47">
    <cfRule type="cellIs" dxfId="1124" priority="498" stopIfTrue="1" operator="equal">
      <formula>"Operation"</formula>
    </cfRule>
  </conditionalFormatting>
  <conditionalFormatting sqref="L46:N47 G46:H47">
    <cfRule type="cellIs" dxfId="1123" priority="497" stopIfTrue="1" operator="equal">
      <formula>"N/A"</formula>
    </cfRule>
  </conditionalFormatting>
  <conditionalFormatting sqref="M46:N47">
    <cfRule type="cellIs" dxfId="1122" priority="499" stopIfTrue="1" operator="equal">
      <formula>"Operation"</formula>
    </cfRule>
  </conditionalFormatting>
  <conditionalFormatting sqref="I46:J47">
    <cfRule type="cellIs" dxfId="1121" priority="494" stopIfTrue="1" operator="equal">
      <formula>"Operation"</formula>
    </cfRule>
  </conditionalFormatting>
  <conditionalFormatting sqref="K46:K47">
    <cfRule type="cellIs" dxfId="1120" priority="493" stopIfTrue="1" operator="equal">
      <formula>"Operation"</formula>
    </cfRule>
  </conditionalFormatting>
  <conditionalFormatting sqref="I46:K47">
    <cfRule type="cellIs" dxfId="1119" priority="492" stopIfTrue="1" operator="equal">
      <formula>"N/A"</formula>
    </cfRule>
  </conditionalFormatting>
  <conditionalFormatting sqref="D46:D47">
    <cfRule type="cellIs" dxfId="1118" priority="491" stopIfTrue="1" operator="equal">
      <formula>"Total"</formula>
    </cfRule>
  </conditionalFormatting>
  <conditionalFormatting sqref="E46:E47">
    <cfRule type="cellIs" dxfId="1117" priority="490" stopIfTrue="1" operator="equal">
      <formula>"Operation"</formula>
    </cfRule>
  </conditionalFormatting>
  <conditionalFormatting sqref="E46:E47">
    <cfRule type="cellIs" dxfId="1116" priority="489" stopIfTrue="1" operator="equal">
      <formula>"N/A"</formula>
    </cfRule>
  </conditionalFormatting>
  <conditionalFormatting sqref="G48:H48 L48">
    <cfRule type="cellIs" dxfId="1115" priority="486" stopIfTrue="1" operator="equal">
      <formula>"Operation"</formula>
    </cfRule>
  </conditionalFormatting>
  <conditionalFormatting sqref="G48:H48 L48:N48">
    <cfRule type="cellIs" dxfId="1114" priority="485" stopIfTrue="1" operator="equal">
      <formula>"N/A"</formula>
    </cfRule>
  </conditionalFormatting>
  <conditionalFormatting sqref="O48:P48">
    <cfRule type="cellIs" dxfId="1113" priority="483" stopIfTrue="1" operator="equal">
      <formula>"N/A"</formula>
    </cfRule>
  </conditionalFormatting>
  <conditionalFormatting sqref="O48:P48">
    <cfRule type="cellIs" dxfId="1112" priority="484" stopIfTrue="1" operator="equal">
      <formula>"Operation"</formula>
    </cfRule>
  </conditionalFormatting>
  <conditionalFormatting sqref="I48:J48">
    <cfRule type="cellIs" dxfId="1111" priority="482" stopIfTrue="1" operator="equal">
      <formula>"Operation"</formula>
    </cfRule>
  </conditionalFormatting>
  <conditionalFormatting sqref="D48">
    <cfRule type="cellIs" dxfId="1110" priority="479" stopIfTrue="1" operator="equal">
      <formula>"Total"</formula>
    </cfRule>
  </conditionalFormatting>
  <conditionalFormatting sqref="E48">
    <cfRule type="cellIs" dxfId="1109" priority="477" stopIfTrue="1" operator="equal">
      <formula>"Operation"</formula>
    </cfRule>
  </conditionalFormatting>
  <conditionalFormatting sqref="E48">
    <cfRule type="cellIs" dxfId="1108" priority="476" stopIfTrue="1" operator="equal">
      <formula>"N/A"</formula>
    </cfRule>
  </conditionalFormatting>
  <conditionalFormatting sqref="F45 F49:F50">
    <cfRule type="cellIs" dxfId="1107" priority="475" stopIfTrue="1" operator="equal">
      <formula>"Operation"</formula>
    </cfRule>
  </conditionalFormatting>
  <conditionalFormatting sqref="F45 F49:F50">
    <cfRule type="cellIs" dxfId="1106" priority="474" stopIfTrue="1" operator="equal">
      <formula>"N/A"</formula>
    </cfRule>
  </conditionalFormatting>
  <conditionalFormatting sqref="F46:F47">
    <cfRule type="cellIs" dxfId="1105" priority="473" stopIfTrue="1" operator="equal">
      <formula>"Operation"</formula>
    </cfRule>
  </conditionalFormatting>
  <conditionalFormatting sqref="F46:F47">
    <cfRule type="cellIs" dxfId="1104" priority="472" stopIfTrue="1" operator="equal">
      <formula>"N/A"</formula>
    </cfRule>
  </conditionalFormatting>
  <conditionalFormatting sqref="F48">
    <cfRule type="cellIs" dxfId="1103" priority="471" stopIfTrue="1" operator="equal">
      <formula>"Operation"</formula>
    </cfRule>
  </conditionalFormatting>
  <conditionalFormatting sqref="F48">
    <cfRule type="cellIs" dxfId="1102" priority="470" stopIfTrue="1" operator="equal">
      <formula>"N/A"</formula>
    </cfRule>
  </conditionalFormatting>
  <conditionalFormatting sqref="D45:D49">
    <cfRule type="cellIs" dxfId="1101" priority="469" stopIfTrue="1" operator="equal">
      <formula>"Total"</formula>
    </cfRule>
  </conditionalFormatting>
  <conditionalFormatting sqref="I58:P65 E58:F65">
    <cfRule type="cellIs" dxfId="1100" priority="467" stopIfTrue="1" operator="equal">
      <formula>"Operation"</formula>
    </cfRule>
  </conditionalFormatting>
  <conditionalFormatting sqref="D57:D65">
    <cfRule type="cellIs" dxfId="1099" priority="466" stopIfTrue="1" operator="equal">
      <formula>"Total"</formula>
    </cfRule>
  </conditionalFormatting>
  <conditionalFormatting sqref="E58:F65">
    <cfRule type="cellIs" dxfId="1098" priority="465" stopIfTrue="1" operator="equal">
      <formula>"N/A"</formula>
    </cfRule>
  </conditionalFormatting>
  <conditionalFormatting sqref="L52:N52 I52:J52 L56:N57 I56:J57">
    <cfRule type="cellIs" dxfId="1097" priority="463" stopIfTrue="1" operator="equal">
      <formula>"Operation"</formula>
    </cfRule>
  </conditionalFormatting>
  <conditionalFormatting sqref="K52 K56:K57">
    <cfRule type="cellIs" dxfId="1096" priority="462" stopIfTrue="1" operator="equal">
      <formula>"Operation"</formula>
    </cfRule>
  </conditionalFormatting>
  <conditionalFormatting sqref="G52:H52 G56:H57">
    <cfRule type="cellIs" dxfId="1095" priority="461" stopIfTrue="1" operator="equal">
      <formula>"Operation"</formula>
    </cfRule>
  </conditionalFormatting>
  <conditionalFormatting sqref="H52:P52 H56:P57">
    <cfRule type="cellIs" dxfId="1094" priority="458" stopIfTrue="1" operator="equal">
      <formula>"N/A"</formula>
    </cfRule>
  </conditionalFormatting>
  <conditionalFormatting sqref="O52:P52 O56:P57">
    <cfRule type="cellIs" dxfId="1093" priority="464" stopIfTrue="1" operator="equal">
      <formula>"Operation"</formula>
    </cfRule>
  </conditionalFormatting>
  <conditionalFormatting sqref="D52 D56:D57">
    <cfRule type="cellIs" dxfId="1092" priority="460" stopIfTrue="1" operator="equal">
      <formula>"Total"</formula>
    </cfRule>
  </conditionalFormatting>
  <conditionalFormatting sqref="G58:H65">
    <cfRule type="cellIs" dxfId="1091" priority="456" stopIfTrue="1" operator="equal">
      <formula>"Operation"</formula>
    </cfRule>
  </conditionalFormatting>
  <conditionalFormatting sqref="H58:P65">
    <cfRule type="cellIs" dxfId="1090" priority="455" stopIfTrue="1" operator="equal">
      <formula>"N/A"</formula>
    </cfRule>
  </conditionalFormatting>
  <conditionalFormatting sqref="E52 E56:E57">
    <cfRule type="cellIs" dxfId="1089" priority="454" stopIfTrue="1" operator="equal">
      <formula>"Operation"</formula>
    </cfRule>
  </conditionalFormatting>
  <conditionalFormatting sqref="E52 E56:E57">
    <cfRule type="cellIs" dxfId="1088" priority="453" stopIfTrue="1" operator="equal">
      <formula>"N/A"</formula>
    </cfRule>
  </conditionalFormatting>
  <conditionalFormatting sqref="O53:P54">
    <cfRule type="cellIs" dxfId="1087" priority="448" stopIfTrue="1" operator="equal">
      <formula>"Operation"</formula>
    </cfRule>
  </conditionalFormatting>
  <conditionalFormatting sqref="O53:P54">
    <cfRule type="cellIs" dxfId="1086" priority="447" stopIfTrue="1" operator="equal">
      <formula>"N/A"</formula>
    </cfRule>
  </conditionalFormatting>
  <conditionalFormatting sqref="K55">
    <cfRule type="cellIs" dxfId="1085" priority="433" stopIfTrue="1" operator="equal">
      <formula>"Operation"</formula>
    </cfRule>
  </conditionalFormatting>
  <conditionalFormatting sqref="I55:K55">
    <cfRule type="cellIs" dxfId="1084" priority="432" stopIfTrue="1" operator="equal">
      <formula>"N/A"</formula>
    </cfRule>
  </conditionalFormatting>
  <conditionalFormatting sqref="M55:N55">
    <cfRule type="cellIs" dxfId="1083" priority="439" stopIfTrue="1" operator="equal">
      <formula>"Operation"</formula>
    </cfRule>
  </conditionalFormatting>
  <conditionalFormatting sqref="L53:L54 G53:H54">
    <cfRule type="cellIs" dxfId="1082" priority="450" stopIfTrue="1" operator="equal">
      <formula>"Operation"</formula>
    </cfRule>
  </conditionalFormatting>
  <conditionalFormatting sqref="L53:N54 G53:H54">
    <cfRule type="cellIs" dxfId="1081" priority="449" stopIfTrue="1" operator="equal">
      <formula>"N/A"</formula>
    </cfRule>
  </conditionalFormatting>
  <conditionalFormatting sqref="M53:N54">
    <cfRule type="cellIs" dxfId="1080" priority="451" stopIfTrue="1" operator="equal">
      <formula>"Operation"</formula>
    </cfRule>
  </conditionalFormatting>
  <conditionalFormatting sqref="I53:J54">
    <cfRule type="cellIs" dxfId="1079" priority="446" stopIfTrue="1" operator="equal">
      <formula>"Operation"</formula>
    </cfRule>
  </conditionalFormatting>
  <conditionalFormatting sqref="K53:K54">
    <cfRule type="cellIs" dxfId="1078" priority="445" stopIfTrue="1" operator="equal">
      <formula>"Operation"</formula>
    </cfRule>
  </conditionalFormatting>
  <conditionalFormatting sqref="I53:K54">
    <cfRule type="cellIs" dxfId="1077" priority="444" stopIfTrue="1" operator="equal">
      <formula>"N/A"</formula>
    </cfRule>
  </conditionalFormatting>
  <conditionalFormatting sqref="D53:D54">
    <cfRule type="cellIs" dxfId="1076" priority="443" stopIfTrue="1" operator="equal">
      <formula>"Total"</formula>
    </cfRule>
  </conditionalFormatting>
  <conditionalFormatting sqref="E53:E54">
    <cfRule type="cellIs" dxfId="1075" priority="442" stopIfTrue="1" operator="equal">
      <formula>"Operation"</formula>
    </cfRule>
  </conditionalFormatting>
  <conditionalFormatting sqref="E53:E54">
    <cfRule type="cellIs" dxfId="1074" priority="441" stopIfTrue="1" operator="equal">
      <formula>"N/A"</formula>
    </cfRule>
  </conditionalFormatting>
  <conditionalFormatting sqref="G55:H55 L55">
    <cfRule type="cellIs" dxfId="1073" priority="438" stopIfTrue="1" operator="equal">
      <formula>"Operation"</formula>
    </cfRule>
  </conditionalFormatting>
  <conditionalFormatting sqref="G55:H55 L55:N55">
    <cfRule type="cellIs" dxfId="1072" priority="437" stopIfTrue="1" operator="equal">
      <formula>"N/A"</formula>
    </cfRule>
  </conditionalFormatting>
  <conditionalFormatting sqref="O55:P55">
    <cfRule type="cellIs" dxfId="1071" priority="435" stopIfTrue="1" operator="equal">
      <formula>"N/A"</formula>
    </cfRule>
  </conditionalFormatting>
  <conditionalFormatting sqref="O55:P55">
    <cfRule type="cellIs" dxfId="1070" priority="436" stopIfTrue="1" operator="equal">
      <formula>"Operation"</formula>
    </cfRule>
  </conditionalFormatting>
  <conditionalFormatting sqref="I55:J55">
    <cfRule type="cellIs" dxfId="1069" priority="434" stopIfTrue="1" operator="equal">
      <formula>"Operation"</formula>
    </cfRule>
  </conditionalFormatting>
  <conditionalFormatting sqref="D55">
    <cfRule type="cellIs" dxfId="1068" priority="431" stopIfTrue="1" operator="equal">
      <formula>"Total"</formula>
    </cfRule>
  </conditionalFormatting>
  <conditionalFormatting sqref="E55">
    <cfRule type="cellIs" dxfId="1067" priority="429" stopIfTrue="1" operator="equal">
      <formula>"Operation"</formula>
    </cfRule>
  </conditionalFormatting>
  <conditionalFormatting sqref="E55">
    <cfRule type="cellIs" dxfId="1066" priority="428" stopIfTrue="1" operator="equal">
      <formula>"N/A"</formula>
    </cfRule>
  </conditionalFormatting>
  <conditionalFormatting sqref="F52 F56:F57">
    <cfRule type="cellIs" dxfId="1065" priority="427" stopIfTrue="1" operator="equal">
      <formula>"Operation"</formula>
    </cfRule>
  </conditionalFormatting>
  <conditionalFormatting sqref="F52 F56:F57">
    <cfRule type="cellIs" dxfId="1064" priority="426" stopIfTrue="1" operator="equal">
      <formula>"N/A"</formula>
    </cfRule>
  </conditionalFormatting>
  <conditionalFormatting sqref="F53:F54">
    <cfRule type="cellIs" dxfId="1063" priority="425" stopIfTrue="1" operator="equal">
      <formula>"Operation"</formula>
    </cfRule>
  </conditionalFormatting>
  <conditionalFormatting sqref="F53:F54">
    <cfRule type="cellIs" dxfId="1062" priority="424" stopIfTrue="1" operator="equal">
      <formula>"N/A"</formula>
    </cfRule>
  </conditionalFormatting>
  <conditionalFormatting sqref="F55">
    <cfRule type="cellIs" dxfId="1061" priority="423" stopIfTrue="1" operator="equal">
      <formula>"Operation"</formula>
    </cfRule>
  </conditionalFormatting>
  <conditionalFormatting sqref="F55">
    <cfRule type="cellIs" dxfId="1060" priority="422" stopIfTrue="1" operator="equal">
      <formula>"N/A"</formula>
    </cfRule>
  </conditionalFormatting>
  <conditionalFormatting sqref="D52:D56">
    <cfRule type="cellIs" dxfId="1059" priority="421" stopIfTrue="1" operator="equal">
      <formula>"Total"</formula>
    </cfRule>
  </conditionalFormatting>
  <conditionalFormatting sqref="E257:P270">
    <cfRule type="cellIs" dxfId="1058" priority="420" stopIfTrue="1" operator="equal">
      <formula>"Operation"</formula>
    </cfRule>
  </conditionalFormatting>
  <conditionalFormatting sqref="D257:D270">
    <cfRule type="cellIs" dxfId="1057" priority="419" stopIfTrue="1" operator="equal">
      <formula>"Total"</formula>
    </cfRule>
  </conditionalFormatting>
  <conditionalFormatting sqref="H257:P270 E257:F270">
    <cfRule type="cellIs" dxfId="1056" priority="418" stopIfTrue="1" operator="equal">
      <formula>"N/A"</formula>
    </cfRule>
  </conditionalFormatting>
  <conditionalFormatting sqref="H263:P270">
    <cfRule type="cellIs" dxfId="1055" priority="375" stopIfTrue="1" operator="equal">
      <formula>"N/A"</formula>
    </cfRule>
  </conditionalFormatting>
  <conditionalFormatting sqref="E263:E270">
    <cfRule type="cellIs" dxfId="1054" priority="374" stopIfTrue="1" operator="equal">
      <formula>"Operation"</formula>
    </cfRule>
  </conditionalFormatting>
  <conditionalFormatting sqref="G257:H257">
    <cfRule type="cellIs" dxfId="1053" priority="417" stopIfTrue="1" operator="equal">
      <formula>"Operation"</formula>
    </cfRule>
  </conditionalFormatting>
  <conditionalFormatting sqref="D257">
    <cfRule type="cellIs" dxfId="1052" priority="416" stopIfTrue="1" operator="equal">
      <formula>"Total"</formula>
    </cfRule>
  </conditionalFormatting>
  <conditionalFormatting sqref="H257:P257">
    <cfRule type="cellIs" dxfId="1051" priority="414" stopIfTrue="1" operator="equal">
      <formula>"N/A"</formula>
    </cfRule>
  </conditionalFormatting>
  <conditionalFormatting sqref="E257">
    <cfRule type="cellIs" dxfId="1050" priority="413" stopIfTrue="1" operator="equal">
      <formula>"N/A"</formula>
    </cfRule>
  </conditionalFormatting>
  <conditionalFormatting sqref="E258:E259">
    <cfRule type="cellIs" dxfId="1049" priority="392" stopIfTrue="1" operator="equal">
      <formula>"Operation"</formula>
    </cfRule>
  </conditionalFormatting>
  <conditionalFormatting sqref="E258:E259">
    <cfRule type="cellIs" dxfId="1048" priority="391" stopIfTrue="1" operator="equal">
      <formula>"N/A"</formula>
    </cfRule>
  </conditionalFormatting>
  <conditionalFormatting sqref="I261:J261">
    <cfRule type="cellIs" dxfId="1047" priority="411" stopIfTrue="1" operator="equal">
      <formula>"Operation"</formula>
    </cfRule>
  </conditionalFormatting>
  <conditionalFormatting sqref="K261">
    <cfRule type="cellIs" dxfId="1046" priority="410" stopIfTrue="1" operator="equal">
      <formula>"Operation"</formula>
    </cfRule>
  </conditionalFormatting>
  <conditionalFormatting sqref="G261:H261">
    <cfRule type="cellIs" dxfId="1045" priority="409" stopIfTrue="1" operator="equal">
      <formula>"Operation"</formula>
    </cfRule>
  </conditionalFormatting>
  <conditionalFormatting sqref="H261:P261">
    <cfRule type="cellIs" dxfId="1044" priority="406" stopIfTrue="1" operator="equal">
      <formula>"N/A"</formula>
    </cfRule>
  </conditionalFormatting>
  <conditionalFormatting sqref="O261:P261">
    <cfRule type="cellIs" dxfId="1043" priority="412" stopIfTrue="1" operator="equal">
      <formula>"Operation"</formula>
    </cfRule>
  </conditionalFormatting>
  <conditionalFormatting sqref="D261">
    <cfRule type="cellIs" dxfId="1042" priority="408" stopIfTrue="1" operator="equal">
      <formula>"Total"</formula>
    </cfRule>
  </conditionalFormatting>
  <conditionalFormatting sqref="E261">
    <cfRule type="cellIs" dxfId="1041" priority="404" stopIfTrue="1" operator="equal">
      <formula>"Operation"</formula>
    </cfRule>
  </conditionalFormatting>
  <conditionalFormatting sqref="E261">
    <cfRule type="cellIs" dxfId="1040" priority="403" stopIfTrue="1" operator="equal">
      <formula>"N/A"</formula>
    </cfRule>
  </conditionalFormatting>
  <conditionalFormatting sqref="O258:P259">
    <cfRule type="cellIs" dxfId="1039" priority="398" stopIfTrue="1" operator="equal">
      <formula>"Operation"</formula>
    </cfRule>
  </conditionalFormatting>
  <conditionalFormatting sqref="O258:P259">
    <cfRule type="cellIs" dxfId="1038" priority="397" stopIfTrue="1" operator="equal">
      <formula>"N/A"</formula>
    </cfRule>
  </conditionalFormatting>
  <conditionalFormatting sqref="K260">
    <cfRule type="cellIs" dxfId="1037" priority="383" stopIfTrue="1" operator="equal">
      <formula>"Operation"</formula>
    </cfRule>
  </conditionalFormatting>
  <conditionalFormatting sqref="I260:K260">
    <cfRule type="cellIs" dxfId="1036" priority="382" stopIfTrue="1" operator="equal">
      <formula>"N/A"</formula>
    </cfRule>
  </conditionalFormatting>
  <conditionalFormatting sqref="M260:N260">
    <cfRule type="cellIs" dxfId="1035" priority="389" stopIfTrue="1" operator="equal">
      <formula>"Operation"</formula>
    </cfRule>
  </conditionalFormatting>
  <conditionalFormatting sqref="G258:H259 L258:L259">
    <cfRule type="cellIs" dxfId="1034" priority="400" stopIfTrue="1" operator="equal">
      <formula>"Operation"</formula>
    </cfRule>
  </conditionalFormatting>
  <conditionalFormatting sqref="G258:H259 L258:N259">
    <cfRule type="cellIs" dxfId="1033" priority="399" stopIfTrue="1" operator="equal">
      <formula>"N/A"</formula>
    </cfRule>
  </conditionalFormatting>
  <conditionalFormatting sqref="M258:N259">
    <cfRule type="cellIs" dxfId="1032" priority="401" stopIfTrue="1" operator="equal">
      <formula>"Operation"</formula>
    </cfRule>
  </conditionalFormatting>
  <conditionalFormatting sqref="I258:J259">
    <cfRule type="cellIs" dxfId="1031" priority="396" stopIfTrue="1" operator="equal">
      <formula>"Operation"</formula>
    </cfRule>
  </conditionalFormatting>
  <conditionalFormatting sqref="K258:K259">
    <cfRule type="cellIs" dxfId="1030" priority="395" stopIfTrue="1" operator="equal">
      <formula>"Operation"</formula>
    </cfRule>
  </conditionalFormatting>
  <conditionalFormatting sqref="I258:K259">
    <cfRule type="cellIs" dxfId="1029" priority="394" stopIfTrue="1" operator="equal">
      <formula>"N/A"</formula>
    </cfRule>
  </conditionalFormatting>
  <conditionalFormatting sqref="D258:D259">
    <cfRule type="cellIs" dxfId="1028" priority="393" stopIfTrue="1" operator="equal">
      <formula>"Total"</formula>
    </cfRule>
  </conditionalFormatting>
  <conditionalFormatting sqref="G260:H260 L260">
    <cfRule type="cellIs" dxfId="1027" priority="388" stopIfTrue="1" operator="equal">
      <formula>"Operation"</formula>
    </cfRule>
  </conditionalFormatting>
  <conditionalFormatting sqref="G260:H260 L260:N260">
    <cfRule type="cellIs" dxfId="1026" priority="387" stopIfTrue="1" operator="equal">
      <formula>"N/A"</formula>
    </cfRule>
  </conditionalFormatting>
  <conditionalFormatting sqref="O260:P260">
    <cfRule type="cellIs" dxfId="1025" priority="385" stopIfTrue="1" operator="equal">
      <formula>"N/A"</formula>
    </cfRule>
  </conditionalFormatting>
  <conditionalFormatting sqref="O260:P260">
    <cfRule type="cellIs" dxfId="1024" priority="386" stopIfTrue="1" operator="equal">
      <formula>"Operation"</formula>
    </cfRule>
  </conditionalFormatting>
  <conditionalFormatting sqref="I260:J260">
    <cfRule type="cellIs" dxfId="1023" priority="384" stopIfTrue="1" operator="equal">
      <formula>"Operation"</formula>
    </cfRule>
  </conditionalFormatting>
  <conditionalFormatting sqref="D260">
    <cfRule type="cellIs" dxfId="1022" priority="381" stopIfTrue="1" operator="equal">
      <formula>"Total"</formula>
    </cfRule>
  </conditionalFormatting>
  <conditionalFormatting sqref="E260">
    <cfRule type="cellIs" dxfId="1021" priority="379" stopIfTrue="1" operator="equal">
      <formula>"Operation"</formula>
    </cfRule>
  </conditionalFormatting>
  <conditionalFormatting sqref="E260">
    <cfRule type="cellIs" dxfId="1020" priority="378" stopIfTrue="1" operator="equal">
      <formula>"N/A"</formula>
    </cfRule>
  </conditionalFormatting>
  <conditionalFormatting sqref="F258:F259">
    <cfRule type="cellIs" dxfId="1019" priority="369" stopIfTrue="1" operator="equal">
      <formula>"Operation"</formula>
    </cfRule>
  </conditionalFormatting>
  <conditionalFormatting sqref="F263:F270">
    <cfRule type="cellIs" dxfId="1018" priority="365" stopIfTrue="1" operator="equal">
      <formula>"Operation"</formula>
    </cfRule>
  </conditionalFormatting>
  <conditionalFormatting sqref="G263:P270">
    <cfRule type="cellIs" dxfId="1017" priority="377" stopIfTrue="1" operator="equal">
      <formula>"Operation"</formula>
    </cfRule>
  </conditionalFormatting>
  <conditionalFormatting sqref="D263:D270">
    <cfRule type="cellIs" dxfId="1016" priority="376" stopIfTrue="1" operator="equal">
      <formula>"Total"</formula>
    </cfRule>
  </conditionalFormatting>
  <conditionalFormatting sqref="E263:E270">
    <cfRule type="cellIs" dxfId="1015" priority="373" stopIfTrue="1" operator="equal">
      <formula>"N/A"</formula>
    </cfRule>
  </conditionalFormatting>
  <conditionalFormatting sqref="F257">
    <cfRule type="cellIs" dxfId="1014" priority="372" stopIfTrue="1" operator="equal">
      <formula>"N/A"</formula>
    </cfRule>
  </conditionalFormatting>
  <conditionalFormatting sqref="F258:F259">
    <cfRule type="cellIs" dxfId="1013" priority="368" stopIfTrue="1" operator="equal">
      <formula>"N/A"</formula>
    </cfRule>
  </conditionalFormatting>
  <conditionalFormatting sqref="F261">
    <cfRule type="cellIs" dxfId="1012" priority="371" stopIfTrue="1" operator="equal">
      <formula>"Operation"</formula>
    </cfRule>
  </conditionalFormatting>
  <conditionalFormatting sqref="F261">
    <cfRule type="cellIs" dxfId="1011" priority="370" stopIfTrue="1" operator="equal">
      <formula>"N/A"</formula>
    </cfRule>
  </conditionalFormatting>
  <conditionalFormatting sqref="F260">
    <cfRule type="cellIs" dxfId="1010" priority="367" stopIfTrue="1" operator="equal">
      <formula>"Operation"</formula>
    </cfRule>
  </conditionalFormatting>
  <conditionalFormatting sqref="F260">
    <cfRule type="cellIs" dxfId="1009" priority="366" stopIfTrue="1" operator="equal">
      <formula>"N/A"</formula>
    </cfRule>
  </conditionalFormatting>
  <conditionalFormatting sqref="F263:F270">
    <cfRule type="cellIs" dxfId="1008" priority="364" stopIfTrue="1" operator="equal">
      <formula>"N/A"</formula>
    </cfRule>
  </conditionalFormatting>
  <conditionalFormatting sqref="E264:P270">
    <cfRule type="cellIs" dxfId="1007" priority="363" stopIfTrue="1" operator="equal">
      <formula>"Operation"</formula>
    </cfRule>
  </conditionalFormatting>
  <conditionalFormatting sqref="D264:D270">
    <cfRule type="cellIs" dxfId="1006" priority="362" stopIfTrue="1" operator="equal">
      <formula>"Total"</formula>
    </cfRule>
  </conditionalFormatting>
  <conditionalFormatting sqref="H264:P270 E264:F270">
    <cfRule type="cellIs" dxfId="1005" priority="361" stopIfTrue="1" operator="equal">
      <formula>"N/A"</formula>
    </cfRule>
  </conditionalFormatting>
  <conditionalFormatting sqref="H270:P270">
    <cfRule type="cellIs" dxfId="1004" priority="324" stopIfTrue="1" operator="equal">
      <formula>"N/A"</formula>
    </cfRule>
  </conditionalFormatting>
  <conditionalFormatting sqref="E270">
    <cfRule type="cellIs" dxfId="1003" priority="323" stopIfTrue="1" operator="equal">
      <formula>"Operation"</formula>
    </cfRule>
  </conditionalFormatting>
  <conditionalFormatting sqref="G264:H264">
    <cfRule type="cellIs" dxfId="1002" priority="360" stopIfTrue="1" operator="equal">
      <formula>"Operation"</formula>
    </cfRule>
  </conditionalFormatting>
  <conditionalFormatting sqref="D264">
    <cfRule type="cellIs" dxfId="1001" priority="359" stopIfTrue="1" operator="equal">
      <formula>"Total"</formula>
    </cfRule>
  </conditionalFormatting>
  <conditionalFormatting sqref="H264:P264">
    <cfRule type="cellIs" dxfId="1000" priority="358" stopIfTrue="1" operator="equal">
      <formula>"N/A"</formula>
    </cfRule>
  </conditionalFormatting>
  <conditionalFormatting sqref="E264">
    <cfRule type="cellIs" dxfId="999" priority="357" stopIfTrue="1" operator="equal">
      <formula>"N/A"</formula>
    </cfRule>
  </conditionalFormatting>
  <conditionalFormatting sqref="E265:E266">
    <cfRule type="cellIs" dxfId="998" priority="339" stopIfTrue="1" operator="equal">
      <formula>"Operation"</formula>
    </cfRule>
  </conditionalFormatting>
  <conditionalFormatting sqref="E265:E266">
    <cfRule type="cellIs" dxfId="997" priority="338" stopIfTrue="1" operator="equal">
      <formula>"N/A"</formula>
    </cfRule>
  </conditionalFormatting>
  <conditionalFormatting sqref="I268:J268">
    <cfRule type="cellIs" dxfId="996" priority="355" stopIfTrue="1" operator="equal">
      <formula>"Operation"</formula>
    </cfRule>
  </conditionalFormatting>
  <conditionalFormatting sqref="K268">
    <cfRule type="cellIs" dxfId="995" priority="354" stopIfTrue="1" operator="equal">
      <formula>"Operation"</formula>
    </cfRule>
  </conditionalFormatting>
  <conditionalFormatting sqref="G268:H268">
    <cfRule type="cellIs" dxfId="994" priority="353" stopIfTrue="1" operator="equal">
      <formula>"Operation"</formula>
    </cfRule>
  </conditionalFormatting>
  <conditionalFormatting sqref="H268:P268">
    <cfRule type="cellIs" dxfId="993" priority="351" stopIfTrue="1" operator="equal">
      <formula>"N/A"</formula>
    </cfRule>
  </conditionalFormatting>
  <conditionalFormatting sqref="O268:P268">
    <cfRule type="cellIs" dxfId="992" priority="356" stopIfTrue="1" operator="equal">
      <formula>"Operation"</formula>
    </cfRule>
  </conditionalFormatting>
  <conditionalFormatting sqref="D268">
    <cfRule type="cellIs" dxfId="991" priority="352" stopIfTrue="1" operator="equal">
      <formula>"Total"</formula>
    </cfRule>
  </conditionalFormatting>
  <conditionalFormatting sqref="E268">
    <cfRule type="cellIs" dxfId="990" priority="350" stopIfTrue="1" operator="equal">
      <formula>"Operation"</formula>
    </cfRule>
  </conditionalFormatting>
  <conditionalFormatting sqref="E268">
    <cfRule type="cellIs" dxfId="989" priority="349" stopIfTrue="1" operator="equal">
      <formula>"N/A"</formula>
    </cfRule>
  </conditionalFormatting>
  <conditionalFormatting sqref="O265:P266">
    <cfRule type="cellIs" dxfId="988" priority="345" stopIfTrue="1" operator="equal">
      <formula>"Operation"</formula>
    </cfRule>
  </conditionalFormatting>
  <conditionalFormatting sqref="O265:P266">
    <cfRule type="cellIs" dxfId="987" priority="344" stopIfTrue="1" operator="equal">
      <formula>"N/A"</formula>
    </cfRule>
  </conditionalFormatting>
  <conditionalFormatting sqref="K267">
    <cfRule type="cellIs" dxfId="986" priority="331" stopIfTrue="1" operator="equal">
      <formula>"Operation"</formula>
    </cfRule>
  </conditionalFormatting>
  <conditionalFormatting sqref="I267:K267">
    <cfRule type="cellIs" dxfId="985" priority="330" stopIfTrue="1" operator="equal">
      <formula>"N/A"</formula>
    </cfRule>
  </conditionalFormatting>
  <conditionalFormatting sqref="M267:N267">
    <cfRule type="cellIs" dxfId="984" priority="337" stopIfTrue="1" operator="equal">
      <formula>"Operation"</formula>
    </cfRule>
  </conditionalFormatting>
  <conditionalFormatting sqref="G265:H266 L265:L266">
    <cfRule type="cellIs" dxfId="983" priority="347" stopIfTrue="1" operator="equal">
      <formula>"Operation"</formula>
    </cfRule>
  </conditionalFormatting>
  <conditionalFormatting sqref="G265:H266 L265:N266">
    <cfRule type="cellIs" dxfId="982" priority="346" stopIfTrue="1" operator="equal">
      <formula>"N/A"</formula>
    </cfRule>
  </conditionalFormatting>
  <conditionalFormatting sqref="M265:N266">
    <cfRule type="cellIs" dxfId="981" priority="348" stopIfTrue="1" operator="equal">
      <formula>"Operation"</formula>
    </cfRule>
  </conditionalFormatting>
  <conditionalFormatting sqref="I265:J266">
    <cfRule type="cellIs" dxfId="980" priority="343" stopIfTrue="1" operator="equal">
      <formula>"Operation"</formula>
    </cfRule>
  </conditionalFormatting>
  <conditionalFormatting sqref="K265:K266">
    <cfRule type="cellIs" dxfId="979" priority="342" stopIfTrue="1" operator="equal">
      <formula>"Operation"</formula>
    </cfRule>
  </conditionalFormatting>
  <conditionalFormatting sqref="I265:K266">
    <cfRule type="cellIs" dxfId="978" priority="341" stopIfTrue="1" operator="equal">
      <formula>"N/A"</formula>
    </cfRule>
  </conditionalFormatting>
  <conditionalFormatting sqref="D265:D266">
    <cfRule type="cellIs" dxfId="977" priority="340" stopIfTrue="1" operator="equal">
      <formula>"Total"</formula>
    </cfRule>
  </conditionalFormatting>
  <conditionalFormatting sqref="G267:H267 L267">
    <cfRule type="cellIs" dxfId="976" priority="336" stopIfTrue="1" operator="equal">
      <formula>"Operation"</formula>
    </cfRule>
  </conditionalFormatting>
  <conditionalFormatting sqref="G267:H267 L267:N267">
    <cfRule type="cellIs" dxfId="975" priority="335" stopIfTrue="1" operator="equal">
      <formula>"N/A"</formula>
    </cfRule>
  </conditionalFormatting>
  <conditionalFormatting sqref="O267:P267">
    <cfRule type="cellIs" dxfId="974" priority="333" stopIfTrue="1" operator="equal">
      <formula>"N/A"</formula>
    </cfRule>
  </conditionalFormatting>
  <conditionalFormatting sqref="O267:P267">
    <cfRule type="cellIs" dxfId="973" priority="334" stopIfTrue="1" operator="equal">
      <formula>"Operation"</formula>
    </cfRule>
  </conditionalFormatting>
  <conditionalFormatting sqref="I267:J267">
    <cfRule type="cellIs" dxfId="972" priority="332" stopIfTrue="1" operator="equal">
      <formula>"Operation"</formula>
    </cfRule>
  </conditionalFormatting>
  <conditionalFormatting sqref="D267">
    <cfRule type="cellIs" dxfId="971" priority="329" stopIfTrue="1" operator="equal">
      <formula>"Total"</formula>
    </cfRule>
  </conditionalFormatting>
  <conditionalFormatting sqref="E267">
    <cfRule type="cellIs" dxfId="970" priority="328" stopIfTrue="1" operator="equal">
      <formula>"Operation"</formula>
    </cfRule>
  </conditionalFormatting>
  <conditionalFormatting sqref="E267">
    <cfRule type="cellIs" dxfId="969" priority="327" stopIfTrue="1" operator="equal">
      <formula>"N/A"</formula>
    </cfRule>
  </conditionalFormatting>
  <conditionalFormatting sqref="F265:F266">
    <cfRule type="cellIs" dxfId="968" priority="318" stopIfTrue="1" operator="equal">
      <formula>"Operation"</formula>
    </cfRule>
  </conditionalFormatting>
  <conditionalFormatting sqref="F270">
    <cfRule type="cellIs" dxfId="967" priority="314" stopIfTrue="1" operator="equal">
      <formula>"Operation"</formula>
    </cfRule>
  </conditionalFormatting>
  <conditionalFormatting sqref="G270:P270">
    <cfRule type="cellIs" dxfId="966" priority="326" stopIfTrue="1" operator="equal">
      <formula>"Operation"</formula>
    </cfRule>
  </conditionalFormatting>
  <conditionalFormatting sqref="D270">
    <cfRule type="cellIs" dxfId="965" priority="325" stopIfTrue="1" operator="equal">
      <formula>"Total"</formula>
    </cfRule>
  </conditionalFormatting>
  <conditionalFormatting sqref="E270">
    <cfRule type="cellIs" dxfId="964" priority="322" stopIfTrue="1" operator="equal">
      <formula>"N/A"</formula>
    </cfRule>
  </conditionalFormatting>
  <conditionalFormatting sqref="F264">
    <cfRule type="cellIs" dxfId="963" priority="321" stopIfTrue="1" operator="equal">
      <formula>"N/A"</formula>
    </cfRule>
  </conditionalFormatting>
  <conditionalFormatting sqref="F265:F266">
    <cfRule type="cellIs" dxfId="962" priority="317" stopIfTrue="1" operator="equal">
      <formula>"N/A"</formula>
    </cfRule>
  </conditionalFormatting>
  <conditionalFormatting sqref="F268">
    <cfRule type="cellIs" dxfId="961" priority="320" stopIfTrue="1" operator="equal">
      <formula>"Operation"</formula>
    </cfRule>
  </conditionalFormatting>
  <conditionalFormatting sqref="F268">
    <cfRule type="cellIs" dxfId="960" priority="319" stopIfTrue="1" operator="equal">
      <formula>"N/A"</formula>
    </cfRule>
  </conditionalFormatting>
  <conditionalFormatting sqref="F267">
    <cfRule type="cellIs" dxfId="959" priority="316" stopIfTrue="1" operator="equal">
      <formula>"Operation"</formula>
    </cfRule>
  </conditionalFormatting>
  <conditionalFormatting sqref="F267">
    <cfRule type="cellIs" dxfId="958" priority="315" stopIfTrue="1" operator="equal">
      <formula>"N/A"</formula>
    </cfRule>
  </conditionalFormatting>
  <conditionalFormatting sqref="F270">
    <cfRule type="cellIs" dxfId="957" priority="313" stopIfTrue="1" operator="equal">
      <formula>"N/A"</formula>
    </cfRule>
  </conditionalFormatting>
  <conditionalFormatting sqref="E278:P284">
    <cfRule type="cellIs" dxfId="956" priority="312" stopIfTrue="1" operator="equal">
      <formula>"Operation"</formula>
    </cfRule>
  </conditionalFormatting>
  <conditionalFormatting sqref="D278:D284">
    <cfRule type="cellIs" dxfId="955" priority="311" stopIfTrue="1" operator="equal">
      <formula>"Total"</formula>
    </cfRule>
  </conditionalFormatting>
  <conditionalFormatting sqref="H278:P284 E278:F284">
    <cfRule type="cellIs" dxfId="954" priority="309" stopIfTrue="1" operator="equal">
      <formula>"N/A"</formula>
    </cfRule>
  </conditionalFormatting>
  <conditionalFormatting sqref="H284:P284">
    <cfRule type="cellIs" dxfId="953" priority="265" stopIfTrue="1" operator="equal">
      <formula>"N/A"</formula>
    </cfRule>
  </conditionalFormatting>
  <conditionalFormatting sqref="E284">
    <cfRule type="cellIs" dxfId="952" priority="264" stopIfTrue="1" operator="equal">
      <formula>"Operation"</formula>
    </cfRule>
  </conditionalFormatting>
  <conditionalFormatting sqref="G278:H278">
    <cfRule type="cellIs" dxfId="951" priority="308" stopIfTrue="1" operator="equal">
      <formula>"Operation"</formula>
    </cfRule>
  </conditionalFormatting>
  <conditionalFormatting sqref="D278">
    <cfRule type="cellIs" dxfId="950" priority="307" stopIfTrue="1" operator="equal">
      <formula>"Total"</formula>
    </cfRule>
  </conditionalFormatting>
  <conditionalFormatting sqref="H278:P278">
    <cfRule type="cellIs" dxfId="949" priority="305" stopIfTrue="1" operator="equal">
      <formula>"N/A"</formula>
    </cfRule>
  </conditionalFormatting>
  <conditionalFormatting sqref="E278">
    <cfRule type="cellIs" dxfId="948" priority="304" stopIfTrue="1" operator="equal">
      <formula>"N/A"</formula>
    </cfRule>
  </conditionalFormatting>
  <conditionalFormatting sqref="E279:E280">
    <cfRule type="cellIs" dxfId="947" priority="283" stopIfTrue="1" operator="equal">
      <formula>"Operation"</formula>
    </cfRule>
  </conditionalFormatting>
  <conditionalFormatting sqref="E279:E280">
    <cfRule type="cellIs" dxfId="946" priority="282" stopIfTrue="1" operator="equal">
      <formula>"N/A"</formula>
    </cfRule>
  </conditionalFormatting>
  <conditionalFormatting sqref="I282:J282">
    <cfRule type="cellIs" dxfId="945" priority="302" stopIfTrue="1" operator="equal">
      <formula>"Operation"</formula>
    </cfRule>
  </conditionalFormatting>
  <conditionalFormatting sqref="K282">
    <cfRule type="cellIs" dxfId="944" priority="301" stopIfTrue="1" operator="equal">
      <formula>"Operation"</formula>
    </cfRule>
  </conditionalFormatting>
  <conditionalFormatting sqref="G282:H282">
    <cfRule type="cellIs" dxfId="943" priority="300" stopIfTrue="1" operator="equal">
      <formula>"Operation"</formula>
    </cfRule>
  </conditionalFormatting>
  <conditionalFormatting sqref="H282:P282">
    <cfRule type="cellIs" dxfId="942" priority="297" stopIfTrue="1" operator="equal">
      <formula>"N/A"</formula>
    </cfRule>
  </conditionalFormatting>
  <conditionalFormatting sqref="O282:P282">
    <cfRule type="cellIs" dxfId="941" priority="303" stopIfTrue="1" operator="equal">
      <formula>"Operation"</formula>
    </cfRule>
  </conditionalFormatting>
  <conditionalFormatting sqref="D282">
    <cfRule type="cellIs" dxfId="940" priority="299" stopIfTrue="1" operator="equal">
      <formula>"Total"</formula>
    </cfRule>
  </conditionalFormatting>
  <conditionalFormatting sqref="E282">
    <cfRule type="cellIs" dxfId="939" priority="295" stopIfTrue="1" operator="equal">
      <formula>"Operation"</formula>
    </cfRule>
  </conditionalFormatting>
  <conditionalFormatting sqref="E282">
    <cfRule type="cellIs" dxfId="938" priority="294" stopIfTrue="1" operator="equal">
      <formula>"N/A"</formula>
    </cfRule>
  </conditionalFormatting>
  <conditionalFormatting sqref="O279:P280">
    <cfRule type="cellIs" dxfId="937" priority="289" stopIfTrue="1" operator="equal">
      <formula>"Operation"</formula>
    </cfRule>
  </conditionalFormatting>
  <conditionalFormatting sqref="O279:P280">
    <cfRule type="cellIs" dxfId="936" priority="288" stopIfTrue="1" operator="equal">
      <formula>"N/A"</formula>
    </cfRule>
  </conditionalFormatting>
  <conditionalFormatting sqref="K281">
    <cfRule type="cellIs" dxfId="935" priority="274" stopIfTrue="1" operator="equal">
      <formula>"Operation"</formula>
    </cfRule>
  </conditionalFormatting>
  <conditionalFormatting sqref="I281:K281">
    <cfRule type="cellIs" dxfId="934" priority="273" stopIfTrue="1" operator="equal">
      <formula>"N/A"</formula>
    </cfRule>
  </conditionalFormatting>
  <conditionalFormatting sqref="M281:N281">
    <cfRule type="cellIs" dxfId="933" priority="280" stopIfTrue="1" operator="equal">
      <formula>"Operation"</formula>
    </cfRule>
  </conditionalFormatting>
  <conditionalFormatting sqref="G279:H280 L279:L280">
    <cfRule type="cellIs" dxfId="932" priority="291" stopIfTrue="1" operator="equal">
      <formula>"Operation"</formula>
    </cfRule>
  </conditionalFormatting>
  <conditionalFormatting sqref="G279:H280 L279:N280">
    <cfRule type="cellIs" dxfId="931" priority="290" stopIfTrue="1" operator="equal">
      <formula>"N/A"</formula>
    </cfRule>
  </conditionalFormatting>
  <conditionalFormatting sqref="M279:N280">
    <cfRule type="cellIs" dxfId="930" priority="292" stopIfTrue="1" operator="equal">
      <formula>"Operation"</formula>
    </cfRule>
  </conditionalFormatting>
  <conditionalFormatting sqref="I279:J280">
    <cfRule type="cellIs" dxfId="929" priority="287" stopIfTrue="1" operator="equal">
      <formula>"Operation"</formula>
    </cfRule>
  </conditionalFormatting>
  <conditionalFormatting sqref="K279:K280">
    <cfRule type="cellIs" dxfId="928" priority="286" stopIfTrue="1" operator="equal">
      <formula>"Operation"</formula>
    </cfRule>
  </conditionalFormatting>
  <conditionalFormatting sqref="I279:K280">
    <cfRule type="cellIs" dxfId="927" priority="285" stopIfTrue="1" operator="equal">
      <formula>"N/A"</formula>
    </cfRule>
  </conditionalFormatting>
  <conditionalFormatting sqref="D279:D280">
    <cfRule type="cellIs" dxfId="926" priority="284" stopIfTrue="1" operator="equal">
      <formula>"Total"</formula>
    </cfRule>
  </conditionalFormatting>
  <conditionalFormatting sqref="G281:H281 L281">
    <cfRule type="cellIs" dxfId="925" priority="279" stopIfTrue="1" operator="equal">
      <formula>"Operation"</formula>
    </cfRule>
  </conditionalFormatting>
  <conditionalFormatting sqref="G281:H281 L281:N281">
    <cfRule type="cellIs" dxfId="924" priority="278" stopIfTrue="1" operator="equal">
      <formula>"N/A"</formula>
    </cfRule>
  </conditionalFormatting>
  <conditionalFormatting sqref="O281:P281">
    <cfRule type="cellIs" dxfId="923" priority="276" stopIfTrue="1" operator="equal">
      <formula>"N/A"</formula>
    </cfRule>
  </conditionalFormatting>
  <conditionalFormatting sqref="O281:P281">
    <cfRule type="cellIs" dxfId="922" priority="277" stopIfTrue="1" operator="equal">
      <formula>"Operation"</formula>
    </cfRule>
  </conditionalFormatting>
  <conditionalFormatting sqref="I281:J281">
    <cfRule type="cellIs" dxfId="921" priority="275" stopIfTrue="1" operator="equal">
      <formula>"Operation"</formula>
    </cfRule>
  </conditionalFormatting>
  <conditionalFormatting sqref="D281">
    <cfRule type="cellIs" dxfId="920" priority="272" stopIfTrue="1" operator="equal">
      <formula>"Total"</formula>
    </cfRule>
  </conditionalFormatting>
  <conditionalFormatting sqref="E281">
    <cfRule type="cellIs" dxfId="919" priority="270" stopIfTrue="1" operator="equal">
      <formula>"Operation"</formula>
    </cfRule>
  </conditionalFormatting>
  <conditionalFormatting sqref="E281">
    <cfRule type="cellIs" dxfId="918" priority="269" stopIfTrue="1" operator="equal">
      <formula>"N/A"</formula>
    </cfRule>
  </conditionalFormatting>
  <conditionalFormatting sqref="F279:F280">
    <cfRule type="cellIs" dxfId="917" priority="259" stopIfTrue="1" operator="equal">
      <formula>"Operation"</formula>
    </cfRule>
  </conditionalFormatting>
  <conditionalFormatting sqref="F284">
    <cfRule type="cellIs" dxfId="916" priority="255" stopIfTrue="1" operator="equal">
      <formula>"Operation"</formula>
    </cfRule>
  </conditionalFormatting>
  <conditionalFormatting sqref="G284:P284">
    <cfRule type="cellIs" dxfId="915" priority="268" stopIfTrue="1" operator="equal">
      <formula>"Operation"</formula>
    </cfRule>
  </conditionalFormatting>
  <conditionalFormatting sqref="D284">
    <cfRule type="cellIs" dxfId="914" priority="267" stopIfTrue="1" operator="equal">
      <formula>"Total"</formula>
    </cfRule>
  </conditionalFormatting>
  <conditionalFormatting sqref="E284">
    <cfRule type="cellIs" dxfId="913" priority="263" stopIfTrue="1" operator="equal">
      <formula>"N/A"</formula>
    </cfRule>
  </conditionalFormatting>
  <conditionalFormatting sqref="F278">
    <cfRule type="cellIs" dxfId="912" priority="262" stopIfTrue="1" operator="equal">
      <formula>"N/A"</formula>
    </cfRule>
  </conditionalFormatting>
  <conditionalFormatting sqref="F279:F280">
    <cfRule type="cellIs" dxfId="911" priority="258" stopIfTrue="1" operator="equal">
      <formula>"N/A"</formula>
    </cfRule>
  </conditionalFormatting>
  <conditionalFormatting sqref="F282">
    <cfRule type="cellIs" dxfId="910" priority="261" stopIfTrue="1" operator="equal">
      <formula>"Operation"</formula>
    </cfRule>
  </conditionalFormatting>
  <conditionalFormatting sqref="F282">
    <cfRule type="cellIs" dxfId="909" priority="260" stopIfTrue="1" operator="equal">
      <formula>"N/A"</formula>
    </cfRule>
  </conditionalFormatting>
  <conditionalFormatting sqref="F281">
    <cfRule type="cellIs" dxfId="908" priority="257" stopIfTrue="1" operator="equal">
      <formula>"Operation"</formula>
    </cfRule>
  </conditionalFormatting>
  <conditionalFormatting sqref="F281">
    <cfRule type="cellIs" dxfId="907" priority="256" stopIfTrue="1" operator="equal">
      <formula>"N/A"</formula>
    </cfRule>
  </conditionalFormatting>
  <conditionalFormatting sqref="F284">
    <cfRule type="cellIs" dxfId="906" priority="254" stopIfTrue="1" operator="equal">
      <formula>"N/A"</formula>
    </cfRule>
  </conditionalFormatting>
  <conditionalFormatting sqref="E285:P291">
    <cfRule type="cellIs" dxfId="905" priority="252" stopIfTrue="1" operator="equal">
      <formula>"Operation"</formula>
    </cfRule>
  </conditionalFormatting>
  <conditionalFormatting sqref="D285:D291">
    <cfRule type="cellIs" dxfId="904" priority="251" stopIfTrue="1" operator="equal">
      <formula>"Total"</formula>
    </cfRule>
  </conditionalFormatting>
  <conditionalFormatting sqref="H285:P291 E285:F291">
    <cfRule type="cellIs" dxfId="903" priority="249" stopIfTrue="1" operator="equal">
      <formula>"N/A"</formula>
    </cfRule>
  </conditionalFormatting>
  <conditionalFormatting sqref="H291:P291">
    <cfRule type="cellIs" dxfId="902" priority="205" stopIfTrue="1" operator="equal">
      <formula>"N/A"</formula>
    </cfRule>
  </conditionalFormatting>
  <conditionalFormatting sqref="E291">
    <cfRule type="cellIs" dxfId="901" priority="204" stopIfTrue="1" operator="equal">
      <formula>"Operation"</formula>
    </cfRule>
  </conditionalFormatting>
  <conditionalFormatting sqref="G285:H285">
    <cfRule type="cellIs" dxfId="900" priority="248" stopIfTrue="1" operator="equal">
      <formula>"Operation"</formula>
    </cfRule>
  </conditionalFormatting>
  <conditionalFormatting sqref="D285">
    <cfRule type="cellIs" dxfId="899" priority="247" stopIfTrue="1" operator="equal">
      <formula>"Total"</formula>
    </cfRule>
  </conditionalFormatting>
  <conditionalFormatting sqref="H285:P285">
    <cfRule type="cellIs" dxfId="898" priority="245" stopIfTrue="1" operator="equal">
      <formula>"N/A"</formula>
    </cfRule>
  </conditionalFormatting>
  <conditionalFormatting sqref="E285">
    <cfRule type="cellIs" dxfId="897" priority="244" stopIfTrue="1" operator="equal">
      <formula>"N/A"</formula>
    </cfRule>
  </conditionalFormatting>
  <conditionalFormatting sqref="E286:E287">
    <cfRule type="cellIs" dxfId="896" priority="223" stopIfTrue="1" operator="equal">
      <formula>"Operation"</formula>
    </cfRule>
  </conditionalFormatting>
  <conditionalFormatting sqref="E286:E287">
    <cfRule type="cellIs" dxfId="895" priority="222" stopIfTrue="1" operator="equal">
      <formula>"N/A"</formula>
    </cfRule>
  </conditionalFormatting>
  <conditionalFormatting sqref="I289:J289">
    <cfRule type="cellIs" dxfId="894" priority="242" stopIfTrue="1" operator="equal">
      <formula>"Operation"</formula>
    </cfRule>
  </conditionalFormatting>
  <conditionalFormatting sqref="K289">
    <cfRule type="cellIs" dxfId="893" priority="241" stopIfTrue="1" operator="equal">
      <formula>"Operation"</formula>
    </cfRule>
  </conditionalFormatting>
  <conditionalFormatting sqref="G289:H289">
    <cfRule type="cellIs" dxfId="892" priority="240" stopIfTrue="1" operator="equal">
      <formula>"Operation"</formula>
    </cfRule>
  </conditionalFormatting>
  <conditionalFormatting sqref="H289:P289">
    <cfRule type="cellIs" dxfId="891" priority="237" stopIfTrue="1" operator="equal">
      <formula>"N/A"</formula>
    </cfRule>
  </conditionalFormatting>
  <conditionalFormatting sqref="O289:P289">
    <cfRule type="cellIs" dxfId="890" priority="243" stopIfTrue="1" operator="equal">
      <formula>"Operation"</formula>
    </cfRule>
  </conditionalFormatting>
  <conditionalFormatting sqref="D289">
    <cfRule type="cellIs" dxfId="889" priority="239" stopIfTrue="1" operator="equal">
      <formula>"Total"</formula>
    </cfRule>
  </conditionalFormatting>
  <conditionalFormatting sqref="E289">
    <cfRule type="cellIs" dxfId="888" priority="235" stopIfTrue="1" operator="equal">
      <formula>"Operation"</formula>
    </cfRule>
  </conditionalFormatting>
  <conditionalFormatting sqref="E289">
    <cfRule type="cellIs" dxfId="887" priority="234" stopIfTrue="1" operator="equal">
      <formula>"N/A"</formula>
    </cfRule>
  </conditionalFormatting>
  <conditionalFormatting sqref="O286:P287">
    <cfRule type="cellIs" dxfId="886" priority="229" stopIfTrue="1" operator="equal">
      <formula>"Operation"</formula>
    </cfRule>
  </conditionalFormatting>
  <conditionalFormatting sqref="O286:P287">
    <cfRule type="cellIs" dxfId="885" priority="228" stopIfTrue="1" operator="equal">
      <formula>"N/A"</formula>
    </cfRule>
  </conditionalFormatting>
  <conditionalFormatting sqref="K288">
    <cfRule type="cellIs" dxfId="884" priority="214" stopIfTrue="1" operator="equal">
      <formula>"Operation"</formula>
    </cfRule>
  </conditionalFormatting>
  <conditionalFormatting sqref="I288:K288">
    <cfRule type="cellIs" dxfId="883" priority="213" stopIfTrue="1" operator="equal">
      <formula>"N/A"</formula>
    </cfRule>
  </conditionalFormatting>
  <conditionalFormatting sqref="M288:N288">
    <cfRule type="cellIs" dxfId="882" priority="220" stopIfTrue="1" operator="equal">
      <formula>"Operation"</formula>
    </cfRule>
  </conditionalFormatting>
  <conditionalFormatting sqref="G286:H287 L286:L287">
    <cfRule type="cellIs" dxfId="881" priority="231" stopIfTrue="1" operator="equal">
      <formula>"Operation"</formula>
    </cfRule>
  </conditionalFormatting>
  <conditionalFormatting sqref="G286:H287 L286:N287">
    <cfRule type="cellIs" dxfId="880" priority="230" stopIfTrue="1" operator="equal">
      <formula>"N/A"</formula>
    </cfRule>
  </conditionalFormatting>
  <conditionalFormatting sqref="M286:N287">
    <cfRule type="cellIs" dxfId="879" priority="232" stopIfTrue="1" operator="equal">
      <formula>"Operation"</formula>
    </cfRule>
  </conditionalFormatting>
  <conditionalFormatting sqref="I286:J287">
    <cfRule type="cellIs" dxfId="878" priority="227" stopIfTrue="1" operator="equal">
      <formula>"Operation"</formula>
    </cfRule>
  </conditionalFormatting>
  <conditionalFormatting sqref="K286:K287">
    <cfRule type="cellIs" dxfId="877" priority="226" stopIfTrue="1" operator="equal">
      <formula>"Operation"</formula>
    </cfRule>
  </conditionalFormatting>
  <conditionalFormatting sqref="I286:K287">
    <cfRule type="cellIs" dxfId="876" priority="225" stopIfTrue="1" operator="equal">
      <formula>"N/A"</formula>
    </cfRule>
  </conditionalFormatting>
  <conditionalFormatting sqref="D286:D287">
    <cfRule type="cellIs" dxfId="875" priority="224" stopIfTrue="1" operator="equal">
      <formula>"Total"</formula>
    </cfRule>
  </conditionalFormatting>
  <conditionalFormatting sqref="G288:H288 L288">
    <cfRule type="cellIs" dxfId="874" priority="219" stopIfTrue="1" operator="equal">
      <formula>"Operation"</formula>
    </cfRule>
  </conditionalFormatting>
  <conditionalFormatting sqref="G288:H288 L288:N288">
    <cfRule type="cellIs" dxfId="873" priority="218" stopIfTrue="1" operator="equal">
      <formula>"N/A"</formula>
    </cfRule>
  </conditionalFormatting>
  <conditionalFormatting sqref="O288:P288">
    <cfRule type="cellIs" dxfId="872" priority="216" stopIfTrue="1" operator="equal">
      <formula>"N/A"</formula>
    </cfRule>
  </conditionalFormatting>
  <conditionalFormatting sqref="O288:P288">
    <cfRule type="cellIs" dxfId="871" priority="217" stopIfTrue="1" operator="equal">
      <formula>"Operation"</formula>
    </cfRule>
  </conditionalFormatting>
  <conditionalFormatting sqref="I288:J288">
    <cfRule type="cellIs" dxfId="870" priority="215" stopIfTrue="1" operator="equal">
      <formula>"Operation"</formula>
    </cfRule>
  </conditionalFormatting>
  <conditionalFormatting sqref="D288">
    <cfRule type="cellIs" dxfId="869" priority="212" stopIfTrue="1" operator="equal">
      <formula>"Total"</formula>
    </cfRule>
  </conditionalFormatting>
  <conditionalFormatting sqref="E288">
    <cfRule type="cellIs" dxfId="868" priority="210" stopIfTrue="1" operator="equal">
      <formula>"Operation"</formula>
    </cfRule>
  </conditionalFormatting>
  <conditionalFormatting sqref="E288">
    <cfRule type="cellIs" dxfId="867" priority="209" stopIfTrue="1" operator="equal">
      <formula>"N/A"</formula>
    </cfRule>
  </conditionalFormatting>
  <conditionalFormatting sqref="F286:F287">
    <cfRule type="cellIs" dxfId="866" priority="199" stopIfTrue="1" operator="equal">
      <formula>"Operation"</formula>
    </cfRule>
  </conditionalFormatting>
  <conditionalFormatting sqref="F291">
    <cfRule type="cellIs" dxfId="865" priority="195" stopIfTrue="1" operator="equal">
      <formula>"Operation"</formula>
    </cfRule>
  </conditionalFormatting>
  <conditionalFormatting sqref="G291:P291">
    <cfRule type="cellIs" dxfId="864" priority="208" stopIfTrue="1" operator="equal">
      <formula>"Operation"</formula>
    </cfRule>
  </conditionalFormatting>
  <conditionalFormatting sqref="D291">
    <cfRule type="cellIs" dxfId="863" priority="207" stopIfTrue="1" operator="equal">
      <formula>"Total"</formula>
    </cfRule>
  </conditionalFormatting>
  <conditionalFormatting sqref="E291">
    <cfRule type="cellIs" dxfId="862" priority="203" stopIfTrue="1" operator="equal">
      <formula>"N/A"</formula>
    </cfRule>
  </conditionalFormatting>
  <conditionalFormatting sqref="F285">
    <cfRule type="cellIs" dxfId="861" priority="202" stopIfTrue="1" operator="equal">
      <formula>"N/A"</formula>
    </cfRule>
  </conditionalFormatting>
  <conditionalFormatting sqref="F286:F287">
    <cfRule type="cellIs" dxfId="860" priority="198" stopIfTrue="1" operator="equal">
      <formula>"N/A"</formula>
    </cfRule>
  </conditionalFormatting>
  <conditionalFormatting sqref="F289">
    <cfRule type="cellIs" dxfId="859" priority="201" stopIfTrue="1" operator="equal">
      <formula>"Operation"</formula>
    </cfRule>
  </conditionalFormatting>
  <conditionalFormatting sqref="F289">
    <cfRule type="cellIs" dxfId="858" priority="200" stopIfTrue="1" operator="equal">
      <formula>"N/A"</formula>
    </cfRule>
  </conditionalFormatting>
  <conditionalFormatting sqref="F288">
    <cfRule type="cellIs" dxfId="857" priority="197" stopIfTrue="1" operator="equal">
      <formula>"Operation"</formula>
    </cfRule>
  </conditionalFormatting>
  <conditionalFormatting sqref="F288">
    <cfRule type="cellIs" dxfId="856" priority="196" stopIfTrue="1" operator="equal">
      <formula>"N/A"</formula>
    </cfRule>
  </conditionalFormatting>
  <conditionalFormatting sqref="F291">
    <cfRule type="cellIs" dxfId="855" priority="194" stopIfTrue="1" operator="equal">
      <formula>"N/A"</formula>
    </cfRule>
  </conditionalFormatting>
  <conditionalFormatting sqref="E271:P277">
    <cfRule type="cellIs" dxfId="854" priority="189" stopIfTrue="1" operator="equal">
      <formula>"Operation"</formula>
    </cfRule>
  </conditionalFormatting>
  <conditionalFormatting sqref="D271:D277">
    <cfRule type="cellIs" dxfId="853" priority="188" stopIfTrue="1" operator="equal">
      <formula>"Total"</formula>
    </cfRule>
  </conditionalFormatting>
  <conditionalFormatting sqref="H271:P277 E271:F277">
    <cfRule type="cellIs" dxfId="852" priority="187" stopIfTrue="1" operator="equal">
      <formula>"N/A"</formula>
    </cfRule>
  </conditionalFormatting>
  <conditionalFormatting sqref="H271:P277">
    <cfRule type="cellIs" dxfId="851" priority="184" stopIfTrue="1" operator="equal">
      <formula>"N/A"</formula>
    </cfRule>
  </conditionalFormatting>
  <conditionalFormatting sqref="E271:E277">
    <cfRule type="cellIs" dxfId="850" priority="183" stopIfTrue="1" operator="equal">
      <formula>"Operation"</formula>
    </cfRule>
  </conditionalFormatting>
  <conditionalFormatting sqref="F271:F277">
    <cfRule type="cellIs" dxfId="849" priority="181" stopIfTrue="1" operator="equal">
      <formula>"Operation"</formula>
    </cfRule>
  </conditionalFormatting>
  <conditionalFormatting sqref="G271:P277">
    <cfRule type="cellIs" dxfId="848" priority="186" stopIfTrue="1" operator="equal">
      <formula>"Operation"</formula>
    </cfRule>
  </conditionalFormatting>
  <conditionalFormatting sqref="D271:D277">
    <cfRule type="cellIs" dxfId="847" priority="185" stopIfTrue="1" operator="equal">
      <formula>"Total"</formula>
    </cfRule>
  </conditionalFormatting>
  <conditionalFormatting sqref="E271:E277">
    <cfRule type="cellIs" dxfId="846" priority="182" stopIfTrue="1" operator="equal">
      <formula>"N/A"</formula>
    </cfRule>
  </conditionalFormatting>
  <conditionalFormatting sqref="F271:F277">
    <cfRule type="cellIs" dxfId="845" priority="180" stopIfTrue="1" operator="equal">
      <formula>"N/A"</formula>
    </cfRule>
  </conditionalFormatting>
  <conditionalFormatting sqref="E271:P277">
    <cfRule type="cellIs" dxfId="844" priority="179" stopIfTrue="1" operator="equal">
      <formula>"Operation"</formula>
    </cfRule>
  </conditionalFormatting>
  <conditionalFormatting sqref="D271:D277">
    <cfRule type="cellIs" dxfId="843" priority="178" stopIfTrue="1" operator="equal">
      <formula>"Total"</formula>
    </cfRule>
  </conditionalFormatting>
  <conditionalFormatting sqref="H271:P277 E271:F277">
    <cfRule type="cellIs" dxfId="842" priority="177" stopIfTrue="1" operator="equal">
      <formula>"N/A"</formula>
    </cfRule>
  </conditionalFormatting>
  <conditionalFormatting sqref="H277:P277">
    <cfRule type="cellIs" dxfId="841" priority="140" stopIfTrue="1" operator="equal">
      <formula>"N/A"</formula>
    </cfRule>
  </conditionalFormatting>
  <conditionalFormatting sqref="E277">
    <cfRule type="cellIs" dxfId="840" priority="139" stopIfTrue="1" operator="equal">
      <formula>"Operation"</formula>
    </cfRule>
  </conditionalFormatting>
  <conditionalFormatting sqref="G271:H271">
    <cfRule type="cellIs" dxfId="839" priority="176" stopIfTrue="1" operator="equal">
      <formula>"Operation"</formula>
    </cfRule>
  </conditionalFormatting>
  <conditionalFormatting sqref="D271">
    <cfRule type="cellIs" dxfId="838" priority="175" stopIfTrue="1" operator="equal">
      <formula>"Total"</formula>
    </cfRule>
  </conditionalFormatting>
  <conditionalFormatting sqref="H271:P271">
    <cfRule type="cellIs" dxfId="837" priority="174" stopIfTrue="1" operator="equal">
      <formula>"N/A"</formula>
    </cfRule>
  </conditionalFormatting>
  <conditionalFormatting sqref="E271">
    <cfRule type="cellIs" dxfId="836" priority="173" stopIfTrue="1" operator="equal">
      <formula>"N/A"</formula>
    </cfRule>
  </conditionalFormatting>
  <conditionalFormatting sqref="E272:E273">
    <cfRule type="cellIs" dxfId="835" priority="155" stopIfTrue="1" operator="equal">
      <formula>"Operation"</formula>
    </cfRule>
  </conditionalFormatting>
  <conditionalFormatting sqref="E272:E273">
    <cfRule type="cellIs" dxfId="834" priority="154" stopIfTrue="1" operator="equal">
      <formula>"N/A"</formula>
    </cfRule>
  </conditionalFormatting>
  <conditionalFormatting sqref="I275:J275">
    <cfRule type="cellIs" dxfId="833" priority="171" stopIfTrue="1" operator="equal">
      <formula>"Operation"</formula>
    </cfRule>
  </conditionalFormatting>
  <conditionalFormatting sqref="K275">
    <cfRule type="cellIs" dxfId="832" priority="170" stopIfTrue="1" operator="equal">
      <formula>"Operation"</formula>
    </cfRule>
  </conditionalFormatting>
  <conditionalFormatting sqref="G275:H275">
    <cfRule type="cellIs" dxfId="831" priority="169" stopIfTrue="1" operator="equal">
      <formula>"Operation"</formula>
    </cfRule>
  </conditionalFormatting>
  <conditionalFormatting sqref="H275:P275">
    <cfRule type="cellIs" dxfId="830" priority="167" stopIfTrue="1" operator="equal">
      <formula>"N/A"</formula>
    </cfRule>
  </conditionalFormatting>
  <conditionalFormatting sqref="O275:P275">
    <cfRule type="cellIs" dxfId="829" priority="172" stopIfTrue="1" operator="equal">
      <formula>"Operation"</formula>
    </cfRule>
  </conditionalFormatting>
  <conditionalFormatting sqref="D275">
    <cfRule type="cellIs" dxfId="828" priority="168" stopIfTrue="1" operator="equal">
      <formula>"Total"</formula>
    </cfRule>
  </conditionalFormatting>
  <conditionalFormatting sqref="E275">
    <cfRule type="cellIs" dxfId="827" priority="166" stopIfTrue="1" operator="equal">
      <formula>"Operation"</formula>
    </cfRule>
  </conditionalFormatting>
  <conditionalFormatting sqref="E275">
    <cfRule type="cellIs" dxfId="826" priority="165" stopIfTrue="1" operator="equal">
      <formula>"N/A"</formula>
    </cfRule>
  </conditionalFormatting>
  <conditionalFormatting sqref="O272:P273">
    <cfRule type="cellIs" dxfId="825" priority="161" stopIfTrue="1" operator="equal">
      <formula>"Operation"</formula>
    </cfRule>
  </conditionalFormatting>
  <conditionalFormatting sqref="O272:P273">
    <cfRule type="cellIs" dxfId="824" priority="160" stopIfTrue="1" operator="equal">
      <formula>"N/A"</formula>
    </cfRule>
  </conditionalFormatting>
  <conditionalFormatting sqref="K274">
    <cfRule type="cellIs" dxfId="823" priority="147" stopIfTrue="1" operator="equal">
      <formula>"Operation"</formula>
    </cfRule>
  </conditionalFormatting>
  <conditionalFormatting sqref="I274:K274">
    <cfRule type="cellIs" dxfId="822" priority="146" stopIfTrue="1" operator="equal">
      <formula>"N/A"</formula>
    </cfRule>
  </conditionalFormatting>
  <conditionalFormatting sqref="M274:N274">
    <cfRule type="cellIs" dxfId="821" priority="153" stopIfTrue="1" operator="equal">
      <formula>"Operation"</formula>
    </cfRule>
  </conditionalFormatting>
  <conditionalFormatting sqref="G272:H273 L272:L273">
    <cfRule type="cellIs" dxfId="820" priority="163" stopIfTrue="1" operator="equal">
      <formula>"Operation"</formula>
    </cfRule>
  </conditionalFormatting>
  <conditionalFormatting sqref="G272:H273 L272:N273">
    <cfRule type="cellIs" dxfId="819" priority="162" stopIfTrue="1" operator="equal">
      <formula>"N/A"</formula>
    </cfRule>
  </conditionalFormatting>
  <conditionalFormatting sqref="M272:N273">
    <cfRule type="cellIs" dxfId="818" priority="164" stopIfTrue="1" operator="equal">
      <formula>"Operation"</formula>
    </cfRule>
  </conditionalFormatting>
  <conditionalFormatting sqref="I272:J273">
    <cfRule type="cellIs" dxfId="817" priority="159" stopIfTrue="1" operator="equal">
      <formula>"Operation"</formula>
    </cfRule>
  </conditionalFormatting>
  <conditionalFormatting sqref="K272:K273">
    <cfRule type="cellIs" dxfId="816" priority="158" stopIfTrue="1" operator="equal">
      <formula>"Operation"</formula>
    </cfRule>
  </conditionalFormatting>
  <conditionalFormatting sqref="I272:K273">
    <cfRule type="cellIs" dxfId="815" priority="157" stopIfTrue="1" operator="equal">
      <formula>"N/A"</formula>
    </cfRule>
  </conditionalFormatting>
  <conditionalFormatting sqref="D272:D273">
    <cfRule type="cellIs" dxfId="814" priority="156" stopIfTrue="1" operator="equal">
      <formula>"Total"</formula>
    </cfRule>
  </conditionalFormatting>
  <conditionalFormatting sqref="G274:H274 L274">
    <cfRule type="cellIs" dxfId="813" priority="152" stopIfTrue="1" operator="equal">
      <formula>"Operation"</formula>
    </cfRule>
  </conditionalFormatting>
  <conditionalFormatting sqref="G274:H274 L274:N274">
    <cfRule type="cellIs" dxfId="812" priority="151" stopIfTrue="1" operator="equal">
      <formula>"N/A"</formula>
    </cfRule>
  </conditionalFormatting>
  <conditionalFormatting sqref="O274:P274">
    <cfRule type="cellIs" dxfId="811" priority="149" stopIfTrue="1" operator="equal">
      <formula>"N/A"</formula>
    </cfRule>
  </conditionalFormatting>
  <conditionalFormatting sqref="O274:P274">
    <cfRule type="cellIs" dxfId="810" priority="150" stopIfTrue="1" operator="equal">
      <formula>"Operation"</formula>
    </cfRule>
  </conditionalFormatting>
  <conditionalFormatting sqref="I274:J274">
    <cfRule type="cellIs" dxfId="809" priority="148" stopIfTrue="1" operator="equal">
      <formula>"Operation"</formula>
    </cfRule>
  </conditionalFormatting>
  <conditionalFormatting sqref="D274">
    <cfRule type="cellIs" dxfId="808" priority="145" stopIfTrue="1" operator="equal">
      <formula>"Total"</formula>
    </cfRule>
  </conditionalFormatting>
  <conditionalFormatting sqref="E274">
    <cfRule type="cellIs" dxfId="807" priority="144" stopIfTrue="1" operator="equal">
      <formula>"Operation"</formula>
    </cfRule>
  </conditionalFormatting>
  <conditionalFormatting sqref="E274">
    <cfRule type="cellIs" dxfId="806" priority="143" stopIfTrue="1" operator="equal">
      <formula>"N/A"</formula>
    </cfRule>
  </conditionalFormatting>
  <conditionalFormatting sqref="F272:F273">
    <cfRule type="cellIs" dxfId="805" priority="134" stopIfTrue="1" operator="equal">
      <formula>"Operation"</formula>
    </cfRule>
  </conditionalFormatting>
  <conditionalFormatting sqref="F277">
    <cfRule type="cellIs" dxfId="804" priority="130" stopIfTrue="1" operator="equal">
      <formula>"Operation"</formula>
    </cfRule>
  </conditionalFormatting>
  <conditionalFormatting sqref="G277:P277">
    <cfRule type="cellIs" dxfId="803" priority="142" stopIfTrue="1" operator="equal">
      <formula>"Operation"</formula>
    </cfRule>
  </conditionalFormatting>
  <conditionalFormatting sqref="D277">
    <cfRule type="cellIs" dxfId="802" priority="141" stopIfTrue="1" operator="equal">
      <formula>"Total"</formula>
    </cfRule>
  </conditionalFormatting>
  <conditionalFormatting sqref="E277">
    <cfRule type="cellIs" dxfId="801" priority="138" stopIfTrue="1" operator="equal">
      <formula>"N/A"</formula>
    </cfRule>
  </conditionalFormatting>
  <conditionalFormatting sqref="F271">
    <cfRule type="cellIs" dxfId="800" priority="137" stopIfTrue="1" operator="equal">
      <formula>"N/A"</formula>
    </cfRule>
  </conditionalFormatting>
  <conditionalFormatting sqref="F272:F273">
    <cfRule type="cellIs" dxfId="799" priority="133" stopIfTrue="1" operator="equal">
      <formula>"N/A"</formula>
    </cfRule>
  </conditionalFormatting>
  <conditionalFormatting sqref="F275">
    <cfRule type="cellIs" dxfId="798" priority="136" stopIfTrue="1" operator="equal">
      <formula>"Operation"</formula>
    </cfRule>
  </conditionalFormatting>
  <conditionalFormatting sqref="F275">
    <cfRule type="cellIs" dxfId="797" priority="135" stopIfTrue="1" operator="equal">
      <formula>"N/A"</formula>
    </cfRule>
  </conditionalFormatting>
  <conditionalFormatting sqref="F274">
    <cfRule type="cellIs" dxfId="796" priority="132" stopIfTrue="1" operator="equal">
      <formula>"Operation"</formula>
    </cfRule>
  </conditionalFormatting>
  <conditionalFormatting sqref="F274">
    <cfRule type="cellIs" dxfId="795" priority="131" stopIfTrue="1" operator="equal">
      <formula>"N/A"</formula>
    </cfRule>
  </conditionalFormatting>
  <conditionalFormatting sqref="F277">
    <cfRule type="cellIs" dxfId="794" priority="129" stopIfTrue="1" operator="equal">
      <formula>"N/A"</formula>
    </cfRule>
  </conditionalFormatting>
  <conditionalFormatting sqref="E292:P298">
    <cfRule type="cellIs" dxfId="793" priority="120" stopIfTrue="1" operator="equal">
      <formula>"Operation"</formula>
    </cfRule>
  </conditionalFormatting>
  <conditionalFormatting sqref="D292:D298">
    <cfRule type="cellIs" dxfId="792" priority="119" stopIfTrue="1" operator="equal">
      <formula>"Total"</formula>
    </cfRule>
  </conditionalFormatting>
  <conditionalFormatting sqref="H292:P298 E292:F298">
    <cfRule type="cellIs" dxfId="791" priority="117" stopIfTrue="1" operator="equal">
      <formula>"N/A"</formula>
    </cfRule>
  </conditionalFormatting>
  <conditionalFormatting sqref="H298:P298">
    <cfRule type="cellIs" dxfId="790" priority="73" stopIfTrue="1" operator="equal">
      <formula>"N/A"</formula>
    </cfRule>
  </conditionalFormatting>
  <conditionalFormatting sqref="E298">
    <cfRule type="cellIs" dxfId="789" priority="72" stopIfTrue="1" operator="equal">
      <formula>"Operation"</formula>
    </cfRule>
  </conditionalFormatting>
  <conditionalFormatting sqref="G292:H292">
    <cfRule type="cellIs" dxfId="788" priority="116" stopIfTrue="1" operator="equal">
      <formula>"Operation"</formula>
    </cfRule>
  </conditionalFormatting>
  <conditionalFormatting sqref="D292">
    <cfRule type="cellIs" dxfId="787" priority="115" stopIfTrue="1" operator="equal">
      <formula>"Total"</formula>
    </cfRule>
  </conditionalFormatting>
  <conditionalFormatting sqref="H292:P292">
    <cfRule type="cellIs" dxfId="786" priority="113" stopIfTrue="1" operator="equal">
      <formula>"N/A"</formula>
    </cfRule>
  </conditionalFormatting>
  <conditionalFormatting sqref="E292">
    <cfRule type="cellIs" dxfId="785" priority="112" stopIfTrue="1" operator="equal">
      <formula>"N/A"</formula>
    </cfRule>
  </conditionalFormatting>
  <conditionalFormatting sqref="E293:E294">
    <cfRule type="cellIs" dxfId="784" priority="91" stopIfTrue="1" operator="equal">
      <formula>"Operation"</formula>
    </cfRule>
  </conditionalFormatting>
  <conditionalFormatting sqref="E293:E294">
    <cfRule type="cellIs" dxfId="783" priority="90" stopIfTrue="1" operator="equal">
      <formula>"N/A"</formula>
    </cfRule>
  </conditionalFormatting>
  <conditionalFormatting sqref="I296:J296">
    <cfRule type="cellIs" dxfId="782" priority="110" stopIfTrue="1" operator="equal">
      <formula>"Operation"</formula>
    </cfRule>
  </conditionalFormatting>
  <conditionalFormatting sqref="K296">
    <cfRule type="cellIs" dxfId="781" priority="109" stopIfTrue="1" operator="equal">
      <formula>"Operation"</formula>
    </cfRule>
  </conditionalFormatting>
  <conditionalFormatting sqref="G296:H296">
    <cfRule type="cellIs" dxfId="780" priority="108" stopIfTrue="1" operator="equal">
      <formula>"Operation"</formula>
    </cfRule>
  </conditionalFormatting>
  <conditionalFormatting sqref="H296:P296">
    <cfRule type="cellIs" dxfId="779" priority="105" stopIfTrue="1" operator="equal">
      <formula>"N/A"</formula>
    </cfRule>
  </conditionalFormatting>
  <conditionalFormatting sqref="O296:P296">
    <cfRule type="cellIs" dxfId="778" priority="111" stopIfTrue="1" operator="equal">
      <formula>"Operation"</formula>
    </cfRule>
  </conditionalFormatting>
  <conditionalFormatting sqref="D296">
    <cfRule type="cellIs" dxfId="777" priority="107" stopIfTrue="1" operator="equal">
      <formula>"Total"</formula>
    </cfRule>
  </conditionalFormatting>
  <conditionalFormatting sqref="E296">
    <cfRule type="cellIs" dxfId="776" priority="103" stopIfTrue="1" operator="equal">
      <formula>"Operation"</formula>
    </cfRule>
  </conditionalFormatting>
  <conditionalFormatting sqref="E296">
    <cfRule type="cellIs" dxfId="775" priority="102" stopIfTrue="1" operator="equal">
      <formula>"N/A"</formula>
    </cfRule>
  </conditionalFormatting>
  <conditionalFormatting sqref="O293:P294">
    <cfRule type="cellIs" dxfId="774" priority="97" stopIfTrue="1" operator="equal">
      <formula>"Operation"</formula>
    </cfRule>
  </conditionalFormatting>
  <conditionalFormatting sqref="O293:P294">
    <cfRule type="cellIs" dxfId="773" priority="96" stopIfTrue="1" operator="equal">
      <formula>"N/A"</formula>
    </cfRule>
  </conditionalFormatting>
  <conditionalFormatting sqref="K295">
    <cfRule type="cellIs" dxfId="772" priority="82" stopIfTrue="1" operator="equal">
      <formula>"Operation"</formula>
    </cfRule>
  </conditionalFormatting>
  <conditionalFormatting sqref="I295:K295">
    <cfRule type="cellIs" dxfId="771" priority="81" stopIfTrue="1" operator="equal">
      <formula>"N/A"</formula>
    </cfRule>
  </conditionalFormatting>
  <conditionalFormatting sqref="M295:N295">
    <cfRule type="cellIs" dxfId="770" priority="88" stopIfTrue="1" operator="equal">
      <formula>"Operation"</formula>
    </cfRule>
  </conditionalFormatting>
  <conditionalFormatting sqref="G293:H294 L293:L294">
    <cfRule type="cellIs" dxfId="769" priority="99" stopIfTrue="1" operator="equal">
      <formula>"Operation"</formula>
    </cfRule>
  </conditionalFormatting>
  <conditionalFormatting sqref="G293:H294 L293:N294">
    <cfRule type="cellIs" dxfId="768" priority="98" stopIfTrue="1" operator="equal">
      <formula>"N/A"</formula>
    </cfRule>
  </conditionalFormatting>
  <conditionalFormatting sqref="M293:N294">
    <cfRule type="cellIs" dxfId="767" priority="100" stopIfTrue="1" operator="equal">
      <formula>"Operation"</formula>
    </cfRule>
  </conditionalFormatting>
  <conditionalFormatting sqref="I293:J294">
    <cfRule type="cellIs" dxfId="766" priority="95" stopIfTrue="1" operator="equal">
      <formula>"Operation"</formula>
    </cfRule>
  </conditionalFormatting>
  <conditionalFormatting sqref="K293:K294">
    <cfRule type="cellIs" dxfId="765" priority="94" stopIfTrue="1" operator="equal">
      <formula>"Operation"</formula>
    </cfRule>
  </conditionalFormatting>
  <conditionalFormatting sqref="I293:K294">
    <cfRule type="cellIs" dxfId="764" priority="93" stopIfTrue="1" operator="equal">
      <formula>"N/A"</formula>
    </cfRule>
  </conditionalFormatting>
  <conditionalFormatting sqref="D293:D294">
    <cfRule type="cellIs" dxfId="763" priority="92" stopIfTrue="1" operator="equal">
      <formula>"Total"</formula>
    </cfRule>
  </conditionalFormatting>
  <conditionalFormatting sqref="G295:H295 L295">
    <cfRule type="cellIs" dxfId="762" priority="87" stopIfTrue="1" operator="equal">
      <formula>"Operation"</formula>
    </cfRule>
  </conditionalFormatting>
  <conditionalFormatting sqref="G295:H295 L295:N295">
    <cfRule type="cellIs" dxfId="761" priority="86" stopIfTrue="1" operator="equal">
      <formula>"N/A"</formula>
    </cfRule>
  </conditionalFormatting>
  <conditionalFormatting sqref="O295:P295">
    <cfRule type="cellIs" dxfId="760" priority="84" stopIfTrue="1" operator="equal">
      <formula>"N/A"</formula>
    </cfRule>
  </conditionalFormatting>
  <conditionalFormatting sqref="O295:P295">
    <cfRule type="cellIs" dxfId="759" priority="85" stopIfTrue="1" operator="equal">
      <formula>"Operation"</formula>
    </cfRule>
  </conditionalFormatting>
  <conditionalFormatting sqref="I295:J295">
    <cfRule type="cellIs" dxfId="758" priority="83" stopIfTrue="1" operator="equal">
      <formula>"Operation"</formula>
    </cfRule>
  </conditionalFormatting>
  <conditionalFormatting sqref="D295">
    <cfRule type="cellIs" dxfId="757" priority="80" stopIfTrue="1" operator="equal">
      <formula>"Total"</formula>
    </cfRule>
  </conditionalFormatting>
  <conditionalFormatting sqref="E295">
    <cfRule type="cellIs" dxfId="756" priority="78" stopIfTrue="1" operator="equal">
      <formula>"Operation"</formula>
    </cfRule>
  </conditionalFormatting>
  <conditionalFormatting sqref="E295">
    <cfRule type="cellIs" dxfId="755" priority="77" stopIfTrue="1" operator="equal">
      <formula>"N/A"</formula>
    </cfRule>
  </conditionalFormatting>
  <conditionalFormatting sqref="F293:F294">
    <cfRule type="cellIs" dxfId="754" priority="67" stopIfTrue="1" operator="equal">
      <formula>"Operation"</formula>
    </cfRule>
  </conditionalFormatting>
  <conditionalFormatting sqref="F298">
    <cfRule type="cellIs" dxfId="753" priority="63" stopIfTrue="1" operator="equal">
      <formula>"Operation"</formula>
    </cfRule>
  </conditionalFormatting>
  <conditionalFormatting sqref="G298:P298">
    <cfRule type="cellIs" dxfId="752" priority="76" stopIfTrue="1" operator="equal">
      <formula>"Operation"</formula>
    </cfRule>
  </conditionalFormatting>
  <conditionalFormatting sqref="D298">
    <cfRule type="cellIs" dxfId="751" priority="75" stopIfTrue="1" operator="equal">
      <formula>"Total"</formula>
    </cfRule>
  </conditionalFormatting>
  <conditionalFormatting sqref="E298">
    <cfRule type="cellIs" dxfId="750" priority="71" stopIfTrue="1" operator="equal">
      <formula>"N/A"</formula>
    </cfRule>
  </conditionalFormatting>
  <conditionalFormatting sqref="F292">
    <cfRule type="cellIs" dxfId="749" priority="70" stopIfTrue="1" operator="equal">
      <formula>"N/A"</formula>
    </cfRule>
  </conditionalFormatting>
  <conditionalFormatting sqref="F293:F294">
    <cfRule type="cellIs" dxfId="748" priority="66" stopIfTrue="1" operator="equal">
      <formula>"N/A"</formula>
    </cfRule>
  </conditionalFormatting>
  <conditionalFormatting sqref="F296">
    <cfRule type="cellIs" dxfId="747" priority="69" stopIfTrue="1" operator="equal">
      <formula>"Operation"</formula>
    </cfRule>
  </conditionalFormatting>
  <conditionalFormatting sqref="F296">
    <cfRule type="cellIs" dxfId="746" priority="68" stopIfTrue="1" operator="equal">
      <formula>"N/A"</formula>
    </cfRule>
  </conditionalFormatting>
  <conditionalFormatting sqref="F295">
    <cfRule type="cellIs" dxfId="745" priority="65" stopIfTrue="1" operator="equal">
      <formula>"Operation"</formula>
    </cfRule>
  </conditionalFormatting>
  <conditionalFormatting sqref="F295">
    <cfRule type="cellIs" dxfId="744" priority="64" stopIfTrue="1" operator="equal">
      <formula>"N/A"</formula>
    </cfRule>
  </conditionalFormatting>
  <conditionalFormatting sqref="F298">
    <cfRule type="cellIs" dxfId="743" priority="62" stopIfTrue="1" operator="equal">
      <formula>"N/A"</formula>
    </cfRule>
  </conditionalFormatting>
  <conditionalFormatting sqref="E299:P305">
    <cfRule type="cellIs" dxfId="742" priority="60" stopIfTrue="1" operator="equal">
      <formula>"Operation"</formula>
    </cfRule>
  </conditionalFormatting>
  <conditionalFormatting sqref="D299:D305">
    <cfRule type="cellIs" dxfId="741" priority="59" stopIfTrue="1" operator="equal">
      <formula>"Total"</formula>
    </cfRule>
  </conditionalFormatting>
  <conditionalFormatting sqref="H299:P305 E299:F305">
    <cfRule type="cellIs" dxfId="740" priority="57" stopIfTrue="1" operator="equal">
      <formula>"N/A"</formula>
    </cfRule>
  </conditionalFormatting>
  <conditionalFormatting sqref="H305:P305">
    <cfRule type="cellIs" dxfId="739" priority="13" stopIfTrue="1" operator="equal">
      <formula>"N/A"</formula>
    </cfRule>
  </conditionalFormatting>
  <conditionalFormatting sqref="E305">
    <cfRule type="cellIs" dxfId="738" priority="12" stopIfTrue="1" operator="equal">
      <formula>"Operation"</formula>
    </cfRule>
  </conditionalFormatting>
  <conditionalFormatting sqref="G299:H299">
    <cfRule type="cellIs" dxfId="737" priority="56" stopIfTrue="1" operator="equal">
      <formula>"Operation"</formula>
    </cfRule>
  </conditionalFormatting>
  <conditionalFormatting sqref="D299">
    <cfRule type="cellIs" dxfId="736" priority="55" stopIfTrue="1" operator="equal">
      <formula>"Total"</formula>
    </cfRule>
  </conditionalFormatting>
  <conditionalFormatting sqref="H299:P299">
    <cfRule type="cellIs" dxfId="735" priority="53" stopIfTrue="1" operator="equal">
      <formula>"N/A"</formula>
    </cfRule>
  </conditionalFormatting>
  <conditionalFormatting sqref="E299">
    <cfRule type="cellIs" dxfId="734" priority="52" stopIfTrue="1" operator="equal">
      <formula>"N/A"</formula>
    </cfRule>
  </conditionalFormatting>
  <conditionalFormatting sqref="E300:E301">
    <cfRule type="cellIs" dxfId="733" priority="31" stopIfTrue="1" operator="equal">
      <formula>"Operation"</formula>
    </cfRule>
  </conditionalFormatting>
  <conditionalFormatting sqref="E300:E301">
    <cfRule type="cellIs" dxfId="732" priority="30" stopIfTrue="1" operator="equal">
      <formula>"N/A"</formula>
    </cfRule>
  </conditionalFormatting>
  <conditionalFormatting sqref="I303:J303">
    <cfRule type="cellIs" dxfId="731" priority="50" stopIfTrue="1" operator="equal">
      <formula>"Operation"</formula>
    </cfRule>
  </conditionalFormatting>
  <conditionalFormatting sqref="K303">
    <cfRule type="cellIs" dxfId="730" priority="49" stopIfTrue="1" operator="equal">
      <formula>"Operation"</formula>
    </cfRule>
  </conditionalFormatting>
  <conditionalFormatting sqref="G303:H303">
    <cfRule type="cellIs" dxfId="729" priority="48" stopIfTrue="1" operator="equal">
      <formula>"Operation"</formula>
    </cfRule>
  </conditionalFormatting>
  <conditionalFormatting sqref="H303:P303">
    <cfRule type="cellIs" dxfId="728" priority="45" stopIfTrue="1" operator="equal">
      <formula>"N/A"</formula>
    </cfRule>
  </conditionalFormatting>
  <conditionalFormatting sqref="O303:P303">
    <cfRule type="cellIs" dxfId="727" priority="51" stopIfTrue="1" operator="equal">
      <formula>"Operation"</formula>
    </cfRule>
  </conditionalFormatting>
  <conditionalFormatting sqref="D303">
    <cfRule type="cellIs" dxfId="726" priority="47" stopIfTrue="1" operator="equal">
      <formula>"Total"</formula>
    </cfRule>
  </conditionalFormatting>
  <conditionalFormatting sqref="E303">
    <cfRule type="cellIs" dxfId="725" priority="43" stopIfTrue="1" operator="equal">
      <formula>"Operation"</formula>
    </cfRule>
  </conditionalFormatting>
  <conditionalFormatting sqref="E303">
    <cfRule type="cellIs" dxfId="724" priority="42" stopIfTrue="1" operator="equal">
      <formula>"N/A"</formula>
    </cfRule>
  </conditionalFormatting>
  <conditionalFormatting sqref="O300:P301">
    <cfRule type="cellIs" dxfId="723" priority="37" stopIfTrue="1" operator="equal">
      <formula>"Operation"</formula>
    </cfRule>
  </conditionalFormatting>
  <conditionalFormatting sqref="O300:P301">
    <cfRule type="cellIs" dxfId="722" priority="36" stopIfTrue="1" operator="equal">
      <formula>"N/A"</formula>
    </cfRule>
  </conditionalFormatting>
  <conditionalFormatting sqref="K302">
    <cfRule type="cellIs" dxfId="721" priority="22" stopIfTrue="1" operator="equal">
      <formula>"Operation"</formula>
    </cfRule>
  </conditionalFormatting>
  <conditionalFormatting sqref="I302:K302">
    <cfRule type="cellIs" dxfId="720" priority="21" stopIfTrue="1" operator="equal">
      <formula>"N/A"</formula>
    </cfRule>
  </conditionalFormatting>
  <conditionalFormatting sqref="M302:N302">
    <cfRule type="cellIs" dxfId="719" priority="28" stopIfTrue="1" operator="equal">
      <formula>"Operation"</formula>
    </cfRule>
  </conditionalFormatting>
  <conditionalFormatting sqref="G300:H301 L300:L301">
    <cfRule type="cellIs" dxfId="718" priority="39" stopIfTrue="1" operator="equal">
      <formula>"Operation"</formula>
    </cfRule>
  </conditionalFormatting>
  <conditionalFormatting sqref="G300:H301 L300:N301">
    <cfRule type="cellIs" dxfId="717" priority="38" stopIfTrue="1" operator="equal">
      <formula>"N/A"</formula>
    </cfRule>
  </conditionalFormatting>
  <conditionalFormatting sqref="M300:N301">
    <cfRule type="cellIs" dxfId="716" priority="40" stopIfTrue="1" operator="equal">
      <formula>"Operation"</formula>
    </cfRule>
  </conditionalFormatting>
  <conditionalFormatting sqref="I300:J301">
    <cfRule type="cellIs" dxfId="715" priority="35" stopIfTrue="1" operator="equal">
      <formula>"Operation"</formula>
    </cfRule>
  </conditionalFormatting>
  <conditionalFormatting sqref="K300:K301">
    <cfRule type="cellIs" dxfId="714" priority="34" stopIfTrue="1" operator="equal">
      <formula>"Operation"</formula>
    </cfRule>
  </conditionalFormatting>
  <conditionalFormatting sqref="I300:K301">
    <cfRule type="cellIs" dxfId="713" priority="33" stopIfTrue="1" operator="equal">
      <formula>"N/A"</formula>
    </cfRule>
  </conditionalFormatting>
  <conditionalFormatting sqref="D300:D301">
    <cfRule type="cellIs" dxfId="712" priority="32" stopIfTrue="1" operator="equal">
      <formula>"Total"</formula>
    </cfRule>
  </conditionalFormatting>
  <conditionalFormatting sqref="G302:H302 L302">
    <cfRule type="cellIs" dxfId="711" priority="27" stopIfTrue="1" operator="equal">
      <formula>"Operation"</formula>
    </cfRule>
  </conditionalFormatting>
  <conditionalFormatting sqref="G302:H302 L302:N302">
    <cfRule type="cellIs" dxfId="710" priority="26" stopIfTrue="1" operator="equal">
      <formula>"N/A"</formula>
    </cfRule>
  </conditionalFormatting>
  <conditionalFormatting sqref="O302:P302">
    <cfRule type="cellIs" dxfId="709" priority="24" stopIfTrue="1" operator="equal">
      <formula>"N/A"</formula>
    </cfRule>
  </conditionalFormatting>
  <conditionalFormatting sqref="O302:P302">
    <cfRule type="cellIs" dxfId="708" priority="25" stopIfTrue="1" operator="equal">
      <formula>"Operation"</formula>
    </cfRule>
  </conditionalFormatting>
  <conditionalFormatting sqref="I302:J302">
    <cfRule type="cellIs" dxfId="707" priority="23" stopIfTrue="1" operator="equal">
      <formula>"Operation"</formula>
    </cfRule>
  </conditionalFormatting>
  <conditionalFormatting sqref="D302">
    <cfRule type="cellIs" dxfId="706" priority="20" stopIfTrue="1" operator="equal">
      <formula>"Total"</formula>
    </cfRule>
  </conditionalFormatting>
  <conditionalFormatting sqref="E302">
    <cfRule type="cellIs" dxfId="705" priority="18" stopIfTrue="1" operator="equal">
      <formula>"Operation"</formula>
    </cfRule>
  </conditionalFormatting>
  <conditionalFormatting sqref="E302">
    <cfRule type="cellIs" dxfId="704" priority="17" stopIfTrue="1" operator="equal">
      <formula>"N/A"</formula>
    </cfRule>
  </conditionalFormatting>
  <conditionalFormatting sqref="F300:F301">
    <cfRule type="cellIs" dxfId="703" priority="7" stopIfTrue="1" operator="equal">
      <formula>"Operation"</formula>
    </cfRule>
  </conditionalFormatting>
  <conditionalFormatting sqref="F305">
    <cfRule type="cellIs" dxfId="702" priority="3" stopIfTrue="1" operator="equal">
      <formula>"Operation"</formula>
    </cfRule>
  </conditionalFormatting>
  <conditionalFormatting sqref="G305:P305">
    <cfRule type="cellIs" dxfId="701" priority="16" stopIfTrue="1" operator="equal">
      <formula>"Operation"</formula>
    </cfRule>
  </conditionalFormatting>
  <conditionalFormatting sqref="D305">
    <cfRule type="cellIs" dxfId="700" priority="15" stopIfTrue="1" operator="equal">
      <formula>"Total"</formula>
    </cfRule>
  </conditionalFormatting>
  <conditionalFormatting sqref="E305">
    <cfRule type="cellIs" dxfId="699" priority="11" stopIfTrue="1" operator="equal">
      <formula>"N/A"</formula>
    </cfRule>
  </conditionalFormatting>
  <conditionalFormatting sqref="F299">
    <cfRule type="cellIs" dxfId="698" priority="10" stopIfTrue="1" operator="equal">
      <formula>"N/A"</formula>
    </cfRule>
  </conditionalFormatting>
  <conditionalFormatting sqref="F300:F301">
    <cfRule type="cellIs" dxfId="697" priority="6" stopIfTrue="1" operator="equal">
      <formula>"N/A"</formula>
    </cfRule>
  </conditionalFormatting>
  <conditionalFormatting sqref="F303">
    <cfRule type="cellIs" dxfId="696" priority="9" stopIfTrue="1" operator="equal">
      <formula>"Operation"</formula>
    </cfRule>
  </conditionalFormatting>
  <conditionalFormatting sqref="F303">
    <cfRule type="cellIs" dxfId="695" priority="8" stopIfTrue="1" operator="equal">
      <formula>"N/A"</formula>
    </cfRule>
  </conditionalFormatting>
  <conditionalFormatting sqref="F302">
    <cfRule type="cellIs" dxfId="694" priority="5" stopIfTrue="1" operator="equal">
      <formula>"Operation"</formula>
    </cfRule>
  </conditionalFormatting>
  <conditionalFormatting sqref="F302">
    <cfRule type="cellIs" dxfId="693" priority="4" stopIfTrue="1" operator="equal">
      <formula>"N/A"</formula>
    </cfRule>
  </conditionalFormatting>
  <conditionalFormatting sqref="F305">
    <cfRule type="cellIs" dxfId="692" priority="2" stopIfTrue="1" operator="equal">
      <formula>"N/A"</formula>
    </cfRule>
  </conditionalFormatting>
  <pageMargins left="0.7" right="0.7" top="0.75" bottom="0.75" header="0.3" footer="0.3"/>
  <pageSetup paperSize="9" orientation="portrait" verticalDpi="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tabColor rgb="FFFFC000"/>
  </sheetPr>
  <dimension ref="B1:AO91"/>
  <sheetViews>
    <sheetView workbookViewId="0">
      <selection activeCell="K12" sqref="K12"/>
    </sheetView>
  </sheetViews>
  <sheetFormatPr defaultColWidth="9.15234375" defaultRowHeight="14.6" x14ac:dyDescent="0.4"/>
  <cols>
    <col min="1" max="1" width="9.15234375" style="3147"/>
    <col min="2" max="2" width="14" style="3147" customWidth="1"/>
    <col min="3" max="3" width="12.3828125" style="3148" customWidth="1"/>
    <col min="4" max="4" width="9.53515625" style="3147" bestFit="1" customWidth="1"/>
    <col min="5" max="8" width="13.3046875" style="3147" customWidth="1"/>
    <col min="9" max="9" width="14.15234375" style="3147" customWidth="1"/>
    <col min="10" max="10" width="5.69140625" style="3256" customWidth="1"/>
    <col min="11" max="11" width="14.15234375" style="3256" customWidth="1"/>
    <col min="12" max="12" width="5.69140625" style="3256" customWidth="1"/>
    <col min="13" max="13" width="14.15234375" style="3256" customWidth="1"/>
    <col min="14" max="14" width="3.3046875" style="3149" customWidth="1"/>
    <col min="15" max="15" width="8.84375" style="3147" bestFit="1" customWidth="1"/>
    <col min="16" max="18" width="13" style="3147" customWidth="1"/>
    <col min="19" max="24" width="9.15234375" style="3147"/>
    <col min="25" max="25" width="19.15234375" style="3147" bestFit="1" customWidth="1"/>
    <col min="26" max="26" width="17.53515625" style="3147" bestFit="1" customWidth="1"/>
    <col min="27" max="27" width="14.3828125" style="3147" bestFit="1" customWidth="1"/>
    <col min="28" max="16384" width="9.15234375" style="3147"/>
  </cols>
  <sheetData>
    <row r="1" spans="2:18" ht="15" thickBot="1" x14ac:dyDescent="0.45"/>
    <row r="2" spans="2:18" ht="16.5" customHeight="1" thickBot="1" x14ac:dyDescent="0.5">
      <c r="E2" s="3896" t="s">
        <v>2533</v>
      </c>
      <c r="F2" s="3897"/>
      <c r="G2" s="3897"/>
      <c r="H2" s="3897"/>
      <c r="I2" s="3898"/>
      <c r="J2" s="3617"/>
      <c r="K2" s="3756" t="s">
        <v>2692</v>
      </c>
      <c r="L2" s="3617"/>
      <c r="M2" s="3756" t="s">
        <v>2700</v>
      </c>
      <c r="N2" s="3150"/>
      <c r="O2" s="3150"/>
      <c r="P2" s="3150"/>
      <c r="Q2" s="3150"/>
      <c r="R2" s="3150"/>
    </row>
    <row r="3" spans="2:18" x14ac:dyDescent="0.4">
      <c r="E3" s="3899" t="s">
        <v>722</v>
      </c>
      <c r="F3" s="3900"/>
      <c r="G3" s="3899" t="s">
        <v>719</v>
      </c>
      <c r="H3" s="3901"/>
      <c r="I3" s="3151" t="s">
        <v>11</v>
      </c>
      <c r="J3" s="3610"/>
      <c r="K3" s="3757"/>
      <c r="L3" s="3610"/>
      <c r="M3" s="3757"/>
      <c r="N3" s="3152"/>
      <c r="O3" s="3153"/>
      <c r="P3" s="3153"/>
      <c r="Q3" s="3153"/>
      <c r="R3" s="3153"/>
    </row>
    <row r="4" spans="2:18" ht="32.15" customHeight="1" thickBot="1" x14ac:dyDescent="0.45">
      <c r="E4" s="3154" t="s">
        <v>13</v>
      </c>
      <c r="F4" s="3155" t="s">
        <v>39</v>
      </c>
      <c r="G4" s="3154" t="s">
        <v>720</v>
      </c>
      <c r="H4" s="3155" t="s">
        <v>721</v>
      </c>
      <c r="I4" s="3155" t="s">
        <v>146</v>
      </c>
      <c r="J4" s="3330"/>
      <c r="K4" s="3332" t="str">
        <f>'Plant Availibility Calculator'!$P$23 &amp; " Ops"</f>
        <v>Lower Port Hot Cell Ops</v>
      </c>
      <c r="L4" s="3330"/>
      <c r="M4" s="3332" t="s">
        <v>2701</v>
      </c>
      <c r="N4" s="3156"/>
      <c r="O4" s="3149"/>
      <c r="P4" s="3149"/>
      <c r="Q4" s="3149"/>
      <c r="R4" s="3149"/>
    </row>
    <row r="5" spans="2:18" x14ac:dyDescent="0.4">
      <c r="B5" s="3902" t="s">
        <v>23</v>
      </c>
      <c r="C5" s="3905" t="s">
        <v>18</v>
      </c>
      <c r="D5" s="3157" t="s">
        <v>26</v>
      </c>
      <c r="E5" s="3158">
        <f>'Upper Cask Critical Path'!$E$132</f>
        <v>151.81902210302826</v>
      </c>
      <c r="F5" s="3159">
        <f>'Upper Cask Critical Path'!$F$262</f>
        <v>300.63199609270123</v>
      </c>
      <c r="G5" s="3158">
        <f>'Upper Cask Recovery Scenarios'!$D$11</f>
        <v>35.921416505791143</v>
      </c>
      <c r="H5" s="3160">
        <f>'Upper Cask Welding failures'!$E$23</f>
        <v>225.83328864887031</v>
      </c>
      <c r="I5" s="3161">
        <f>SUM(E5:H5)</f>
        <v>714.20572335039094</v>
      </c>
      <c r="J5" s="3611"/>
      <c r="K5" s="3265">
        <f>IF('Plant Availibility Calculator'!$P$23="Lower Port Cask System",'Lower Cask Summary'!$I5,IF('Plant Availibility Calculator'!$P$23="Lower Port Hot Cell",'Lower Hot Cell Summary'!$I5,"ERROR"))</f>
        <v>906.80948934387982</v>
      </c>
      <c r="L5" s="3611"/>
      <c r="M5" s="3265"/>
      <c r="N5" s="3162"/>
      <c r="O5" s="3149"/>
    </row>
    <row r="6" spans="2:18" x14ac:dyDescent="0.4">
      <c r="B6" s="3903"/>
      <c r="C6" s="3906"/>
      <c r="D6" s="3163" t="s">
        <v>27</v>
      </c>
      <c r="E6" s="3164">
        <f>E5/$E11</f>
        <v>0.71430640020488001</v>
      </c>
      <c r="F6" s="3165">
        <f>F5/$F11</f>
        <v>0.82758620504205238</v>
      </c>
      <c r="G6" s="3164">
        <f>G5/G11</f>
        <v>0.36061663637351071</v>
      </c>
      <c r="H6" s="3166">
        <f>H5/H11</f>
        <v>0.71607052198842502</v>
      </c>
      <c r="I6" s="3167">
        <f>I5/I11</f>
        <v>0.72084194767521836</v>
      </c>
      <c r="J6" s="3612"/>
      <c r="K6" s="3271">
        <f>IF('Plant Availibility Calculator'!$P$23="Lower Port Cask System",'Lower Cask Summary'!$I6,IF('Plant Availibility Calculator'!$P$23="Lower Port Hot Cell",'Lower Hot Cell Summary'!$I6,"ERROR"))</f>
        <v>0.77968074512209151</v>
      </c>
      <c r="L6" s="3612"/>
      <c r="M6" s="3271"/>
      <c r="N6" s="3168"/>
      <c r="O6" s="3169"/>
    </row>
    <row r="7" spans="2:18" x14ac:dyDescent="0.4">
      <c r="B7" s="3903"/>
      <c r="C7" s="3907" t="s">
        <v>3</v>
      </c>
      <c r="D7" s="3170" t="s">
        <v>26</v>
      </c>
      <c r="E7" s="3171">
        <f>'Upper Cask Critical Path'!$E$133+'Upper Cask Critical Path'!$E$134</f>
        <v>51.386666666666677</v>
      </c>
      <c r="F7" s="3172">
        <f>'Upper Cask Critical Path'!$F$263+'Upper Cask Critical Path'!$F$264</f>
        <v>52.121111111111134</v>
      </c>
      <c r="G7" s="3171">
        <f>'Upper Cask Recovery Scenarios'!$D$12</f>
        <v>63.689674283113376</v>
      </c>
      <c r="H7" s="3173">
        <f>'Upper Cask Welding failures'!$E$24</f>
        <v>42.681669379564823</v>
      </c>
      <c r="I7" s="3174">
        <f>SUM(E7:H7)</f>
        <v>209.879121440456</v>
      </c>
      <c r="J7" s="3611"/>
      <c r="K7" s="3276">
        <f>IF('Plant Availibility Calculator'!$P$23="Lower Port Cask System",'Lower Cask Summary'!$I7,IF('Plant Availibility Calculator'!$P$23="Lower Port Hot Cell",'Lower Hot Cell Summary'!$I7,"ERROR"))</f>
        <v>134.40959013674836</v>
      </c>
      <c r="L7" s="3611"/>
      <c r="M7" s="3276"/>
      <c r="N7" s="3162"/>
      <c r="O7" s="3169"/>
    </row>
    <row r="8" spans="2:18" x14ac:dyDescent="0.4">
      <c r="B8" s="3903"/>
      <c r="C8" s="3908"/>
      <c r="D8" s="3170" t="s">
        <v>27</v>
      </c>
      <c r="E8" s="3175">
        <f>E7/E$11</f>
        <v>0.24177355628259328</v>
      </c>
      <c r="F8" s="3176">
        <f>F7/F$11</f>
        <v>0.14348011225564569</v>
      </c>
      <c r="G8" s="3175">
        <f>G7/G11</f>
        <v>0.63938336362648929</v>
      </c>
      <c r="H8" s="3177">
        <f>H7/H11</f>
        <v>0.13533472170917371</v>
      </c>
      <c r="I8" s="3178">
        <f>I7/I11</f>
        <v>0.21182926673534783</v>
      </c>
      <c r="J8" s="3612"/>
      <c r="K8" s="3280">
        <f>IF('Plant Availibility Calculator'!$P$23="Lower Port Cask System",'Lower Cask Summary'!$I8,IF('Plant Availibility Calculator'!$P$23="Lower Port Hot Cell",'Lower Hot Cell Summary'!$I8,"ERROR"))</f>
        <v>0.11556624695800244</v>
      </c>
      <c r="L8" s="3612"/>
      <c r="M8" s="3280"/>
      <c r="N8" s="3168"/>
      <c r="O8" s="3169"/>
    </row>
    <row r="9" spans="2:18" x14ac:dyDescent="0.4">
      <c r="B9" s="3903"/>
      <c r="C9" s="3908"/>
      <c r="D9" s="3170" t="s">
        <v>2699</v>
      </c>
      <c r="E9" s="3179">
        <f>-SUMIF('Upper Cask Critical Path'!$S$7:$S$130, "&lt;0")</f>
        <v>9.3347869414046158</v>
      </c>
      <c r="F9" s="3180">
        <f>-SUMIF('Upper Cask Critical Path'!$S$135:$S$260, "&lt;0")</f>
        <v>10.510555555555566</v>
      </c>
      <c r="G9" s="3179">
        <f>'Upper Cask Recovery Scenarios'!$D$13</f>
        <v>0</v>
      </c>
      <c r="H9" s="3181">
        <f>'Upper Cask Welding failures'!$E$25</f>
        <v>46.863599968567286</v>
      </c>
      <c r="I9" s="3182">
        <f>SUM(E9:H9)</f>
        <v>66.708942465527471</v>
      </c>
      <c r="J9" s="3613"/>
      <c r="K9" s="3284">
        <f>IF('Plant Availibility Calculator'!$P$23="Lower Port Cask System",'Lower Cask Summary'!$I9,IF('Plant Availibility Calculator'!$P$23="Lower Port Hot Cell",'Lower Hot Cell Summary'!$I9,"ERROR"))</f>
        <v>121.83322752726237</v>
      </c>
      <c r="L9" s="3613"/>
      <c r="M9" s="3284"/>
      <c r="N9" s="3183"/>
      <c r="O9" s="3169"/>
    </row>
    <row r="10" spans="2:18" x14ac:dyDescent="0.4">
      <c r="B10" s="3903"/>
      <c r="C10" s="3908"/>
      <c r="D10" s="3184" t="s">
        <v>27</v>
      </c>
      <c r="E10" s="3185">
        <f>E9/E11</f>
        <v>4.3920043512526694E-2</v>
      </c>
      <c r="F10" s="3186">
        <f>F9/F11</f>
        <v>2.8933682702301931E-2</v>
      </c>
      <c r="G10" s="3185">
        <f>G9/G11</f>
        <v>0</v>
      </c>
      <c r="H10" s="3187">
        <f>H9/H11</f>
        <v>0.14859475630240124</v>
      </c>
      <c r="I10" s="3188">
        <f>I9/I11</f>
        <v>6.7328785589433754E-2</v>
      </c>
      <c r="J10" s="3614"/>
      <c r="K10" s="3289">
        <f>IF('Plant Availibility Calculator'!$P$23="Lower Port Cask System",'Lower Cask Summary'!$I10,IF('Plant Availibility Calculator'!$P$23="Lower Port Hot Cell",'Lower Hot Cell Summary'!$I10,"ERROR"))</f>
        <v>0.10475300791990587</v>
      </c>
      <c r="L10" s="3614"/>
      <c r="M10" s="3289"/>
      <c r="N10" s="3189"/>
      <c r="O10" s="3169"/>
    </row>
    <row r="11" spans="2:18" s="3197" customFormat="1" x14ac:dyDescent="0.4">
      <c r="B11" s="3903"/>
      <c r="C11" s="3909" t="s">
        <v>25</v>
      </c>
      <c r="D11" s="3190" t="s">
        <v>26</v>
      </c>
      <c r="E11" s="3191">
        <f>E5+E7+E9</f>
        <v>212.54047571109956</v>
      </c>
      <c r="F11" s="3192">
        <f>F5+F7+F9</f>
        <v>363.26366275936795</v>
      </c>
      <c r="G11" s="3191">
        <f>G5+G7+G9</f>
        <v>99.611090788904519</v>
      </c>
      <c r="H11" s="3193">
        <f>H5+H7+H9</f>
        <v>315.37855799700242</v>
      </c>
      <c r="I11" s="3194">
        <f>SUM(E11:H11)</f>
        <v>990.79378725637446</v>
      </c>
      <c r="J11" s="3615"/>
      <c r="K11" s="3294">
        <f>IF('Plant Availibility Calculator'!$P$23="Lower Port Cask System",'Lower Cask Summary'!$I11,IF('Plant Availibility Calculator'!$P$23="Lower Port Hot Cell",'Lower Hot Cell Summary'!$I11,"ERROR"))</f>
        <v>1163.0523070078907</v>
      </c>
      <c r="L11" s="3615"/>
      <c r="M11" s="3294">
        <f t="shared" ref="M11:M64" si="0">MAX(K11,I11)</f>
        <v>1163.0523070078907</v>
      </c>
      <c r="N11" s="3195"/>
      <c r="O11" s="3196"/>
    </row>
    <row r="12" spans="2:18" ht="15" customHeight="1" thickBot="1" x14ac:dyDescent="0.45">
      <c r="B12" s="3903"/>
      <c r="C12" s="3910"/>
      <c r="D12" s="3198" t="s">
        <v>28</v>
      </c>
      <c r="E12" s="3199">
        <f>E11/24</f>
        <v>8.8558531546291483</v>
      </c>
      <c r="F12" s="3200">
        <f>F11/24</f>
        <v>15.135985948306997</v>
      </c>
      <c r="G12" s="3201">
        <f>G11/24</f>
        <v>4.1504621162043547</v>
      </c>
      <c r="H12" s="3202">
        <f>H11/24</f>
        <v>13.140773249875101</v>
      </c>
      <c r="I12" s="3200">
        <f>I11/24</f>
        <v>41.283074469015602</v>
      </c>
      <c r="J12" s="3616"/>
      <c r="K12" s="3626">
        <f>IF('Plant Availibility Calculator'!$P$23="Lower Port Cask System",'Lower Cask Summary'!$I12,IF('Plant Availibility Calculator'!$P$23="Lower Port Hot Cell",'Lower Hot Cell Summary'!$I12,"ERROR"))</f>
        <v>48.460512791995448</v>
      </c>
      <c r="L12" s="3616"/>
      <c r="M12" s="3626">
        <f t="shared" si="0"/>
        <v>48.460512791995448</v>
      </c>
      <c r="N12" s="3203"/>
      <c r="O12" s="3204"/>
    </row>
    <row r="13" spans="2:18" ht="15" customHeight="1" x14ac:dyDescent="0.4">
      <c r="B13" s="3903"/>
      <c r="C13" s="3911" t="s">
        <v>111</v>
      </c>
      <c r="D13" s="3205" t="s">
        <v>26</v>
      </c>
      <c r="E13" s="3206">
        <f>((E5+E7+E9)/two_shift_productivity_ratio)*1.1</f>
        <v>350.69178492331434</v>
      </c>
      <c r="F13" s="3207">
        <f>((F5+F7+F9)/two_shift_productivity_ratio)*1.1</f>
        <v>599.3850435529572</v>
      </c>
      <c r="G13" s="3206">
        <f>((G5+G7+G9)/two_shift_productivity_ratio)*1.1</f>
        <v>164.35829980169248</v>
      </c>
      <c r="H13" s="3207">
        <f>((H5+H7+H9)/two_shift_productivity_ratio)*1.1</f>
        <v>520.37462069505398</v>
      </c>
      <c r="I13" s="3208">
        <f>SUM(E13:H13)</f>
        <v>1634.809748973018</v>
      </c>
      <c r="J13" s="3611"/>
      <c r="K13" s="3304">
        <f>IF('Plant Availibility Calculator'!$P$23="Lower Port Cask System",'Lower Cask Summary'!$I13,IF('Plant Availibility Calculator'!$P$23="Lower Port Hot Cell",'Lower Hot Cell Summary'!$I13,"ERROR"))</f>
        <v>1919.0363065630199</v>
      </c>
      <c r="L13" s="3611"/>
      <c r="M13" s="3304">
        <f t="shared" si="0"/>
        <v>1919.0363065630199</v>
      </c>
      <c r="N13" s="3162"/>
      <c r="O13" s="3209"/>
    </row>
    <row r="14" spans="2:18" x14ac:dyDescent="0.4">
      <c r="B14" s="3903"/>
      <c r="C14" s="3912"/>
      <c r="D14" s="3210" t="s">
        <v>112</v>
      </c>
      <c r="E14" s="3211">
        <f>E13/24</f>
        <v>14.612157705138097</v>
      </c>
      <c r="F14" s="3212">
        <f>F13/24</f>
        <v>24.974376814706549</v>
      </c>
      <c r="G14" s="3211">
        <f>G13/24</f>
        <v>6.848262491737187</v>
      </c>
      <c r="H14" s="3213">
        <f>H13/24</f>
        <v>21.682275862293917</v>
      </c>
      <c r="I14" s="3214">
        <f>I13/24</f>
        <v>68.117072873875756</v>
      </c>
      <c r="J14" s="3611"/>
      <c r="K14" s="3309">
        <f>IF('Plant Availibility Calculator'!$P$23="Lower Port Cask System",'Lower Cask Summary'!$I14,IF('Plant Availibility Calculator'!$P$23="Lower Port Hot Cell",'Lower Hot Cell Summary'!$I14,"ERROR"))</f>
        <v>79.959846106792511</v>
      </c>
      <c r="L14" s="3611"/>
      <c r="M14" s="3309">
        <f t="shared" si="0"/>
        <v>79.959846106792511</v>
      </c>
      <c r="N14" s="3162"/>
      <c r="O14" s="3169"/>
    </row>
    <row r="15" spans="2:18" x14ac:dyDescent="0.4">
      <c r="B15" s="3903"/>
      <c r="C15" s="3912"/>
      <c r="D15" s="3210" t="s">
        <v>113</v>
      </c>
      <c r="E15" s="3211">
        <f>E14/30</f>
        <v>0.48707192350460321</v>
      </c>
      <c r="F15" s="3212">
        <f>F14/30</f>
        <v>0.83247922715688494</v>
      </c>
      <c r="G15" s="3211">
        <f>G14/30</f>
        <v>0.22827541639123958</v>
      </c>
      <c r="H15" s="3213">
        <f>H14/30</f>
        <v>0.72274252874313061</v>
      </c>
      <c r="I15" s="3214">
        <f>I14/30</f>
        <v>2.2705690957958584</v>
      </c>
      <c r="J15" s="3611"/>
      <c r="K15" s="3309">
        <f>IF('Plant Availibility Calculator'!$P$23="Lower Port Cask System",'Lower Cask Summary'!$I15,IF('Plant Availibility Calculator'!$P$23="Lower Port Hot Cell",'Lower Hot Cell Summary'!$I15,"ERROR"))</f>
        <v>2.6653282035597501</v>
      </c>
      <c r="L15" s="3611"/>
      <c r="M15" s="3309">
        <f t="shared" si="0"/>
        <v>2.6653282035597501</v>
      </c>
      <c r="N15" s="3162"/>
      <c r="O15" s="3169"/>
    </row>
    <row r="16" spans="2:18" s="3220" customFormat="1" ht="15" thickBot="1" x14ac:dyDescent="0.45">
      <c r="B16" s="3904"/>
      <c r="C16" s="3913"/>
      <c r="D16" s="3215" t="s">
        <v>513</v>
      </c>
      <c r="E16" s="3216">
        <f>E13/$I$13</f>
        <v>0.21451534965681343</v>
      </c>
      <c r="F16" s="3217">
        <f>F13/$I$13</f>
        <v>0.3666390195736775</v>
      </c>
      <c r="G16" s="3216">
        <f>G13/$I$13</f>
        <v>0.10053665260128392</v>
      </c>
      <c r="H16" s="3218">
        <f>H13/$I$13</f>
        <v>0.31830897816822512</v>
      </c>
      <c r="I16" s="3219">
        <f>SUM(E16:H16)</f>
        <v>1</v>
      </c>
      <c r="J16" s="3612"/>
      <c r="K16" s="3314">
        <f>IF('Plant Availibility Calculator'!$P$23="Lower Port Cask System",'Lower Cask Summary'!$I16,IF('Plant Availibility Calculator'!$P$23="Lower Port Hot Cell",'Lower Hot Cell Summary'!$I16,"ERROR"))</f>
        <v>1</v>
      </c>
      <c r="L16" s="3612"/>
      <c r="M16" s="3314">
        <f t="shared" si="0"/>
        <v>1</v>
      </c>
      <c r="N16" s="3168"/>
      <c r="O16" s="3149"/>
    </row>
    <row r="17" spans="2:35" s="3220" customFormat="1" ht="15" thickBot="1" x14ac:dyDescent="0.45">
      <c r="C17" s="3221"/>
      <c r="D17" s="3222"/>
      <c r="E17" s="3223"/>
      <c r="F17" s="3223"/>
      <c r="G17" s="3223"/>
      <c r="H17" s="3223"/>
      <c r="I17" s="3223"/>
      <c r="J17" s="3266"/>
      <c r="K17" s="3266"/>
      <c r="L17" s="3266"/>
      <c r="M17" s="3266"/>
      <c r="N17" s="3223"/>
      <c r="O17" s="3224"/>
    </row>
    <row r="18" spans="2:35" x14ac:dyDescent="0.4">
      <c r="B18" s="3902" t="str">
        <f>"All "&amp;Tokamak_Segmts&amp;" Ports in series"</f>
        <v>All 16 Ports in series</v>
      </c>
      <c r="C18" s="3905" t="s">
        <v>18</v>
      </c>
      <c r="D18" s="3157" t="s">
        <v>26</v>
      </c>
      <c r="E18" s="3158">
        <f>E5*Tokamak_Segmts</f>
        <v>2429.1043536484522</v>
      </c>
      <c r="F18" s="3159">
        <f>F5*Tokamak_Segmts</f>
        <v>4810.1119374832197</v>
      </c>
      <c r="G18" s="3158">
        <f>'Upper Cask Recovery Scenarios'!$E$11</f>
        <v>574.74266409265829</v>
      </c>
      <c r="H18" s="3160">
        <f>'Upper Cask Welding failures'!$F$23</f>
        <v>2937.9569693235562</v>
      </c>
      <c r="I18" s="3161">
        <f>SUM(E18:H18)</f>
        <v>10751.915924547888</v>
      </c>
      <c r="J18" s="3611"/>
      <c r="K18" s="3265">
        <f>IF('Plant Availibility Calculator'!$P$23="Lower Port Cask System",'Lower Cask Summary'!$I18,IF('Plant Availibility Calculator'!$P$23="Lower Port Hot Cell",'Lower Hot Cell Summary'!$I18,"ERROR"))</f>
        <v>10265.261525099373</v>
      </c>
      <c r="L18" s="3611"/>
      <c r="M18" s="3265"/>
      <c r="N18" s="3162"/>
      <c r="O18" s="3204"/>
    </row>
    <row r="19" spans="2:35" s="3223" customFormat="1" x14ac:dyDescent="0.4">
      <c r="B19" s="3903"/>
      <c r="C19" s="3906"/>
      <c r="D19" s="3225" t="s">
        <v>28</v>
      </c>
      <c r="E19" s="3226">
        <f>E18/24</f>
        <v>101.21268140201884</v>
      </c>
      <c r="F19" s="3227">
        <f>F18/24</f>
        <v>200.4213307284675</v>
      </c>
      <c r="G19" s="3226">
        <f>G18/24</f>
        <v>23.947611003860761</v>
      </c>
      <c r="H19" s="3228">
        <f>H18/24</f>
        <v>122.41487372181484</v>
      </c>
      <c r="I19" s="3229">
        <f>I18/24</f>
        <v>447.99649685616197</v>
      </c>
      <c r="J19" s="3611"/>
      <c r="K19" s="3321">
        <f>IF('Plant Availibility Calculator'!$P$23="Lower Port Cask System",'Lower Cask Summary'!$I19,IF('Plant Availibility Calculator'!$P$23="Lower Port Hot Cell",'Lower Hot Cell Summary'!$I19,"ERROR"))</f>
        <v>427.71923021247392</v>
      </c>
      <c r="L19" s="3611"/>
      <c r="M19" s="3321"/>
      <c r="N19" s="3162"/>
      <c r="O19" s="3230"/>
      <c r="AF19" s="3147"/>
    </row>
    <row r="20" spans="2:35" x14ac:dyDescent="0.4">
      <c r="B20" s="3903"/>
      <c r="C20" s="3907" t="s">
        <v>3</v>
      </c>
      <c r="D20" s="3170" t="s">
        <v>26</v>
      </c>
      <c r="E20" s="3171">
        <f>E7*Tokamak_Segmts</f>
        <v>822.18666666666684</v>
      </c>
      <c r="F20" s="3172">
        <f>F7*Tokamak_Segmts</f>
        <v>833.93777777777814</v>
      </c>
      <c r="G20" s="3171">
        <f>'Upper Cask Recovery Scenarios'!$E$12</f>
        <v>1019.034788529814</v>
      </c>
      <c r="H20" s="3173">
        <f>'Upper Cask Welding failures'!$F$24</f>
        <v>530.1748653354399</v>
      </c>
      <c r="I20" s="3174">
        <f>SUM(E20:H20)</f>
        <v>3205.3340983096987</v>
      </c>
      <c r="J20" s="3611"/>
      <c r="K20" s="3276">
        <f>IF('Plant Availibility Calculator'!$P$23="Lower Port Cask System",'Lower Cask Summary'!$I20,IF('Plant Availibility Calculator'!$P$23="Lower Port Hot Cell",'Lower Hot Cell Summary'!$I20,"ERROR"))</f>
        <v>1630.4721914929717</v>
      </c>
      <c r="L20" s="3611"/>
      <c r="M20" s="3276"/>
      <c r="N20" s="3162"/>
      <c r="AG20" s="3223"/>
      <c r="AI20" s="3223"/>
    </row>
    <row r="21" spans="2:35" s="3223" customFormat="1" x14ac:dyDescent="0.4">
      <c r="B21" s="3903"/>
      <c r="C21" s="3908"/>
      <c r="D21" s="3231" t="s">
        <v>28</v>
      </c>
      <c r="E21" s="3171">
        <f>E20/24</f>
        <v>34.257777777777783</v>
      </c>
      <c r="F21" s="3172">
        <f>F20/24</f>
        <v>34.747407407407422</v>
      </c>
      <c r="G21" s="3171">
        <f>G20/24</f>
        <v>42.459782855408918</v>
      </c>
      <c r="H21" s="3173">
        <f>H20/24</f>
        <v>22.090619388976663</v>
      </c>
      <c r="I21" s="3174">
        <f>I20/24</f>
        <v>133.55558742957078</v>
      </c>
      <c r="J21" s="3611"/>
      <c r="K21" s="3276">
        <f>IF('Plant Availibility Calculator'!$P$23="Lower Port Cask System",'Lower Cask Summary'!$I21,IF('Plant Availibility Calculator'!$P$23="Lower Port Hot Cell",'Lower Hot Cell Summary'!$I21,"ERROR"))</f>
        <v>67.936341312207148</v>
      </c>
      <c r="L21" s="3611"/>
      <c r="M21" s="3276"/>
      <c r="N21" s="3162"/>
      <c r="AD21" s="3147"/>
      <c r="AE21" s="3224"/>
      <c r="AF21" s="3149"/>
      <c r="AG21" s="3224"/>
    </row>
    <row r="22" spans="2:35" x14ac:dyDescent="0.4">
      <c r="B22" s="3903"/>
      <c r="C22" s="3908"/>
      <c r="D22" s="3184" t="s">
        <v>2699</v>
      </c>
      <c r="E22" s="3232">
        <f>E9*Tokamak_Segmts</f>
        <v>149.35659106247385</v>
      </c>
      <c r="F22" s="3233">
        <f>F9*Tokamak_Segmts</f>
        <v>168.16888888888906</v>
      </c>
      <c r="G22" s="3232">
        <f>'Upper Cask Recovery Scenarios'!$E$13</f>
        <v>0</v>
      </c>
      <c r="H22" s="3234">
        <f>'Upper Cask Welding failures'!$F$25</f>
        <v>484.7052347452551</v>
      </c>
      <c r="I22" s="3235">
        <f>SUM(E22:H22)</f>
        <v>802.23071469661795</v>
      </c>
      <c r="J22" s="3613"/>
      <c r="K22" s="3325">
        <f>IF('Plant Availibility Calculator'!$P$23="Lower Port Cask System",'Lower Cask Summary'!$I22,IF('Plant Availibility Calculator'!$P$23="Lower Port Hot Cell",'Lower Hot Cell Summary'!$I22,"ERROR"))</f>
        <v>191.66430738119624</v>
      </c>
      <c r="L22" s="3613"/>
      <c r="M22" s="3325"/>
      <c r="N22" s="3162"/>
      <c r="AD22" s="3236"/>
      <c r="AE22" s="3149"/>
      <c r="AF22" s="3149"/>
      <c r="AG22" s="3224"/>
      <c r="AI22" s="3223"/>
    </row>
    <row r="23" spans="2:35" ht="15" customHeight="1" x14ac:dyDescent="0.4">
      <c r="B23" s="3903"/>
      <c r="C23" s="3909" t="s">
        <v>25</v>
      </c>
      <c r="D23" s="3190" t="s">
        <v>26</v>
      </c>
      <c r="E23" s="3191">
        <f>E20+E18+E22</f>
        <v>3400.647611377593</v>
      </c>
      <c r="F23" s="3192">
        <f>F20+F18+F22</f>
        <v>5812.2186041498871</v>
      </c>
      <c r="G23" s="3191">
        <f>G20+G18+G22</f>
        <v>1593.7774526224723</v>
      </c>
      <c r="H23" s="3193">
        <f>H20+H18+H22</f>
        <v>3952.837069404251</v>
      </c>
      <c r="I23" s="3194">
        <f>SUM(E23:H23)</f>
        <v>14759.480737554204</v>
      </c>
      <c r="J23" s="3615"/>
      <c r="K23" s="3294">
        <f>IF('Plant Availibility Calculator'!$P$23="Lower Port Cask System",'Lower Cask Summary'!$I23,IF('Plant Availibility Calculator'!$P$23="Lower Port Hot Cell",'Lower Hot Cell Summary'!$I23,"ERROR"))</f>
        <v>12087.398023973545</v>
      </c>
      <c r="L23" s="3615"/>
      <c r="M23" s="3294">
        <f t="shared" si="0"/>
        <v>14759.480737554204</v>
      </c>
      <c r="N23" s="3162"/>
      <c r="O23" s="3204"/>
      <c r="AE23" s="3149"/>
      <c r="AF23" s="3149"/>
      <c r="AG23" s="3149"/>
      <c r="AH23" s="3223"/>
    </row>
    <row r="24" spans="2:35" ht="15" customHeight="1" thickBot="1" x14ac:dyDescent="0.45">
      <c r="B24" s="3903"/>
      <c r="C24" s="3910"/>
      <c r="D24" s="3198" t="s">
        <v>28</v>
      </c>
      <c r="E24" s="3199">
        <f>E23/24</f>
        <v>141.69365047406637</v>
      </c>
      <c r="F24" s="3200">
        <f>F23/24</f>
        <v>242.17577517291195</v>
      </c>
      <c r="G24" s="3201">
        <f>G23/24</f>
        <v>66.407393859269675</v>
      </c>
      <c r="H24" s="3202">
        <f>H23/24</f>
        <v>164.70154455851045</v>
      </c>
      <c r="I24" s="3200">
        <f>I23/24</f>
        <v>614.97836406475847</v>
      </c>
      <c r="J24" s="3616"/>
      <c r="K24" s="3626">
        <f>IF('Plant Availibility Calculator'!$P$23="Lower Port Cask System",'Lower Cask Summary'!$I24,IF('Plant Availibility Calculator'!$P$23="Lower Port Hot Cell",'Lower Hot Cell Summary'!$I24,"ERROR"))</f>
        <v>503.64158433223088</v>
      </c>
      <c r="L24" s="3616"/>
      <c r="M24" s="3626">
        <f t="shared" si="0"/>
        <v>614.97836406475847</v>
      </c>
      <c r="N24" s="3162"/>
      <c r="O24" s="3204"/>
      <c r="AE24" s="3149"/>
      <c r="AF24" s="3149"/>
      <c r="AG24" s="3224"/>
      <c r="AI24" s="3223"/>
    </row>
    <row r="25" spans="2:35" s="3223" customFormat="1" ht="15" customHeight="1" x14ac:dyDescent="0.4">
      <c r="B25" s="3903"/>
      <c r="C25" s="3911" t="s">
        <v>111</v>
      </c>
      <c r="D25" s="3205" t="s">
        <v>26</v>
      </c>
      <c r="E25" s="3206">
        <f>((E18+E20+E22)/two_shift_productivity_ratio)*1.1</f>
        <v>5611.0685587730295</v>
      </c>
      <c r="F25" s="3207">
        <f>((F18+F20+F22)/two_shift_productivity_ratio)*1.1</f>
        <v>9590.1606968473152</v>
      </c>
      <c r="G25" s="3206">
        <f>((G18+G20+G22)/two_shift_productivity_ratio)*1.1</f>
        <v>2629.7327968270797</v>
      </c>
      <c r="H25" s="3207">
        <f>((H18+H20+H22)/two_shift_productivity_ratio)*1.1</f>
        <v>6522.1811645170155</v>
      </c>
      <c r="I25" s="3208">
        <f>SUM(E25:H25)</f>
        <v>24353.143216964439</v>
      </c>
      <c r="J25" s="3611"/>
      <c r="K25" s="3304">
        <f>IF('Plant Availibility Calculator'!$P$23="Lower Port Cask System",'Lower Cask Summary'!$I25,IF('Plant Availibility Calculator'!$P$23="Lower Port Hot Cell",'Lower Hot Cell Summary'!$I25,"ERROR"))</f>
        <v>19944.20673955635</v>
      </c>
      <c r="L25" s="3611"/>
      <c r="M25" s="3304">
        <f t="shared" si="0"/>
        <v>24353.143216964439</v>
      </c>
      <c r="N25" s="3162"/>
      <c r="AE25" s="3224"/>
      <c r="AF25" s="3149"/>
      <c r="AG25" s="3224"/>
    </row>
    <row r="26" spans="2:35" ht="15" customHeight="1" x14ac:dyDescent="0.4">
      <c r="B26" s="3903"/>
      <c r="C26" s="3912"/>
      <c r="D26" s="3210" t="s">
        <v>112</v>
      </c>
      <c r="E26" s="3211">
        <f>E25/24</f>
        <v>233.79452328220955</v>
      </c>
      <c r="F26" s="3212">
        <f>F25/24</f>
        <v>399.59002903530478</v>
      </c>
      <c r="G26" s="3211">
        <f>G25/24</f>
        <v>109.57219986779499</v>
      </c>
      <c r="H26" s="3212">
        <f>H25/24</f>
        <v>271.75754852154233</v>
      </c>
      <c r="I26" s="3214">
        <f>I25/24</f>
        <v>1014.7143007068516</v>
      </c>
      <c r="J26" s="3611"/>
      <c r="K26" s="3309">
        <f>IF('Plant Availibility Calculator'!$P$23="Lower Port Cask System",'Lower Cask Summary'!$I26,IF('Plant Availibility Calculator'!$P$23="Lower Port Hot Cell",'Lower Hot Cell Summary'!$I26,"ERROR"))</f>
        <v>831.00861414818132</v>
      </c>
      <c r="L26" s="3611"/>
      <c r="M26" s="3309">
        <f t="shared" si="0"/>
        <v>1014.7143007068516</v>
      </c>
      <c r="N26" s="3162"/>
      <c r="AE26" s="3149"/>
      <c r="AF26" s="3149"/>
      <c r="AG26" s="3224"/>
      <c r="AI26" s="3223"/>
    </row>
    <row r="27" spans="2:35" x14ac:dyDescent="0.4">
      <c r="B27" s="3903"/>
      <c r="C27" s="3912"/>
      <c r="D27" s="3210" t="s">
        <v>113</v>
      </c>
      <c r="E27" s="3211">
        <f>E26/30</f>
        <v>7.7931507760736514</v>
      </c>
      <c r="F27" s="3212">
        <f>F26/30</f>
        <v>13.319667634510159</v>
      </c>
      <c r="G27" s="3211">
        <f>G26/30</f>
        <v>3.6524066622598332</v>
      </c>
      <c r="H27" s="3212">
        <f>H26/30</f>
        <v>9.0585849507180782</v>
      </c>
      <c r="I27" s="3214">
        <f>I26/30</f>
        <v>33.82381002356172</v>
      </c>
      <c r="J27" s="3611"/>
      <c r="K27" s="3309">
        <f>IF('Plant Availibility Calculator'!$P$23="Lower Port Cask System",'Lower Cask Summary'!$I27,IF('Plant Availibility Calculator'!$P$23="Lower Port Hot Cell",'Lower Hot Cell Summary'!$I27,"ERROR"))</f>
        <v>27.700287138272706</v>
      </c>
      <c r="L27" s="3611"/>
      <c r="M27" s="3309">
        <f t="shared" si="0"/>
        <v>33.82381002356172</v>
      </c>
      <c r="N27" s="3162"/>
      <c r="AD27" s="3223"/>
      <c r="AE27" s="3224"/>
      <c r="AF27" s="3224"/>
      <c r="AG27" s="3224"/>
      <c r="AI27" s="3223"/>
    </row>
    <row r="28" spans="2:35" s="3236" customFormat="1" ht="15" thickBot="1" x14ac:dyDescent="0.45">
      <c r="B28" s="3904"/>
      <c r="C28" s="3913"/>
      <c r="D28" s="3237" t="s">
        <v>513</v>
      </c>
      <c r="E28" s="3216">
        <f>E25/$I$25</f>
        <v>0.23040428534351778</v>
      </c>
      <c r="F28" s="3217">
        <f>F25/$I$25</f>
        <v>0.39379560212854964</v>
      </c>
      <c r="G28" s="3216">
        <f>G25/$I$25</f>
        <v>0.10798330110403176</v>
      </c>
      <c r="H28" s="3217">
        <f>H25/$I$25</f>
        <v>0.26781681142390085</v>
      </c>
      <c r="I28" s="3219">
        <f>I25/$I$25</f>
        <v>1</v>
      </c>
      <c r="J28" s="3612"/>
      <c r="K28" s="3314">
        <f>IF('Plant Availibility Calculator'!$P$23="Lower Port Cask System",'Lower Cask Summary'!$I28,IF('Plant Availibility Calculator'!$P$23="Lower Port Hot Cell",'Lower Hot Cell Summary'!$I28,"ERROR"))</f>
        <v>1</v>
      </c>
      <c r="L28" s="3612"/>
      <c r="M28" s="3314">
        <f t="shared" si="0"/>
        <v>1</v>
      </c>
      <c r="N28" s="3162"/>
      <c r="O28" s="3238"/>
      <c r="AD28" s="3147"/>
      <c r="AE28" s="3149"/>
      <c r="AF28" s="3162"/>
      <c r="AG28" s="3149"/>
      <c r="AH28" s="3147"/>
      <c r="AI28" s="3147"/>
    </row>
    <row r="29" spans="2:35" s="3220" customFormat="1" ht="15" thickBot="1" x14ac:dyDescent="0.45">
      <c r="C29" s="3221"/>
      <c r="D29" s="3222"/>
      <c r="E29" s="3223">
        <f>E30-E18</f>
        <v>-1214.5521768242261</v>
      </c>
      <c r="F29" s="3223">
        <f>F30-F18</f>
        <v>-2405.0559687416098</v>
      </c>
      <c r="G29" s="3223"/>
      <c r="H29" s="3223"/>
      <c r="I29" s="3223"/>
      <c r="J29" s="3266"/>
      <c r="K29" s="3266"/>
      <c r="L29" s="3266"/>
      <c r="M29" s="3266"/>
      <c r="N29" s="3223"/>
      <c r="O29" s="3149"/>
      <c r="AD29" s="3147"/>
      <c r="AE29" s="3149"/>
      <c r="AF29" s="3224"/>
      <c r="AG29" s="3149"/>
      <c r="AH29" s="3147"/>
      <c r="AI29" s="3147"/>
    </row>
    <row r="30" spans="2:35" x14ac:dyDescent="0.4">
      <c r="B30" s="3902" t="str">
        <f>"All "&amp;Tokamak_Segmts&amp;" Ports with 2 Systems"</f>
        <v>All 16 Ports with 2 Systems</v>
      </c>
      <c r="C30" s="3905" t="s">
        <v>18</v>
      </c>
      <c r="D30" s="3157" t="s">
        <v>26</v>
      </c>
      <c r="E30" s="3158">
        <f>E5*(ROUNDUP((Tokamak_Segmts/2),0))</f>
        <v>1214.5521768242261</v>
      </c>
      <c r="F30" s="3159">
        <f>F5*(ROUNDUP((Tokamak_Segmts/2),0))</f>
        <v>2405.0559687416098</v>
      </c>
      <c r="G30" s="3158">
        <f>'Upper Cask Recovery Scenarios'!$F$11</f>
        <v>287.37133204632914</v>
      </c>
      <c r="H30" s="3160">
        <f>'Upper Cask Welding failures'!$G$23</f>
        <v>1468.9784846617781</v>
      </c>
      <c r="I30" s="3161">
        <f>SUM(E30:H30)</f>
        <v>5375.9579622739438</v>
      </c>
      <c r="J30" s="3611"/>
      <c r="K30" s="3265">
        <f>IF('Plant Availibility Calculator'!$P$23="Lower Port Cask System",'Lower Cask Summary'!$I30,IF('Plant Availibility Calculator'!$P$23="Lower Port Hot Cell",'Lower Hot Cell Summary'!$I30,"ERROR"))</f>
        <v>7254.4759147510385</v>
      </c>
      <c r="L30" s="3611"/>
      <c r="M30" s="3265"/>
      <c r="N30" s="3162"/>
      <c r="AD30" s="3236"/>
      <c r="AE30" s="3238"/>
      <c r="AF30" s="3162"/>
      <c r="AG30" s="3149"/>
      <c r="AH30" s="3236"/>
    </row>
    <row r="31" spans="2:35" s="3223" customFormat="1" x14ac:dyDescent="0.4">
      <c r="B31" s="3903"/>
      <c r="C31" s="3906"/>
      <c r="D31" s="3225" t="s">
        <v>28</v>
      </c>
      <c r="E31" s="3226">
        <f>E30/24</f>
        <v>50.606340701009422</v>
      </c>
      <c r="F31" s="3227">
        <f>F30/24</f>
        <v>100.21066536423375</v>
      </c>
      <c r="G31" s="3226">
        <f>G30/24</f>
        <v>11.97380550193038</v>
      </c>
      <c r="H31" s="3228">
        <f>H30/24</f>
        <v>61.207436860907421</v>
      </c>
      <c r="I31" s="3229">
        <f>I30/24</f>
        <v>223.99824842808098</v>
      </c>
      <c r="J31" s="3611"/>
      <c r="K31" s="3321">
        <f>IF('Plant Availibility Calculator'!$P$23="Lower Port Cask System",'Lower Cask Summary'!$I31,IF('Plant Availibility Calculator'!$P$23="Lower Port Hot Cell",'Lower Hot Cell Summary'!$I31,"ERROR"))</f>
        <v>302.26982978129331</v>
      </c>
      <c r="L31" s="3611"/>
      <c r="M31" s="3321"/>
      <c r="N31" s="3162"/>
      <c r="AD31" s="3147"/>
      <c r="AE31" s="3149"/>
      <c r="AF31" s="3224"/>
      <c r="AG31" s="3149"/>
      <c r="AH31" s="3147"/>
      <c r="AI31" s="3220"/>
    </row>
    <row r="32" spans="2:35" s="3223" customFormat="1" x14ac:dyDescent="0.4">
      <c r="B32" s="3903"/>
      <c r="C32" s="3907" t="s">
        <v>3</v>
      </c>
      <c r="D32" s="3170" t="s">
        <v>26</v>
      </c>
      <c r="E32" s="3171">
        <f>E7*(ROUNDUP((Tokamak_Segmts/2),0))</f>
        <v>411.09333333333342</v>
      </c>
      <c r="F32" s="3172">
        <f>F7*(ROUNDUP((Tokamak_Segmts/2),0))</f>
        <v>416.96888888888907</v>
      </c>
      <c r="G32" s="3171">
        <f>'Upper Cask Recovery Scenarios'!$F$12</f>
        <v>509.51739426490701</v>
      </c>
      <c r="H32" s="3173">
        <f>'Upper Cask Welding failures'!$G$24</f>
        <v>265.08743266771995</v>
      </c>
      <c r="I32" s="3174">
        <f>SUM(E32:H32)</f>
        <v>1602.6670491548493</v>
      </c>
      <c r="J32" s="3611"/>
      <c r="K32" s="3276">
        <f>IF('Plant Availibility Calculator'!$P$23="Lower Port Cask System",'Lower Cask Summary'!$I32,IF('Plant Availibility Calculator'!$P$23="Lower Port Hot Cell",'Lower Hot Cell Summary'!$I32,"ERROR"))</f>
        <v>1075.2767210939869</v>
      </c>
      <c r="L32" s="3611"/>
      <c r="M32" s="3276"/>
      <c r="N32" s="3162"/>
      <c r="AD32" s="3147"/>
      <c r="AE32" s="3149"/>
      <c r="AF32" s="3149"/>
      <c r="AG32" s="3149"/>
      <c r="AH32" s="3147"/>
      <c r="AI32" s="3147"/>
    </row>
    <row r="33" spans="2:41" s="3223" customFormat="1" x14ac:dyDescent="0.4">
      <c r="B33" s="3903"/>
      <c r="C33" s="3908"/>
      <c r="D33" s="3231" t="s">
        <v>28</v>
      </c>
      <c r="E33" s="3171">
        <f>E32/24</f>
        <v>17.128888888888891</v>
      </c>
      <c r="F33" s="3172">
        <f>F32/24</f>
        <v>17.373703703703711</v>
      </c>
      <c r="G33" s="3171">
        <f>G32/24</f>
        <v>21.229891427704459</v>
      </c>
      <c r="H33" s="3173">
        <f>H32/24</f>
        <v>11.045309694488331</v>
      </c>
      <c r="I33" s="3174">
        <f>SUM(E33:H33)</f>
        <v>66.777793714785389</v>
      </c>
      <c r="J33" s="3611"/>
      <c r="K33" s="3276">
        <f>IF('Plant Availibility Calculator'!$P$23="Lower Port Cask System",'Lower Cask Summary'!$I33,IF('Plant Availibility Calculator'!$P$23="Lower Port Hot Cell",'Lower Hot Cell Summary'!$I33,"ERROR"))</f>
        <v>44.803196712249452</v>
      </c>
      <c r="L33" s="3611"/>
      <c r="M33" s="3276"/>
      <c r="N33" s="3162"/>
      <c r="AE33" s="3224"/>
      <c r="AF33" s="3224"/>
      <c r="AG33" s="3224"/>
      <c r="AH33" s="3147"/>
    </row>
    <row r="34" spans="2:41" x14ac:dyDescent="0.4">
      <c r="B34" s="3903"/>
      <c r="C34" s="3908"/>
      <c r="D34" s="3184" t="s">
        <v>2699</v>
      </c>
      <c r="E34" s="3232">
        <f>E9*(ROUNDUP((Tokamak_Segmts/2),0))</f>
        <v>74.678295531236927</v>
      </c>
      <c r="F34" s="3233">
        <f>F9*(ROUNDUP((Tokamak_Segmts/2),0))</f>
        <v>84.084444444444529</v>
      </c>
      <c r="G34" s="3232">
        <f>'Upper Cask Recovery Scenarios'!$G$13</f>
        <v>0</v>
      </c>
      <c r="H34" s="3234">
        <f>'Upper Cask Welding failures'!$G$25</f>
        <v>242.35261737262755</v>
      </c>
      <c r="I34" s="3235">
        <f>SUM(E34:H34)</f>
        <v>401.11535734830898</v>
      </c>
      <c r="J34" s="3613"/>
      <c r="K34" s="3325">
        <f>IF('Plant Availibility Calculator'!$P$23="Lower Port Cask System",'Lower Cask Summary'!$I34,IF('Plant Availibility Calculator'!$P$23="Lower Port Hot Cell",'Lower Hot Cell Summary'!$I34,"ERROR"))</f>
        <v>974.66582021809893</v>
      </c>
      <c r="L34" s="3613"/>
      <c r="M34" s="3325"/>
      <c r="N34" s="3162"/>
      <c r="AD34" s="3223"/>
      <c r="AE34" s="3224"/>
      <c r="AF34" s="3224"/>
      <c r="AG34" s="3149"/>
      <c r="AH34" s="3223"/>
    </row>
    <row r="35" spans="2:41" ht="15" customHeight="1" x14ac:dyDescent="0.4">
      <c r="B35" s="3903"/>
      <c r="C35" s="3909" t="s">
        <v>25</v>
      </c>
      <c r="D35" s="3190" t="s">
        <v>26</v>
      </c>
      <c r="E35" s="3191">
        <f>E32+E30+E34</f>
        <v>1700.3238056887965</v>
      </c>
      <c r="F35" s="3192">
        <f>F32+F30+F34</f>
        <v>2906.1093020749436</v>
      </c>
      <c r="G35" s="3191">
        <f>G32+G30+G34</f>
        <v>796.88872631123616</v>
      </c>
      <c r="H35" s="3193">
        <f>H32+H30+H34</f>
        <v>1976.4185347021255</v>
      </c>
      <c r="I35" s="3194">
        <f>SUM(E35:H35)</f>
        <v>7379.740368777102</v>
      </c>
      <c r="J35" s="3615"/>
      <c r="K35" s="3294">
        <f>IF('Plant Availibility Calculator'!$P$23="Lower Port Cask System",'Lower Cask Summary'!$I35,IF('Plant Availibility Calculator'!$P$23="Lower Port Hot Cell",'Lower Hot Cell Summary'!$I35,"ERROR"))</f>
        <v>9304.4184560631256</v>
      </c>
      <c r="L35" s="3615"/>
      <c r="M35" s="3294">
        <f t="shared" si="0"/>
        <v>9304.4184560631256</v>
      </c>
      <c r="N35" s="3162"/>
      <c r="AE35" s="3149"/>
      <c r="AF35" s="3149"/>
      <c r="AG35" s="3149"/>
    </row>
    <row r="36" spans="2:41" ht="15" customHeight="1" thickBot="1" x14ac:dyDescent="0.45">
      <c r="B36" s="3903"/>
      <c r="C36" s="3910"/>
      <c r="D36" s="3198" t="s">
        <v>28</v>
      </c>
      <c r="E36" s="3199">
        <f>E35/24</f>
        <v>70.846825237033187</v>
      </c>
      <c r="F36" s="3200">
        <f>F35/24</f>
        <v>121.08788758645598</v>
      </c>
      <c r="G36" s="3201">
        <f>G35/24</f>
        <v>33.203696929634837</v>
      </c>
      <c r="H36" s="3202">
        <f>H35/24</f>
        <v>82.350772279255224</v>
      </c>
      <c r="I36" s="3200">
        <f>I35/24</f>
        <v>307.48918203237923</v>
      </c>
      <c r="J36" s="3616"/>
      <c r="K36" s="3626">
        <f>IF('Plant Availibility Calculator'!$P$23="Lower Port Cask System",'Lower Cask Summary'!$I36,IF('Plant Availibility Calculator'!$P$23="Lower Port Hot Cell",'Lower Hot Cell Summary'!$I36,"ERROR"))</f>
        <v>387.68410233596359</v>
      </c>
      <c r="L36" s="3616"/>
      <c r="M36" s="3626">
        <f t="shared" si="0"/>
        <v>387.68410233596359</v>
      </c>
      <c r="N36" s="3162"/>
    </row>
    <row r="37" spans="2:41" s="3223" customFormat="1" ht="15" customHeight="1" x14ac:dyDescent="0.4">
      <c r="B37" s="3903"/>
      <c r="C37" s="3911" t="s">
        <v>111</v>
      </c>
      <c r="D37" s="3205" t="s">
        <v>26</v>
      </c>
      <c r="E37" s="3206">
        <f>((E30+E32+E34)/two_shift_productivity_ratio)*1.1</f>
        <v>2805.5342793865148</v>
      </c>
      <c r="F37" s="3207">
        <f>((F30+F32+F34)/two_shift_productivity_ratio)*1.1</f>
        <v>4795.0803484236576</v>
      </c>
      <c r="G37" s="3206">
        <f>((G30+G32+G34)/two_shift_productivity_ratio)*1.1</f>
        <v>1314.8663984135399</v>
      </c>
      <c r="H37" s="3207">
        <f>((H30+H32+H34)/two_shift_productivity_ratio)*1.1</f>
        <v>3261.0905822585078</v>
      </c>
      <c r="I37" s="3208">
        <f>SUM(E37:H37)</f>
        <v>12176.57160848222</v>
      </c>
      <c r="J37" s="3611"/>
      <c r="K37" s="3304">
        <f>IF('Plant Availibility Calculator'!$P$23="Lower Port Cask System",'Lower Cask Summary'!$I37,IF('Plant Availibility Calculator'!$P$23="Lower Port Hot Cell",'Lower Hot Cell Summary'!$I37,"ERROR"))</f>
        <v>15352.290452504159</v>
      </c>
      <c r="L37" s="3611"/>
      <c r="M37" s="3304">
        <f t="shared" si="0"/>
        <v>15352.290452504159</v>
      </c>
      <c r="N37" s="3162"/>
      <c r="Y37" s="3147"/>
      <c r="Z37" s="3147"/>
      <c r="AA37" s="3147"/>
      <c r="AD37" s="3147"/>
      <c r="AE37" s="3147"/>
      <c r="AK37" s="3147"/>
    </row>
    <row r="38" spans="2:41" ht="15" customHeight="1" x14ac:dyDescent="0.4">
      <c r="B38" s="3903"/>
      <c r="C38" s="3912"/>
      <c r="D38" s="3210" t="s">
        <v>112</v>
      </c>
      <c r="E38" s="3211">
        <f>E37/24</f>
        <v>116.89726164110478</v>
      </c>
      <c r="F38" s="3212">
        <f>F37/24</f>
        <v>199.79501451765239</v>
      </c>
      <c r="G38" s="3211">
        <f>G37/24</f>
        <v>54.786099933897496</v>
      </c>
      <c r="H38" s="3212">
        <f>H37/24</f>
        <v>135.87877426077117</v>
      </c>
      <c r="I38" s="3214">
        <f>I37/24</f>
        <v>507.35715035342582</v>
      </c>
      <c r="J38" s="3611"/>
      <c r="K38" s="3309">
        <f>IF('Plant Availibility Calculator'!$P$23="Lower Port Cask System",'Lower Cask Summary'!$I38,IF('Plant Availibility Calculator'!$P$23="Lower Port Hot Cell",'Lower Hot Cell Summary'!$I38,"ERROR"))</f>
        <v>639.67876885433998</v>
      </c>
      <c r="L38" s="3611"/>
      <c r="M38" s="3309">
        <f t="shared" si="0"/>
        <v>639.67876885433998</v>
      </c>
      <c r="N38" s="3162"/>
      <c r="Z38" s="3223"/>
      <c r="AB38" s="3223"/>
      <c r="AC38" s="3223"/>
      <c r="AE38" s="3220"/>
      <c r="AF38" s="3223"/>
      <c r="AG38" s="3223"/>
      <c r="AO38" s="3223"/>
    </row>
    <row r="39" spans="2:41" x14ac:dyDescent="0.4">
      <c r="B39" s="3903"/>
      <c r="C39" s="3912"/>
      <c r="D39" s="3210" t="s">
        <v>113</v>
      </c>
      <c r="E39" s="3211">
        <f>E38/20</f>
        <v>5.8448630820552392</v>
      </c>
      <c r="F39" s="3212">
        <f>F38/20</f>
        <v>9.9897507258826188</v>
      </c>
      <c r="G39" s="3211">
        <f>G38/20</f>
        <v>2.7393049966948748</v>
      </c>
      <c r="H39" s="3212">
        <f>H38/20</f>
        <v>6.7939387130385587</v>
      </c>
      <c r="I39" s="3214">
        <f>I38/20</f>
        <v>25.36785751767129</v>
      </c>
      <c r="J39" s="3611"/>
      <c r="K39" s="3309">
        <f>IF('Plant Availibility Calculator'!$P$23="Lower Port Cask System",'Lower Cask Summary'!$I39,IF('Plant Availibility Calculator'!$P$23="Lower Port Hot Cell",'Lower Hot Cell Summary'!$I39,"ERROR"))</f>
        <v>21.322625628478001</v>
      </c>
      <c r="L39" s="3611"/>
      <c r="M39" s="3309">
        <f t="shared" si="0"/>
        <v>25.36785751767129</v>
      </c>
      <c r="N39" s="3162"/>
      <c r="AO39" s="3223"/>
    </row>
    <row r="40" spans="2:41" s="3239" customFormat="1" ht="15" thickBot="1" x14ac:dyDescent="0.45">
      <c r="B40" s="3904"/>
      <c r="C40" s="3913"/>
      <c r="D40" s="3237" t="s">
        <v>513</v>
      </c>
      <c r="E40" s="3216">
        <f>E37/$I$37</f>
        <v>0.23040428534351778</v>
      </c>
      <c r="F40" s="3217">
        <f>F37/$I$37</f>
        <v>0.39379560212854964</v>
      </c>
      <c r="G40" s="3216">
        <f>G37/$I$37</f>
        <v>0.10798330110403176</v>
      </c>
      <c r="H40" s="3217">
        <f>H37/$I$37</f>
        <v>0.26781681142390085</v>
      </c>
      <c r="I40" s="3219">
        <f>I37/$I$37</f>
        <v>1</v>
      </c>
      <c r="J40" s="3612"/>
      <c r="K40" s="3314">
        <f>IF('Plant Availibility Calculator'!$P$23="Lower Port Cask System",'Lower Cask Summary'!$I40,IF('Plant Availibility Calculator'!$P$23="Lower Port Hot Cell",'Lower Hot Cell Summary'!$I40,"ERROR"))</f>
        <v>1</v>
      </c>
      <c r="L40" s="3612"/>
      <c r="M40" s="3314">
        <f t="shared" si="0"/>
        <v>1</v>
      </c>
      <c r="N40" s="3162"/>
      <c r="AA40" s="3223"/>
      <c r="AC40" s="3223"/>
      <c r="AE40" s="3223"/>
      <c r="AG40" s="3223"/>
      <c r="AI40" s="3147"/>
    </row>
    <row r="41" spans="2:41" s="3220" customFormat="1" ht="15" thickBot="1" x14ac:dyDescent="0.45">
      <c r="C41" s="3221"/>
      <c r="D41" s="3222"/>
      <c r="E41" s="3223"/>
      <c r="F41" s="3223"/>
      <c r="G41" s="3223"/>
      <c r="H41" s="3223"/>
      <c r="I41" s="3223">
        <f>I12/I24</f>
        <v>6.7129311990996171E-2</v>
      </c>
      <c r="J41" s="3266"/>
      <c r="K41" s="3266">
        <f>IF('Plant Availibility Calculator'!$P$23="Lower Port Cask System",'Lower Cask Summary'!$I41,IF('Plant Availibility Calculator'!$P$23="Lower Port Hot Cell",'Lower Hot Cell Summary'!$I41,"ERROR"))</f>
        <v>0</v>
      </c>
      <c r="L41" s="3266"/>
      <c r="M41" s="3266">
        <f t="shared" si="0"/>
        <v>6.7129311990996171E-2</v>
      </c>
      <c r="N41" s="3223"/>
      <c r="O41" s="3149"/>
      <c r="AI41" s="3147"/>
    </row>
    <row r="42" spans="2:41" x14ac:dyDescent="0.4">
      <c r="B42" s="3902" t="str">
        <f>"All "&amp;Tokamak_Segmts&amp;" Ports with 3 Systems"</f>
        <v>All 16 Ports with 3 Systems</v>
      </c>
      <c r="C42" s="3905" t="s">
        <v>18</v>
      </c>
      <c r="D42" s="3157" t="s">
        <v>26</v>
      </c>
      <c r="E42" s="3158">
        <f>E$5*(ROUNDUP((Tokamak_Segmts/3),0))</f>
        <v>910.91413261816956</v>
      </c>
      <c r="F42" s="3159">
        <f>F$5*(ROUNDUP((Tokamak_Segmts/3),0))</f>
        <v>1803.7919765562074</v>
      </c>
      <c r="G42" s="3158">
        <f>'Upper Cask Recovery Scenarios'!$G$11</f>
        <v>215.52849903474691</v>
      </c>
      <c r="H42" s="3160">
        <f>'Upper Cask Welding failures'!$H$23</f>
        <v>1101.7338634963337</v>
      </c>
      <c r="I42" s="3161">
        <f>SUM(E42:H42)</f>
        <v>4031.9684717054579</v>
      </c>
      <c r="J42" s="3611"/>
      <c r="K42" s="3265">
        <f>IF('Plant Availibility Calculator'!$P$23="Lower Port Cask System",'Lower Cask Summary'!$I42,IF('Plant Availibility Calculator'!$P$23="Lower Port Hot Cell",'Lower Hot Cell Summary'!$I42,"ERROR"))</f>
        <v>5440.8569360632791</v>
      </c>
      <c r="L42" s="3611"/>
      <c r="M42" s="3265"/>
      <c r="N42" s="3162"/>
      <c r="Z42" s="3223"/>
      <c r="AA42" s="3239"/>
      <c r="AB42" s="3223"/>
      <c r="AC42" s="3239"/>
      <c r="AD42" s="3223"/>
      <c r="AE42" s="3239"/>
      <c r="AF42" s="3223"/>
      <c r="AG42" s="3239"/>
    </row>
    <row r="43" spans="2:41" s="3223" customFormat="1" x14ac:dyDescent="0.4">
      <c r="B43" s="3903"/>
      <c r="C43" s="3906"/>
      <c r="D43" s="3225" t="s">
        <v>28</v>
      </c>
      <c r="E43" s="3226">
        <f>E42/24</f>
        <v>37.954755525757065</v>
      </c>
      <c r="F43" s="3227">
        <f>F42/24</f>
        <v>75.157999023175307</v>
      </c>
      <c r="G43" s="3226">
        <f>G42/24</f>
        <v>8.9803541264477875</v>
      </c>
      <c r="H43" s="3228">
        <f>H42/24</f>
        <v>45.905577645680573</v>
      </c>
      <c r="I43" s="3229">
        <f>I42/24</f>
        <v>167.99868632106075</v>
      </c>
      <c r="J43" s="3611"/>
      <c r="K43" s="3321">
        <f>IF('Plant Availibility Calculator'!$P$23="Lower Port Cask System",'Lower Cask Summary'!$I43,IF('Plant Availibility Calculator'!$P$23="Lower Port Hot Cell",'Lower Hot Cell Summary'!$I43,"ERROR"))</f>
        <v>181.23894637839578</v>
      </c>
      <c r="L43" s="3611"/>
      <c r="M43" s="3321"/>
      <c r="N43" s="3162"/>
      <c r="Y43" s="3147"/>
      <c r="Z43" s="3147"/>
      <c r="AA43" s="3147"/>
      <c r="AB43" s="3147"/>
      <c r="AC43" s="3147"/>
      <c r="AD43" s="3147"/>
      <c r="AE43" s="3147"/>
      <c r="AF43" s="3147"/>
      <c r="AG43" s="3147"/>
      <c r="AI43" s="3147"/>
      <c r="AK43" s="3147"/>
    </row>
    <row r="44" spans="2:41" s="3223" customFormat="1" x14ac:dyDescent="0.4">
      <c r="B44" s="3903"/>
      <c r="C44" s="3907" t="s">
        <v>3</v>
      </c>
      <c r="D44" s="3170" t="s">
        <v>26</v>
      </c>
      <c r="E44" s="3171">
        <f>E$7*(ROUNDUP((Tokamak_Segmts/3),0))</f>
        <v>308.32000000000005</v>
      </c>
      <c r="F44" s="3172">
        <f>F$7*(ROUNDUP((Tokamak_Segmts/3),0))</f>
        <v>312.7266666666668</v>
      </c>
      <c r="G44" s="3171">
        <f>'Upper Cask Recovery Scenarios'!$G$12</f>
        <v>382.13804569868029</v>
      </c>
      <c r="H44" s="3173">
        <f>'Upper Cask Welding failures'!$H$24</f>
        <v>198.81557450078992</v>
      </c>
      <c r="I44" s="3174">
        <f>SUM(E44:H44)</f>
        <v>1202.0002868661372</v>
      </c>
      <c r="J44" s="3611"/>
      <c r="K44" s="3276">
        <f>IF('Plant Availibility Calculator'!$P$23="Lower Port Cask System",'Lower Cask Summary'!$I44,IF('Plant Availibility Calculator'!$P$23="Lower Port Hot Cell",'Lower Hot Cell Summary'!$I44,"ERROR"))</f>
        <v>806.45754082049018</v>
      </c>
      <c r="L44" s="3611"/>
      <c r="M44" s="3276"/>
      <c r="N44" s="3162"/>
    </row>
    <row r="45" spans="2:41" s="3223" customFormat="1" x14ac:dyDescent="0.4">
      <c r="B45" s="3903"/>
      <c r="C45" s="3908"/>
      <c r="D45" s="3231" t="s">
        <v>28</v>
      </c>
      <c r="E45" s="3171">
        <f>E44/24</f>
        <v>12.846666666666669</v>
      </c>
      <c r="F45" s="3172">
        <f>F44/24</f>
        <v>13.030277777777783</v>
      </c>
      <c r="G45" s="3171">
        <f>G44/24</f>
        <v>15.922418570778346</v>
      </c>
      <c r="H45" s="3173">
        <f>H44/24</f>
        <v>8.2839822708662467</v>
      </c>
      <c r="I45" s="3174">
        <f>SUM(E45:H45)</f>
        <v>50.083345286089049</v>
      </c>
      <c r="J45" s="3611"/>
      <c r="K45" s="3276">
        <f>IF('Plant Availibility Calculator'!$P$23="Lower Port Cask System",'Lower Cask Summary'!$I45,IF('Plant Availibility Calculator'!$P$23="Lower Port Hot Cell",'Lower Hot Cell Summary'!$I45,"ERROR"))</f>
        <v>27.30136267579929</v>
      </c>
      <c r="L45" s="3611"/>
      <c r="M45" s="3276"/>
      <c r="N45" s="3162"/>
      <c r="Y45" s="3147"/>
      <c r="AA45" s="3147"/>
      <c r="AC45" s="3147"/>
      <c r="AE45" s="3147"/>
      <c r="AG45" s="3147"/>
    </row>
    <row r="46" spans="2:41" x14ac:dyDescent="0.4">
      <c r="B46" s="3903"/>
      <c r="C46" s="3908"/>
      <c r="D46" s="3184" t="s">
        <v>2699</v>
      </c>
      <c r="E46" s="3232">
        <f>E$9*(ROUNDUP((Tokamak_Segmts/3),0))</f>
        <v>56.008721648427695</v>
      </c>
      <c r="F46" s="3233">
        <f>F$9*(ROUNDUP((Tokamak_Segmts/3),0))</f>
        <v>63.063333333333397</v>
      </c>
      <c r="G46" s="3232">
        <f>'Upper Cask Recovery Scenarios'!$G$13</f>
        <v>0</v>
      </c>
      <c r="H46" s="3234">
        <f>'Upper Cask Welding failures'!$H$25</f>
        <v>181.76446302947068</v>
      </c>
      <c r="I46" s="3235">
        <f>SUM(E46:H46)</f>
        <v>300.83651801123176</v>
      </c>
      <c r="J46" s="3613"/>
      <c r="K46" s="3325">
        <f>IF('Plant Availibility Calculator'!$P$23="Lower Port Cask System",'Lower Cask Summary'!$I46,IF('Plant Availibility Calculator'!$P$23="Lower Port Hot Cell",'Lower Hot Cell Summary'!$I46,"ERROR"))</f>
        <v>730.99936516357411</v>
      </c>
      <c r="L46" s="3613"/>
      <c r="M46" s="3325"/>
      <c r="N46" s="3183"/>
      <c r="Y46" s="3223"/>
      <c r="Z46" s="3223"/>
      <c r="AB46" s="3223"/>
      <c r="AD46" s="3223"/>
      <c r="AF46" s="3223"/>
    </row>
    <row r="47" spans="2:41" ht="15" customHeight="1" x14ac:dyDescent="0.4">
      <c r="B47" s="3903"/>
      <c r="C47" s="3909" t="s">
        <v>25</v>
      </c>
      <c r="D47" s="3190" t="s">
        <v>26</v>
      </c>
      <c r="E47" s="3191">
        <f>E44+E42+E46</f>
        <v>1275.2428542665971</v>
      </c>
      <c r="F47" s="3192">
        <f>F44+F42+F46</f>
        <v>2179.5819765562078</v>
      </c>
      <c r="G47" s="3191">
        <f>G44+G42+G46</f>
        <v>597.66654473342714</v>
      </c>
      <c r="H47" s="3193">
        <f>H44+H42+H46</f>
        <v>1482.3139010265945</v>
      </c>
      <c r="I47" s="3194">
        <f>SUM(E47:H47)</f>
        <v>5534.805276582827</v>
      </c>
      <c r="J47" s="3615"/>
      <c r="K47" s="3294">
        <f>IF('Plant Availibility Calculator'!$P$23="Lower Port Cask System",'Lower Cask Summary'!$I47,IF('Plant Availibility Calculator'!$P$23="Lower Port Hot Cell",'Lower Hot Cell Summary'!$I47,"ERROR"))</f>
        <v>6978.3138420473442</v>
      </c>
      <c r="L47" s="3615"/>
      <c r="M47" s="3294">
        <f t="shared" si="0"/>
        <v>6978.3138420473442</v>
      </c>
      <c r="N47" s="3195"/>
    </row>
    <row r="48" spans="2:41" ht="15" customHeight="1" thickBot="1" x14ac:dyDescent="0.45">
      <c r="B48" s="3903"/>
      <c r="C48" s="3910"/>
      <c r="D48" s="3198" t="s">
        <v>28</v>
      </c>
      <c r="E48" s="3199">
        <f>E47/24</f>
        <v>53.135118927774876</v>
      </c>
      <c r="F48" s="3200">
        <f>F47/24</f>
        <v>90.815915689841987</v>
      </c>
      <c r="G48" s="3201">
        <f>G47/24</f>
        <v>24.90277269722613</v>
      </c>
      <c r="H48" s="3202">
        <f>H47/24</f>
        <v>61.763079209441436</v>
      </c>
      <c r="I48" s="3200">
        <f>I47/24</f>
        <v>230.61688652428447</v>
      </c>
      <c r="J48" s="3616"/>
      <c r="K48" s="3626">
        <f>IF('Plant Availibility Calculator'!$P$23="Lower Port Cask System",'Lower Cask Summary'!$I48,IF('Plant Availibility Calculator'!$P$23="Lower Port Hot Cell",'Lower Hot Cell Summary'!$I48,"ERROR"))</f>
        <v>238.7160943993552</v>
      </c>
      <c r="L48" s="3616"/>
      <c r="M48" s="3626">
        <f t="shared" si="0"/>
        <v>238.7160943993552</v>
      </c>
      <c r="N48" s="3203"/>
      <c r="Z48" s="3223"/>
      <c r="AA48" s="3223"/>
      <c r="AB48" s="3223"/>
      <c r="AC48" s="3223"/>
      <c r="AD48" s="3223"/>
      <c r="AE48" s="3223"/>
      <c r="AF48" s="3223"/>
      <c r="AG48" s="3223"/>
    </row>
    <row r="49" spans="2:37" s="3223" customFormat="1" ht="15" customHeight="1" x14ac:dyDescent="0.4">
      <c r="B49" s="3903"/>
      <c r="C49" s="3911" t="s">
        <v>111</v>
      </c>
      <c r="D49" s="3205" t="s">
        <v>26</v>
      </c>
      <c r="E49" s="3206">
        <f>((E42+E44+E46)/two_shift_productivity_ratio)*1.1</f>
        <v>2104.1507095398852</v>
      </c>
      <c r="F49" s="3207">
        <f>((F42+F44+F46)/two_shift_productivity_ratio)*1.1</f>
        <v>3596.3102613177434</v>
      </c>
      <c r="G49" s="3206">
        <f>((G42+G44+G46)/two_shift_productivity_ratio)*1.1</f>
        <v>986.14979881015483</v>
      </c>
      <c r="H49" s="3207">
        <f>((H42+H44+H46)/two_shift_productivity_ratio)*1.1</f>
        <v>2445.8179366938816</v>
      </c>
      <c r="I49" s="3208">
        <f>SUM(E49:H49)</f>
        <v>9132.4287063616648</v>
      </c>
      <c r="J49" s="3611"/>
      <c r="K49" s="3304">
        <f>IF('Plant Availibility Calculator'!$P$23="Lower Port Cask System",'Lower Cask Summary'!$I49,IF('Plant Availibility Calculator'!$P$23="Lower Port Hot Cell",'Lower Hot Cell Summary'!$I49,"ERROR"))</f>
        <v>11514.217839378118</v>
      </c>
      <c r="L49" s="3611"/>
      <c r="M49" s="3304">
        <f t="shared" si="0"/>
        <v>11514.217839378118</v>
      </c>
      <c r="N49" s="3162"/>
      <c r="Y49" s="3147"/>
      <c r="Z49" s="3147"/>
      <c r="AA49" s="3147"/>
      <c r="AB49" s="3147"/>
      <c r="AC49" s="3147"/>
      <c r="AD49" s="3147"/>
      <c r="AE49" s="3147"/>
      <c r="AF49" s="3147"/>
      <c r="AG49" s="3147"/>
    </row>
    <row r="50" spans="2:37" ht="15" customHeight="1" x14ac:dyDescent="0.4">
      <c r="B50" s="3903"/>
      <c r="C50" s="3912"/>
      <c r="D50" s="3210" t="s">
        <v>112</v>
      </c>
      <c r="E50" s="3211">
        <f>E49/24</f>
        <v>87.672946230828543</v>
      </c>
      <c r="F50" s="3212">
        <f>F49/24</f>
        <v>149.8462608882393</v>
      </c>
      <c r="G50" s="3211">
        <f>G49/24</f>
        <v>41.08957495042312</v>
      </c>
      <c r="H50" s="3212">
        <f>H49/24</f>
        <v>101.9090806955784</v>
      </c>
      <c r="I50" s="3214">
        <f>I49/24</f>
        <v>380.51786276506937</v>
      </c>
      <c r="J50" s="3611"/>
      <c r="K50" s="3309">
        <f>IF('Plant Availibility Calculator'!$P$23="Lower Port Cask System",'Lower Cask Summary'!$I50,IF('Plant Availibility Calculator'!$P$23="Lower Port Hot Cell",'Lower Hot Cell Summary'!$I50,"ERROR"))</f>
        <v>479.75907664075493</v>
      </c>
      <c r="L50" s="3611"/>
      <c r="M50" s="3309">
        <f t="shared" si="0"/>
        <v>479.75907664075493</v>
      </c>
      <c r="N50" s="3162"/>
    </row>
    <row r="51" spans="2:37" x14ac:dyDescent="0.4">
      <c r="B51" s="3903"/>
      <c r="C51" s="3912"/>
      <c r="D51" s="3210" t="s">
        <v>113</v>
      </c>
      <c r="E51" s="3211">
        <f>E50/30</f>
        <v>2.9224315410276183</v>
      </c>
      <c r="F51" s="3212">
        <f>F50/30</f>
        <v>4.9948753629413103</v>
      </c>
      <c r="G51" s="3211">
        <f>G50/30</f>
        <v>1.3696524983474374</v>
      </c>
      <c r="H51" s="3212">
        <f>H50/30</f>
        <v>3.3969693565192798</v>
      </c>
      <c r="I51" s="3214">
        <f>I50/30</f>
        <v>12.683928758835645</v>
      </c>
      <c r="J51" s="3611"/>
      <c r="K51" s="3309">
        <f>IF('Plant Availibility Calculator'!$P$23="Lower Port Cask System",'Lower Cask Summary'!$I51,IF('Plant Availibility Calculator'!$P$23="Lower Port Hot Cell",'Lower Hot Cell Summary'!$I51,"ERROR"))</f>
        <v>15.991969221358497</v>
      </c>
      <c r="L51" s="3611"/>
      <c r="M51" s="3309">
        <f t="shared" si="0"/>
        <v>15.991969221358497</v>
      </c>
      <c r="N51" s="3162"/>
    </row>
    <row r="52" spans="2:37" s="3239" customFormat="1" ht="15" thickBot="1" x14ac:dyDescent="0.45">
      <c r="B52" s="3904"/>
      <c r="C52" s="3913"/>
      <c r="D52" s="3237" t="s">
        <v>513</v>
      </c>
      <c r="E52" s="3216">
        <f>E49/$I$37</f>
        <v>0.17280321400763826</v>
      </c>
      <c r="F52" s="3217">
        <f>F49/$I$37</f>
        <v>0.29534670159641224</v>
      </c>
      <c r="G52" s="3216">
        <f>G49/$I$37</f>
        <v>8.0987475828023819E-2</v>
      </c>
      <c r="H52" s="3217">
        <f>H49/$I$37</f>
        <v>0.2008626085679257</v>
      </c>
      <c r="I52" s="3219">
        <f>I49/$I$37</f>
        <v>0.75</v>
      </c>
      <c r="J52" s="3612"/>
      <c r="K52" s="3314">
        <f>IF('Plant Availibility Calculator'!$P$23="Lower Port Cask System",'Lower Cask Summary'!$I52,IF('Plant Availibility Calculator'!$P$23="Lower Port Hot Cell",'Lower Hot Cell Summary'!$I52,"ERROR"))</f>
        <v>1</v>
      </c>
      <c r="L52" s="3612"/>
      <c r="M52" s="3314">
        <f t="shared" si="0"/>
        <v>1</v>
      </c>
      <c r="N52" s="3168"/>
    </row>
    <row r="53" spans="2:37" ht="15" thickBot="1" x14ac:dyDescent="0.45">
      <c r="E53" s="3223"/>
      <c r="F53" s="3223"/>
      <c r="G53" s="3223"/>
      <c r="H53" s="3223"/>
      <c r="I53" s="3223"/>
      <c r="J53" s="3266"/>
      <c r="K53" s="3266"/>
      <c r="L53" s="3266"/>
      <c r="M53" s="3266"/>
      <c r="N53" s="3223"/>
    </row>
    <row r="54" spans="2:37" x14ac:dyDescent="0.4">
      <c r="B54" s="3902" t="str">
        <f>"All "&amp;Tokamak_Segmts&amp;" Ports with 4 Systems"</f>
        <v>All 16 Ports with 4 Systems</v>
      </c>
      <c r="C54" s="3905" t="s">
        <v>18</v>
      </c>
      <c r="D54" s="3157" t="s">
        <v>26</v>
      </c>
      <c r="E54" s="3158">
        <f>E$5*(ROUNDUP((Tokamak_Segmts/4),0))</f>
        <v>607.27608841211304</v>
      </c>
      <c r="F54" s="3159">
        <f>F$5*(ROUNDUP((Tokamak_Segmts/4),0))</f>
        <v>1202.5279843708049</v>
      </c>
      <c r="G54" s="3158">
        <f>'Upper Cask Recovery Scenarios'!$H$11</f>
        <v>143.68566602316457</v>
      </c>
      <c r="H54" s="3160">
        <f>'Upper Cask Welding failures'!$I$23</f>
        <v>734.48924233088906</v>
      </c>
      <c r="I54" s="3161">
        <f>SUM(E54:H54)</f>
        <v>2687.9789811369719</v>
      </c>
      <c r="J54" s="3611"/>
      <c r="K54" s="3265">
        <f>IF('Plant Availibility Calculator'!$P$23="Lower Port Cask System",'Lower Cask Summary'!$I54,IF('Plant Availibility Calculator'!$P$23="Lower Port Hot Cell",'Lower Hot Cell Summary'!$I54,"ERROR"))</f>
        <v>3627.2379573755193</v>
      </c>
      <c r="L54" s="3611"/>
      <c r="M54" s="3265"/>
      <c r="N54" s="3162"/>
      <c r="Z54" s="3223"/>
      <c r="AA54" s="3239"/>
      <c r="AB54" s="3223"/>
      <c r="AC54" s="3239"/>
      <c r="AD54" s="3223"/>
      <c r="AE54" s="3239"/>
      <c r="AF54" s="3223"/>
      <c r="AG54" s="3239"/>
    </row>
    <row r="55" spans="2:37" s="3223" customFormat="1" x14ac:dyDescent="0.4">
      <c r="B55" s="3903"/>
      <c r="C55" s="3906"/>
      <c r="D55" s="3225" t="s">
        <v>28</v>
      </c>
      <c r="E55" s="3226">
        <f>E54/24</f>
        <v>25.303170350504711</v>
      </c>
      <c r="F55" s="3227">
        <f>F54/24</f>
        <v>50.105332682116874</v>
      </c>
      <c r="G55" s="3226">
        <f>G54/24</f>
        <v>5.9869027509651902</v>
      </c>
      <c r="H55" s="3228">
        <f>H54/24</f>
        <v>30.603718430453711</v>
      </c>
      <c r="I55" s="3229">
        <f>I54/24</f>
        <v>111.99912421404049</v>
      </c>
      <c r="J55" s="3611"/>
      <c r="K55" s="3321">
        <f>IF('Plant Availibility Calculator'!$P$23="Lower Port Cask System",'Lower Cask Summary'!$I55,IF('Plant Availibility Calculator'!$P$23="Lower Port Hot Cell",'Lower Hot Cell Summary'!$I55,"ERROR"))</f>
        <v>104.2938093586005</v>
      </c>
      <c r="L55" s="3611"/>
      <c r="M55" s="3321"/>
      <c r="N55" s="3162"/>
      <c r="Y55" s="3147"/>
      <c r="Z55" s="3147"/>
      <c r="AA55" s="3147"/>
      <c r="AB55" s="3147"/>
      <c r="AC55" s="3147"/>
      <c r="AD55" s="3147"/>
      <c r="AE55" s="3147"/>
      <c r="AF55" s="3147"/>
      <c r="AG55" s="3147"/>
      <c r="AI55" s="3147"/>
      <c r="AK55" s="3147"/>
    </row>
    <row r="56" spans="2:37" s="3223" customFormat="1" x14ac:dyDescent="0.4">
      <c r="B56" s="3903"/>
      <c r="C56" s="3907" t="s">
        <v>3</v>
      </c>
      <c r="D56" s="3170" t="s">
        <v>26</v>
      </c>
      <c r="E56" s="3171">
        <f>E$7*(ROUNDUP((Tokamak_Segmts/4),0))</f>
        <v>205.54666666666671</v>
      </c>
      <c r="F56" s="3172">
        <f>F$7*(ROUNDUP((Tokamak_Segmts/4),0))</f>
        <v>208.48444444444453</v>
      </c>
      <c r="G56" s="3171">
        <f>'Upper Cask Recovery Scenarios'!$H$12</f>
        <v>254.75869713245351</v>
      </c>
      <c r="H56" s="3173">
        <f>'Upper Cask Welding failures'!$I$24</f>
        <v>132.54371633385998</v>
      </c>
      <c r="I56" s="3174">
        <f>SUM(E56:H56)</f>
        <v>801.33352457742467</v>
      </c>
      <c r="J56" s="3611"/>
      <c r="K56" s="3276">
        <f>IF('Plant Availibility Calculator'!$P$23="Lower Port Cask System",'Lower Cask Summary'!$I56,IF('Plant Availibility Calculator'!$P$23="Lower Port Hot Cell",'Lower Hot Cell Summary'!$I56,"ERROR"))</f>
        <v>537.63836054699345</v>
      </c>
      <c r="L56" s="3611"/>
      <c r="M56" s="3276"/>
      <c r="N56" s="3162"/>
    </row>
    <row r="57" spans="2:37" s="3223" customFormat="1" x14ac:dyDescent="0.4">
      <c r="B57" s="3903"/>
      <c r="C57" s="3908"/>
      <c r="D57" s="3231" t="s">
        <v>28</v>
      </c>
      <c r="E57" s="3171">
        <f>E56/24</f>
        <v>8.5644444444444456</v>
      </c>
      <c r="F57" s="3172">
        <f>F56/24</f>
        <v>8.6868518518518556</v>
      </c>
      <c r="G57" s="3171">
        <f>G56/24</f>
        <v>10.614945713852229</v>
      </c>
      <c r="H57" s="3173">
        <f>H56/24</f>
        <v>5.5226548472441657</v>
      </c>
      <c r="I57" s="3174">
        <f>SUM(E57:H57)</f>
        <v>33.388896857392695</v>
      </c>
      <c r="J57" s="3611"/>
      <c r="K57" s="3276">
        <f>IF('Plant Availibility Calculator'!$P$23="Lower Port Cask System",'Lower Cask Summary'!$I57,IF('Plant Availibility Calculator'!$P$23="Lower Port Hot Cell",'Lower Hot Cell Summary'!$I57,"ERROR"))</f>
        <v>15.909623047482746</v>
      </c>
      <c r="L57" s="3611"/>
      <c r="M57" s="3276"/>
      <c r="N57" s="3162"/>
      <c r="Y57" s="3147"/>
      <c r="AA57" s="3147"/>
      <c r="AC57" s="3147"/>
      <c r="AE57" s="3147"/>
      <c r="AG57" s="3147"/>
    </row>
    <row r="58" spans="2:37" x14ac:dyDescent="0.4">
      <c r="B58" s="3903"/>
      <c r="C58" s="3908"/>
      <c r="D58" s="3184" t="s">
        <v>2699</v>
      </c>
      <c r="E58" s="3232">
        <f>E$9*(ROUNDUP((Tokamak_Segmts/4),0))</f>
        <v>37.339147765618463</v>
      </c>
      <c r="F58" s="3233">
        <f>F$9*(ROUNDUP((Tokamak_Segmts/4),0))</f>
        <v>42.042222222222264</v>
      </c>
      <c r="G58" s="3232">
        <f>'Upper Cask Recovery Scenarios'!$H$13</f>
        <v>0</v>
      </c>
      <c r="H58" s="3234">
        <f>'Upper Cask Welding failures'!$I$25</f>
        <v>121.17630868631377</v>
      </c>
      <c r="I58" s="3235">
        <f>SUM(E58:H58)</f>
        <v>200.55767867415449</v>
      </c>
      <c r="J58" s="3613"/>
      <c r="K58" s="3325">
        <f>IF('Plant Availibility Calculator'!$P$23="Lower Port Cask System",'Lower Cask Summary'!$I58,IF('Plant Availibility Calculator'!$P$23="Lower Port Hot Cell",'Lower Hot Cell Summary'!$I58,"ERROR"))</f>
        <v>487.33291010904946</v>
      </c>
      <c r="L58" s="3613"/>
      <c r="M58" s="3325"/>
      <c r="N58" s="3183"/>
      <c r="Y58" s="3223"/>
      <c r="Z58" s="3223"/>
      <c r="AB58" s="3223"/>
      <c r="AD58" s="3223"/>
      <c r="AF58" s="3223"/>
    </row>
    <row r="59" spans="2:37" ht="15" customHeight="1" x14ac:dyDescent="0.4">
      <c r="B59" s="3903"/>
      <c r="C59" s="3909" t="s">
        <v>25</v>
      </c>
      <c r="D59" s="3190" t="s">
        <v>26</v>
      </c>
      <c r="E59" s="3191">
        <f>E56+E54+E58</f>
        <v>850.16190284439824</v>
      </c>
      <c r="F59" s="3192">
        <f>F56+F54+F58</f>
        <v>1453.0546510374718</v>
      </c>
      <c r="G59" s="3191">
        <f>G56+G54+G58</f>
        <v>398.44436315561808</v>
      </c>
      <c r="H59" s="3193">
        <f>H56+H54+H58</f>
        <v>988.20926735106275</v>
      </c>
      <c r="I59" s="3194">
        <f>SUM(E59:H59)</f>
        <v>3689.870184388551</v>
      </c>
      <c r="J59" s="3615"/>
      <c r="K59" s="3294">
        <f>IF('Plant Availibility Calculator'!$P$23="Lower Port Cask System",'Lower Cask Summary'!$I59,IF('Plant Availibility Calculator'!$P$23="Lower Port Hot Cell",'Lower Hot Cell Summary'!$I59,"ERROR"))</f>
        <v>4652.2092280315628</v>
      </c>
      <c r="L59" s="3615"/>
      <c r="M59" s="3294">
        <f t="shared" si="0"/>
        <v>4652.2092280315628</v>
      </c>
      <c r="N59" s="3195"/>
    </row>
    <row r="60" spans="2:37" ht="15" customHeight="1" thickBot="1" x14ac:dyDescent="0.45">
      <c r="B60" s="3903"/>
      <c r="C60" s="3910"/>
      <c r="D60" s="3198" t="s">
        <v>28</v>
      </c>
      <c r="E60" s="3199">
        <f>E59/24</f>
        <v>35.423412618516593</v>
      </c>
      <c r="F60" s="3200">
        <f>F59/24</f>
        <v>60.543943793227989</v>
      </c>
      <c r="G60" s="3201">
        <f>G59/24</f>
        <v>16.601848464817419</v>
      </c>
      <c r="H60" s="3202">
        <f>H59/24</f>
        <v>41.175386139627612</v>
      </c>
      <c r="I60" s="3200">
        <f>I59/24</f>
        <v>153.74459101618962</v>
      </c>
      <c r="J60" s="3616"/>
      <c r="K60" s="3626">
        <f>IF('Plant Availibility Calculator'!$P$23="Lower Port Cask System",'Lower Cask Summary'!$I60,IF('Plant Availibility Calculator'!$P$23="Lower Port Hot Cell",'Lower Hot Cell Summary'!$I60,"ERROR"))</f>
        <v>140.21788753195167</v>
      </c>
      <c r="L60" s="3616"/>
      <c r="M60" s="3626">
        <f t="shared" si="0"/>
        <v>153.74459101618962</v>
      </c>
      <c r="N60" s="3203"/>
      <c r="Z60" s="3223"/>
      <c r="AA60" s="3223"/>
      <c r="AB60" s="3223"/>
      <c r="AC60" s="3223"/>
      <c r="AD60" s="3223"/>
      <c r="AE60" s="3223"/>
      <c r="AF60" s="3223"/>
      <c r="AG60" s="3223"/>
    </row>
    <row r="61" spans="2:37" s="3223" customFormat="1" ht="15" customHeight="1" x14ac:dyDescent="0.4">
      <c r="B61" s="3903"/>
      <c r="C61" s="3911" t="s">
        <v>111</v>
      </c>
      <c r="D61" s="3205" t="s">
        <v>26</v>
      </c>
      <c r="E61" s="3206">
        <f>((E54+E56+E58)/two_shift_productivity_ratio)*1.1</f>
        <v>1402.7671396932574</v>
      </c>
      <c r="F61" s="3207">
        <f>((F54+F56+F58)/two_shift_productivity_ratio)*1.1</f>
        <v>2397.5401742118288</v>
      </c>
      <c r="G61" s="3206">
        <f>((G54+G56+G58)/two_shift_productivity_ratio)*1.1</f>
        <v>657.43319920676993</v>
      </c>
      <c r="H61" s="3207">
        <f>((H54+H56+H58)/two_shift_productivity_ratio)*1.1</f>
        <v>1630.5452911292539</v>
      </c>
      <c r="I61" s="3208">
        <f>SUM(E61:H61)</f>
        <v>6088.2858042411099</v>
      </c>
      <c r="J61" s="3611"/>
      <c r="K61" s="3304">
        <f>IF('Plant Availibility Calculator'!$P$23="Lower Port Cask System",'Lower Cask Summary'!$I61,IF('Plant Availibility Calculator'!$P$23="Lower Port Hot Cell",'Lower Hot Cell Summary'!$I61,"ERROR"))</f>
        <v>7676.1452262520797</v>
      </c>
      <c r="L61" s="3611"/>
      <c r="M61" s="3304">
        <f t="shared" si="0"/>
        <v>7676.1452262520797</v>
      </c>
      <c r="N61" s="3162"/>
      <c r="Y61" s="3147"/>
      <c r="Z61" s="3147"/>
      <c r="AA61" s="3147"/>
      <c r="AB61" s="3147"/>
      <c r="AC61" s="3147"/>
      <c r="AD61" s="3147"/>
      <c r="AE61" s="3147"/>
      <c r="AF61" s="3147"/>
      <c r="AG61" s="3147"/>
    </row>
    <row r="62" spans="2:37" ht="15" customHeight="1" x14ac:dyDescent="0.4">
      <c r="B62" s="3903"/>
      <c r="C62" s="3912"/>
      <c r="D62" s="3210" t="s">
        <v>112</v>
      </c>
      <c r="E62" s="3211">
        <f>E61/24</f>
        <v>58.448630820552388</v>
      </c>
      <c r="F62" s="3212">
        <f>F61/24</f>
        <v>99.897507258826195</v>
      </c>
      <c r="G62" s="3211">
        <f>G61/24</f>
        <v>27.393049966948748</v>
      </c>
      <c r="H62" s="3212">
        <f>H61/24</f>
        <v>67.939387130385583</v>
      </c>
      <c r="I62" s="3214">
        <f>I61/24</f>
        <v>253.67857517671291</v>
      </c>
      <c r="J62" s="3611"/>
      <c r="K62" s="3309">
        <f>IF('Plant Availibility Calculator'!$P$23="Lower Port Cask System",'Lower Cask Summary'!$I62,IF('Plant Availibility Calculator'!$P$23="Lower Port Hot Cell",'Lower Hot Cell Summary'!$I62,"ERROR"))</f>
        <v>319.83938442716999</v>
      </c>
      <c r="L62" s="3611"/>
      <c r="M62" s="3309">
        <f t="shared" si="0"/>
        <v>319.83938442716999</v>
      </c>
      <c r="N62" s="3162"/>
    </row>
    <row r="63" spans="2:37" x14ac:dyDescent="0.4">
      <c r="B63" s="3903"/>
      <c r="C63" s="3912"/>
      <c r="D63" s="3210" t="s">
        <v>113</v>
      </c>
      <c r="E63" s="3211">
        <f>E62/30</f>
        <v>1.9482876940184128</v>
      </c>
      <c r="F63" s="3212">
        <f>F62/30</f>
        <v>3.3299169086275398</v>
      </c>
      <c r="G63" s="3211">
        <f>G62/30</f>
        <v>0.91310166556495831</v>
      </c>
      <c r="H63" s="3212">
        <f>H62/30</f>
        <v>2.2646462376795196</v>
      </c>
      <c r="I63" s="3214">
        <f>I62/30</f>
        <v>8.4559525058904299</v>
      </c>
      <c r="J63" s="3611"/>
      <c r="K63" s="3309">
        <f>IF('Plant Availibility Calculator'!$P$23="Lower Port Cask System",'Lower Cask Summary'!$I63,IF('Plant Availibility Calculator'!$P$23="Lower Port Hot Cell",'Lower Hot Cell Summary'!$I63,"ERROR"))</f>
        <v>10.661312814239</v>
      </c>
      <c r="L63" s="3611"/>
      <c r="M63" s="3309">
        <f t="shared" si="0"/>
        <v>10.661312814239</v>
      </c>
      <c r="N63" s="3162"/>
    </row>
    <row r="64" spans="2:37" s="3239" customFormat="1" ht="15" thickBot="1" x14ac:dyDescent="0.45">
      <c r="B64" s="3904"/>
      <c r="C64" s="3913"/>
      <c r="D64" s="3237" t="s">
        <v>513</v>
      </c>
      <c r="E64" s="3216">
        <f>E61/$I$37</f>
        <v>0.11520214267175889</v>
      </c>
      <c r="F64" s="3217">
        <f>F61/$I$37</f>
        <v>0.19689780106427482</v>
      </c>
      <c r="G64" s="3216">
        <f>G61/$I$37</f>
        <v>5.399165055201588E-2</v>
      </c>
      <c r="H64" s="3217">
        <f>H61/$I$37</f>
        <v>0.13390840571195042</v>
      </c>
      <c r="I64" s="3219">
        <f>I61/$I$37</f>
        <v>0.5</v>
      </c>
      <c r="J64" s="3612"/>
      <c r="K64" s="3314">
        <f>IF('Plant Availibility Calculator'!$P$23="Lower Port Cask System",'Lower Cask Summary'!$I64,IF('Plant Availibility Calculator'!$P$23="Lower Port Hot Cell",'Lower Hot Cell Summary'!$I64,"ERROR"))</f>
        <v>1</v>
      </c>
      <c r="L64" s="3612"/>
      <c r="M64" s="3314">
        <f t="shared" si="0"/>
        <v>1</v>
      </c>
      <c r="N64" s="3168"/>
    </row>
    <row r="65" spans="2:14" ht="15" thickBot="1" x14ac:dyDescent="0.45">
      <c r="E65" s="3223"/>
      <c r="F65" s="3223"/>
      <c r="G65" s="3223"/>
      <c r="H65" s="3223"/>
      <c r="I65" s="3223"/>
      <c r="J65" s="3266"/>
      <c r="K65" s="3266"/>
      <c r="L65" s="3266"/>
      <c r="M65" s="3266"/>
      <c r="N65" s="3223"/>
    </row>
    <row r="66" spans="2:14" x14ac:dyDescent="0.4">
      <c r="B66" s="3902" t="str">
        <f>"All "&amp;Tokamak_Segmts&amp;" Ports with 6 Systems"</f>
        <v>All 16 Ports with 6 Systems</v>
      </c>
      <c r="C66" s="3905" t="s">
        <v>18</v>
      </c>
      <c r="D66" s="3157" t="s">
        <v>26</v>
      </c>
      <c r="E66" s="3158">
        <f>E5*(ROUNDUP((Tokamak_Segmts/6),0))</f>
        <v>455.45706630908478</v>
      </c>
      <c r="F66" s="3159">
        <f>F5*(ROUNDUP((Tokamak_Segmts/6),0))</f>
        <v>901.89598827810369</v>
      </c>
      <c r="G66" s="3158">
        <f>'Upper Cask Recovery Scenarios'!$I$11</f>
        <v>107.76424951737346</v>
      </c>
      <c r="H66" s="3160">
        <f>'Upper Cask Welding failures'!$J$23</f>
        <v>550.86693174816685</v>
      </c>
      <c r="I66" s="3161">
        <f>SUM(E66:H66)</f>
        <v>2015.9842358527289</v>
      </c>
      <c r="J66" s="3611"/>
      <c r="K66" s="3265">
        <f>IF('Plant Availibility Calculator'!$P$23="Lower Port Cask System",'Lower Cask Summary'!$I66,IF('Plant Availibility Calculator'!$P$23="Lower Port Hot Cell",'Lower Hot Cell Summary'!$I66,"ERROR"))</f>
        <v>2720.4284680316396</v>
      </c>
      <c r="L66" s="3611"/>
      <c r="M66" s="3265"/>
      <c r="N66" s="3162"/>
    </row>
    <row r="67" spans="2:14" s="3223" customFormat="1" x14ac:dyDescent="0.4">
      <c r="B67" s="3903"/>
      <c r="C67" s="3906"/>
      <c r="D67" s="3225" t="s">
        <v>28</v>
      </c>
      <c r="E67" s="3226">
        <f>E66/24</f>
        <v>18.977377762878533</v>
      </c>
      <c r="F67" s="3227">
        <f>F66/24</f>
        <v>37.578999511587654</v>
      </c>
      <c r="G67" s="3226">
        <f>G66/24</f>
        <v>4.4901770632238938</v>
      </c>
      <c r="H67" s="3228">
        <f>H66/24</f>
        <v>22.952788822840287</v>
      </c>
      <c r="I67" s="3229">
        <f>I66/24</f>
        <v>83.999343160530373</v>
      </c>
      <c r="J67" s="3611"/>
      <c r="K67" s="3321">
        <f>IF('Plant Availibility Calculator'!$P$23="Lower Port Cask System",'Lower Cask Summary'!$I67,IF('Plant Availibility Calculator'!$P$23="Lower Port Hot Cell",'Lower Hot Cell Summary'!$I67,"ERROR"))</f>
        <v>65.046296088062405</v>
      </c>
      <c r="L67" s="3611"/>
      <c r="M67" s="3321"/>
      <c r="N67" s="3162"/>
    </row>
    <row r="68" spans="2:14" x14ac:dyDescent="0.4">
      <c r="B68" s="3903"/>
      <c r="C68" s="3907" t="s">
        <v>3</v>
      </c>
      <c r="D68" s="3170" t="s">
        <v>26</v>
      </c>
      <c r="E68" s="3171">
        <f>E$7*(ROUNDUP((Tokamak_Segmts/6),0))</f>
        <v>154.16000000000003</v>
      </c>
      <c r="F68" s="3172">
        <f>F$7*(ROUNDUP((Tokamak_Segmts/6),0))</f>
        <v>156.3633333333334</v>
      </c>
      <c r="G68" s="3171">
        <f>'Upper Cask Recovery Scenarios'!$I$12</f>
        <v>191.06902284934014</v>
      </c>
      <c r="H68" s="3173">
        <f>'Upper Cask Welding failures'!$J$24</f>
        <v>99.407787250394961</v>
      </c>
      <c r="I68" s="3174">
        <f>SUM(E68:H68)</f>
        <v>601.00014343306862</v>
      </c>
      <c r="J68" s="3611"/>
      <c r="K68" s="3276">
        <f>IF('Plant Availibility Calculator'!$P$23="Lower Port Cask System",'Lower Cask Summary'!$I68,IF('Plant Availibility Calculator'!$P$23="Lower Port Hot Cell",'Lower Hot Cell Summary'!$I68,"ERROR"))</f>
        <v>403.22877041024509</v>
      </c>
      <c r="L68" s="3611"/>
      <c r="M68" s="3276"/>
      <c r="N68" s="3162"/>
    </row>
    <row r="69" spans="2:14" s="3223" customFormat="1" x14ac:dyDescent="0.4">
      <c r="B69" s="3903"/>
      <c r="C69" s="3908"/>
      <c r="D69" s="3231" t="s">
        <v>28</v>
      </c>
      <c r="E69" s="3171">
        <f>E68/24</f>
        <v>6.4233333333333347</v>
      </c>
      <c r="F69" s="3172">
        <f>F68/24</f>
        <v>6.5151388888888917</v>
      </c>
      <c r="G69" s="3171">
        <f>G68/G71</f>
        <v>0.63938336362648929</v>
      </c>
      <c r="H69" s="3173">
        <f>H68/H71</f>
        <v>0.13412515012042847</v>
      </c>
      <c r="I69" s="3174">
        <f>I68/24</f>
        <v>25.041672643044524</v>
      </c>
      <c r="J69" s="3611"/>
      <c r="K69" s="3276">
        <f>IF('Plant Availibility Calculator'!$P$23="Lower Port Cask System",'Lower Cask Summary'!$I69,IF('Plant Availibility Calculator'!$P$23="Lower Port Hot Cell",'Lower Hot Cell Summary'!$I69,"ERROR"))</f>
        <v>10.106349230056505</v>
      </c>
      <c r="L69" s="3611"/>
      <c r="M69" s="3276"/>
      <c r="N69" s="3162"/>
    </row>
    <row r="70" spans="2:14" x14ac:dyDescent="0.4">
      <c r="B70" s="3903"/>
      <c r="C70" s="3908"/>
      <c r="D70" s="3184" t="s">
        <v>2699</v>
      </c>
      <c r="E70" s="3232">
        <f>E$9*(ROUNDUP((Tokamak_Segmts/6),0))</f>
        <v>28.004360824213848</v>
      </c>
      <c r="F70" s="3233">
        <f>F$9*(ROUNDUP((Tokamak_Segmts/6),0))</f>
        <v>31.531666666666698</v>
      </c>
      <c r="G70" s="3232">
        <f>'Upper Cask Recovery Scenarios'!$I$13</f>
        <v>0</v>
      </c>
      <c r="H70" s="3234">
        <f>'Upper Cask Welding failures'!$J$25</f>
        <v>90.882231514735338</v>
      </c>
      <c r="I70" s="3235">
        <f>SUM(E70:H70)</f>
        <v>150.41825900561588</v>
      </c>
      <c r="J70" s="3613"/>
      <c r="K70" s="3325">
        <f>IF('Plant Availibility Calculator'!$P$23="Lower Port Cask System",'Lower Cask Summary'!$I70,IF('Plant Availibility Calculator'!$P$23="Lower Port Hot Cell",'Lower Hot Cell Summary'!$I70,"ERROR"))</f>
        <v>365.49968258178706</v>
      </c>
      <c r="L70" s="3613"/>
      <c r="M70" s="3325"/>
      <c r="N70" s="3183"/>
    </row>
    <row r="71" spans="2:14" ht="15" customHeight="1" x14ac:dyDescent="0.4">
      <c r="B71" s="3903"/>
      <c r="C71" s="3909" t="s">
        <v>25</v>
      </c>
      <c r="D71" s="3190" t="s">
        <v>26</v>
      </c>
      <c r="E71" s="3191">
        <f>E68+E66+E70</f>
        <v>637.62142713329854</v>
      </c>
      <c r="F71" s="3192">
        <f>F68+F66+F70</f>
        <v>1089.7909882781039</v>
      </c>
      <c r="G71" s="3191">
        <f>G68+G66+G70</f>
        <v>298.83327236671357</v>
      </c>
      <c r="H71" s="3193">
        <f>H68+H66+H70</f>
        <v>741.15695051329726</v>
      </c>
      <c r="I71" s="3194">
        <f>SUM(E71:H71)</f>
        <v>2767.4026382914135</v>
      </c>
      <c r="J71" s="3615"/>
      <c r="K71" s="3294">
        <f>IF('Plant Availibility Calculator'!$P$23="Lower Port Cask System",'Lower Cask Summary'!$I71,IF('Plant Availibility Calculator'!$P$23="Lower Port Hot Cell",'Lower Hot Cell Summary'!$I71,"ERROR"))</f>
        <v>3489.1569210236721</v>
      </c>
      <c r="L71" s="3615"/>
      <c r="M71" s="3294">
        <f t="shared" ref="M71:M76" si="1">MAX(K71,I71)</f>
        <v>3489.1569210236721</v>
      </c>
      <c r="N71" s="3195"/>
    </row>
    <row r="72" spans="2:14" ht="15" thickBot="1" x14ac:dyDescent="0.45">
      <c r="B72" s="3903"/>
      <c r="C72" s="3910"/>
      <c r="D72" s="3198" t="s">
        <v>28</v>
      </c>
      <c r="E72" s="3199">
        <f>E71/24</f>
        <v>26.567559463887438</v>
      </c>
      <c r="F72" s="3200">
        <f>F71/24</f>
        <v>45.407957844920993</v>
      </c>
      <c r="G72" s="3201">
        <f>G71/24</f>
        <v>12.451386348613065</v>
      </c>
      <c r="H72" s="3202">
        <f>H71/24</f>
        <v>30.881539604720718</v>
      </c>
      <c r="I72" s="3200">
        <f>I71/24</f>
        <v>115.30844326214223</v>
      </c>
      <c r="J72" s="3616"/>
      <c r="K72" s="3626">
        <f>IF('Plant Availibility Calculator'!$P$23="Lower Port Cask System",'Lower Cask Summary'!$I72,IF('Plant Availibility Calculator'!$P$23="Lower Port Hot Cell",'Lower Hot Cell Summary'!$I72,"ERROR"))</f>
        <v>90.081619626330294</v>
      </c>
      <c r="L72" s="3616"/>
      <c r="M72" s="3626">
        <f t="shared" si="1"/>
        <v>115.30844326214223</v>
      </c>
      <c r="N72" s="3203"/>
    </row>
    <row r="73" spans="2:14" s="3223" customFormat="1" ht="15" customHeight="1" x14ac:dyDescent="0.4">
      <c r="B73" s="3903"/>
      <c r="C73" s="3911" t="s">
        <v>111</v>
      </c>
      <c r="D73" s="3205" t="s">
        <v>26</v>
      </c>
      <c r="E73" s="3206">
        <f>((E66+E68+E70)/two_shift_productivity_ratio)*1.1</f>
        <v>1052.0753547699426</v>
      </c>
      <c r="F73" s="3207">
        <f>((F66+F68+F70)/two_shift_productivity_ratio)*1.1</f>
        <v>1798.1551306588717</v>
      </c>
      <c r="G73" s="3206">
        <f>((G66+G68+G70)/two_shift_productivity_ratio)*1.1</f>
        <v>493.07489940507742</v>
      </c>
      <c r="H73" s="3207">
        <f>((H66+H68+H70)/two_shift_productivity_ratio)*1.1</f>
        <v>1222.9089683469408</v>
      </c>
      <c r="I73" s="3208">
        <f>SUM(E73:H73)</f>
        <v>4566.2143531808324</v>
      </c>
      <c r="J73" s="3611"/>
      <c r="K73" s="3304">
        <f>IF('Plant Availibility Calculator'!$P$23="Lower Port Cask System",'Lower Cask Summary'!$I73,IF('Plant Availibility Calculator'!$P$23="Lower Port Hot Cell",'Lower Hot Cell Summary'!$I73,"ERROR"))</f>
        <v>5757.1089196890589</v>
      </c>
      <c r="L73" s="3611"/>
      <c r="M73" s="3304">
        <f t="shared" si="1"/>
        <v>5757.1089196890589</v>
      </c>
      <c r="N73" s="3162"/>
    </row>
    <row r="74" spans="2:14" ht="15" customHeight="1" x14ac:dyDescent="0.4">
      <c r="B74" s="3903"/>
      <c r="C74" s="3912"/>
      <c r="D74" s="3210" t="s">
        <v>112</v>
      </c>
      <c r="E74" s="3211">
        <f>E73/24</f>
        <v>43.836473115414272</v>
      </c>
      <c r="F74" s="3212">
        <f>F73/24</f>
        <v>74.92313044411965</v>
      </c>
      <c r="G74" s="3211">
        <f>G73/24</f>
        <v>20.54478747521156</v>
      </c>
      <c r="H74" s="3212">
        <f>H73/24</f>
        <v>50.954540347789198</v>
      </c>
      <c r="I74" s="3214">
        <f>I73/24</f>
        <v>190.25893138253468</v>
      </c>
      <c r="J74" s="3611"/>
      <c r="K74" s="3309">
        <f>IF('Plant Availibility Calculator'!$P$23="Lower Port Cask System",'Lower Cask Summary'!$I74,IF('Plant Availibility Calculator'!$P$23="Lower Port Hot Cell",'Lower Hot Cell Summary'!$I74,"ERROR"))</f>
        <v>239.87953832037746</v>
      </c>
      <c r="L74" s="3611"/>
      <c r="M74" s="3309">
        <f t="shared" si="1"/>
        <v>239.87953832037746</v>
      </c>
      <c r="N74" s="3162"/>
    </row>
    <row r="75" spans="2:14" x14ac:dyDescent="0.4">
      <c r="B75" s="3903"/>
      <c r="C75" s="3912"/>
      <c r="D75" s="3210" t="s">
        <v>113</v>
      </c>
      <c r="E75" s="3211">
        <f>E74/30</f>
        <v>1.4612157705138091</v>
      </c>
      <c r="F75" s="3212">
        <f>F74/30</f>
        <v>2.4974376814706551</v>
      </c>
      <c r="G75" s="3211">
        <f>G74/30</f>
        <v>0.6848262491737187</v>
      </c>
      <c r="H75" s="3212">
        <f>H74/30</f>
        <v>1.6984846782596399</v>
      </c>
      <c r="I75" s="3214">
        <f>I74/30</f>
        <v>6.3419643794178224</v>
      </c>
      <c r="J75" s="3611"/>
      <c r="K75" s="3309">
        <f>IF('Plant Availibility Calculator'!$P$23="Lower Port Cask System",'Lower Cask Summary'!$I75,IF('Plant Availibility Calculator'!$P$23="Lower Port Hot Cell",'Lower Hot Cell Summary'!$I75,"ERROR"))</f>
        <v>7.9959846106792485</v>
      </c>
      <c r="L75" s="3611"/>
      <c r="M75" s="3309">
        <f t="shared" si="1"/>
        <v>7.9959846106792485</v>
      </c>
      <c r="N75" s="3162"/>
    </row>
    <row r="76" spans="2:14" s="3239" customFormat="1" ht="15" thickBot="1" x14ac:dyDescent="0.45">
      <c r="B76" s="3904"/>
      <c r="C76" s="3913"/>
      <c r="D76" s="3237" t="s">
        <v>513</v>
      </c>
      <c r="E76" s="3216">
        <f>E73/$I$73</f>
        <v>0.2304042853435177</v>
      </c>
      <c r="F76" s="3217">
        <f>F73/$I$73</f>
        <v>0.39379560212854964</v>
      </c>
      <c r="G76" s="3216">
        <f>G73/$I$73</f>
        <v>0.10798330110403176</v>
      </c>
      <c r="H76" s="3217">
        <f>H73/$I$73</f>
        <v>0.26781681142390096</v>
      </c>
      <c r="I76" s="3219">
        <f>I73/$I$73</f>
        <v>1</v>
      </c>
      <c r="J76" s="3612"/>
      <c r="K76" s="3314">
        <f>IF('Plant Availibility Calculator'!$P$23="Lower Port Cask System",'Lower Cask Summary'!$I76,IF('Plant Availibility Calculator'!$P$23="Lower Port Hot Cell",'Lower Hot Cell Summary'!$I76,"ERROR"))</f>
        <v>1</v>
      </c>
      <c r="L76" s="3612"/>
      <c r="M76" s="3314">
        <f t="shared" si="1"/>
        <v>1</v>
      </c>
      <c r="N76" s="3168"/>
    </row>
    <row r="77" spans="2:14" x14ac:dyDescent="0.4">
      <c r="E77" s="3223"/>
      <c r="F77" s="3223"/>
      <c r="G77" s="3223"/>
      <c r="H77" s="3223"/>
      <c r="I77" s="3223"/>
      <c r="J77" s="3266"/>
      <c r="K77" s="3266"/>
      <c r="L77" s="3266"/>
      <c r="M77" s="3266"/>
      <c r="N77" s="3223"/>
    </row>
    <row r="82" spans="10:13" x14ac:dyDescent="0.4">
      <c r="J82" s="3266"/>
      <c r="K82" s="3266"/>
      <c r="L82" s="3266"/>
      <c r="M82" s="3266"/>
    </row>
    <row r="83" spans="10:13" x14ac:dyDescent="0.4">
      <c r="J83" s="3266"/>
      <c r="K83" s="3266"/>
      <c r="L83" s="3266"/>
      <c r="M83" s="3266"/>
    </row>
    <row r="84" spans="10:13" x14ac:dyDescent="0.4">
      <c r="J84" s="3266"/>
      <c r="K84" s="3266"/>
      <c r="L84" s="3266"/>
      <c r="M84" s="3266"/>
    </row>
    <row r="85" spans="10:13" x14ac:dyDescent="0.4">
      <c r="J85" s="3266"/>
      <c r="K85" s="3266"/>
      <c r="L85" s="3266"/>
      <c r="M85" s="3266"/>
    </row>
    <row r="88" spans="10:13" x14ac:dyDescent="0.4">
      <c r="J88" s="3266"/>
      <c r="K88" s="3266"/>
      <c r="L88" s="3266"/>
      <c r="M88" s="3266"/>
    </row>
    <row r="89" spans="10:13" x14ac:dyDescent="0.4">
      <c r="J89" s="3266"/>
      <c r="K89" s="3266"/>
      <c r="L89" s="3266"/>
      <c r="M89" s="3266"/>
    </row>
    <row r="90" spans="10:13" x14ac:dyDescent="0.4">
      <c r="J90" s="3266"/>
      <c r="K90" s="3266"/>
      <c r="L90" s="3266"/>
      <c r="M90" s="3266"/>
    </row>
    <row r="91" spans="10:13" x14ac:dyDescent="0.4">
      <c r="J91" s="3266"/>
      <c r="K91" s="3266"/>
      <c r="L91" s="3266"/>
      <c r="M91" s="3266"/>
    </row>
  </sheetData>
  <sheetProtection algorithmName="SHA-512" hashValue="SGLMeikW/F/N4aMsa7tvFfzzTbl0r/0DpYGgxM+c3RuEKzhQ/9k3eCwKpwJQt6R7oNDVZ+zNPy00GQk2M97Xkw==" saltValue="yJ2UuGSe6Efr25LSaOgoZQ==" spinCount="100000" sheet="1" objects="1" scenarios="1"/>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5">
    <mergeCell ref="K2:K3"/>
    <mergeCell ref="M2:M3"/>
    <mergeCell ref="B66:B76"/>
    <mergeCell ref="C66:C67"/>
    <mergeCell ref="C68:C70"/>
    <mergeCell ref="C71:C72"/>
    <mergeCell ref="C73:C76"/>
    <mergeCell ref="B42:B52"/>
    <mergeCell ref="C42:C43"/>
    <mergeCell ref="C44:C46"/>
    <mergeCell ref="C47:C48"/>
    <mergeCell ref="C49:C52"/>
    <mergeCell ref="B54:B64"/>
    <mergeCell ref="C54:C55"/>
    <mergeCell ref="C56:C58"/>
    <mergeCell ref="C59:C60"/>
    <mergeCell ref="C61:C64"/>
    <mergeCell ref="B18:B28"/>
    <mergeCell ref="C18:C19"/>
    <mergeCell ref="C20:C22"/>
    <mergeCell ref="C23:C24"/>
    <mergeCell ref="C25:C28"/>
    <mergeCell ref="B30:B40"/>
    <mergeCell ref="C30:C31"/>
    <mergeCell ref="C32:C34"/>
    <mergeCell ref="C35:C36"/>
    <mergeCell ref="C37:C40"/>
    <mergeCell ref="E2:I2"/>
    <mergeCell ref="E3:F3"/>
    <mergeCell ref="G3:H3"/>
    <mergeCell ref="B5:B16"/>
    <mergeCell ref="C5:C6"/>
    <mergeCell ref="C7:C10"/>
    <mergeCell ref="C11:C12"/>
    <mergeCell ref="C13:C16"/>
  </mergeCells>
  <pageMargins left="0.7" right="0.7" top="0.75" bottom="0.75" header="0.3" footer="0.3"/>
  <pageSetup paperSize="9" orientation="portrait" verticalDpi="0" r:id="rId2"/>
  <drawing r:id="rId3"/>
  <legacy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B4:S270"/>
  <sheetViews>
    <sheetView workbookViewId="0">
      <selection activeCell="U23" sqref="U23"/>
    </sheetView>
  </sheetViews>
  <sheetFormatPr defaultColWidth="9.15234375" defaultRowHeight="12.9" outlineLevelCol="1" x14ac:dyDescent="0.35"/>
  <cols>
    <col min="1" max="1" width="1.53515625" style="2545" customWidth="1"/>
    <col min="2" max="2" width="17" style="2544" customWidth="1"/>
    <col min="3" max="3" width="56.3828125" style="2545" customWidth="1"/>
    <col min="4" max="4" width="12.3828125" style="2545" bestFit="1" customWidth="1"/>
    <col min="5" max="5" width="10.69140625" style="2546" bestFit="1" customWidth="1"/>
    <col min="6" max="6" width="13.3828125" style="2546" customWidth="1"/>
    <col min="7" max="7" width="46" style="2545" hidden="1" customWidth="1" outlineLevel="1"/>
    <col min="8" max="8" width="11.53515625" style="2546" customWidth="1" collapsed="1"/>
    <col min="9" max="9" width="28.3046875" style="2545" hidden="1" customWidth="1" outlineLevel="1"/>
    <col min="10" max="10" width="24.3046875" style="2545" hidden="1" customWidth="1" outlineLevel="1"/>
    <col min="11" max="11" width="23.3828125" style="2545" hidden="1" customWidth="1" outlineLevel="1"/>
    <col min="12" max="12" width="14.3828125" style="2545" hidden="1" customWidth="1" outlineLevel="1"/>
    <col min="13" max="13" width="14.15234375" style="2545" hidden="1" customWidth="1" outlineLevel="1"/>
    <col min="14" max="14" width="10.69140625" style="2546" customWidth="1" collapsed="1"/>
    <col min="15" max="15" width="56.3046875" style="2545" hidden="1" customWidth="1" outlineLevel="1"/>
    <col min="16" max="16" width="10.69140625" style="2547" customWidth="1" collapsed="1"/>
    <col min="17" max="17" width="61.15234375" style="2548" hidden="1" customWidth="1" outlineLevel="1"/>
    <col min="18" max="18" width="12" style="2546" hidden="1" customWidth="1" outlineLevel="1"/>
    <col min="19" max="19" width="13.53515625" style="2546" customWidth="1" collapsed="1"/>
    <col min="20" max="29" width="9.15234375" style="2545" customWidth="1"/>
    <col min="30" max="16384" width="9.15234375" style="2545"/>
  </cols>
  <sheetData>
    <row r="4" spans="2:19" ht="13.3" thickBot="1" x14ac:dyDescent="0.4"/>
    <row r="5" spans="2:19" ht="13.3" thickBot="1" x14ac:dyDescent="0.4">
      <c r="E5" s="2549"/>
      <c r="G5" s="3942" t="s">
        <v>18</v>
      </c>
      <c r="H5" s="3943"/>
      <c r="I5" s="3935" t="s">
        <v>778</v>
      </c>
      <c r="J5" s="3944"/>
      <c r="K5" s="3944"/>
      <c r="L5" s="3944"/>
      <c r="M5" s="3944"/>
      <c r="N5" s="3936"/>
      <c r="O5" s="3935" t="s">
        <v>3</v>
      </c>
      <c r="P5" s="3936"/>
      <c r="Q5" s="3914" t="s">
        <v>779</v>
      </c>
      <c r="R5" s="3915"/>
      <c r="S5" s="3916"/>
    </row>
    <row r="6" spans="2:19" s="2559" customFormat="1" ht="26.15" thickBot="1" x14ac:dyDescent="0.45">
      <c r="B6" s="2550" t="s">
        <v>780</v>
      </c>
      <c r="C6" s="2550" t="s">
        <v>781</v>
      </c>
      <c r="D6" s="2551" t="s">
        <v>782</v>
      </c>
      <c r="E6" s="2552" t="s">
        <v>783</v>
      </c>
      <c r="F6" s="2553" t="s">
        <v>784</v>
      </c>
      <c r="G6" s="2550" t="s">
        <v>785</v>
      </c>
      <c r="H6" s="2552" t="s">
        <v>783</v>
      </c>
      <c r="I6" s="2550" t="s">
        <v>786</v>
      </c>
      <c r="J6" s="2554" t="s">
        <v>787</v>
      </c>
      <c r="K6" s="2554" t="s">
        <v>788</v>
      </c>
      <c r="L6" s="2554" t="s">
        <v>789</v>
      </c>
      <c r="M6" s="2554" t="s">
        <v>790</v>
      </c>
      <c r="N6" s="2552" t="s">
        <v>783</v>
      </c>
      <c r="O6" s="2550" t="s">
        <v>785</v>
      </c>
      <c r="P6" s="2555" t="s">
        <v>783</v>
      </c>
      <c r="Q6" s="2556" t="s">
        <v>781</v>
      </c>
      <c r="R6" s="2557" t="s">
        <v>791</v>
      </c>
      <c r="S6" s="2558" t="s">
        <v>792</v>
      </c>
    </row>
    <row r="7" spans="2:19" x14ac:dyDescent="0.35">
      <c r="B7" s="3920" t="s">
        <v>1206</v>
      </c>
      <c r="C7" s="2560" t="s">
        <v>0</v>
      </c>
      <c r="D7" s="2560" t="s">
        <v>251</v>
      </c>
      <c r="E7" s="2561">
        <f t="shared" ref="E7:E85" si="0">MAX($P7,$N7,$H7)</f>
        <v>0</v>
      </c>
      <c r="F7" s="2561">
        <f>IFERROR(E7+F6, E7)</f>
        <v>0</v>
      </c>
      <c r="G7" s="2560" t="s">
        <v>0</v>
      </c>
      <c r="H7" s="2562">
        <f>IF($D7="operation",VLOOKUP($G7,'Generic Vertical Port Tasks'!$C$4:$D$197,2,FALSE),"N/A")</f>
        <v>0</v>
      </c>
      <c r="I7" s="2560"/>
      <c r="J7" s="2560"/>
      <c r="K7" s="2560"/>
      <c r="L7" s="2563" t="str">
        <f>IFERROR(INDEX('Upper Cask Movement &amp; Logistics'!$I$24:$P$31,MATCH($J7,'Upper Cask Movement &amp; Logistics'!$H$24:$H$31,0),MATCH($K7,'Upper Cask Movement &amp; Logistics'!$H$24:$H$31,0)),"N/A")</f>
        <v>N/A</v>
      </c>
      <c r="M7" s="2564" t="str">
        <f>IFERROR(VLOOKUP($I7,'Upper Cask Movement &amp; Logistics'!$H$4:$I$8,2,FALSE),"N/A")</f>
        <v>N/A</v>
      </c>
      <c r="N7" s="2562" t="str">
        <f t="shared" ref="N7:N85" si="1">IF(D7="Movement",IFERROR((L7/M7)/(60*60),"Error"),"N/A")</f>
        <v>N/A</v>
      </c>
      <c r="O7" s="2565"/>
      <c r="P7" s="2562" t="str">
        <f>IF($D7="Logistics",VLOOKUP($O7,'Upper Cask Movement &amp; Logistics'!$C$4:$D$209,2,FALSE),"N/A")</f>
        <v>N/A</v>
      </c>
      <c r="Q7" s="2566"/>
      <c r="R7" s="2562" t="str">
        <f>IFERROR(VLOOKUP($Q7,'Upper Cask Dependencies'!$C$3:$F$322,4,FALSE),"N/A")</f>
        <v>N/A</v>
      </c>
      <c r="S7" s="2567" t="str">
        <f>IFERROR(F6-R7,"N/A")</f>
        <v>N/A</v>
      </c>
    </row>
    <row r="8" spans="2:19" x14ac:dyDescent="0.35">
      <c r="B8" s="3921"/>
      <c r="C8" s="2568" t="s">
        <v>1207</v>
      </c>
      <c r="D8" s="2568" t="s">
        <v>3</v>
      </c>
      <c r="E8" s="2569">
        <f t="shared" si="0"/>
        <v>0.5</v>
      </c>
      <c r="F8" s="2569">
        <f t="shared" ref="F8:F86" si="2">IF(S8&lt;0,E8+F7+(-S8),E8+F7)</f>
        <v>0.5</v>
      </c>
      <c r="G8" s="2568"/>
      <c r="H8" s="2570" t="str">
        <f>IF($D8="operation",VLOOKUP($G8,'Generic Vertical Port Tasks'!$C$4:$D$197,2,FALSE),"N/A")</f>
        <v>N/A</v>
      </c>
      <c r="I8" s="2568"/>
      <c r="J8" s="2568"/>
      <c r="K8" s="2568"/>
      <c r="L8" s="2571" t="str">
        <f>IFERROR(INDEX('Upper Cask Movement &amp; Logistics'!$I$24:$P$31,MATCH($J8,'Upper Cask Movement &amp; Logistics'!$H$24:$H$31,0),MATCH($K8,'Upper Cask Movement &amp; Logistics'!$H$24:$H$31,0)),"N/A")</f>
        <v>N/A</v>
      </c>
      <c r="M8" s="2572" t="str">
        <f>IFERROR(VLOOKUP($I8,'Upper Cask Movement &amp; Logistics'!$H$4:$I$8,2,FALSE),"N/A")</f>
        <v>N/A</v>
      </c>
      <c r="N8" s="2570" t="str">
        <f t="shared" si="1"/>
        <v>N/A</v>
      </c>
      <c r="O8" s="2573" t="s">
        <v>1208</v>
      </c>
      <c r="P8" s="2570">
        <f>IF($D8="Logistics",VLOOKUP($O8,'Upper Cask Movement &amp; Logistics'!$C$4:$D$209,2,FALSE),"N/A")</f>
        <v>0.5</v>
      </c>
      <c r="Q8" s="2574"/>
      <c r="R8" s="2570" t="str">
        <f>IFERROR(VLOOKUP($Q8,'Upper Cask Dependencies'!$C$3:$F$322,4,FALSE),"N/A")</f>
        <v>N/A</v>
      </c>
      <c r="S8" s="2575" t="str">
        <f>IFERROR(F7-R8,"N/A")</f>
        <v>N/A</v>
      </c>
    </row>
    <row r="9" spans="2:19" x14ac:dyDescent="0.35">
      <c r="B9" s="3921"/>
      <c r="C9" s="2568" t="s">
        <v>1209</v>
      </c>
      <c r="D9" s="2568" t="s">
        <v>778</v>
      </c>
      <c r="E9" s="2569">
        <f t="shared" si="0"/>
        <v>6.9444444444444448E-2</v>
      </c>
      <c r="F9" s="2569">
        <f t="shared" si="2"/>
        <v>0.56944444444444442</v>
      </c>
      <c r="G9" s="2568"/>
      <c r="H9" s="2570" t="str">
        <f>IF($D9="operation",VLOOKUP($G9,'Generic Vertical Port Tasks'!$C$4:$D$197,2,FALSE),"N/A")</f>
        <v>N/A</v>
      </c>
      <c r="I9" s="2568" t="s">
        <v>798</v>
      </c>
      <c r="J9" s="2568" t="s">
        <v>799</v>
      </c>
      <c r="K9" s="2568" t="s">
        <v>452</v>
      </c>
      <c r="L9" s="2571">
        <f>IFERROR(INDEX('Upper Cask Movement &amp; Logistics'!$I$24:$P$31,MATCH($J9,'Upper Cask Movement &amp; Logistics'!$H$24:$H$31,0),MATCH($K9,'Upper Cask Movement &amp; Logistics'!$H$24:$H$31,0)),"N/A")</f>
        <v>50</v>
      </c>
      <c r="M9" s="2572">
        <f>IFERROR(VLOOKUP($I9,'Upper Cask Movement &amp; Logistics'!$H$4:$I$8,2,FALSE),"N/A")</f>
        <v>0.2</v>
      </c>
      <c r="N9" s="2570">
        <f t="shared" si="1"/>
        <v>6.9444444444444448E-2</v>
      </c>
      <c r="O9" s="2573"/>
      <c r="P9" s="2570" t="str">
        <f>IF($D9="Logistics",VLOOKUP($O9,'Upper Cask Movement &amp; Logistics'!$C$4:$D$209,2,FALSE),"N/A")</f>
        <v>N/A</v>
      </c>
      <c r="Q9" s="2574"/>
      <c r="R9" s="2570" t="str">
        <f>IFERROR(VLOOKUP($Q9,'Upper Cask Dependencies'!$C$3:$F$322,4,FALSE),"N/A")</f>
        <v>N/A</v>
      </c>
      <c r="S9" s="2575" t="str">
        <f t="shared" ref="S9:S87" si="3">IFERROR(F8-R9,"N/A")</f>
        <v>N/A</v>
      </c>
    </row>
    <row r="10" spans="2:19" x14ac:dyDescent="0.35">
      <c r="B10" s="3921"/>
      <c r="C10" s="2568" t="s">
        <v>770</v>
      </c>
      <c r="D10" s="2568" t="s">
        <v>251</v>
      </c>
      <c r="E10" s="2569">
        <f t="shared" si="0"/>
        <v>0.56666666666666665</v>
      </c>
      <c r="F10" s="2569">
        <f t="shared" si="2"/>
        <v>1.1361111111111111</v>
      </c>
      <c r="G10" s="2568" t="s">
        <v>10</v>
      </c>
      <c r="H10" s="2570">
        <f>IF($D10="operation",VLOOKUP($G10,'Generic Vertical Port Tasks'!$C$4:$D$197,2,FALSE),"N/A")</f>
        <v>0.56666666666666665</v>
      </c>
      <c r="I10" s="2568"/>
      <c r="J10" s="2568"/>
      <c r="K10" s="2568"/>
      <c r="L10" s="2571" t="str">
        <f>IFERROR(INDEX('Upper Cask Movement &amp; Logistics'!$I$24:$P$31,MATCH($J10,'Upper Cask Movement &amp; Logistics'!$H$24:$H$31,0),MATCH($K10,'Upper Cask Movement &amp; Logistics'!$H$24:$H$31,0)),"N/A")</f>
        <v>N/A</v>
      </c>
      <c r="M10" s="2572" t="str">
        <f>IFERROR(VLOOKUP($I10,'Upper Cask Movement &amp; Logistics'!$H$4:$I$8,2,FALSE),"N/A")</f>
        <v>N/A</v>
      </c>
      <c r="N10" s="2570" t="str">
        <f t="shared" si="1"/>
        <v>N/A</v>
      </c>
      <c r="O10" s="2573"/>
      <c r="P10" s="2570" t="str">
        <f>IF($D10="Logistics",VLOOKUP($O10,'Upper Cask Movement &amp; Logistics'!$C$4:$D$209,2,FALSE),"N/A")</f>
        <v>N/A</v>
      </c>
      <c r="Q10" s="2574"/>
      <c r="R10" s="2570" t="str">
        <f>IFERROR(VLOOKUP($Q10,'Upper Cask Dependencies'!$C$3:$F$322,4,FALSE),"N/A")</f>
        <v>N/A</v>
      </c>
      <c r="S10" s="2575" t="str">
        <f t="shared" si="3"/>
        <v>N/A</v>
      </c>
    </row>
    <row r="11" spans="2:19" x14ac:dyDescent="0.35">
      <c r="B11" s="3921"/>
      <c r="C11" s="2568" t="s">
        <v>1210</v>
      </c>
      <c r="D11" s="2568" t="s">
        <v>778</v>
      </c>
      <c r="E11" s="2569">
        <f t="shared" si="0"/>
        <v>0.41666666666666669</v>
      </c>
      <c r="F11" s="2569">
        <f t="shared" si="2"/>
        <v>1.5527777777777778</v>
      </c>
      <c r="G11" s="2568"/>
      <c r="H11" s="2570" t="str">
        <f>IF($D11="operation",VLOOKUP($G11,'Generic Vertical Port Tasks'!$C$4:$D$197,2,FALSE),"N/A")</f>
        <v>N/A</v>
      </c>
      <c r="I11" s="2568" t="s">
        <v>857</v>
      </c>
      <c r="J11" s="2568" t="s">
        <v>452</v>
      </c>
      <c r="K11" s="2568" t="s">
        <v>1211</v>
      </c>
      <c r="L11" s="2571">
        <f>IFERROR(INDEX('Upper Cask Movement &amp; Logistics'!$I$24:$P$31,MATCH($J11,'Upper Cask Movement &amp; Logistics'!$H$24:$H$31,0),MATCH($K11,'Upper Cask Movement &amp; Logistics'!$H$24:$H$31,0)),"N/A")</f>
        <v>30</v>
      </c>
      <c r="M11" s="2572">
        <f>IFERROR(VLOOKUP($I11,'Upper Cask Movement &amp; Logistics'!$H$4:$I$8,2,FALSE),"N/A")</f>
        <v>0.02</v>
      </c>
      <c r="N11" s="2570">
        <f t="shared" si="1"/>
        <v>0.41666666666666669</v>
      </c>
      <c r="O11" s="2573"/>
      <c r="P11" s="2570" t="str">
        <f>IF($D11="Logistics",VLOOKUP($O11,'Upper Cask Movement &amp; Logistics'!$C$4:$D$209,2,FALSE),"N/A")</f>
        <v>N/A</v>
      </c>
      <c r="Q11" s="2574"/>
      <c r="R11" s="2570" t="str">
        <f>IFERROR(VLOOKUP($Q11,'Upper Cask Dependencies'!$C$3:$F$322,4,FALSE),"N/A")</f>
        <v>N/A</v>
      </c>
      <c r="S11" s="2575" t="str">
        <f t="shared" si="3"/>
        <v>N/A</v>
      </c>
    </row>
    <row r="12" spans="2:19" x14ac:dyDescent="0.35">
      <c r="B12" s="3921"/>
      <c r="C12" s="2568" t="s">
        <v>1212</v>
      </c>
      <c r="D12" s="2568" t="s">
        <v>3</v>
      </c>
      <c r="E12" s="2569">
        <f t="shared" si="0"/>
        <v>0.68</v>
      </c>
      <c r="F12" s="2569">
        <f t="shared" si="2"/>
        <v>2.2327777777777778</v>
      </c>
      <c r="G12" s="2568"/>
      <c r="H12" s="2570" t="str">
        <f>IF($D12="operation",VLOOKUP($G12,'Generic Vertical Port Tasks'!$C$4:$D$197,2,FALSE),"N/A")</f>
        <v>N/A</v>
      </c>
      <c r="I12" s="2568"/>
      <c r="J12" s="2568"/>
      <c r="K12" s="2568"/>
      <c r="L12" s="2571" t="str">
        <f>IFERROR(INDEX('Upper Cask Movement &amp; Logistics'!$I$24:$P$31,MATCH($J12,'Upper Cask Movement &amp; Logistics'!$H$24:$H$31,0),MATCH($K12,'Upper Cask Movement &amp; Logistics'!$H$24:$H$31,0)),"N/A")</f>
        <v>N/A</v>
      </c>
      <c r="M12" s="2572" t="str">
        <f>IFERROR(VLOOKUP($I12,'Upper Cask Movement &amp; Logistics'!$H$4:$I$8,2,FALSE),"N/A")</f>
        <v>N/A</v>
      </c>
      <c r="N12" s="2570" t="str">
        <f t="shared" si="1"/>
        <v>N/A</v>
      </c>
      <c r="O12" s="2573" t="s">
        <v>1213</v>
      </c>
      <c r="P12" s="2570">
        <f>IF($D12="Logistics",VLOOKUP($O12,'Upper Cask Movement &amp; Logistics'!$C$4:$D$209,2,FALSE),"N/A")</f>
        <v>0.68</v>
      </c>
      <c r="Q12" s="2574"/>
      <c r="R12" s="2570" t="str">
        <f>IFERROR(VLOOKUP($Q12,'Upper Cask Dependencies'!$C$3:$F$322,4,FALSE),"N/A")</f>
        <v>N/A</v>
      </c>
      <c r="S12" s="2575" t="str">
        <f t="shared" si="3"/>
        <v>N/A</v>
      </c>
    </row>
    <row r="13" spans="2:19" x14ac:dyDescent="0.35">
      <c r="B13" s="3921"/>
      <c r="C13" s="2568" t="s">
        <v>1214</v>
      </c>
      <c r="D13" s="2568" t="s">
        <v>778</v>
      </c>
      <c r="E13" s="2569">
        <f t="shared" si="0"/>
        <v>2.7777777777777776E-2</v>
      </c>
      <c r="F13" s="2569">
        <f t="shared" si="2"/>
        <v>2.2605555555555554</v>
      </c>
      <c r="G13" s="2568"/>
      <c r="H13" s="2570" t="str">
        <f>IF($D13="operation",VLOOKUP($G13,'Generic Vertical Port Tasks'!$C$4:$D$197,2,FALSE),"N/A")</f>
        <v>N/A</v>
      </c>
      <c r="I13" s="2568" t="s">
        <v>798</v>
      </c>
      <c r="J13" s="2568" t="s">
        <v>1211</v>
      </c>
      <c r="K13" s="2568" t="s">
        <v>799</v>
      </c>
      <c r="L13" s="2571">
        <f>IFERROR(INDEX('Upper Cask Movement &amp; Logistics'!$I$24:$P$31,MATCH($J13,'Upper Cask Movement &amp; Logistics'!$H$24:$H$31,0),MATCH($K13,'Upper Cask Movement &amp; Logistics'!$H$24:$H$31,0)),"N/A")</f>
        <v>20</v>
      </c>
      <c r="M13" s="2572">
        <f>IFERROR(VLOOKUP($I13,'Upper Cask Movement &amp; Logistics'!$H$4:$I$8,2,FALSE),"N/A")</f>
        <v>0.2</v>
      </c>
      <c r="N13" s="2570">
        <f t="shared" si="1"/>
        <v>2.7777777777777776E-2</v>
      </c>
      <c r="O13" s="2573"/>
      <c r="P13" s="2570" t="str">
        <f>IF($D13="Logistics",VLOOKUP($O13,'Upper Cask Movement &amp; Logistics'!$C$4:$D$209,2,FALSE),"N/A")</f>
        <v>N/A</v>
      </c>
      <c r="Q13" s="2574"/>
      <c r="R13" s="2570" t="str">
        <f>IFERROR(VLOOKUP($Q13,'Upper Cask Dependencies'!$C$3:$F$322,4,FALSE),"N/A")</f>
        <v>N/A</v>
      </c>
      <c r="S13" s="2575" t="str">
        <f t="shared" si="3"/>
        <v>N/A</v>
      </c>
    </row>
    <row r="14" spans="2:19" x14ac:dyDescent="0.35">
      <c r="B14" s="3921"/>
      <c r="C14" s="2568" t="s">
        <v>1215</v>
      </c>
      <c r="D14" s="2568" t="s">
        <v>3</v>
      </c>
      <c r="E14" s="2569">
        <f t="shared" si="0"/>
        <v>0.68</v>
      </c>
      <c r="F14" s="2569">
        <f t="shared" si="2"/>
        <v>2.9405555555555556</v>
      </c>
      <c r="G14" s="2576"/>
      <c r="H14" s="2569" t="str">
        <f>IF($D14="operation",VLOOKUP($G14,'Generic Vertical Port Tasks'!$C$4:$D$197,2,FALSE),"N/A")</f>
        <v>N/A</v>
      </c>
      <c r="I14" s="2576"/>
      <c r="J14" s="2576"/>
      <c r="K14" s="2576"/>
      <c r="L14" s="2571" t="str">
        <f>IFERROR(INDEX('Upper Cask Movement &amp; Logistics'!$I$24:$P$31,MATCH($J14,'Upper Cask Movement &amp; Logistics'!$H$24:$H$31,0),MATCH($K14,'Upper Cask Movement &amp; Logistics'!$H$24:$H$31,0)),"N/A")</f>
        <v>N/A</v>
      </c>
      <c r="M14" s="2571" t="str">
        <f>IFERROR(VLOOKUP($I14,'Upper Cask Movement &amp; Logistics'!$H$4:$I$8,2,FALSE),"N/A")</f>
        <v>N/A</v>
      </c>
      <c r="N14" s="2569" t="str">
        <f t="shared" si="1"/>
        <v>N/A</v>
      </c>
      <c r="O14" s="2577" t="s">
        <v>1216</v>
      </c>
      <c r="P14" s="2569">
        <f>IF($D14="Logistics",VLOOKUP($O14,'Upper Cask Movement &amp; Logistics'!$C$4:$D$209,2,FALSE),"N/A")</f>
        <v>0.68</v>
      </c>
      <c r="Q14" s="2578"/>
      <c r="R14" s="2569" t="str">
        <f>IFERROR(VLOOKUP($Q14,'Upper Cask Dependencies'!$C$3:$F$322,4,FALSE),"N/A")</f>
        <v>N/A</v>
      </c>
      <c r="S14" s="2579" t="str">
        <f t="shared" si="3"/>
        <v>N/A</v>
      </c>
    </row>
    <row r="15" spans="2:19" x14ac:dyDescent="0.35">
      <c r="B15" s="3921"/>
      <c r="C15" s="2568" t="s">
        <v>1209</v>
      </c>
      <c r="D15" s="2568" t="s">
        <v>778</v>
      </c>
      <c r="E15" s="2569">
        <f t="shared" si="0"/>
        <v>0.69444444444444442</v>
      </c>
      <c r="F15" s="2569">
        <f t="shared" si="2"/>
        <v>3.6349999999999998</v>
      </c>
      <c r="G15" s="2576"/>
      <c r="H15" s="2569" t="str">
        <f>IF($D15="operation",VLOOKUP($G15,'Generic Vertical Port Tasks'!$C$4:$D$197,2,FALSE),"N/A")</f>
        <v>N/A</v>
      </c>
      <c r="I15" s="2576" t="s">
        <v>857</v>
      </c>
      <c r="J15" s="2576" t="s">
        <v>799</v>
      </c>
      <c r="K15" s="2576" t="s">
        <v>452</v>
      </c>
      <c r="L15" s="2571">
        <f>IFERROR(INDEX('Upper Cask Movement &amp; Logistics'!$I$24:$P$31,MATCH($J15,'Upper Cask Movement &amp; Logistics'!$H$24:$H$31,0),MATCH($K15,'Upper Cask Movement &amp; Logistics'!$H$24:$H$31,0)),"N/A")</f>
        <v>50</v>
      </c>
      <c r="M15" s="2571">
        <f>IFERROR(VLOOKUP($I15,'Upper Cask Movement &amp; Logistics'!$H$4:$I$8,2,FALSE),"N/A")</f>
        <v>0.02</v>
      </c>
      <c r="N15" s="2569">
        <f t="shared" si="1"/>
        <v>0.69444444444444442</v>
      </c>
      <c r="O15" s="2577"/>
      <c r="P15" s="2569" t="str">
        <f>IF($D15="Logistics",VLOOKUP($O15,'Upper Cask Movement &amp; Logistics'!$C$4:$D$209,2,FALSE),"N/A")</f>
        <v>N/A</v>
      </c>
      <c r="Q15" s="2578"/>
      <c r="R15" s="2569" t="str">
        <f>IFERROR(VLOOKUP($Q15,'Upper Cask Dependencies'!$C$3:$F$322,4,FALSE),"N/A")</f>
        <v>N/A</v>
      </c>
      <c r="S15" s="2579" t="str">
        <f t="shared" si="3"/>
        <v>N/A</v>
      </c>
    </row>
    <row r="16" spans="2:19" x14ac:dyDescent="0.35">
      <c r="B16" s="3921"/>
      <c r="C16" s="2568" t="s">
        <v>1217</v>
      </c>
      <c r="D16" s="2568" t="s">
        <v>3</v>
      </c>
      <c r="E16" s="2569">
        <f t="shared" si="0"/>
        <v>3.9000000000000004</v>
      </c>
      <c r="F16" s="2569">
        <f t="shared" si="2"/>
        <v>7.5350000000000001</v>
      </c>
      <c r="G16" s="2576"/>
      <c r="H16" s="2569" t="str">
        <f>IF($D16="operation",VLOOKUP($G16,'Generic Vertical Port Tasks'!$C$4:$D$197,2,FALSE),"N/A")</f>
        <v>N/A</v>
      </c>
      <c r="I16" s="2576"/>
      <c r="J16" s="2576"/>
      <c r="K16" s="2576"/>
      <c r="L16" s="2571" t="str">
        <f>IFERROR(INDEX('Upper Cask Movement &amp; Logistics'!$I$24:$P$31,MATCH($J16,'Upper Cask Movement &amp; Logistics'!$H$24:$H$31,0),MATCH($K16,'Upper Cask Movement &amp; Logistics'!$H$24:$H$31,0)),"N/A")</f>
        <v>N/A</v>
      </c>
      <c r="M16" s="2571" t="str">
        <f>IFERROR(VLOOKUP($I16,'Upper Cask Movement &amp; Logistics'!$H$4:$I$8,2,FALSE),"N/A")</f>
        <v>N/A</v>
      </c>
      <c r="N16" s="2569" t="str">
        <f t="shared" si="1"/>
        <v>N/A</v>
      </c>
      <c r="O16" s="2577" t="s">
        <v>1218</v>
      </c>
      <c r="P16" s="2569">
        <f>IF($D16="Logistics",VLOOKUP($O16,'Upper Cask Movement &amp; Logistics'!$C$4:$D$209,2,FALSE),"N/A")</f>
        <v>3.9000000000000004</v>
      </c>
      <c r="Q16" s="2578"/>
      <c r="R16" s="2569" t="str">
        <f>IFERROR(VLOOKUP($Q16,'Upper Cask Dependencies'!$C$3:$F$322,4,FALSE),"N/A")</f>
        <v>N/A</v>
      </c>
      <c r="S16" s="2579" t="str">
        <f t="shared" si="3"/>
        <v>N/A</v>
      </c>
    </row>
    <row r="17" spans="2:19" x14ac:dyDescent="0.35">
      <c r="B17" s="3921"/>
      <c r="C17" s="2568" t="s">
        <v>1214</v>
      </c>
      <c r="D17" s="2568" t="s">
        <v>778</v>
      </c>
      <c r="E17" s="2569">
        <f t="shared" si="0"/>
        <v>6.9444444444444448E-2</v>
      </c>
      <c r="F17" s="2569">
        <f t="shared" si="2"/>
        <v>7.6044444444444448</v>
      </c>
      <c r="G17" s="2576"/>
      <c r="H17" s="2569" t="str">
        <f>IF($D17="operation",VLOOKUP($G17,'Generic Vertical Port Tasks'!$C$4:$D$197,2,FALSE),"N/A")</f>
        <v>N/A</v>
      </c>
      <c r="I17" s="2576" t="s">
        <v>798</v>
      </c>
      <c r="J17" s="2576" t="s">
        <v>452</v>
      </c>
      <c r="K17" s="2576" t="s">
        <v>799</v>
      </c>
      <c r="L17" s="2571">
        <f>IFERROR(INDEX('Upper Cask Movement &amp; Logistics'!$I$24:$P$31,MATCH($J17,'Upper Cask Movement &amp; Logistics'!$H$24:$H$31,0),MATCH($K17,'Upper Cask Movement &amp; Logistics'!$H$24:$H$31,0)),"N/A")</f>
        <v>50</v>
      </c>
      <c r="M17" s="2571">
        <f>IFERROR(VLOOKUP($I17,'Upper Cask Movement &amp; Logistics'!$H$4:$I$8,2,FALSE),"N/A")</f>
        <v>0.2</v>
      </c>
      <c r="N17" s="2569">
        <f t="shared" si="1"/>
        <v>6.9444444444444448E-2</v>
      </c>
      <c r="O17" s="2577"/>
      <c r="P17" s="2569" t="str">
        <f>IF($D17="Logistics",VLOOKUP($O17,'Upper Cask Movement &amp; Logistics'!$C$4:$D$209,2,FALSE),"N/A")</f>
        <v>N/A</v>
      </c>
      <c r="Q17" s="2578"/>
      <c r="R17" s="2569" t="str">
        <f>IFERROR(VLOOKUP($Q17,'Upper Cask Dependencies'!$C$3:$F$322,4,FALSE),"N/A")</f>
        <v>N/A</v>
      </c>
      <c r="S17" s="2579" t="str">
        <f t="shared" si="3"/>
        <v>N/A</v>
      </c>
    </row>
    <row r="18" spans="2:19" x14ac:dyDescent="0.35">
      <c r="B18" s="3921"/>
      <c r="C18" s="2568" t="s">
        <v>1219</v>
      </c>
      <c r="D18" s="2568" t="s">
        <v>3</v>
      </c>
      <c r="E18" s="2569">
        <f t="shared" si="0"/>
        <v>0.68</v>
      </c>
      <c r="F18" s="2569">
        <f t="shared" si="2"/>
        <v>8.2844444444444445</v>
      </c>
      <c r="G18" s="2576"/>
      <c r="H18" s="2569" t="str">
        <f>IF($D18="operation",VLOOKUP($G18,'Generic Vertical Port Tasks'!$C$4:$D$197,2,FALSE),"N/A")</f>
        <v>N/A</v>
      </c>
      <c r="I18" s="2576"/>
      <c r="J18" s="2576"/>
      <c r="K18" s="2576"/>
      <c r="L18" s="2571" t="str">
        <f>IFERROR(INDEX('Upper Cask Movement &amp; Logistics'!$I$24:$P$31,MATCH($J18,'Upper Cask Movement &amp; Logistics'!$H$24:$H$31,0),MATCH($K18,'Upper Cask Movement &amp; Logistics'!$H$24:$H$31,0)),"N/A")</f>
        <v>N/A</v>
      </c>
      <c r="M18" s="2571" t="str">
        <f>IFERROR(VLOOKUP($I18,'Upper Cask Movement &amp; Logistics'!$H$4:$I$8,2,FALSE),"N/A")</f>
        <v>N/A</v>
      </c>
      <c r="N18" s="2569" t="str">
        <f t="shared" si="1"/>
        <v>N/A</v>
      </c>
      <c r="O18" s="2577" t="s">
        <v>1216</v>
      </c>
      <c r="P18" s="2569">
        <f>IF($D18="Logistics",VLOOKUP($O18,'Upper Cask Movement &amp; Logistics'!$C$4:$D$209,2,FALSE),"N/A")</f>
        <v>0.68</v>
      </c>
      <c r="Q18" s="2578"/>
      <c r="R18" s="2569" t="str">
        <f>IFERROR(VLOOKUP($Q18,'Upper Cask Dependencies'!$C$3:$F$322,4,FALSE),"N/A")</f>
        <v>N/A</v>
      </c>
      <c r="S18" s="2579" t="str">
        <f t="shared" si="3"/>
        <v>N/A</v>
      </c>
    </row>
    <row r="19" spans="2:19" x14ac:dyDescent="0.35">
      <c r="B19" s="3921"/>
      <c r="C19" s="2568" t="s">
        <v>1220</v>
      </c>
      <c r="D19" s="2568" t="s">
        <v>778</v>
      </c>
      <c r="E19" s="2569">
        <f t="shared" si="0"/>
        <v>0.69444444444444442</v>
      </c>
      <c r="F19" s="2569">
        <f t="shared" si="2"/>
        <v>8.9788888888888891</v>
      </c>
      <c r="G19" s="2576"/>
      <c r="H19" s="2569" t="str">
        <f>IF($D19="operation",VLOOKUP($G19,'Generic Vertical Port Tasks'!$C$4:$D$197,2,FALSE),"N/A")</f>
        <v>N/A</v>
      </c>
      <c r="I19" s="2576" t="s">
        <v>857</v>
      </c>
      <c r="J19" s="2576" t="s">
        <v>799</v>
      </c>
      <c r="K19" s="2576" t="s">
        <v>816</v>
      </c>
      <c r="L19" s="2571">
        <f>IFERROR(INDEX('Upper Cask Movement &amp; Logistics'!$I$24:$P$31,MATCH($J19,'Upper Cask Movement &amp; Logistics'!$H$24:$H$31,0),MATCH($K19,'Upper Cask Movement &amp; Logistics'!$H$24:$H$31,0)),"N/A")</f>
        <v>50</v>
      </c>
      <c r="M19" s="2571">
        <f>IFERROR(VLOOKUP($I19,'Upper Cask Movement &amp; Logistics'!$H$4:$I$8,2,FALSE),"N/A")</f>
        <v>0.02</v>
      </c>
      <c r="N19" s="2569">
        <f t="shared" si="1"/>
        <v>0.69444444444444442</v>
      </c>
      <c r="O19" s="2577"/>
      <c r="P19" s="2569" t="str">
        <f>IF($D19="Logistics",VLOOKUP($O19,'Upper Cask Movement &amp; Logistics'!$C$4:$D$209,2,FALSE),"N/A")</f>
        <v>N/A</v>
      </c>
      <c r="Q19" s="2578"/>
      <c r="R19" s="2569" t="str">
        <f>IFERROR(VLOOKUP($Q19,'Upper Cask Dependencies'!$C$3:$F$322,4,FALSE),"N/A")</f>
        <v>N/A</v>
      </c>
      <c r="S19" s="2579" t="str">
        <f t="shared" si="3"/>
        <v>N/A</v>
      </c>
    </row>
    <row r="20" spans="2:19" x14ac:dyDescent="0.35">
      <c r="B20" s="3921"/>
      <c r="C20" s="2568" t="s">
        <v>1221</v>
      </c>
      <c r="D20" s="2568" t="s">
        <v>3</v>
      </c>
      <c r="E20" s="2569">
        <f t="shared" si="0"/>
        <v>0.68</v>
      </c>
      <c r="F20" s="2569">
        <f t="shared" si="2"/>
        <v>9.6588888888888889</v>
      </c>
      <c r="G20" s="2576"/>
      <c r="H20" s="2569" t="str">
        <f>IF($D20="operation",VLOOKUP($G20,'Generic Vertical Port Tasks'!$C$4:$D$197,2,FALSE),"N/A")</f>
        <v>N/A</v>
      </c>
      <c r="I20" s="2576"/>
      <c r="J20" s="2576"/>
      <c r="K20" s="2576"/>
      <c r="L20" s="2571" t="str">
        <f>IFERROR(INDEX('Upper Cask Movement &amp; Logistics'!$I$24:$P$31,MATCH($J20,'Upper Cask Movement &amp; Logistics'!$H$24:$H$31,0),MATCH($K20,'Upper Cask Movement &amp; Logistics'!$H$24:$H$31,0)),"N/A")</f>
        <v>N/A</v>
      </c>
      <c r="M20" s="2571" t="str">
        <f>IFERROR(VLOOKUP($I20,'Upper Cask Movement &amp; Logistics'!$H$4:$I$8,2,FALSE),"N/A")</f>
        <v>N/A</v>
      </c>
      <c r="N20" s="2569" t="str">
        <f t="shared" si="1"/>
        <v>N/A</v>
      </c>
      <c r="O20" s="2577" t="s">
        <v>1213</v>
      </c>
      <c r="P20" s="2569">
        <f>IF($D20="Logistics",VLOOKUP($O20,'Upper Cask Movement &amp; Logistics'!$C$4:$D$209,2,FALSE),"N/A")</f>
        <v>0.68</v>
      </c>
      <c r="Q20" s="2578"/>
      <c r="R20" s="2569" t="str">
        <f>IFERROR(VLOOKUP($Q20,'Upper Cask Dependencies'!$C$3:$F$322,4,FALSE),"N/A")</f>
        <v>N/A</v>
      </c>
      <c r="S20" s="2579" t="str">
        <f t="shared" si="3"/>
        <v>N/A</v>
      </c>
    </row>
    <row r="21" spans="2:19" x14ac:dyDescent="0.35">
      <c r="B21" s="3921"/>
      <c r="C21" s="2568" t="s">
        <v>1222</v>
      </c>
      <c r="D21" s="2568" t="s">
        <v>778</v>
      </c>
      <c r="E21" s="2569">
        <f t="shared" si="0"/>
        <v>0.69444444444444442</v>
      </c>
      <c r="F21" s="2569">
        <f t="shared" si="2"/>
        <v>10.353333333333333</v>
      </c>
      <c r="G21" s="2576"/>
      <c r="H21" s="2569" t="str">
        <f>IF($D21="operation",VLOOKUP($G21,'Generic Vertical Port Tasks'!$C$4:$D$197,2,FALSE),"N/A")</f>
        <v>N/A</v>
      </c>
      <c r="I21" s="2576" t="s">
        <v>1789</v>
      </c>
      <c r="J21" s="2576" t="s">
        <v>799</v>
      </c>
      <c r="K21" s="2576" t="s">
        <v>816</v>
      </c>
      <c r="L21" s="2571">
        <f>IFERROR(INDEX('Upper Cask Movement &amp; Logistics'!$I$24:$P$31,MATCH($J21,'Upper Cask Movement &amp; Logistics'!$H$24:$H$31,0),MATCH($K21,'Upper Cask Movement &amp; Logistics'!$H$24:$H$31,0)),"N/A")</f>
        <v>50</v>
      </c>
      <c r="M21" s="2571">
        <f>IFERROR(VLOOKUP($I21,'Upper Cask Movement &amp; Logistics'!$H$4:$I$8,2,FALSE),"N/A")</f>
        <v>0.02</v>
      </c>
      <c r="N21" s="2569">
        <f t="shared" si="1"/>
        <v>0.69444444444444442</v>
      </c>
      <c r="O21" s="2577"/>
      <c r="P21" s="2569" t="str">
        <f>IF($D21="Logistics",VLOOKUP($O21,'Upper Cask Movement &amp; Logistics'!$C$4:$D$209,2,FALSE),"N/A")</f>
        <v>N/A</v>
      </c>
      <c r="Q21" s="2578" t="str">
        <f>'Upper Cask Dependencies'!B4</f>
        <v>Equipment Cask 1 collected</v>
      </c>
      <c r="R21" s="2569">
        <f>IFERROR(VLOOKUP($Q21,'Upper Cask Dependencies'!$C$3:$F$322,4,FALSE),"N/A")</f>
        <v>0.48000000000000004</v>
      </c>
      <c r="S21" s="2579">
        <f t="shared" si="3"/>
        <v>9.1788888888888884</v>
      </c>
    </row>
    <row r="22" spans="2:19" x14ac:dyDescent="0.35">
      <c r="B22" s="3921"/>
      <c r="C22" s="2568" t="s">
        <v>1223</v>
      </c>
      <c r="D22" s="2568" t="s">
        <v>3</v>
      </c>
      <c r="E22" s="2569">
        <f t="shared" si="0"/>
        <v>1.6400000000000001</v>
      </c>
      <c r="F22" s="2569">
        <f t="shared" si="2"/>
        <v>11.993333333333334</v>
      </c>
      <c r="G22" s="2576"/>
      <c r="H22" s="2569" t="str">
        <f>IF($D22="operation",VLOOKUP($G22,'Generic Vertical Port Tasks'!$C$4:$D$197,2,FALSE),"N/A")</f>
        <v>N/A</v>
      </c>
      <c r="I22" s="2576"/>
      <c r="J22" s="2576"/>
      <c r="K22" s="2576"/>
      <c r="L22" s="2571" t="str">
        <f>IFERROR(INDEX('Upper Cask Movement &amp; Logistics'!$I$24:$P$31,MATCH($J22,'Upper Cask Movement &amp; Logistics'!$H$24:$H$31,0),MATCH($K22,'Upper Cask Movement &amp; Logistics'!$H$24:$H$31,0)),"N/A")</f>
        <v>N/A</v>
      </c>
      <c r="M22" s="2571" t="str">
        <f>IFERROR(VLOOKUP($I22,'Upper Cask Movement &amp; Logistics'!$H$4:$I$8,2,FALSE),"N/A")</f>
        <v>N/A</v>
      </c>
      <c r="N22" s="2569" t="str">
        <f t="shared" si="1"/>
        <v>N/A</v>
      </c>
      <c r="O22" s="2577" t="s">
        <v>1224</v>
      </c>
      <c r="P22" s="2569">
        <f>IF($D22="Logistics",VLOOKUP($O22,'Upper Cask Movement &amp; Logistics'!$C$4:$D$209,2,FALSE),"N/A")</f>
        <v>1.6400000000000001</v>
      </c>
      <c r="Q22" s="2578"/>
      <c r="R22" s="2569" t="str">
        <f>IFERROR(VLOOKUP($Q22,'Upper Cask Dependencies'!$C$3:$F$322,4,FALSE),"N/A")</f>
        <v>N/A</v>
      </c>
      <c r="S22" s="2579" t="str">
        <f t="shared" si="3"/>
        <v>N/A</v>
      </c>
    </row>
    <row r="23" spans="2:19" x14ac:dyDescent="0.35">
      <c r="B23" s="3921"/>
      <c r="C23" s="2568" t="s">
        <v>2411</v>
      </c>
      <c r="D23" s="2568" t="s">
        <v>3</v>
      </c>
      <c r="E23" s="2569">
        <f t="shared" si="0"/>
        <v>1.6400000000000001</v>
      </c>
      <c r="F23" s="2569">
        <f>IF(S23&lt;0,E23+F22+(-S23),E23+F22)</f>
        <v>13.633333333333335</v>
      </c>
      <c r="G23" s="2576"/>
      <c r="H23" s="2569" t="str">
        <f>IF($D23="operation",VLOOKUP($G23,'Generic Vertical Port Tasks'!$C$4:$D$197,2,FALSE),"N/A")</f>
        <v>N/A</v>
      </c>
      <c r="I23" s="2576"/>
      <c r="J23" s="2576"/>
      <c r="K23" s="2576"/>
      <c r="L23" s="2571" t="str">
        <f>IFERROR(INDEX('Upper Cask Movement &amp; Logistics'!$I$24:$P$31,MATCH($J23,'Upper Cask Movement &amp; Logistics'!$H$24:$H$31,0),MATCH($K23,'Upper Cask Movement &amp; Logistics'!$H$24:$H$31,0)),"N/A")</f>
        <v>N/A</v>
      </c>
      <c r="M23" s="2571" t="str">
        <f>IFERROR(VLOOKUP($I23,'Upper Cask Movement &amp; Logistics'!$H$4:$I$8,2,FALSE),"N/A")</f>
        <v>N/A</v>
      </c>
      <c r="N23" s="2569" t="str">
        <f>IF(D23="Movement",IFERROR((L23/M23)/(60*60),"Error"),"N/A")</f>
        <v>N/A</v>
      </c>
      <c r="O23" s="2577" t="s">
        <v>1224</v>
      </c>
      <c r="P23" s="2569">
        <f>IF($D23="Logistics",VLOOKUP($O23,'Upper Cask Movement &amp; Logistics'!$C$4:$D$209,2,FALSE),"N/A")</f>
        <v>1.6400000000000001</v>
      </c>
      <c r="Q23" s="2578"/>
      <c r="R23" s="2569" t="str">
        <f>IFERROR(VLOOKUP($Q23,'Upper Cask Dependencies'!$C$3:$F$322,4,FALSE),"N/A")</f>
        <v>N/A</v>
      </c>
      <c r="S23" s="2579" t="str">
        <f>IFERROR(F22-R23,"N/A")</f>
        <v>N/A</v>
      </c>
    </row>
    <row r="24" spans="2:19" x14ac:dyDescent="0.35">
      <c r="B24" s="3921"/>
      <c r="C24" s="2568" t="s">
        <v>2412</v>
      </c>
      <c r="D24" s="2568" t="s">
        <v>251</v>
      </c>
      <c r="E24" s="2569">
        <f t="shared" si="0"/>
        <v>6.7722222222222221</v>
      </c>
      <c r="F24" s="2569">
        <f>IF(S24&lt;0,E24+F23+(-S24),E24+F23)</f>
        <v>20.405555555555559</v>
      </c>
      <c r="G24" s="2576" t="s">
        <v>596</v>
      </c>
      <c r="H24" s="2569">
        <f>IF($D24="operation",VLOOKUP($G24,'Generic Vertical Port Tasks'!$C$4:$D$197,2,FALSE),"N/A")</f>
        <v>6.7722222222222221</v>
      </c>
      <c r="I24" s="2576"/>
      <c r="J24" s="2576"/>
      <c r="K24" s="2576"/>
      <c r="L24" s="2571" t="str">
        <f>IFERROR(INDEX('Upper Cask Movement &amp; Logistics'!$I$24:$P$31,MATCH($J24,'Upper Cask Movement &amp; Logistics'!$H$24:$H$31,0),MATCH($K24,'Upper Cask Movement &amp; Logistics'!$H$24:$H$31,0)),"N/A")</f>
        <v>N/A</v>
      </c>
      <c r="M24" s="2571" t="str">
        <f>IFERROR(VLOOKUP($I24,'Upper Cask Movement &amp; Logistics'!$H$4:$I$8,2,FALSE),"N/A")</f>
        <v>N/A</v>
      </c>
      <c r="N24" s="2569" t="str">
        <f>IF(D24="Movement",IFERROR((L24/M24)/(60*60),"Error"),"N/A")</f>
        <v>N/A</v>
      </c>
      <c r="O24" s="2577" t="s">
        <v>1224</v>
      </c>
      <c r="P24" s="2569" t="str">
        <f>IF($D24="Logistics",VLOOKUP($O24,'Upper Cask Movement &amp; Logistics'!$C$4:$D$209,2,FALSE),"N/A")</f>
        <v>N/A</v>
      </c>
      <c r="Q24" s="2578"/>
      <c r="R24" s="2569" t="str">
        <f>IFERROR(VLOOKUP($Q24,'Upper Cask Dependencies'!$C$3:$F$322,4,FALSE),"N/A")</f>
        <v>N/A</v>
      </c>
      <c r="S24" s="2579" t="str">
        <f>IFERROR(F23-R24,"N/A")</f>
        <v>N/A</v>
      </c>
    </row>
    <row r="25" spans="2:19" x14ac:dyDescent="0.35">
      <c r="B25" s="3921"/>
      <c r="C25" s="2568" t="s">
        <v>2410</v>
      </c>
      <c r="D25" s="2568" t="s">
        <v>3</v>
      </c>
      <c r="E25" s="2569">
        <f t="shared" si="0"/>
        <v>1.6400000000000001</v>
      </c>
      <c r="F25" s="2569">
        <f>IF(S25&lt;0,E25+F24+(-S25),E25+F24)</f>
        <v>22.045555555555559</v>
      </c>
      <c r="G25" s="2576"/>
      <c r="H25" s="2569" t="str">
        <f>IF($D25="operation",VLOOKUP($G25,'Generic Vertical Port Tasks'!$C$4:$D$197,2,FALSE),"N/A")</f>
        <v>N/A</v>
      </c>
      <c r="I25" s="2576"/>
      <c r="J25" s="2576"/>
      <c r="K25" s="2576"/>
      <c r="L25" s="2571" t="str">
        <f>IFERROR(INDEX('Upper Cask Movement &amp; Logistics'!$I$24:$P$31,MATCH($J25,'Upper Cask Movement &amp; Logistics'!$H$24:$H$31,0),MATCH($K25,'Upper Cask Movement &amp; Logistics'!$H$24:$H$31,0)),"N/A")</f>
        <v>N/A</v>
      </c>
      <c r="M25" s="2571" t="str">
        <f>IFERROR(VLOOKUP($I25,'Upper Cask Movement &amp; Logistics'!$H$4:$I$8,2,FALSE),"N/A")</f>
        <v>N/A</v>
      </c>
      <c r="N25" s="2569" t="str">
        <f>IF(D25="Movement",IFERROR((L25/M25)/(60*60),"Error"),"N/A")</f>
        <v>N/A</v>
      </c>
      <c r="O25" s="2577" t="s">
        <v>1224</v>
      </c>
      <c r="P25" s="2569">
        <f>IF($D25="Logistics",VLOOKUP($O25,'Upper Cask Movement &amp; Logistics'!$C$4:$D$209,2,FALSE),"N/A")</f>
        <v>1.6400000000000001</v>
      </c>
      <c r="Q25" s="2578"/>
      <c r="R25" s="2569" t="str">
        <f>IFERROR(VLOOKUP($Q25,'Upper Cask Dependencies'!$C$3:$F$322,4,FALSE),"N/A")</f>
        <v>N/A</v>
      </c>
      <c r="S25" s="2579" t="str">
        <f>IFERROR(F24-R25,"N/A")</f>
        <v>N/A</v>
      </c>
    </row>
    <row r="26" spans="2:19" x14ac:dyDescent="0.35">
      <c r="B26" s="3921"/>
      <c r="C26" s="2568" t="s">
        <v>1225</v>
      </c>
      <c r="D26" s="2568" t="s">
        <v>3</v>
      </c>
      <c r="E26" s="2569">
        <f t="shared" si="0"/>
        <v>0.38</v>
      </c>
      <c r="F26" s="2569">
        <f>IF(S26&lt;0,E26+F25+(-S26),E26+F25)</f>
        <v>22.425555555555558</v>
      </c>
      <c r="G26" s="2576"/>
      <c r="H26" s="2569" t="str">
        <f>IF($D26="operation",VLOOKUP($G26,'Generic Vertical Port Tasks'!$C$4:$D$197,2,FALSE),"N/A")</f>
        <v>N/A</v>
      </c>
      <c r="I26" s="2576"/>
      <c r="J26" s="2576"/>
      <c r="K26" s="2576"/>
      <c r="L26" s="2571" t="str">
        <f>IFERROR(INDEX('Upper Cask Movement &amp; Logistics'!$I$24:$P$31,MATCH($J26,'Upper Cask Movement &amp; Logistics'!$H$24:$H$31,0),MATCH($K26,'Upper Cask Movement &amp; Logistics'!$H$24:$H$31,0)),"N/A")</f>
        <v>N/A</v>
      </c>
      <c r="M26" s="2571" t="str">
        <f>IFERROR(VLOOKUP($I26,'Upper Cask Movement &amp; Logistics'!$H$4:$I$8,2,FALSE),"N/A")</f>
        <v>N/A</v>
      </c>
      <c r="N26" s="2569" t="str">
        <f t="shared" si="1"/>
        <v>N/A</v>
      </c>
      <c r="O26" s="2577" t="s">
        <v>1226</v>
      </c>
      <c r="P26" s="2569">
        <f>IF($D26="Logistics",VLOOKUP($O26,'Upper Cask Movement &amp; Logistics'!$C$4:$D$209,2,FALSE),"N/A")</f>
        <v>0.38</v>
      </c>
      <c r="Q26" s="2578"/>
      <c r="R26" s="2569" t="str">
        <f>IFERROR(VLOOKUP($Q26,'Upper Cask Dependencies'!$C$3:$F$322,4,FALSE),"N/A")</f>
        <v>N/A</v>
      </c>
      <c r="S26" s="2579" t="str">
        <f>IFERROR(F25-R26,"N/A")</f>
        <v>N/A</v>
      </c>
    </row>
    <row r="27" spans="2:19" x14ac:dyDescent="0.35">
      <c r="B27" s="3921"/>
      <c r="C27" s="2568" t="s">
        <v>1</v>
      </c>
      <c r="D27" s="2568" t="s">
        <v>251</v>
      </c>
      <c r="E27" s="2569">
        <f t="shared" si="0"/>
        <v>0.6</v>
      </c>
      <c r="F27" s="2569">
        <f>IF(S27&lt;0,E27+F26+(-S27),E27+F26)</f>
        <v>23.02555555555556</v>
      </c>
      <c r="G27" s="2576" t="s">
        <v>1</v>
      </c>
      <c r="H27" s="2569">
        <f>IF($D27="operation",VLOOKUP($G27,'Generic Vertical Port Tasks'!$C$4:$D$197,2,FALSE),"N/A")</f>
        <v>0.6</v>
      </c>
      <c r="I27" s="2576"/>
      <c r="J27" s="2576"/>
      <c r="K27" s="2576"/>
      <c r="L27" s="2571" t="str">
        <f>IFERROR(INDEX('Upper Cask Movement &amp; Logistics'!$I$24:$P$31,MATCH($J27,'Upper Cask Movement &amp; Logistics'!$H$24:$H$31,0),MATCH($K27,'Upper Cask Movement &amp; Logistics'!$H$24:$H$31,0)),"N/A")</f>
        <v>N/A</v>
      </c>
      <c r="M27" s="2571" t="str">
        <f>IFERROR(VLOOKUP($I27,'Upper Cask Movement &amp; Logistics'!$H$4:$I$8,2,FALSE),"N/A")</f>
        <v>N/A</v>
      </c>
      <c r="N27" s="2569" t="str">
        <f t="shared" si="1"/>
        <v>N/A</v>
      </c>
      <c r="O27" s="2577"/>
      <c r="P27" s="2569" t="str">
        <f>IF($D27="Logistics",VLOOKUP($O27,'Upper Cask Movement &amp; Logistics'!$C$4:$D$209,2,FALSE),"N/A")</f>
        <v>N/A</v>
      </c>
      <c r="Q27" s="2578"/>
      <c r="R27" s="2569" t="str">
        <f>IFERROR(VLOOKUP($Q27,'Upper Cask Dependencies'!$C$3:$F$322,4,FALSE),"N/A")</f>
        <v>N/A</v>
      </c>
      <c r="S27" s="2579" t="str">
        <f>IFERROR(F26-R27,"N/A")</f>
        <v>N/A</v>
      </c>
    </row>
    <row r="28" spans="2:19" x14ac:dyDescent="0.35">
      <c r="B28" s="3921"/>
      <c r="C28" s="2568" t="s">
        <v>1227</v>
      </c>
      <c r="D28" s="2568" t="s">
        <v>3</v>
      </c>
      <c r="E28" s="2569">
        <f t="shared" si="0"/>
        <v>0.63000000000000012</v>
      </c>
      <c r="F28" s="2569">
        <f t="shared" si="2"/>
        <v>23.655555555555559</v>
      </c>
      <c r="G28" s="2576"/>
      <c r="H28" s="2569" t="str">
        <f>IF($D28="operation",VLOOKUP($G28,'Generic Vertical Port Tasks'!$C$4:$D$197,2,FALSE),"N/A")</f>
        <v>N/A</v>
      </c>
      <c r="I28" s="2576"/>
      <c r="J28" s="2576"/>
      <c r="K28" s="2576"/>
      <c r="L28" s="2571" t="str">
        <f>IFERROR(INDEX('Upper Cask Movement &amp; Logistics'!$I$24:$P$31,MATCH($J28,'Upper Cask Movement &amp; Logistics'!$H$24:$H$31,0),MATCH($K28,'Upper Cask Movement &amp; Logistics'!$H$24:$H$31,0)),"N/A")</f>
        <v>N/A</v>
      </c>
      <c r="M28" s="2571" t="str">
        <f>IFERROR(VLOOKUP($I28,'Upper Cask Movement &amp; Logistics'!$H$4:$I$8,2,FALSE),"N/A")</f>
        <v>N/A</v>
      </c>
      <c r="N28" s="2569" t="str">
        <f t="shared" si="1"/>
        <v>N/A</v>
      </c>
      <c r="O28" s="2577" t="s">
        <v>1228</v>
      </c>
      <c r="P28" s="2569">
        <f>IF($D28="Logistics",VLOOKUP($O28,'Upper Cask Movement &amp; Logistics'!$C$4:$D$209,2,FALSE),"N/A")</f>
        <v>0.63000000000000012</v>
      </c>
      <c r="Q28" s="2578"/>
      <c r="R28" s="2569" t="str">
        <f>IFERROR(VLOOKUP($Q28,'Upper Cask Dependencies'!$C$3:$F$322,4,FALSE),"N/A")</f>
        <v>N/A</v>
      </c>
      <c r="S28" s="2579" t="str">
        <f t="shared" si="3"/>
        <v>N/A</v>
      </c>
    </row>
    <row r="29" spans="2:19" ht="13.3" thickBot="1" x14ac:dyDescent="0.4">
      <c r="B29" s="3922"/>
      <c r="C29" s="2580" t="s">
        <v>1229</v>
      </c>
      <c r="D29" s="2580" t="s">
        <v>3</v>
      </c>
      <c r="E29" s="2581">
        <f t="shared" si="0"/>
        <v>0.38</v>
      </c>
      <c r="F29" s="2581">
        <f t="shared" ref="F29:F46" si="4">IF(S29&lt;0,E29+F28+(-S29),E29+F28)</f>
        <v>24.035555555555558</v>
      </c>
      <c r="G29" s="2582"/>
      <c r="H29" s="2581" t="str">
        <f>IF($D29="operation",VLOOKUP($G29,'Generic Vertical Port Tasks'!$C$4:$D$197,2,FALSE),"N/A")</f>
        <v>N/A</v>
      </c>
      <c r="I29" s="2582"/>
      <c r="J29" s="2582"/>
      <c r="K29" s="2582"/>
      <c r="L29" s="2583" t="str">
        <f>IFERROR(INDEX('Upper Cask Movement &amp; Logistics'!$I$24:$P$31,MATCH($J29,'Upper Cask Movement &amp; Logistics'!$H$24:$H$31,0),MATCH($K29,'Upper Cask Movement &amp; Logistics'!$H$24:$H$31,0)),"N/A")</f>
        <v>N/A</v>
      </c>
      <c r="M29" s="2583" t="str">
        <f>IFERROR(VLOOKUP($I29,'Upper Cask Movement &amp; Logistics'!$H$4:$I$8,2,FALSE),"N/A")</f>
        <v>N/A</v>
      </c>
      <c r="N29" s="2581" t="str">
        <f t="shared" si="1"/>
        <v>N/A</v>
      </c>
      <c r="O29" s="2584" t="s">
        <v>1230</v>
      </c>
      <c r="P29" s="2581">
        <f>IF($D29="Logistics",VLOOKUP($O29,'Upper Cask Movement &amp; Logistics'!$C$4:$D$209,2,FALSE),"N/A")</f>
        <v>0.38</v>
      </c>
      <c r="Q29" s="2585"/>
      <c r="R29" s="2581" t="str">
        <f>IFERROR(VLOOKUP($Q29,'Upper Cask Dependencies'!$C$3:$F$322,4,FALSE),"N/A")</f>
        <v>N/A</v>
      </c>
      <c r="S29" s="2586" t="str">
        <f t="shared" si="3"/>
        <v>N/A</v>
      </c>
    </row>
    <row r="30" spans="2:19" s="2593" customFormat="1" x14ac:dyDescent="0.35">
      <c r="B30" s="3926" t="s">
        <v>771</v>
      </c>
      <c r="C30" s="2587" t="s">
        <v>2394</v>
      </c>
      <c r="D30" s="2587" t="s">
        <v>3</v>
      </c>
      <c r="E30" s="2588">
        <f t="shared" si="0"/>
        <v>0.38</v>
      </c>
      <c r="F30" s="2588">
        <f t="shared" si="4"/>
        <v>24.415555555555557</v>
      </c>
      <c r="G30" s="2587"/>
      <c r="H30" s="2588" t="str">
        <f>IF($D30="operation",VLOOKUP($G30,'Generic Vertical Port Tasks'!$C$4:$D$197,2,FALSE),"N/A")</f>
        <v>N/A</v>
      </c>
      <c r="I30" s="2587"/>
      <c r="J30" s="2587"/>
      <c r="K30" s="2587"/>
      <c r="L30" s="2589" t="str">
        <f>IFERROR(INDEX('Upper Cask Movement &amp; Logistics'!$I$24:$P$31,MATCH($J30,'Upper Cask Movement &amp; Logistics'!$H$24:$H$31,0),MATCH($K30,'Upper Cask Movement &amp; Logistics'!$H$24:$H$31,0)),"N/A")</f>
        <v>N/A</v>
      </c>
      <c r="M30" s="2589" t="str">
        <f>IFERROR(VLOOKUP($I30,'Upper Cask Movement &amp; Logistics'!$H$4:$I$8,2,FALSE),"N/A")</f>
        <v>N/A</v>
      </c>
      <c r="N30" s="2588" t="str">
        <f>IF(D30="Movement",IFERROR((L30/M30)/(60*60),"Error"),"N/A")</f>
        <v>N/A</v>
      </c>
      <c r="O30" s="2590" t="s">
        <v>1226</v>
      </c>
      <c r="P30" s="2588">
        <f>IF($D30="Logistics",VLOOKUP($O30,'Upper Cask Movement &amp; Logistics'!$C$4:$D$209,2,FALSE),"N/A")</f>
        <v>0.38</v>
      </c>
      <c r="Q30" s="2591"/>
      <c r="R30" s="2588" t="str">
        <f>IFERROR(VLOOKUP($Q30,'Upper Cask Dependencies'!$C$3:$F$322,4,FALSE),"N/A")</f>
        <v>N/A</v>
      </c>
      <c r="S30" s="2592" t="str">
        <f>IFERROR(F27-R30,"N/A")</f>
        <v>N/A</v>
      </c>
    </row>
    <row r="31" spans="2:19" s="2593" customFormat="1" x14ac:dyDescent="0.35">
      <c r="B31" s="3926"/>
      <c r="C31" s="2587" t="s">
        <v>2641</v>
      </c>
      <c r="D31" s="2587" t="s">
        <v>251</v>
      </c>
      <c r="E31" s="2588">
        <f t="shared" si="0"/>
        <v>5.7722222222222221</v>
      </c>
      <c r="F31" s="2588">
        <f t="shared" si="4"/>
        <v>30.187777777777779</v>
      </c>
      <c r="G31" s="2587" t="s">
        <v>2385</v>
      </c>
      <c r="H31" s="2588">
        <f>IF($D31="operation",VLOOKUP($G31,'Generic Vertical Port Tasks'!$C$4:$D$197,2,FALSE),"N/A")</f>
        <v>5.7722222222222221</v>
      </c>
      <c r="I31" s="2587"/>
      <c r="J31" s="2587"/>
      <c r="K31" s="2587"/>
      <c r="L31" s="2589" t="str">
        <f>IFERROR(INDEX('Upper Cask Movement &amp; Logistics'!$I$24:$P$31,MATCH($J31,'Upper Cask Movement &amp; Logistics'!$H$24:$H$31,0),MATCH($K31,'Upper Cask Movement &amp; Logistics'!$H$24:$H$31,0)),"N/A")</f>
        <v>N/A</v>
      </c>
      <c r="M31" s="2589" t="str">
        <f>IFERROR(VLOOKUP($I31,'Upper Cask Movement &amp; Logistics'!$H$4:$I$8,2,FALSE),"N/A")</f>
        <v>N/A</v>
      </c>
      <c r="N31" s="2588" t="str">
        <f>IF(D31="Movement",IFERROR((L31/M31)/(60*60),"Error"),"N/A")</f>
        <v>N/A</v>
      </c>
      <c r="O31" s="2590" t="s">
        <v>1226</v>
      </c>
      <c r="P31" s="2588" t="str">
        <f>IF($D31="Logistics",VLOOKUP($O31,'Upper Cask Movement &amp; Logistics'!$C$4:$D$209,2,FALSE),"N/A")</f>
        <v>N/A</v>
      </c>
      <c r="Q31" s="2591"/>
      <c r="R31" s="2588" t="str">
        <f>IFERROR(VLOOKUP($Q31,'Upper Cask Dependencies'!$C$3:$F$322,4,FALSE),"N/A")</f>
        <v>N/A</v>
      </c>
      <c r="S31" s="2592" t="str">
        <f>IFERROR(F28-R31,"N/A")</f>
        <v>N/A</v>
      </c>
    </row>
    <row r="32" spans="2:19" s="2593" customFormat="1" x14ac:dyDescent="0.35">
      <c r="B32" s="3926"/>
      <c r="C32" s="2587" t="s">
        <v>2395</v>
      </c>
      <c r="D32" s="2587" t="s">
        <v>3</v>
      </c>
      <c r="E32" s="2588">
        <f t="shared" si="0"/>
        <v>0.38</v>
      </c>
      <c r="F32" s="2588">
        <f t="shared" si="4"/>
        <v>30.567777777777778</v>
      </c>
      <c r="G32" s="2587"/>
      <c r="H32" s="2588" t="str">
        <f>IF($D32="operation",VLOOKUP($G32,'Generic Vertical Port Tasks'!$C$4:$D$197,2,FALSE),"N/A")</f>
        <v>N/A</v>
      </c>
      <c r="I32" s="2587"/>
      <c r="J32" s="2587"/>
      <c r="K32" s="2587"/>
      <c r="L32" s="2589" t="str">
        <f>IFERROR(INDEX('Upper Cask Movement &amp; Logistics'!$I$24:$P$31,MATCH($J32,'Upper Cask Movement &amp; Logistics'!$H$24:$H$31,0),MATCH($K32,'Upper Cask Movement &amp; Logistics'!$H$24:$H$31,0)),"N/A")</f>
        <v>N/A</v>
      </c>
      <c r="M32" s="2589" t="str">
        <f>IFERROR(VLOOKUP($I32,'Upper Cask Movement &amp; Logistics'!$H$4:$I$8,2,FALSE),"N/A")</f>
        <v>N/A</v>
      </c>
      <c r="N32" s="2588" t="str">
        <f>IF(D32="Movement",IFERROR((L32/M32)/(60*60),"Error"),"N/A")</f>
        <v>N/A</v>
      </c>
      <c r="O32" s="2590" t="s">
        <v>1226</v>
      </c>
      <c r="P32" s="2588">
        <f>IF($D32="Logistics",VLOOKUP($O32,'Upper Cask Movement &amp; Logistics'!$C$4:$D$209,2,FALSE),"N/A")</f>
        <v>0.38</v>
      </c>
      <c r="Q32" s="2591"/>
      <c r="R32" s="2588" t="str">
        <f>IFERROR(VLOOKUP($Q32,'Upper Cask Dependencies'!$C$3:$F$322,4,FALSE),"N/A")</f>
        <v>N/A</v>
      </c>
      <c r="S32" s="2592" t="str">
        <f>IFERROR(F29-R32,"N/A")</f>
        <v>N/A</v>
      </c>
    </row>
    <row r="33" spans="2:19" x14ac:dyDescent="0.35">
      <c r="B33" s="3926"/>
      <c r="C33" s="2587" t="s">
        <v>1231</v>
      </c>
      <c r="D33" s="2587" t="s">
        <v>3</v>
      </c>
      <c r="E33" s="2588">
        <f t="shared" si="0"/>
        <v>0.38</v>
      </c>
      <c r="F33" s="2588">
        <f t="shared" si="4"/>
        <v>30.947777777777777</v>
      </c>
      <c r="G33" s="2587"/>
      <c r="H33" s="2588" t="str">
        <f>IF($D33="operation",VLOOKUP($G33,'Generic Vertical Port Tasks'!$C$4:$D$197,2,FALSE),"N/A")</f>
        <v>N/A</v>
      </c>
      <c r="I33" s="2587"/>
      <c r="J33" s="2587"/>
      <c r="K33" s="2587"/>
      <c r="L33" s="2589" t="str">
        <f>IFERROR(INDEX('Upper Cask Movement &amp; Logistics'!$I$24:$P$31,MATCH($J33,'Upper Cask Movement &amp; Logistics'!$H$24:$H$31,0),MATCH($K33,'Upper Cask Movement &amp; Logistics'!$H$24:$H$31,0)),"N/A")</f>
        <v>N/A</v>
      </c>
      <c r="M33" s="2589" t="str">
        <f>IFERROR(VLOOKUP($I33,'Upper Cask Movement &amp; Logistics'!$H$4:$I$8,2,FALSE),"N/A")</f>
        <v>N/A</v>
      </c>
      <c r="N33" s="2588" t="str">
        <f t="shared" si="1"/>
        <v>N/A</v>
      </c>
      <c r="O33" s="2590" t="s">
        <v>1226</v>
      </c>
      <c r="P33" s="2588">
        <f>IF($D33="Logistics",VLOOKUP($O33,'Upper Cask Movement &amp; Logistics'!$C$4:$D$209,2,FALSE),"N/A")</f>
        <v>0.38</v>
      </c>
      <c r="Q33" s="2591"/>
      <c r="R33" s="2588" t="str">
        <f>IFERROR(VLOOKUP($Q33,'Upper Cask Dependencies'!$C$3:$F$322,4,FALSE),"N/A")</f>
        <v>N/A</v>
      </c>
      <c r="S33" s="2592" t="str">
        <f>IFERROR(F29-R33,"N/A")</f>
        <v>N/A</v>
      </c>
    </row>
    <row r="34" spans="2:19" x14ac:dyDescent="0.35">
      <c r="B34" s="3926"/>
      <c r="C34" s="2594" t="s">
        <v>813</v>
      </c>
      <c r="D34" s="2594" t="s">
        <v>251</v>
      </c>
      <c r="E34" s="2595">
        <f t="shared" si="0"/>
        <v>9.4250000000000007</v>
      </c>
      <c r="F34" s="2595">
        <f t="shared" si="4"/>
        <v>40.372777777777777</v>
      </c>
      <c r="G34" s="2594" t="s">
        <v>4</v>
      </c>
      <c r="H34" s="2595">
        <f>IF($D34="operation",VLOOKUP($G34,'Generic Vertical Port Tasks'!$C$4:$D$197,2,FALSE),"N/A")</f>
        <v>9.4250000000000007</v>
      </c>
      <c r="I34" s="2594"/>
      <c r="J34" s="2594"/>
      <c r="K34" s="2594"/>
      <c r="L34" s="2596" t="str">
        <f>IFERROR(INDEX('Upper Cask Movement &amp; Logistics'!$I$24:$P$31,MATCH($J34,'Upper Cask Movement &amp; Logistics'!$H$24:$H$31,0),MATCH($K34,'Upper Cask Movement &amp; Logistics'!$H$24:$H$31,0)),"N/A")</f>
        <v>N/A</v>
      </c>
      <c r="M34" s="2596" t="str">
        <f>IFERROR(VLOOKUP($I34,'Upper Cask Movement &amp; Logistics'!$H$4:$I$8,2,FALSE),"N/A")</f>
        <v>N/A</v>
      </c>
      <c r="N34" s="2595" t="str">
        <f t="shared" si="1"/>
        <v>N/A</v>
      </c>
      <c r="O34" s="2597"/>
      <c r="P34" s="2595" t="str">
        <f>IF($D34="Logistics",VLOOKUP($O34,'Upper Cask Movement &amp; Logistics'!$C$4:$D$209,2,FALSE),"N/A")</f>
        <v>N/A</v>
      </c>
      <c r="Q34" s="2598"/>
      <c r="R34" s="2595" t="str">
        <f>IFERROR(VLOOKUP($Q34,'Upper Cask Dependencies'!$C$3:$F$322,4,FALSE),"N/A")</f>
        <v>N/A</v>
      </c>
      <c r="S34" s="2599" t="str">
        <f t="shared" si="3"/>
        <v>N/A</v>
      </c>
    </row>
    <row r="35" spans="2:19" x14ac:dyDescent="0.35">
      <c r="B35" s="3926"/>
      <c r="C35" s="2594" t="s">
        <v>1232</v>
      </c>
      <c r="D35" s="2594" t="s">
        <v>3</v>
      </c>
      <c r="E35" s="2595">
        <f t="shared" si="0"/>
        <v>0.38</v>
      </c>
      <c r="F35" s="2595">
        <f t="shared" si="4"/>
        <v>40.75277777777778</v>
      </c>
      <c r="G35" s="2594"/>
      <c r="H35" s="2595" t="str">
        <f>IF($D35="operation",VLOOKUP($G35,'Generic Vertical Port Tasks'!$C$4:$D$197,2,FALSE),"N/A")</f>
        <v>N/A</v>
      </c>
      <c r="I35" s="2594"/>
      <c r="J35" s="2594"/>
      <c r="K35" s="2594"/>
      <c r="L35" s="2596" t="str">
        <f>IFERROR(INDEX('Upper Cask Movement &amp; Logistics'!$I$24:$P$31,MATCH($J35,'Upper Cask Movement &amp; Logistics'!$H$24:$H$31,0),MATCH($K35,'Upper Cask Movement &amp; Logistics'!$H$24:$H$31,0)),"N/A")</f>
        <v>N/A</v>
      </c>
      <c r="M35" s="2596" t="str">
        <f>IFERROR(VLOOKUP($I35,'Upper Cask Movement &amp; Logistics'!$H$4:$I$8,2,FALSE),"N/A")</f>
        <v>N/A</v>
      </c>
      <c r="N35" s="2595" t="str">
        <f t="shared" si="1"/>
        <v>N/A</v>
      </c>
      <c r="O35" s="2597" t="s">
        <v>1230</v>
      </c>
      <c r="P35" s="2595">
        <f>IF($D35="Logistics",VLOOKUP($O35,'Upper Cask Movement &amp; Logistics'!$C$4:$D$209,2,FALSE),"N/A")</f>
        <v>0.38</v>
      </c>
      <c r="Q35" s="2598"/>
      <c r="R35" s="2595" t="str">
        <f>IFERROR(VLOOKUP($Q35,'Upper Cask Dependencies'!$C$3:$F$322,4,FALSE),"N/A")</f>
        <v>N/A</v>
      </c>
      <c r="S35" s="2599" t="str">
        <f t="shared" si="3"/>
        <v>N/A</v>
      </c>
    </row>
    <row r="36" spans="2:19" x14ac:dyDescent="0.35">
      <c r="B36" s="3926"/>
      <c r="C36" s="2594" t="s">
        <v>1233</v>
      </c>
      <c r="D36" s="2594" t="s">
        <v>3</v>
      </c>
      <c r="E36" s="2595">
        <f t="shared" si="0"/>
        <v>0.38</v>
      </c>
      <c r="F36" s="2595">
        <f t="shared" si="4"/>
        <v>41.132777777777783</v>
      </c>
      <c r="G36" s="2594"/>
      <c r="H36" s="2595" t="str">
        <f>IF($D36="operation",VLOOKUP($G36,'Generic Vertical Port Tasks'!$C$4:$D$197,2,FALSE),"N/A")</f>
        <v>N/A</v>
      </c>
      <c r="I36" s="2594"/>
      <c r="J36" s="2594"/>
      <c r="K36" s="2594"/>
      <c r="L36" s="2596" t="str">
        <f>IFERROR(INDEX('Upper Cask Movement &amp; Logistics'!$I$24:$P$31,MATCH($J36,'Upper Cask Movement &amp; Logistics'!$H$24:$H$31,0),MATCH($K36,'Upper Cask Movement &amp; Logistics'!$H$24:$H$31,0)),"N/A")</f>
        <v>N/A</v>
      </c>
      <c r="M36" s="2596" t="str">
        <f>IFERROR(VLOOKUP($I36,'Upper Cask Movement &amp; Logistics'!$H$4:$I$8,2,FALSE),"N/A")</f>
        <v>N/A</v>
      </c>
      <c r="N36" s="2595" t="str">
        <f t="shared" si="1"/>
        <v>N/A</v>
      </c>
      <c r="O36" s="2597" t="s">
        <v>1226</v>
      </c>
      <c r="P36" s="2595">
        <f>IF($D36="Logistics",VLOOKUP($O36,'Upper Cask Movement &amp; Logistics'!$C$4:$D$209,2,FALSE),"N/A")</f>
        <v>0.38</v>
      </c>
      <c r="Q36" s="2598"/>
      <c r="R36" s="2595" t="str">
        <f>IFERROR(VLOOKUP($Q36,'Upper Cask Dependencies'!$C$3:$F$322,4,FALSE),"N/A")</f>
        <v>N/A</v>
      </c>
      <c r="S36" s="2599" t="str">
        <f t="shared" si="3"/>
        <v>N/A</v>
      </c>
    </row>
    <row r="37" spans="2:19" x14ac:dyDescent="0.35">
      <c r="B37" s="3926"/>
      <c r="C37" s="2594" t="s">
        <v>5</v>
      </c>
      <c r="D37" s="2594" t="s">
        <v>251</v>
      </c>
      <c r="E37" s="2595">
        <f t="shared" si="0"/>
        <v>2.1749999999999998</v>
      </c>
      <c r="F37" s="2595">
        <f t="shared" si="4"/>
        <v>43.30777777777778</v>
      </c>
      <c r="G37" s="2594" t="s">
        <v>5</v>
      </c>
      <c r="H37" s="2595">
        <f>IF($D37="operation",VLOOKUP($G37,'Generic Vertical Port Tasks'!$C$4:$D$197,2,FALSE),"N/A")</f>
        <v>2.1749999999999998</v>
      </c>
      <c r="I37" s="2594"/>
      <c r="J37" s="2594"/>
      <c r="K37" s="2594"/>
      <c r="L37" s="2596" t="str">
        <f>IFERROR(INDEX('Upper Cask Movement &amp; Logistics'!$I$24:$P$31,MATCH($J37,'Upper Cask Movement &amp; Logistics'!$H$24:$H$31,0),MATCH($K37,'Upper Cask Movement &amp; Logistics'!$H$24:$H$31,0)),"N/A")</f>
        <v>N/A</v>
      </c>
      <c r="M37" s="2596" t="str">
        <f>IFERROR(VLOOKUP($I37,'Upper Cask Movement &amp; Logistics'!$H$4:$I$8,2,FALSE),"N/A")</f>
        <v>N/A</v>
      </c>
      <c r="N37" s="2595" t="str">
        <f t="shared" si="1"/>
        <v>N/A</v>
      </c>
      <c r="O37" s="2597"/>
      <c r="P37" s="2595" t="str">
        <f>IF($D37="Logistics",VLOOKUP($O37,'Upper Cask Movement &amp; Logistics'!$C$4:$D$209,2,FALSE),"N/A")</f>
        <v>N/A</v>
      </c>
      <c r="Q37" s="2598"/>
      <c r="R37" s="2595" t="str">
        <f>IFERROR(VLOOKUP($Q37,'Upper Cask Dependencies'!$C$3:$F$322,4,FALSE),"N/A")</f>
        <v>N/A</v>
      </c>
      <c r="S37" s="2599" t="str">
        <f t="shared" si="3"/>
        <v>N/A</v>
      </c>
    </row>
    <row r="38" spans="2:19" x14ac:dyDescent="0.35">
      <c r="B38" s="3926"/>
      <c r="C38" s="2587" t="s">
        <v>1234</v>
      </c>
      <c r="D38" s="2587" t="s">
        <v>3</v>
      </c>
      <c r="E38" s="2588">
        <f t="shared" si="0"/>
        <v>0.63000000000000012</v>
      </c>
      <c r="F38" s="2588">
        <f t="shared" si="4"/>
        <v>43.937777777777782</v>
      </c>
      <c r="G38" s="2587"/>
      <c r="H38" s="2588" t="str">
        <f>IF($D38="operation",VLOOKUP($G38,'Generic Vertical Port Tasks'!$C$4:$D$197,2,FALSE),"N/A")</f>
        <v>N/A</v>
      </c>
      <c r="I38" s="2587"/>
      <c r="J38" s="2587"/>
      <c r="K38" s="2587"/>
      <c r="L38" s="2589" t="str">
        <f>IFERROR(INDEX('Upper Cask Movement &amp; Logistics'!$I$24:$P$31,MATCH($J38,'Upper Cask Movement &amp; Logistics'!$H$24:$H$31,0),MATCH($K38,'Upper Cask Movement &amp; Logistics'!$H$24:$H$31,0)),"N/A")</f>
        <v>N/A</v>
      </c>
      <c r="M38" s="2589" t="str">
        <f>IFERROR(VLOOKUP($I38,'Upper Cask Movement &amp; Logistics'!$H$4:$I$8,2,FALSE),"N/A")</f>
        <v>N/A</v>
      </c>
      <c r="N38" s="2588" t="str">
        <f t="shared" si="1"/>
        <v>N/A</v>
      </c>
      <c r="O38" s="2590" t="s">
        <v>1228</v>
      </c>
      <c r="P38" s="2588">
        <f>IF($D38="Logistics",VLOOKUP($O38,'Upper Cask Movement &amp; Logistics'!$C$4:$D$209,2,FALSE),"N/A")</f>
        <v>0.63000000000000012</v>
      </c>
      <c r="Q38" s="2591" t="str">
        <f>'Upper Cask Dependencies'!B7</f>
        <v>Hardware Cask 1 collected &amp; docked</v>
      </c>
      <c r="R38" s="2588">
        <f>IFERROR(VLOOKUP($Q38,'Upper Cask Dependencies'!$C$3:$F$322,4,FALSE),"N/A")</f>
        <v>14.79925925925926</v>
      </c>
      <c r="S38" s="2592">
        <f t="shared" si="3"/>
        <v>28.508518518518521</v>
      </c>
    </row>
    <row r="39" spans="2:19" x14ac:dyDescent="0.35">
      <c r="B39" s="3926"/>
      <c r="C39" s="2587" t="s">
        <v>1235</v>
      </c>
      <c r="D39" s="2587" t="s">
        <v>3</v>
      </c>
      <c r="E39" s="2588">
        <f t="shared" si="0"/>
        <v>0.38</v>
      </c>
      <c r="F39" s="2588">
        <f t="shared" si="4"/>
        <v>44.317777777777785</v>
      </c>
      <c r="G39" s="2587"/>
      <c r="H39" s="2588" t="str">
        <f>IF($D39="operation",VLOOKUP($G39,'Generic Vertical Port Tasks'!$C$4:$D$197,2,FALSE),"N/A")</f>
        <v>N/A</v>
      </c>
      <c r="I39" s="2587"/>
      <c r="J39" s="2587"/>
      <c r="K39" s="2587"/>
      <c r="L39" s="2589" t="str">
        <f>IFERROR(INDEX('Upper Cask Movement &amp; Logistics'!$I$24:$P$31,MATCH($J39,'Upper Cask Movement &amp; Logistics'!$H$24:$H$31,0),MATCH($K39,'Upper Cask Movement &amp; Logistics'!$H$24:$H$31,0)),"N/A")</f>
        <v>N/A</v>
      </c>
      <c r="M39" s="2589" t="str">
        <f>IFERROR(VLOOKUP($I39,'Upper Cask Movement &amp; Logistics'!$H$4:$I$8,2,FALSE),"N/A")</f>
        <v>N/A</v>
      </c>
      <c r="N39" s="2588" t="str">
        <f t="shared" si="1"/>
        <v>N/A</v>
      </c>
      <c r="O39" s="2590" t="s">
        <v>1230</v>
      </c>
      <c r="P39" s="2588">
        <f>IF($D39="Logistics",VLOOKUP($O39,'Upper Cask Movement &amp; Logistics'!$C$4:$D$209,2,FALSE),"N/A")</f>
        <v>0.38</v>
      </c>
      <c r="Q39" s="2591"/>
      <c r="R39" s="2588" t="str">
        <f>IFERROR(VLOOKUP($Q39,'Upper Cask Dependencies'!$C$3:$F$322,4,FALSE),"N/A")</f>
        <v>N/A</v>
      </c>
      <c r="S39" s="2592" t="str">
        <f t="shared" si="3"/>
        <v>N/A</v>
      </c>
    </row>
    <row r="40" spans="2:19" s="2593" customFormat="1" x14ac:dyDescent="0.35">
      <c r="B40" s="3926"/>
      <c r="C40" s="2587" t="s">
        <v>2394</v>
      </c>
      <c r="D40" s="2587" t="s">
        <v>3</v>
      </c>
      <c r="E40" s="2588">
        <f t="shared" si="0"/>
        <v>0.38</v>
      </c>
      <c r="F40" s="2588">
        <f t="shared" si="4"/>
        <v>44.697777777777787</v>
      </c>
      <c r="G40" s="2587"/>
      <c r="H40" s="2588" t="str">
        <f>IF($D40="operation",VLOOKUP($G40,'Generic Vertical Port Tasks'!$C$4:$D$197,2,FALSE),"N/A")</f>
        <v>N/A</v>
      </c>
      <c r="I40" s="2587"/>
      <c r="J40" s="2587"/>
      <c r="K40" s="2587"/>
      <c r="L40" s="2589" t="str">
        <f>IFERROR(INDEX('Upper Cask Movement &amp; Logistics'!$I$24:$P$31,MATCH($J40,'Upper Cask Movement &amp; Logistics'!$H$24:$H$31,0),MATCH($K40,'Upper Cask Movement &amp; Logistics'!$H$24:$H$31,0)),"N/A")</f>
        <v>N/A</v>
      </c>
      <c r="M40" s="2589" t="str">
        <f>IFERROR(VLOOKUP($I40,'Upper Cask Movement &amp; Logistics'!$H$4:$I$8,2,FALSE),"N/A")</f>
        <v>N/A</v>
      </c>
      <c r="N40" s="2588" t="str">
        <f t="shared" si="1"/>
        <v>N/A</v>
      </c>
      <c r="O40" s="2590" t="s">
        <v>1226</v>
      </c>
      <c r="P40" s="2588">
        <f>IF($D40="Logistics",VLOOKUP($O40,'Upper Cask Movement &amp; Logistics'!$C$4:$D$209,2,FALSE),"N/A")</f>
        <v>0.38</v>
      </c>
      <c r="Q40" s="2591"/>
      <c r="R40" s="2588" t="str">
        <f>IFERROR(VLOOKUP($Q40,'Upper Cask Dependencies'!$C$3:$F$322,4,FALSE),"N/A")</f>
        <v>N/A</v>
      </c>
      <c r="S40" s="2592" t="str">
        <f>IFERROR(F37-R40,"N/A")</f>
        <v>N/A</v>
      </c>
    </row>
    <row r="41" spans="2:19" s="2593" customFormat="1" x14ac:dyDescent="0.35">
      <c r="B41" s="3926"/>
      <c r="C41" s="2587" t="s">
        <v>2641</v>
      </c>
      <c r="D41" s="2587" t="s">
        <v>251</v>
      </c>
      <c r="E41" s="2588">
        <f t="shared" si="0"/>
        <v>5.7722222222222221</v>
      </c>
      <c r="F41" s="2588">
        <f t="shared" si="4"/>
        <v>50.470000000000013</v>
      </c>
      <c r="G41" s="2587" t="s">
        <v>2385</v>
      </c>
      <c r="H41" s="2588">
        <f>IF($D41="operation",VLOOKUP($G41,'Generic Vertical Port Tasks'!$C$4:$D$197,2,FALSE),"N/A")</f>
        <v>5.7722222222222221</v>
      </c>
      <c r="I41" s="2587"/>
      <c r="J41" s="2587"/>
      <c r="K41" s="2587"/>
      <c r="L41" s="2589" t="str">
        <f>IFERROR(INDEX('Upper Cask Movement &amp; Logistics'!$I$24:$P$31,MATCH($J41,'Upper Cask Movement &amp; Logistics'!$H$24:$H$31,0),MATCH($K41,'Upper Cask Movement &amp; Logistics'!$H$24:$H$31,0)),"N/A")</f>
        <v>N/A</v>
      </c>
      <c r="M41" s="2589" t="str">
        <f>IFERROR(VLOOKUP($I41,'Upper Cask Movement &amp; Logistics'!$H$4:$I$8,2,FALSE),"N/A")</f>
        <v>N/A</v>
      </c>
      <c r="N41" s="2588" t="str">
        <f t="shared" si="1"/>
        <v>N/A</v>
      </c>
      <c r="O41" s="2590" t="s">
        <v>1226</v>
      </c>
      <c r="P41" s="2588" t="str">
        <f>IF($D41="Logistics",VLOOKUP($O41,'Upper Cask Movement &amp; Logistics'!$C$4:$D$209,2,FALSE),"N/A")</f>
        <v>N/A</v>
      </c>
      <c r="Q41" s="2591"/>
      <c r="R41" s="2588" t="str">
        <f>IFERROR(VLOOKUP($Q41,'Upper Cask Dependencies'!$C$3:$F$322,4,FALSE),"N/A")</f>
        <v>N/A</v>
      </c>
      <c r="S41" s="2592" t="str">
        <f>IFERROR(F38-R41,"N/A")</f>
        <v>N/A</v>
      </c>
    </row>
    <row r="42" spans="2:19" s="2593" customFormat="1" ht="13.3" thickBot="1" x14ac:dyDescent="0.4">
      <c r="B42" s="3926"/>
      <c r="C42" s="2600" t="s">
        <v>2395</v>
      </c>
      <c r="D42" s="2600" t="s">
        <v>3</v>
      </c>
      <c r="E42" s="2601">
        <f t="shared" si="0"/>
        <v>0.38</v>
      </c>
      <c r="F42" s="2601">
        <f t="shared" si="4"/>
        <v>50.850000000000016</v>
      </c>
      <c r="G42" s="2600"/>
      <c r="H42" s="2601" t="str">
        <f>IF($D42="operation",VLOOKUP($G42,'Generic Vertical Port Tasks'!$C$4:$D$197,2,FALSE),"N/A")</f>
        <v>N/A</v>
      </c>
      <c r="I42" s="2600"/>
      <c r="J42" s="2600"/>
      <c r="K42" s="2600"/>
      <c r="L42" s="2602" t="str">
        <f>IFERROR(INDEX('Upper Cask Movement &amp; Logistics'!$I$24:$P$31,MATCH($J42,'Upper Cask Movement &amp; Logistics'!$H$24:$H$31,0),MATCH($K42,'Upper Cask Movement &amp; Logistics'!$H$24:$H$31,0)),"N/A")</f>
        <v>N/A</v>
      </c>
      <c r="M42" s="2602" t="str">
        <f>IFERROR(VLOOKUP($I42,'Upper Cask Movement &amp; Logistics'!$H$4:$I$8,2,FALSE),"N/A")</f>
        <v>N/A</v>
      </c>
      <c r="N42" s="2601" t="str">
        <f t="shared" si="1"/>
        <v>N/A</v>
      </c>
      <c r="O42" s="2603" t="s">
        <v>1226</v>
      </c>
      <c r="P42" s="2601">
        <f>IF($D42="Logistics",VLOOKUP($O42,'Upper Cask Movement &amp; Logistics'!$C$4:$D$209,2,FALSE),"N/A")</f>
        <v>0.38</v>
      </c>
      <c r="Q42" s="2604"/>
      <c r="R42" s="2601" t="str">
        <f>IFERROR(VLOOKUP($Q42,'Upper Cask Dependencies'!$C$3:$F$322,4,FALSE),"N/A")</f>
        <v>N/A</v>
      </c>
      <c r="S42" s="2605" t="str">
        <f>IFERROR(F39-R42,"N/A")</f>
        <v>N/A</v>
      </c>
    </row>
    <row r="43" spans="2:19" x14ac:dyDescent="0.35">
      <c r="B43" s="3923" t="s">
        <v>772</v>
      </c>
      <c r="C43" s="2606" t="s">
        <v>1236</v>
      </c>
      <c r="D43" s="2606" t="s">
        <v>3</v>
      </c>
      <c r="E43" s="2561">
        <f t="shared" si="0"/>
        <v>0.38</v>
      </c>
      <c r="F43" s="2561">
        <f t="shared" si="4"/>
        <v>51.230000000000018</v>
      </c>
      <c r="G43" s="2606"/>
      <c r="H43" s="2561" t="str">
        <f>IF($D43="operation",VLOOKUP($G43,'Generic Vertical Port Tasks'!$C$4:$D$197,2,FALSE),"N/A")</f>
        <v>N/A</v>
      </c>
      <c r="I43" s="2606"/>
      <c r="J43" s="2606"/>
      <c r="K43" s="2606"/>
      <c r="L43" s="2563" t="str">
        <f>IFERROR(INDEX('Upper Cask Movement &amp; Logistics'!$I$24:$P$31,MATCH($J43,'Upper Cask Movement &amp; Logistics'!$H$24:$H$31,0),MATCH($K43,'Upper Cask Movement &amp; Logistics'!$H$24:$H$31,0)),"N/A")</f>
        <v>N/A</v>
      </c>
      <c r="M43" s="2563" t="str">
        <f>IFERROR(VLOOKUP($I43,'Upper Cask Movement &amp; Logistics'!$H$4:$I$8,2,FALSE),"N/A")</f>
        <v>N/A</v>
      </c>
      <c r="N43" s="2561" t="str">
        <f t="shared" si="1"/>
        <v>N/A</v>
      </c>
      <c r="O43" s="2607" t="s">
        <v>1226</v>
      </c>
      <c r="P43" s="2561">
        <f>IF($D43="Logistics",VLOOKUP($O43,'Upper Cask Movement &amp; Logistics'!$C$4:$D$209,2,FALSE),"N/A")</f>
        <v>0.38</v>
      </c>
      <c r="Q43" s="2608"/>
      <c r="R43" s="2561" t="str">
        <f>IFERROR(VLOOKUP($Q43,'Upper Cask Dependencies'!$C$3:$F$322,4,FALSE),"N/A")</f>
        <v>N/A</v>
      </c>
      <c r="S43" s="2609" t="str">
        <f>IFERROR(F39-R43,"N/A")</f>
        <v>N/A</v>
      </c>
    </row>
    <row r="44" spans="2:19" x14ac:dyDescent="0.35">
      <c r="B44" s="3924"/>
      <c r="C44" s="2576" t="s">
        <v>818</v>
      </c>
      <c r="D44" s="2576" t="s">
        <v>251</v>
      </c>
      <c r="E44" s="2569">
        <f>MAX($P44,$N44,$H44)</f>
        <v>29.333333333333336</v>
      </c>
      <c r="F44" s="2569">
        <f t="shared" si="4"/>
        <v>80.563333333333361</v>
      </c>
      <c r="G44" s="2576" t="s">
        <v>6</v>
      </c>
      <c r="H44" s="2569">
        <f>IF($D44="operation",VLOOKUP($G44,'Generic Vertical Port Tasks'!$C$4:$D$197,2,FALSE),"N/A")</f>
        <v>29.333333333333336</v>
      </c>
      <c r="I44" s="2576"/>
      <c r="J44" s="2576"/>
      <c r="K44" s="2576"/>
      <c r="L44" s="2571" t="str">
        <f>IFERROR(INDEX('Upper Cask Movement &amp; Logistics'!$I$24:$P$31,MATCH($J44,'Upper Cask Movement &amp; Logistics'!$H$24:$H$31,0),MATCH($K44,'Upper Cask Movement &amp; Logistics'!$H$24:$H$31,0)),"N/A")</f>
        <v>N/A</v>
      </c>
      <c r="M44" s="2571" t="str">
        <f>IFERROR(VLOOKUP($I44,'Upper Cask Movement &amp; Logistics'!$H$4:$I$8,2,FALSE),"N/A")</f>
        <v>N/A</v>
      </c>
      <c r="N44" s="2569" t="str">
        <f t="shared" si="1"/>
        <v>N/A</v>
      </c>
      <c r="O44" s="2577"/>
      <c r="P44" s="2569" t="str">
        <f>IF($D44="Logistics",VLOOKUP($O44,'Upper Cask Movement &amp; Logistics'!$C$4:$D$209,2,FALSE),"N/A")</f>
        <v>N/A</v>
      </c>
      <c r="Q44" s="2578"/>
      <c r="R44" s="2569" t="str">
        <f>IFERROR(VLOOKUP($Q44,'Upper Cask Dependencies'!$C$3:$F$322,4,FALSE),"N/A")</f>
        <v>N/A</v>
      </c>
      <c r="S44" s="2579" t="str">
        <f t="shared" si="3"/>
        <v>N/A</v>
      </c>
    </row>
    <row r="45" spans="2:19" x14ac:dyDescent="0.35">
      <c r="B45" s="3924"/>
      <c r="C45" s="2576" t="s">
        <v>1237</v>
      </c>
      <c r="D45" s="2576" t="s">
        <v>3</v>
      </c>
      <c r="E45" s="2569">
        <f t="shared" si="0"/>
        <v>0.38</v>
      </c>
      <c r="F45" s="2569">
        <f t="shared" si="4"/>
        <v>80.943333333333356</v>
      </c>
      <c r="G45" s="2576"/>
      <c r="H45" s="2569" t="str">
        <f>IF($D45="operation",VLOOKUP($G45,'Generic Vertical Port Tasks'!$C$4:$D$197,2,FALSE),"N/A")</f>
        <v>N/A</v>
      </c>
      <c r="I45" s="2576"/>
      <c r="J45" s="2576"/>
      <c r="K45" s="2576"/>
      <c r="L45" s="2571" t="str">
        <f>IFERROR(INDEX('Upper Cask Movement &amp; Logistics'!$I$24:$P$31,MATCH($J45,'Upper Cask Movement &amp; Logistics'!$H$24:$H$31,0),MATCH($K45,'Upper Cask Movement &amp; Logistics'!$H$24:$H$31,0)),"N/A")</f>
        <v>N/A</v>
      </c>
      <c r="M45" s="2571" t="str">
        <f>IFERROR(VLOOKUP($I45,'Upper Cask Movement &amp; Logistics'!$H$4:$I$8,2,FALSE),"N/A")</f>
        <v>N/A</v>
      </c>
      <c r="N45" s="2569" t="str">
        <f t="shared" si="1"/>
        <v>N/A</v>
      </c>
      <c r="O45" s="2577" t="s">
        <v>1230</v>
      </c>
      <c r="P45" s="2569">
        <f>IF($D45="Logistics",VLOOKUP($O45,'Upper Cask Movement &amp; Logistics'!$C$4:$D$209,2,FALSE),"N/A")</f>
        <v>0.38</v>
      </c>
      <c r="Q45" s="2578"/>
      <c r="R45" s="2569" t="str">
        <f>IFERROR(VLOOKUP($Q45,'Upper Cask Dependencies'!$C$3:$F$322,4,FALSE),"N/A")</f>
        <v>N/A</v>
      </c>
      <c r="S45" s="2579" t="str">
        <f t="shared" si="3"/>
        <v>N/A</v>
      </c>
    </row>
    <row r="46" spans="2:19" x14ac:dyDescent="0.35">
      <c r="B46" s="3924"/>
      <c r="C46" s="2576" t="s">
        <v>1233</v>
      </c>
      <c r="D46" s="2576" t="s">
        <v>3</v>
      </c>
      <c r="E46" s="2569">
        <f t="shared" si="0"/>
        <v>0.38</v>
      </c>
      <c r="F46" s="2569">
        <f t="shared" si="4"/>
        <v>81.323333333333352</v>
      </c>
      <c r="G46" s="2576"/>
      <c r="H46" s="2569" t="str">
        <f>IF($D46="operation",VLOOKUP($G46,'Generic Vertical Port Tasks'!$C$4:$D$197,2,FALSE),"N/A")</f>
        <v>N/A</v>
      </c>
      <c r="I46" s="2576"/>
      <c r="J46" s="2576"/>
      <c r="K46" s="2576"/>
      <c r="L46" s="2571" t="str">
        <f>IFERROR(INDEX('Upper Cask Movement &amp; Logistics'!$I$24:$P$31,MATCH($J46,'Upper Cask Movement &amp; Logistics'!$H$24:$H$31,0),MATCH($K46,'Upper Cask Movement &amp; Logistics'!$H$24:$H$31,0)),"N/A")</f>
        <v>N/A</v>
      </c>
      <c r="M46" s="2571" t="str">
        <f>IFERROR(VLOOKUP($I46,'Upper Cask Movement &amp; Logistics'!$H$4:$I$8,2,FALSE),"N/A")</f>
        <v>N/A</v>
      </c>
      <c r="N46" s="2569" t="str">
        <f t="shared" si="1"/>
        <v>N/A</v>
      </c>
      <c r="O46" s="2577" t="s">
        <v>1226</v>
      </c>
      <c r="P46" s="2569">
        <f>IF($D46="Logistics",VLOOKUP($O46,'Upper Cask Movement &amp; Logistics'!$C$4:$D$209,2,FALSE),"N/A")</f>
        <v>0.38</v>
      </c>
      <c r="Q46" s="2578"/>
      <c r="R46" s="2569" t="str">
        <f>IFERROR(VLOOKUP($Q46,'Upper Cask Dependencies'!$C$3:$F$322,4,FALSE),"N/A")</f>
        <v>N/A</v>
      </c>
      <c r="S46" s="2579" t="str">
        <f t="shared" si="3"/>
        <v>N/A</v>
      </c>
    </row>
    <row r="47" spans="2:19" x14ac:dyDescent="0.35">
      <c r="B47" s="3924"/>
      <c r="C47" s="2576" t="s">
        <v>7</v>
      </c>
      <c r="D47" s="2576" t="s">
        <v>251</v>
      </c>
      <c r="E47" s="2569">
        <f t="shared" si="0"/>
        <v>0.375</v>
      </c>
      <c r="F47" s="2569">
        <f t="shared" ref="F47:F56" si="5">IF(S47&lt;0,E47+F46+(-S47),E47+F46)</f>
        <v>81.698333333333352</v>
      </c>
      <c r="G47" s="2576" t="s">
        <v>7</v>
      </c>
      <c r="H47" s="2569">
        <f>IF($D47="operation",VLOOKUP($G47,'Generic Vertical Port Tasks'!$C$4:$D$197,2,FALSE),"N/A")</f>
        <v>0.375</v>
      </c>
      <c r="I47" s="2576"/>
      <c r="J47" s="2576"/>
      <c r="K47" s="2576"/>
      <c r="L47" s="2571" t="str">
        <f>IFERROR(INDEX('Upper Cask Movement &amp; Logistics'!$I$24:$P$31,MATCH($J47,'Upper Cask Movement &amp; Logistics'!$H$24:$H$31,0),MATCH($K47,'Upper Cask Movement &amp; Logistics'!$H$24:$H$31,0)),"N/A")</f>
        <v>N/A</v>
      </c>
      <c r="M47" s="2571" t="str">
        <f>IFERROR(VLOOKUP($I47,'Upper Cask Movement &amp; Logistics'!$H$4:$I$8,2,FALSE),"N/A")</f>
        <v>N/A</v>
      </c>
      <c r="N47" s="2569" t="str">
        <f t="shared" si="1"/>
        <v>N/A</v>
      </c>
      <c r="O47" s="2577"/>
      <c r="P47" s="2569" t="str">
        <f>IF($D47="Logistics",VLOOKUP($O47,'Upper Cask Movement &amp; Logistics'!$C$4:$D$209,2,FALSE),"N/A")</f>
        <v>N/A</v>
      </c>
      <c r="Q47" s="2578"/>
      <c r="R47" s="2569" t="str">
        <f>IFERROR(VLOOKUP($Q47,'Upper Cask Dependencies'!$C$3:$F$322,4,FALSE),"N/A")</f>
        <v>N/A</v>
      </c>
      <c r="S47" s="2579" t="str">
        <f t="shared" si="3"/>
        <v>N/A</v>
      </c>
    </row>
    <row r="48" spans="2:19" x14ac:dyDescent="0.35">
      <c r="B48" s="3924"/>
      <c r="C48" s="2576" t="s">
        <v>1238</v>
      </c>
      <c r="D48" s="2576" t="s">
        <v>3</v>
      </c>
      <c r="E48" s="2569">
        <f t="shared" si="0"/>
        <v>0.63000000000000012</v>
      </c>
      <c r="F48" s="2569">
        <f t="shared" si="5"/>
        <v>82.328333333333347</v>
      </c>
      <c r="G48" s="2576"/>
      <c r="H48" s="2569" t="str">
        <f>IF($D48="operation",VLOOKUP($G48,'Generic Vertical Port Tasks'!$C$4:$D$197,2,FALSE),"N/A")</f>
        <v>N/A</v>
      </c>
      <c r="I48" s="2576"/>
      <c r="J48" s="2576"/>
      <c r="K48" s="2576"/>
      <c r="L48" s="2571" t="str">
        <f>IFERROR(INDEX('Upper Cask Movement &amp; Logistics'!$I$24:$P$31,MATCH($J48,'Upper Cask Movement &amp; Logistics'!$H$24:$H$31,0),MATCH($K48,'Upper Cask Movement &amp; Logistics'!$H$24:$H$31,0)),"N/A")</f>
        <v>N/A</v>
      </c>
      <c r="M48" s="2571" t="str">
        <f>IFERROR(VLOOKUP($I48,'Upper Cask Movement &amp; Logistics'!$H$4:$I$8,2,FALSE),"N/A")</f>
        <v>N/A</v>
      </c>
      <c r="N48" s="2569" t="str">
        <f t="shared" si="1"/>
        <v>N/A</v>
      </c>
      <c r="O48" s="2577" t="s">
        <v>1228</v>
      </c>
      <c r="P48" s="2569">
        <f>IF($D48="Logistics",VLOOKUP($O48,'Upper Cask Movement &amp; Logistics'!$C$4:$D$209,2,FALSE),"N/A")</f>
        <v>0.63000000000000012</v>
      </c>
      <c r="Q48" s="2578" t="str">
        <f>'Upper Cask Dependencies'!B13</f>
        <v>ECH &amp; Hardware Cask 1 stored; Hardware Cask 2 collected; Hardware Cask 2 docked</v>
      </c>
      <c r="R48" s="2569">
        <f>IFERROR(VLOOKUP($Q48,'Upper Cask Dependencies'!$C$3:$F$322,4,FALSE),"N/A")</f>
        <v>50.759259259259252</v>
      </c>
      <c r="S48" s="2579">
        <f t="shared" si="3"/>
        <v>30.939074074074099</v>
      </c>
    </row>
    <row r="49" spans="2:19" ht="13.3" thickBot="1" x14ac:dyDescent="0.4">
      <c r="B49" s="3925"/>
      <c r="C49" s="2582" t="s">
        <v>1235</v>
      </c>
      <c r="D49" s="2582" t="s">
        <v>3</v>
      </c>
      <c r="E49" s="2581">
        <f t="shared" si="0"/>
        <v>0.38</v>
      </c>
      <c r="F49" s="2581">
        <f t="shared" si="5"/>
        <v>82.708333333333343</v>
      </c>
      <c r="G49" s="2582"/>
      <c r="H49" s="2581" t="str">
        <f>IF($D49="operation",VLOOKUP($G49,'Generic Vertical Port Tasks'!$C$4:$D$197,2,FALSE),"N/A")</f>
        <v>N/A</v>
      </c>
      <c r="I49" s="2582"/>
      <c r="J49" s="2582"/>
      <c r="K49" s="2582"/>
      <c r="L49" s="2583" t="str">
        <f>IFERROR(INDEX('Upper Cask Movement &amp; Logistics'!$I$24:$P$31,MATCH($J49,'Upper Cask Movement &amp; Logistics'!$H$24:$H$31,0),MATCH($K49,'Upper Cask Movement &amp; Logistics'!$H$24:$H$31,0)),"N/A")</f>
        <v>N/A</v>
      </c>
      <c r="M49" s="2583" t="str">
        <f>IFERROR(VLOOKUP($I49,'Upper Cask Movement &amp; Logistics'!$H$4:$I$8,2,FALSE),"N/A")</f>
        <v>N/A</v>
      </c>
      <c r="N49" s="2581" t="str">
        <f t="shared" si="1"/>
        <v>N/A</v>
      </c>
      <c r="O49" s="2584" t="s">
        <v>1230</v>
      </c>
      <c r="P49" s="2581">
        <f>IF($D49="Logistics",VLOOKUP($O49,'Upper Cask Movement &amp; Logistics'!$C$4:$D$209,2,FALSE),"N/A")</f>
        <v>0.38</v>
      </c>
      <c r="Q49" s="2585"/>
      <c r="R49" s="2581" t="str">
        <f>IFERROR(VLOOKUP($Q49,'Upper Cask Dependencies'!$C$3:$F$322,4,FALSE),"N/A")</f>
        <v>N/A</v>
      </c>
      <c r="S49" s="2586" t="str">
        <f t="shared" si="3"/>
        <v>N/A</v>
      </c>
    </row>
    <row r="50" spans="2:19" s="2593" customFormat="1" ht="15" customHeight="1" x14ac:dyDescent="0.35">
      <c r="B50" s="3926" t="s">
        <v>773</v>
      </c>
      <c r="C50" s="2587" t="s">
        <v>2394</v>
      </c>
      <c r="D50" s="2587" t="s">
        <v>3</v>
      </c>
      <c r="E50" s="2588">
        <f t="shared" si="0"/>
        <v>0.38</v>
      </c>
      <c r="F50" s="2588">
        <f t="shared" si="5"/>
        <v>83.088333333333338</v>
      </c>
      <c r="G50" s="2587"/>
      <c r="H50" s="2588" t="str">
        <f>IF($D50="operation",VLOOKUP($G50,'Generic Vertical Port Tasks'!$C$4:$D$197,2,FALSE),"N/A")</f>
        <v>N/A</v>
      </c>
      <c r="I50" s="2587"/>
      <c r="J50" s="2587"/>
      <c r="K50" s="2587"/>
      <c r="L50" s="2589" t="str">
        <f>IFERROR(INDEX('Upper Cask Movement &amp; Logistics'!$I$24:$P$31,MATCH($J50,'Upper Cask Movement &amp; Logistics'!$H$24:$H$31,0),MATCH($K50,'Upper Cask Movement &amp; Logistics'!$H$24:$H$31,0)),"N/A")</f>
        <v>N/A</v>
      </c>
      <c r="M50" s="2589" t="str">
        <f>IFERROR(VLOOKUP($I50,'Upper Cask Movement &amp; Logistics'!$H$4:$I$8,2,FALSE),"N/A")</f>
        <v>N/A</v>
      </c>
      <c r="N50" s="2588" t="str">
        <f t="shared" si="1"/>
        <v>N/A</v>
      </c>
      <c r="O50" s="2590" t="s">
        <v>1226</v>
      </c>
      <c r="P50" s="2588">
        <f>IF($D50="Logistics",VLOOKUP($O50,'Upper Cask Movement &amp; Logistics'!$C$4:$D$209,2,FALSE),"N/A")</f>
        <v>0.38</v>
      </c>
      <c r="Q50" s="2591"/>
      <c r="R50" s="2588" t="str">
        <f>IFERROR(VLOOKUP($Q50,'Upper Cask Dependencies'!$C$3:$F$322,4,FALSE),"N/A")</f>
        <v>N/A</v>
      </c>
      <c r="S50" s="2592" t="str">
        <f>IFERROR(F47-R50,"N/A")</f>
        <v>N/A</v>
      </c>
    </row>
    <row r="51" spans="2:19" s="2593" customFormat="1" x14ac:dyDescent="0.35">
      <c r="B51" s="3926"/>
      <c r="C51" s="2587" t="s">
        <v>2641</v>
      </c>
      <c r="D51" s="2587" t="s">
        <v>251</v>
      </c>
      <c r="E51" s="2588">
        <f t="shared" si="0"/>
        <v>5.7722222222222221</v>
      </c>
      <c r="F51" s="2588">
        <f t="shared" si="5"/>
        <v>88.860555555555564</v>
      </c>
      <c r="G51" s="2587" t="s">
        <v>2385</v>
      </c>
      <c r="H51" s="2588">
        <f>IF($D51="operation",VLOOKUP($G51,'Generic Vertical Port Tasks'!$C$4:$D$197,2,FALSE),"N/A")</f>
        <v>5.7722222222222221</v>
      </c>
      <c r="I51" s="2587"/>
      <c r="J51" s="2587"/>
      <c r="K51" s="2587"/>
      <c r="L51" s="2589" t="str">
        <f>IFERROR(INDEX('Upper Cask Movement &amp; Logistics'!$I$24:$P$31,MATCH($J51,'Upper Cask Movement &amp; Logistics'!$H$24:$H$31,0),MATCH($K51,'Upper Cask Movement &amp; Logistics'!$H$24:$H$31,0)),"N/A")</f>
        <v>N/A</v>
      </c>
      <c r="M51" s="2589" t="str">
        <f>IFERROR(VLOOKUP($I51,'Upper Cask Movement &amp; Logistics'!$H$4:$I$8,2,FALSE),"N/A")</f>
        <v>N/A</v>
      </c>
      <c r="N51" s="2588" t="str">
        <f t="shared" si="1"/>
        <v>N/A</v>
      </c>
      <c r="O51" s="2590" t="s">
        <v>1226</v>
      </c>
      <c r="P51" s="2588" t="str">
        <f>IF($D51="Logistics",VLOOKUP($O51,'Upper Cask Movement &amp; Logistics'!$C$4:$D$209,2,FALSE),"N/A")</f>
        <v>N/A</v>
      </c>
      <c r="Q51" s="2591"/>
      <c r="R51" s="2588" t="str">
        <f>IFERROR(VLOOKUP($Q51,'Upper Cask Dependencies'!$C$3:$F$322,4,FALSE),"N/A")</f>
        <v>N/A</v>
      </c>
      <c r="S51" s="2592" t="str">
        <f>IFERROR(F48-R51,"N/A")</f>
        <v>N/A</v>
      </c>
    </row>
    <row r="52" spans="2:19" s="2593" customFormat="1" x14ac:dyDescent="0.35">
      <c r="B52" s="3926"/>
      <c r="C52" s="2587" t="s">
        <v>2395</v>
      </c>
      <c r="D52" s="2587" t="s">
        <v>3</v>
      </c>
      <c r="E52" s="2588">
        <f t="shared" si="0"/>
        <v>0.38</v>
      </c>
      <c r="F52" s="2588">
        <f t="shared" si="5"/>
        <v>89.240555555555559</v>
      </c>
      <c r="G52" s="2587"/>
      <c r="H52" s="2588" t="str">
        <f>IF($D52="operation",VLOOKUP($G52,'Generic Vertical Port Tasks'!$C$4:$D$197,2,FALSE),"N/A")</f>
        <v>N/A</v>
      </c>
      <c r="I52" s="2587"/>
      <c r="J52" s="2587"/>
      <c r="K52" s="2587"/>
      <c r="L52" s="2589" t="str">
        <f>IFERROR(INDEX('Upper Cask Movement &amp; Logistics'!$I$24:$P$31,MATCH($J52,'Upper Cask Movement &amp; Logistics'!$H$24:$H$31,0),MATCH($K52,'Upper Cask Movement &amp; Logistics'!$H$24:$H$31,0)),"N/A")</f>
        <v>N/A</v>
      </c>
      <c r="M52" s="2589" t="str">
        <f>IFERROR(VLOOKUP($I52,'Upper Cask Movement &amp; Logistics'!$H$4:$I$8,2,FALSE),"N/A")</f>
        <v>N/A</v>
      </c>
      <c r="N52" s="2588" t="str">
        <f t="shared" si="1"/>
        <v>N/A</v>
      </c>
      <c r="O52" s="2590" t="s">
        <v>1226</v>
      </c>
      <c r="P52" s="2588">
        <f>IF($D52="Logistics",VLOOKUP($O52,'Upper Cask Movement &amp; Logistics'!$C$4:$D$209,2,FALSE),"N/A")</f>
        <v>0.38</v>
      </c>
      <c r="Q52" s="2591"/>
      <c r="R52" s="2588" t="str">
        <f>IFERROR(VLOOKUP($Q52,'Upper Cask Dependencies'!$C$3:$F$322,4,FALSE),"N/A")</f>
        <v>N/A</v>
      </c>
      <c r="S52" s="2592" t="str">
        <f>IFERROR(F49-R52,"N/A")</f>
        <v>N/A</v>
      </c>
    </row>
    <row r="53" spans="2:19" ht="15" customHeight="1" x14ac:dyDescent="0.35">
      <c r="B53" s="3926"/>
      <c r="C53" s="2587" t="s">
        <v>1239</v>
      </c>
      <c r="D53" s="2587" t="s">
        <v>3</v>
      </c>
      <c r="E53" s="2588">
        <f t="shared" si="0"/>
        <v>0.38</v>
      </c>
      <c r="F53" s="2588">
        <f t="shared" si="5"/>
        <v>89.620555555555555</v>
      </c>
      <c r="G53" s="2587"/>
      <c r="H53" s="2588" t="str">
        <f>IF($D53="operation",VLOOKUP($G53,'Generic Vertical Port Tasks'!$C$4:$D$197,2,FALSE),"N/A")</f>
        <v>N/A</v>
      </c>
      <c r="I53" s="2587"/>
      <c r="J53" s="2587"/>
      <c r="K53" s="2587"/>
      <c r="L53" s="2589" t="str">
        <f>IFERROR(INDEX('Upper Cask Movement &amp; Logistics'!$I$24:$P$31,MATCH($J53,'Upper Cask Movement &amp; Logistics'!$H$24:$H$31,0),MATCH($K53,'Upper Cask Movement &amp; Logistics'!$H$24:$H$31,0)),"N/A")</f>
        <v>N/A</v>
      </c>
      <c r="M53" s="2589" t="str">
        <f>IFERROR(VLOOKUP($I53,'Upper Cask Movement &amp; Logistics'!$H$4:$I$8,2,FALSE),"N/A")</f>
        <v>N/A</v>
      </c>
      <c r="N53" s="2588" t="str">
        <f t="shared" si="1"/>
        <v>N/A</v>
      </c>
      <c r="O53" s="2590" t="s">
        <v>1226</v>
      </c>
      <c r="P53" s="2588">
        <f>IF($D53="Logistics",VLOOKUP($O53,'Upper Cask Movement &amp; Logistics'!$C$4:$D$209,2,FALSE),"N/A")</f>
        <v>0.38</v>
      </c>
      <c r="Q53" s="2591"/>
      <c r="R53" s="2588" t="str">
        <f>IFERROR(VLOOKUP($Q53,'Upper Cask Dependencies'!$C$3:$F$322,4,FALSE),"N/A")</f>
        <v>N/A</v>
      </c>
      <c r="S53" s="2592" t="str">
        <f>IFERROR(F49-R53,"N/A")</f>
        <v>N/A</v>
      </c>
    </row>
    <row r="54" spans="2:19" ht="26.25" customHeight="1" x14ac:dyDescent="0.35">
      <c r="B54" s="3926"/>
      <c r="C54" s="2594" t="s">
        <v>1240</v>
      </c>
      <c r="D54" s="2594" t="s">
        <v>251</v>
      </c>
      <c r="E54" s="2595">
        <f t="shared" si="0"/>
        <v>3.8333333333333335</v>
      </c>
      <c r="F54" s="2595">
        <f t="shared" si="5"/>
        <v>93.453888888888883</v>
      </c>
      <c r="G54" s="2594" t="s">
        <v>8</v>
      </c>
      <c r="H54" s="2595">
        <f>IF($D54="operation",VLOOKUP($G54,'Generic Vertical Port Tasks'!$C$4:$D$197,2,FALSE),"N/A")</f>
        <v>3.8333333333333335</v>
      </c>
      <c r="I54" s="2594"/>
      <c r="J54" s="2594"/>
      <c r="K54" s="2594"/>
      <c r="L54" s="2596" t="str">
        <f>IFERROR(INDEX('Upper Cask Movement &amp; Logistics'!$I$24:$P$31,MATCH($J54,'Upper Cask Movement &amp; Logistics'!$H$24:$H$31,0),MATCH($K54,'Upper Cask Movement &amp; Logistics'!$H$24:$H$31,0)),"N/A")</f>
        <v>N/A</v>
      </c>
      <c r="M54" s="2596" t="str">
        <f>IFERROR(VLOOKUP($I54,'Upper Cask Movement &amp; Logistics'!$H$4:$I$8,2,FALSE),"N/A")</f>
        <v>N/A</v>
      </c>
      <c r="N54" s="2595" t="str">
        <f t="shared" si="1"/>
        <v>N/A</v>
      </c>
      <c r="O54" s="2597"/>
      <c r="P54" s="2595" t="str">
        <f>IF($D54="Logistics",VLOOKUP($O54,'Upper Cask Movement &amp; Logistics'!$C$4:$D$209,2,FALSE),"N/A")</f>
        <v>N/A</v>
      </c>
      <c r="Q54" s="2598"/>
      <c r="R54" s="2595" t="str">
        <f>IFERROR(VLOOKUP($Q54,'Upper Cask Dependencies'!$C$3:$F$322,4,FALSE),"N/A")</f>
        <v>N/A</v>
      </c>
      <c r="S54" s="2599" t="str">
        <f t="shared" si="3"/>
        <v>N/A</v>
      </c>
    </row>
    <row r="55" spans="2:19" x14ac:dyDescent="0.35">
      <c r="B55" s="3926"/>
      <c r="C55" s="2594" t="s">
        <v>1232</v>
      </c>
      <c r="D55" s="2594" t="s">
        <v>3</v>
      </c>
      <c r="E55" s="2595">
        <f t="shared" si="0"/>
        <v>0.38</v>
      </c>
      <c r="F55" s="2595">
        <f t="shared" si="5"/>
        <v>93.833888888888879</v>
      </c>
      <c r="G55" s="2594"/>
      <c r="H55" s="2595" t="str">
        <f>IF($D55="operation",VLOOKUP($G55,'Generic Vertical Port Tasks'!$C$4:$D$197,2,FALSE),"N/A")</f>
        <v>N/A</v>
      </c>
      <c r="I55" s="2594"/>
      <c r="J55" s="2594"/>
      <c r="K55" s="2594"/>
      <c r="L55" s="2596" t="str">
        <f>IFERROR(INDEX('Upper Cask Movement &amp; Logistics'!$I$24:$P$31,MATCH($J55,'Upper Cask Movement &amp; Logistics'!$H$24:$H$31,0),MATCH($K55,'Upper Cask Movement &amp; Logistics'!$H$24:$H$31,0)),"N/A")</f>
        <v>N/A</v>
      </c>
      <c r="M55" s="2596" t="str">
        <f>IFERROR(VLOOKUP($I55,'Upper Cask Movement &amp; Logistics'!$H$4:$I$8,2,FALSE),"N/A")</f>
        <v>N/A</v>
      </c>
      <c r="N55" s="2595" t="str">
        <f t="shared" si="1"/>
        <v>N/A</v>
      </c>
      <c r="O55" s="2597" t="s">
        <v>1230</v>
      </c>
      <c r="P55" s="2595">
        <f>IF($D55="Logistics",VLOOKUP($O55,'Upper Cask Movement &amp; Logistics'!$C$4:$D$209,2,FALSE),"N/A")</f>
        <v>0.38</v>
      </c>
      <c r="Q55" s="2598"/>
      <c r="R55" s="2595" t="str">
        <f>IFERROR(VLOOKUP($Q55,'Upper Cask Dependencies'!$C$3:$F$322,4,FALSE),"N/A")</f>
        <v>N/A</v>
      </c>
      <c r="S55" s="2599" t="str">
        <f t="shared" si="3"/>
        <v>N/A</v>
      </c>
    </row>
    <row r="56" spans="2:19" x14ac:dyDescent="0.35">
      <c r="B56" s="3926"/>
      <c r="C56" s="2594" t="s">
        <v>1241</v>
      </c>
      <c r="D56" s="2594" t="s">
        <v>3</v>
      </c>
      <c r="E56" s="2595">
        <f t="shared" si="0"/>
        <v>0.38</v>
      </c>
      <c r="F56" s="2595">
        <f t="shared" si="5"/>
        <v>94.213888888888874</v>
      </c>
      <c r="G56" s="2594"/>
      <c r="H56" s="2595" t="str">
        <f>IF($D56="operation",VLOOKUP($G56,'Generic Vertical Port Tasks'!$C$4:$D$197,2,FALSE),"N/A")</f>
        <v>N/A</v>
      </c>
      <c r="I56" s="2594"/>
      <c r="J56" s="2594"/>
      <c r="K56" s="2594"/>
      <c r="L56" s="2596" t="str">
        <f>IFERROR(INDEX('Upper Cask Movement &amp; Logistics'!$I$24:$P$31,MATCH($J56,'Upper Cask Movement &amp; Logistics'!$H$24:$H$31,0),MATCH($K56,'Upper Cask Movement &amp; Logistics'!$H$24:$H$31,0)),"N/A")</f>
        <v>N/A</v>
      </c>
      <c r="M56" s="2596" t="str">
        <f>IFERROR(VLOOKUP($I56,'Upper Cask Movement &amp; Logistics'!$H$4:$I$8,2,FALSE),"N/A")</f>
        <v>N/A</v>
      </c>
      <c r="N56" s="2595" t="str">
        <f t="shared" si="1"/>
        <v>N/A</v>
      </c>
      <c r="O56" s="2597" t="s">
        <v>1226</v>
      </c>
      <c r="P56" s="2595">
        <f>IF($D56="Logistics",VLOOKUP($O56,'Upper Cask Movement &amp; Logistics'!$C$4:$D$209,2,FALSE),"N/A")</f>
        <v>0.38</v>
      </c>
      <c r="Q56" s="2598"/>
      <c r="R56" s="2595" t="str">
        <f>IFERROR(VLOOKUP($Q56,'Upper Cask Dependencies'!$C$3:$F$322,4,FALSE),"N/A")</f>
        <v>N/A</v>
      </c>
      <c r="S56" s="2599" t="str">
        <f t="shared" si="3"/>
        <v>N/A</v>
      </c>
    </row>
    <row r="57" spans="2:19" x14ac:dyDescent="0.35">
      <c r="B57" s="3926"/>
      <c r="C57" s="2594" t="s">
        <v>9</v>
      </c>
      <c r="D57" s="2594" t="s">
        <v>251</v>
      </c>
      <c r="E57" s="2595">
        <f t="shared" si="0"/>
        <v>3.9250000000000003</v>
      </c>
      <c r="F57" s="2595">
        <f t="shared" ref="F57:F63" si="6">IF(S57&lt;0,E57+F56+(-S57),E57+F56)</f>
        <v>98.138888888888872</v>
      </c>
      <c r="G57" s="2594" t="s">
        <v>9</v>
      </c>
      <c r="H57" s="2595">
        <f>IF($D57="operation",VLOOKUP($G57,'Generic Vertical Port Tasks'!$C$4:$D$197,2,FALSE),"N/A")</f>
        <v>3.9250000000000003</v>
      </c>
      <c r="I57" s="2594"/>
      <c r="J57" s="2594"/>
      <c r="K57" s="2594"/>
      <c r="L57" s="2596" t="str">
        <f>IFERROR(INDEX('Upper Cask Movement &amp; Logistics'!$I$24:$P$31,MATCH($J57,'Upper Cask Movement &amp; Logistics'!$H$24:$H$31,0),MATCH($K57,'Upper Cask Movement &amp; Logistics'!$H$24:$H$31,0)),"N/A")</f>
        <v>N/A</v>
      </c>
      <c r="M57" s="2596" t="str">
        <f>IFERROR(VLOOKUP($I57,'Upper Cask Movement &amp; Logistics'!$H$4:$I$8,2,FALSE),"N/A")</f>
        <v>N/A</v>
      </c>
      <c r="N57" s="2595" t="str">
        <f t="shared" si="1"/>
        <v>N/A</v>
      </c>
      <c r="O57" s="2597"/>
      <c r="P57" s="2595" t="str">
        <f>IF($D57="Logistics",VLOOKUP($O57,'Upper Cask Movement &amp; Logistics'!$C$4:$D$209,2,FALSE),"N/A")</f>
        <v>N/A</v>
      </c>
      <c r="Q57" s="2598"/>
      <c r="R57" s="2595" t="str">
        <f>IFERROR(VLOOKUP($Q57,'Upper Cask Dependencies'!$C$3:$F$322,4,FALSE),"N/A")</f>
        <v>N/A</v>
      </c>
      <c r="S57" s="2599" t="str">
        <f t="shared" si="3"/>
        <v>N/A</v>
      </c>
    </row>
    <row r="58" spans="2:19" x14ac:dyDescent="0.35">
      <c r="B58" s="3926"/>
      <c r="C58" s="2594" t="s">
        <v>1242</v>
      </c>
      <c r="D58" s="2594" t="s">
        <v>3</v>
      </c>
      <c r="E58" s="2595">
        <f t="shared" si="0"/>
        <v>0.63000000000000012</v>
      </c>
      <c r="F58" s="2595">
        <f t="shared" si="6"/>
        <v>98.768888888888867</v>
      </c>
      <c r="G58" s="2594"/>
      <c r="H58" s="2595" t="str">
        <f>IF($D58="operation",VLOOKUP($G58,'Generic Vertical Port Tasks'!$C$4:$D$197,2,FALSE),"N/A")</f>
        <v>N/A</v>
      </c>
      <c r="I58" s="2594"/>
      <c r="J58" s="2594"/>
      <c r="K58" s="2594"/>
      <c r="L58" s="2596" t="str">
        <f>IFERROR(INDEX('Upper Cask Movement &amp; Logistics'!$I$24:$P$31,MATCH($J58,'Upper Cask Movement &amp; Logistics'!$H$24:$H$31,0),MATCH($K58,'Upper Cask Movement &amp; Logistics'!$H$24:$H$31,0)),"N/A")</f>
        <v>N/A</v>
      </c>
      <c r="M58" s="2596" t="str">
        <f>IFERROR(VLOOKUP($I58,'Upper Cask Movement &amp; Logistics'!$H$4:$I$8,2,FALSE),"N/A")</f>
        <v>N/A</v>
      </c>
      <c r="N58" s="2595" t="str">
        <f>IF(D58="Movement",IFERROR((L58/M58)/(60*60),"Error"),"N/A")</f>
        <v>N/A</v>
      </c>
      <c r="O58" s="2597" t="s">
        <v>1228</v>
      </c>
      <c r="P58" s="2595">
        <f>IF($D58="Logistics",VLOOKUP($O58,'Upper Cask Movement &amp; Logistics'!$C$4:$D$209,2,FALSE),"N/A")</f>
        <v>0.63000000000000012</v>
      </c>
      <c r="Q58" s="2598" t="str">
        <f>'Upper Cask Dependencies'!B24</f>
        <v>Closure Plate &amp; Hardware Cask 2 stored; Hardware Cask 3 collected; Hardware Cask 3 docked</v>
      </c>
      <c r="R58" s="2595">
        <f>IFERROR(VLOOKUP($Q58,'Upper Cask Dependencies'!$C$3:$F$322,4,FALSE),"N/A")</f>
        <v>89.177592592592617</v>
      </c>
      <c r="S58" s="2599">
        <f>IFERROR(F57-R58,"N/A")</f>
        <v>8.9612962962962541</v>
      </c>
    </row>
    <row r="59" spans="2:19" x14ac:dyDescent="0.35">
      <c r="B59" s="3926"/>
      <c r="C59" s="2610" t="s">
        <v>1243</v>
      </c>
      <c r="D59" s="2610" t="s">
        <v>3</v>
      </c>
      <c r="E59" s="2595">
        <f t="shared" si="0"/>
        <v>0.38</v>
      </c>
      <c r="F59" s="2595">
        <f t="shared" si="6"/>
        <v>99.148888888888862</v>
      </c>
      <c r="G59" s="2610"/>
      <c r="H59" s="2611" t="str">
        <f>IF($D59="operation",VLOOKUP($G59,'Generic Vertical Port Tasks'!$C$4:$D$197,2,FALSE),"N/A")</f>
        <v>N/A</v>
      </c>
      <c r="I59" s="2610"/>
      <c r="J59" s="2610"/>
      <c r="K59" s="2610"/>
      <c r="L59" s="2612" t="str">
        <f>IFERROR(INDEX('Upper Cask Movement &amp; Logistics'!$I$24:$P$31,MATCH($J59,'Upper Cask Movement &amp; Logistics'!$H$24:$H$31,0),MATCH($K59,'Upper Cask Movement &amp; Logistics'!$H$24:$H$31,0)),"N/A")</f>
        <v>N/A</v>
      </c>
      <c r="M59" s="2612" t="str">
        <f>IFERROR(VLOOKUP($I59,'Upper Cask Movement &amp; Logistics'!$H$4:$I$8,2,FALSE),"N/A")</f>
        <v>N/A</v>
      </c>
      <c r="N59" s="2611" t="str">
        <f>IF(D59="Movement",IFERROR((L59/M59)/(60*60),"Error"),"N/A")</f>
        <v>N/A</v>
      </c>
      <c r="O59" s="2597" t="s">
        <v>1230</v>
      </c>
      <c r="P59" s="2611">
        <f>IF($D59="Logistics",VLOOKUP($O59,'Upper Cask Movement &amp; Logistics'!$C$4:$D$209,2,FALSE),"N/A")</f>
        <v>0.38</v>
      </c>
      <c r="Q59" s="2613"/>
      <c r="R59" s="2611" t="str">
        <f>IFERROR(VLOOKUP($Q59,'Upper Cask Dependencies'!$C$3:$F$322,4,FALSE),"N/A")</f>
        <v>N/A</v>
      </c>
      <c r="S59" s="2614" t="str">
        <f>IFERROR(F58-R59,"N/A")</f>
        <v>N/A</v>
      </c>
    </row>
    <row r="60" spans="2:19" x14ac:dyDescent="0.35">
      <c r="B60" s="3926"/>
      <c r="C60" s="2594" t="s">
        <v>2415</v>
      </c>
      <c r="D60" s="2594" t="s">
        <v>3</v>
      </c>
      <c r="E60" s="2595">
        <f t="shared" si="0"/>
        <v>0</v>
      </c>
      <c r="F60" s="2595">
        <f t="shared" si="6"/>
        <v>99.148888888888862</v>
      </c>
      <c r="G60" s="2594"/>
      <c r="H60" s="2595" t="str">
        <f>IF($D60="operation",VLOOKUP($G60,'Generic Vertical Port Tasks'!$C$4:$D$197,2,FALSE),"N/A")</f>
        <v>N/A</v>
      </c>
      <c r="I60" s="2594"/>
      <c r="J60" s="2594"/>
      <c r="K60" s="2594"/>
      <c r="L60" s="2596" t="str">
        <f>IFERROR(INDEX('Upper Cask Movement &amp; Logistics'!$I$24:$P$31,MATCH($J60,'Upper Cask Movement &amp; Logistics'!$H$24:$H$31,0),MATCH($K60,'Upper Cask Movement &amp; Logistics'!$H$24:$H$31,0)),"N/A")</f>
        <v>N/A</v>
      </c>
      <c r="M60" s="2596" t="str">
        <f>IFERROR(VLOOKUP($I60,'Upper Cask Movement &amp; Logistics'!$H$4:$I$8,2,FALSE),"N/A")</f>
        <v>N/A</v>
      </c>
      <c r="N60" s="2595" t="str">
        <f t="shared" si="1"/>
        <v>N/A</v>
      </c>
      <c r="O60" s="2597" t="s">
        <v>1226</v>
      </c>
      <c r="P60" s="2595"/>
      <c r="Q60" s="2598"/>
      <c r="R60" s="2595"/>
      <c r="S60" s="2599"/>
    </row>
    <row r="61" spans="2:19" x14ac:dyDescent="0.35">
      <c r="B61" s="3926"/>
      <c r="C61" s="2594" t="s">
        <v>2416</v>
      </c>
      <c r="D61" s="2594" t="s">
        <v>251</v>
      </c>
      <c r="E61" s="2595">
        <f t="shared" si="0"/>
        <v>5.7722222222222221</v>
      </c>
      <c r="F61" s="2595">
        <f t="shared" si="6"/>
        <v>104.92111111111109</v>
      </c>
      <c r="G61" s="2594" t="s">
        <v>2385</v>
      </c>
      <c r="H61" s="2595">
        <f>IF($D61="operation",VLOOKUP($G61,'Generic Vertical Port Tasks'!$C$4:$D$197,2,FALSE),"N/A")</f>
        <v>5.7722222222222221</v>
      </c>
      <c r="I61" s="2594"/>
      <c r="J61" s="2594"/>
      <c r="K61" s="2594"/>
      <c r="L61" s="2596" t="str">
        <f>IFERROR(INDEX('Upper Cask Movement &amp; Logistics'!$I$24:$P$31,MATCH($J61,'Upper Cask Movement &amp; Logistics'!$H$24:$H$31,0),MATCH($K61,'Upper Cask Movement &amp; Logistics'!$H$24:$H$31,0)),"N/A")</f>
        <v>N/A</v>
      </c>
      <c r="M61" s="2596" t="str">
        <f>IFERROR(VLOOKUP($I61,'Upper Cask Movement &amp; Logistics'!$H$4:$I$8,2,FALSE),"N/A")</f>
        <v>N/A</v>
      </c>
      <c r="N61" s="2595" t="str">
        <f t="shared" si="1"/>
        <v>N/A</v>
      </c>
      <c r="O61" s="2597"/>
      <c r="P61" s="2595"/>
      <c r="Q61" s="2598"/>
      <c r="R61" s="2595"/>
      <c r="S61" s="2599"/>
    </row>
    <row r="62" spans="2:19" ht="13.3" thickBot="1" x14ac:dyDescent="0.4">
      <c r="B62" s="3926"/>
      <c r="C62" s="2610" t="s">
        <v>2417</v>
      </c>
      <c r="D62" s="2610" t="s">
        <v>3</v>
      </c>
      <c r="E62" s="2611">
        <f t="shared" si="0"/>
        <v>0</v>
      </c>
      <c r="F62" s="2611">
        <f t="shared" si="6"/>
        <v>104.92111111111109</v>
      </c>
      <c r="G62" s="2610"/>
      <c r="H62" s="2611" t="str">
        <f>IF($D62="operation",VLOOKUP($G62,'Generic Vertical Port Tasks'!$C$4:$D$197,2,FALSE),"N/A")</f>
        <v>N/A</v>
      </c>
      <c r="I62" s="2610"/>
      <c r="J62" s="2610"/>
      <c r="K62" s="2610"/>
      <c r="L62" s="2612" t="str">
        <f>IFERROR(INDEX('Upper Cask Movement &amp; Logistics'!$I$24:$P$31,MATCH($J62,'Upper Cask Movement &amp; Logistics'!$H$24:$H$31,0),MATCH($K62,'Upper Cask Movement &amp; Logistics'!$H$24:$H$31,0)),"N/A")</f>
        <v>N/A</v>
      </c>
      <c r="M62" s="2612" t="str">
        <f>IFERROR(VLOOKUP($I62,'Upper Cask Movement &amp; Logistics'!$H$4:$I$8,2,FALSE),"N/A")</f>
        <v>N/A</v>
      </c>
      <c r="N62" s="2611" t="str">
        <f t="shared" si="1"/>
        <v>N/A</v>
      </c>
      <c r="O62" s="2615" t="s">
        <v>1230</v>
      </c>
      <c r="P62" s="2611"/>
      <c r="Q62" s="2613"/>
      <c r="R62" s="2611"/>
      <c r="S62" s="2614"/>
    </row>
    <row r="63" spans="2:19" x14ac:dyDescent="0.35">
      <c r="B63" s="3923" t="s">
        <v>822</v>
      </c>
      <c r="C63" s="2606" t="s">
        <v>1244</v>
      </c>
      <c r="D63" s="2606" t="s">
        <v>3</v>
      </c>
      <c r="E63" s="2561">
        <f t="shared" si="0"/>
        <v>0.38</v>
      </c>
      <c r="F63" s="2561">
        <f t="shared" si="6"/>
        <v>105.30111111111108</v>
      </c>
      <c r="G63" s="2606"/>
      <c r="H63" s="2561" t="str">
        <f>IF($D63="operation",VLOOKUP($G63,'Generic Vertical Port Tasks'!$C$4:$D$197,2,FALSE),"N/A")</f>
        <v>N/A</v>
      </c>
      <c r="I63" s="2606"/>
      <c r="J63" s="2606"/>
      <c r="K63" s="2606"/>
      <c r="L63" s="2563" t="str">
        <f>IFERROR(INDEX('Upper Cask Movement &amp; Logistics'!$I$24:$P$31,MATCH($J63,'Upper Cask Movement &amp; Logistics'!$H$24:$H$31,0),MATCH($K63,'Upper Cask Movement &amp; Logistics'!$H$24:$H$31,0)),"N/A")</f>
        <v>N/A</v>
      </c>
      <c r="M63" s="2563" t="str">
        <f>IFERROR(VLOOKUP($I63,'Upper Cask Movement &amp; Logistics'!$H$4:$I$8,2,FALSE),"N/A")</f>
        <v>N/A</v>
      </c>
      <c r="N63" s="2561" t="str">
        <f t="shared" si="1"/>
        <v>N/A</v>
      </c>
      <c r="O63" s="2607" t="s">
        <v>1226</v>
      </c>
      <c r="P63" s="2561">
        <f>IF($D63="Logistics",VLOOKUP($O63,'Upper Cask Movement &amp; Logistics'!$C$4:$D$209,2,FALSE),"N/A")</f>
        <v>0.38</v>
      </c>
      <c r="Q63" s="2608"/>
      <c r="R63" s="2561" t="str">
        <f>IFERROR(VLOOKUP($Q63,'Upper Cask Dependencies'!$C$3:$F$322,4,FALSE),"N/A")</f>
        <v>N/A</v>
      </c>
      <c r="S63" s="2609" t="str">
        <f>IFERROR(F59-R63,"N/A")</f>
        <v>N/A</v>
      </c>
    </row>
    <row r="64" spans="2:19" x14ac:dyDescent="0.35">
      <c r="B64" s="3924"/>
      <c r="C64" s="2576" t="s">
        <v>1245</v>
      </c>
      <c r="D64" s="2576" t="s">
        <v>251</v>
      </c>
      <c r="E64" s="2569">
        <f t="shared" si="0"/>
        <v>6.83</v>
      </c>
      <c r="F64" s="2569">
        <f t="shared" si="2"/>
        <v>112.13111111111108</v>
      </c>
      <c r="G64" s="2576" t="s">
        <v>252</v>
      </c>
      <c r="H64" s="2569">
        <f>IF($D64="operation",VLOOKUP($G64,'Generic Vertical Port Tasks'!$C$4:$D$197,2,FALSE),"N/A")</f>
        <v>6.83</v>
      </c>
      <c r="I64" s="2576"/>
      <c r="J64" s="2576"/>
      <c r="K64" s="2576"/>
      <c r="L64" s="2571" t="str">
        <f>IFERROR(INDEX('Upper Cask Movement &amp; Logistics'!$I$24:$P$31,MATCH($J64,'Upper Cask Movement &amp; Logistics'!$H$24:$H$31,0),MATCH($K64,'Upper Cask Movement &amp; Logistics'!$H$24:$H$31,0)),"N/A")</f>
        <v>N/A</v>
      </c>
      <c r="M64" s="2571" t="str">
        <f>IFERROR(VLOOKUP($I64,'Upper Cask Movement &amp; Logistics'!$H$4:$I$8,2,FALSE),"N/A")</f>
        <v>N/A</v>
      </c>
      <c r="N64" s="2569" t="str">
        <f t="shared" si="1"/>
        <v>N/A</v>
      </c>
      <c r="O64" s="2577"/>
      <c r="P64" s="2569" t="str">
        <f>IF($D64="Logistics",VLOOKUP($O64,'Upper Cask Movement &amp; Logistics'!$C$4:$D$209,2,FALSE),"N/A")</f>
        <v>N/A</v>
      </c>
      <c r="Q64" s="2578"/>
      <c r="R64" s="2569" t="str">
        <f>IFERROR(VLOOKUP($Q64,'Upper Cask Dependencies'!$C$3:$F$322,4,FALSE),"N/A")</f>
        <v>N/A</v>
      </c>
      <c r="S64" s="2579" t="str">
        <f t="shared" si="3"/>
        <v>N/A</v>
      </c>
    </row>
    <row r="65" spans="2:19" x14ac:dyDescent="0.35">
      <c r="B65" s="3924"/>
      <c r="C65" s="2576" t="s">
        <v>1246</v>
      </c>
      <c r="D65" s="2576" t="s">
        <v>3</v>
      </c>
      <c r="E65" s="2569">
        <f t="shared" si="0"/>
        <v>0.38</v>
      </c>
      <c r="F65" s="2569">
        <f t="shared" si="2"/>
        <v>112.51111111111108</v>
      </c>
      <c r="G65" s="2576"/>
      <c r="H65" s="2569" t="str">
        <f>IF($D65="operation",VLOOKUP($G65,'Generic Vertical Port Tasks'!$C$4:$D$197,2,FALSE),"N/A")</f>
        <v>N/A</v>
      </c>
      <c r="I65" s="2576"/>
      <c r="J65" s="2576"/>
      <c r="K65" s="2576"/>
      <c r="L65" s="2571" t="str">
        <f>IFERROR(INDEX('Upper Cask Movement &amp; Logistics'!$I$24:$P$31,MATCH($J65,'Upper Cask Movement &amp; Logistics'!$H$24:$H$31,0),MATCH($K65,'Upper Cask Movement &amp; Logistics'!$H$24:$H$31,0)),"N/A")</f>
        <v>N/A</v>
      </c>
      <c r="M65" s="2571" t="str">
        <f>IFERROR(VLOOKUP($I65,'Upper Cask Movement &amp; Logistics'!$H$4:$I$8,2,FALSE),"N/A")</f>
        <v>N/A</v>
      </c>
      <c r="N65" s="2569" t="str">
        <f t="shared" si="1"/>
        <v>N/A</v>
      </c>
      <c r="O65" s="2577" t="s">
        <v>1230</v>
      </c>
      <c r="P65" s="2569">
        <f>IF($D65="Logistics",VLOOKUP($O65,'Upper Cask Movement &amp; Logistics'!$C$4:$D$209,2,FALSE),"N/A")</f>
        <v>0.38</v>
      </c>
      <c r="Q65" s="2578" t="str">
        <f>'Upper Cask Dependencies'!B35</f>
        <v>Shield Plug &amp; Fixations &amp; Hardware Cask 3 stored; Equipment Cask 2 collected; Equipment cask 2 docked</v>
      </c>
      <c r="R65" s="2569">
        <f>IFERROR(VLOOKUP($Q65,'Upper Cask Dependencies'!$C$3:$F$322,4,FALSE),"N/A")</f>
        <v>105.85814814814813</v>
      </c>
      <c r="S65" s="2579">
        <f t="shared" si="3"/>
        <v>6.27296296296295</v>
      </c>
    </row>
    <row r="66" spans="2:19" x14ac:dyDescent="0.35">
      <c r="B66" s="3924"/>
      <c r="C66" s="2576" t="s">
        <v>1247</v>
      </c>
      <c r="D66" s="2576" t="s">
        <v>3</v>
      </c>
      <c r="E66" s="2569">
        <f t="shared" si="0"/>
        <v>0.38</v>
      </c>
      <c r="F66" s="2569">
        <f t="shared" si="2"/>
        <v>112.89111111111107</v>
      </c>
      <c r="G66" s="2576"/>
      <c r="H66" s="2569" t="str">
        <f>IF($D66="operation",VLOOKUP($G66,'Generic Vertical Port Tasks'!$C$4:$D$197,2,FALSE),"N/A")</f>
        <v>N/A</v>
      </c>
      <c r="I66" s="2576"/>
      <c r="J66" s="2576"/>
      <c r="K66" s="2576"/>
      <c r="L66" s="2571" t="str">
        <f>IFERROR(INDEX('Upper Cask Movement &amp; Logistics'!$I$24:$P$31,MATCH($J66,'Upper Cask Movement &amp; Logistics'!$H$24:$H$31,0),MATCH($K66,'Upper Cask Movement &amp; Logistics'!$H$24:$H$31,0)),"N/A")</f>
        <v>N/A</v>
      </c>
      <c r="M66" s="2571" t="str">
        <f>IFERROR(VLOOKUP($I66,'Upper Cask Movement &amp; Logistics'!$H$4:$I$8,2,FALSE),"N/A")</f>
        <v>N/A</v>
      </c>
      <c r="N66" s="2569" t="str">
        <f t="shared" si="1"/>
        <v>N/A</v>
      </c>
      <c r="O66" s="2577" t="s">
        <v>1226</v>
      </c>
      <c r="P66" s="2569">
        <f>IF($D66="Logistics",VLOOKUP($O66,'Upper Cask Movement &amp; Logistics'!$C$4:$D$209,2,FALSE),"N/A")</f>
        <v>0.38</v>
      </c>
      <c r="Q66" s="2578"/>
      <c r="R66" s="2569" t="str">
        <f>IFERROR(VLOOKUP($Q66,'Upper Cask Dependencies'!$C$3:$F$322,4,FALSE),"N/A")</f>
        <v>N/A</v>
      </c>
      <c r="S66" s="2579" t="str">
        <f t="shared" si="3"/>
        <v>N/A</v>
      </c>
    </row>
    <row r="67" spans="2:19" x14ac:dyDescent="0.35">
      <c r="B67" s="3924"/>
      <c r="C67" s="2576" t="s">
        <v>149</v>
      </c>
      <c r="D67" s="2576" t="s">
        <v>251</v>
      </c>
      <c r="E67" s="2569">
        <f t="shared" si="0"/>
        <v>1.0499155317167692</v>
      </c>
      <c r="F67" s="2569">
        <f t="shared" si="2"/>
        <v>113.94102664282784</v>
      </c>
      <c r="G67" s="2576" t="s">
        <v>2491</v>
      </c>
      <c r="H67" s="2569">
        <f>IF($D67="operation",VLOOKUP($G67,'Generic Vertical Port Tasks'!$C$4:$D$197,2,FALSE),"N/A")</f>
        <v>1.0499155317167692</v>
      </c>
      <c r="I67" s="2576"/>
      <c r="J67" s="2576"/>
      <c r="K67" s="2576"/>
      <c r="L67" s="2571" t="str">
        <f>IFERROR(INDEX('Upper Cask Movement &amp; Logistics'!$I$24:$P$31,MATCH($J67,'Upper Cask Movement &amp; Logistics'!$H$24:$H$31,0),MATCH($K67,'Upper Cask Movement &amp; Logistics'!$H$24:$H$31,0)),"N/A")</f>
        <v>N/A</v>
      </c>
      <c r="M67" s="2571" t="str">
        <f>IFERROR(VLOOKUP($I67,'Upper Cask Movement &amp; Logistics'!$H$4:$I$8,2,FALSE),"N/A")</f>
        <v>N/A</v>
      </c>
      <c r="N67" s="2569" t="str">
        <f t="shared" si="1"/>
        <v>N/A</v>
      </c>
      <c r="O67" s="2577"/>
      <c r="P67" s="2569" t="str">
        <f>IF($D67="Logistics",VLOOKUP($O67,'Upper Cask Movement &amp; Logistics'!$C$4:$D$209,2,FALSE),"N/A")</f>
        <v>N/A</v>
      </c>
      <c r="Q67" s="2578"/>
      <c r="R67" s="2569" t="str">
        <f>IFERROR(VLOOKUP($Q67,'Upper Cask Dependencies'!$C$3:$F$322,4,FALSE),"N/A")</f>
        <v>N/A</v>
      </c>
      <c r="S67" s="2579" t="str">
        <f t="shared" si="3"/>
        <v>N/A</v>
      </c>
    </row>
    <row r="68" spans="2:19" ht="13.3" thickBot="1" x14ac:dyDescent="0.4">
      <c r="B68" s="3925"/>
      <c r="C68" s="2582" t="s">
        <v>1248</v>
      </c>
      <c r="D68" s="2582" t="s">
        <v>3</v>
      </c>
      <c r="E68" s="2581">
        <f t="shared" si="0"/>
        <v>0.38</v>
      </c>
      <c r="F68" s="2581">
        <f t="shared" si="2"/>
        <v>114.32102664282783</v>
      </c>
      <c r="G68" s="2582"/>
      <c r="H68" s="2581" t="str">
        <f>IF($D68="operation",VLOOKUP($G68,'Generic Vertical Port Tasks'!$C$4:$D$197,2,FALSE),"N/A")</f>
        <v>N/A</v>
      </c>
      <c r="I68" s="2582"/>
      <c r="J68" s="2582"/>
      <c r="K68" s="2582"/>
      <c r="L68" s="2583" t="str">
        <f>IFERROR(INDEX('Upper Cask Movement &amp; Logistics'!$I$24:$P$31,MATCH($J68,'Upper Cask Movement &amp; Logistics'!$H$24:$H$31,0),MATCH($K68,'Upper Cask Movement &amp; Logistics'!$H$24:$H$31,0)),"N/A")</f>
        <v>N/A</v>
      </c>
      <c r="M68" s="2583" t="str">
        <f>IFERROR(VLOOKUP($I68,'Upper Cask Movement &amp; Logistics'!$H$4:$I$8,2,FALSE),"N/A")</f>
        <v>N/A</v>
      </c>
      <c r="N68" s="2581" t="str">
        <f t="shared" si="1"/>
        <v>N/A</v>
      </c>
      <c r="O68" s="2584" t="s">
        <v>1230</v>
      </c>
      <c r="P68" s="2581">
        <f>IF($D68="Logistics",VLOOKUP($O68,'Upper Cask Movement &amp; Logistics'!$C$4:$D$209,2,FALSE),"N/A")</f>
        <v>0.38</v>
      </c>
      <c r="Q68" s="2585"/>
      <c r="R68" s="2581" t="str">
        <f>IFERROR(VLOOKUP($Q68,'Upper Cask Dependencies'!$C$3:$F$322,4,FALSE),"N/A")</f>
        <v>N/A</v>
      </c>
      <c r="S68" s="2586" t="str">
        <f t="shared" si="3"/>
        <v>N/A</v>
      </c>
    </row>
    <row r="69" spans="2:19" x14ac:dyDescent="0.35">
      <c r="B69" s="3917" t="s">
        <v>825</v>
      </c>
      <c r="C69" s="2587" t="s">
        <v>1249</v>
      </c>
      <c r="D69" s="2587" t="s">
        <v>3</v>
      </c>
      <c r="E69" s="2588">
        <f t="shared" si="0"/>
        <v>0.38</v>
      </c>
      <c r="F69" s="2588">
        <f t="shared" si="2"/>
        <v>114.70102664282783</v>
      </c>
      <c r="G69" s="2587"/>
      <c r="H69" s="2588" t="str">
        <f>IF($D69="operation",VLOOKUP($G69,'Generic Vertical Port Tasks'!$C$4:$D$197,2,FALSE),"N/A")</f>
        <v>N/A</v>
      </c>
      <c r="I69" s="2587"/>
      <c r="J69" s="2587"/>
      <c r="K69" s="2587"/>
      <c r="L69" s="2589" t="str">
        <f>IFERROR(INDEX('Upper Cask Movement &amp; Logistics'!$I$24:$P$31,MATCH($J69,'Upper Cask Movement &amp; Logistics'!$H$24:$H$31,0),MATCH($K69,'Upper Cask Movement &amp; Logistics'!$H$24:$H$31,0)),"N/A")</f>
        <v>N/A</v>
      </c>
      <c r="M69" s="2589" t="str">
        <f>IFERROR(VLOOKUP($I69,'Upper Cask Movement &amp; Logistics'!$H$4:$I$8,2,FALSE),"N/A")</f>
        <v>N/A</v>
      </c>
      <c r="N69" s="2588" t="str">
        <f t="shared" si="1"/>
        <v>N/A</v>
      </c>
      <c r="O69" s="2590" t="s">
        <v>1226</v>
      </c>
      <c r="P69" s="2588">
        <f>IF($D69="Logistics",VLOOKUP($O69,'Upper Cask Movement &amp; Logistics'!$C$4:$D$209,2,FALSE),"N/A")</f>
        <v>0.38</v>
      </c>
      <c r="Q69" s="2591"/>
      <c r="R69" s="2588" t="str">
        <f>IFERROR(VLOOKUP($Q69,'Upper Cask Dependencies'!$C$3:$F$322,4,FALSE),"N/A")</f>
        <v>N/A</v>
      </c>
      <c r="S69" s="2592" t="str">
        <f t="shared" si="3"/>
        <v>N/A</v>
      </c>
    </row>
    <row r="70" spans="2:19" x14ac:dyDescent="0.35">
      <c r="B70" s="3918"/>
      <c r="C70" s="2594" t="s">
        <v>123</v>
      </c>
      <c r="D70" s="2594" t="s">
        <v>251</v>
      </c>
      <c r="E70" s="2595">
        <f t="shared" si="0"/>
        <v>0.72499999999999998</v>
      </c>
      <c r="F70" s="2595">
        <f t="shared" si="2"/>
        <v>115.42602664282782</v>
      </c>
      <c r="G70" s="2594" t="s">
        <v>253</v>
      </c>
      <c r="H70" s="2595">
        <f>IF($D70="operation",VLOOKUP($G70,'Generic Vertical Port Tasks'!$C$4:$D$197,2,FALSE),"N/A")</f>
        <v>0.72499999999999998</v>
      </c>
      <c r="I70" s="2594"/>
      <c r="J70" s="2594"/>
      <c r="K70" s="2594"/>
      <c r="L70" s="2596" t="str">
        <f>IFERROR(INDEX('Upper Cask Movement &amp; Logistics'!$I$24:$P$31,MATCH($J70,'Upper Cask Movement &amp; Logistics'!$H$24:$H$31,0),MATCH($K70,'Upper Cask Movement &amp; Logistics'!$H$24:$H$31,0)),"N/A")</f>
        <v>N/A</v>
      </c>
      <c r="M70" s="2596" t="str">
        <f>IFERROR(VLOOKUP($I70,'Upper Cask Movement &amp; Logistics'!$H$4:$I$8,2,FALSE),"N/A")</f>
        <v>N/A</v>
      </c>
      <c r="N70" s="2595" t="str">
        <f t="shared" si="1"/>
        <v>N/A</v>
      </c>
      <c r="O70" s="2597"/>
      <c r="P70" s="2595" t="str">
        <f>IF($D70="Logistics",VLOOKUP($O70,'Upper Cask Movement &amp; Logistics'!$C$4:$D$209,2,FALSE),"N/A")</f>
        <v>N/A</v>
      </c>
      <c r="Q70" s="2598"/>
      <c r="R70" s="2595" t="str">
        <f>IFERROR(VLOOKUP($Q70,'Upper Cask Dependencies'!$C$3:$F$322,4,FALSE),"N/A")</f>
        <v>N/A</v>
      </c>
      <c r="S70" s="2599" t="str">
        <f t="shared" si="3"/>
        <v>N/A</v>
      </c>
    </row>
    <row r="71" spans="2:19" x14ac:dyDescent="0.35">
      <c r="B71" s="3918"/>
      <c r="C71" s="2594" t="s">
        <v>1250</v>
      </c>
      <c r="D71" s="2594" t="s">
        <v>3</v>
      </c>
      <c r="E71" s="2595">
        <f t="shared" si="0"/>
        <v>0.63000000000000012</v>
      </c>
      <c r="F71" s="2595">
        <f t="shared" si="2"/>
        <v>116.05602664282782</v>
      </c>
      <c r="G71" s="2594"/>
      <c r="H71" s="2595" t="str">
        <f>IF($D71="operation",VLOOKUP($G71,'Generic Vertical Port Tasks'!$C$4:$D$197,2,FALSE),"N/A")</f>
        <v>N/A</v>
      </c>
      <c r="I71" s="2594"/>
      <c r="J71" s="2594"/>
      <c r="K71" s="2594"/>
      <c r="L71" s="2596" t="str">
        <f>IFERROR(INDEX('Upper Cask Movement &amp; Logistics'!$I$24:$P$31,MATCH($J71,'Upper Cask Movement &amp; Logistics'!$H$24:$H$31,0),MATCH($K71,'Upper Cask Movement &amp; Logistics'!$H$24:$H$31,0)),"N/A")</f>
        <v>N/A</v>
      </c>
      <c r="M71" s="2596" t="str">
        <f>IFERROR(VLOOKUP($I71,'Upper Cask Movement &amp; Logistics'!$H$4:$I$8,2,FALSE),"N/A")</f>
        <v>N/A</v>
      </c>
      <c r="N71" s="2595" t="str">
        <f t="shared" si="1"/>
        <v>N/A</v>
      </c>
      <c r="O71" s="2597" t="s">
        <v>1228</v>
      </c>
      <c r="P71" s="2595">
        <f>IF($D71="Logistics",VLOOKUP($O71,'Upper Cask Movement &amp; Logistics'!$C$4:$D$209,2,FALSE),"N/A")</f>
        <v>0.63000000000000012</v>
      </c>
      <c r="Q71" s="2598" t="str">
        <f>'Upper Cask Dependencies'!B46</f>
        <v>Equipment Cask 1 stored; Hardware Cask 4 collected; Hardware Cask 4 docked</v>
      </c>
      <c r="R71" s="2595">
        <f>IFERROR(VLOOKUP($Q71,'Upper Cask Dependencies'!$C$3:$F$322,4,FALSE),"N/A")</f>
        <v>111.68259259259258</v>
      </c>
      <c r="S71" s="2599">
        <f t="shared" si="3"/>
        <v>3.743434050235237</v>
      </c>
    </row>
    <row r="72" spans="2:19" ht="13.3" thickBot="1" x14ac:dyDescent="0.4">
      <c r="B72" s="3919"/>
      <c r="C72" s="2610" t="s">
        <v>1251</v>
      </c>
      <c r="D72" s="2610" t="s">
        <v>3</v>
      </c>
      <c r="E72" s="2611">
        <f t="shared" si="0"/>
        <v>0.38</v>
      </c>
      <c r="F72" s="2611">
        <f t="shared" si="2"/>
        <v>116.43602664282781</v>
      </c>
      <c r="G72" s="2610"/>
      <c r="H72" s="2611" t="str">
        <f>IF($D72="operation",VLOOKUP($G72,'Generic Vertical Port Tasks'!$C$4:$D$197,2,FALSE),"N/A")</f>
        <v>N/A</v>
      </c>
      <c r="I72" s="2610"/>
      <c r="J72" s="2610"/>
      <c r="K72" s="2610"/>
      <c r="L72" s="2612" t="str">
        <f>IFERROR(INDEX('Upper Cask Movement &amp; Logistics'!$I$24:$P$31,MATCH($J72,'Upper Cask Movement &amp; Logistics'!$H$24:$H$31,0),MATCH($K72,'Upper Cask Movement &amp; Logistics'!$H$24:$H$31,0)),"N/A")</f>
        <v>N/A</v>
      </c>
      <c r="M72" s="2612" t="str">
        <f>IFERROR(VLOOKUP($I72,'Upper Cask Movement &amp; Logistics'!$H$4:$I$8,2,FALSE),"N/A")</f>
        <v>N/A</v>
      </c>
      <c r="N72" s="2611" t="str">
        <f t="shared" si="1"/>
        <v>N/A</v>
      </c>
      <c r="O72" s="2615" t="s">
        <v>1230</v>
      </c>
      <c r="P72" s="2611">
        <f>IF($D72="Logistics",VLOOKUP($O72,'Upper Cask Movement &amp; Logistics'!$C$4:$D$209,2,FALSE),"N/A")</f>
        <v>0.38</v>
      </c>
      <c r="Q72" s="2613"/>
      <c r="R72" s="2611" t="str">
        <f>IFERROR(VLOOKUP($Q72,'Upper Cask Dependencies'!$C$3:$F$322,4,FALSE),"N/A")</f>
        <v>N/A</v>
      </c>
      <c r="S72" s="2614" t="str">
        <f t="shared" si="3"/>
        <v>N/A</v>
      </c>
    </row>
    <row r="73" spans="2:19" ht="12.75" customHeight="1" x14ac:dyDescent="0.35">
      <c r="B73" s="3923" t="s">
        <v>827</v>
      </c>
      <c r="C73" s="2606" t="s">
        <v>1252</v>
      </c>
      <c r="D73" s="2606" t="s">
        <v>3</v>
      </c>
      <c r="E73" s="2561">
        <f t="shared" si="0"/>
        <v>0.38</v>
      </c>
      <c r="F73" s="2561">
        <f t="shared" si="2"/>
        <v>116.81602664282781</v>
      </c>
      <c r="G73" s="2606"/>
      <c r="H73" s="2561" t="str">
        <f>IF($D73="operation",VLOOKUP($G73,'Generic Vertical Port Tasks'!$C$4:$D$197,2,FALSE),"N/A")</f>
        <v>N/A</v>
      </c>
      <c r="I73" s="2606"/>
      <c r="J73" s="2606"/>
      <c r="K73" s="2606"/>
      <c r="L73" s="2563" t="str">
        <f>IFERROR(INDEX('Upper Cask Movement &amp; Logistics'!$I$24:$P$31,MATCH($J73,'Upper Cask Movement &amp; Logistics'!$H$24:$H$31,0),MATCH($K73,'Upper Cask Movement &amp; Logistics'!$H$24:$H$31,0)),"N/A")</f>
        <v>N/A</v>
      </c>
      <c r="M73" s="2563" t="str">
        <f>IFERROR(VLOOKUP($I73,'Upper Cask Movement &amp; Logistics'!$H$4:$I$8,2,FALSE),"N/A")</f>
        <v>N/A</v>
      </c>
      <c r="N73" s="2561" t="str">
        <f t="shared" si="1"/>
        <v>N/A</v>
      </c>
      <c r="O73" s="2607" t="s">
        <v>1226</v>
      </c>
      <c r="P73" s="2561">
        <f>IF($D73="Logistics",VLOOKUP($O73,'Upper Cask Movement &amp; Logistics'!$C$4:$D$209,2,FALSE),"N/A")</f>
        <v>0.38</v>
      </c>
      <c r="Q73" s="2608"/>
      <c r="R73" s="2561" t="str">
        <f>IFERROR(VLOOKUP($Q73,'Upper Cask Dependencies'!$C$3:$F$322,4,FALSE),"N/A")</f>
        <v>N/A</v>
      </c>
      <c r="S73" s="2609" t="str">
        <f t="shared" si="3"/>
        <v>N/A</v>
      </c>
    </row>
    <row r="74" spans="2:19" x14ac:dyDescent="0.35">
      <c r="B74" s="3924"/>
      <c r="C74" s="2576" t="s">
        <v>1253</v>
      </c>
      <c r="D74" s="2576" t="s">
        <v>251</v>
      </c>
      <c r="E74" s="2569">
        <f t="shared" si="0"/>
        <v>6.83</v>
      </c>
      <c r="F74" s="2569">
        <f t="shared" si="2"/>
        <v>123.64602664282781</v>
      </c>
      <c r="G74" s="2576" t="s">
        <v>252</v>
      </c>
      <c r="H74" s="2569">
        <f>IF($D74="operation",VLOOKUP($G74,'Generic Vertical Port Tasks'!$C$4:$D$197,2,FALSE),"N/A")</f>
        <v>6.83</v>
      </c>
      <c r="I74" s="2576"/>
      <c r="J74" s="2576"/>
      <c r="K74" s="2576"/>
      <c r="L74" s="2571" t="str">
        <f>IFERROR(INDEX('Upper Cask Movement &amp; Logistics'!$I$24:$P$31,MATCH($J74,'Upper Cask Movement &amp; Logistics'!$H$24:$H$31,0),MATCH($K74,'Upper Cask Movement &amp; Logistics'!$H$24:$H$31,0)),"N/A")</f>
        <v>N/A</v>
      </c>
      <c r="M74" s="2571" t="str">
        <f>IFERROR(VLOOKUP($I74,'Upper Cask Movement &amp; Logistics'!$H$4:$I$8,2,FALSE),"N/A")</f>
        <v>N/A</v>
      </c>
      <c r="N74" s="2569" t="str">
        <f t="shared" si="1"/>
        <v>N/A</v>
      </c>
      <c r="O74" s="2577"/>
      <c r="P74" s="2569" t="str">
        <f>IF($D74="Logistics",VLOOKUP($O74,'Upper Cask Movement &amp; Logistics'!$C$4:$D$209,2,FALSE),"N/A")</f>
        <v>N/A</v>
      </c>
      <c r="Q74" s="2578"/>
      <c r="R74" s="2569" t="str">
        <f>IFERROR(VLOOKUP($Q74,'Upper Cask Dependencies'!$C$3:$F$322,4,FALSE),"N/A")</f>
        <v>N/A</v>
      </c>
      <c r="S74" s="2579" t="str">
        <f t="shared" si="3"/>
        <v>N/A</v>
      </c>
    </row>
    <row r="75" spans="2:19" x14ac:dyDescent="0.35">
      <c r="B75" s="3924"/>
      <c r="C75" s="2576" t="s">
        <v>1246</v>
      </c>
      <c r="D75" s="2576" t="s">
        <v>3</v>
      </c>
      <c r="E75" s="2569">
        <f t="shared" si="0"/>
        <v>0.38</v>
      </c>
      <c r="F75" s="2569">
        <f t="shared" si="2"/>
        <v>124.0260266428278</v>
      </c>
      <c r="G75" s="2576"/>
      <c r="H75" s="2569" t="str">
        <f>IF($D75="operation",VLOOKUP($G75,'Generic Vertical Port Tasks'!$C$4:$D$197,2,FALSE),"N/A")</f>
        <v>N/A</v>
      </c>
      <c r="I75" s="2576"/>
      <c r="J75" s="2576"/>
      <c r="K75" s="2576"/>
      <c r="L75" s="2571" t="str">
        <f>IFERROR(INDEX('Upper Cask Movement &amp; Logistics'!$I$24:$P$31,MATCH($J75,'Upper Cask Movement &amp; Logistics'!$H$24:$H$31,0),MATCH($K75,'Upper Cask Movement &amp; Logistics'!$H$24:$H$31,0)),"N/A")</f>
        <v>N/A</v>
      </c>
      <c r="M75" s="2571" t="str">
        <f>IFERROR(VLOOKUP($I75,'Upper Cask Movement &amp; Logistics'!$H$4:$I$8,2,FALSE),"N/A")</f>
        <v>N/A</v>
      </c>
      <c r="N75" s="2569" t="str">
        <f t="shared" si="1"/>
        <v>N/A</v>
      </c>
      <c r="O75" s="2577" t="s">
        <v>1230</v>
      </c>
      <c r="P75" s="2569">
        <f>IF($D75="Logistics",VLOOKUP($O75,'Upper Cask Movement &amp; Logistics'!$C$4:$D$209,2,FALSE),"N/A")</f>
        <v>0.38</v>
      </c>
      <c r="Q75" s="2578"/>
      <c r="R75" s="2569" t="str">
        <f>IFERROR(VLOOKUP($Q75,'Upper Cask Dependencies'!$C$3:$F$322,4,FALSE),"N/A")</f>
        <v>N/A</v>
      </c>
      <c r="S75" s="2579" t="str">
        <f t="shared" si="3"/>
        <v>N/A</v>
      </c>
    </row>
    <row r="76" spans="2:19" x14ac:dyDescent="0.35">
      <c r="B76" s="3924"/>
      <c r="C76" s="2576" t="s">
        <v>1247</v>
      </c>
      <c r="D76" s="2576" t="s">
        <v>3</v>
      </c>
      <c r="E76" s="2569">
        <f t="shared" si="0"/>
        <v>0.38</v>
      </c>
      <c r="F76" s="2569">
        <f t="shared" si="2"/>
        <v>124.4060266428278</v>
      </c>
      <c r="G76" s="2576"/>
      <c r="H76" s="2569" t="str">
        <f>IF($D76="operation",VLOOKUP($G76,'Generic Vertical Port Tasks'!$C$4:$D$197,2,FALSE),"N/A")</f>
        <v>N/A</v>
      </c>
      <c r="I76" s="2576"/>
      <c r="J76" s="2576"/>
      <c r="K76" s="2576"/>
      <c r="L76" s="2571" t="str">
        <f>IFERROR(INDEX('Upper Cask Movement &amp; Logistics'!$I$24:$P$31,MATCH($J76,'Upper Cask Movement &amp; Logistics'!$H$24:$H$31,0),MATCH($K76,'Upper Cask Movement &amp; Logistics'!$H$24:$H$31,0)),"N/A")</f>
        <v>N/A</v>
      </c>
      <c r="M76" s="2571" t="str">
        <f>IFERROR(VLOOKUP($I76,'Upper Cask Movement &amp; Logistics'!$H$4:$I$8,2,FALSE),"N/A")</f>
        <v>N/A</v>
      </c>
      <c r="N76" s="2569" t="str">
        <f t="shared" si="1"/>
        <v>N/A</v>
      </c>
      <c r="O76" s="2577" t="s">
        <v>1226</v>
      </c>
      <c r="P76" s="2569">
        <f>IF($D76="Logistics",VLOOKUP($O76,'Upper Cask Movement &amp; Logistics'!$C$4:$D$209,2,FALSE),"N/A")</f>
        <v>0.38</v>
      </c>
      <c r="Q76" s="2578"/>
      <c r="R76" s="2569" t="str">
        <f>IFERROR(VLOOKUP($Q76,'Upper Cask Dependencies'!$C$3:$F$322,4,FALSE),"N/A")</f>
        <v>N/A</v>
      </c>
      <c r="S76" s="2579" t="str">
        <f t="shared" si="3"/>
        <v>N/A</v>
      </c>
    </row>
    <row r="77" spans="2:19" x14ac:dyDescent="0.35">
      <c r="B77" s="3924"/>
      <c r="C77" s="2576" t="s">
        <v>150</v>
      </c>
      <c r="D77" s="2576" t="s">
        <v>251</v>
      </c>
      <c r="E77" s="2569">
        <f t="shared" si="0"/>
        <v>1.0499155317167692</v>
      </c>
      <c r="F77" s="2569">
        <f t="shared" si="2"/>
        <v>125.45594217454456</v>
      </c>
      <c r="G77" s="2576" t="s">
        <v>2491</v>
      </c>
      <c r="H77" s="2569">
        <f>IF($D77="operation",VLOOKUP($G77,'Generic Vertical Port Tasks'!$C$4:$D$197,2,FALSE),"N/A")</f>
        <v>1.0499155317167692</v>
      </c>
      <c r="I77" s="2576"/>
      <c r="J77" s="2576"/>
      <c r="K77" s="2576"/>
      <c r="L77" s="2571" t="str">
        <f>IFERROR(INDEX('Upper Cask Movement &amp; Logistics'!$I$24:$P$31,MATCH($J77,'Upper Cask Movement &amp; Logistics'!$H$24:$H$31,0),MATCH($K77,'Upper Cask Movement &amp; Logistics'!$H$24:$H$31,0)),"N/A")</f>
        <v>N/A</v>
      </c>
      <c r="M77" s="2571" t="str">
        <f>IFERROR(VLOOKUP($I77,'Upper Cask Movement &amp; Logistics'!$H$4:$I$8,2,FALSE),"N/A")</f>
        <v>N/A</v>
      </c>
      <c r="N77" s="2569" t="str">
        <f t="shared" si="1"/>
        <v>N/A</v>
      </c>
      <c r="O77" s="2577"/>
      <c r="P77" s="2569" t="str">
        <f>IF($D77="Logistics",VLOOKUP($O77,'Upper Cask Movement &amp; Logistics'!$C$4:$D$209,2,FALSE),"N/A")</f>
        <v>N/A</v>
      </c>
      <c r="Q77" s="2578"/>
      <c r="R77" s="2569" t="str">
        <f>IFERROR(VLOOKUP($Q77,'Upper Cask Dependencies'!$C$3:$F$322,4,FALSE),"N/A")</f>
        <v>N/A</v>
      </c>
      <c r="S77" s="2579" t="str">
        <f t="shared" si="3"/>
        <v>N/A</v>
      </c>
    </row>
    <row r="78" spans="2:19" ht="13.3" thickBot="1" x14ac:dyDescent="0.4">
      <c r="B78" s="3925"/>
      <c r="C78" s="2582" t="s">
        <v>1248</v>
      </c>
      <c r="D78" s="2582" t="s">
        <v>3</v>
      </c>
      <c r="E78" s="2581">
        <f t="shared" si="0"/>
        <v>0.38</v>
      </c>
      <c r="F78" s="2581">
        <f t="shared" si="2"/>
        <v>125.83594217454456</v>
      </c>
      <c r="G78" s="2582"/>
      <c r="H78" s="2581" t="str">
        <f>IF($D78="operation",VLOOKUP($G78,'Generic Vertical Port Tasks'!$C$4:$D$197,2,FALSE),"N/A")</f>
        <v>N/A</v>
      </c>
      <c r="I78" s="2582"/>
      <c r="J78" s="2582"/>
      <c r="K78" s="2582"/>
      <c r="L78" s="2583" t="str">
        <f>IFERROR(INDEX('Upper Cask Movement &amp; Logistics'!$I$24:$P$31,MATCH($J78,'Upper Cask Movement &amp; Logistics'!$H$24:$H$31,0),MATCH($K78,'Upper Cask Movement &amp; Logistics'!$H$24:$H$31,0)),"N/A")</f>
        <v>N/A</v>
      </c>
      <c r="M78" s="2583" t="str">
        <f>IFERROR(VLOOKUP($I78,'Upper Cask Movement &amp; Logistics'!$H$4:$I$8,2,FALSE),"N/A")</f>
        <v>N/A</v>
      </c>
      <c r="N78" s="2581" t="str">
        <f t="shared" si="1"/>
        <v>N/A</v>
      </c>
      <c r="O78" s="2584" t="s">
        <v>1230</v>
      </c>
      <c r="P78" s="2581">
        <f>IF($D78="Logistics",VLOOKUP($O78,'Upper Cask Movement &amp; Logistics'!$C$4:$D$209,2,FALSE),"N/A")</f>
        <v>0.38</v>
      </c>
      <c r="Q78" s="2585"/>
      <c r="R78" s="2581" t="str">
        <f>IFERROR(VLOOKUP($Q78,'Upper Cask Dependencies'!$C$3:$F$322,4,FALSE),"N/A")</f>
        <v>N/A</v>
      </c>
      <c r="S78" s="2586" t="str">
        <f t="shared" si="3"/>
        <v>N/A</v>
      </c>
    </row>
    <row r="79" spans="2:19" ht="12.75" customHeight="1" x14ac:dyDescent="0.35">
      <c r="B79" s="3917" t="s">
        <v>830</v>
      </c>
      <c r="C79" s="2587" t="s">
        <v>1249</v>
      </c>
      <c r="D79" s="2587" t="s">
        <v>3</v>
      </c>
      <c r="E79" s="2588">
        <f t="shared" si="0"/>
        <v>0.38</v>
      </c>
      <c r="F79" s="2588">
        <f t="shared" si="2"/>
        <v>126.21594217454455</v>
      </c>
      <c r="G79" s="2587"/>
      <c r="H79" s="2588" t="str">
        <f>IF($D79="operation",VLOOKUP($G79,'Generic Vertical Port Tasks'!$C$4:$D$197,2,FALSE),"N/A")</f>
        <v>N/A</v>
      </c>
      <c r="I79" s="2587"/>
      <c r="J79" s="2587"/>
      <c r="K79" s="2587"/>
      <c r="L79" s="2589" t="str">
        <f>IFERROR(INDEX('Upper Cask Movement &amp; Logistics'!$I$24:$P$31,MATCH($J79,'Upper Cask Movement &amp; Logistics'!$H$24:$H$31,0),MATCH($K79,'Upper Cask Movement &amp; Logistics'!$H$24:$H$31,0)),"N/A")</f>
        <v>N/A</v>
      </c>
      <c r="M79" s="2589" t="str">
        <f>IFERROR(VLOOKUP($I79,'Upper Cask Movement &amp; Logistics'!$H$4:$I$8,2,FALSE),"N/A")</f>
        <v>N/A</v>
      </c>
      <c r="N79" s="2588" t="str">
        <f t="shared" si="1"/>
        <v>N/A</v>
      </c>
      <c r="O79" s="2590" t="s">
        <v>1226</v>
      </c>
      <c r="P79" s="2588">
        <f>IF($D79="Logistics",VLOOKUP($O79,'Upper Cask Movement &amp; Logistics'!$C$4:$D$209,2,FALSE),"N/A")</f>
        <v>0.38</v>
      </c>
      <c r="Q79" s="2591"/>
      <c r="R79" s="2588" t="str">
        <f>IFERROR(VLOOKUP($Q79,'Upper Cask Dependencies'!$C$3:$F$322,4,FALSE),"N/A")</f>
        <v>N/A</v>
      </c>
      <c r="S79" s="2592" t="str">
        <f t="shared" si="3"/>
        <v>N/A</v>
      </c>
    </row>
    <row r="80" spans="2:19" x14ac:dyDescent="0.35">
      <c r="B80" s="3918"/>
      <c r="C80" s="2594" t="s">
        <v>125</v>
      </c>
      <c r="D80" s="2594" t="s">
        <v>251</v>
      </c>
      <c r="E80" s="2595">
        <f t="shared" si="0"/>
        <v>0.72499999999999998</v>
      </c>
      <c r="F80" s="2595">
        <f t="shared" si="2"/>
        <v>126.94094217454455</v>
      </c>
      <c r="G80" s="2594" t="s">
        <v>253</v>
      </c>
      <c r="H80" s="2595">
        <f>IF($D80="operation",VLOOKUP($G80,'Generic Vertical Port Tasks'!$C$4:$D$197,2,FALSE),"N/A")</f>
        <v>0.72499999999999998</v>
      </c>
      <c r="I80" s="2594"/>
      <c r="J80" s="2594"/>
      <c r="K80" s="2594"/>
      <c r="L80" s="2596" t="str">
        <f>IFERROR(INDEX('Upper Cask Movement &amp; Logistics'!$I$24:$P$31,MATCH($J80,'Upper Cask Movement &amp; Logistics'!$H$24:$H$31,0),MATCH($K80,'Upper Cask Movement &amp; Logistics'!$H$24:$H$31,0)),"N/A")</f>
        <v>N/A</v>
      </c>
      <c r="M80" s="2596" t="str">
        <f>IFERROR(VLOOKUP($I80,'Upper Cask Movement &amp; Logistics'!$H$4:$I$8,2,FALSE),"N/A")</f>
        <v>N/A</v>
      </c>
      <c r="N80" s="2595" t="str">
        <f t="shared" si="1"/>
        <v>N/A</v>
      </c>
      <c r="O80" s="2597"/>
      <c r="P80" s="2595" t="str">
        <f>IF($D80="Logistics",VLOOKUP($O80,'Upper Cask Movement &amp; Logistics'!$C$4:$D$209,2,FALSE),"N/A")</f>
        <v>N/A</v>
      </c>
      <c r="Q80" s="2598"/>
      <c r="R80" s="2595" t="str">
        <f>IFERROR(VLOOKUP($Q80,'Upper Cask Dependencies'!$C$3:$F$322,4,FALSE),"N/A")</f>
        <v>N/A</v>
      </c>
      <c r="S80" s="2599" t="str">
        <f t="shared" si="3"/>
        <v>N/A</v>
      </c>
    </row>
    <row r="81" spans="2:19" x14ac:dyDescent="0.35">
      <c r="B81" s="3918"/>
      <c r="C81" s="2594" t="s">
        <v>1254</v>
      </c>
      <c r="D81" s="2594" t="s">
        <v>3</v>
      </c>
      <c r="E81" s="2595">
        <f t="shared" si="0"/>
        <v>0.63000000000000012</v>
      </c>
      <c r="F81" s="2595">
        <f t="shared" si="2"/>
        <v>127.57094217454454</v>
      </c>
      <c r="G81" s="2594"/>
      <c r="H81" s="2595" t="str">
        <f>IF($D81="operation",VLOOKUP($G81,'Generic Vertical Port Tasks'!$C$4:$D$197,2,FALSE),"N/A")</f>
        <v>N/A</v>
      </c>
      <c r="I81" s="2594"/>
      <c r="J81" s="2594"/>
      <c r="K81" s="2594"/>
      <c r="L81" s="2596" t="str">
        <f>IFERROR(INDEX('Upper Cask Movement &amp; Logistics'!$I$24:$P$31,MATCH($J81,'Upper Cask Movement &amp; Logistics'!$H$24:$H$31,0),MATCH($K81,'Upper Cask Movement &amp; Logistics'!$H$24:$H$31,0)),"N/A")</f>
        <v>N/A</v>
      </c>
      <c r="M81" s="2596" t="str">
        <f>IFERROR(VLOOKUP($I81,'Upper Cask Movement &amp; Logistics'!$H$4:$I$8,2,FALSE),"N/A")</f>
        <v>N/A</v>
      </c>
      <c r="N81" s="2595" t="str">
        <f t="shared" si="1"/>
        <v>N/A</v>
      </c>
      <c r="O81" s="2597" t="s">
        <v>1228</v>
      </c>
      <c r="P81" s="2595">
        <f>IF($D81="Logistics",VLOOKUP($O81,'Upper Cask Movement &amp; Logistics'!$C$4:$D$209,2,FALSE),"N/A")</f>
        <v>0.63000000000000012</v>
      </c>
      <c r="Q81" s="2598" t="str">
        <f>'Upper Cask Dependencies'!B55</f>
        <v>COB Pipe Module stored; Hardware Cask 4 docked</v>
      </c>
      <c r="R81" s="2595">
        <f>IFERROR(VLOOKUP($Q81,'Upper Cask Dependencies'!$C$3:$F$322,4,FALSE),"N/A")</f>
        <v>121.36195256875375</v>
      </c>
      <c r="S81" s="2599">
        <f t="shared" si="3"/>
        <v>5.5789896057907953</v>
      </c>
    </row>
    <row r="82" spans="2:19" ht="13.3" thickBot="1" x14ac:dyDescent="0.4">
      <c r="B82" s="3919"/>
      <c r="C82" s="2610" t="s">
        <v>1251</v>
      </c>
      <c r="D82" s="2610" t="s">
        <v>3</v>
      </c>
      <c r="E82" s="2611">
        <f t="shared" si="0"/>
        <v>0.38</v>
      </c>
      <c r="F82" s="2611">
        <f t="shared" si="2"/>
        <v>127.95094217454454</v>
      </c>
      <c r="G82" s="2610"/>
      <c r="H82" s="2611" t="str">
        <f>IF($D82="operation",VLOOKUP($G82,'Generic Vertical Port Tasks'!$C$4:$D$197,2,FALSE),"N/A")</f>
        <v>N/A</v>
      </c>
      <c r="I82" s="2610"/>
      <c r="J82" s="2610"/>
      <c r="K82" s="2610"/>
      <c r="L82" s="2612" t="str">
        <f>IFERROR(INDEX('Upper Cask Movement &amp; Logistics'!$I$24:$P$31,MATCH($J82,'Upper Cask Movement &amp; Logistics'!$H$24:$H$31,0),MATCH($K82,'Upper Cask Movement &amp; Logistics'!$H$24:$H$31,0)),"N/A")</f>
        <v>N/A</v>
      </c>
      <c r="M82" s="2612" t="str">
        <f>IFERROR(VLOOKUP($I82,'Upper Cask Movement &amp; Logistics'!$H$4:$I$8,2,FALSE),"N/A")</f>
        <v>N/A</v>
      </c>
      <c r="N82" s="2611" t="str">
        <f t="shared" si="1"/>
        <v>N/A</v>
      </c>
      <c r="O82" s="2615" t="s">
        <v>1230</v>
      </c>
      <c r="P82" s="2611">
        <f>IF($D82="Logistics",VLOOKUP($O82,'Upper Cask Movement &amp; Logistics'!$C$4:$D$209,2,FALSE),"N/A")</f>
        <v>0.38</v>
      </c>
      <c r="Q82" s="2613"/>
      <c r="R82" s="2611" t="str">
        <f>IFERROR(VLOOKUP($Q82,'Upper Cask Dependencies'!$C$3:$F$322,4,FALSE),"N/A")</f>
        <v>N/A</v>
      </c>
      <c r="S82" s="2614" t="str">
        <f t="shared" si="3"/>
        <v>N/A</v>
      </c>
    </row>
    <row r="83" spans="2:19" ht="12.75" customHeight="1" x14ac:dyDescent="0.35">
      <c r="B83" s="3923" t="s">
        <v>832</v>
      </c>
      <c r="C83" s="2606" t="s">
        <v>1252</v>
      </c>
      <c r="D83" s="2606" t="s">
        <v>3</v>
      </c>
      <c r="E83" s="2561">
        <f t="shared" si="0"/>
        <v>0.38</v>
      </c>
      <c r="F83" s="2561">
        <f t="shared" si="2"/>
        <v>128.33094217454453</v>
      </c>
      <c r="G83" s="2606"/>
      <c r="H83" s="2561" t="str">
        <f>IF($D83="operation",VLOOKUP($G83,'Generic Vertical Port Tasks'!$C$4:$D$197,2,FALSE),"N/A")</f>
        <v>N/A</v>
      </c>
      <c r="I83" s="2606"/>
      <c r="J83" s="2606"/>
      <c r="K83" s="2606"/>
      <c r="L83" s="2563" t="str">
        <f>IFERROR(INDEX('Upper Cask Movement &amp; Logistics'!$I$24:$P$31,MATCH($J83,'Upper Cask Movement &amp; Logistics'!$H$24:$H$31,0),MATCH($K83,'Upper Cask Movement &amp; Logistics'!$H$24:$H$31,0)),"N/A")</f>
        <v>N/A</v>
      </c>
      <c r="M83" s="2563" t="str">
        <f>IFERROR(VLOOKUP($I83,'Upper Cask Movement &amp; Logistics'!$H$4:$I$8,2,FALSE),"N/A")</f>
        <v>N/A</v>
      </c>
      <c r="N83" s="2561" t="str">
        <f t="shared" si="1"/>
        <v>N/A</v>
      </c>
      <c r="O83" s="2607" t="s">
        <v>1226</v>
      </c>
      <c r="P83" s="2561">
        <f>IF($D83="Logistics",VLOOKUP($O83,'Upper Cask Movement &amp; Logistics'!$C$4:$D$209,2,FALSE),"N/A")</f>
        <v>0.38</v>
      </c>
      <c r="Q83" s="2608"/>
      <c r="R83" s="2561" t="str">
        <f>IFERROR(VLOOKUP($Q83,'Upper Cask Dependencies'!$C$3:$F$322,4,FALSE),"N/A")</f>
        <v>N/A</v>
      </c>
      <c r="S83" s="2609" t="str">
        <f t="shared" si="3"/>
        <v>N/A</v>
      </c>
    </row>
    <row r="84" spans="2:19" x14ac:dyDescent="0.35">
      <c r="B84" s="3924"/>
      <c r="C84" s="2576" t="s">
        <v>1255</v>
      </c>
      <c r="D84" s="2576" t="s">
        <v>251</v>
      </c>
      <c r="E84" s="2569">
        <f t="shared" si="0"/>
        <v>6.83</v>
      </c>
      <c r="F84" s="2569">
        <f t="shared" si="2"/>
        <v>135.16094217454454</v>
      </c>
      <c r="G84" s="2576" t="s">
        <v>252</v>
      </c>
      <c r="H84" s="2569">
        <f>IF($D84="operation",VLOOKUP($G84,'Generic Vertical Port Tasks'!$C$4:$D$197,2,FALSE),"N/A")</f>
        <v>6.83</v>
      </c>
      <c r="I84" s="2576"/>
      <c r="J84" s="2576"/>
      <c r="K84" s="2576"/>
      <c r="L84" s="2571" t="str">
        <f>IFERROR(INDEX('Upper Cask Movement &amp; Logistics'!$I$24:$P$31,MATCH($J84,'Upper Cask Movement &amp; Logistics'!$H$24:$H$31,0),MATCH($K84,'Upper Cask Movement &amp; Logistics'!$H$24:$H$31,0)),"N/A")</f>
        <v>N/A</v>
      </c>
      <c r="M84" s="2571" t="str">
        <f>IFERROR(VLOOKUP($I84,'Upper Cask Movement &amp; Logistics'!$H$4:$I$8,2,FALSE),"N/A")</f>
        <v>N/A</v>
      </c>
      <c r="N84" s="2569" t="str">
        <f t="shared" si="1"/>
        <v>N/A</v>
      </c>
      <c r="O84" s="2577"/>
      <c r="P84" s="2569" t="str">
        <f>IF($D84="Logistics",VLOOKUP($O84,'Upper Cask Movement &amp; Logistics'!$C$4:$D$209,2,FALSE),"N/A")</f>
        <v>N/A</v>
      </c>
      <c r="Q84" s="2578"/>
      <c r="R84" s="2569" t="str">
        <f>IFERROR(VLOOKUP($Q84,'Upper Cask Dependencies'!$C$3:$F$322,4,FALSE),"N/A")</f>
        <v>N/A</v>
      </c>
      <c r="S84" s="2579" t="str">
        <f t="shared" si="3"/>
        <v>N/A</v>
      </c>
    </row>
    <row r="85" spans="2:19" x14ac:dyDescent="0.35">
      <c r="B85" s="3924"/>
      <c r="C85" s="2576" t="s">
        <v>1246</v>
      </c>
      <c r="D85" s="2576" t="s">
        <v>3</v>
      </c>
      <c r="E85" s="2569">
        <f t="shared" si="0"/>
        <v>0.38</v>
      </c>
      <c r="F85" s="2569">
        <f t="shared" si="2"/>
        <v>135.54094217454454</v>
      </c>
      <c r="G85" s="2576"/>
      <c r="H85" s="2569" t="str">
        <f>IF($D85="operation",VLOOKUP($G85,'Generic Vertical Port Tasks'!$C$4:$D$197,2,FALSE),"N/A")</f>
        <v>N/A</v>
      </c>
      <c r="I85" s="2576"/>
      <c r="J85" s="2576"/>
      <c r="K85" s="2576"/>
      <c r="L85" s="2571" t="str">
        <f>IFERROR(INDEX('Upper Cask Movement &amp; Logistics'!$I$24:$P$31,MATCH($J85,'Upper Cask Movement &amp; Logistics'!$H$24:$H$31,0),MATCH($K85,'Upper Cask Movement &amp; Logistics'!$H$24:$H$31,0)),"N/A")</f>
        <v>N/A</v>
      </c>
      <c r="M85" s="2571" t="str">
        <f>IFERROR(VLOOKUP($I85,'Upper Cask Movement &amp; Logistics'!$H$4:$I$8,2,FALSE),"N/A")</f>
        <v>N/A</v>
      </c>
      <c r="N85" s="2569" t="str">
        <f t="shared" si="1"/>
        <v>N/A</v>
      </c>
      <c r="O85" s="2577" t="s">
        <v>1230</v>
      </c>
      <c r="P85" s="2569">
        <f>IF($D85="Logistics",VLOOKUP($O85,'Upper Cask Movement &amp; Logistics'!$C$4:$D$209,2,FALSE),"N/A")</f>
        <v>0.38</v>
      </c>
      <c r="Q85" s="2578"/>
      <c r="R85" s="2569" t="str">
        <f>IFERROR(VLOOKUP($Q85,'Upper Cask Dependencies'!$C$3:$F$322,4,FALSE),"N/A")</f>
        <v>N/A</v>
      </c>
      <c r="S85" s="2579" t="str">
        <f t="shared" si="3"/>
        <v>N/A</v>
      </c>
    </row>
    <row r="86" spans="2:19" x14ac:dyDescent="0.35">
      <c r="B86" s="3924"/>
      <c r="C86" s="2576" t="s">
        <v>1247</v>
      </c>
      <c r="D86" s="2576" t="s">
        <v>3</v>
      </c>
      <c r="E86" s="2569">
        <f t="shared" ref="E86:E130" si="7">MAX($P86,$N86,$H86)</f>
        <v>0.38</v>
      </c>
      <c r="F86" s="2569">
        <f t="shared" si="2"/>
        <v>135.92094217454454</v>
      </c>
      <c r="G86" s="2576"/>
      <c r="H86" s="2569" t="str">
        <f>IF($D86="operation",VLOOKUP($G86,'Generic Vertical Port Tasks'!$C$4:$D$197,2,FALSE),"N/A")</f>
        <v>N/A</v>
      </c>
      <c r="I86" s="2576"/>
      <c r="J86" s="2576"/>
      <c r="K86" s="2576"/>
      <c r="L86" s="2571" t="str">
        <f>IFERROR(INDEX('Upper Cask Movement &amp; Logistics'!$I$24:$P$31,MATCH($J86,'Upper Cask Movement &amp; Logistics'!$H$24:$H$31,0),MATCH($K86,'Upper Cask Movement &amp; Logistics'!$H$24:$H$31,0)),"N/A")</f>
        <v>N/A</v>
      </c>
      <c r="M86" s="2571" t="str">
        <f>IFERROR(VLOOKUP($I86,'Upper Cask Movement &amp; Logistics'!$H$4:$I$8,2,FALSE),"N/A")</f>
        <v>N/A</v>
      </c>
      <c r="N86" s="2569" t="str">
        <f t="shared" ref="N86:N130" si="8">IF(D86="Movement",IFERROR((L86/M86)/(60*60),"Error"),"N/A")</f>
        <v>N/A</v>
      </c>
      <c r="O86" s="2577" t="s">
        <v>1226</v>
      </c>
      <c r="P86" s="2569">
        <f>IF($D86="Logistics",VLOOKUP($O86,'Upper Cask Movement &amp; Logistics'!$C$4:$D$209,2,FALSE),"N/A")</f>
        <v>0.38</v>
      </c>
      <c r="Q86" s="2578"/>
      <c r="R86" s="2569" t="str">
        <f>IFERROR(VLOOKUP($Q86,'Upper Cask Dependencies'!$C$3:$F$322,4,FALSE),"N/A")</f>
        <v>N/A</v>
      </c>
      <c r="S86" s="2579" t="str">
        <f t="shared" si="3"/>
        <v>N/A</v>
      </c>
    </row>
    <row r="87" spans="2:19" x14ac:dyDescent="0.35">
      <c r="B87" s="3924"/>
      <c r="C87" s="2576" t="s">
        <v>151</v>
      </c>
      <c r="D87" s="2576" t="s">
        <v>251</v>
      </c>
      <c r="E87" s="2569">
        <f t="shared" si="7"/>
        <v>1.0499155317167692</v>
      </c>
      <c r="F87" s="2569">
        <f t="shared" ref="F87:F129" si="9">IF(S87&lt;0,E87+F86+(-S87),E87+F86)</f>
        <v>136.97085770626131</v>
      </c>
      <c r="G87" s="2576" t="s">
        <v>2491</v>
      </c>
      <c r="H87" s="2569">
        <f>IF($D87="operation",VLOOKUP($G87,'Generic Vertical Port Tasks'!$C$4:$D$197,2,FALSE),"N/A")</f>
        <v>1.0499155317167692</v>
      </c>
      <c r="I87" s="2576"/>
      <c r="J87" s="2576"/>
      <c r="K87" s="2576"/>
      <c r="L87" s="2571" t="str">
        <f>IFERROR(INDEX('Upper Cask Movement &amp; Logistics'!$I$24:$P$31,MATCH($J87,'Upper Cask Movement &amp; Logistics'!$H$24:$H$31,0),MATCH($K87,'Upper Cask Movement &amp; Logistics'!$H$24:$H$31,0)),"N/A")</f>
        <v>N/A</v>
      </c>
      <c r="M87" s="2571" t="str">
        <f>IFERROR(VLOOKUP($I87,'Upper Cask Movement &amp; Logistics'!$H$4:$I$8,2,FALSE),"N/A")</f>
        <v>N/A</v>
      </c>
      <c r="N87" s="2569" t="str">
        <f t="shared" si="8"/>
        <v>N/A</v>
      </c>
      <c r="O87" s="2577"/>
      <c r="P87" s="2569" t="str">
        <f>IF($D87="Logistics",VLOOKUP($O87,'Upper Cask Movement &amp; Logistics'!$C$4:$D$209,2,FALSE),"N/A")</f>
        <v>N/A</v>
      </c>
      <c r="Q87" s="2578"/>
      <c r="R87" s="2569" t="str">
        <f>IFERROR(VLOOKUP($Q87,'Upper Cask Dependencies'!$C$3:$F$322,4,FALSE),"N/A")</f>
        <v>N/A</v>
      </c>
      <c r="S87" s="2579" t="str">
        <f t="shared" si="3"/>
        <v>N/A</v>
      </c>
    </row>
    <row r="88" spans="2:19" ht="13.3" thickBot="1" x14ac:dyDescent="0.4">
      <c r="B88" s="3925"/>
      <c r="C88" s="2582" t="s">
        <v>1248</v>
      </c>
      <c r="D88" s="2582" t="s">
        <v>3</v>
      </c>
      <c r="E88" s="2581">
        <f t="shared" si="7"/>
        <v>0.38</v>
      </c>
      <c r="F88" s="2581">
        <f t="shared" si="9"/>
        <v>137.35085770626131</v>
      </c>
      <c r="G88" s="2582"/>
      <c r="H88" s="2581" t="str">
        <f>IF($D88="operation",VLOOKUP($G88,'Generic Vertical Port Tasks'!$C$4:$D$197,2,FALSE),"N/A")</f>
        <v>N/A</v>
      </c>
      <c r="I88" s="2582"/>
      <c r="J88" s="2582"/>
      <c r="K88" s="2582"/>
      <c r="L88" s="2583" t="str">
        <f>IFERROR(INDEX('Upper Cask Movement &amp; Logistics'!$I$24:$P$31,MATCH($J88,'Upper Cask Movement &amp; Logistics'!$H$24:$H$31,0),MATCH($K88,'Upper Cask Movement &amp; Logistics'!$H$24:$H$31,0)),"N/A")</f>
        <v>N/A</v>
      </c>
      <c r="M88" s="2583" t="str">
        <f>IFERROR(VLOOKUP($I88,'Upper Cask Movement &amp; Logistics'!$H$4:$I$8,2,FALSE),"N/A")</f>
        <v>N/A</v>
      </c>
      <c r="N88" s="2581" t="str">
        <f t="shared" si="8"/>
        <v>N/A</v>
      </c>
      <c r="O88" s="2584" t="s">
        <v>1230</v>
      </c>
      <c r="P88" s="2581">
        <f>IF($D88="Logistics",VLOOKUP($O88,'Upper Cask Movement &amp; Logistics'!$C$4:$D$209,2,FALSE),"N/A")</f>
        <v>0.38</v>
      </c>
      <c r="Q88" s="2585"/>
      <c r="R88" s="2581" t="str">
        <f>IFERROR(VLOOKUP($Q88,'Upper Cask Dependencies'!$C$3:$F$322,4,FALSE),"N/A")</f>
        <v>N/A</v>
      </c>
      <c r="S88" s="2586" t="str">
        <f t="shared" ref="S88:S130" si="10">IFERROR(F87-R88,"N/A")</f>
        <v>N/A</v>
      </c>
    </row>
    <row r="89" spans="2:19" ht="12.75" customHeight="1" x14ac:dyDescent="0.35">
      <c r="B89" s="3917" t="s">
        <v>835</v>
      </c>
      <c r="C89" s="2587" t="s">
        <v>1249</v>
      </c>
      <c r="D89" s="2587" t="s">
        <v>3</v>
      </c>
      <c r="E89" s="2588">
        <f t="shared" si="7"/>
        <v>0.38</v>
      </c>
      <c r="F89" s="2588">
        <f t="shared" si="9"/>
        <v>137.7308577062613</v>
      </c>
      <c r="G89" s="2587"/>
      <c r="H89" s="2588" t="str">
        <f>IF($D89="operation",VLOOKUP($G89,'Generic Vertical Port Tasks'!$C$4:$D$197,2,FALSE),"N/A")</f>
        <v>N/A</v>
      </c>
      <c r="I89" s="2587"/>
      <c r="J89" s="2587"/>
      <c r="K89" s="2587"/>
      <c r="L89" s="2589" t="str">
        <f>IFERROR(INDEX('Upper Cask Movement &amp; Logistics'!$I$24:$P$31,MATCH($J89,'Upper Cask Movement &amp; Logistics'!$H$24:$H$31,0),MATCH($K89,'Upper Cask Movement &amp; Logistics'!$H$24:$H$31,0)),"N/A")</f>
        <v>N/A</v>
      </c>
      <c r="M89" s="2589" t="str">
        <f>IFERROR(VLOOKUP($I89,'Upper Cask Movement &amp; Logistics'!$H$4:$I$8,2,FALSE),"N/A")</f>
        <v>N/A</v>
      </c>
      <c r="N89" s="2588" t="str">
        <f t="shared" si="8"/>
        <v>N/A</v>
      </c>
      <c r="O89" s="2590" t="s">
        <v>1226</v>
      </c>
      <c r="P89" s="2588">
        <f>IF($D89="Logistics",VLOOKUP($O89,'Upper Cask Movement &amp; Logistics'!$C$4:$D$209,2,FALSE),"N/A")</f>
        <v>0.38</v>
      </c>
      <c r="Q89" s="2591"/>
      <c r="R89" s="2588" t="str">
        <f>IFERROR(VLOOKUP($Q89,'Upper Cask Dependencies'!$C$3:$F$322,4,FALSE),"N/A")</f>
        <v>N/A</v>
      </c>
      <c r="S89" s="2592" t="str">
        <f t="shared" si="10"/>
        <v>N/A</v>
      </c>
    </row>
    <row r="90" spans="2:19" x14ac:dyDescent="0.35">
      <c r="B90" s="3918"/>
      <c r="C90" s="2594" t="s">
        <v>127</v>
      </c>
      <c r="D90" s="2594" t="s">
        <v>251</v>
      </c>
      <c r="E90" s="2595">
        <f t="shared" si="7"/>
        <v>0.72499999999999998</v>
      </c>
      <c r="F90" s="2595">
        <f t="shared" si="9"/>
        <v>138.4558577062613</v>
      </c>
      <c r="G90" s="2594" t="s">
        <v>253</v>
      </c>
      <c r="H90" s="2595">
        <f>IF($D90="operation",VLOOKUP($G90,'Generic Vertical Port Tasks'!$C$4:$D$197,2,FALSE),"N/A")</f>
        <v>0.72499999999999998</v>
      </c>
      <c r="I90" s="2594"/>
      <c r="J90" s="2594"/>
      <c r="K90" s="2594"/>
      <c r="L90" s="2596" t="str">
        <f>IFERROR(INDEX('Upper Cask Movement &amp; Logistics'!$I$24:$P$31,MATCH($J90,'Upper Cask Movement &amp; Logistics'!$H$24:$H$31,0),MATCH($K90,'Upper Cask Movement &amp; Logistics'!$H$24:$H$31,0)),"N/A")</f>
        <v>N/A</v>
      </c>
      <c r="M90" s="2596" t="str">
        <f>IFERROR(VLOOKUP($I90,'Upper Cask Movement &amp; Logistics'!$H$4:$I$8,2,FALSE),"N/A")</f>
        <v>N/A</v>
      </c>
      <c r="N90" s="2595" t="str">
        <f t="shared" si="8"/>
        <v>N/A</v>
      </c>
      <c r="O90" s="2597"/>
      <c r="P90" s="2595" t="str">
        <f>IF($D90="Logistics",VLOOKUP($O90,'Upper Cask Movement &amp; Logistics'!$C$4:$D$209,2,FALSE),"N/A")</f>
        <v>N/A</v>
      </c>
      <c r="Q90" s="2598"/>
      <c r="R90" s="2595" t="str">
        <f>IFERROR(VLOOKUP($Q90,'Upper Cask Dependencies'!$C$3:$F$322,4,FALSE),"N/A")</f>
        <v>N/A</v>
      </c>
      <c r="S90" s="2599" t="str">
        <f t="shared" si="10"/>
        <v>N/A</v>
      </c>
    </row>
    <row r="91" spans="2:19" x14ac:dyDescent="0.35">
      <c r="B91" s="3918"/>
      <c r="C91" s="2594" t="s">
        <v>1256</v>
      </c>
      <c r="D91" s="2594" t="s">
        <v>3</v>
      </c>
      <c r="E91" s="2595">
        <f t="shared" si="7"/>
        <v>0.63000000000000012</v>
      </c>
      <c r="F91" s="2595">
        <f t="shared" si="9"/>
        <v>139.08585770626129</v>
      </c>
      <c r="G91" s="2594"/>
      <c r="H91" s="2595" t="str">
        <f>IF($D91="operation",VLOOKUP($G91,'Generic Vertical Port Tasks'!$C$4:$D$197,2,FALSE),"N/A")</f>
        <v>N/A</v>
      </c>
      <c r="I91" s="2594"/>
      <c r="J91" s="2594"/>
      <c r="K91" s="2594"/>
      <c r="L91" s="2596" t="str">
        <f>IFERROR(INDEX('Upper Cask Movement &amp; Logistics'!$I$24:$P$31,MATCH($J91,'Upper Cask Movement &amp; Logistics'!$H$24:$H$31,0),MATCH($K91,'Upper Cask Movement &amp; Logistics'!$H$24:$H$31,0)),"N/A")</f>
        <v>N/A</v>
      </c>
      <c r="M91" s="2596" t="str">
        <f>IFERROR(VLOOKUP($I91,'Upper Cask Movement &amp; Logistics'!$H$4:$I$8,2,FALSE),"N/A")</f>
        <v>N/A</v>
      </c>
      <c r="N91" s="2595" t="str">
        <f t="shared" si="8"/>
        <v>N/A</v>
      </c>
      <c r="O91" s="2597" t="s">
        <v>1228</v>
      </c>
      <c r="P91" s="2595">
        <f>IF($D91="Logistics",VLOOKUP($O91,'Upper Cask Movement &amp; Logistics'!$C$4:$D$209,2,FALSE),"N/A")</f>
        <v>0.63000000000000012</v>
      </c>
      <c r="Q91" s="2598" t="str">
        <f>'Upper Cask Dependencies'!B62</f>
        <v>LOB Pipe Module stored; Hardware Cask 4 docked</v>
      </c>
      <c r="R91" s="2595">
        <f>IFERROR(VLOOKUP($Q91,'Upper Cask Dependencies'!$C$3:$F$322,4,FALSE),"N/A")</f>
        <v>132.87686810047052</v>
      </c>
      <c r="S91" s="2599">
        <f t="shared" si="10"/>
        <v>5.5789896057907811</v>
      </c>
    </row>
    <row r="92" spans="2:19" ht="13.3" thickBot="1" x14ac:dyDescent="0.4">
      <c r="B92" s="3919"/>
      <c r="C92" s="2610" t="s">
        <v>1251</v>
      </c>
      <c r="D92" s="2610" t="s">
        <v>3</v>
      </c>
      <c r="E92" s="2611">
        <f t="shared" si="7"/>
        <v>0.38</v>
      </c>
      <c r="F92" s="2611">
        <f t="shared" si="9"/>
        <v>139.46585770626129</v>
      </c>
      <c r="G92" s="2610"/>
      <c r="H92" s="2611" t="str">
        <f>IF($D92="operation",VLOOKUP($G92,'Generic Vertical Port Tasks'!$C$4:$D$197,2,FALSE),"N/A")</f>
        <v>N/A</v>
      </c>
      <c r="I92" s="2610"/>
      <c r="J92" s="2610"/>
      <c r="K92" s="2610"/>
      <c r="L92" s="2612" t="str">
        <f>IFERROR(INDEX('Upper Cask Movement &amp; Logistics'!$I$24:$P$31,MATCH($J92,'Upper Cask Movement &amp; Logistics'!$H$24:$H$31,0),MATCH($K92,'Upper Cask Movement &amp; Logistics'!$H$24:$H$31,0)),"N/A")</f>
        <v>N/A</v>
      </c>
      <c r="M92" s="2612" t="str">
        <f>IFERROR(VLOOKUP($I92,'Upper Cask Movement &amp; Logistics'!$H$4:$I$8,2,FALSE),"N/A")</f>
        <v>N/A</v>
      </c>
      <c r="N92" s="2611" t="str">
        <f t="shared" si="8"/>
        <v>N/A</v>
      </c>
      <c r="O92" s="2615" t="s">
        <v>1230</v>
      </c>
      <c r="P92" s="2611">
        <f>IF($D92="Logistics",VLOOKUP($O92,'Upper Cask Movement &amp; Logistics'!$C$4:$D$209,2,FALSE),"N/A")</f>
        <v>0.38</v>
      </c>
      <c r="Q92" s="2613"/>
      <c r="R92" s="2611" t="str">
        <f>IFERROR(VLOOKUP($Q92,'Upper Cask Dependencies'!$C$3:$F$322,4,FALSE),"N/A")</f>
        <v>N/A</v>
      </c>
      <c r="S92" s="2614" t="str">
        <f t="shared" si="10"/>
        <v>N/A</v>
      </c>
    </row>
    <row r="93" spans="2:19" ht="12.75" customHeight="1" x14ac:dyDescent="0.35">
      <c r="B93" s="3923" t="s">
        <v>836</v>
      </c>
      <c r="C93" s="2606" t="s">
        <v>1252</v>
      </c>
      <c r="D93" s="2606" t="s">
        <v>3</v>
      </c>
      <c r="E93" s="2561">
        <f t="shared" si="7"/>
        <v>0.38</v>
      </c>
      <c r="F93" s="2561">
        <f t="shared" si="9"/>
        <v>139.84585770626128</v>
      </c>
      <c r="G93" s="2606"/>
      <c r="H93" s="2561" t="str">
        <f>IF($D93="operation",VLOOKUP($G93,'Generic Vertical Port Tasks'!$C$4:$D$197,2,FALSE),"N/A")</f>
        <v>N/A</v>
      </c>
      <c r="I93" s="2606"/>
      <c r="J93" s="2606"/>
      <c r="K93" s="2606"/>
      <c r="L93" s="2563" t="str">
        <f>IFERROR(INDEX('Upper Cask Movement &amp; Logistics'!$I$24:$P$31,MATCH($J93,'Upper Cask Movement &amp; Logistics'!$H$24:$H$31,0),MATCH($K93,'Upper Cask Movement &amp; Logistics'!$H$24:$H$31,0)),"N/A")</f>
        <v>N/A</v>
      </c>
      <c r="M93" s="2563" t="str">
        <f>IFERROR(VLOOKUP($I93,'Upper Cask Movement &amp; Logistics'!$H$4:$I$8,2,FALSE),"N/A")</f>
        <v>N/A</v>
      </c>
      <c r="N93" s="2561" t="str">
        <f t="shared" si="8"/>
        <v>N/A</v>
      </c>
      <c r="O93" s="2607" t="s">
        <v>1226</v>
      </c>
      <c r="P93" s="2561">
        <f>IF($D93="Logistics",VLOOKUP($O93,'Upper Cask Movement &amp; Logistics'!$C$4:$D$209,2,FALSE),"N/A")</f>
        <v>0.38</v>
      </c>
      <c r="Q93" s="2608"/>
      <c r="R93" s="2561" t="str">
        <f>IFERROR(VLOOKUP($Q93,'Upper Cask Dependencies'!$C$3:$F$322,4,FALSE),"N/A")</f>
        <v>N/A</v>
      </c>
      <c r="S93" s="2609" t="str">
        <f t="shared" si="10"/>
        <v>N/A</v>
      </c>
    </row>
    <row r="94" spans="2:19" x14ac:dyDescent="0.35">
      <c r="B94" s="3924"/>
      <c r="C94" s="2576" t="s">
        <v>837</v>
      </c>
      <c r="D94" s="2576" t="s">
        <v>251</v>
      </c>
      <c r="E94" s="2569">
        <f t="shared" si="7"/>
        <v>6.83</v>
      </c>
      <c r="F94" s="2569">
        <f t="shared" si="9"/>
        <v>146.6758577062613</v>
      </c>
      <c r="G94" s="2576" t="s">
        <v>252</v>
      </c>
      <c r="H94" s="2569">
        <f>IF($D94="operation",VLOOKUP($G94,'Generic Vertical Port Tasks'!$C$4:$D$197,2,FALSE),"N/A")</f>
        <v>6.83</v>
      </c>
      <c r="I94" s="2576"/>
      <c r="J94" s="2576"/>
      <c r="K94" s="2576"/>
      <c r="L94" s="2571" t="str">
        <f>IFERROR(INDEX('Upper Cask Movement &amp; Logistics'!$I$24:$P$31,MATCH($J94,'Upper Cask Movement &amp; Logistics'!$H$24:$H$31,0),MATCH($K94,'Upper Cask Movement &amp; Logistics'!$H$24:$H$31,0)),"N/A")</f>
        <v>N/A</v>
      </c>
      <c r="M94" s="2571" t="str">
        <f>IFERROR(VLOOKUP($I94,'Upper Cask Movement &amp; Logistics'!$H$4:$I$8,2,FALSE),"N/A")</f>
        <v>N/A</v>
      </c>
      <c r="N94" s="2569" t="str">
        <f t="shared" si="8"/>
        <v>N/A</v>
      </c>
      <c r="O94" s="2577"/>
      <c r="P94" s="2569" t="str">
        <f>IF($D94="Logistics",VLOOKUP($O94,'Upper Cask Movement &amp; Logistics'!$C$4:$D$209,2,FALSE),"N/A")</f>
        <v>N/A</v>
      </c>
      <c r="Q94" s="2578"/>
      <c r="R94" s="2569" t="str">
        <f>IFERROR(VLOOKUP($Q94,'Upper Cask Dependencies'!$C$3:$F$322,4,FALSE),"N/A")</f>
        <v>N/A</v>
      </c>
      <c r="S94" s="2579" t="str">
        <f t="shared" si="10"/>
        <v>N/A</v>
      </c>
    </row>
    <row r="95" spans="2:19" x14ac:dyDescent="0.35">
      <c r="B95" s="3924"/>
      <c r="C95" s="2576" t="s">
        <v>1246</v>
      </c>
      <c r="D95" s="2576" t="s">
        <v>3</v>
      </c>
      <c r="E95" s="2569">
        <f t="shared" si="7"/>
        <v>0.38</v>
      </c>
      <c r="F95" s="2569">
        <f t="shared" si="9"/>
        <v>147.05585770626129</v>
      </c>
      <c r="G95" s="2576"/>
      <c r="H95" s="2569" t="str">
        <f>IF($D95="operation",VLOOKUP($G95,'Generic Vertical Port Tasks'!$C$4:$D$197,2,FALSE),"N/A")</f>
        <v>N/A</v>
      </c>
      <c r="I95" s="2576"/>
      <c r="J95" s="2576"/>
      <c r="K95" s="2576"/>
      <c r="L95" s="2571" t="str">
        <f>IFERROR(INDEX('Upper Cask Movement &amp; Logistics'!$I$24:$P$31,MATCH($J95,'Upper Cask Movement &amp; Logistics'!$H$24:$H$31,0),MATCH($K95,'Upper Cask Movement &amp; Logistics'!$H$24:$H$31,0)),"N/A")</f>
        <v>N/A</v>
      </c>
      <c r="M95" s="2571" t="str">
        <f>IFERROR(VLOOKUP($I95,'Upper Cask Movement &amp; Logistics'!$H$4:$I$8,2,FALSE),"N/A")</f>
        <v>N/A</v>
      </c>
      <c r="N95" s="2569" t="str">
        <f t="shared" si="8"/>
        <v>N/A</v>
      </c>
      <c r="O95" s="2577" t="s">
        <v>1230</v>
      </c>
      <c r="P95" s="2569">
        <f>IF($D95="Logistics",VLOOKUP($O95,'Upper Cask Movement &amp; Logistics'!$C$4:$D$209,2,FALSE),"N/A")</f>
        <v>0.38</v>
      </c>
      <c r="Q95" s="2578"/>
      <c r="R95" s="2569" t="str">
        <f>IFERROR(VLOOKUP($Q95,'Upper Cask Dependencies'!$C$3:$F$322,4,FALSE),"N/A")</f>
        <v>N/A</v>
      </c>
      <c r="S95" s="2579" t="str">
        <f t="shared" si="10"/>
        <v>N/A</v>
      </c>
    </row>
    <row r="96" spans="2:19" x14ac:dyDescent="0.35">
      <c r="B96" s="3924"/>
      <c r="C96" s="2576" t="s">
        <v>1247</v>
      </c>
      <c r="D96" s="2576" t="s">
        <v>3</v>
      </c>
      <c r="E96" s="2569">
        <f t="shared" si="7"/>
        <v>0.38</v>
      </c>
      <c r="F96" s="2569">
        <f t="shared" si="9"/>
        <v>147.43585770626129</v>
      </c>
      <c r="G96" s="2576"/>
      <c r="H96" s="2569" t="str">
        <f>IF($D96="operation",VLOOKUP($G96,'Generic Vertical Port Tasks'!$C$4:$D$197,2,FALSE),"N/A")</f>
        <v>N/A</v>
      </c>
      <c r="I96" s="2576"/>
      <c r="J96" s="2576"/>
      <c r="K96" s="2576"/>
      <c r="L96" s="2571" t="str">
        <f>IFERROR(INDEX('Upper Cask Movement &amp; Logistics'!$I$24:$P$31,MATCH($J96,'Upper Cask Movement &amp; Logistics'!$H$24:$H$31,0),MATCH($K96,'Upper Cask Movement &amp; Logistics'!$H$24:$H$31,0)),"N/A")</f>
        <v>N/A</v>
      </c>
      <c r="M96" s="2571" t="str">
        <f>IFERROR(VLOOKUP($I96,'Upper Cask Movement &amp; Logistics'!$H$4:$I$8,2,FALSE),"N/A")</f>
        <v>N/A</v>
      </c>
      <c r="N96" s="2569" t="str">
        <f t="shared" si="8"/>
        <v>N/A</v>
      </c>
      <c r="O96" s="2577" t="s">
        <v>1226</v>
      </c>
      <c r="P96" s="2569">
        <f>IF($D96="Logistics",VLOOKUP($O96,'Upper Cask Movement &amp; Logistics'!$C$4:$D$209,2,FALSE),"N/A")</f>
        <v>0.38</v>
      </c>
      <c r="Q96" s="2578"/>
      <c r="R96" s="2569" t="str">
        <f>IFERROR(VLOOKUP($Q96,'Upper Cask Dependencies'!$C$3:$F$322,4,FALSE),"N/A")</f>
        <v>N/A</v>
      </c>
      <c r="S96" s="2579" t="str">
        <f t="shared" si="10"/>
        <v>N/A</v>
      </c>
    </row>
    <row r="97" spans="2:19" x14ac:dyDescent="0.35">
      <c r="B97" s="3924"/>
      <c r="C97" s="2576" t="s">
        <v>152</v>
      </c>
      <c r="D97" s="2576" t="s">
        <v>251</v>
      </c>
      <c r="E97" s="2569">
        <f t="shared" si="7"/>
        <v>1.0499155317167692</v>
      </c>
      <c r="F97" s="2569">
        <f t="shared" si="9"/>
        <v>148.48577323797807</v>
      </c>
      <c r="G97" s="2576" t="s">
        <v>2491</v>
      </c>
      <c r="H97" s="2569">
        <f>IF($D97="operation",VLOOKUP($G97,'Generic Vertical Port Tasks'!$C$4:$D$197,2,FALSE),"N/A")</f>
        <v>1.0499155317167692</v>
      </c>
      <c r="I97" s="2576"/>
      <c r="J97" s="2576"/>
      <c r="K97" s="2576"/>
      <c r="L97" s="2571" t="str">
        <f>IFERROR(INDEX('Upper Cask Movement &amp; Logistics'!$I$24:$P$31,MATCH($J97,'Upper Cask Movement &amp; Logistics'!$H$24:$H$31,0),MATCH($K97,'Upper Cask Movement &amp; Logistics'!$H$24:$H$31,0)),"N/A")</f>
        <v>N/A</v>
      </c>
      <c r="M97" s="2571" t="str">
        <f>IFERROR(VLOOKUP($I97,'Upper Cask Movement &amp; Logistics'!$H$4:$I$8,2,FALSE),"N/A")</f>
        <v>N/A</v>
      </c>
      <c r="N97" s="2569" t="str">
        <f t="shared" si="8"/>
        <v>N/A</v>
      </c>
      <c r="O97" s="2577"/>
      <c r="P97" s="2569" t="str">
        <f>IF($D97="Logistics",VLOOKUP($O97,'Upper Cask Movement &amp; Logistics'!$C$4:$D$209,2,FALSE),"N/A")</f>
        <v>N/A</v>
      </c>
      <c r="Q97" s="2578"/>
      <c r="R97" s="2569" t="str">
        <f>IFERROR(VLOOKUP($Q97,'Upper Cask Dependencies'!$C$3:$F$322,4,FALSE),"N/A")</f>
        <v>N/A</v>
      </c>
      <c r="S97" s="2579" t="str">
        <f t="shared" si="10"/>
        <v>N/A</v>
      </c>
    </row>
    <row r="98" spans="2:19" ht="13.3" thickBot="1" x14ac:dyDescent="0.4">
      <c r="B98" s="3925"/>
      <c r="C98" s="2582" t="s">
        <v>1248</v>
      </c>
      <c r="D98" s="2582" t="s">
        <v>3</v>
      </c>
      <c r="E98" s="2581">
        <f t="shared" si="7"/>
        <v>0.38</v>
      </c>
      <c r="F98" s="2581">
        <f t="shared" si="9"/>
        <v>148.86577323797806</v>
      </c>
      <c r="G98" s="2582"/>
      <c r="H98" s="2581" t="str">
        <f>IF($D98="operation",VLOOKUP($G98,'Generic Vertical Port Tasks'!$C$4:$D$197,2,FALSE),"N/A")</f>
        <v>N/A</v>
      </c>
      <c r="I98" s="2582"/>
      <c r="J98" s="2582"/>
      <c r="K98" s="2582"/>
      <c r="L98" s="2583" t="str">
        <f>IFERROR(INDEX('Upper Cask Movement &amp; Logistics'!$I$24:$P$31,MATCH($J98,'Upper Cask Movement &amp; Logistics'!$H$24:$H$31,0),MATCH($K98,'Upper Cask Movement &amp; Logistics'!$H$24:$H$31,0)),"N/A")</f>
        <v>N/A</v>
      </c>
      <c r="M98" s="2583" t="str">
        <f>IFERROR(VLOOKUP($I98,'Upper Cask Movement &amp; Logistics'!$H$4:$I$8,2,FALSE),"N/A")</f>
        <v>N/A</v>
      </c>
      <c r="N98" s="2581" t="str">
        <f t="shared" si="8"/>
        <v>N/A</v>
      </c>
      <c r="O98" s="2584" t="s">
        <v>1230</v>
      </c>
      <c r="P98" s="2581">
        <f>IF($D98="Logistics",VLOOKUP($O98,'Upper Cask Movement &amp; Logistics'!$C$4:$D$209,2,FALSE),"N/A")</f>
        <v>0.38</v>
      </c>
      <c r="Q98" s="2585"/>
      <c r="R98" s="2581" t="str">
        <f>IFERROR(VLOOKUP($Q98,'Upper Cask Dependencies'!$C$3:$F$322,4,FALSE),"N/A")</f>
        <v>N/A</v>
      </c>
      <c r="S98" s="2586" t="str">
        <f t="shared" si="10"/>
        <v>N/A</v>
      </c>
    </row>
    <row r="99" spans="2:19" ht="12.75" customHeight="1" x14ac:dyDescent="0.35">
      <c r="B99" s="3917" t="s">
        <v>839</v>
      </c>
      <c r="C99" s="2587" t="s">
        <v>1249</v>
      </c>
      <c r="D99" s="2587" t="s">
        <v>3</v>
      </c>
      <c r="E99" s="2588">
        <f t="shared" si="7"/>
        <v>0.38</v>
      </c>
      <c r="F99" s="2588">
        <f t="shared" si="9"/>
        <v>149.24577323797806</v>
      </c>
      <c r="G99" s="2587"/>
      <c r="H99" s="2588" t="str">
        <f>IF($D99="operation",VLOOKUP($G99,'Generic Vertical Port Tasks'!$C$4:$D$197,2,FALSE),"N/A")</f>
        <v>N/A</v>
      </c>
      <c r="I99" s="2587"/>
      <c r="J99" s="2587"/>
      <c r="K99" s="2587"/>
      <c r="L99" s="2589" t="str">
        <f>IFERROR(INDEX('Upper Cask Movement &amp; Logistics'!$I$24:$P$31,MATCH($J99,'Upper Cask Movement &amp; Logistics'!$H$24:$H$31,0),MATCH($K99,'Upper Cask Movement &amp; Logistics'!$H$24:$H$31,0)),"N/A")</f>
        <v>N/A</v>
      </c>
      <c r="M99" s="2589" t="str">
        <f>IFERROR(VLOOKUP($I99,'Upper Cask Movement &amp; Logistics'!$H$4:$I$8,2,FALSE),"N/A")</f>
        <v>N/A</v>
      </c>
      <c r="N99" s="2588" t="str">
        <f t="shared" si="8"/>
        <v>N/A</v>
      </c>
      <c r="O99" s="2590" t="s">
        <v>1226</v>
      </c>
      <c r="P99" s="2588">
        <f>IF($D99="Logistics",VLOOKUP($O99,'Upper Cask Movement &amp; Logistics'!$C$4:$D$209,2,FALSE),"N/A")</f>
        <v>0.38</v>
      </c>
      <c r="Q99" s="2591"/>
      <c r="R99" s="2588" t="str">
        <f>IFERROR(VLOOKUP($Q99,'Upper Cask Dependencies'!$C$3:$F$322,4,FALSE),"N/A")</f>
        <v>N/A</v>
      </c>
      <c r="S99" s="2592" t="str">
        <f t="shared" si="10"/>
        <v>N/A</v>
      </c>
    </row>
    <row r="100" spans="2:19" x14ac:dyDescent="0.35">
      <c r="B100" s="3918"/>
      <c r="C100" s="2594" t="s">
        <v>129</v>
      </c>
      <c r="D100" s="2594" t="s">
        <v>251</v>
      </c>
      <c r="E100" s="2595">
        <f t="shared" si="7"/>
        <v>0.72499999999999998</v>
      </c>
      <c r="F100" s="2595">
        <f t="shared" si="9"/>
        <v>149.97077323797805</v>
      </c>
      <c r="G100" s="2594" t="s">
        <v>253</v>
      </c>
      <c r="H100" s="2595">
        <f>IF($D100="operation",VLOOKUP($G100,'Generic Vertical Port Tasks'!$C$4:$D$197,2,FALSE),"N/A")</f>
        <v>0.72499999999999998</v>
      </c>
      <c r="I100" s="2594"/>
      <c r="J100" s="2594"/>
      <c r="K100" s="2594"/>
      <c r="L100" s="2596" t="str">
        <f>IFERROR(INDEX('Upper Cask Movement &amp; Logistics'!$I$24:$P$31,MATCH($J100,'Upper Cask Movement &amp; Logistics'!$H$24:$H$31,0),MATCH($K100,'Upper Cask Movement &amp; Logistics'!$H$24:$H$31,0)),"N/A")</f>
        <v>N/A</v>
      </c>
      <c r="M100" s="2596" t="str">
        <f>IFERROR(VLOOKUP($I100,'Upper Cask Movement &amp; Logistics'!$H$4:$I$8,2,FALSE),"N/A")</f>
        <v>N/A</v>
      </c>
      <c r="N100" s="2595" t="str">
        <f t="shared" si="8"/>
        <v>N/A</v>
      </c>
      <c r="O100" s="2597"/>
      <c r="P100" s="2595" t="str">
        <f>IF($D100="Logistics",VLOOKUP($O100,'Upper Cask Movement &amp; Logistics'!$C$4:$D$209,2,FALSE),"N/A")</f>
        <v>N/A</v>
      </c>
      <c r="Q100" s="2598"/>
      <c r="R100" s="2595" t="str">
        <f>IFERROR(VLOOKUP($Q100,'Upper Cask Dependencies'!$C$3:$F$322,4,FALSE),"N/A")</f>
        <v>N/A</v>
      </c>
      <c r="S100" s="2599" t="str">
        <f t="shared" si="10"/>
        <v>N/A</v>
      </c>
    </row>
    <row r="101" spans="2:19" x14ac:dyDescent="0.35">
      <c r="B101" s="3918"/>
      <c r="C101" s="2594" t="s">
        <v>1257</v>
      </c>
      <c r="D101" s="2594" t="s">
        <v>3</v>
      </c>
      <c r="E101" s="2595">
        <f t="shared" si="7"/>
        <v>0.63000000000000012</v>
      </c>
      <c r="F101" s="2595">
        <f t="shared" si="9"/>
        <v>150.60077323797805</v>
      </c>
      <c r="G101" s="2594"/>
      <c r="H101" s="2595" t="str">
        <f>IF($D101="operation",VLOOKUP($G101,'Generic Vertical Port Tasks'!$C$4:$D$197,2,FALSE),"N/A")</f>
        <v>N/A</v>
      </c>
      <c r="I101" s="2594"/>
      <c r="J101" s="2594"/>
      <c r="K101" s="2594"/>
      <c r="L101" s="2596" t="str">
        <f>IFERROR(INDEX('Upper Cask Movement &amp; Logistics'!$I$24:$P$31,MATCH($J101,'Upper Cask Movement &amp; Logistics'!$H$24:$H$31,0),MATCH($K101,'Upper Cask Movement &amp; Logistics'!$H$24:$H$31,0)),"N/A")</f>
        <v>N/A</v>
      </c>
      <c r="M101" s="2596" t="str">
        <f>IFERROR(VLOOKUP($I101,'Upper Cask Movement &amp; Logistics'!$H$4:$I$8,2,FALSE),"N/A")</f>
        <v>N/A</v>
      </c>
      <c r="N101" s="2595" t="str">
        <f t="shared" si="8"/>
        <v>N/A</v>
      </c>
      <c r="O101" s="2597" t="s">
        <v>1228</v>
      </c>
      <c r="P101" s="2595">
        <f>IF($D101="Logistics",VLOOKUP($O101,'Upper Cask Movement &amp; Logistics'!$C$4:$D$209,2,FALSE),"N/A")</f>
        <v>0.63000000000000012</v>
      </c>
      <c r="Q101" s="2598" t="str">
        <f>'Upper Cask Dependencies'!B69</f>
        <v>ROB Pipe Module stored; Hardware Cask 4 docked</v>
      </c>
      <c r="R101" s="2595">
        <f>IFERROR(VLOOKUP($Q101,'Upper Cask Dependencies'!$C$3:$F$322,4,FALSE),"N/A")</f>
        <v>144.39178363218727</v>
      </c>
      <c r="S101" s="2599">
        <f t="shared" si="10"/>
        <v>5.5789896057907811</v>
      </c>
    </row>
    <row r="102" spans="2:19" ht="13.3" thickBot="1" x14ac:dyDescent="0.4">
      <c r="B102" s="3919"/>
      <c r="C102" s="2610" t="s">
        <v>1251</v>
      </c>
      <c r="D102" s="2610" t="s">
        <v>3</v>
      </c>
      <c r="E102" s="2611">
        <f t="shared" si="7"/>
        <v>0.38</v>
      </c>
      <c r="F102" s="2611">
        <f t="shared" si="9"/>
        <v>150.98077323797804</v>
      </c>
      <c r="G102" s="2610"/>
      <c r="H102" s="2611" t="str">
        <f>IF($D102="operation",VLOOKUP($G102,'Generic Vertical Port Tasks'!$C$4:$D$197,2,FALSE),"N/A")</f>
        <v>N/A</v>
      </c>
      <c r="I102" s="2610"/>
      <c r="J102" s="2610"/>
      <c r="K102" s="2610"/>
      <c r="L102" s="2612" t="str">
        <f>IFERROR(INDEX('Upper Cask Movement &amp; Logistics'!$I$24:$P$31,MATCH($J102,'Upper Cask Movement &amp; Logistics'!$H$24:$H$31,0),MATCH($K102,'Upper Cask Movement &amp; Logistics'!$H$24:$H$31,0)),"N/A")</f>
        <v>N/A</v>
      </c>
      <c r="M102" s="2612" t="str">
        <f>IFERROR(VLOOKUP($I102,'Upper Cask Movement &amp; Logistics'!$H$4:$I$8,2,FALSE),"N/A")</f>
        <v>N/A</v>
      </c>
      <c r="N102" s="2611" t="str">
        <f t="shared" si="8"/>
        <v>N/A</v>
      </c>
      <c r="O102" s="2615" t="s">
        <v>1230</v>
      </c>
      <c r="P102" s="2611">
        <f>IF($D102="Logistics",VLOOKUP($O102,'Upper Cask Movement &amp; Logistics'!$C$4:$D$209,2,FALSE),"N/A")</f>
        <v>0.38</v>
      </c>
      <c r="Q102" s="2613"/>
      <c r="R102" s="2611" t="str">
        <f>IFERROR(VLOOKUP($Q102,'Upper Cask Dependencies'!$C$3:$F$322,4,FALSE),"N/A")</f>
        <v>N/A</v>
      </c>
      <c r="S102" s="2614" t="str">
        <f t="shared" si="10"/>
        <v>N/A</v>
      </c>
    </row>
    <row r="103" spans="2:19" x14ac:dyDescent="0.35">
      <c r="B103" s="3923" t="s">
        <v>840</v>
      </c>
      <c r="C103" s="2606" t="s">
        <v>1252</v>
      </c>
      <c r="D103" s="2606" t="s">
        <v>3</v>
      </c>
      <c r="E103" s="2561">
        <f t="shared" si="7"/>
        <v>0.38</v>
      </c>
      <c r="F103" s="2561">
        <f t="shared" si="9"/>
        <v>151.36077323797804</v>
      </c>
      <c r="G103" s="2606"/>
      <c r="H103" s="2561" t="str">
        <f>IF($D103="operation",VLOOKUP($G103,'Generic Vertical Port Tasks'!$C$4:$D$197,2,FALSE),"N/A")</f>
        <v>N/A</v>
      </c>
      <c r="I103" s="2606"/>
      <c r="J103" s="2606"/>
      <c r="K103" s="2606"/>
      <c r="L103" s="2563" t="str">
        <f>IFERROR(INDEX('Upper Cask Movement &amp; Logistics'!$I$24:$P$31,MATCH($J103,'Upper Cask Movement &amp; Logistics'!$H$24:$H$31,0),MATCH($K103,'Upper Cask Movement &amp; Logistics'!$H$24:$H$31,0)),"N/A")</f>
        <v>N/A</v>
      </c>
      <c r="M103" s="2563" t="str">
        <f>IFERROR(VLOOKUP($I103,'Upper Cask Movement &amp; Logistics'!$H$4:$I$8,2,FALSE),"N/A")</f>
        <v>N/A</v>
      </c>
      <c r="N103" s="2561" t="str">
        <f t="shared" si="8"/>
        <v>N/A</v>
      </c>
      <c r="O103" s="2607" t="s">
        <v>1226</v>
      </c>
      <c r="P103" s="2561">
        <f>IF($D103="Logistics",VLOOKUP($O103,'Upper Cask Movement &amp; Logistics'!$C$4:$D$209,2,FALSE),"N/A")</f>
        <v>0.38</v>
      </c>
      <c r="Q103" s="2608"/>
      <c r="R103" s="2561" t="str">
        <f>IFERROR(VLOOKUP($Q103,'Upper Cask Dependencies'!$C$3:$F$322,4,FALSE),"N/A")</f>
        <v>N/A</v>
      </c>
      <c r="S103" s="2609" t="str">
        <f t="shared" si="10"/>
        <v>N/A</v>
      </c>
    </row>
    <row r="104" spans="2:19" x14ac:dyDescent="0.35">
      <c r="B104" s="3924"/>
      <c r="C104" s="2576" t="s">
        <v>841</v>
      </c>
      <c r="D104" s="2576" t="s">
        <v>251</v>
      </c>
      <c r="E104" s="2569">
        <f t="shared" si="7"/>
        <v>6.83</v>
      </c>
      <c r="F104" s="2569">
        <f t="shared" si="9"/>
        <v>158.19077323797805</v>
      </c>
      <c r="G104" s="2576" t="s">
        <v>252</v>
      </c>
      <c r="H104" s="2569">
        <f>IF($D104="operation",VLOOKUP($G104,'Generic Vertical Port Tasks'!$C$4:$D$197,2,FALSE),"N/A")</f>
        <v>6.83</v>
      </c>
      <c r="I104" s="2576"/>
      <c r="J104" s="2576"/>
      <c r="K104" s="2576"/>
      <c r="L104" s="2571" t="str">
        <f>IFERROR(INDEX('Upper Cask Movement &amp; Logistics'!$I$24:$P$31,MATCH($J104,'Upper Cask Movement &amp; Logistics'!$H$24:$H$31,0),MATCH($K104,'Upper Cask Movement &amp; Logistics'!$H$24:$H$31,0)),"N/A")</f>
        <v>N/A</v>
      </c>
      <c r="M104" s="2571" t="str">
        <f>IFERROR(VLOOKUP($I104,'Upper Cask Movement &amp; Logistics'!$H$4:$I$8,2,FALSE),"N/A")</f>
        <v>N/A</v>
      </c>
      <c r="N104" s="2569" t="str">
        <f t="shared" si="8"/>
        <v>N/A</v>
      </c>
      <c r="O104" s="2577"/>
      <c r="P104" s="2569" t="str">
        <f>IF($D104="Logistics",VLOOKUP($O104,'Upper Cask Movement &amp; Logistics'!$C$4:$D$209,2,FALSE),"N/A")</f>
        <v>N/A</v>
      </c>
      <c r="Q104" s="2578"/>
      <c r="R104" s="2569" t="str">
        <f>IFERROR(VLOOKUP($Q104,'Upper Cask Dependencies'!$C$3:$F$322,4,FALSE),"N/A")</f>
        <v>N/A</v>
      </c>
      <c r="S104" s="2579" t="str">
        <f t="shared" si="10"/>
        <v>N/A</v>
      </c>
    </row>
    <row r="105" spans="2:19" x14ac:dyDescent="0.35">
      <c r="B105" s="3924"/>
      <c r="C105" s="2576" t="s">
        <v>1246</v>
      </c>
      <c r="D105" s="2576" t="s">
        <v>3</v>
      </c>
      <c r="E105" s="2569">
        <f t="shared" si="7"/>
        <v>0.38</v>
      </c>
      <c r="F105" s="2569">
        <f t="shared" si="9"/>
        <v>158.57077323797805</v>
      </c>
      <c r="G105" s="2576"/>
      <c r="H105" s="2569" t="str">
        <f>IF($D105="operation",VLOOKUP($G105,'Generic Vertical Port Tasks'!$C$4:$D$197,2,FALSE),"N/A")</f>
        <v>N/A</v>
      </c>
      <c r="I105" s="2576"/>
      <c r="J105" s="2576"/>
      <c r="K105" s="2576"/>
      <c r="L105" s="2571" t="str">
        <f>IFERROR(INDEX('Upper Cask Movement &amp; Logistics'!$I$24:$P$31,MATCH($J105,'Upper Cask Movement &amp; Logistics'!$H$24:$H$31,0),MATCH($K105,'Upper Cask Movement &amp; Logistics'!$H$24:$H$31,0)),"N/A")</f>
        <v>N/A</v>
      </c>
      <c r="M105" s="2571" t="str">
        <f>IFERROR(VLOOKUP($I105,'Upper Cask Movement &amp; Logistics'!$H$4:$I$8,2,FALSE),"N/A")</f>
        <v>N/A</v>
      </c>
      <c r="N105" s="2569" t="str">
        <f t="shared" si="8"/>
        <v>N/A</v>
      </c>
      <c r="O105" s="2577" t="s">
        <v>1230</v>
      </c>
      <c r="P105" s="2569">
        <f>IF($D105="Logistics",VLOOKUP($O105,'Upper Cask Movement &amp; Logistics'!$C$4:$D$209,2,FALSE),"N/A")</f>
        <v>0.38</v>
      </c>
      <c r="Q105" s="2578"/>
      <c r="R105" s="2569" t="str">
        <f>IFERROR(VLOOKUP($Q105,'Upper Cask Dependencies'!$C$3:$F$322,4,FALSE),"N/A")</f>
        <v>N/A</v>
      </c>
      <c r="S105" s="2579" t="str">
        <f t="shared" si="10"/>
        <v>N/A</v>
      </c>
    </row>
    <row r="106" spans="2:19" x14ac:dyDescent="0.35">
      <c r="B106" s="3924"/>
      <c r="C106" s="2576" t="s">
        <v>1247</v>
      </c>
      <c r="D106" s="2576" t="s">
        <v>3</v>
      </c>
      <c r="E106" s="2569">
        <f t="shared" si="7"/>
        <v>0.38</v>
      </c>
      <c r="F106" s="2569">
        <f t="shared" si="9"/>
        <v>158.95077323797804</v>
      </c>
      <c r="G106" s="2576"/>
      <c r="H106" s="2569" t="str">
        <f>IF($D106="operation",VLOOKUP($G106,'Generic Vertical Port Tasks'!$C$4:$D$197,2,FALSE),"N/A")</f>
        <v>N/A</v>
      </c>
      <c r="I106" s="2576"/>
      <c r="J106" s="2576"/>
      <c r="K106" s="2576"/>
      <c r="L106" s="2571" t="str">
        <f>IFERROR(INDEX('Upper Cask Movement &amp; Logistics'!$I$24:$P$31,MATCH($J106,'Upper Cask Movement &amp; Logistics'!$H$24:$H$31,0),MATCH($K106,'Upper Cask Movement &amp; Logistics'!$H$24:$H$31,0)),"N/A")</f>
        <v>N/A</v>
      </c>
      <c r="M106" s="2571" t="str">
        <f>IFERROR(VLOOKUP($I106,'Upper Cask Movement &amp; Logistics'!$H$4:$I$8,2,FALSE),"N/A")</f>
        <v>N/A</v>
      </c>
      <c r="N106" s="2569" t="str">
        <f t="shared" si="8"/>
        <v>N/A</v>
      </c>
      <c r="O106" s="2577" t="s">
        <v>1226</v>
      </c>
      <c r="P106" s="2569">
        <f>IF($D106="Logistics",VLOOKUP($O106,'Upper Cask Movement &amp; Logistics'!$C$4:$D$209,2,FALSE),"N/A")</f>
        <v>0.38</v>
      </c>
      <c r="Q106" s="2578"/>
      <c r="R106" s="2569" t="str">
        <f>IFERROR(VLOOKUP($Q106,'Upper Cask Dependencies'!$C$3:$F$322,4,FALSE),"N/A")</f>
        <v>N/A</v>
      </c>
      <c r="S106" s="2579" t="str">
        <f t="shared" si="10"/>
        <v>N/A</v>
      </c>
    </row>
    <row r="107" spans="2:19" x14ac:dyDescent="0.35">
      <c r="B107" s="3924"/>
      <c r="C107" s="2576" t="s">
        <v>153</v>
      </c>
      <c r="D107" s="2576" t="s">
        <v>251</v>
      </c>
      <c r="E107" s="2569">
        <f t="shared" si="7"/>
        <v>1.0499155317167692</v>
      </c>
      <c r="F107" s="2569">
        <f t="shared" si="9"/>
        <v>160.00068876969482</v>
      </c>
      <c r="G107" s="2576" t="s">
        <v>2491</v>
      </c>
      <c r="H107" s="2569">
        <f>IF($D107="operation",VLOOKUP($G107,'Generic Vertical Port Tasks'!$C$4:$D$197,2,FALSE),"N/A")</f>
        <v>1.0499155317167692</v>
      </c>
      <c r="I107" s="2576"/>
      <c r="J107" s="2576"/>
      <c r="K107" s="2576"/>
      <c r="L107" s="2571" t="str">
        <f>IFERROR(INDEX('Upper Cask Movement &amp; Logistics'!$I$24:$P$31,MATCH($J107,'Upper Cask Movement &amp; Logistics'!$H$24:$H$31,0),MATCH($K107,'Upper Cask Movement &amp; Logistics'!$H$24:$H$31,0)),"N/A")</f>
        <v>N/A</v>
      </c>
      <c r="M107" s="2571" t="str">
        <f>IFERROR(VLOOKUP($I107,'Upper Cask Movement &amp; Logistics'!$H$4:$I$8,2,FALSE),"N/A")</f>
        <v>N/A</v>
      </c>
      <c r="N107" s="2569" t="str">
        <f t="shared" si="8"/>
        <v>N/A</v>
      </c>
      <c r="O107" s="2577"/>
      <c r="P107" s="2569" t="str">
        <f>IF($D107="Logistics",VLOOKUP($O107,'Upper Cask Movement &amp; Logistics'!$C$4:$D$209,2,FALSE),"N/A")</f>
        <v>N/A</v>
      </c>
      <c r="Q107" s="2578"/>
      <c r="R107" s="2569" t="str">
        <f>IFERROR(VLOOKUP($Q107,'Upper Cask Dependencies'!$C$3:$F$322,4,FALSE),"N/A")</f>
        <v>N/A</v>
      </c>
      <c r="S107" s="2579" t="str">
        <f t="shared" si="10"/>
        <v>N/A</v>
      </c>
    </row>
    <row r="108" spans="2:19" ht="13.3" thickBot="1" x14ac:dyDescent="0.4">
      <c r="B108" s="3925"/>
      <c r="C108" s="2582" t="s">
        <v>1248</v>
      </c>
      <c r="D108" s="2582" t="s">
        <v>3</v>
      </c>
      <c r="E108" s="2581">
        <f t="shared" si="7"/>
        <v>0.38</v>
      </c>
      <c r="F108" s="2581">
        <f t="shared" si="9"/>
        <v>160.38068876969481</v>
      </c>
      <c r="G108" s="2582"/>
      <c r="H108" s="2581" t="str">
        <f>IF($D108="operation",VLOOKUP($G108,'Generic Vertical Port Tasks'!$C$4:$D$197,2,FALSE),"N/A")</f>
        <v>N/A</v>
      </c>
      <c r="I108" s="2582"/>
      <c r="J108" s="2582"/>
      <c r="K108" s="2582"/>
      <c r="L108" s="2583" t="str">
        <f>IFERROR(INDEX('Upper Cask Movement &amp; Logistics'!$I$24:$P$31,MATCH($J108,'Upper Cask Movement &amp; Logistics'!$H$24:$H$31,0),MATCH($K108,'Upper Cask Movement &amp; Logistics'!$H$24:$H$31,0)),"N/A")</f>
        <v>N/A</v>
      </c>
      <c r="M108" s="2583" t="str">
        <f>IFERROR(VLOOKUP($I108,'Upper Cask Movement &amp; Logistics'!$H$4:$I$8,2,FALSE),"N/A")</f>
        <v>N/A</v>
      </c>
      <c r="N108" s="2581" t="str">
        <f t="shared" si="8"/>
        <v>N/A</v>
      </c>
      <c r="O108" s="2584" t="s">
        <v>1230</v>
      </c>
      <c r="P108" s="2581">
        <f>IF($D108="Logistics",VLOOKUP($O108,'Upper Cask Movement &amp; Logistics'!$C$4:$D$209,2,FALSE),"N/A")</f>
        <v>0.38</v>
      </c>
      <c r="Q108" s="2585"/>
      <c r="R108" s="2581" t="str">
        <f>IFERROR(VLOOKUP($Q108,'Upper Cask Dependencies'!$C$3:$F$322,4,FALSE),"N/A")</f>
        <v>N/A</v>
      </c>
      <c r="S108" s="2586" t="str">
        <f t="shared" si="10"/>
        <v>N/A</v>
      </c>
    </row>
    <row r="109" spans="2:19" x14ac:dyDescent="0.35">
      <c r="B109" s="3917" t="s">
        <v>843</v>
      </c>
      <c r="C109" s="2587" t="s">
        <v>1249</v>
      </c>
      <c r="D109" s="2587" t="s">
        <v>3</v>
      </c>
      <c r="E109" s="2588">
        <f t="shared" si="7"/>
        <v>0.38</v>
      </c>
      <c r="F109" s="2588">
        <f t="shared" si="9"/>
        <v>160.76068876969481</v>
      </c>
      <c r="G109" s="2587"/>
      <c r="H109" s="2588" t="str">
        <f>IF($D109="operation",VLOOKUP($G109,'Generic Vertical Port Tasks'!$C$4:$D$197,2,FALSE),"N/A")</f>
        <v>N/A</v>
      </c>
      <c r="I109" s="2587"/>
      <c r="J109" s="2587"/>
      <c r="K109" s="2587"/>
      <c r="L109" s="2589" t="str">
        <f>IFERROR(INDEX('Upper Cask Movement &amp; Logistics'!$I$24:$P$31,MATCH($J109,'Upper Cask Movement &amp; Logistics'!$H$24:$H$31,0),MATCH($K109,'Upper Cask Movement &amp; Logistics'!$H$24:$H$31,0)),"N/A")</f>
        <v>N/A</v>
      </c>
      <c r="M109" s="2589" t="str">
        <f>IFERROR(VLOOKUP($I109,'Upper Cask Movement &amp; Logistics'!$H$4:$I$8,2,FALSE),"N/A")</f>
        <v>N/A</v>
      </c>
      <c r="N109" s="2588" t="str">
        <f t="shared" si="8"/>
        <v>N/A</v>
      </c>
      <c r="O109" s="2590" t="s">
        <v>1226</v>
      </c>
      <c r="P109" s="2588">
        <f>IF($D109="Logistics",VLOOKUP($O109,'Upper Cask Movement &amp; Logistics'!$C$4:$D$209,2,FALSE),"N/A")</f>
        <v>0.38</v>
      </c>
      <c r="Q109" s="2591"/>
      <c r="R109" s="2588" t="str">
        <f>IFERROR(VLOOKUP($Q109,'Upper Cask Dependencies'!$C$3:$F$322,4,FALSE),"N/A")</f>
        <v>N/A</v>
      </c>
      <c r="S109" s="2592" t="str">
        <f t="shared" si="10"/>
        <v>N/A</v>
      </c>
    </row>
    <row r="110" spans="2:19" x14ac:dyDescent="0.35">
      <c r="B110" s="3918"/>
      <c r="C110" s="2594" t="s">
        <v>131</v>
      </c>
      <c r="D110" s="2594" t="s">
        <v>251</v>
      </c>
      <c r="E110" s="2595">
        <f t="shared" si="7"/>
        <v>0.72499999999999998</v>
      </c>
      <c r="F110" s="2595">
        <f t="shared" si="9"/>
        <v>161.4856887696948</v>
      </c>
      <c r="G110" s="2594" t="s">
        <v>253</v>
      </c>
      <c r="H110" s="2595">
        <f>IF($D110="operation",VLOOKUP($G110,'Generic Vertical Port Tasks'!$C$4:$D$197,2,FALSE),"N/A")</f>
        <v>0.72499999999999998</v>
      </c>
      <c r="I110" s="2594"/>
      <c r="J110" s="2594"/>
      <c r="K110" s="2594"/>
      <c r="L110" s="2596" t="str">
        <f>IFERROR(INDEX('Upper Cask Movement &amp; Logistics'!$I$24:$P$31,MATCH($J110,'Upper Cask Movement &amp; Logistics'!$H$24:$H$31,0),MATCH($K110,'Upper Cask Movement &amp; Logistics'!$H$24:$H$31,0)),"N/A")</f>
        <v>N/A</v>
      </c>
      <c r="M110" s="2596" t="str">
        <f>IFERROR(VLOOKUP($I110,'Upper Cask Movement &amp; Logistics'!$H$4:$I$8,2,FALSE),"N/A")</f>
        <v>N/A</v>
      </c>
      <c r="N110" s="2595" t="str">
        <f t="shared" si="8"/>
        <v>N/A</v>
      </c>
      <c r="O110" s="2597"/>
      <c r="P110" s="2595" t="str">
        <f>IF($D110="Logistics",VLOOKUP($O110,'Upper Cask Movement &amp; Logistics'!$C$4:$D$209,2,FALSE),"N/A")</f>
        <v>N/A</v>
      </c>
      <c r="Q110" s="2598"/>
      <c r="R110" s="2595" t="str">
        <f>IFERROR(VLOOKUP($Q110,'Upper Cask Dependencies'!$C$3:$F$322,4,FALSE),"N/A")</f>
        <v>N/A</v>
      </c>
      <c r="S110" s="2599" t="str">
        <f t="shared" si="10"/>
        <v>N/A</v>
      </c>
    </row>
    <row r="111" spans="2:19" x14ac:dyDescent="0.35">
      <c r="B111" s="3918"/>
      <c r="C111" s="2594" t="s">
        <v>1258</v>
      </c>
      <c r="D111" s="2594" t="s">
        <v>3</v>
      </c>
      <c r="E111" s="2595">
        <f t="shared" si="7"/>
        <v>0.63000000000000012</v>
      </c>
      <c r="F111" s="2595">
        <f t="shared" si="9"/>
        <v>162.1156887696948</v>
      </c>
      <c r="G111" s="2594"/>
      <c r="H111" s="2595" t="str">
        <f>IF($D111="operation",VLOOKUP($G111,'Generic Vertical Port Tasks'!$C$4:$D$197,2,FALSE),"N/A")</f>
        <v>N/A</v>
      </c>
      <c r="I111" s="2594"/>
      <c r="J111" s="2594"/>
      <c r="K111" s="2594"/>
      <c r="L111" s="2596" t="str">
        <f>IFERROR(INDEX('Upper Cask Movement &amp; Logistics'!$I$24:$P$31,MATCH($J111,'Upper Cask Movement &amp; Logistics'!$H$24:$H$31,0),MATCH($K111,'Upper Cask Movement &amp; Logistics'!$H$24:$H$31,0)),"N/A")</f>
        <v>N/A</v>
      </c>
      <c r="M111" s="2596" t="str">
        <f>IFERROR(VLOOKUP($I111,'Upper Cask Movement &amp; Logistics'!$H$4:$I$8,2,FALSE),"N/A")</f>
        <v>N/A</v>
      </c>
      <c r="N111" s="2595" t="str">
        <f t="shared" si="8"/>
        <v>N/A</v>
      </c>
      <c r="O111" s="2597" t="s">
        <v>1228</v>
      </c>
      <c r="P111" s="2595">
        <f>IF($D111="Logistics",VLOOKUP($O111,'Upper Cask Movement &amp; Logistics'!$C$4:$D$209,2,FALSE),"N/A")</f>
        <v>0.63000000000000012</v>
      </c>
      <c r="Q111" s="2598" t="str">
        <f>'Upper Cask Dependencies'!B76</f>
        <v>LIB Pipe Module stored; Hardware Cask 4 docked</v>
      </c>
      <c r="R111" s="2595">
        <f>IFERROR(VLOOKUP($Q111,'Upper Cask Dependencies'!$C$3:$F$322,4,FALSE),"N/A")</f>
        <v>155.90669916390402</v>
      </c>
      <c r="S111" s="2599">
        <f t="shared" si="10"/>
        <v>5.5789896057907811</v>
      </c>
    </row>
    <row r="112" spans="2:19" x14ac:dyDescent="0.35">
      <c r="B112" s="3918"/>
      <c r="C112" s="2594" t="s">
        <v>1251</v>
      </c>
      <c r="D112" s="2594" t="s">
        <v>3</v>
      </c>
      <c r="E112" s="2595">
        <f t="shared" si="7"/>
        <v>0.38</v>
      </c>
      <c r="F112" s="2595">
        <f t="shared" si="9"/>
        <v>162.49568876969479</v>
      </c>
      <c r="G112" s="2594"/>
      <c r="H112" s="2595" t="str">
        <f>IF($D112="operation",VLOOKUP($G112,'Generic Vertical Port Tasks'!$C$4:$D$197,2,FALSE),"N/A")</f>
        <v>N/A</v>
      </c>
      <c r="I112" s="2594"/>
      <c r="J112" s="2594"/>
      <c r="K112" s="2594"/>
      <c r="L112" s="2596" t="str">
        <f>IFERROR(INDEX('Upper Cask Movement &amp; Logistics'!$I$24:$P$31,MATCH($J112,'Upper Cask Movement &amp; Logistics'!$H$24:$H$31,0),MATCH($K112,'Upper Cask Movement &amp; Logistics'!$H$24:$H$31,0)),"N/A")</f>
        <v>N/A</v>
      </c>
      <c r="M112" s="2596" t="str">
        <f>IFERROR(VLOOKUP($I112,'Upper Cask Movement &amp; Logistics'!$H$4:$I$8,2,FALSE),"N/A")</f>
        <v>N/A</v>
      </c>
      <c r="N112" s="2595" t="str">
        <f t="shared" si="8"/>
        <v>N/A</v>
      </c>
      <c r="O112" s="2597" t="s">
        <v>1230</v>
      </c>
      <c r="P112" s="2595">
        <f>IF($D112="Logistics",VLOOKUP($O112,'Upper Cask Movement &amp; Logistics'!$C$4:$D$209,2,FALSE),"N/A")</f>
        <v>0.38</v>
      </c>
      <c r="Q112" s="2598"/>
      <c r="R112" s="2595" t="str">
        <f>IFERROR(VLOOKUP($Q112,'Upper Cask Dependencies'!$C$3:$F$322,4,FALSE),"N/A")</f>
        <v>N/A</v>
      </c>
      <c r="S112" s="2599" t="str">
        <f t="shared" si="10"/>
        <v>N/A</v>
      </c>
    </row>
    <row r="113" spans="2:19" ht="13.3" thickBot="1" x14ac:dyDescent="0.4">
      <c r="B113" s="3919"/>
      <c r="C113" s="2610" t="s">
        <v>1259</v>
      </c>
      <c r="D113" s="2610" t="s">
        <v>3</v>
      </c>
      <c r="E113" s="2611">
        <f t="shared" si="7"/>
        <v>2.5400000000000005</v>
      </c>
      <c r="F113" s="2611">
        <f t="shared" si="9"/>
        <v>165.03568876969479</v>
      </c>
      <c r="G113" s="2610"/>
      <c r="H113" s="2611" t="str">
        <f>IF($D113="operation",VLOOKUP($G113,'Generic Vertical Port Tasks'!$C$4:$D$197,2,FALSE),"N/A")</f>
        <v>N/A</v>
      </c>
      <c r="I113" s="2610"/>
      <c r="J113" s="2610"/>
      <c r="K113" s="2610"/>
      <c r="L113" s="2612" t="str">
        <f>IFERROR(INDEX('Upper Cask Movement &amp; Logistics'!$I$24:$P$31,MATCH($J113,'Upper Cask Movement &amp; Logistics'!$H$24:$H$31,0),MATCH($K113,'Upper Cask Movement &amp; Logistics'!$H$24:$H$31,0)),"N/A")</f>
        <v>N/A</v>
      </c>
      <c r="M113" s="2612" t="str">
        <f>IFERROR(VLOOKUP($I113,'Upper Cask Movement &amp; Logistics'!$H$4:$I$8,2,FALSE),"N/A")</f>
        <v>N/A</v>
      </c>
      <c r="N113" s="2611" t="str">
        <f t="shared" si="8"/>
        <v>N/A</v>
      </c>
      <c r="O113" s="2615" t="s">
        <v>1260</v>
      </c>
      <c r="P113" s="2611">
        <f>IF($D113="Logistics",VLOOKUP($O113,'Upper Cask Movement &amp; Logistics'!$C$4:$D$209,2,FALSE),"N/A")</f>
        <v>2.5400000000000005</v>
      </c>
      <c r="Q113" s="2613"/>
      <c r="R113" s="2611" t="str">
        <f>IFERROR(VLOOKUP($Q113,'Upper Cask Dependencies'!$C$3:$F$322,4,FALSE),"N/A")</f>
        <v>N/A</v>
      </c>
      <c r="S113" s="2614" t="str">
        <f t="shared" si="10"/>
        <v>N/A</v>
      </c>
    </row>
    <row r="114" spans="2:19" x14ac:dyDescent="0.35">
      <c r="B114" s="3937" t="s">
        <v>13</v>
      </c>
      <c r="C114" s="2616" t="s">
        <v>1261</v>
      </c>
      <c r="D114" s="2606" t="s">
        <v>3</v>
      </c>
      <c r="E114" s="2561">
        <f t="shared" si="7"/>
        <v>1.6400000000000001</v>
      </c>
      <c r="F114" s="2561">
        <f t="shared" si="9"/>
        <v>168.35013321413922</v>
      </c>
      <c r="G114" s="2606"/>
      <c r="H114" s="2561" t="str">
        <f>IF($D114="operation",VLOOKUP($G114,'Generic Vertical Port Tasks'!$C$4:$D$197,2,FALSE),"N/A")</f>
        <v>N/A</v>
      </c>
      <c r="I114" s="2606"/>
      <c r="J114" s="2606"/>
      <c r="K114" s="2606"/>
      <c r="L114" s="2563" t="str">
        <f>IFERROR(INDEX('Upper Cask Movement &amp; Logistics'!$I$24:$P$31,MATCH($J114,'Upper Cask Movement &amp; Logistics'!$H$24:$H$31,0),MATCH($K114,'Upper Cask Movement &amp; Logistics'!$H$24:$H$31,0)),"N/A")</f>
        <v>N/A</v>
      </c>
      <c r="M114" s="2563" t="str">
        <f>IFERROR(VLOOKUP($I114,'Upper Cask Movement &amp; Logistics'!$H$4:$I$8,2,FALSE),"N/A")</f>
        <v>N/A</v>
      </c>
      <c r="N114" s="2561" t="str">
        <f t="shared" si="8"/>
        <v>N/A</v>
      </c>
      <c r="O114" s="2607" t="s">
        <v>1224</v>
      </c>
      <c r="P114" s="2561">
        <f>IF($D114="Logistics",VLOOKUP($O114,'Upper Cask Movement &amp; Logistics'!$C$4:$D$209,2,FALSE),"N/A")</f>
        <v>1.6400000000000001</v>
      </c>
      <c r="Q114" s="2608" t="str">
        <f>'Upper Cask Dependencies'!B94</f>
        <v>Equipment Cask 3 collected; Equipment Cask 3 moved to equipment stillage</v>
      </c>
      <c r="R114" s="2561">
        <f>IFERROR(VLOOKUP($Q114,'Upper Cask Dependencies'!$C$3:$F$322,4,FALSE),"N/A")</f>
        <v>166.71013321413923</v>
      </c>
      <c r="S114" s="2609">
        <f t="shared" si="10"/>
        <v>-1.6744444444444468</v>
      </c>
    </row>
    <row r="115" spans="2:19" ht="15" customHeight="1" x14ac:dyDescent="0.35">
      <c r="B115" s="3934"/>
      <c r="C115" s="2617" t="s">
        <v>1262</v>
      </c>
      <c r="D115" s="2576" t="s">
        <v>3</v>
      </c>
      <c r="E115" s="2569">
        <f t="shared" si="7"/>
        <v>0.38</v>
      </c>
      <c r="F115" s="2569">
        <f t="shared" si="9"/>
        <v>168.73013321413922</v>
      </c>
      <c r="G115" s="2576"/>
      <c r="H115" s="2569" t="str">
        <f>IF($D115="operation",VLOOKUP($G115,'Generic Vertical Port Tasks'!$C$4:$D$197,2,FALSE),"N/A")</f>
        <v>N/A</v>
      </c>
      <c r="I115" s="2576"/>
      <c r="J115" s="2576"/>
      <c r="K115" s="2576"/>
      <c r="L115" s="2571" t="str">
        <f>IFERROR(INDEX('Upper Cask Movement &amp; Logistics'!$I$24:$P$31,MATCH($J115,'Upper Cask Movement &amp; Logistics'!$H$24:$H$31,0),MATCH($K115,'Upper Cask Movement &amp; Logistics'!$H$24:$H$31,0)),"N/A")</f>
        <v>N/A</v>
      </c>
      <c r="M115" s="2571" t="str">
        <f>IFERROR(VLOOKUP($I115,'Upper Cask Movement &amp; Logistics'!$H$4:$I$8,2,FALSE),"N/A")</f>
        <v>N/A</v>
      </c>
      <c r="N115" s="2569" t="str">
        <f t="shared" si="8"/>
        <v>N/A</v>
      </c>
      <c r="O115" s="2577" t="s">
        <v>1226</v>
      </c>
      <c r="P115" s="2569">
        <f>IF($D115="Logistics",VLOOKUP($O115,'Upper Cask Movement &amp; Logistics'!$C$4:$D$209,2,FALSE),"N/A")</f>
        <v>0.38</v>
      </c>
      <c r="Q115" s="2578"/>
      <c r="R115" s="2569" t="str">
        <f>IFERROR(VLOOKUP($Q115,'Upper Cask Dependencies'!$C$3:$F$322,4,FALSE),"N/A")</f>
        <v>N/A</v>
      </c>
      <c r="S115" s="2579" t="str">
        <f t="shared" si="10"/>
        <v>N/A</v>
      </c>
    </row>
    <row r="116" spans="2:19" ht="15" customHeight="1" x14ac:dyDescent="0.35">
      <c r="B116" s="3934"/>
      <c r="C116" s="2617" t="s">
        <v>122</v>
      </c>
      <c r="D116" s="2576" t="s">
        <v>251</v>
      </c>
      <c r="E116" s="2569">
        <f t="shared" si="7"/>
        <v>5.74</v>
      </c>
      <c r="F116" s="2569">
        <f t="shared" si="9"/>
        <v>178.91045591518613</v>
      </c>
      <c r="G116" s="2576" t="s">
        <v>254</v>
      </c>
      <c r="H116" s="2569">
        <f>IF($D116="operation",VLOOKUP($G116,'Generic Vertical Port Tasks'!$C$4:$D$197,2,FALSE),"N/A")</f>
        <v>5.74</v>
      </c>
      <c r="I116" s="2576"/>
      <c r="J116" s="2576"/>
      <c r="K116" s="2576"/>
      <c r="L116" s="2571" t="str">
        <f>IFERROR(INDEX('Upper Cask Movement &amp; Logistics'!$I$24:$P$31,MATCH($J116,'Upper Cask Movement &amp; Logistics'!$H$24:$H$31,0),MATCH($K116,'Upper Cask Movement &amp; Logistics'!$H$24:$H$31,0)),"N/A")</f>
        <v>N/A</v>
      </c>
      <c r="M116" s="2571" t="str">
        <f>IFERROR(VLOOKUP($I116,'Upper Cask Movement &amp; Logistics'!$H$4:$I$8,2,FALSE),"N/A")</f>
        <v>N/A</v>
      </c>
      <c r="N116" s="2569" t="str">
        <f t="shared" si="8"/>
        <v>N/A</v>
      </c>
      <c r="O116" s="2577"/>
      <c r="P116" s="2569" t="str">
        <f>IF($D116="Logistics",VLOOKUP($O116,'Upper Cask Movement &amp; Logistics'!$C$4:$D$209,2,FALSE),"N/A")</f>
        <v>N/A</v>
      </c>
      <c r="Q116" s="2578" t="s">
        <v>844</v>
      </c>
      <c r="R116" s="2569">
        <f>IFERROR(VLOOKUP($Q116,'Upper Cask Dependencies'!$C$3:$F$322,4,FALSE),"N/A")</f>
        <v>173.17045591518612</v>
      </c>
      <c r="S116" s="2579">
        <f t="shared" si="10"/>
        <v>-4.4403227010469095</v>
      </c>
    </row>
    <row r="117" spans="2:19" ht="15" customHeight="1" x14ac:dyDescent="0.35">
      <c r="B117" s="3934"/>
      <c r="C117" s="2617" t="s">
        <v>1263</v>
      </c>
      <c r="D117" s="2576" t="s">
        <v>3</v>
      </c>
      <c r="E117" s="2569">
        <f t="shared" si="7"/>
        <v>0.63000000000000012</v>
      </c>
      <c r="F117" s="2569">
        <f t="shared" si="9"/>
        <v>179.54045591518613</v>
      </c>
      <c r="G117" s="2576"/>
      <c r="H117" s="2569" t="str">
        <f>IF($D117="operation",VLOOKUP($G117,'Generic Vertical Port Tasks'!$C$4:$D$197,2,FALSE),"N/A")</f>
        <v>N/A</v>
      </c>
      <c r="I117" s="2576"/>
      <c r="J117" s="2576"/>
      <c r="K117" s="2576"/>
      <c r="L117" s="2571" t="str">
        <f>IFERROR(INDEX('Upper Cask Movement &amp; Logistics'!$I$24:$P$31,MATCH($J117,'Upper Cask Movement &amp; Logistics'!$H$24:$H$31,0),MATCH($K117,'Upper Cask Movement &amp; Logistics'!$H$24:$H$31,0)),"N/A")</f>
        <v>N/A</v>
      </c>
      <c r="M117" s="2571" t="str">
        <f>IFERROR(VLOOKUP($I117,'Upper Cask Movement &amp; Logistics'!$H$4:$I$8,2,FALSE),"N/A")</f>
        <v>N/A</v>
      </c>
      <c r="N117" s="2569" t="str">
        <f t="shared" si="8"/>
        <v>N/A</v>
      </c>
      <c r="O117" s="2577" t="s">
        <v>1228</v>
      </c>
      <c r="P117" s="2569">
        <f>IF($D117="Logistics",VLOOKUP($O117,'Upper Cask Movement &amp; Logistics'!$C$4:$D$209,2,FALSE),"N/A")</f>
        <v>0.63000000000000012</v>
      </c>
      <c r="Q117" s="2578" t="str">
        <f>'Upper Cask Dependencies'!B83</f>
        <v>RIB Pipe Module stored; Hardware Cask 4 stored; Hardware Cask 5 collected; Hardware Cask 5 docked</v>
      </c>
      <c r="R117" s="2569">
        <f>IFERROR(VLOOKUP($Q117,'Upper Cask Dependencies'!$C$3:$F$322,4,FALSE),"N/A")</f>
        <v>168.50198506599111</v>
      </c>
      <c r="S117" s="2579">
        <f t="shared" si="10"/>
        <v>10.408470849195027</v>
      </c>
    </row>
    <row r="118" spans="2:19" ht="15" customHeight="1" x14ac:dyDescent="0.35">
      <c r="B118" s="3934"/>
      <c r="C118" s="2617" t="s">
        <v>1262</v>
      </c>
      <c r="D118" s="2576" t="s">
        <v>3</v>
      </c>
      <c r="E118" s="2569">
        <f t="shared" si="7"/>
        <v>0.5</v>
      </c>
      <c r="F118" s="2569">
        <f t="shared" si="9"/>
        <v>180.04045591518613</v>
      </c>
      <c r="G118" s="2576"/>
      <c r="H118" s="2569" t="str">
        <f>IF($D118="operation",VLOOKUP($G118,'Generic Vertical Port Tasks'!$C$4:$D$197,2,FALSE),"N/A")</f>
        <v>N/A</v>
      </c>
      <c r="I118" s="2576"/>
      <c r="J118" s="2576"/>
      <c r="K118" s="2576"/>
      <c r="L118" s="2571" t="str">
        <f>IFERROR(INDEX('Upper Cask Movement &amp; Logistics'!$I$24:$P$31,MATCH($J118,'Upper Cask Movement &amp; Logistics'!$H$24:$H$31,0),MATCH($K118,'Upper Cask Movement &amp; Logistics'!$H$24:$H$31,0)),"N/A")</f>
        <v>N/A</v>
      </c>
      <c r="M118" s="2571" t="str">
        <f>IFERROR(VLOOKUP($I118,'Upper Cask Movement &amp; Logistics'!$H$4:$I$8,2,FALSE),"N/A")</f>
        <v>N/A</v>
      </c>
      <c r="N118" s="2569" t="str">
        <f t="shared" si="8"/>
        <v>N/A</v>
      </c>
      <c r="O118" s="2577" t="s">
        <v>1208</v>
      </c>
      <c r="P118" s="2569">
        <f>IF($D118="Logistics",VLOOKUP($O118,'Upper Cask Movement &amp; Logistics'!$C$4:$D$209,2,FALSE),"N/A")</f>
        <v>0.5</v>
      </c>
      <c r="Q118" s="2578"/>
      <c r="R118" s="2569" t="str">
        <f>IFERROR(VLOOKUP($Q118,'Upper Cask Dependencies'!$C$3:$F$322,4,FALSE),"N/A")</f>
        <v>N/A</v>
      </c>
      <c r="S118" s="2579" t="str">
        <f t="shared" si="10"/>
        <v>N/A</v>
      </c>
    </row>
    <row r="119" spans="2:19" ht="15" customHeight="1" x14ac:dyDescent="0.35">
      <c r="B119" s="3934"/>
      <c r="C119" s="2617" t="s">
        <v>135</v>
      </c>
      <c r="D119" s="2576" t="s">
        <v>251</v>
      </c>
      <c r="E119" s="2569">
        <f t="shared" si="7"/>
        <v>5.74</v>
      </c>
      <c r="F119" s="2569">
        <f t="shared" si="9"/>
        <v>189.0004757110994</v>
      </c>
      <c r="G119" s="2576" t="s">
        <v>254</v>
      </c>
      <c r="H119" s="2569">
        <f>IF($D119="operation",VLOOKUP($G119,'Generic Vertical Port Tasks'!$C$4:$D$197,2,FALSE),"N/A")</f>
        <v>5.74</v>
      </c>
      <c r="I119" s="2576"/>
      <c r="J119" s="2576"/>
      <c r="K119" s="2576"/>
      <c r="L119" s="2571" t="str">
        <f>IFERROR(INDEX('Upper Cask Movement &amp; Logistics'!$I$24:$P$31,MATCH($J119,'Upper Cask Movement &amp; Logistics'!$H$24:$H$31,0),MATCH($K119,'Upper Cask Movement &amp; Logistics'!$H$24:$H$31,0)),"N/A")</f>
        <v>N/A</v>
      </c>
      <c r="M119" s="2571" t="str">
        <f>IFERROR(VLOOKUP($I119,'Upper Cask Movement &amp; Logistics'!$H$4:$I$8,2,FALSE),"N/A")</f>
        <v>N/A</v>
      </c>
      <c r="N119" s="2569" t="str">
        <f t="shared" si="8"/>
        <v>N/A</v>
      </c>
      <c r="O119" s="2577"/>
      <c r="P119" s="2569" t="str">
        <f>IF($D119="Logistics",VLOOKUP($O119,'Upper Cask Movement &amp; Logistics'!$C$4:$D$209,2,FALSE),"N/A")</f>
        <v>N/A</v>
      </c>
      <c r="Q119" s="2578" t="s">
        <v>845</v>
      </c>
      <c r="R119" s="2569">
        <f>IFERROR(VLOOKUP($Q119,'Upper Cask Dependencies'!$C$3:$F$322,4,FALSE),"N/A")</f>
        <v>183.26047571109939</v>
      </c>
      <c r="S119" s="2579">
        <f t="shared" si="10"/>
        <v>-3.2200197959132595</v>
      </c>
    </row>
    <row r="120" spans="2:19" ht="15" customHeight="1" x14ac:dyDescent="0.35">
      <c r="B120" s="3934"/>
      <c r="C120" s="2617" t="s">
        <v>1264</v>
      </c>
      <c r="D120" s="2576" t="s">
        <v>3</v>
      </c>
      <c r="E120" s="2569">
        <f t="shared" si="7"/>
        <v>0.63000000000000012</v>
      </c>
      <c r="F120" s="2569">
        <f t="shared" si="9"/>
        <v>189.63047571109939</v>
      </c>
      <c r="G120" s="2576"/>
      <c r="H120" s="2569" t="str">
        <f>IF($D120="operation",VLOOKUP($G120,'Generic Vertical Port Tasks'!$C$4:$D$197,2,FALSE),"N/A")</f>
        <v>N/A</v>
      </c>
      <c r="I120" s="2576"/>
      <c r="J120" s="2576"/>
      <c r="K120" s="2576"/>
      <c r="L120" s="2571" t="str">
        <f>IFERROR(INDEX('Upper Cask Movement &amp; Logistics'!$I$24:$P$31,MATCH($J120,'Upper Cask Movement &amp; Logistics'!$H$24:$H$31,0),MATCH($K120,'Upper Cask Movement &amp; Logistics'!$H$24:$H$31,0)),"N/A")</f>
        <v>N/A</v>
      </c>
      <c r="M120" s="2571" t="str">
        <f>IFERROR(VLOOKUP($I120,'Upper Cask Movement &amp; Logistics'!$H$4:$I$8,2,FALSE),"N/A")</f>
        <v>N/A</v>
      </c>
      <c r="N120" s="2569" t="str">
        <f t="shared" si="8"/>
        <v>N/A</v>
      </c>
      <c r="O120" s="2577" t="s">
        <v>1228</v>
      </c>
      <c r="P120" s="2569">
        <f>IF($D120="Logistics",VLOOKUP($O120,'Upper Cask Movement &amp; Logistics'!$C$4:$D$209,2,FALSE),"N/A")</f>
        <v>0.63000000000000012</v>
      </c>
      <c r="Q120" s="2578" t="str">
        <f>'Upper Cask Dependencies'!B99</f>
        <v>Equipment Cask 2 stored; Hardware Cask 6 Collected; Hardware Cask 6 docked</v>
      </c>
      <c r="R120" s="2569">
        <f>IFERROR(VLOOKUP($Q120,'Upper Cask Dependencies'!$C$3:$F$322,4,FALSE),"N/A")</f>
        <v>168.87717025117627</v>
      </c>
      <c r="S120" s="2579">
        <f t="shared" si="10"/>
        <v>20.123305459923131</v>
      </c>
    </row>
    <row r="121" spans="2:19" ht="15" customHeight="1" x14ac:dyDescent="0.35">
      <c r="B121" s="3934"/>
      <c r="C121" s="2617" t="s">
        <v>1262</v>
      </c>
      <c r="D121" s="2576" t="s">
        <v>3</v>
      </c>
      <c r="E121" s="2569">
        <f t="shared" si="7"/>
        <v>0.5</v>
      </c>
      <c r="F121" s="2569">
        <f t="shared" si="9"/>
        <v>190.13047571109939</v>
      </c>
      <c r="G121" s="2576"/>
      <c r="H121" s="2569" t="str">
        <f>IF($D121="operation",VLOOKUP($G121,'Generic Vertical Port Tasks'!$C$4:$D$197,2,FALSE),"N/A")</f>
        <v>N/A</v>
      </c>
      <c r="I121" s="2576"/>
      <c r="J121" s="2576"/>
      <c r="K121" s="2576"/>
      <c r="L121" s="2571" t="str">
        <f>IFERROR(INDEX('Upper Cask Movement &amp; Logistics'!$I$24:$P$31,MATCH($J121,'Upper Cask Movement &amp; Logistics'!$H$24:$H$31,0),MATCH($K121,'Upper Cask Movement &amp; Logistics'!$H$24:$H$31,0)),"N/A")</f>
        <v>N/A</v>
      </c>
      <c r="M121" s="2571" t="str">
        <f>IFERROR(VLOOKUP($I121,'Upper Cask Movement &amp; Logistics'!$H$4:$I$8,2,FALSE),"N/A")</f>
        <v>N/A</v>
      </c>
      <c r="N121" s="2569" t="str">
        <f t="shared" si="8"/>
        <v>N/A</v>
      </c>
      <c r="O121" s="2577" t="s">
        <v>1208</v>
      </c>
      <c r="P121" s="2569">
        <f>IF($D121="Logistics",VLOOKUP($O121,'Upper Cask Movement &amp; Logistics'!$C$4:$D$209,2,FALSE),"N/A")</f>
        <v>0.5</v>
      </c>
      <c r="Q121" s="2578"/>
      <c r="R121" s="2569" t="str">
        <f>IFERROR(VLOOKUP($Q121,'Upper Cask Dependencies'!$C$3:$F$322,4,FALSE),"N/A")</f>
        <v>N/A</v>
      </c>
      <c r="S121" s="2579" t="str">
        <f t="shared" si="10"/>
        <v>N/A</v>
      </c>
    </row>
    <row r="122" spans="2:19" ht="15" customHeight="1" x14ac:dyDescent="0.35">
      <c r="B122" s="3934"/>
      <c r="C122" s="2617" t="s">
        <v>136</v>
      </c>
      <c r="D122" s="2576" t="s">
        <v>251</v>
      </c>
      <c r="E122" s="2569">
        <f t="shared" si="7"/>
        <v>5.74</v>
      </c>
      <c r="F122" s="2569">
        <f t="shared" si="9"/>
        <v>195.8704757110994</v>
      </c>
      <c r="G122" s="2576" t="s">
        <v>254</v>
      </c>
      <c r="H122" s="2569">
        <f>IF($D122="operation",VLOOKUP($G122,'Generic Vertical Port Tasks'!$C$4:$D$197,2,FALSE),"N/A")</f>
        <v>5.74</v>
      </c>
      <c r="I122" s="2576"/>
      <c r="J122" s="2576"/>
      <c r="K122" s="2576"/>
      <c r="L122" s="2571" t="str">
        <f>IFERROR(INDEX('Upper Cask Movement &amp; Logistics'!$I$24:$P$31,MATCH($J122,'Upper Cask Movement &amp; Logistics'!$H$24:$H$31,0),MATCH($K122,'Upper Cask Movement &amp; Logistics'!$H$24:$H$31,0)),"N/A")</f>
        <v>N/A</v>
      </c>
      <c r="M122" s="2571" t="str">
        <f>IFERROR(VLOOKUP($I122,'Upper Cask Movement &amp; Logistics'!$H$4:$I$8,2,FALSE),"N/A")</f>
        <v>N/A</v>
      </c>
      <c r="N122" s="2569" t="str">
        <f t="shared" si="8"/>
        <v>N/A</v>
      </c>
      <c r="O122" s="2577"/>
      <c r="P122" s="2569" t="str">
        <f>IF($D122="Logistics",VLOOKUP($O122,'Upper Cask Movement &amp; Logistics'!$C$4:$D$209,2,FALSE),"N/A")</f>
        <v>N/A</v>
      </c>
      <c r="Q122" s="2578" t="s">
        <v>846</v>
      </c>
      <c r="R122" s="2569">
        <f>IFERROR(VLOOKUP($Q122,'Upper Cask Dependencies'!$C$3:$F$322,4,FALSE),"N/A")</f>
        <v>184.93049550701264</v>
      </c>
      <c r="S122" s="2579">
        <f t="shared" si="10"/>
        <v>5.1999802040867564</v>
      </c>
    </row>
    <row r="123" spans="2:19" ht="15" customHeight="1" x14ac:dyDescent="0.35">
      <c r="B123" s="3934"/>
      <c r="C123" s="2617" t="s">
        <v>1265</v>
      </c>
      <c r="D123" s="2576" t="s">
        <v>3</v>
      </c>
      <c r="E123" s="2569">
        <f t="shared" si="7"/>
        <v>0.63000000000000012</v>
      </c>
      <c r="F123" s="2569">
        <f t="shared" si="9"/>
        <v>196.5004757110994</v>
      </c>
      <c r="G123" s="2576"/>
      <c r="H123" s="2569" t="str">
        <f>IF($D123="operation",VLOOKUP($G123,'Generic Vertical Port Tasks'!$C$4:$D$197,2,FALSE),"N/A")</f>
        <v>N/A</v>
      </c>
      <c r="I123" s="2576"/>
      <c r="J123" s="2576"/>
      <c r="K123" s="2576"/>
      <c r="L123" s="2571" t="str">
        <f>IFERROR(INDEX('Upper Cask Movement &amp; Logistics'!$I$24:$P$31,MATCH($J123,'Upper Cask Movement &amp; Logistics'!$H$24:$H$31,0),MATCH($K123,'Upper Cask Movement &amp; Logistics'!$H$24:$H$31,0)),"N/A")</f>
        <v>N/A</v>
      </c>
      <c r="M123" s="2571" t="str">
        <f>IFERROR(VLOOKUP($I123,'Upper Cask Movement &amp; Logistics'!$H$4:$I$8,2,FALSE),"N/A")</f>
        <v>N/A</v>
      </c>
      <c r="N123" s="2569" t="str">
        <f t="shared" si="8"/>
        <v>N/A</v>
      </c>
      <c r="O123" s="2577" t="s">
        <v>1228</v>
      </c>
      <c r="P123" s="2569">
        <f>IF($D123="Logistics",VLOOKUP($O123,'Upper Cask Movement &amp; Logistics'!$C$4:$D$209,2,FALSE),"N/A")</f>
        <v>0.63000000000000012</v>
      </c>
      <c r="Q123" s="2578" t="str">
        <f>'Upper Cask Dependencies'!B122</f>
        <v>COB Blanket Segment stored; Hardware Cask 5 docked</v>
      </c>
      <c r="R123" s="2569">
        <f>IFERROR(VLOOKUP($Q123,'Upper Cask Dependencies'!$C$3:$F$322,4,FALSE),"N/A")</f>
        <v>184.84638184111211</v>
      </c>
      <c r="S123" s="2579">
        <f t="shared" si="10"/>
        <v>11.024093869987297</v>
      </c>
    </row>
    <row r="124" spans="2:19" ht="15" customHeight="1" x14ac:dyDescent="0.35">
      <c r="B124" s="3934"/>
      <c r="C124" s="2617" t="s">
        <v>1262</v>
      </c>
      <c r="D124" s="2576" t="s">
        <v>3</v>
      </c>
      <c r="E124" s="2569">
        <f t="shared" si="7"/>
        <v>0.5</v>
      </c>
      <c r="F124" s="2569">
        <f t="shared" si="9"/>
        <v>197.0004757110994</v>
      </c>
      <c r="G124" s="2576"/>
      <c r="H124" s="2569" t="str">
        <f>IF($D124="operation",VLOOKUP($G124,'Generic Vertical Port Tasks'!$C$4:$D$197,2,FALSE),"N/A")</f>
        <v>N/A</v>
      </c>
      <c r="I124" s="2576"/>
      <c r="J124" s="2576"/>
      <c r="K124" s="2576"/>
      <c r="L124" s="2571" t="str">
        <f>IFERROR(INDEX('Upper Cask Movement &amp; Logistics'!$I$24:$P$31,MATCH($J124,'Upper Cask Movement &amp; Logistics'!$H$24:$H$31,0),MATCH($K124,'Upper Cask Movement &amp; Logistics'!$H$24:$H$31,0)),"N/A")</f>
        <v>N/A</v>
      </c>
      <c r="M124" s="2571" t="str">
        <f>IFERROR(VLOOKUP($I124,'Upper Cask Movement &amp; Logistics'!$H$4:$I$8,2,FALSE),"N/A")</f>
        <v>N/A</v>
      </c>
      <c r="N124" s="2569" t="str">
        <f t="shared" si="8"/>
        <v>N/A</v>
      </c>
      <c r="O124" s="2577" t="s">
        <v>1208</v>
      </c>
      <c r="P124" s="2569">
        <f>IF($D124="Logistics",VLOOKUP($O124,'Upper Cask Movement &amp; Logistics'!$C$4:$D$209,2,FALSE),"N/A")</f>
        <v>0.5</v>
      </c>
      <c r="Q124" s="2578"/>
      <c r="R124" s="2569" t="str">
        <f>IFERROR(VLOOKUP($Q124,'Upper Cask Dependencies'!$C$3:$F$322,4,FALSE),"N/A")</f>
        <v>N/A</v>
      </c>
      <c r="S124" s="2579" t="str">
        <f t="shared" si="10"/>
        <v>N/A</v>
      </c>
    </row>
    <row r="125" spans="2:19" ht="15" customHeight="1" x14ac:dyDescent="0.35">
      <c r="B125" s="3934"/>
      <c r="C125" s="2617" t="s">
        <v>138</v>
      </c>
      <c r="D125" s="2576" t="s">
        <v>251</v>
      </c>
      <c r="E125" s="2569">
        <f t="shared" si="7"/>
        <v>5.74</v>
      </c>
      <c r="F125" s="2569">
        <f t="shared" si="9"/>
        <v>202.74047571109941</v>
      </c>
      <c r="G125" s="2576" t="s">
        <v>254</v>
      </c>
      <c r="H125" s="2569">
        <f>IF($D125="operation",VLOOKUP($G125,'Generic Vertical Port Tasks'!$C$4:$D$197,2,FALSE),"N/A")</f>
        <v>5.74</v>
      </c>
      <c r="I125" s="2576"/>
      <c r="J125" s="2576"/>
      <c r="K125" s="2576"/>
      <c r="L125" s="2571" t="str">
        <f>IFERROR(INDEX('Upper Cask Movement &amp; Logistics'!$I$24:$P$31,MATCH($J125,'Upper Cask Movement &amp; Logistics'!$H$24:$H$31,0),MATCH($K125,'Upper Cask Movement &amp; Logistics'!$H$24:$H$31,0)),"N/A")</f>
        <v>N/A</v>
      </c>
      <c r="M125" s="2571" t="str">
        <f>IFERROR(VLOOKUP($I125,'Upper Cask Movement &amp; Logistics'!$H$4:$I$8,2,FALSE),"N/A")</f>
        <v>N/A</v>
      </c>
      <c r="N125" s="2569" t="str">
        <f t="shared" si="8"/>
        <v>N/A</v>
      </c>
      <c r="O125" s="2577"/>
      <c r="P125" s="2569" t="str">
        <f>IF($D125="Logistics",VLOOKUP($O125,'Upper Cask Movement &amp; Logistics'!$C$4:$D$209,2,FALSE),"N/A")</f>
        <v>N/A</v>
      </c>
      <c r="Q125" s="2578" t="s">
        <v>847</v>
      </c>
      <c r="R125" s="2569">
        <f>IFERROR(VLOOKUP($Q125,'Upper Cask Dependencies'!$C$3:$F$322,4,FALSE),"N/A")</f>
        <v>191.03051530292589</v>
      </c>
      <c r="S125" s="2579">
        <f t="shared" si="10"/>
        <v>5.969960408173506</v>
      </c>
    </row>
    <row r="126" spans="2:19" ht="15" customHeight="1" x14ac:dyDescent="0.35">
      <c r="B126" s="3934"/>
      <c r="C126" s="2617" t="s">
        <v>1266</v>
      </c>
      <c r="D126" s="2576" t="s">
        <v>3</v>
      </c>
      <c r="E126" s="2569">
        <f t="shared" si="7"/>
        <v>0.63000000000000012</v>
      </c>
      <c r="F126" s="2569">
        <f t="shared" si="9"/>
        <v>203.3704757110994</v>
      </c>
      <c r="G126" s="2576"/>
      <c r="H126" s="2569" t="str">
        <f>IF($D126="operation",VLOOKUP($G126,'Generic Vertical Port Tasks'!$C$4:$D$197,2,FALSE),"N/A")</f>
        <v>N/A</v>
      </c>
      <c r="I126" s="2576"/>
      <c r="J126" s="2576"/>
      <c r="K126" s="2576"/>
      <c r="L126" s="2571" t="str">
        <f>IFERROR(INDEX('Upper Cask Movement &amp; Logistics'!$I$24:$P$31,MATCH($J126,'Upper Cask Movement &amp; Logistics'!$H$24:$H$31,0),MATCH($K126,'Upper Cask Movement &amp; Logistics'!$H$24:$H$31,0)),"N/A")</f>
        <v>N/A</v>
      </c>
      <c r="M126" s="2571" t="str">
        <f>IFERROR(VLOOKUP($I126,'Upper Cask Movement &amp; Logistics'!$H$4:$I$8,2,FALSE),"N/A")</f>
        <v>N/A</v>
      </c>
      <c r="N126" s="2569" t="str">
        <f t="shared" si="8"/>
        <v>N/A</v>
      </c>
      <c r="O126" s="2577" t="s">
        <v>1228</v>
      </c>
      <c r="P126" s="2569">
        <f>IF($D126="Logistics",VLOOKUP($O126,'Upper Cask Movement &amp; Logistics'!$C$4:$D$209,2,FALSE),"N/A")</f>
        <v>0.63000000000000012</v>
      </c>
      <c r="Q126" s="2578" t="str">
        <f>'Upper Cask Dependencies'!B129</f>
        <v>LOB Blanket Segment stored; Hardware Cask 6 docked</v>
      </c>
      <c r="R126" s="2569">
        <f>IFERROR(VLOOKUP($Q126,'Upper Cask Dependencies'!$C$3:$F$322,4,FALSE),"N/A")</f>
        <v>194.93640163702537</v>
      </c>
      <c r="S126" s="2579">
        <f t="shared" si="10"/>
        <v>7.8040740740740375</v>
      </c>
    </row>
    <row r="127" spans="2:19" ht="15" customHeight="1" x14ac:dyDescent="0.35">
      <c r="B127" s="3934"/>
      <c r="C127" s="2617" t="s">
        <v>1262</v>
      </c>
      <c r="D127" s="2576" t="s">
        <v>3</v>
      </c>
      <c r="E127" s="2569">
        <f t="shared" si="7"/>
        <v>0.5</v>
      </c>
      <c r="F127" s="2569">
        <f t="shared" si="9"/>
        <v>203.8704757110994</v>
      </c>
      <c r="G127" s="2576"/>
      <c r="H127" s="2569" t="str">
        <f>IF($D127="operation",VLOOKUP($G127,'Generic Vertical Port Tasks'!$C$4:$D$197,2,FALSE),"N/A")</f>
        <v>N/A</v>
      </c>
      <c r="I127" s="2576"/>
      <c r="J127" s="2576"/>
      <c r="K127" s="2576"/>
      <c r="L127" s="2571" t="str">
        <f>IFERROR(INDEX('Upper Cask Movement &amp; Logistics'!$I$24:$P$31,MATCH($J127,'Upper Cask Movement &amp; Logistics'!$H$24:$H$31,0),MATCH($K127,'Upper Cask Movement &amp; Logistics'!$H$24:$H$31,0)),"N/A")</f>
        <v>N/A</v>
      </c>
      <c r="M127" s="2571" t="str">
        <f>IFERROR(VLOOKUP($I127,'Upper Cask Movement &amp; Logistics'!$H$4:$I$8,2,FALSE),"N/A")</f>
        <v>N/A</v>
      </c>
      <c r="N127" s="2569" t="str">
        <f t="shared" si="8"/>
        <v>N/A</v>
      </c>
      <c r="O127" s="2577" t="s">
        <v>1208</v>
      </c>
      <c r="P127" s="2569">
        <f>IF($D127="Logistics",VLOOKUP($O127,'Upper Cask Movement &amp; Logistics'!$C$4:$D$209,2,FALSE),"N/A")</f>
        <v>0.5</v>
      </c>
      <c r="Q127" s="2578"/>
      <c r="R127" s="2569" t="str">
        <f>IFERROR(VLOOKUP($Q127,'Upper Cask Dependencies'!$C$3:$F$322,4,FALSE),"N/A")</f>
        <v>N/A</v>
      </c>
      <c r="S127" s="2579" t="str">
        <f t="shared" si="10"/>
        <v>N/A</v>
      </c>
    </row>
    <row r="128" spans="2:19" ht="15" customHeight="1" x14ac:dyDescent="0.35">
      <c r="B128" s="3934"/>
      <c r="C128" s="2617" t="s">
        <v>140</v>
      </c>
      <c r="D128" s="2576" t="s">
        <v>251</v>
      </c>
      <c r="E128" s="2569">
        <f t="shared" si="7"/>
        <v>5.74</v>
      </c>
      <c r="F128" s="2569">
        <f t="shared" si="9"/>
        <v>209.61047571109941</v>
      </c>
      <c r="G128" s="2576" t="s">
        <v>254</v>
      </c>
      <c r="H128" s="2569">
        <f>IF($D128="operation",VLOOKUP($G128,'Generic Vertical Port Tasks'!$C$4:$D$197,2,FALSE),"N/A")</f>
        <v>5.74</v>
      </c>
      <c r="I128" s="2576"/>
      <c r="J128" s="2576"/>
      <c r="K128" s="2576"/>
      <c r="L128" s="2571" t="str">
        <f>IFERROR(INDEX('Upper Cask Movement &amp; Logistics'!$I$24:$P$31,MATCH($J128,'Upper Cask Movement &amp; Logistics'!$H$24:$H$31,0),MATCH($K128,'Upper Cask Movement &amp; Logistics'!$H$24:$H$31,0)),"N/A")</f>
        <v>N/A</v>
      </c>
      <c r="M128" s="2571" t="str">
        <f>IFERROR(VLOOKUP($I128,'Upper Cask Movement &amp; Logistics'!$H$4:$I$8,2,FALSE),"N/A")</f>
        <v>N/A</v>
      </c>
      <c r="N128" s="2569" t="str">
        <f t="shared" si="8"/>
        <v>N/A</v>
      </c>
      <c r="O128" s="2577"/>
      <c r="P128" s="2569" t="str">
        <f>IF($D128="Logistics",VLOOKUP($O128,'Upper Cask Movement &amp; Logistics'!$C$4:$D$209,2,FALSE),"N/A")</f>
        <v>N/A</v>
      </c>
      <c r="Q128" s="2578" t="s">
        <v>848</v>
      </c>
      <c r="R128" s="2569">
        <f>IFERROR(VLOOKUP($Q128,'Upper Cask Dependencies'!$C$3:$F$322,4,FALSE),"N/A")</f>
        <v>192.70053509883914</v>
      </c>
      <c r="S128" s="2579">
        <f t="shared" si="10"/>
        <v>11.169940612260262</v>
      </c>
    </row>
    <row r="129" spans="2:19" ht="15.75" customHeight="1" x14ac:dyDescent="0.35">
      <c r="B129" s="3934"/>
      <c r="C129" s="2617" t="s">
        <v>1267</v>
      </c>
      <c r="D129" s="2576" t="s">
        <v>3</v>
      </c>
      <c r="E129" s="2569">
        <f t="shared" si="7"/>
        <v>0.63000000000000012</v>
      </c>
      <c r="F129" s="2569">
        <f t="shared" si="9"/>
        <v>210.24047571109941</v>
      </c>
      <c r="G129" s="2576"/>
      <c r="H129" s="2569" t="str">
        <f>IF($D129="operation",VLOOKUP($G129,'Generic Vertical Port Tasks'!$C$4:$D$197,2,FALSE),"N/A")</f>
        <v>N/A</v>
      </c>
      <c r="I129" s="2576"/>
      <c r="J129" s="2576"/>
      <c r="K129" s="2576"/>
      <c r="L129" s="2571" t="str">
        <f>IFERROR(INDEX('Upper Cask Movement &amp; Logistics'!$I$24:$P$31,MATCH($J129,'Upper Cask Movement &amp; Logistics'!$H$24:$H$31,0),MATCH($K129,'Upper Cask Movement &amp; Logistics'!$H$24:$H$31,0)),"N/A")</f>
        <v>N/A</v>
      </c>
      <c r="M129" s="2571" t="str">
        <f>IFERROR(VLOOKUP($I129,'Upper Cask Movement &amp; Logistics'!$H$4:$I$8,2,FALSE),"N/A")</f>
        <v>N/A</v>
      </c>
      <c r="N129" s="2569" t="str">
        <f t="shared" si="8"/>
        <v>N/A</v>
      </c>
      <c r="O129" s="2577" t="s">
        <v>1228</v>
      </c>
      <c r="P129" s="2569">
        <f>IF($D129="Logistics",VLOOKUP($O129,'Upper Cask Movement &amp; Logistics'!$C$4:$D$209,2,FALSE),"N/A")</f>
        <v>0.63000000000000012</v>
      </c>
      <c r="Q129" s="2578" t="str">
        <f>'Upper Cask Dependencies'!B136</f>
        <v>ROB Blanket Segment stored; Hardware Cask 5 docked</v>
      </c>
      <c r="R129" s="2569">
        <f>IFERROR(VLOOKUP($Q129,'Upper Cask Dependencies'!$C$3:$F$322,4,FALSE),"N/A")</f>
        <v>201.80640163702537</v>
      </c>
      <c r="S129" s="2579">
        <f t="shared" si="10"/>
        <v>7.8040740740740375</v>
      </c>
    </row>
    <row r="130" spans="2:19" ht="15.75" customHeight="1" thickBot="1" x14ac:dyDescent="0.4">
      <c r="B130" s="3938"/>
      <c r="C130" s="2618" t="s">
        <v>1268</v>
      </c>
      <c r="D130" s="2582" t="s">
        <v>3</v>
      </c>
      <c r="E130" s="2581">
        <f t="shared" si="7"/>
        <v>2.3000000000000003</v>
      </c>
      <c r="F130" s="2581">
        <f>IF(S130&lt;0,E130+F129+(-S130),E130+F129)</f>
        <v>212.54047571109942</v>
      </c>
      <c r="G130" s="2582"/>
      <c r="H130" s="2581" t="str">
        <f>IF($D130="operation",VLOOKUP($G130,'Generic Vertical Port Tasks'!$C$4:$D$197,2,FALSE),"N/A")</f>
        <v>N/A</v>
      </c>
      <c r="I130" s="2582"/>
      <c r="J130" s="2582"/>
      <c r="K130" s="2582"/>
      <c r="L130" s="2583" t="str">
        <f>IFERROR(INDEX('Upper Cask Movement &amp; Logistics'!$I$24:$P$31,MATCH($J130,'Upper Cask Movement &amp; Logistics'!$H$24:$H$31,0),MATCH($K130,'Upper Cask Movement &amp; Logistics'!$H$24:$H$31,0)),"N/A")</f>
        <v>N/A</v>
      </c>
      <c r="M130" s="2583" t="str">
        <f>IFERROR(VLOOKUP($I130,'Upper Cask Movement &amp; Logistics'!$H$4:$I$8,2,FALSE),"N/A")</f>
        <v>N/A</v>
      </c>
      <c r="N130" s="2581" t="str">
        <f t="shared" si="8"/>
        <v>N/A</v>
      </c>
      <c r="O130" s="2584" t="s">
        <v>1269</v>
      </c>
      <c r="P130" s="2581">
        <f>IF($D130="Logistics",VLOOKUP($O130,'Upper Cask Movement &amp; Logistics'!$C$4:$D$209,2,FALSE),"N/A")</f>
        <v>2.3000000000000003</v>
      </c>
      <c r="Q130" s="2585"/>
      <c r="R130" s="2581" t="str">
        <f>IFERROR(VLOOKUP($Q130,'Upper Cask Dependencies'!$C$3:$F$322,4,FALSE),"N/A")</f>
        <v>N/A</v>
      </c>
      <c r="S130" s="2586" t="str">
        <f t="shared" si="10"/>
        <v>N/A</v>
      </c>
    </row>
    <row r="131" spans="2:19" x14ac:dyDescent="0.35">
      <c r="B131" s="3939" t="s">
        <v>1270</v>
      </c>
      <c r="C131" s="2619" t="s">
        <v>850</v>
      </c>
      <c r="D131" s="2619"/>
      <c r="E131" s="2620">
        <f>F130</f>
        <v>212.54047571109942</v>
      </c>
      <c r="F131" s="2621"/>
      <c r="G131" s="2622"/>
      <c r="H131" s="2621"/>
      <c r="I131" s="2622"/>
      <c r="J131" s="2622"/>
      <c r="K131" s="2622"/>
      <c r="L131" s="2622"/>
      <c r="M131" s="2622"/>
      <c r="N131" s="2621"/>
      <c r="O131" s="2622"/>
      <c r="P131" s="2623"/>
      <c r="Q131" s="2623"/>
      <c r="R131" s="2623"/>
      <c r="S131" s="2623"/>
    </row>
    <row r="132" spans="2:19" x14ac:dyDescent="0.35">
      <c r="B132" s="3940"/>
      <c r="C132" s="2625" t="s">
        <v>851</v>
      </c>
      <c r="D132" s="2625"/>
      <c r="E132" s="2626">
        <f>SUMIF(D7:D130,"Operation",E7:E130)</f>
        <v>151.81902210302826</v>
      </c>
      <c r="F132" s="2626"/>
      <c r="G132" s="2627">
        <f>E132/E131</f>
        <v>0.71430640020488045</v>
      </c>
      <c r="H132" s="2626"/>
      <c r="I132" s="2625"/>
      <c r="J132" s="2625"/>
      <c r="K132" s="2625"/>
      <c r="L132" s="2625"/>
      <c r="M132" s="2625"/>
      <c r="N132" s="2626"/>
      <c r="O132" s="2625"/>
      <c r="P132" s="2624"/>
      <c r="Q132" s="2624"/>
      <c r="R132" s="2624"/>
      <c r="S132" s="2624"/>
    </row>
    <row r="133" spans="2:19" x14ac:dyDescent="0.35">
      <c r="B133" s="3940"/>
      <c r="C133" s="2625" t="s">
        <v>852</v>
      </c>
      <c r="D133" s="2625"/>
      <c r="E133" s="2626">
        <f>SUMIF(D7:D130,"Logistics",E7:E130)</f>
        <v>48.720000000000013</v>
      </c>
      <c r="F133" s="2626"/>
      <c r="G133" s="2627">
        <f>E133/E132</f>
        <v>0.32090840347356064</v>
      </c>
      <c r="H133" s="2626"/>
      <c r="I133" s="2625"/>
      <c r="J133" s="2625"/>
      <c r="K133" s="2625"/>
      <c r="L133" s="2625"/>
      <c r="M133" s="2625"/>
      <c r="N133" s="2626"/>
      <c r="O133" s="2625"/>
      <c r="P133" s="2624"/>
      <c r="Q133" s="2624"/>
      <c r="R133" s="2624"/>
      <c r="S133" s="2624"/>
    </row>
    <row r="134" spans="2:19" ht="13.3" thickBot="1" x14ac:dyDescent="0.4">
      <c r="B134" s="3941"/>
      <c r="C134" s="2628" t="s">
        <v>1271</v>
      </c>
      <c r="D134" s="2628"/>
      <c r="E134" s="2629">
        <f>SUMIF(D7:D130,"Movement",E7:E130)</f>
        <v>2.666666666666667</v>
      </c>
      <c r="F134" s="2629"/>
      <c r="G134" s="2630">
        <f>E134/E133</f>
        <v>5.4734537493158174E-2</v>
      </c>
      <c r="H134" s="2629"/>
      <c r="I134" s="2628"/>
      <c r="J134" s="2628"/>
      <c r="K134" s="2628"/>
      <c r="L134" s="2628"/>
      <c r="M134" s="2628"/>
      <c r="N134" s="2629"/>
      <c r="O134" s="2628"/>
      <c r="P134" s="2631"/>
      <c r="Q134" s="2631"/>
      <c r="R134" s="2631"/>
      <c r="S134" s="2631"/>
    </row>
    <row r="135" spans="2:19" ht="15" customHeight="1" x14ac:dyDescent="0.35">
      <c r="B135" s="3937" t="s">
        <v>1272</v>
      </c>
      <c r="C135" s="2632" t="s">
        <v>38</v>
      </c>
      <c r="D135" s="2560" t="s">
        <v>251</v>
      </c>
      <c r="E135" s="2561">
        <f t="shared" ref="E135:E171" si="11">MAX($P135,$N135,$H135)</f>
        <v>0</v>
      </c>
      <c r="F135" s="2633">
        <f>E135</f>
        <v>0</v>
      </c>
      <c r="G135" s="2560" t="s">
        <v>0</v>
      </c>
      <c r="H135" s="2562">
        <f>IF($D135="operation",VLOOKUP($G135,'Generic Vertical Port Tasks'!$C$4:$D$197,2,FALSE),"N/A")</f>
        <v>0</v>
      </c>
      <c r="I135" s="2632"/>
      <c r="J135" s="2560"/>
      <c r="K135" s="2560"/>
      <c r="L135" s="2563" t="str">
        <f>IFERROR(INDEX('Upper Cask Movement &amp; Logistics'!$I$24:$P$31,MATCH($J135,'Upper Cask Movement &amp; Logistics'!$H$24:$H$31,0),MATCH($K135,'Upper Cask Movement &amp; Logistics'!$H$24:$H$31,0)),"N/A")</f>
        <v>N/A</v>
      </c>
      <c r="M135" s="2563" t="str">
        <f>IFERROR(VLOOKUP($I135,'Upper Hot Cell Logistics'!$H$4:$I$10,2,FALSE),"N/A")</f>
        <v>N/A</v>
      </c>
      <c r="N135" s="2561" t="str">
        <f t="shared" ref="N135:N198" si="12">IF(D135="Movement",IFERROR((L135/M135)/(60*60),"Error"),"N/A")</f>
        <v>N/A</v>
      </c>
      <c r="O135" s="2634"/>
      <c r="P135" s="2570" t="str">
        <f>IF($D135="Logistics",VLOOKUP($O135,'Upper Cask Movement &amp; Logistics'!$C$4:$D$209,2,FALSE),"N/A")</f>
        <v>N/A</v>
      </c>
      <c r="Q135" s="2565"/>
      <c r="R135" s="2561" t="str">
        <f>IFERROR(VLOOKUP($Q135,'Upper Cask Dependencies'!$C$3:$F$322,4,FALSE),"N/A")</f>
        <v>N/A</v>
      </c>
      <c r="S135" s="2609" t="str">
        <f t="shared" ref="S135:S198" si="13">IFERROR(F134-R135,"N/A")</f>
        <v>N/A</v>
      </c>
    </row>
    <row r="136" spans="2:19" ht="15" customHeight="1" x14ac:dyDescent="0.35">
      <c r="B136" s="3934"/>
      <c r="C136" s="2635" t="s">
        <v>854</v>
      </c>
      <c r="D136" s="2568" t="s">
        <v>778</v>
      </c>
      <c r="E136" s="2636">
        <f t="shared" si="11"/>
        <v>0.69444444444444442</v>
      </c>
      <c r="F136" s="2637">
        <f t="shared" ref="F136:F199" si="14">IF(S136&lt;0,E136+F135+(-S136),E136+F135)</f>
        <v>5.8346296296296307</v>
      </c>
      <c r="G136" s="2568"/>
      <c r="H136" s="2570" t="str">
        <f>IF($D136="operation",VLOOKUP($G136,'Generic Vertical Port Tasks'!$C$4:$D$197,2,FALSE),"N/A")</f>
        <v>N/A</v>
      </c>
      <c r="I136" s="2635" t="s">
        <v>855</v>
      </c>
      <c r="J136" s="2568" t="s">
        <v>799</v>
      </c>
      <c r="K136" s="2568" t="s">
        <v>452</v>
      </c>
      <c r="L136" s="2571">
        <f>IFERROR(INDEX('Upper Cask Movement &amp; Logistics'!$I$24:$P$31,MATCH($J136,'Upper Cask Movement &amp; Logistics'!$H$24:$H$31,0),MATCH($K136,'Upper Cask Movement &amp; Logistics'!$H$24:$H$31,0)),"N/A")</f>
        <v>50</v>
      </c>
      <c r="M136" s="2571">
        <f>IFERROR(VLOOKUP($I136,'Upper Hot Cell Logistics'!$H$4:$I$10,2,FALSE),"N/A")</f>
        <v>0.02</v>
      </c>
      <c r="N136" s="2569">
        <f t="shared" si="12"/>
        <v>0.69444444444444442</v>
      </c>
      <c r="O136" s="2638"/>
      <c r="P136" s="2570" t="str">
        <f>IF($D136="Logistics",VLOOKUP($O136,'Upper Cask Movement &amp; Logistics'!$C$4:$D$209,2,FALSE),"N/A")</f>
        <v>N/A</v>
      </c>
      <c r="Q136" s="2573" t="s">
        <v>1273</v>
      </c>
      <c r="R136" s="2569">
        <f>IFERROR(VLOOKUP($Q136,'Upper Cask Dependencies'!$C$3:$F$322,4,FALSE),"N/A")</f>
        <v>5.1401851851851861</v>
      </c>
      <c r="S136" s="2579">
        <f>IFERROR(F135-R136,"N/A")</f>
        <v>-5.1401851851851861</v>
      </c>
    </row>
    <row r="137" spans="2:19" x14ac:dyDescent="0.35">
      <c r="B137" s="3934"/>
      <c r="C137" s="2635" t="s">
        <v>144</v>
      </c>
      <c r="D137" s="2568" t="s">
        <v>251</v>
      </c>
      <c r="E137" s="2636">
        <f t="shared" si="11"/>
        <v>8.5</v>
      </c>
      <c r="F137" s="2637">
        <f t="shared" si="14"/>
        <v>14.334629629629632</v>
      </c>
      <c r="G137" s="2568" t="s">
        <v>144</v>
      </c>
      <c r="H137" s="2570">
        <f>IF($D137="operation",VLOOKUP($G137,'Generic Vertical Port Tasks'!$C$4:$D$197,2,FALSE),"N/A")</f>
        <v>8.5</v>
      </c>
      <c r="I137" s="2635"/>
      <c r="J137" s="2568"/>
      <c r="K137" s="2568"/>
      <c r="L137" s="2571" t="str">
        <f>IFERROR(INDEX('Upper Cask Movement &amp; Logistics'!$I$24:$P$31,MATCH($J137,'Upper Cask Movement &amp; Logistics'!$H$24:$H$31,0),MATCH($K137,'Upper Cask Movement &amp; Logistics'!$H$24:$H$31,0)),"N/A")</f>
        <v>N/A</v>
      </c>
      <c r="M137" s="2571" t="str">
        <f>IFERROR(VLOOKUP($I137,'Upper Hot Cell Logistics'!$H$4:$I$10,2,FALSE),"N/A")</f>
        <v>N/A</v>
      </c>
      <c r="N137" s="2569" t="str">
        <f t="shared" si="12"/>
        <v>N/A</v>
      </c>
      <c r="O137" s="2638"/>
      <c r="P137" s="2570" t="str">
        <f>IF($D137="Logistics",VLOOKUP($O137,'Upper Cask Movement &amp; Logistics'!$C$4:$D$209,2,FALSE),"N/A")</f>
        <v>N/A</v>
      </c>
      <c r="Q137" s="2573"/>
      <c r="R137" s="2569" t="str">
        <f>IFERROR(VLOOKUP($Q137,'Upper Cask Dependencies'!$C$3:$F$322,4,FALSE),"N/A")</f>
        <v>N/A</v>
      </c>
      <c r="S137" s="2579" t="str">
        <f t="shared" si="13"/>
        <v>N/A</v>
      </c>
    </row>
    <row r="138" spans="2:19" x14ac:dyDescent="0.35">
      <c r="B138" s="3934"/>
      <c r="C138" s="2635" t="s">
        <v>145</v>
      </c>
      <c r="D138" s="2568" t="s">
        <v>251</v>
      </c>
      <c r="E138" s="2636">
        <f t="shared" si="11"/>
        <v>8.5</v>
      </c>
      <c r="F138" s="2637">
        <f t="shared" si="14"/>
        <v>22.834629629629632</v>
      </c>
      <c r="G138" s="2568" t="s">
        <v>255</v>
      </c>
      <c r="H138" s="2570">
        <f>IF($D138="operation",VLOOKUP($G138,'Generic Vertical Port Tasks'!$C$4:$D$197,2,FALSE),"N/A")</f>
        <v>8.5</v>
      </c>
      <c r="I138" s="2635"/>
      <c r="J138" s="2568"/>
      <c r="K138" s="2568"/>
      <c r="L138" s="2571" t="str">
        <f>IFERROR(INDEX('Upper Cask Movement &amp; Logistics'!$I$24:$P$31,MATCH($J138,'Upper Cask Movement &amp; Logistics'!$H$24:$H$31,0),MATCH($K138,'Upper Cask Movement &amp; Logistics'!$H$24:$H$31,0)),"N/A")</f>
        <v>N/A</v>
      </c>
      <c r="M138" s="2571" t="str">
        <f>IFERROR(VLOOKUP($I138,'Upper Hot Cell Logistics'!$H$4:$I$10,2,FALSE),"N/A")</f>
        <v>N/A</v>
      </c>
      <c r="N138" s="2569" t="str">
        <f>IF(D138="Movement",IFERROR((L138/M138)/(60*60),"Error"),"N/A")</f>
        <v>N/A</v>
      </c>
      <c r="O138" s="2638"/>
      <c r="P138" s="2570" t="str">
        <f>IF($D138="Logistics",VLOOKUP($O138,'Upper Cask Movement &amp; Logistics'!$C$4:$D$209,2,FALSE),"N/A")</f>
        <v>N/A</v>
      </c>
      <c r="Q138" s="2573"/>
      <c r="R138" s="2569" t="str">
        <f>IFERROR(VLOOKUP($Q138,'Upper Cask Dependencies'!$C$3:$F$322,4,FALSE),"N/A")</f>
        <v>N/A</v>
      </c>
      <c r="S138" s="2579" t="str">
        <f t="shared" ref="S138:S148" si="15">IFERROR(F137-R138,"N/A")</f>
        <v>N/A</v>
      </c>
    </row>
    <row r="139" spans="2:19" x14ac:dyDescent="0.35">
      <c r="B139" s="3934"/>
      <c r="C139" s="2635" t="s">
        <v>1274</v>
      </c>
      <c r="D139" s="2568" t="s">
        <v>3</v>
      </c>
      <c r="E139" s="2636">
        <f t="shared" si="11"/>
        <v>0.38</v>
      </c>
      <c r="F139" s="2637">
        <f t="shared" si="14"/>
        <v>23.214629629629631</v>
      </c>
      <c r="G139" s="2568"/>
      <c r="H139" s="2570" t="str">
        <f>IF($D139="operation",VLOOKUP($G139,'Generic Vertical Port Tasks'!$C$4:$D$197,2,FALSE),"N/A")</f>
        <v>N/A</v>
      </c>
      <c r="I139" s="2635"/>
      <c r="J139" s="2568"/>
      <c r="K139" s="2568"/>
      <c r="L139" s="2571" t="str">
        <f>IFERROR(INDEX('Upper Cask Movement &amp; Logistics'!$I$24:$P$31,MATCH($J139,'Upper Cask Movement &amp; Logistics'!$H$24:$H$31,0),MATCH($K139,'Upper Cask Movement &amp; Logistics'!$H$24:$H$31,0)),"N/A")</f>
        <v>N/A</v>
      </c>
      <c r="M139" s="2571" t="str">
        <f>IFERROR(VLOOKUP($I139,'Upper Hot Cell Logistics'!$H$4:$I$10,2,FALSE),"N/A")</f>
        <v>N/A</v>
      </c>
      <c r="N139" s="2569" t="str">
        <f>IF(D139="Movement",IFERROR((L139/M139)/(60*60),"Error"),"N/A")</f>
        <v>N/A</v>
      </c>
      <c r="O139" s="2573" t="s">
        <v>1230</v>
      </c>
      <c r="P139" s="2570">
        <f>IF($D139="Logistics",VLOOKUP($O139,'Upper Cask Movement &amp; Logistics'!$C$4:$D$209,2,FALSE),"N/A")</f>
        <v>0.38</v>
      </c>
      <c r="Q139" s="2639"/>
      <c r="R139" s="2569" t="str">
        <f>IFERROR(VLOOKUP($Q139,'Upper Cask Dependencies'!$C$3:$F$322,4,FALSE),"N/A")</f>
        <v>N/A</v>
      </c>
      <c r="S139" s="2579" t="str">
        <f t="shared" si="15"/>
        <v>N/A</v>
      </c>
    </row>
    <row r="140" spans="2:19" ht="13.3" thickBot="1" x14ac:dyDescent="0.4">
      <c r="B140" s="3934"/>
      <c r="C140" s="2640" t="s">
        <v>1275</v>
      </c>
      <c r="D140" s="2641" t="s">
        <v>3</v>
      </c>
      <c r="E140" s="2642">
        <f t="shared" si="11"/>
        <v>2.5400000000000005</v>
      </c>
      <c r="F140" s="2637">
        <f t="shared" si="14"/>
        <v>25.75462962962963</v>
      </c>
      <c r="G140" s="2641"/>
      <c r="H140" s="2643" t="str">
        <f>IF($D140="operation",VLOOKUP($G140,'Generic Vertical Port Tasks'!$C$4:$D$197,2,FALSE),"N/A")</f>
        <v>N/A</v>
      </c>
      <c r="I140" s="2640"/>
      <c r="J140" s="2641"/>
      <c r="K140" s="2641"/>
      <c r="L140" s="2644" t="str">
        <f>IFERROR(INDEX('Upper Cask Movement &amp; Logistics'!$I$24:$P$31,MATCH($J140,'Upper Cask Movement &amp; Logistics'!$H$24:$H$31,0),MATCH($K140,'Upper Cask Movement &amp; Logistics'!$H$24:$H$31,0)),"N/A")</f>
        <v>N/A</v>
      </c>
      <c r="M140" s="2644" t="str">
        <f>IFERROR(VLOOKUP($I140,'Upper Hot Cell Logistics'!$H$4:$I$10,2,FALSE),"N/A")</f>
        <v>N/A</v>
      </c>
      <c r="N140" s="2645" t="str">
        <f t="shared" si="12"/>
        <v>N/A</v>
      </c>
      <c r="O140" s="2646" t="s">
        <v>1260</v>
      </c>
      <c r="P140" s="2643">
        <f>IF($D140="Logistics",VLOOKUP($O140,'Upper Cask Movement &amp; Logistics'!$C$4:$D$209,2,FALSE),"N/A")</f>
        <v>2.5400000000000005</v>
      </c>
      <c r="Q140" s="2647"/>
      <c r="R140" s="2645" t="str">
        <f>IFERROR(VLOOKUP($Q140,'Upper Cask Dependencies'!$C$3:$F$322,4,FALSE),"N/A")</f>
        <v>N/A</v>
      </c>
      <c r="S140" s="2648" t="str">
        <f t="shared" si="15"/>
        <v>N/A</v>
      </c>
    </row>
    <row r="141" spans="2:19" ht="15" customHeight="1" x14ac:dyDescent="0.35">
      <c r="B141" s="3927" t="s">
        <v>39</v>
      </c>
      <c r="C141" s="2649" t="s">
        <v>1276</v>
      </c>
      <c r="D141" s="2650" t="s">
        <v>3</v>
      </c>
      <c r="E141" s="2651">
        <f t="shared" si="11"/>
        <v>1.4000000000000001</v>
      </c>
      <c r="F141" s="2651">
        <f t="shared" si="14"/>
        <v>27.154629629629628</v>
      </c>
      <c r="G141" s="2650"/>
      <c r="H141" s="2651" t="str">
        <f>IF($D141="operation",VLOOKUP($G141,'Generic Vertical Port Tasks'!$C$4:$D$197,2,FALSE),"N/A")</f>
        <v>N/A</v>
      </c>
      <c r="I141" s="2650"/>
      <c r="J141" s="2650"/>
      <c r="K141" s="2650"/>
      <c r="L141" s="2652" t="str">
        <f>IFERROR(INDEX('Upper Cask Movement &amp; Logistics'!$I$24:$P$31,MATCH($J141,'Upper Cask Movement &amp; Logistics'!$H$24:$H$31,0),MATCH($K141,'Upper Cask Movement &amp; Logistics'!$H$24:$H$31,0)),"N/A")</f>
        <v>N/A</v>
      </c>
      <c r="M141" s="2652" t="str">
        <f>IFERROR(VLOOKUP($I141,'Upper Cask Movement &amp; Logistics'!$H$4:$I$8,2,FALSE),"N/A")</f>
        <v>N/A</v>
      </c>
      <c r="N141" s="2651" t="str">
        <f>IF(D141="Movement",IFERROR((L141/M141)/(60*60),"Error"),"N/A")</f>
        <v>N/A</v>
      </c>
      <c r="O141" s="2653" t="s">
        <v>1277</v>
      </c>
      <c r="P141" s="2651">
        <f>IF($D141="Logistics",VLOOKUP($O141,'Upper Cask Movement &amp; Logistics'!$C$4:$D$209,2,FALSE),"N/A")</f>
        <v>1.4000000000000001</v>
      </c>
      <c r="Q141" s="2654"/>
      <c r="R141" s="2651" t="str">
        <f>IFERROR(VLOOKUP($Q141,'Upper Cask Dependencies'!$C$3:$F$322,4,FALSE),"N/A")</f>
        <v>N/A</v>
      </c>
      <c r="S141" s="2655" t="str">
        <f t="shared" si="15"/>
        <v>N/A</v>
      </c>
    </row>
    <row r="142" spans="2:19" ht="15" customHeight="1" x14ac:dyDescent="0.35">
      <c r="B142" s="3926"/>
      <c r="C142" s="2656" t="s">
        <v>1278</v>
      </c>
      <c r="D142" s="2587" t="s">
        <v>3</v>
      </c>
      <c r="E142" s="2588">
        <f t="shared" si="11"/>
        <v>0.60000000000000009</v>
      </c>
      <c r="F142" s="2588">
        <f t="shared" si="14"/>
        <v>27.75462962962963</v>
      </c>
      <c r="G142" s="2587"/>
      <c r="H142" s="2588" t="str">
        <f>IF($D142="operation",VLOOKUP($G142,'Generic Vertical Port Tasks'!$C$4:$D$197,2,FALSE),"N/A")</f>
        <v>N/A</v>
      </c>
      <c r="I142" s="2587"/>
      <c r="J142" s="2587"/>
      <c r="K142" s="2587"/>
      <c r="L142" s="2596" t="str">
        <f>IFERROR(INDEX('Upper Cask Movement &amp; Logistics'!$I$24:$P$31,MATCH($J142,'Upper Cask Movement &amp; Logistics'!$H$24:$H$31,0),MATCH($K142,'Upper Cask Movement &amp; Logistics'!$H$24:$H$31,0)),"N/A")</f>
        <v>N/A</v>
      </c>
      <c r="M142" s="2589" t="str">
        <f>IFERROR(VLOOKUP($I142,'Upper Cask Movement &amp; Logistics'!$H$4:$I$8,2,FALSE),"N/A")</f>
        <v>N/A</v>
      </c>
      <c r="N142" s="2588" t="str">
        <f t="shared" si="12"/>
        <v>N/A</v>
      </c>
      <c r="O142" s="2590" t="s">
        <v>1279</v>
      </c>
      <c r="P142" s="2588">
        <f>IF($D142="Logistics",VLOOKUP($O142,'Upper Cask Movement &amp; Logistics'!$C$4:$D$209,2,FALSE),"N/A")</f>
        <v>0.60000000000000009</v>
      </c>
      <c r="Q142" s="2591"/>
      <c r="R142" s="2588" t="str">
        <f>IFERROR(VLOOKUP($Q142,'Upper Cask Dependencies'!$C$3:$F$322,4,FALSE),"N/A")</f>
        <v>N/A</v>
      </c>
      <c r="S142" s="2592" t="str">
        <f t="shared" si="15"/>
        <v>N/A</v>
      </c>
    </row>
    <row r="143" spans="2:19" x14ac:dyDescent="0.35">
      <c r="B143" s="3926"/>
      <c r="C143" s="2657" t="s">
        <v>1262</v>
      </c>
      <c r="D143" s="2594" t="s">
        <v>3</v>
      </c>
      <c r="E143" s="2595">
        <f t="shared" si="11"/>
        <v>0.38</v>
      </c>
      <c r="F143" s="2595">
        <f t="shared" si="14"/>
        <v>28.134629629629629</v>
      </c>
      <c r="G143" s="2594"/>
      <c r="H143" s="2595" t="str">
        <f>IF($D143="operation",VLOOKUP($G143,'Generic Vertical Port Tasks'!$C$4:$D$197,2,FALSE),"N/A")</f>
        <v>N/A</v>
      </c>
      <c r="I143" s="2594"/>
      <c r="J143" s="2594"/>
      <c r="K143" s="2594"/>
      <c r="L143" s="2596" t="str">
        <f>IFERROR(INDEX('Upper Cask Movement &amp; Logistics'!$I$24:$P$31,MATCH($J143,'Upper Cask Movement &amp; Logistics'!$H$24:$H$31,0),MATCH($K143,'Upper Cask Movement &amp; Logistics'!$H$24:$H$31,0)),"N/A")</f>
        <v>N/A</v>
      </c>
      <c r="M143" s="2596" t="str">
        <f>IFERROR(VLOOKUP($I143,'Upper Cask Movement &amp; Logistics'!$H$4:$I$8,2,FALSE),"N/A")</f>
        <v>N/A</v>
      </c>
      <c r="N143" s="2595" t="str">
        <f t="shared" si="12"/>
        <v>N/A</v>
      </c>
      <c r="O143" s="2597" t="s">
        <v>1226</v>
      </c>
      <c r="P143" s="2595">
        <f>IF($D143="Logistics",VLOOKUP($O143,'Upper Cask Movement &amp; Logistics'!$C$4:$D$209,2,FALSE),"N/A")</f>
        <v>0.38</v>
      </c>
      <c r="Q143" s="2598"/>
      <c r="R143" s="2595" t="str">
        <f>IFERROR(VLOOKUP($Q143,'Upper Cask Dependencies'!$C$3:$F$322,4,FALSE),"N/A")</f>
        <v>N/A</v>
      </c>
      <c r="S143" s="2599" t="str">
        <f t="shared" si="15"/>
        <v>N/A</v>
      </c>
    </row>
    <row r="144" spans="2:19" x14ac:dyDescent="0.35">
      <c r="B144" s="3926"/>
      <c r="C144" s="2657" t="s">
        <v>141</v>
      </c>
      <c r="D144" s="2594" t="s">
        <v>251</v>
      </c>
      <c r="E144" s="2595">
        <f t="shared" si="11"/>
        <v>4.33</v>
      </c>
      <c r="F144" s="2595">
        <f t="shared" si="14"/>
        <v>32.464629629629627</v>
      </c>
      <c r="G144" s="2594" t="s">
        <v>256</v>
      </c>
      <c r="H144" s="2595">
        <f>IF($D144="operation",VLOOKUP($G144,'Generic Vertical Port Tasks'!$C$4:$D$197,2,FALSE),"N/A")</f>
        <v>4.33</v>
      </c>
      <c r="I144" s="2594"/>
      <c r="J144" s="2594"/>
      <c r="K144" s="2594"/>
      <c r="L144" s="2596" t="str">
        <f>IFERROR(INDEX('Upper Cask Movement &amp; Logistics'!$I$24:$P$31,MATCH($J144,'Upper Cask Movement &amp; Logistics'!$H$24:$H$31,0),MATCH($K144,'Upper Cask Movement &amp; Logistics'!$H$24:$H$31,0)),"N/A")</f>
        <v>N/A</v>
      </c>
      <c r="M144" s="2596" t="str">
        <f>IFERROR(VLOOKUP($I144,'Upper Cask Movement &amp; Logistics'!$H$4:$I$8,2,FALSE),"N/A")</f>
        <v>N/A</v>
      </c>
      <c r="N144" s="2595" t="str">
        <f t="shared" si="12"/>
        <v>N/A</v>
      </c>
      <c r="O144" s="2597"/>
      <c r="P144" s="2595" t="str">
        <f>IF($D144="Logistics",VLOOKUP($O144,'Upper Cask Movement &amp; Logistics'!$C$4:$D$209,2,FALSE),"N/A")</f>
        <v>N/A</v>
      </c>
      <c r="Q144" s="2598" t="s">
        <v>1280</v>
      </c>
      <c r="R144" s="2595">
        <f>IFERROR(VLOOKUP($Q144,'Upper Cask Dependencies'!$C$3:$F$322,4,FALSE),"N/A")</f>
        <v>5.1401851851851861</v>
      </c>
      <c r="S144" s="2599">
        <f t="shared" si="15"/>
        <v>22.994444444444444</v>
      </c>
    </row>
    <row r="145" spans="2:19" x14ac:dyDescent="0.35">
      <c r="B145" s="3926"/>
      <c r="C145" s="2656" t="s">
        <v>1281</v>
      </c>
      <c r="D145" s="2587" t="s">
        <v>3</v>
      </c>
      <c r="E145" s="2588">
        <f t="shared" si="11"/>
        <v>0.60000000000000009</v>
      </c>
      <c r="F145" s="2595">
        <f t="shared" si="14"/>
        <v>33.064629629629628</v>
      </c>
      <c r="G145" s="2587"/>
      <c r="H145" s="2595" t="str">
        <f>IF($D145="operation",VLOOKUP($G145,'Generic Vertical Port Tasks'!$C$4:$D$197,2,FALSE),"N/A")</f>
        <v>N/A</v>
      </c>
      <c r="I145" s="2594"/>
      <c r="J145" s="2594"/>
      <c r="K145" s="2594"/>
      <c r="L145" s="2596" t="str">
        <f>IFERROR(INDEX('Upper Cask Movement &amp; Logistics'!$I$24:$P$31,MATCH($J145,'Upper Cask Movement &amp; Logistics'!$H$24:$H$31,0),MATCH($K145,'Upper Cask Movement &amp; Logistics'!$H$24:$H$31,0)),"N/A")</f>
        <v>N/A</v>
      </c>
      <c r="M145" s="2596" t="str">
        <f>IFERROR(VLOOKUP($I145,'Upper Cask Movement &amp; Logistics'!$H$4:$I$8,2,FALSE),"N/A")</f>
        <v>N/A</v>
      </c>
      <c r="N145" s="2595" t="str">
        <f t="shared" si="12"/>
        <v>N/A</v>
      </c>
      <c r="O145" s="2590" t="s">
        <v>1279</v>
      </c>
      <c r="P145" s="2595">
        <f>IF($D145="Logistics",VLOOKUP($O145,'Upper Cask Movement &amp; Logistics'!$C$4:$D$209,2,FALSE),"N/A")</f>
        <v>0.60000000000000009</v>
      </c>
      <c r="Q145" s="2598"/>
      <c r="R145" s="2595" t="str">
        <f>IFERROR(VLOOKUP($Q145,'Upper Cask Dependencies'!$C$3:$F$322,4,FALSE),"N/A")</f>
        <v>N/A</v>
      </c>
      <c r="S145" s="2599" t="str">
        <f t="shared" si="15"/>
        <v>N/A</v>
      </c>
    </row>
    <row r="146" spans="2:19" x14ac:dyDescent="0.35">
      <c r="B146" s="3926"/>
      <c r="C146" s="2657" t="s">
        <v>1262</v>
      </c>
      <c r="D146" s="2594" t="s">
        <v>3</v>
      </c>
      <c r="E146" s="2595">
        <f t="shared" si="11"/>
        <v>0.38</v>
      </c>
      <c r="F146" s="2595">
        <f t="shared" si="14"/>
        <v>33.444629629629631</v>
      </c>
      <c r="G146" s="2594"/>
      <c r="H146" s="2595" t="str">
        <f>IF($D146="operation",VLOOKUP($G146,'Generic Vertical Port Tasks'!$C$4:$D$197,2,FALSE),"N/A")</f>
        <v>N/A</v>
      </c>
      <c r="I146" s="2594"/>
      <c r="J146" s="2594"/>
      <c r="K146" s="2594"/>
      <c r="L146" s="2596" t="str">
        <f>IFERROR(INDEX('Upper Cask Movement &amp; Logistics'!$I$24:$P$31,MATCH($J146,'Upper Cask Movement &amp; Logistics'!$H$24:$H$31,0),MATCH($K146,'Upper Cask Movement &amp; Logistics'!$H$24:$H$31,0)),"N/A")</f>
        <v>N/A</v>
      </c>
      <c r="M146" s="2596" t="str">
        <f>IFERROR(VLOOKUP($I146,'Upper Cask Movement &amp; Logistics'!$H$4:$I$8,2,FALSE),"N/A")</f>
        <v>N/A</v>
      </c>
      <c r="N146" s="2595" t="str">
        <f t="shared" si="12"/>
        <v>N/A</v>
      </c>
      <c r="O146" s="2597" t="s">
        <v>1226</v>
      </c>
      <c r="P146" s="2595">
        <f>IF($D146="Logistics",VLOOKUP($O146,'Upper Cask Movement &amp; Logistics'!$C$4:$D$209,2,FALSE),"N/A")</f>
        <v>0.38</v>
      </c>
      <c r="Q146" s="2598"/>
      <c r="R146" s="2595" t="str">
        <f>IFERROR(VLOOKUP($Q146,'Upper Cask Dependencies'!$C$3:$F$322,4,FALSE),"N/A")</f>
        <v>N/A</v>
      </c>
      <c r="S146" s="2599" t="str">
        <f t="shared" si="15"/>
        <v>N/A</v>
      </c>
    </row>
    <row r="147" spans="2:19" x14ac:dyDescent="0.35">
      <c r="B147" s="3926"/>
      <c r="C147" s="2657" t="s">
        <v>139</v>
      </c>
      <c r="D147" s="2594" t="s">
        <v>251</v>
      </c>
      <c r="E147" s="2595">
        <f t="shared" si="11"/>
        <v>4.33</v>
      </c>
      <c r="F147" s="2595">
        <f t="shared" si="14"/>
        <v>37.774629629629629</v>
      </c>
      <c r="G147" s="2594" t="s">
        <v>256</v>
      </c>
      <c r="H147" s="2595">
        <f>IF($D147="operation",VLOOKUP($G147,'Generic Vertical Port Tasks'!$C$4:$D$197,2,FALSE),"N/A")</f>
        <v>4.33</v>
      </c>
      <c r="I147" s="2594"/>
      <c r="J147" s="2594"/>
      <c r="K147" s="2594"/>
      <c r="L147" s="2596" t="str">
        <f>IFERROR(INDEX('Upper Cask Movement &amp; Logistics'!$I$24:$P$31,MATCH($J147,'Upper Cask Movement &amp; Logistics'!$H$24:$H$31,0),MATCH($K147,'Upper Cask Movement &amp; Logistics'!$H$24:$H$31,0)),"N/A")</f>
        <v>N/A</v>
      </c>
      <c r="M147" s="2596" t="str">
        <f>IFERROR(VLOOKUP($I147,'Upper Cask Movement &amp; Logistics'!$H$4:$I$8,2,FALSE),"N/A")</f>
        <v>N/A</v>
      </c>
      <c r="N147" s="2595" t="str">
        <f t="shared" si="12"/>
        <v>N/A</v>
      </c>
      <c r="O147" s="2597"/>
      <c r="P147" s="2595" t="str">
        <f>IF($D147="Logistics",VLOOKUP($O147,'Upper Cask Movement &amp; Logistics'!$C$4:$D$209,2,FALSE),"N/A")</f>
        <v>N/A</v>
      </c>
      <c r="Q147" s="2598" t="s">
        <v>1282</v>
      </c>
      <c r="R147" s="2595">
        <f>IFERROR(VLOOKUP($Q147,'Upper Cask Dependencies'!$C$3:$F$322,4,FALSE),"N/A")</f>
        <v>32.894814814814815</v>
      </c>
      <c r="S147" s="2599">
        <f t="shared" si="15"/>
        <v>0.54981481481481609</v>
      </c>
    </row>
    <row r="148" spans="2:19" x14ac:dyDescent="0.35">
      <c r="B148" s="3926"/>
      <c r="C148" s="2656" t="s">
        <v>1283</v>
      </c>
      <c r="D148" s="2587" t="s">
        <v>3</v>
      </c>
      <c r="E148" s="2588">
        <f t="shared" si="11"/>
        <v>0.60000000000000009</v>
      </c>
      <c r="F148" s="2595">
        <f t="shared" si="14"/>
        <v>38.374629629629631</v>
      </c>
      <c r="G148" s="2587"/>
      <c r="H148" s="2595" t="str">
        <f>IF($D148="operation",VLOOKUP($G148,'Generic Vertical Port Tasks'!$C$4:$D$197,2,FALSE),"N/A")</f>
        <v>N/A</v>
      </c>
      <c r="I148" s="2594"/>
      <c r="J148" s="2594"/>
      <c r="K148" s="2594"/>
      <c r="L148" s="2596" t="str">
        <f>IFERROR(INDEX('Upper Cask Movement &amp; Logistics'!$I$24:$P$31,MATCH($J148,'Upper Cask Movement &amp; Logistics'!$H$24:$H$31,0),MATCH($K148,'Upper Cask Movement &amp; Logistics'!$H$24:$H$31,0)),"N/A")</f>
        <v>N/A</v>
      </c>
      <c r="M148" s="2596" t="str">
        <f>IFERROR(VLOOKUP($I148,'Upper Cask Movement &amp; Logistics'!$H$4:$I$8,2,FALSE),"N/A")</f>
        <v>N/A</v>
      </c>
      <c r="N148" s="2595" t="str">
        <f t="shared" si="12"/>
        <v>N/A</v>
      </c>
      <c r="O148" s="2590" t="s">
        <v>1279</v>
      </c>
      <c r="P148" s="2595">
        <f>IF($D148="Logistics",VLOOKUP($O148,'Upper Cask Movement &amp; Logistics'!$C$4:$D$209,2,FALSE),"N/A")</f>
        <v>0.60000000000000009</v>
      </c>
      <c r="Q148" s="2598"/>
      <c r="R148" s="2595" t="str">
        <f>IFERROR(VLOOKUP($Q148,'Upper Cask Dependencies'!$C$3:$F$322,4,FALSE),"N/A")</f>
        <v>N/A</v>
      </c>
      <c r="S148" s="2599" t="str">
        <f t="shared" si="15"/>
        <v>N/A</v>
      </c>
    </row>
    <row r="149" spans="2:19" x14ac:dyDescent="0.35">
      <c r="B149" s="3926"/>
      <c r="C149" s="2657" t="s">
        <v>1262</v>
      </c>
      <c r="D149" s="2594" t="s">
        <v>3</v>
      </c>
      <c r="E149" s="2595">
        <f t="shared" si="11"/>
        <v>0.38</v>
      </c>
      <c r="F149" s="2595">
        <f t="shared" si="14"/>
        <v>38.754629629629633</v>
      </c>
      <c r="G149" s="2594"/>
      <c r="H149" s="2595" t="str">
        <f>IF($D149="operation",VLOOKUP($G149,'Generic Vertical Port Tasks'!$C$4:$D$197,2,FALSE),"N/A")</f>
        <v>N/A</v>
      </c>
      <c r="I149" s="2594"/>
      <c r="J149" s="2594"/>
      <c r="K149" s="2594"/>
      <c r="L149" s="2596" t="str">
        <f>IFERROR(INDEX('Upper Cask Movement &amp; Logistics'!$I$24:$P$31,MATCH($J149,'Upper Cask Movement &amp; Logistics'!$H$24:$H$31,0),MATCH($K149,'Upper Cask Movement &amp; Logistics'!$H$24:$H$31,0)),"N/A")</f>
        <v>N/A</v>
      </c>
      <c r="M149" s="2596" t="str">
        <f>IFERROR(VLOOKUP($I149,'Upper Cask Movement &amp; Logistics'!$H$4:$I$8,2,FALSE),"N/A")</f>
        <v>N/A</v>
      </c>
      <c r="N149" s="2595" t="str">
        <f t="shared" si="12"/>
        <v>N/A</v>
      </c>
      <c r="O149" s="2597" t="s">
        <v>1226</v>
      </c>
      <c r="P149" s="2595">
        <f>IF($D149="Logistics",VLOOKUP($O149,'Upper Cask Movement &amp; Logistics'!$C$4:$D$209,2,FALSE),"N/A")</f>
        <v>0.38</v>
      </c>
      <c r="Q149" s="2598"/>
      <c r="R149" s="2595" t="str">
        <f>IFERROR(VLOOKUP($Q149,'Upper Cask Dependencies'!$C$3:$F$322,4,FALSE),"N/A")</f>
        <v>N/A</v>
      </c>
      <c r="S149" s="2599" t="str">
        <f t="shared" si="13"/>
        <v>N/A</v>
      </c>
    </row>
    <row r="150" spans="2:19" x14ac:dyDescent="0.35">
      <c r="B150" s="3926"/>
      <c r="C150" s="2657" t="s">
        <v>137</v>
      </c>
      <c r="D150" s="2594" t="s">
        <v>251</v>
      </c>
      <c r="E150" s="2595">
        <f t="shared" si="11"/>
        <v>4.33</v>
      </c>
      <c r="F150" s="2595">
        <f t="shared" si="14"/>
        <v>43.084629629629632</v>
      </c>
      <c r="G150" s="2594" t="s">
        <v>256</v>
      </c>
      <c r="H150" s="2595">
        <f>IF($D150="operation",VLOOKUP($G150,'Generic Vertical Port Tasks'!$C$4:$D$197,2,FALSE),"N/A")</f>
        <v>4.33</v>
      </c>
      <c r="I150" s="2594"/>
      <c r="J150" s="2594"/>
      <c r="K150" s="2594"/>
      <c r="L150" s="2596" t="str">
        <f>IFERROR(INDEX('Upper Cask Movement &amp; Logistics'!$I$24:$P$31,MATCH($J150,'Upper Cask Movement &amp; Logistics'!$H$24:$H$31,0),MATCH($K150,'Upper Cask Movement &amp; Logistics'!$H$24:$H$31,0)),"N/A")</f>
        <v>N/A</v>
      </c>
      <c r="M150" s="2596" t="str">
        <f>IFERROR(VLOOKUP($I150,'Upper Cask Movement &amp; Logistics'!$H$4:$I$8,2,FALSE),"N/A")</f>
        <v>N/A</v>
      </c>
      <c r="N150" s="2595" t="str">
        <f>IF(D150="Movement",IFERROR((L150/M150)/(60*60),"Error"),"N/A")</f>
        <v>N/A</v>
      </c>
      <c r="O150" s="2597"/>
      <c r="P150" s="2595" t="str">
        <f>IF($D150="Logistics",VLOOKUP($O150,'Upper Cask Movement &amp; Logistics'!$C$4:$D$209,2,FALSE),"N/A")</f>
        <v>N/A</v>
      </c>
      <c r="Q150" s="2598" t="s">
        <v>1284</v>
      </c>
      <c r="R150" s="2595">
        <f>IFERROR(VLOOKUP($Q150,'Upper Cask Dependencies'!$C$3:$F$322,4,FALSE),"N/A")</f>
        <v>37.604814814814809</v>
      </c>
      <c r="S150" s="2599">
        <f t="shared" si="13"/>
        <v>1.1498148148148246</v>
      </c>
    </row>
    <row r="151" spans="2:19" x14ac:dyDescent="0.35">
      <c r="B151" s="3926"/>
      <c r="C151" s="2656" t="s">
        <v>1285</v>
      </c>
      <c r="D151" s="2587" t="s">
        <v>3</v>
      </c>
      <c r="E151" s="2588">
        <f t="shared" si="11"/>
        <v>0.60000000000000009</v>
      </c>
      <c r="F151" s="2595">
        <f t="shared" si="14"/>
        <v>43.684629629629633</v>
      </c>
      <c r="G151" s="2587"/>
      <c r="H151" s="2595" t="str">
        <f>IF($D151="operation",VLOOKUP($G151,'Generic Vertical Port Tasks'!$C$4:$D$197,2,FALSE),"N/A")</f>
        <v>N/A</v>
      </c>
      <c r="I151" s="2594"/>
      <c r="J151" s="2594"/>
      <c r="K151" s="2594"/>
      <c r="L151" s="2596" t="str">
        <f>IFERROR(INDEX('Upper Cask Movement &amp; Logistics'!$I$24:$P$31,MATCH($J151,'Upper Cask Movement &amp; Logistics'!$H$24:$H$31,0),MATCH($K151,'Upper Cask Movement &amp; Logistics'!$H$24:$H$31,0)),"N/A")</f>
        <v>N/A</v>
      </c>
      <c r="M151" s="2596" t="str">
        <f>IFERROR(VLOOKUP($I151,'Upper Cask Movement &amp; Logistics'!$H$4:$I$8,2,FALSE),"N/A")</f>
        <v>N/A</v>
      </c>
      <c r="N151" s="2595" t="str">
        <f>IF(D151="Movement",IFERROR((L151/M151)/(60*60),"Error"),"N/A")</f>
        <v>N/A</v>
      </c>
      <c r="O151" s="2590" t="s">
        <v>1279</v>
      </c>
      <c r="P151" s="2595">
        <f>IF($D151="Logistics",VLOOKUP($O151,'Upper Cask Movement &amp; Logistics'!$C$4:$D$209,2,FALSE),"N/A")</f>
        <v>0.60000000000000009</v>
      </c>
      <c r="Q151" s="2598"/>
      <c r="R151" s="2595" t="str">
        <f>IFERROR(VLOOKUP($Q151,'Upper Cask Dependencies'!$C$3:$F$322,4,FALSE),"N/A")</f>
        <v>N/A</v>
      </c>
      <c r="S151" s="2599" t="str">
        <f t="shared" si="13"/>
        <v>N/A</v>
      </c>
    </row>
    <row r="152" spans="2:19" x14ac:dyDescent="0.35">
      <c r="B152" s="3926"/>
      <c r="C152" s="2657" t="s">
        <v>1262</v>
      </c>
      <c r="D152" s="2594" t="s">
        <v>3</v>
      </c>
      <c r="E152" s="2595">
        <f t="shared" si="11"/>
        <v>0.38</v>
      </c>
      <c r="F152" s="2595">
        <f t="shared" si="14"/>
        <v>44.064629629629636</v>
      </c>
      <c r="G152" s="2594"/>
      <c r="H152" s="2595" t="str">
        <f>IF($D152="operation",VLOOKUP($G152,'Generic Vertical Port Tasks'!$C$4:$D$197,2,FALSE),"N/A")</f>
        <v>N/A</v>
      </c>
      <c r="I152" s="2594"/>
      <c r="J152" s="2594"/>
      <c r="K152" s="2594"/>
      <c r="L152" s="2596" t="str">
        <f>IFERROR(INDEX('Upper Cask Movement &amp; Logistics'!$I$24:$P$31,MATCH($J152,'Upper Cask Movement &amp; Logistics'!$H$24:$H$31,0),MATCH($K152,'Upper Cask Movement &amp; Logistics'!$H$24:$H$31,0)),"N/A")</f>
        <v>N/A</v>
      </c>
      <c r="M152" s="2596" t="str">
        <f>IFERROR(VLOOKUP($I152,'Upper Cask Movement &amp; Logistics'!$H$4:$I$8,2,FALSE),"N/A")</f>
        <v>N/A</v>
      </c>
      <c r="N152" s="2595" t="str">
        <f>IF(D152="Movement",IFERROR((L152/M152)/(60*60),"Error"),"N/A")</f>
        <v>N/A</v>
      </c>
      <c r="O152" s="2597" t="s">
        <v>1226</v>
      </c>
      <c r="P152" s="2595">
        <f>IF($D152="Logistics",VLOOKUP($O152,'Upper Cask Movement &amp; Logistics'!$C$4:$D$209,2,FALSE),"N/A")</f>
        <v>0.38</v>
      </c>
      <c r="Q152" s="2598"/>
      <c r="R152" s="2595" t="str">
        <f>IFERROR(VLOOKUP($Q152,'Upper Cask Dependencies'!$C$3:$F$322,4,FALSE),"N/A")</f>
        <v>N/A</v>
      </c>
      <c r="S152" s="2599" t="str">
        <f t="shared" si="13"/>
        <v>N/A</v>
      </c>
    </row>
    <row r="153" spans="2:19" x14ac:dyDescent="0.35">
      <c r="B153" s="3926"/>
      <c r="C153" s="2657" t="s">
        <v>133</v>
      </c>
      <c r="D153" s="2594" t="s">
        <v>251</v>
      </c>
      <c r="E153" s="2595">
        <f t="shared" si="11"/>
        <v>4.33</v>
      </c>
      <c r="F153" s="2595">
        <f t="shared" si="14"/>
        <v>48.394629629629634</v>
      </c>
      <c r="G153" s="2594" t="s">
        <v>256</v>
      </c>
      <c r="H153" s="2595">
        <f>IF($D153="operation",VLOOKUP($G153,'Generic Vertical Port Tasks'!$C$4:$D$197,2,FALSE),"N/A")</f>
        <v>4.33</v>
      </c>
      <c r="I153" s="2594"/>
      <c r="J153" s="2594"/>
      <c r="K153" s="2594"/>
      <c r="L153" s="2596" t="str">
        <f>IFERROR(INDEX('Upper Cask Movement &amp; Logistics'!$I$24:$P$31,MATCH($J153,'Upper Cask Movement &amp; Logistics'!$H$24:$H$31,0),MATCH($K153,'Upper Cask Movement &amp; Logistics'!$H$24:$H$31,0)),"N/A")</f>
        <v>N/A</v>
      </c>
      <c r="M153" s="2596" t="str">
        <f>IFERROR(VLOOKUP($I153,'Upper Cask Movement &amp; Logistics'!$H$4:$I$8,2,FALSE),"N/A")</f>
        <v>N/A</v>
      </c>
      <c r="N153" s="2595" t="str">
        <f>IF(D153="Movement",IFERROR((L153/M153)/(60*60),"Error"),"N/A")</f>
        <v>N/A</v>
      </c>
      <c r="O153" s="2597"/>
      <c r="P153" s="2595" t="str">
        <f>IF($D153="Logistics",VLOOKUP($O153,'Upper Cask Movement &amp; Logistics'!$C$4:$D$209,2,FALSE),"N/A")</f>
        <v>N/A</v>
      </c>
      <c r="Q153" s="2598" t="s">
        <v>1286</v>
      </c>
      <c r="R153" s="2595">
        <f>IFERROR(VLOOKUP($Q153,'Upper Cask Dependencies'!$C$3:$F$322,4,FALSE),"N/A")</f>
        <v>42.914814814814811</v>
      </c>
      <c r="S153" s="2599">
        <f t="shared" si="13"/>
        <v>1.1498148148148246</v>
      </c>
    </row>
    <row r="154" spans="2:19" x14ac:dyDescent="0.35">
      <c r="B154" s="3926"/>
      <c r="C154" s="2656" t="s">
        <v>1287</v>
      </c>
      <c r="D154" s="2587" t="s">
        <v>3</v>
      </c>
      <c r="E154" s="2588">
        <f t="shared" si="11"/>
        <v>0.60000000000000009</v>
      </c>
      <c r="F154" s="2595">
        <f t="shared" si="14"/>
        <v>48.994629629629635</v>
      </c>
      <c r="G154" s="2587"/>
      <c r="H154" s="2595" t="str">
        <f>IF($D154="operation",VLOOKUP($G154,'Generic Vertical Port Tasks'!$C$4:$D$197,2,FALSE),"N/A")</f>
        <v>N/A</v>
      </c>
      <c r="I154" s="2594"/>
      <c r="J154" s="2594"/>
      <c r="K154" s="2594"/>
      <c r="L154" s="2596" t="str">
        <f>IFERROR(INDEX('Upper Cask Movement &amp; Logistics'!$I$24:$P$31,MATCH($J154,'Upper Cask Movement &amp; Logistics'!$H$24:$H$31,0),MATCH($K154,'Upper Cask Movement &amp; Logistics'!$H$24:$H$31,0)),"N/A")</f>
        <v>N/A</v>
      </c>
      <c r="M154" s="2596" t="str">
        <f>IFERROR(VLOOKUP($I154,'Upper Cask Movement &amp; Logistics'!$H$4:$I$8,2,FALSE),"N/A")</f>
        <v>N/A</v>
      </c>
      <c r="N154" s="2595" t="str">
        <f>IF(D154="Movement",IFERROR((L154/M154)/(60*60),"Error"),"N/A")</f>
        <v>N/A</v>
      </c>
      <c r="O154" s="2590" t="s">
        <v>1279</v>
      </c>
      <c r="P154" s="2595">
        <f>IF($D154="Logistics",VLOOKUP($O154,'Upper Cask Movement &amp; Logistics'!$C$4:$D$209,2,FALSE),"N/A")</f>
        <v>0.60000000000000009</v>
      </c>
      <c r="Q154" s="2598"/>
      <c r="R154" s="2595" t="str">
        <f>IFERROR(VLOOKUP($Q154,'Upper Cask Dependencies'!$C$3:$F$322,4,FALSE),"N/A")</f>
        <v>N/A</v>
      </c>
      <c r="S154" s="2599" t="str">
        <f t="shared" si="13"/>
        <v>N/A</v>
      </c>
    </row>
    <row r="155" spans="2:19" x14ac:dyDescent="0.35">
      <c r="B155" s="3926"/>
      <c r="C155" s="2657" t="s">
        <v>1262</v>
      </c>
      <c r="D155" s="2594" t="s">
        <v>3</v>
      </c>
      <c r="E155" s="2595">
        <f t="shared" si="11"/>
        <v>0.38</v>
      </c>
      <c r="F155" s="2595">
        <f t="shared" si="14"/>
        <v>49.374629629629638</v>
      </c>
      <c r="G155" s="2594"/>
      <c r="H155" s="2595" t="str">
        <f>IF($D155="operation",VLOOKUP($G155,'Generic Vertical Port Tasks'!$C$4:$D$197,2,FALSE),"N/A")</f>
        <v>N/A</v>
      </c>
      <c r="I155" s="2594"/>
      <c r="J155" s="2594"/>
      <c r="K155" s="2594"/>
      <c r="L155" s="2596" t="str">
        <f>IFERROR(INDEX('Upper Cask Movement &amp; Logistics'!$I$24:$P$31,MATCH($J155,'Upper Cask Movement &amp; Logistics'!$H$24:$H$31,0),MATCH($K155,'Upper Cask Movement &amp; Logistics'!$H$24:$H$31,0)),"N/A")</f>
        <v>N/A</v>
      </c>
      <c r="M155" s="2596" t="str">
        <f>IFERROR(VLOOKUP($I155,'Upper Cask Movement &amp; Logistics'!$H$4:$I$8,2,FALSE),"N/A")</f>
        <v>N/A</v>
      </c>
      <c r="N155" s="2595" t="str">
        <f t="shared" si="12"/>
        <v>N/A</v>
      </c>
      <c r="O155" s="2597" t="s">
        <v>1226</v>
      </c>
      <c r="P155" s="2595">
        <f>IF($D155="Logistics",VLOOKUP($O155,'Upper Cask Movement &amp; Logistics'!$C$4:$D$209,2,FALSE),"N/A")</f>
        <v>0.38</v>
      </c>
      <c r="Q155" s="2598"/>
      <c r="R155" s="2595" t="str">
        <f>IFERROR(VLOOKUP($Q155,'Upper Cask Dependencies'!$C$3:$F$322,4,FALSE),"N/A")</f>
        <v>N/A</v>
      </c>
      <c r="S155" s="2599" t="str">
        <f t="shared" si="13"/>
        <v>N/A</v>
      </c>
    </row>
    <row r="156" spans="2:19" x14ac:dyDescent="0.35">
      <c r="B156" s="3926"/>
      <c r="C156" s="2610" t="s">
        <v>134</v>
      </c>
      <c r="D156" s="2610" t="s">
        <v>251</v>
      </c>
      <c r="E156" s="2611">
        <f t="shared" si="11"/>
        <v>4.33</v>
      </c>
      <c r="F156" s="2611">
        <f t="shared" si="14"/>
        <v>53.704629629629636</v>
      </c>
      <c r="G156" s="2610" t="s">
        <v>256</v>
      </c>
      <c r="H156" s="2611">
        <f>IF($D156="operation",VLOOKUP($G156,'Generic Vertical Port Tasks'!$C$4:$D$197,2,FALSE),"N/A")</f>
        <v>4.33</v>
      </c>
      <c r="I156" s="2610"/>
      <c r="J156" s="2610"/>
      <c r="K156" s="2610"/>
      <c r="L156" s="2596" t="str">
        <f>IFERROR(INDEX('Upper Cask Movement &amp; Logistics'!$I$24:$P$31,MATCH($J156,'Upper Cask Movement &amp; Logistics'!$H$24:$H$31,0),MATCH($K156,'Upper Cask Movement &amp; Logistics'!$H$24:$H$31,0)),"N/A")</f>
        <v>N/A</v>
      </c>
      <c r="M156" s="2612" t="str">
        <f>IFERROR(VLOOKUP($I156,'Upper Cask Movement &amp; Logistics'!$H$4:$I$8,2,FALSE),"N/A")</f>
        <v>N/A</v>
      </c>
      <c r="N156" s="2611" t="str">
        <f t="shared" si="12"/>
        <v>N/A</v>
      </c>
      <c r="O156" s="2615"/>
      <c r="P156" s="2611" t="str">
        <f>IF($D156="Logistics",VLOOKUP($O156,'Upper Cask Movement &amp; Logistics'!$C$4:$D$209,2,FALSE),"N/A")</f>
        <v>N/A</v>
      </c>
      <c r="Q156" s="2613" t="s">
        <v>1288</v>
      </c>
      <c r="R156" s="2611">
        <f>IFERROR(VLOOKUP($Q156,'Upper Cask Dependencies'!$C$3:$F$322,4,FALSE),"N/A")</f>
        <v>48.224814814814813</v>
      </c>
      <c r="S156" s="2599">
        <f t="shared" si="13"/>
        <v>1.1498148148148246</v>
      </c>
    </row>
    <row r="157" spans="2:19" x14ac:dyDescent="0.35">
      <c r="B157" s="3926"/>
      <c r="C157" s="2610" t="s">
        <v>1289</v>
      </c>
      <c r="D157" s="2610" t="s">
        <v>3</v>
      </c>
      <c r="E157" s="2611">
        <f t="shared" si="11"/>
        <v>0.38</v>
      </c>
      <c r="F157" s="2611">
        <f t="shared" si="14"/>
        <v>54.084629629629639</v>
      </c>
      <c r="G157" s="2610" t="s">
        <v>256</v>
      </c>
      <c r="H157" s="2611" t="str">
        <f>IF($D157="operation",VLOOKUP($G157,'Generic Vertical Port Tasks'!$C$4:$D$197,2,FALSE),"N/A")</f>
        <v>N/A</v>
      </c>
      <c r="I157" s="2610"/>
      <c r="J157" s="2610"/>
      <c r="K157" s="2610"/>
      <c r="L157" s="2596" t="str">
        <f>IFERROR(INDEX('Upper Cask Movement &amp; Logistics'!$I$24:$P$31,MATCH($J157,'Upper Cask Movement &amp; Logistics'!$H$24:$H$31,0),MATCH($K157,'Upper Cask Movement &amp; Logistics'!$H$24:$H$31,0)),"N/A")</f>
        <v>N/A</v>
      </c>
      <c r="M157" s="2612" t="str">
        <f>IFERROR(VLOOKUP($I157,'Upper Cask Movement &amp; Logistics'!$H$4:$I$8,2,FALSE),"N/A")</f>
        <v>N/A</v>
      </c>
      <c r="N157" s="2611" t="str">
        <f t="shared" si="12"/>
        <v>N/A</v>
      </c>
      <c r="O157" s="2615" t="s">
        <v>1230</v>
      </c>
      <c r="P157" s="2611">
        <f>IF($D157="Logistics",VLOOKUP($O157,'Upper Cask Movement &amp; Logistics'!$C$4:$D$209,2,FALSE),"N/A")</f>
        <v>0.38</v>
      </c>
      <c r="Q157" s="2613"/>
      <c r="R157" s="2611" t="str">
        <f>IFERROR(VLOOKUP($Q157,'Upper Cask Dependencies'!$C$3:$F$322,4,FALSE),"N/A")</f>
        <v>N/A</v>
      </c>
      <c r="S157" s="2599" t="str">
        <f t="shared" si="13"/>
        <v>N/A</v>
      </c>
    </row>
    <row r="158" spans="2:19" ht="13.3" thickBot="1" x14ac:dyDescent="0.4">
      <c r="B158" s="3928"/>
      <c r="C158" s="2658" t="s">
        <v>1290</v>
      </c>
      <c r="D158" s="2658" t="s">
        <v>3</v>
      </c>
      <c r="E158" s="2659">
        <f t="shared" si="11"/>
        <v>2.5400000000000005</v>
      </c>
      <c r="F158" s="2659">
        <f t="shared" si="14"/>
        <v>56.624629629629638</v>
      </c>
      <c r="G158" s="2658" t="s">
        <v>256</v>
      </c>
      <c r="H158" s="2659" t="str">
        <f>IF($D158="operation",VLOOKUP($G158,'Generic Vertical Port Tasks'!$C$4:$D$197,2,FALSE),"N/A")</f>
        <v>N/A</v>
      </c>
      <c r="I158" s="2658"/>
      <c r="J158" s="2658"/>
      <c r="K158" s="2658"/>
      <c r="L158" s="2660" t="str">
        <f>IFERROR(INDEX('Upper Cask Movement &amp; Logistics'!$I$24:$P$31,MATCH($J158,'Upper Cask Movement &amp; Logistics'!$H$24:$H$31,0),MATCH($K158,'Upper Cask Movement &amp; Logistics'!$H$24:$H$31,0)),"N/A")</f>
        <v>N/A</v>
      </c>
      <c r="M158" s="2660" t="str">
        <f>IFERROR(VLOOKUP($I158,'Upper Cask Movement &amp; Logistics'!$H$4:$I$8,2,FALSE),"N/A")</f>
        <v>N/A</v>
      </c>
      <c r="N158" s="2659" t="str">
        <f t="shared" si="12"/>
        <v>N/A</v>
      </c>
      <c r="O158" s="2661" t="s">
        <v>1291</v>
      </c>
      <c r="P158" s="2659">
        <f>IF($D158="Logistics",VLOOKUP($O158,'Upper Cask Movement &amp; Logistics'!$C$4:$D$209,2,FALSE),"N/A")</f>
        <v>2.5400000000000005</v>
      </c>
      <c r="Q158" s="2662"/>
      <c r="R158" s="2659" t="str">
        <f>IFERROR(VLOOKUP($Q158,'Upper Cask Dependencies'!$C$3:$F$322,4,FALSE),"N/A")</f>
        <v>N/A</v>
      </c>
      <c r="S158" s="2663" t="str">
        <f t="shared" si="13"/>
        <v>N/A</v>
      </c>
    </row>
    <row r="159" spans="2:19" x14ac:dyDescent="0.35">
      <c r="B159" s="3929" t="s">
        <v>117</v>
      </c>
      <c r="C159" s="2664" t="s">
        <v>1292</v>
      </c>
      <c r="D159" s="2664" t="s">
        <v>3</v>
      </c>
      <c r="E159" s="2636">
        <f t="shared" si="11"/>
        <v>1.6400000000000001</v>
      </c>
      <c r="F159" s="2636">
        <f t="shared" si="14"/>
        <v>58.264629629629638</v>
      </c>
      <c r="G159" s="2664"/>
      <c r="H159" s="2636" t="str">
        <f>IF($D159="operation",VLOOKUP($G159,'Generic Vertical Port Tasks'!$C$4:$D$197,2,FALSE),"N/A")</f>
        <v>N/A</v>
      </c>
      <c r="I159" s="2664"/>
      <c r="J159" s="2664"/>
      <c r="K159" s="2664"/>
      <c r="L159" s="2665" t="str">
        <f>IFERROR(INDEX('Upper Cask Movement &amp; Logistics'!$I$24:$P$31,MATCH($J159,'Upper Cask Movement &amp; Logistics'!$H$24:$H$31,0),MATCH($K159,'Upper Cask Movement &amp; Logistics'!$H$24:$H$31,0)),"N/A")</f>
        <v>N/A</v>
      </c>
      <c r="M159" s="2665" t="str">
        <f>IFERROR(VLOOKUP($I159,'Upper Cask Movement &amp; Logistics'!$H$4:$I$8,2,FALSE),"N/A")</f>
        <v>N/A</v>
      </c>
      <c r="N159" s="2636" t="str">
        <f t="shared" si="12"/>
        <v>N/A</v>
      </c>
      <c r="O159" s="2666" t="s">
        <v>1224</v>
      </c>
      <c r="P159" s="2636">
        <f>IF($D159="Logistics",VLOOKUP($O159,'Upper Cask Movement &amp; Logistics'!$C$4:$D$209,2,FALSE),"N/A")</f>
        <v>1.6400000000000001</v>
      </c>
      <c r="Q159" s="2667"/>
      <c r="R159" s="2636" t="str">
        <f>IFERROR(VLOOKUP($Q159,'Upper Cask Dependencies'!$C$3:$F$322,4,FALSE),"N/A")</f>
        <v>N/A</v>
      </c>
      <c r="S159" s="2668" t="str">
        <f t="shared" si="13"/>
        <v>N/A</v>
      </c>
    </row>
    <row r="160" spans="2:19" x14ac:dyDescent="0.35">
      <c r="B160" s="3929"/>
      <c r="C160" s="2576" t="s">
        <v>1293</v>
      </c>
      <c r="D160" s="2576" t="s">
        <v>3</v>
      </c>
      <c r="E160" s="2569">
        <f t="shared" si="11"/>
        <v>0.60000000000000009</v>
      </c>
      <c r="F160" s="2569">
        <f t="shared" si="14"/>
        <v>58.86462962962964</v>
      </c>
      <c r="G160" s="2576"/>
      <c r="H160" s="2569" t="str">
        <f>IF($D160="operation",VLOOKUP($G160,'Generic Vertical Port Tasks'!$C$4:$D$197,2,FALSE),"N/A")</f>
        <v>N/A</v>
      </c>
      <c r="I160" s="2576"/>
      <c r="J160" s="2576"/>
      <c r="K160" s="2576"/>
      <c r="L160" s="2571" t="str">
        <f>IFERROR(INDEX('Upper Cask Movement &amp; Logistics'!$I$24:$P$31,MATCH($J160,'Upper Cask Movement &amp; Logistics'!$H$24:$H$31,0),MATCH($K160,'Upper Cask Movement &amp; Logistics'!$H$24:$H$31,0)),"N/A")</f>
        <v>N/A</v>
      </c>
      <c r="M160" s="2571" t="str">
        <f>IFERROR(VLOOKUP($I160,'Upper Cask Movement &amp; Logistics'!$H$4:$I$8,2,FALSE),"N/A")</f>
        <v>N/A</v>
      </c>
      <c r="N160" s="2569" t="str">
        <f t="shared" si="12"/>
        <v>N/A</v>
      </c>
      <c r="O160" s="2666" t="s">
        <v>1279</v>
      </c>
      <c r="P160" s="2569">
        <f>IF($D160="Logistics",VLOOKUP($O160,'Upper Cask Movement &amp; Logistics'!$C$4:$D$209,2,FALSE),"N/A")</f>
        <v>0.60000000000000009</v>
      </c>
      <c r="Q160" s="2578"/>
      <c r="R160" s="2569" t="str">
        <f>IFERROR(VLOOKUP($Q160,'Upper Cask Dependencies'!$C$3:$F$322,4,FALSE),"N/A")</f>
        <v>N/A</v>
      </c>
      <c r="S160" s="2669" t="str">
        <f t="shared" si="13"/>
        <v>N/A</v>
      </c>
    </row>
    <row r="161" spans="2:19" x14ac:dyDescent="0.35">
      <c r="B161" s="3929"/>
      <c r="C161" s="2576" t="s">
        <v>1294</v>
      </c>
      <c r="D161" s="2576" t="s">
        <v>3</v>
      </c>
      <c r="E161" s="2569">
        <f t="shared" si="11"/>
        <v>0.60000000000000009</v>
      </c>
      <c r="F161" s="2569">
        <f>IF(S161&lt;0,E161+F160+(-S161),E161+F160)</f>
        <v>59.464629629629641</v>
      </c>
      <c r="G161" s="2576"/>
      <c r="H161" s="2569" t="str">
        <f>IF($D161="operation",VLOOKUP($G161,'Generic Vertical Port Tasks'!$C$4:$D$197,2,FALSE),"N/A")</f>
        <v>N/A</v>
      </c>
      <c r="I161" s="2576"/>
      <c r="J161" s="2576"/>
      <c r="K161" s="2576"/>
      <c r="L161" s="2571" t="str">
        <f>IFERROR(INDEX('Upper Cask Movement &amp; Logistics'!$I$24:$P$31,MATCH($J161,'Upper Cask Movement &amp; Logistics'!$H$24:$H$31,0),MATCH($K161,'Upper Cask Movement &amp; Logistics'!$H$24:$H$31,0)),"N/A")</f>
        <v>N/A</v>
      </c>
      <c r="M161" s="2571" t="str">
        <f>IFERROR(VLOOKUP($I161,'Upper Cask Movement &amp; Logistics'!$H$4:$I$8,2,FALSE),"N/A")</f>
        <v>N/A</v>
      </c>
      <c r="N161" s="2569" t="str">
        <f t="shared" si="12"/>
        <v>N/A</v>
      </c>
      <c r="O161" s="2666" t="s">
        <v>1279</v>
      </c>
      <c r="P161" s="2569">
        <f>IF($D161="Logistics",VLOOKUP($O161,'Upper Cask Movement &amp; Logistics'!$C$4:$D$209,2,FALSE),"N/A")</f>
        <v>0.60000000000000009</v>
      </c>
      <c r="Q161" s="2578" t="s">
        <v>1295</v>
      </c>
      <c r="R161" s="2569">
        <f>IFERROR(VLOOKUP($Q161,'Upper Cask Dependencies'!$C$3:$F$322,4,FALSE),"N/A")</f>
        <v>33.953888888888883</v>
      </c>
      <c r="S161" s="2669">
        <f>IFERROR(F160-R161,"N/A")</f>
        <v>24.910740740740756</v>
      </c>
    </row>
    <row r="162" spans="2:19" x14ac:dyDescent="0.35">
      <c r="B162" s="3924"/>
      <c r="C162" s="2576" t="s">
        <v>1249</v>
      </c>
      <c r="D162" s="2576" t="s">
        <v>3</v>
      </c>
      <c r="E162" s="2569">
        <f t="shared" si="11"/>
        <v>0.38</v>
      </c>
      <c r="F162" s="2569">
        <f t="shared" si="14"/>
        <v>59.844629629629644</v>
      </c>
      <c r="G162" s="2576"/>
      <c r="H162" s="2569" t="str">
        <f>IF($D162="operation",VLOOKUP($G162,'Generic Vertical Port Tasks'!$C$4:$D$197,2,FALSE),"N/A")</f>
        <v>N/A</v>
      </c>
      <c r="I162" s="2576"/>
      <c r="J162" s="2576"/>
      <c r="K162" s="2576"/>
      <c r="L162" s="2571" t="str">
        <f>IFERROR(INDEX('Upper Cask Movement &amp; Logistics'!$I$24:$P$31,MATCH($J162,'Upper Cask Movement &amp; Logistics'!$H$24:$H$31,0),MATCH($K162,'Upper Cask Movement &amp; Logistics'!$H$24:$H$31,0)),"N/A")</f>
        <v>N/A</v>
      </c>
      <c r="M162" s="2571" t="str">
        <f>IFERROR(VLOOKUP($I162,'Upper Cask Movement &amp; Logistics'!$H$4:$I$8,2,FALSE),"N/A")</f>
        <v>N/A</v>
      </c>
      <c r="N162" s="2569" t="str">
        <f t="shared" si="12"/>
        <v>N/A</v>
      </c>
      <c r="O162" s="2666" t="s">
        <v>1226</v>
      </c>
      <c r="P162" s="2569">
        <f>IF($D162="Logistics",VLOOKUP($O162,'Upper Cask Movement &amp; Logistics'!$C$4:$D$209,2,FALSE),"N/A")</f>
        <v>0.38</v>
      </c>
      <c r="Q162" s="2578"/>
      <c r="R162" s="2569" t="str">
        <f>IFERROR(VLOOKUP($Q162,'Upper Cask Dependencies'!$C$3:$F$322,4,FALSE),"N/A")</f>
        <v>N/A</v>
      </c>
      <c r="S162" s="2669" t="str">
        <f t="shared" si="13"/>
        <v>N/A</v>
      </c>
    </row>
    <row r="163" spans="2:19" x14ac:dyDescent="0.35">
      <c r="B163" s="3924"/>
      <c r="C163" s="2576" t="s">
        <v>117</v>
      </c>
      <c r="D163" s="2576" t="s">
        <v>251</v>
      </c>
      <c r="E163" s="2569">
        <f t="shared" si="11"/>
        <v>4.0949999999999998</v>
      </c>
      <c r="F163" s="2569">
        <f t="shared" si="14"/>
        <v>63.939629629629643</v>
      </c>
      <c r="G163" s="2576" t="s">
        <v>35</v>
      </c>
      <c r="H163" s="2569">
        <f>IF($D163="operation",VLOOKUP($G163,'Generic Vertical Port Tasks'!$C$4:$D$197,2,FALSE),"N/A")</f>
        <v>4.0949999999999998</v>
      </c>
      <c r="I163" s="2576"/>
      <c r="J163" s="2576"/>
      <c r="K163" s="2576"/>
      <c r="L163" s="2571" t="str">
        <f>IFERROR(INDEX('Upper Cask Movement &amp; Logistics'!$I$24:$P$31,MATCH($J163,'Upper Cask Movement &amp; Logistics'!$H$24:$H$31,0),MATCH($K163,'Upper Cask Movement &amp; Logistics'!$H$24:$H$31,0)),"N/A")</f>
        <v>N/A</v>
      </c>
      <c r="M163" s="2571" t="str">
        <f>IFERROR(VLOOKUP($I163,'Upper Cask Movement &amp; Logistics'!$H$4:$I$8,2,FALSE),"N/A")</f>
        <v>N/A</v>
      </c>
      <c r="N163" s="2569" t="str">
        <f t="shared" si="12"/>
        <v>N/A</v>
      </c>
      <c r="O163" s="2666"/>
      <c r="P163" s="2569" t="str">
        <f>IF($D163="Logistics",VLOOKUP($O163,'Upper Cask Movement &amp; Logistics'!$C$4:$D$209,2,FALSE),"N/A")</f>
        <v>N/A</v>
      </c>
      <c r="Q163" s="2578"/>
      <c r="R163" s="2569" t="str">
        <f>IFERROR(VLOOKUP($Q163,'Upper Cask Dependencies'!$C$3:$F$322,4,FALSE),"N/A")</f>
        <v>N/A</v>
      </c>
      <c r="S163" s="2669" t="str">
        <f t="shared" si="13"/>
        <v>N/A</v>
      </c>
    </row>
    <row r="164" spans="2:19" x14ac:dyDescent="0.35">
      <c r="B164" s="3930"/>
      <c r="C164" s="2576" t="s">
        <v>1296</v>
      </c>
      <c r="D164" s="2576" t="s">
        <v>3</v>
      </c>
      <c r="E164" s="2569">
        <f t="shared" si="11"/>
        <v>0.38</v>
      </c>
      <c r="F164" s="2569">
        <f t="shared" si="14"/>
        <v>64.319629629629645</v>
      </c>
      <c r="G164" s="2576"/>
      <c r="H164" s="2569" t="str">
        <f>IF($D164="operation",VLOOKUP($G164,'Generic Vertical Port Tasks'!$C$4:$D$197,2,FALSE),"N/A")</f>
        <v>N/A</v>
      </c>
      <c r="I164" s="2576"/>
      <c r="J164" s="2576"/>
      <c r="K164" s="2576"/>
      <c r="L164" s="2571" t="str">
        <f>IFERROR(INDEX('Upper Cask Movement &amp; Logistics'!$I$24:$P$31,MATCH($J164,'Upper Cask Movement &amp; Logistics'!$H$24:$H$31,0),MATCH($K164,'Upper Cask Movement &amp; Logistics'!$H$24:$H$31,0)),"N/A")</f>
        <v>N/A</v>
      </c>
      <c r="M164" s="2571" t="str">
        <f>IFERROR(VLOOKUP($I164,'Upper Cask Movement &amp; Logistics'!$H$4:$I$8,2,FALSE),"N/A")</f>
        <v>N/A</v>
      </c>
      <c r="N164" s="2569" t="str">
        <f t="shared" si="12"/>
        <v>N/A</v>
      </c>
      <c r="O164" s="2666" t="s">
        <v>1230</v>
      </c>
      <c r="P164" s="2569">
        <f>IF($D164="Logistics",VLOOKUP($O164,'Upper Cask Movement &amp; Logistics'!$C$4:$D$209,2,FALSE),"N/A")</f>
        <v>0.38</v>
      </c>
      <c r="Q164" s="2578"/>
      <c r="R164" s="2569" t="str">
        <f>IFERROR(VLOOKUP($Q164,'Upper Cask Dependencies'!$C$3:$F$322,4,FALSE),"N/A")</f>
        <v>N/A</v>
      </c>
      <c r="S164" s="2669" t="str">
        <f t="shared" si="13"/>
        <v>N/A</v>
      </c>
    </row>
    <row r="165" spans="2:19" ht="13.3" thickBot="1" x14ac:dyDescent="0.4">
      <c r="B165" s="3930"/>
      <c r="C165" s="2670" t="s">
        <v>1297</v>
      </c>
      <c r="D165" s="2670" t="s">
        <v>3</v>
      </c>
      <c r="E165" s="2645">
        <f t="shared" si="11"/>
        <v>2.3000000000000003</v>
      </c>
      <c r="F165" s="2645">
        <f t="shared" si="14"/>
        <v>66.619629629629642</v>
      </c>
      <c r="G165" s="2670"/>
      <c r="H165" s="2645" t="str">
        <f>IF($D165="operation",VLOOKUP($G165,'Generic Vertical Port Tasks'!$C$4:$D$197,2,FALSE),"N/A")</f>
        <v>N/A</v>
      </c>
      <c r="I165" s="2670"/>
      <c r="J165" s="2670"/>
      <c r="K165" s="2670"/>
      <c r="L165" s="2644" t="str">
        <f>IFERROR(INDEX('Upper Cask Movement &amp; Logistics'!$I$24:$P$31,MATCH($J165,'Upper Cask Movement &amp; Logistics'!$H$24:$H$31,0),MATCH($K165,'Upper Cask Movement &amp; Logistics'!$H$24:$H$31,0)),"N/A")</f>
        <v>N/A</v>
      </c>
      <c r="M165" s="2644" t="str">
        <f>IFERROR(VLOOKUP($I165,'Upper Cask Movement &amp; Logistics'!$H$4:$I$8,2,FALSE),"N/A")</f>
        <v>N/A</v>
      </c>
      <c r="N165" s="2645" t="str">
        <f t="shared" si="12"/>
        <v>N/A</v>
      </c>
      <c r="O165" s="2671" t="s">
        <v>1298</v>
      </c>
      <c r="P165" s="2645">
        <f>IF($D165="Logistics",VLOOKUP($O165,'Upper Cask Movement &amp; Logistics'!$C$4:$D$209,2,FALSE),"N/A")</f>
        <v>2.3000000000000003</v>
      </c>
      <c r="Q165" s="2672"/>
      <c r="R165" s="2645" t="str">
        <f>IFERROR(VLOOKUP($Q165,'Upper Cask Dependencies'!$C$3:$F$322,4,FALSE),"N/A")</f>
        <v>N/A</v>
      </c>
      <c r="S165" s="2673" t="str">
        <f t="shared" si="13"/>
        <v>N/A</v>
      </c>
    </row>
    <row r="166" spans="2:19" x14ac:dyDescent="0.35">
      <c r="B166" s="3931" t="s">
        <v>1086</v>
      </c>
      <c r="C166" s="2674" t="s">
        <v>1299</v>
      </c>
      <c r="D166" s="2674" t="s">
        <v>3</v>
      </c>
      <c r="E166" s="2675">
        <f t="shared" si="11"/>
        <v>0.38</v>
      </c>
      <c r="F166" s="2675">
        <f t="shared" si="14"/>
        <v>66.999629629629638</v>
      </c>
      <c r="G166" s="2674"/>
      <c r="H166" s="2675" t="str">
        <f>IF($D166="operation",VLOOKUP($G166,'Generic Vertical Port Tasks'!$C$4:$D$197,2,FALSE),"N/A")</f>
        <v>N/A</v>
      </c>
      <c r="I166" s="2674"/>
      <c r="J166" s="2674"/>
      <c r="K166" s="2674"/>
      <c r="L166" s="2563" t="str">
        <f>IFERROR(INDEX('Upper Cask Movement &amp; Logistics'!$I$24:$P$31,MATCH($J166,'Upper Cask Movement &amp; Logistics'!$H$24:$H$31,0),MATCH($K166,'Upper Cask Movement &amp; Logistics'!$H$24:$H$31,0)),"N/A")</f>
        <v>N/A</v>
      </c>
      <c r="M166" s="2676" t="str">
        <f>IFERROR(VLOOKUP($I166,'Upper Cask Movement &amp; Logistics'!$H$4:$I$8,2,FALSE),"N/A")</f>
        <v>N/A</v>
      </c>
      <c r="N166" s="2675" t="str">
        <f t="shared" si="12"/>
        <v>N/A</v>
      </c>
      <c r="O166" s="2677" t="s">
        <v>1226</v>
      </c>
      <c r="P166" s="2675">
        <f>IF($D166="Logistics",VLOOKUP($O166,'Upper Cask Movement &amp; Logistics'!$C$4:$D$209,2,FALSE),"N/A")</f>
        <v>0.38</v>
      </c>
      <c r="Q166" s="2678"/>
      <c r="R166" s="2675" t="str">
        <f>IFERROR(VLOOKUP($Q166,'Upper Cask Dependencies'!$C$3:$F$322,4,FALSE),"N/A")</f>
        <v>N/A</v>
      </c>
      <c r="S166" s="2679" t="str">
        <f t="shared" si="13"/>
        <v>N/A</v>
      </c>
    </row>
    <row r="167" spans="2:19" x14ac:dyDescent="0.35">
      <c r="B167" s="3932"/>
      <c r="C167" s="2680" t="s">
        <v>132</v>
      </c>
      <c r="D167" s="2680" t="s">
        <v>251</v>
      </c>
      <c r="E167" s="2681">
        <f t="shared" si="11"/>
        <v>24.022732551873563</v>
      </c>
      <c r="F167" s="2681">
        <f t="shared" si="14"/>
        <v>91.022362181503198</v>
      </c>
      <c r="G167" s="2680" t="s">
        <v>2492</v>
      </c>
      <c r="H167" s="2681">
        <f>IF($D167="operation",VLOOKUP($G167,'Generic Vertical Port Tasks'!$C$4:$D$197,2,FALSE),"N/A")</f>
        <v>24.022732551873563</v>
      </c>
      <c r="I167" s="2680"/>
      <c r="J167" s="2680"/>
      <c r="K167" s="2680"/>
      <c r="L167" s="2571" t="str">
        <f>IFERROR(INDEX('Upper Cask Movement &amp; Logistics'!$I$24:$P$31,MATCH($J167,'Upper Cask Movement &amp; Logistics'!$H$24:$H$31,0),MATCH($K167,'Upper Cask Movement &amp; Logistics'!$H$24:$H$31,0)),"N/A")</f>
        <v>N/A</v>
      </c>
      <c r="M167" s="2682" t="str">
        <f>IFERROR(VLOOKUP($I167,'Upper Cask Movement &amp; Logistics'!$H$4:$I$8,2,FALSE),"N/A")</f>
        <v>N/A</v>
      </c>
      <c r="N167" s="2681" t="str">
        <f t="shared" si="12"/>
        <v>N/A</v>
      </c>
      <c r="O167" s="2683"/>
      <c r="P167" s="2681" t="str">
        <f>IF($D167="Logistics",VLOOKUP($O167,'Upper Cask Movement &amp; Logistics'!$C$4:$D$209,2,FALSE),"N/A")</f>
        <v>N/A</v>
      </c>
      <c r="Q167" s="2684"/>
      <c r="R167" s="2681" t="str">
        <f>IFERROR(VLOOKUP($Q167,'Upper Cask Dependencies'!$C$3:$F$322,4,FALSE),"N/A")</f>
        <v>N/A</v>
      </c>
      <c r="S167" s="2669" t="str">
        <f t="shared" si="13"/>
        <v>N/A</v>
      </c>
    </row>
    <row r="168" spans="2:19" x14ac:dyDescent="0.35">
      <c r="B168" s="3932"/>
      <c r="C168" s="2680" t="s">
        <v>1248</v>
      </c>
      <c r="D168" s="2680" t="s">
        <v>3</v>
      </c>
      <c r="E168" s="2681">
        <f t="shared" si="11"/>
        <v>0.38</v>
      </c>
      <c r="F168" s="2681">
        <f t="shared" si="14"/>
        <v>91.402362181503193</v>
      </c>
      <c r="G168" s="2680"/>
      <c r="H168" s="2681" t="str">
        <f>IF($D168="operation",VLOOKUP($G168,'Generic Vertical Port Tasks'!$C$4:$D$197,2,FALSE),"N/A")</f>
        <v>N/A</v>
      </c>
      <c r="I168" s="2680"/>
      <c r="J168" s="2680"/>
      <c r="K168" s="2680"/>
      <c r="L168" s="2571" t="str">
        <f>IFERROR(INDEX('Upper Cask Movement &amp; Logistics'!$I$24:$P$31,MATCH($J168,'Upper Cask Movement &amp; Logistics'!$H$24:$H$31,0),MATCH($K168,'Upper Cask Movement &amp; Logistics'!$H$24:$H$31,0)),"N/A")</f>
        <v>N/A</v>
      </c>
      <c r="M168" s="2682" t="str">
        <f>IFERROR(VLOOKUP($I168,'Upper Cask Movement &amp; Logistics'!$H$4:$I$8,2,FALSE),"N/A")</f>
        <v>N/A</v>
      </c>
      <c r="N168" s="2681" t="str">
        <f t="shared" si="12"/>
        <v>N/A</v>
      </c>
      <c r="O168" s="2683" t="s">
        <v>1230</v>
      </c>
      <c r="P168" s="2681">
        <f>IF($D168="Logistics",VLOOKUP($O168,'Upper Cask Movement &amp; Logistics'!$C$4:$D$209,2,FALSE),"N/A")</f>
        <v>0.38</v>
      </c>
      <c r="Q168" s="2684"/>
      <c r="R168" s="2681" t="str">
        <f>IFERROR(VLOOKUP($Q168,'Upper Cask Dependencies'!$C$3:$F$322,4,FALSE),"N/A")</f>
        <v>N/A</v>
      </c>
      <c r="S168" s="2669" t="str">
        <f t="shared" si="13"/>
        <v>N/A</v>
      </c>
    </row>
    <row r="169" spans="2:19" x14ac:dyDescent="0.35">
      <c r="B169" s="3932"/>
      <c r="C169" s="2680" t="s">
        <v>1252</v>
      </c>
      <c r="D169" s="2680" t="s">
        <v>3</v>
      </c>
      <c r="E169" s="2681">
        <f t="shared" si="11"/>
        <v>0.38</v>
      </c>
      <c r="F169" s="2681">
        <f t="shared" si="14"/>
        <v>91.782362181503188</v>
      </c>
      <c r="G169" s="2680"/>
      <c r="H169" s="2681" t="str">
        <f>IF($D169="operation",VLOOKUP($G169,'Generic Vertical Port Tasks'!$C$4:$D$197,2,FALSE),"N/A")</f>
        <v>N/A</v>
      </c>
      <c r="I169" s="2680"/>
      <c r="J169" s="2680"/>
      <c r="K169" s="2680"/>
      <c r="L169" s="2571" t="str">
        <f>IFERROR(INDEX('Upper Cask Movement &amp; Logistics'!$I$24:$P$31,MATCH($J169,'Upper Cask Movement &amp; Logistics'!$H$24:$H$31,0),MATCH($K169,'Upper Cask Movement &amp; Logistics'!$H$24:$H$31,0)),"N/A")</f>
        <v>N/A</v>
      </c>
      <c r="M169" s="2682" t="str">
        <f>IFERROR(VLOOKUP($I169,'Upper Cask Movement &amp; Logistics'!$H$4:$I$8,2,FALSE),"N/A")</f>
        <v>N/A</v>
      </c>
      <c r="N169" s="2681" t="str">
        <f t="shared" si="12"/>
        <v>N/A</v>
      </c>
      <c r="O169" s="2683" t="s">
        <v>1226</v>
      </c>
      <c r="P169" s="2681">
        <f>IF($D169="Logistics",VLOOKUP($O169,'Upper Cask Movement &amp; Logistics'!$C$4:$D$209,2,FALSE),"N/A")</f>
        <v>0.38</v>
      </c>
      <c r="Q169" s="2684"/>
      <c r="R169" s="2681" t="str">
        <f>IFERROR(VLOOKUP($Q169,'Upper Cask Dependencies'!$C$3:$F$322,4,FALSE),"N/A")</f>
        <v>N/A</v>
      </c>
      <c r="S169" s="2669" t="str">
        <f t="shared" si="13"/>
        <v>N/A</v>
      </c>
    </row>
    <row r="170" spans="2:19" ht="15" customHeight="1" x14ac:dyDescent="0.35">
      <c r="B170" s="3932"/>
      <c r="C170" s="2680" t="s">
        <v>872</v>
      </c>
      <c r="D170" s="2680" t="s">
        <v>251</v>
      </c>
      <c r="E170" s="2681">
        <f t="shared" si="11"/>
        <v>7.83</v>
      </c>
      <c r="F170" s="2681">
        <f t="shared" si="14"/>
        <v>99.612362181503187</v>
      </c>
      <c r="G170" s="2680" t="s">
        <v>257</v>
      </c>
      <c r="H170" s="2681">
        <f>IF($D170="operation",VLOOKUP($G170,'Generic Vertical Port Tasks'!$C$4:$D$197,2,FALSE),"N/A")</f>
        <v>7.83</v>
      </c>
      <c r="I170" s="2680"/>
      <c r="J170" s="2680"/>
      <c r="K170" s="2680"/>
      <c r="L170" s="2571" t="str">
        <f>IFERROR(INDEX('Upper Cask Movement &amp; Logistics'!$I$24:$P$31,MATCH($J170,'Upper Cask Movement &amp; Logistics'!$H$24:$H$31,0),MATCH($K170,'Upper Cask Movement &amp; Logistics'!$H$24:$H$31,0)),"N/A")</f>
        <v>N/A</v>
      </c>
      <c r="M170" s="2682" t="str">
        <f>IFERROR(VLOOKUP($I170,'Upper Cask Movement &amp; Logistics'!$H$4:$I$8,2,FALSE),"N/A")</f>
        <v>N/A</v>
      </c>
      <c r="N170" s="2681" t="str">
        <f t="shared" si="12"/>
        <v>N/A</v>
      </c>
      <c r="O170" s="2683"/>
      <c r="P170" s="2681" t="str">
        <f>IF($D170="Logistics",VLOOKUP($O170,'Upper Cask Movement &amp; Logistics'!$C$4:$D$209,2,FALSE),"N/A")</f>
        <v>N/A</v>
      </c>
      <c r="Q170" s="2684"/>
      <c r="R170" s="2681" t="str">
        <f>IFERROR(VLOOKUP($Q170,'Upper Cask Dependencies'!$C$3:$F$322,4,FALSE),"N/A")</f>
        <v>N/A</v>
      </c>
      <c r="S170" s="2669" t="str">
        <f t="shared" si="13"/>
        <v>N/A</v>
      </c>
    </row>
    <row r="171" spans="2:19" ht="13.3" thickBot="1" x14ac:dyDescent="0.4">
      <c r="B171" s="3933"/>
      <c r="C171" s="2685" t="s">
        <v>1246</v>
      </c>
      <c r="D171" s="2685" t="s">
        <v>3</v>
      </c>
      <c r="E171" s="2686">
        <f t="shared" si="11"/>
        <v>0.38</v>
      </c>
      <c r="F171" s="2686">
        <f t="shared" si="14"/>
        <v>99.992362181503182</v>
      </c>
      <c r="G171" s="2685"/>
      <c r="H171" s="2686" t="str">
        <f>IF($D171="operation",VLOOKUP($G171,'Generic Vertical Port Tasks'!$C$4:$D$197,2,FALSE),"N/A")</f>
        <v>N/A</v>
      </c>
      <c r="I171" s="2685"/>
      <c r="J171" s="2685"/>
      <c r="K171" s="2685"/>
      <c r="L171" s="2583" t="str">
        <f>IFERROR(INDEX('Upper Cask Movement &amp; Logistics'!$I$24:$P$31,MATCH($J171,'Upper Cask Movement &amp; Logistics'!$H$24:$H$31,0),MATCH($K171,'Upper Cask Movement &amp; Logistics'!$H$24:$H$31,0)),"N/A")</f>
        <v>N/A</v>
      </c>
      <c r="M171" s="2687" t="str">
        <f>IFERROR(VLOOKUP($I171,'Upper Cask Movement &amp; Logistics'!$H$4:$I$8,2,FALSE),"N/A")</f>
        <v>N/A</v>
      </c>
      <c r="N171" s="2686" t="str">
        <f t="shared" si="12"/>
        <v>N/A</v>
      </c>
      <c r="O171" s="2688" t="s">
        <v>1230</v>
      </c>
      <c r="P171" s="2686">
        <f>IF($D171="Logistics",VLOOKUP($O171,'Upper Cask Movement &amp; Logistics'!$C$4:$D$209,2,FALSE),"N/A")</f>
        <v>0.38</v>
      </c>
      <c r="Q171" s="2689"/>
      <c r="R171" s="2686" t="str">
        <f>IFERROR(VLOOKUP($Q171,'Upper Cask Dependencies'!$C$3:$F$322,4,FALSE),"N/A")</f>
        <v>N/A</v>
      </c>
      <c r="S171" s="2690" t="str">
        <f t="shared" si="13"/>
        <v>N/A</v>
      </c>
    </row>
    <row r="172" spans="2:19" ht="12.75" customHeight="1" x14ac:dyDescent="0.35">
      <c r="B172" s="3934" t="s">
        <v>118</v>
      </c>
      <c r="C172" s="2664" t="s">
        <v>1300</v>
      </c>
      <c r="D172" s="2664" t="s">
        <v>3</v>
      </c>
      <c r="E172" s="2636">
        <f>MAX($P172,$N172,$H172)</f>
        <v>0.60000000000000009</v>
      </c>
      <c r="F172" s="2636">
        <f t="shared" si="14"/>
        <v>100.59236218150318</v>
      </c>
      <c r="G172" s="2664"/>
      <c r="H172" s="2636" t="str">
        <f>IF($D172="operation",VLOOKUP($G172,'Generic Vertical Port Tasks'!$C$4:$D$197,2,FALSE),"N/A")</f>
        <v>N/A</v>
      </c>
      <c r="I172" s="2664"/>
      <c r="J172" s="2664"/>
      <c r="K172" s="2664"/>
      <c r="L172" s="2665" t="str">
        <f>IFERROR(INDEX('Upper Cask Movement &amp; Logistics'!$I$24:$P$31,MATCH($J172,'Upper Cask Movement &amp; Logistics'!$H$24:$H$31,0),MATCH($K172,'Upper Cask Movement &amp; Logistics'!$H$24:$H$31,0)),"N/A")</f>
        <v>N/A</v>
      </c>
      <c r="M172" s="2665" t="str">
        <f>IFERROR(VLOOKUP($I172,'Upper Cask Movement &amp; Logistics'!$H$4:$I$8,2,FALSE),"N/A")</f>
        <v>N/A</v>
      </c>
      <c r="N172" s="2636" t="str">
        <f>IF(D172="Movement",IFERROR((L172/M172)/(60*60),"Error"),"N/A")</f>
        <v>N/A</v>
      </c>
      <c r="O172" s="2666" t="s">
        <v>1279</v>
      </c>
      <c r="P172" s="2636">
        <f>IF($D172="Logistics",VLOOKUP($O172,'Upper Cask Movement &amp; Logistics'!$C$4:$D$209,2,FALSE),"N/A")</f>
        <v>0.60000000000000009</v>
      </c>
      <c r="Q172" s="2667" t="s">
        <v>1301</v>
      </c>
      <c r="R172" s="2636">
        <f>IFERROR(VLOOKUP($Q172,'Upper Cask Dependencies'!$C$3:$F$322,4,FALSE),"N/A")</f>
        <v>69.245555555555583</v>
      </c>
      <c r="S172" s="2668">
        <f t="shared" si="13"/>
        <v>30.746806625947599</v>
      </c>
    </row>
    <row r="173" spans="2:19" x14ac:dyDescent="0.35">
      <c r="B173" s="3934"/>
      <c r="C173" s="2576" t="s">
        <v>1249</v>
      </c>
      <c r="D173" s="2576" t="s">
        <v>3</v>
      </c>
      <c r="E173" s="2569">
        <f>MAX($P173,$N173,$H173)</f>
        <v>0.38</v>
      </c>
      <c r="F173" s="2569">
        <f t="shared" si="14"/>
        <v>100.97236218150317</v>
      </c>
      <c r="G173" s="2576"/>
      <c r="H173" s="2569" t="str">
        <f>IF($D173="operation",VLOOKUP($G173,'Generic Vertical Port Tasks'!$C$4:$D$197,2,FALSE),"N/A")</f>
        <v>N/A</v>
      </c>
      <c r="I173" s="2576"/>
      <c r="J173" s="2576"/>
      <c r="K173" s="2576"/>
      <c r="L173" s="2571" t="str">
        <f>IFERROR(INDEX('Upper Cask Movement &amp; Logistics'!$I$24:$P$31,MATCH($J173,'Upper Cask Movement &amp; Logistics'!$H$24:$H$31,0),MATCH($K173,'Upper Cask Movement &amp; Logistics'!$H$24:$H$31,0)),"N/A")</f>
        <v>N/A</v>
      </c>
      <c r="M173" s="2571" t="str">
        <f>IFERROR(VLOOKUP($I173,'Upper Cask Movement &amp; Logistics'!$H$4:$I$8,2,FALSE),"N/A")</f>
        <v>N/A</v>
      </c>
      <c r="N173" s="2569" t="str">
        <f>IF(D173="Movement",IFERROR((L173/M173)/(60*60),"Error"),"N/A")</f>
        <v>N/A</v>
      </c>
      <c r="O173" s="2577" t="s">
        <v>1226</v>
      </c>
      <c r="P173" s="2569">
        <f>IF($D173="Logistics",VLOOKUP($O173,'Upper Cask Movement &amp; Logistics'!$C$4:$D$209,2,FALSE),"N/A")</f>
        <v>0.38</v>
      </c>
      <c r="Q173" s="2578"/>
      <c r="R173" s="2569" t="str">
        <f>IFERROR(VLOOKUP($Q173,'Upper Cask Dependencies'!$C$3:$F$322,4,FALSE),"N/A")</f>
        <v>N/A</v>
      </c>
      <c r="S173" s="2669" t="str">
        <f t="shared" si="13"/>
        <v>N/A</v>
      </c>
    </row>
    <row r="174" spans="2:19" x14ac:dyDescent="0.35">
      <c r="B174" s="3934"/>
      <c r="C174" s="2576" t="s">
        <v>118</v>
      </c>
      <c r="D174" s="2576" t="s">
        <v>251</v>
      </c>
      <c r="E174" s="2569">
        <f>MAX($P174,$N174,$H174)</f>
        <v>4.0949999999999998</v>
      </c>
      <c r="F174" s="2569">
        <f t="shared" si="14"/>
        <v>105.06736218150317</v>
      </c>
      <c r="G174" s="2576" t="s">
        <v>35</v>
      </c>
      <c r="H174" s="2569">
        <f>IF($D174="operation",VLOOKUP($G174,'Generic Vertical Port Tasks'!$C$4:$D$197,2,FALSE),"N/A")</f>
        <v>4.0949999999999998</v>
      </c>
      <c r="I174" s="2576"/>
      <c r="J174" s="2576"/>
      <c r="K174" s="2576"/>
      <c r="L174" s="2571" t="str">
        <f>IFERROR(INDEX('Upper Cask Movement &amp; Logistics'!$I$24:$P$31,MATCH($J174,'Upper Cask Movement &amp; Logistics'!$H$24:$H$31,0),MATCH($K174,'Upper Cask Movement &amp; Logistics'!$H$24:$H$31,0)),"N/A")</f>
        <v>N/A</v>
      </c>
      <c r="M174" s="2571" t="str">
        <f>IFERROR(VLOOKUP($I174,'Upper Cask Movement &amp; Logistics'!$H$4:$I$8,2,FALSE),"N/A")</f>
        <v>N/A</v>
      </c>
      <c r="N174" s="2569" t="str">
        <f>IF(D174="Movement",IFERROR((L174/M174)/(60*60),"Error"),"N/A")</f>
        <v>N/A</v>
      </c>
      <c r="O174" s="2577"/>
      <c r="P174" s="2569" t="str">
        <f>IF($D174="Logistics",VLOOKUP($O174,'Upper Cask Movement &amp; Logistics'!$C$4:$D$209,2,FALSE),"N/A")</f>
        <v>N/A</v>
      </c>
      <c r="Q174" s="2578"/>
      <c r="R174" s="2569" t="str">
        <f>IFERROR(VLOOKUP($Q174,'Upper Cask Dependencies'!$C$3:$F$322,4,FALSE),"N/A")</f>
        <v>N/A</v>
      </c>
      <c r="S174" s="2669" t="str">
        <f t="shared" si="13"/>
        <v>N/A</v>
      </c>
    </row>
    <row r="175" spans="2:19" ht="13.3" thickBot="1" x14ac:dyDescent="0.4">
      <c r="B175" s="3934"/>
      <c r="C175" s="2670" t="s">
        <v>1302</v>
      </c>
      <c r="D175" s="2670" t="s">
        <v>3</v>
      </c>
      <c r="E175" s="2645">
        <f>MAX($P175,$N175,$H175)</f>
        <v>0.38</v>
      </c>
      <c r="F175" s="2645">
        <f t="shared" si="14"/>
        <v>105.44736218150317</v>
      </c>
      <c r="G175" s="2691"/>
      <c r="H175" s="2642" t="str">
        <f>IF($D175="operation",VLOOKUP($G175,'Generic Vertical Port Tasks'!$C$4:$D$197,2,FALSE),"N/A")</f>
        <v>N/A</v>
      </c>
      <c r="I175" s="2691"/>
      <c r="J175" s="2691"/>
      <c r="K175" s="2691"/>
      <c r="L175" s="2644" t="str">
        <f>IFERROR(INDEX('Upper Cask Movement &amp; Logistics'!$I$24:$P$31,MATCH($J175,'Upper Cask Movement &amp; Logistics'!$H$24:$H$31,0),MATCH($K175,'Upper Cask Movement &amp; Logistics'!$H$24:$H$31,0)),"N/A")</f>
        <v>N/A</v>
      </c>
      <c r="M175" s="2692" t="str">
        <f>IFERROR(VLOOKUP($I175,'Upper Cask Movement &amp; Logistics'!$H$4:$I$8,2,FALSE),"N/A")</f>
        <v>N/A</v>
      </c>
      <c r="N175" s="2642" t="str">
        <f t="shared" si="12"/>
        <v>N/A</v>
      </c>
      <c r="O175" s="2693" t="s">
        <v>1230</v>
      </c>
      <c r="P175" s="2642">
        <f>IF($D175="Logistics",VLOOKUP($O175,'Upper Cask Movement &amp; Logistics'!$C$4:$D$209,2,FALSE),"N/A")</f>
        <v>0.38</v>
      </c>
      <c r="Q175" s="2694"/>
      <c r="R175" s="2642" t="str">
        <f>IFERROR(VLOOKUP($Q175,'Upper Cask Dependencies'!$C$3:$F$322,4,FALSE),"N/A")</f>
        <v>N/A</v>
      </c>
      <c r="S175" s="2673" t="str">
        <f t="shared" si="13"/>
        <v>N/A</v>
      </c>
    </row>
    <row r="176" spans="2:19" ht="15" customHeight="1" x14ac:dyDescent="0.35">
      <c r="B176" s="3931" t="s">
        <v>1089</v>
      </c>
      <c r="C176" s="2674" t="s">
        <v>1299</v>
      </c>
      <c r="D176" s="2674" t="s">
        <v>3</v>
      </c>
      <c r="E176" s="2675">
        <f t="shared" ref="E176:E248" si="16">MAX($P176,$N176,$H176)</f>
        <v>0.38</v>
      </c>
      <c r="F176" s="2675">
        <f t="shared" si="14"/>
        <v>105.82736218150316</v>
      </c>
      <c r="G176" s="2674"/>
      <c r="H176" s="2675" t="str">
        <f>IF($D176="operation",VLOOKUP($G176,'Generic Vertical Port Tasks'!$C$4:$D$197,2,FALSE),"N/A")</f>
        <v>N/A</v>
      </c>
      <c r="I176" s="2674"/>
      <c r="J176" s="2674"/>
      <c r="K176" s="2674"/>
      <c r="L176" s="2563" t="str">
        <f>IFERROR(INDEX('Upper Cask Movement &amp; Logistics'!$I$24:$P$31,MATCH($J176,'Upper Cask Movement &amp; Logistics'!$H$24:$H$31,0),MATCH($K176,'Upper Cask Movement &amp; Logistics'!$H$24:$H$31,0)),"N/A")</f>
        <v>N/A</v>
      </c>
      <c r="M176" s="2676" t="str">
        <f>IFERROR(VLOOKUP($I176,'Upper Cask Movement &amp; Logistics'!$H$4:$I$8,2,FALSE),"N/A")</f>
        <v>N/A</v>
      </c>
      <c r="N176" s="2675" t="str">
        <f t="shared" si="12"/>
        <v>N/A</v>
      </c>
      <c r="O176" s="2677" t="s">
        <v>1226</v>
      </c>
      <c r="P176" s="2675">
        <f>IF($D176="Logistics",VLOOKUP($O176,'Upper Cask Movement &amp; Logistics'!$C$4:$D$209,2,FALSE),"N/A")</f>
        <v>0.38</v>
      </c>
      <c r="Q176" s="2678"/>
      <c r="R176" s="2675" t="str">
        <f>IFERROR(VLOOKUP($Q176,'Upper Cask Dependencies'!$C$3:$F$322,4,FALSE),"N/A")</f>
        <v>N/A</v>
      </c>
      <c r="S176" s="2679" t="str">
        <f t="shared" si="13"/>
        <v>N/A</v>
      </c>
    </row>
    <row r="177" spans="2:19" ht="15" customHeight="1" x14ac:dyDescent="0.35">
      <c r="B177" s="3932"/>
      <c r="C177" s="2680" t="s">
        <v>130</v>
      </c>
      <c r="D177" s="2680" t="s">
        <v>251</v>
      </c>
      <c r="E177" s="2681">
        <f t="shared" si="16"/>
        <v>24.022732551873563</v>
      </c>
      <c r="F177" s="2681">
        <f t="shared" si="14"/>
        <v>129.85009473337672</v>
      </c>
      <c r="G177" s="2680" t="s">
        <v>2492</v>
      </c>
      <c r="H177" s="2681">
        <f>IF($D177="operation",VLOOKUP($G177,'Generic Vertical Port Tasks'!$C$4:$D$197,2,FALSE),"N/A")</f>
        <v>24.022732551873563</v>
      </c>
      <c r="I177" s="2680"/>
      <c r="J177" s="2680"/>
      <c r="K177" s="2680"/>
      <c r="L177" s="2571" t="str">
        <f>IFERROR(INDEX('Upper Cask Movement &amp; Logistics'!$I$24:$P$31,MATCH($J177,'Upper Cask Movement &amp; Logistics'!$H$24:$H$31,0),MATCH($K177,'Upper Cask Movement &amp; Logistics'!$H$24:$H$31,0)),"N/A")</f>
        <v>N/A</v>
      </c>
      <c r="M177" s="2682" t="str">
        <f>IFERROR(VLOOKUP($I177,'Upper Cask Movement &amp; Logistics'!$H$4:$I$8,2,FALSE),"N/A")</f>
        <v>N/A</v>
      </c>
      <c r="N177" s="2681" t="str">
        <f t="shared" si="12"/>
        <v>N/A</v>
      </c>
      <c r="O177" s="2683"/>
      <c r="P177" s="2681" t="str">
        <f>IF($D177="Logistics",VLOOKUP($O177,'Upper Cask Movement &amp; Logistics'!$C$4:$D$209,2,FALSE),"N/A")</f>
        <v>N/A</v>
      </c>
      <c r="Q177" s="2684"/>
      <c r="R177" s="2681" t="str">
        <f>IFERROR(VLOOKUP($Q177,'Upper Cask Dependencies'!$C$3:$F$322,4,FALSE),"N/A")</f>
        <v>N/A</v>
      </c>
      <c r="S177" s="2669" t="str">
        <f t="shared" si="13"/>
        <v>N/A</v>
      </c>
    </row>
    <row r="178" spans="2:19" ht="15" customHeight="1" x14ac:dyDescent="0.35">
      <c r="B178" s="3932"/>
      <c r="C178" s="2680" t="s">
        <v>1248</v>
      </c>
      <c r="D178" s="2680" t="s">
        <v>3</v>
      </c>
      <c r="E178" s="2681">
        <f t="shared" si="16"/>
        <v>0.38</v>
      </c>
      <c r="F178" s="2681">
        <f t="shared" si="14"/>
        <v>130.23009473337672</v>
      </c>
      <c r="G178" s="2680"/>
      <c r="H178" s="2681" t="str">
        <f>IF($D178="operation",VLOOKUP($G178,'Generic Vertical Port Tasks'!$C$4:$D$197,2,FALSE),"N/A")</f>
        <v>N/A</v>
      </c>
      <c r="I178" s="2680"/>
      <c r="J178" s="2680"/>
      <c r="K178" s="2680"/>
      <c r="L178" s="2571" t="str">
        <f>IFERROR(INDEX('Upper Cask Movement &amp; Logistics'!$I$24:$P$31,MATCH($J178,'Upper Cask Movement &amp; Logistics'!$H$24:$H$31,0),MATCH($K178,'Upper Cask Movement &amp; Logistics'!$H$24:$H$31,0)),"N/A")</f>
        <v>N/A</v>
      </c>
      <c r="M178" s="2682" t="str">
        <f>IFERROR(VLOOKUP($I178,'Upper Cask Movement &amp; Logistics'!$H$4:$I$8,2,FALSE),"N/A")</f>
        <v>N/A</v>
      </c>
      <c r="N178" s="2681" t="str">
        <f t="shared" si="12"/>
        <v>N/A</v>
      </c>
      <c r="O178" s="2683" t="s">
        <v>1230</v>
      </c>
      <c r="P178" s="2681">
        <f>IF($D178="Logistics",VLOOKUP($O178,'Upper Cask Movement &amp; Logistics'!$C$4:$D$209,2,FALSE),"N/A")</f>
        <v>0.38</v>
      </c>
      <c r="Q178" s="2684"/>
      <c r="R178" s="2681" t="str">
        <f>IFERROR(VLOOKUP($Q178,'Upper Cask Dependencies'!$C$3:$F$322,4,FALSE),"N/A")</f>
        <v>N/A</v>
      </c>
      <c r="S178" s="2669" t="str">
        <f t="shared" si="13"/>
        <v>N/A</v>
      </c>
    </row>
    <row r="179" spans="2:19" ht="15" customHeight="1" x14ac:dyDescent="0.35">
      <c r="B179" s="3932"/>
      <c r="C179" s="2680" t="s">
        <v>1252</v>
      </c>
      <c r="D179" s="2680" t="s">
        <v>3</v>
      </c>
      <c r="E179" s="2681">
        <f t="shared" si="16"/>
        <v>0.38</v>
      </c>
      <c r="F179" s="2681">
        <f t="shared" si="14"/>
        <v>130.61009473337671</v>
      </c>
      <c r="G179" s="2680"/>
      <c r="H179" s="2681" t="str">
        <f>IF($D179="operation",VLOOKUP($G179,'Generic Vertical Port Tasks'!$C$4:$D$197,2,FALSE),"N/A")</f>
        <v>N/A</v>
      </c>
      <c r="I179" s="2680"/>
      <c r="J179" s="2680"/>
      <c r="K179" s="2680"/>
      <c r="L179" s="2571" t="str">
        <f>IFERROR(INDEX('Upper Cask Movement &amp; Logistics'!$I$24:$P$31,MATCH($J179,'Upper Cask Movement &amp; Logistics'!$H$24:$H$31,0),MATCH($K179,'Upper Cask Movement &amp; Logistics'!$H$24:$H$31,0)),"N/A")</f>
        <v>N/A</v>
      </c>
      <c r="M179" s="2682" t="str">
        <f>IFERROR(VLOOKUP($I179,'Upper Cask Movement &amp; Logistics'!$H$4:$I$8,2,FALSE),"N/A")</f>
        <v>N/A</v>
      </c>
      <c r="N179" s="2681" t="str">
        <f t="shared" si="12"/>
        <v>N/A</v>
      </c>
      <c r="O179" s="2683" t="s">
        <v>1226</v>
      </c>
      <c r="P179" s="2681">
        <f>IF($D179="Logistics",VLOOKUP($O179,'Upper Cask Movement &amp; Logistics'!$C$4:$D$209,2,FALSE),"N/A")</f>
        <v>0.38</v>
      </c>
      <c r="Q179" s="2684"/>
      <c r="R179" s="2681" t="str">
        <f>IFERROR(VLOOKUP($Q179,'Upper Cask Dependencies'!$C$3:$F$322,4,FALSE),"N/A")</f>
        <v>N/A</v>
      </c>
      <c r="S179" s="2669" t="str">
        <f t="shared" si="13"/>
        <v>N/A</v>
      </c>
    </row>
    <row r="180" spans="2:19" ht="15" customHeight="1" x14ac:dyDescent="0.35">
      <c r="B180" s="3932"/>
      <c r="C180" s="2680" t="s">
        <v>877</v>
      </c>
      <c r="D180" s="2680" t="s">
        <v>251</v>
      </c>
      <c r="E180" s="2681">
        <f t="shared" si="16"/>
        <v>7.83</v>
      </c>
      <c r="F180" s="2681">
        <f t="shared" si="14"/>
        <v>138.44009473337672</v>
      </c>
      <c r="G180" s="2680" t="s">
        <v>257</v>
      </c>
      <c r="H180" s="2681">
        <f>IF($D180="operation",VLOOKUP($G180,'Generic Vertical Port Tasks'!$C$4:$D$197,2,FALSE),"N/A")</f>
        <v>7.83</v>
      </c>
      <c r="I180" s="2680"/>
      <c r="J180" s="2680"/>
      <c r="K180" s="2680"/>
      <c r="L180" s="2571" t="str">
        <f>IFERROR(INDEX('Upper Cask Movement &amp; Logistics'!$I$24:$P$31,MATCH($J180,'Upper Cask Movement &amp; Logistics'!$H$24:$H$31,0),MATCH($K180,'Upper Cask Movement &amp; Logistics'!$H$24:$H$31,0)),"N/A")</f>
        <v>N/A</v>
      </c>
      <c r="M180" s="2682" t="str">
        <f>IFERROR(VLOOKUP($I180,'Upper Cask Movement &amp; Logistics'!$H$4:$I$8,2,FALSE),"N/A")</f>
        <v>N/A</v>
      </c>
      <c r="N180" s="2681" t="str">
        <f t="shared" si="12"/>
        <v>N/A</v>
      </c>
      <c r="O180" s="2683"/>
      <c r="P180" s="2681" t="str">
        <f>IF($D180="Logistics",VLOOKUP($O180,'Upper Cask Movement &amp; Logistics'!$C$4:$D$209,2,FALSE),"N/A")</f>
        <v>N/A</v>
      </c>
      <c r="Q180" s="2684"/>
      <c r="R180" s="2681" t="str">
        <f>IFERROR(VLOOKUP($Q180,'Upper Cask Dependencies'!$C$3:$F$322,4,FALSE),"N/A")</f>
        <v>N/A</v>
      </c>
      <c r="S180" s="2669" t="str">
        <f t="shared" si="13"/>
        <v>N/A</v>
      </c>
    </row>
    <row r="181" spans="2:19" ht="15" customHeight="1" thickBot="1" x14ac:dyDescent="0.4">
      <c r="B181" s="3933"/>
      <c r="C181" s="2685" t="s">
        <v>1246</v>
      </c>
      <c r="D181" s="2685" t="s">
        <v>3</v>
      </c>
      <c r="E181" s="2686">
        <f t="shared" si="16"/>
        <v>0.38</v>
      </c>
      <c r="F181" s="2686">
        <f t="shared" si="14"/>
        <v>138.82009473337672</v>
      </c>
      <c r="G181" s="2685"/>
      <c r="H181" s="2686" t="str">
        <f>IF($D181="operation",VLOOKUP($G181,'Generic Vertical Port Tasks'!$C$4:$D$197,2,FALSE),"N/A")</f>
        <v>N/A</v>
      </c>
      <c r="I181" s="2685"/>
      <c r="J181" s="2685"/>
      <c r="K181" s="2685"/>
      <c r="L181" s="2583" t="str">
        <f>IFERROR(INDEX('Upper Cask Movement &amp; Logistics'!$I$24:$P$31,MATCH($J181,'Upper Cask Movement &amp; Logistics'!$H$24:$H$31,0),MATCH($K181,'Upper Cask Movement &amp; Logistics'!$H$24:$H$31,0)),"N/A")</f>
        <v>N/A</v>
      </c>
      <c r="M181" s="2687" t="str">
        <f>IFERROR(VLOOKUP($I181,'Upper Cask Movement &amp; Logistics'!$H$4:$I$8,2,FALSE),"N/A")</f>
        <v>N/A</v>
      </c>
      <c r="N181" s="2686" t="str">
        <f t="shared" si="12"/>
        <v>N/A</v>
      </c>
      <c r="O181" s="2688" t="s">
        <v>1230</v>
      </c>
      <c r="P181" s="2686">
        <f>IF($D181="Logistics",VLOOKUP($O181,'Upper Cask Movement &amp; Logistics'!$C$4:$D$209,2,FALSE),"N/A")</f>
        <v>0.38</v>
      </c>
      <c r="Q181" s="2689"/>
      <c r="R181" s="2686" t="str">
        <f>IFERROR(VLOOKUP($Q181,'Upper Cask Dependencies'!$C$3:$F$322,4,FALSE),"N/A")</f>
        <v>N/A</v>
      </c>
      <c r="S181" s="2690" t="str">
        <f t="shared" si="13"/>
        <v>N/A</v>
      </c>
    </row>
    <row r="182" spans="2:19" ht="15" customHeight="1" x14ac:dyDescent="0.35">
      <c r="B182" s="3929" t="s">
        <v>119</v>
      </c>
      <c r="C182" s="2664" t="s">
        <v>1303</v>
      </c>
      <c r="D182" s="2664" t="s">
        <v>3</v>
      </c>
      <c r="E182" s="2636">
        <f t="shared" si="16"/>
        <v>0.60000000000000009</v>
      </c>
      <c r="F182" s="2636">
        <f t="shared" si="14"/>
        <v>139.42009473337671</v>
      </c>
      <c r="G182" s="2664"/>
      <c r="H182" s="2636" t="str">
        <f>IF($D182="operation",VLOOKUP($G182,'Generic Vertical Port Tasks'!$C$4:$D$197,2,FALSE),"N/A")</f>
        <v>N/A</v>
      </c>
      <c r="I182" s="2664"/>
      <c r="J182" s="2664"/>
      <c r="K182" s="2664"/>
      <c r="L182" s="2665" t="str">
        <f>IFERROR(INDEX('Upper Cask Movement &amp; Logistics'!$I$24:$P$31,MATCH($J182,'Upper Cask Movement &amp; Logistics'!$H$24:$H$31,0),MATCH($K182,'Upper Cask Movement &amp; Logistics'!$H$24:$H$31,0)),"N/A")</f>
        <v>N/A</v>
      </c>
      <c r="M182" s="2665" t="str">
        <f>IFERROR(VLOOKUP($I182,'Upper Cask Movement &amp; Logistics'!$H$4:$I$8,2,FALSE),"N/A")</f>
        <v>N/A</v>
      </c>
      <c r="N182" s="2636" t="str">
        <f t="shared" si="12"/>
        <v>N/A</v>
      </c>
      <c r="O182" s="2666" t="s">
        <v>1279</v>
      </c>
      <c r="P182" s="2636">
        <f>IF($D182="Logistics",VLOOKUP($O182,'Upper Cask Movement &amp; Logistics'!$C$4:$D$209,2,FALSE),"N/A")</f>
        <v>0.60000000000000009</v>
      </c>
      <c r="Q182" s="2667" t="s">
        <v>1304</v>
      </c>
      <c r="R182" s="2636">
        <f>IFERROR(VLOOKUP($Q182,'Upper Cask Dependencies'!$C$3:$F$322,4,FALSE),"N/A")</f>
        <v>110.3732881074291</v>
      </c>
      <c r="S182" s="2668">
        <f t="shared" si="13"/>
        <v>28.446806625947616</v>
      </c>
    </row>
    <row r="183" spans="2:19" x14ac:dyDescent="0.35">
      <c r="B183" s="3924"/>
      <c r="C183" s="2576" t="s">
        <v>1249</v>
      </c>
      <c r="D183" s="2576" t="s">
        <v>3</v>
      </c>
      <c r="E183" s="2569">
        <f t="shared" si="16"/>
        <v>0.38</v>
      </c>
      <c r="F183" s="2569">
        <f t="shared" si="14"/>
        <v>139.80009473337671</v>
      </c>
      <c r="G183" s="2576"/>
      <c r="H183" s="2569" t="str">
        <f>IF($D183="operation",VLOOKUP($G183,'Generic Vertical Port Tasks'!$C$4:$D$197,2,FALSE),"N/A")</f>
        <v>N/A</v>
      </c>
      <c r="I183" s="2576"/>
      <c r="J183" s="2576"/>
      <c r="K183" s="2576"/>
      <c r="L183" s="2571" t="str">
        <f>IFERROR(INDEX('Upper Cask Movement &amp; Logistics'!$I$24:$P$31,MATCH($J183,'Upper Cask Movement &amp; Logistics'!$H$24:$H$31,0),MATCH($K183,'Upper Cask Movement &amp; Logistics'!$H$24:$H$31,0)),"N/A")</f>
        <v>N/A</v>
      </c>
      <c r="M183" s="2571" t="str">
        <f>IFERROR(VLOOKUP($I183,'Upper Cask Movement &amp; Logistics'!$H$4:$I$8,2,FALSE),"N/A")</f>
        <v>N/A</v>
      </c>
      <c r="N183" s="2569" t="str">
        <f t="shared" si="12"/>
        <v>N/A</v>
      </c>
      <c r="O183" s="2666" t="s">
        <v>1226</v>
      </c>
      <c r="P183" s="2569">
        <f>IF($D183="Logistics",VLOOKUP($O183,'Upper Cask Movement &amp; Logistics'!$C$4:$D$209,2,FALSE),"N/A")</f>
        <v>0.38</v>
      </c>
      <c r="Q183" s="2578"/>
      <c r="R183" s="2569" t="str">
        <f>IFERROR(VLOOKUP($Q183,'Upper Cask Dependencies'!$C$3:$F$322,4,FALSE),"N/A")</f>
        <v>N/A</v>
      </c>
      <c r="S183" s="2669" t="str">
        <f t="shared" si="13"/>
        <v>N/A</v>
      </c>
    </row>
    <row r="184" spans="2:19" x14ac:dyDescent="0.35">
      <c r="B184" s="3924"/>
      <c r="C184" s="2576" t="s">
        <v>119</v>
      </c>
      <c r="D184" s="2576" t="s">
        <v>251</v>
      </c>
      <c r="E184" s="2569">
        <f t="shared" si="16"/>
        <v>4.0949999999999998</v>
      </c>
      <c r="F184" s="2569">
        <f t="shared" si="14"/>
        <v>143.89509473337671</v>
      </c>
      <c r="G184" s="2576" t="s">
        <v>35</v>
      </c>
      <c r="H184" s="2569">
        <f>IF($D184="operation",VLOOKUP($G184,'Generic Vertical Port Tasks'!$C$4:$D$197,2,FALSE),"N/A")</f>
        <v>4.0949999999999998</v>
      </c>
      <c r="I184" s="2576"/>
      <c r="J184" s="2576"/>
      <c r="K184" s="2576"/>
      <c r="L184" s="2571" t="str">
        <f>IFERROR(INDEX('Upper Cask Movement &amp; Logistics'!$I$24:$P$31,MATCH($J184,'Upper Cask Movement &amp; Logistics'!$H$24:$H$31,0),MATCH($K184,'Upper Cask Movement &amp; Logistics'!$H$24:$H$31,0)),"N/A")</f>
        <v>N/A</v>
      </c>
      <c r="M184" s="2571" t="str">
        <f>IFERROR(VLOOKUP($I184,'Upper Cask Movement &amp; Logistics'!$H$4:$I$8,2,FALSE),"N/A")</f>
        <v>N/A</v>
      </c>
      <c r="N184" s="2569" t="str">
        <f t="shared" si="12"/>
        <v>N/A</v>
      </c>
      <c r="O184" s="2577"/>
      <c r="P184" s="2569" t="str">
        <f>IF($D184="Logistics",VLOOKUP($O184,'Upper Cask Movement &amp; Logistics'!$C$4:$D$209,2,FALSE),"N/A")</f>
        <v>N/A</v>
      </c>
      <c r="Q184" s="2578"/>
      <c r="R184" s="2569" t="str">
        <f>IFERROR(VLOOKUP($Q184,'Upper Cask Dependencies'!$C$3:$F$322,4,FALSE),"N/A")</f>
        <v>N/A</v>
      </c>
      <c r="S184" s="2669" t="str">
        <f t="shared" si="13"/>
        <v>N/A</v>
      </c>
    </row>
    <row r="185" spans="2:19" ht="13.3" thickBot="1" x14ac:dyDescent="0.4">
      <c r="B185" s="3930"/>
      <c r="C185" s="2670" t="s">
        <v>1251</v>
      </c>
      <c r="D185" s="2691" t="s">
        <v>3</v>
      </c>
      <c r="E185" s="2645">
        <f t="shared" si="16"/>
        <v>0.38</v>
      </c>
      <c r="F185" s="2645">
        <f t="shared" si="14"/>
        <v>144.2750947333767</v>
      </c>
      <c r="G185" s="2670"/>
      <c r="H185" s="2645" t="str">
        <f>IF($D185="operation",VLOOKUP($G185,'Generic Vertical Port Tasks'!$C$4:$D$197,2,FALSE),"N/A")</f>
        <v>N/A</v>
      </c>
      <c r="I185" s="2670"/>
      <c r="J185" s="2670"/>
      <c r="K185" s="2670"/>
      <c r="L185" s="2644" t="str">
        <f>IFERROR(INDEX('Upper Cask Movement &amp; Logistics'!$I$24:$P$31,MATCH($J185,'Upper Cask Movement &amp; Logistics'!$H$24:$H$31,0),MATCH($K185,'Upper Cask Movement &amp; Logistics'!$H$24:$H$31,0)),"N/A")</f>
        <v>N/A</v>
      </c>
      <c r="M185" s="2644" t="str">
        <f>IFERROR(VLOOKUP($I185,'Upper Cask Movement &amp; Logistics'!$H$4:$I$8,2,FALSE),"N/A")</f>
        <v>N/A</v>
      </c>
      <c r="N185" s="2645" t="str">
        <f t="shared" si="12"/>
        <v>N/A</v>
      </c>
      <c r="O185" s="2693" t="s">
        <v>1230</v>
      </c>
      <c r="P185" s="2645">
        <f>IF($D185="Logistics",VLOOKUP($O185,'Upper Cask Movement &amp; Logistics'!$C$4:$D$209,2,FALSE),"N/A")</f>
        <v>0.38</v>
      </c>
      <c r="Q185" s="2672"/>
      <c r="R185" s="2645" t="str">
        <f>IFERROR(VLOOKUP($Q185,'Upper Cask Dependencies'!$C$3:$F$322,4,FALSE),"N/A")</f>
        <v>N/A</v>
      </c>
      <c r="S185" s="2648" t="str">
        <f t="shared" si="13"/>
        <v>N/A</v>
      </c>
    </row>
    <row r="186" spans="2:19" x14ac:dyDescent="0.35">
      <c r="B186" s="3931" t="s">
        <v>1092</v>
      </c>
      <c r="C186" s="2674" t="s">
        <v>1299</v>
      </c>
      <c r="D186" s="2674" t="s">
        <v>3</v>
      </c>
      <c r="E186" s="2675">
        <f t="shared" si="16"/>
        <v>0.38</v>
      </c>
      <c r="F186" s="2675">
        <f t="shared" si="14"/>
        <v>144.6550947333767</v>
      </c>
      <c r="G186" s="2674"/>
      <c r="H186" s="2675" t="str">
        <f>IF($D186="operation",VLOOKUP($G186,'Generic Vertical Port Tasks'!$C$4:$D$197,2,FALSE),"N/A")</f>
        <v>N/A</v>
      </c>
      <c r="I186" s="2674"/>
      <c r="J186" s="2674"/>
      <c r="K186" s="2674"/>
      <c r="L186" s="2563" t="str">
        <f>IFERROR(INDEX('Upper Cask Movement &amp; Logistics'!$I$24:$P$31,MATCH($J186,'Upper Cask Movement &amp; Logistics'!$H$24:$H$31,0),MATCH($K186,'Upper Cask Movement &amp; Logistics'!$H$24:$H$31,0)),"N/A")</f>
        <v>N/A</v>
      </c>
      <c r="M186" s="2676" t="str">
        <f>IFERROR(VLOOKUP($I186,'Upper Cask Movement &amp; Logistics'!$H$4:$I$8,2,FALSE),"N/A")</f>
        <v>N/A</v>
      </c>
      <c r="N186" s="2675" t="str">
        <f t="shared" si="12"/>
        <v>N/A</v>
      </c>
      <c r="O186" s="2677" t="s">
        <v>1226</v>
      </c>
      <c r="P186" s="2675">
        <f>IF($D186="Logistics",VLOOKUP($O186,'Upper Cask Movement &amp; Logistics'!$C$4:$D$209,2,FALSE),"N/A")</f>
        <v>0.38</v>
      </c>
      <c r="Q186" s="2678"/>
      <c r="R186" s="2675" t="str">
        <f>IFERROR(VLOOKUP($Q186,'Upper Cask Dependencies'!$C$3:$F$322,4,FALSE),"N/A")</f>
        <v>N/A</v>
      </c>
      <c r="S186" s="2679" t="str">
        <f t="shared" si="13"/>
        <v>N/A</v>
      </c>
    </row>
    <row r="187" spans="2:19" x14ac:dyDescent="0.35">
      <c r="B187" s="3932"/>
      <c r="C187" s="2680" t="s">
        <v>128</v>
      </c>
      <c r="D187" s="2680" t="s">
        <v>251</v>
      </c>
      <c r="E187" s="2681">
        <f t="shared" si="16"/>
        <v>24.022732551873563</v>
      </c>
      <c r="F187" s="2681">
        <f t="shared" si="14"/>
        <v>168.67782728525026</v>
      </c>
      <c r="G187" s="2680" t="s">
        <v>2492</v>
      </c>
      <c r="H187" s="2681">
        <f>IF($D187="operation",VLOOKUP($G187,'Generic Vertical Port Tasks'!$C$4:$D$197,2,FALSE),"N/A")</f>
        <v>24.022732551873563</v>
      </c>
      <c r="I187" s="2680"/>
      <c r="J187" s="2680"/>
      <c r="K187" s="2680"/>
      <c r="L187" s="2571" t="str">
        <f>IFERROR(INDEX('Upper Cask Movement &amp; Logistics'!$I$24:$P$31,MATCH($J187,'Upper Cask Movement &amp; Logistics'!$H$24:$H$31,0),MATCH($K187,'Upper Cask Movement &amp; Logistics'!$H$24:$H$31,0)),"N/A")</f>
        <v>N/A</v>
      </c>
      <c r="M187" s="2682" t="str">
        <f>IFERROR(VLOOKUP($I187,'Upper Cask Movement &amp; Logistics'!$H$4:$I$8,2,FALSE),"N/A")</f>
        <v>N/A</v>
      </c>
      <c r="N187" s="2681" t="str">
        <f t="shared" si="12"/>
        <v>N/A</v>
      </c>
      <c r="O187" s="2683"/>
      <c r="P187" s="2681" t="str">
        <f>IF($D187="Logistics",VLOOKUP($O187,'Upper Cask Movement &amp; Logistics'!$C$4:$D$209,2,FALSE),"N/A")</f>
        <v>N/A</v>
      </c>
      <c r="Q187" s="2684"/>
      <c r="R187" s="2681" t="str">
        <f>IFERROR(VLOOKUP($Q187,'Upper Cask Dependencies'!$C$3:$F$322,4,FALSE),"N/A")</f>
        <v>N/A</v>
      </c>
      <c r="S187" s="2669" t="str">
        <f t="shared" si="13"/>
        <v>N/A</v>
      </c>
    </row>
    <row r="188" spans="2:19" x14ac:dyDescent="0.35">
      <c r="B188" s="3932"/>
      <c r="C188" s="2680" t="s">
        <v>1248</v>
      </c>
      <c r="D188" s="2680" t="s">
        <v>3</v>
      </c>
      <c r="E188" s="2681">
        <f t="shared" si="16"/>
        <v>0.38</v>
      </c>
      <c r="F188" s="2681">
        <f t="shared" si="14"/>
        <v>169.05782728525026</v>
      </c>
      <c r="G188" s="2680"/>
      <c r="H188" s="2681" t="str">
        <f>IF($D188="operation",VLOOKUP($G188,'Generic Vertical Port Tasks'!$C$4:$D$197,2,FALSE),"N/A")</f>
        <v>N/A</v>
      </c>
      <c r="I188" s="2680"/>
      <c r="J188" s="2680"/>
      <c r="K188" s="2680"/>
      <c r="L188" s="2571" t="str">
        <f>IFERROR(INDEX('Upper Cask Movement &amp; Logistics'!$I$24:$P$31,MATCH($J188,'Upper Cask Movement &amp; Logistics'!$H$24:$H$31,0),MATCH($K188,'Upper Cask Movement &amp; Logistics'!$H$24:$H$31,0)),"N/A")</f>
        <v>N/A</v>
      </c>
      <c r="M188" s="2682" t="str">
        <f>IFERROR(VLOOKUP($I188,'Upper Cask Movement &amp; Logistics'!$H$4:$I$8,2,FALSE),"N/A")</f>
        <v>N/A</v>
      </c>
      <c r="N188" s="2681" t="str">
        <f t="shared" si="12"/>
        <v>N/A</v>
      </c>
      <c r="O188" s="2683" t="s">
        <v>1230</v>
      </c>
      <c r="P188" s="2681">
        <f>IF($D188="Logistics",VLOOKUP($O188,'Upper Cask Movement &amp; Logistics'!$C$4:$D$209,2,FALSE),"N/A")</f>
        <v>0.38</v>
      </c>
      <c r="Q188" s="2684"/>
      <c r="R188" s="2681" t="str">
        <f>IFERROR(VLOOKUP($Q188,'Upper Cask Dependencies'!$C$3:$F$322,4,FALSE),"N/A")</f>
        <v>N/A</v>
      </c>
      <c r="S188" s="2669" t="str">
        <f t="shared" si="13"/>
        <v>N/A</v>
      </c>
    </row>
    <row r="189" spans="2:19" x14ac:dyDescent="0.35">
      <c r="B189" s="3932"/>
      <c r="C189" s="2680" t="s">
        <v>1252</v>
      </c>
      <c r="D189" s="2680" t="s">
        <v>3</v>
      </c>
      <c r="E189" s="2681">
        <f t="shared" si="16"/>
        <v>0.38</v>
      </c>
      <c r="F189" s="2681">
        <f t="shared" si="14"/>
        <v>169.43782728525025</v>
      </c>
      <c r="G189" s="2680"/>
      <c r="H189" s="2681" t="str">
        <f>IF($D189="operation",VLOOKUP($G189,'Generic Vertical Port Tasks'!$C$4:$D$197,2,FALSE),"N/A")</f>
        <v>N/A</v>
      </c>
      <c r="I189" s="2680"/>
      <c r="J189" s="2680"/>
      <c r="K189" s="2680"/>
      <c r="L189" s="2571" t="str">
        <f>IFERROR(INDEX('Upper Cask Movement &amp; Logistics'!$I$24:$P$31,MATCH($J189,'Upper Cask Movement &amp; Logistics'!$H$24:$H$31,0),MATCH($K189,'Upper Cask Movement &amp; Logistics'!$H$24:$H$31,0)),"N/A")</f>
        <v>N/A</v>
      </c>
      <c r="M189" s="2682" t="str">
        <f>IFERROR(VLOOKUP($I189,'Upper Cask Movement &amp; Logistics'!$H$4:$I$8,2,FALSE),"N/A")</f>
        <v>N/A</v>
      </c>
      <c r="N189" s="2681" t="str">
        <f t="shared" si="12"/>
        <v>N/A</v>
      </c>
      <c r="O189" s="2683" t="s">
        <v>1226</v>
      </c>
      <c r="P189" s="2681">
        <f>IF($D189="Logistics",VLOOKUP($O189,'Upper Cask Movement &amp; Logistics'!$C$4:$D$209,2,FALSE),"N/A")</f>
        <v>0.38</v>
      </c>
      <c r="Q189" s="2684"/>
      <c r="R189" s="2681" t="str">
        <f>IFERROR(VLOOKUP($Q189,'Upper Cask Dependencies'!$C$3:$F$322,4,FALSE),"N/A")</f>
        <v>N/A</v>
      </c>
      <c r="S189" s="2669" t="str">
        <f t="shared" si="13"/>
        <v>N/A</v>
      </c>
    </row>
    <row r="190" spans="2:19" x14ac:dyDescent="0.35">
      <c r="B190" s="3932"/>
      <c r="C190" s="2680" t="s">
        <v>882</v>
      </c>
      <c r="D190" s="2680" t="s">
        <v>251</v>
      </c>
      <c r="E190" s="2681">
        <f t="shared" si="16"/>
        <v>7.83</v>
      </c>
      <c r="F190" s="2681">
        <f t="shared" si="14"/>
        <v>177.26782728525026</v>
      </c>
      <c r="G190" s="2680" t="s">
        <v>257</v>
      </c>
      <c r="H190" s="2681">
        <f>IF($D190="operation",VLOOKUP($G190,'Generic Vertical Port Tasks'!$C$4:$D$197,2,FALSE),"N/A")</f>
        <v>7.83</v>
      </c>
      <c r="I190" s="2680"/>
      <c r="J190" s="2680"/>
      <c r="K190" s="2680"/>
      <c r="L190" s="2571" t="str">
        <f>IFERROR(INDEX('Upper Cask Movement &amp; Logistics'!$I$24:$P$31,MATCH($J190,'Upper Cask Movement &amp; Logistics'!$H$24:$H$31,0),MATCH($K190,'Upper Cask Movement &amp; Logistics'!$H$24:$H$31,0)),"N/A")</f>
        <v>N/A</v>
      </c>
      <c r="M190" s="2682" t="str">
        <f>IFERROR(VLOOKUP($I190,'Upper Cask Movement &amp; Logistics'!$H$4:$I$8,2,FALSE),"N/A")</f>
        <v>N/A</v>
      </c>
      <c r="N190" s="2681" t="str">
        <f t="shared" si="12"/>
        <v>N/A</v>
      </c>
      <c r="O190" s="2683"/>
      <c r="P190" s="2681" t="str">
        <f>IF($D190="Logistics",VLOOKUP($O190,'Upper Cask Movement &amp; Logistics'!$C$4:$D$209,2,FALSE),"N/A")</f>
        <v>N/A</v>
      </c>
      <c r="Q190" s="2684"/>
      <c r="R190" s="2681" t="str">
        <f>IFERROR(VLOOKUP($Q190,'Upper Cask Dependencies'!$C$3:$F$322,4,FALSE),"N/A")</f>
        <v>N/A</v>
      </c>
      <c r="S190" s="2669" t="str">
        <f t="shared" si="13"/>
        <v>N/A</v>
      </c>
    </row>
    <row r="191" spans="2:19" ht="13.3" thickBot="1" x14ac:dyDescent="0.4">
      <c r="B191" s="3933"/>
      <c r="C191" s="2685" t="s">
        <v>1246</v>
      </c>
      <c r="D191" s="2685" t="s">
        <v>3</v>
      </c>
      <c r="E191" s="2686">
        <f t="shared" si="16"/>
        <v>0.38</v>
      </c>
      <c r="F191" s="2686">
        <f t="shared" si="14"/>
        <v>177.64782728525026</v>
      </c>
      <c r="G191" s="2685"/>
      <c r="H191" s="2686" t="str">
        <f>IF($D191="operation",VLOOKUP($G191,'Generic Vertical Port Tasks'!$C$4:$D$197,2,FALSE),"N/A")</f>
        <v>N/A</v>
      </c>
      <c r="I191" s="2685"/>
      <c r="J191" s="2685"/>
      <c r="K191" s="2685"/>
      <c r="L191" s="2583" t="str">
        <f>IFERROR(INDEX('Upper Cask Movement &amp; Logistics'!$I$24:$P$31,MATCH($J191,'Upper Cask Movement &amp; Logistics'!$H$24:$H$31,0),MATCH($K191,'Upper Cask Movement &amp; Logistics'!$H$24:$H$31,0)),"N/A")</f>
        <v>N/A</v>
      </c>
      <c r="M191" s="2687" t="str">
        <f>IFERROR(VLOOKUP($I191,'Upper Cask Movement &amp; Logistics'!$H$4:$I$8,2,FALSE),"N/A")</f>
        <v>N/A</v>
      </c>
      <c r="N191" s="2686" t="str">
        <f t="shared" si="12"/>
        <v>N/A</v>
      </c>
      <c r="O191" s="2688" t="s">
        <v>1230</v>
      </c>
      <c r="P191" s="2686">
        <f>IF($D191="Logistics",VLOOKUP($O191,'Upper Cask Movement &amp; Logistics'!$C$4:$D$209,2,FALSE),"N/A")</f>
        <v>0.38</v>
      </c>
      <c r="Q191" s="2689"/>
      <c r="R191" s="2686" t="str">
        <f>IFERROR(VLOOKUP($Q191,'Upper Cask Dependencies'!$C$3:$F$322,4,FALSE),"N/A")</f>
        <v>N/A</v>
      </c>
      <c r="S191" s="2690" t="str">
        <f t="shared" si="13"/>
        <v>N/A</v>
      </c>
    </row>
    <row r="192" spans="2:19" x14ac:dyDescent="0.35">
      <c r="B192" s="3929" t="s">
        <v>120</v>
      </c>
      <c r="C192" s="2664" t="s">
        <v>1305</v>
      </c>
      <c r="D192" s="2664" t="s">
        <v>3</v>
      </c>
      <c r="E192" s="2636">
        <f t="shared" si="16"/>
        <v>0.60000000000000009</v>
      </c>
      <c r="F192" s="2636">
        <f t="shared" si="14"/>
        <v>178.24782728525025</v>
      </c>
      <c r="G192" s="2664"/>
      <c r="H192" s="2636" t="str">
        <f>IF($D192="operation",VLOOKUP($G192,'Generic Vertical Port Tasks'!$C$4:$D$197,2,FALSE),"N/A")</f>
        <v>N/A</v>
      </c>
      <c r="I192" s="2664"/>
      <c r="J192" s="2664"/>
      <c r="K192" s="2664"/>
      <c r="L192" s="2665" t="str">
        <f>IFERROR(INDEX('Upper Cask Movement &amp; Logistics'!$I$24:$P$31,MATCH($J192,'Upper Cask Movement &amp; Logistics'!$H$24:$H$31,0),MATCH($K192,'Upper Cask Movement &amp; Logistics'!$H$24:$H$31,0)),"N/A")</f>
        <v>N/A</v>
      </c>
      <c r="M192" s="2665" t="str">
        <f>IFERROR(VLOOKUP($I192,'Upper Cask Movement &amp; Logistics'!$H$4:$I$8,2,FALSE),"N/A")</f>
        <v>N/A</v>
      </c>
      <c r="N192" s="2636" t="str">
        <f t="shared" si="12"/>
        <v>N/A</v>
      </c>
      <c r="O192" s="2666" t="s">
        <v>1279</v>
      </c>
      <c r="P192" s="2636">
        <f>IF($D192="Logistics",VLOOKUP($O192,'Upper Cask Movement &amp; Logistics'!$C$4:$D$209,2,FALSE),"N/A")</f>
        <v>0.60000000000000009</v>
      </c>
      <c r="Q192" s="2667" t="s">
        <v>1306</v>
      </c>
      <c r="R192" s="2636">
        <f>IFERROR(VLOOKUP($Q192,'Upper Cask Dependencies'!$C$3:$F$322,4,FALSE),"N/A")</f>
        <v>149.20102065930269</v>
      </c>
      <c r="S192" s="2695">
        <f t="shared" si="13"/>
        <v>28.446806625947573</v>
      </c>
    </row>
    <row r="193" spans="2:19" x14ac:dyDescent="0.35">
      <c r="B193" s="3924"/>
      <c r="C193" s="2576" t="s">
        <v>1249</v>
      </c>
      <c r="D193" s="2576" t="s">
        <v>3</v>
      </c>
      <c r="E193" s="2569">
        <f t="shared" si="16"/>
        <v>0.38</v>
      </c>
      <c r="F193" s="2569">
        <f t="shared" si="14"/>
        <v>178.62782728525025</v>
      </c>
      <c r="G193" s="2576"/>
      <c r="H193" s="2569" t="str">
        <f>IF($D193="operation",VLOOKUP($G193,'Generic Vertical Port Tasks'!$C$4:$D$197,2,FALSE),"N/A")</f>
        <v>N/A</v>
      </c>
      <c r="I193" s="2576"/>
      <c r="J193" s="2576"/>
      <c r="K193" s="2576"/>
      <c r="L193" s="2571" t="str">
        <f>IFERROR(INDEX('Upper Cask Movement &amp; Logistics'!$I$24:$P$31,MATCH($J193,'Upper Cask Movement &amp; Logistics'!$H$24:$H$31,0),MATCH($K193,'Upper Cask Movement &amp; Logistics'!$H$24:$H$31,0)),"N/A")</f>
        <v>N/A</v>
      </c>
      <c r="M193" s="2571" t="str">
        <f>IFERROR(VLOOKUP($I193,'Upper Cask Movement &amp; Logistics'!$H$4:$I$8,2,FALSE),"N/A")</f>
        <v>N/A</v>
      </c>
      <c r="N193" s="2569" t="str">
        <f t="shared" si="12"/>
        <v>N/A</v>
      </c>
      <c r="O193" s="2666" t="s">
        <v>1226</v>
      </c>
      <c r="P193" s="2569">
        <f>IF($D193="Logistics",VLOOKUP($O193,'Upper Cask Movement &amp; Logistics'!$C$4:$D$209,2,FALSE),"N/A")</f>
        <v>0.38</v>
      </c>
      <c r="Q193" s="2578"/>
      <c r="R193" s="2569" t="str">
        <f>IFERROR(VLOOKUP($Q193,'Upper Cask Dependencies'!$C$3:$F$322,4,FALSE),"N/A")</f>
        <v>N/A</v>
      </c>
      <c r="S193" s="2579" t="str">
        <f t="shared" si="13"/>
        <v>N/A</v>
      </c>
    </row>
    <row r="194" spans="2:19" x14ac:dyDescent="0.35">
      <c r="B194" s="3924"/>
      <c r="C194" s="2576" t="s">
        <v>120</v>
      </c>
      <c r="D194" s="2576" t="s">
        <v>251</v>
      </c>
      <c r="E194" s="2569">
        <f t="shared" si="16"/>
        <v>4.0949999999999998</v>
      </c>
      <c r="F194" s="2569">
        <f t="shared" si="14"/>
        <v>182.72282728525025</v>
      </c>
      <c r="G194" s="2576" t="s">
        <v>35</v>
      </c>
      <c r="H194" s="2569">
        <f>IF($D194="operation",VLOOKUP($G194,'Generic Vertical Port Tasks'!$C$4:$D$197,2,FALSE),"N/A")</f>
        <v>4.0949999999999998</v>
      </c>
      <c r="I194" s="2576"/>
      <c r="J194" s="2576"/>
      <c r="K194" s="2576"/>
      <c r="L194" s="2571" t="str">
        <f>IFERROR(INDEX('Upper Cask Movement &amp; Logistics'!$I$24:$P$31,MATCH($J194,'Upper Cask Movement &amp; Logistics'!$H$24:$H$31,0),MATCH($K194,'Upper Cask Movement &amp; Logistics'!$H$24:$H$31,0)),"N/A")</f>
        <v>N/A</v>
      </c>
      <c r="M194" s="2571" t="str">
        <f>IFERROR(VLOOKUP($I194,'Upper Cask Movement &amp; Logistics'!$H$4:$I$8,2,FALSE),"N/A")</f>
        <v>N/A</v>
      </c>
      <c r="N194" s="2569" t="str">
        <f t="shared" si="12"/>
        <v>N/A</v>
      </c>
      <c r="O194" s="2577"/>
      <c r="P194" s="2569" t="str">
        <f>IF($D194="Logistics",VLOOKUP($O194,'Upper Cask Movement &amp; Logistics'!$C$4:$D$209,2,FALSE),"N/A")</f>
        <v>N/A</v>
      </c>
      <c r="Q194" s="2578"/>
      <c r="R194" s="2569" t="str">
        <f>IFERROR(VLOOKUP($Q194,'Upper Cask Dependencies'!$C$3:$F$322,4,FALSE),"N/A")</f>
        <v>N/A</v>
      </c>
      <c r="S194" s="2579" t="str">
        <f t="shared" si="13"/>
        <v>N/A</v>
      </c>
    </row>
    <row r="195" spans="2:19" ht="13.3" thickBot="1" x14ac:dyDescent="0.4">
      <c r="B195" s="3930"/>
      <c r="C195" s="2670" t="s">
        <v>1251</v>
      </c>
      <c r="D195" s="2691" t="s">
        <v>3</v>
      </c>
      <c r="E195" s="2645">
        <f t="shared" si="16"/>
        <v>0.38</v>
      </c>
      <c r="F195" s="2645">
        <f t="shared" si="14"/>
        <v>183.10282728525024</v>
      </c>
      <c r="G195" s="2670"/>
      <c r="H195" s="2645" t="str">
        <f>IF($D195="operation",VLOOKUP($G195,'Generic Vertical Port Tasks'!$C$4:$D$197,2,FALSE),"N/A")</f>
        <v>N/A</v>
      </c>
      <c r="I195" s="2670"/>
      <c r="J195" s="2670"/>
      <c r="K195" s="2670"/>
      <c r="L195" s="2644" t="str">
        <f>IFERROR(INDEX('Upper Cask Movement &amp; Logistics'!$I$24:$P$31,MATCH($J195,'Upper Cask Movement &amp; Logistics'!$H$24:$H$31,0),MATCH($K195,'Upper Cask Movement &amp; Logistics'!$H$24:$H$31,0)),"N/A")</f>
        <v>N/A</v>
      </c>
      <c r="M195" s="2644" t="str">
        <f>IFERROR(VLOOKUP($I195,'Upper Cask Movement &amp; Logistics'!$H$4:$I$8,2,FALSE),"N/A")</f>
        <v>N/A</v>
      </c>
      <c r="N195" s="2645" t="str">
        <f t="shared" si="12"/>
        <v>N/A</v>
      </c>
      <c r="O195" s="2693" t="s">
        <v>1230</v>
      </c>
      <c r="P195" s="2645">
        <f>IF($D195="Logistics",VLOOKUP($O195,'Upper Cask Movement &amp; Logistics'!$C$4:$D$209,2,FALSE),"N/A")</f>
        <v>0.38</v>
      </c>
      <c r="Q195" s="2672"/>
      <c r="R195" s="2645" t="str">
        <f>IFERROR(VLOOKUP($Q195,'Upper Cask Dependencies'!$C$3:$F$322,4,FALSE),"N/A")</f>
        <v>N/A</v>
      </c>
      <c r="S195" s="2648" t="str">
        <f t="shared" si="13"/>
        <v>N/A</v>
      </c>
    </row>
    <row r="196" spans="2:19" x14ac:dyDescent="0.35">
      <c r="B196" s="3931" t="s">
        <v>1095</v>
      </c>
      <c r="C196" s="2674" t="s">
        <v>1299</v>
      </c>
      <c r="D196" s="2674" t="s">
        <v>3</v>
      </c>
      <c r="E196" s="2675">
        <f t="shared" si="16"/>
        <v>0.38</v>
      </c>
      <c r="F196" s="2675">
        <f t="shared" si="14"/>
        <v>183.48282728525024</v>
      </c>
      <c r="G196" s="2674"/>
      <c r="H196" s="2675" t="str">
        <f>IF($D196="operation",VLOOKUP($G196,'Generic Vertical Port Tasks'!$C$4:$D$197,2,FALSE),"N/A")</f>
        <v>N/A</v>
      </c>
      <c r="I196" s="2674"/>
      <c r="J196" s="2674"/>
      <c r="K196" s="2674"/>
      <c r="L196" s="2563" t="str">
        <f>IFERROR(INDEX('Upper Cask Movement &amp; Logistics'!$I$24:$P$31,MATCH($J196,'Upper Cask Movement &amp; Logistics'!$H$24:$H$31,0),MATCH($K196,'Upper Cask Movement &amp; Logistics'!$H$24:$H$31,0)),"N/A")</f>
        <v>N/A</v>
      </c>
      <c r="M196" s="2676" t="str">
        <f>IFERROR(VLOOKUP($I196,'Upper Cask Movement &amp; Logistics'!$H$4:$I$8,2,FALSE),"N/A")</f>
        <v>N/A</v>
      </c>
      <c r="N196" s="2675" t="str">
        <f t="shared" si="12"/>
        <v>N/A</v>
      </c>
      <c r="O196" s="2677" t="s">
        <v>1226</v>
      </c>
      <c r="P196" s="2675">
        <f>IF($D196="Logistics",VLOOKUP($O196,'Upper Cask Movement &amp; Logistics'!$C$4:$D$209,2,FALSE),"N/A")</f>
        <v>0.38</v>
      </c>
      <c r="Q196" s="2678"/>
      <c r="R196" s="2675" t="str">
        <f>IFERROR(VLOOKUP($Q196,'Upper Cask Dependencies'!$C$3:$F$322,4,FALSE),"N/A")</f>
        <v>N/A</v>
      </c>
      <c r="S196" s="2679" t="str">
        <f t="shared" si="13"/>
        <v>N/A</v>
      </c>
    </row>
    <row r="197" spans="2:19" x14ac:dyDescent="0.35">
      <c r="B197" s="3932"/>
      <c r="C197" s="2680" t="s">
        <v>126</v>
      </c>
      <c r="D197" s="2680" t="s">
        <v>251</v>
      </c>
      <c r="E197" s="2681">
        <f t="shared" si="16"/>
        <v>24.022732551873563</v>
      </c>
      <c r="F197" s="2681">
        <f t="shared" si="14"/>
        <v>207.5055598371238</v>
      </c>
      <c r="G197" s="2680" t="s">
        <v>2492</v>
      </c>
      <c r="H197" s="2681">
        <f>IF($D197="operation",VLOOKUP($G197,'Generic Vertical Port Tasks'!$C$4:$D$197,2,FALSE),"N/A")</f>
        <v>24.022732551873563</v>
      </c>
      <c r="I197" s="2680"/>
      <c r="J197" s="2680"/>
      <c r="K197" s="2680"/>
      <c r="L197" s="2571" t="str">
        <f>IFERROR(INDEX('Upper Cask Movement &amp; Logistics'!$I$24:$P$31,MATCH($J197,'Upper Cask Movement &amp; Logistics'!$H$24:$H$31,0),MATCH($K197,'Upper Cask Movement &amp; Logistics'!$H$24:$H$31,0)),"N/A")</f>
        <v>N/A</v>
      </c>
      <c r="M197" s="2682" t="str">
        <f>IFERROR(VLOOKUP($I197,'Upper Cask Movement &amp; Logistics'!$H$4:$I$8,2,FALSE),"N/A")</f>
        <v>N/A</v>
      </c>
      <c r="N197" s="2681" t="str">
        <f t="shared" si="12"/>
        <v>N/A</v>
      </c>
      <c r="O197" s="2683"/>
      <c r="P197" s="2681" t="str">
        <f>IF($D197="Logistics",VLOOKUP($O197,'Upper Cask Movement &amp; Logistics'!$C$4:$D$209,2,FALSE),"N/A")</f>
        <v>N/A</v>
      </c>
      <c r="Q197" s="2684"/>
      <c r="R197" s="2681" t="str">
        <f>IFERROR(VLOOKUP($Q197,'Upper Cask Dependencies'!$C$3:$F$322,4,FALSE),"N/A")</f>
        <v>N/A</v>
      </c>
      <c r="S197" s="2669" t="str">
        <f t="shared" si="13"/>
        <v>N/A</v>
      </c>
    </row>
    <row r="198" spans="2:19" x14ac:dyDescent="0.35">
      <c r="B198" s="3932"/>
      <c r="C198" s="2680" t="s">
        <v>1248</v>
      </c>
      <c r="D198" s="2680" t="s">
        <v>3</v>
      </c>
      <c r="E198" s="2681">
        <f t="shared" si="16"/>
        <v>0.38</v>
      </c>
      <c r="F198" s="2681">
        <f t="shared" si="14"/>
        <v>207.88555983712379</v>
      </c>
      <c r="G198" s="2680"/>
      <c r="H198" s="2681" t="str">
        <f>IF($D198="operation",VLOOKUP($G198,'Generic Vertical Port Tasks'!$C$4:$D$197,2,FALSE),"N/A")</f>
        <v>N/A</v>
      </c>
      <c r="I198" s="2680"/>
      <c r="J198" s="2680"/>
      <c r="K198" s="2680"/>
      <c r="L198" s="2571" t="str">
        <f>IFERROR(INDEX('Upper Cask Movement &amp; Logistics'!$I$24:$P$31,MATCH($J198,'Upper Cask Movement &amp; Logistics'!$H$24:$H$31,0),MATCH($K198,'Upper Cask Movement &amp; Logistics'!$H$24:$H$31,0)),"N/A")</f>
        <v>N/A</v>
      </c>
      <c r="M198" s="2682" t="str">
        <f>IFERROR(VLOOKUP($I198,'Upper Cask Movement &amp; Logistics'!$H$4:$I$8,2,FALSE),"N/A")</f>
        <v>N/A</v>
      </c>
      <c r="N198" s="2681" t="str">
        <f t="shared" si="12"/>
        <v>N/A</v>
      </c>
      <c r="O198" s="2683" t="s">
        <v>1230</v>
      </c>
      <c r="P198" s="2681">
        <f>IF($D198="Logistics",VLOOKUP($O198,'Upper Cask Movement &amp; Logistics'!$C$4:$D$209,2,FALSE),"N/A")</f>
        <v>0.38</v>
      </c>
      <c r="Q198" s="2684"/>
      <c r="R198" s="2681" t="str">
        <f>IFERROR(VLOOKUP($Q198,'Upper Cask Dependencies'!$C$3:$F$322,4,FALSE),"N/A")</f>
        <v>N/A</v>
      </c>
      <c r="S198" s="2669" t="str">
        <f t="shared" si="13"/>
        <v>N/A</v>
      </c>
    </row>
    <row r="199" spans="2:19" x14ac:dyDescent="0.35">
      <c r="B199" s="3932"/>
      <c r="C199" s="2680" t="s">
        <v>1252</v>
      </c>
      <c r="D199" s="2680" t="s">
        <v>3</v>
      </c>
      <c r="E199" s="2681">
        <f t="shared" si="16"/>
        <v>0.38</v>
      </c>
      <c r="F199" s="2681">
        <f t="shared" si="14"/>
        <v>208.26555983712379</v>
      </c>
      <c r="G199" s="2680"/>
      <c r="H199" s="2681" t="str">
        <f>IF($D199="operation",VLOOKUP($G199,'Generic Vertical Port Tasks'!$C$4:$D$197,2,FALSE),"N/A")</f>
        <v>N/A</v>
      </c>
      <c r="I199" s="2680"/>
      <c r="J199" s="2680"/>
      <c r="K199" s="2680"/>
      <c r="L199" s="2571" t="str">
        <f>IFERROR(INDEX('Upper Cask Movement &amp; Logistics'!$I$24:$P$31,MATCH($J199,'Upper Cask Movement &amp; Logistics'!$H$24:$H$31,0),MATCH($K199,'Upper Cask Movement &amp; Logistics'!$H$24:$H$31,0)),"N/A")</f>
        <v>N/A</v>
      </c>
      <c r="M199" s="2682" t="str">
        <f>IFERROR(VLOOKUP($I199,'Upper Cask Movement &amp; Logistics'!$H$4:$I$8,2,FALSE),"N/A")</f>
        <v>N/A</v>
      </c>
      <c r="N199" s="2681" t="str">
        <f t="shared" ref="N199:N260" si="17">IF(D199="Movement",IFERROR((L199/M199)/(60*60),"Error"),"N/A")</f>
        <v>N/A</v>
      </c>
      <c r="O199" s="2683" t="s">
        <v>1226</v>
      </c>
      <c r="P199" s="2681">
        <f>IF($D199="Logistics",VLOOKUP($O199,'Upper Cask Movement &amp; Logistics'!$C$4:$D$209,2,FALSE),"N/A")</f>
        <v>0.38</v>
      </c>
      <c r="Q199" s="2684"/>
      <c r="R199" s="2681" t="str">
        <f>IFERROR(VLOOKUP($Q199,'Upper Cask Dependencies'!$C$3:$F$322,4,FALSE),"N/A")</f>
        <v>N/A</v>
      </c>
      <c r="S199" s="2669" t="str">
        <f t="shared" ref="S199:S260" si="18">IFERROR(F198-R199,"N/A")</f>
        <v>N/A</v>
      </c>
    </row>
    <row r="200" spans="2:19" x14ac:dyDescent="0.35">
      <c r="B200" s="3932"/>
      <c r="C200" s="2680" t="s">
        <v>887</v>
      </c>
      <c r="D200" s="2680" t="s">
        <v>251</v>
      </c>
      <c r="E200" s="2681">
        <f t="shared" si="16"/>
        <v>7.83</v>
      </c>
      <c r="F200" s="2681">
        <f>IF(S200&lt;0,E200+F199+(-S200),E200+F199)</f>
        <v>216.0955598371238</v>
      </c>
      <c r="G200" s="2680" t="s">
        <v>257</v>
      </c>
      <c r="H200" s="2681">
        <f>IF($D200="operation",VLOOKUP($G200,'Generic Vertical Port Tasks'!$C$4:$D$197,2,FALSE),"N/A")</f>
        <v>7.83</v>
      </c>
      <c r="I200" s="2680"/>
      <c r="J200" s="2680"/>
      <c r="K200" s="2680"/>
      <c r="L200" s="2571" t="str">
        <f>IFERROR(INDEX('Upper Cask Movement &amp; Logistics'!$I$24:$P$31,MATCH($J200,'Upper Cask Movement &amp; Logistics'!$H$24:$H$31,0),MATCH($K200,'Upper Cask Movement &amp; Logistics'!$H$24:$H$31,0)),"N/A")</f>
        <v>N/A</v>
      </c>
      <c r="M200" s="2682" t="str">
        <f>IFERROR(VLOOKUP($I200,'Upper Cask Movement &amp; Logistics'!$H$4:$I$8,2,FALSE),"N/A")</f>
        <v>N/A</v>
      </c>
      <c r="N200" s="2681" t="str">
        <f t="shared" si="17"/>
        <v>N/A</v>
      </c>
      <c r="O200" s="2683"/>
      <c r="P200" s="2681" t="str">
        <f>IF($D200="Logistics",VLOOKUP($O200,'Upper Cask Movement &amp; Logistics'!$C$4:$D$209,2,FALSE),"N/A")</f>
        <v>N/A</v>
      </c>
      <c r="Q200" s="2684"/>
      <c r="R200" s="2681" t="str">
        <f>IFERROR(VLOOKUP($Q200,'Upper Cask Dependencies'!$C$3:$F$322,4,FALSE),"N/A")</f>
        <v>N/A</v>
      </c>
      <c r="S200" s="2669" t="str">
        <f t="shared" si="18"/>
        <v>N/A</v>
      </c>
    </row>
    <row r="201" spans="2:19" ht="13.3" thickBot="1" x14ac:dyDescent="0.4">
      <c r="B201" s="3933"/>
      <c r="C201" s="2685" t="s">
        <v>1246</v>
      </c>
      <c r="D201" s="2685" t="s">
        <v>3</v>
      </c>
      <c r="E201" s="2686">
        <f t="shared" si="16"/>
        <v>0.38</v>
      </c>
      <c r="F201" s="2686">
        <f>IF(S201&lt;0,E201+F200+(-S201),E201+F200)</f>
        <v>216.4755598371238</v>
      </c>
      <c r="G201" s="2685"/>
      <c r="H201" s="2686" t="str">
        <f>IF($D201="operation",VLOOKUP($G201,'Generic Vertical Port Tasks'!$C$4:$D$197,2,FALSE),"N/A")</f>
        <v>N/A</v>
      </c>
      <c r="I201" s="2685"/>
      <c r="J201" s="2685"/>
      <c r="K201" s="2685"/>
      <c r="L201" s="2583" t="str">
        <f>IFERROR(INDEX('Upper Cask Movement &amp; Logistics'!$I$24:$P$31,MATCH($J201,'Upper Cask Movement &amp; Logistics'!$H$24:$H$31,0),MATCH($K201,'Upper Cask Movement &amp; Logistics'!$H$24:$H$31,0)),"N/A")</f>
        <v>N/A</v>
      </c>
      <c r="M201" s="2687" t="str">
        <f>IFERROR(VLOOKUP($I201,'Upper Cask Movement &amp; Logistics'!$H$4:$I$8,2,FALSE),"N/A")</f>
        <v>N/A</v>
      </c>
      <c r="N201" s="2686" t="str">
        <f t="shared" si="17"/>
        <v>N/A</v>
      </c>
      <c r="O201" s="2688" t="s">
        <v>1230</v>
      </c>
      <c r="P201" s="2686">
        <f>IF($D201="Logistics",VLOOKUP($O201,'Upper Cask Movement &amp; Logistics'!$C$4:$D$209,2,FALSE),"N/A")</f>
        <v>0.38</v>
      </c>
      <c r="Q201" s="2689"/>
      <c r="R201" s="2686" t="str">
        <f>IFERROR(VLOOKUP($Q201,'Upper Cask Dependencies'!$C$3:$F$322,4,FALSE),"N/A")</f>
        <v>N/A</v>
      </c>
      <c r="S201" s="2690" t="str">
        <f t="shared" si="18"/>
        <v>N/A</v>
      </c>
    </row>
    <row r="202" spans="2:19" x14ac:dyDescent="0.35">
      <c r="B202" s="3929" t="s">
        <v>121</v>
      </c>
      <c r="C202" s="2664" t="s">
        <v>1307</v>
      </c>
      <c r="D202" s="2664" t="s">
        <v>3</v>
      </c>
      <c r="E202" s="2636">
        <f t="shared" si="16"/>
        <v>0.60000000000000009</v>
      </c>
      <c r="F202" s="2636">
        <f>IF(S202&lt;0,E202+F201+(-S202),E202+F201)</f>
        <v>217.07555983712379</v>
      </c>
      <c r="G202" s="2664"/>
      <c r="H202" s="2636" t="str">
        <f>IF($D202="operation",VLOOKUP($G202,'Generic Vertical Port Tasks'!$C$4:$D$197,2,FALSE),"N/A")</f>
        <v>N/A</v>
      </c>
      <c r="I202" s="2664"/>
      <c r="J202" s="2664"/>
      <c r="K202" s="2664"/>
      <c r="L202" s="2665" t="str">
        <f>IFERROR(INDEX('Upper Cask Movement &amp; Logistics'!$I$24:$P$31,MATCH($J202,'Upper Cask Movement &amp; Logistics'!$H$24:$H$31,0),MATCH($K202,'Upper Cask Movement &amp; Logistics'!$H$24:$H$31,0)),"N/A")</f>
        <v>N/A</v>
      </c>
      <c r="M202" s="2665" t="str">
        <f>IFERROR(VLOOKUP($I202,'Upper Cask Movement &amp; Logistics'!$H$4:$I$8,2,FALSE),"N/A")</f>
        <v>N/A</v>
      </c>
      <c r="N202" s="2636" t="str">
        <f t="shared" si="17"/>
        <v>N/A</v>
      </c>
      <c r="O202" s="2666" t="s">
        <v>1279</v>
      </c>
      <c r="P202" s="2636">
        <f>IF($D202="Logistics",VLOOKUP($O202,'Upper Cask Movement &amp; Logistics'!$C$4:$D$209,2,FALSE),"N/A")</f>
        <v>0.60000000000000009</v>
      </c>
      <c r="Q202" s="2667" t="s">
        <v>1308</v>
      </c>
      <c r="R202" s="2636">
        <f>IFERROR(VLOOKUP($Q202,'Upper Cask Dependencies'!$C$3:$F$322,4,FALSE),"N/A")</f>
        <v>188.02875321117622</v>
      </c>
      <c r="S202" s="2695">
        <f t="shared" si="18"/>
        <v>28.446806625947573</v>
      </c>
    </row>
    <row r="203" spans="2:19" x14ac:dyDescent="0.35">
      <c r="B203" s="3924"/>
      <c r="C203" s="2576" t="s">
        <v>1249</v>
      </c>
      <c r="D203" s="2576" t="s">
        <v>3</v>
      </c>
      <c r="E203" s="2569">
        <f t="shared" si="16"/>
        <v>0.38</v>
      </c>
      <c r="F203" s="2569">
        <f>IF(S203&lt;0,E203+F202+(-S203),E203+F202)</f>
        <v>217.45555983712379</v>
      </c>
      <c r="G203" s="2576"/>
      <c r="H203" s="2569" t="str">
        <f>IF($D203="operation",VLOOKUP($G203,'Generic Vertical Port Tasks'!$C$4:$D$197,2,FALSE),"N/A")</f>
        <v>N/A</v>
      </c>
      <c r="I203" s="2576"/>
      <c r="J203" s="2576"/>
      <c r="K203" s="2576"/>
      <c r="L203" s="2571" t="str">
        <f>IFERROR(INDEX('Upper Cask Movement &amp; Logistics'!$I$24:$P$31,MATCH($J203,'Upper Cask Movement &amp; Logistics'!$H$24:$H$31,0),MATCH($K203,'Upper Cask Movement &amp; Logistics'!$H$24:$H$31,0)),"N/A")</f>
        <v>N/A</v>
      </c>
      <c r="M203" s="2571" t="str">
        <f>IFERROR(VLOOKUP($I203,'Upper Cask Movement &amp; Logistics'!$H$4:$I$8,2,FALSE),"N/A")</f>
        <v>N/A</v>
      </c>
      <c r="N203" s="2569" t="str">
        <f t="shared" si="17"/>
        <v>N/A</v>
      </c>
      <c r="O203" s="2666" t="s">
        <v>1226</v>
      </c>
      <c r="P203" s="2569">
        <f>IF($D203="Logistics",VLOOKUP($O203,'Upper Cask Movement &amp; Logistics'!$C$4:$D$209,2,FALSE),"N/A")</f>
        <v>0.38</v>
      </c>
      <c r="Q203" s="2578"/>
      <c r="R203" s="2569" t="str">
        <f>IFERROR(VLOOKUP($Q203,'Upper Cask Dependencies'!$C$3:$F$322,4,FALSE),"N/A")</f>
        <v>N/A</v>
      </c>
      <c r="S203" s="2579" t="str">
        <f t="shared" si="18"/>
        <v>N/A</v>
      </c>
    </row>
    <row r="204" spans="2:19" x14ac:dyDescent="0.35">
      <c r="B204" s="3924"/>
      <c r="C204" s="2576" t="s">
        <v>121</v>
      </c>
      <c r="D204" s="2576" t="s">
        <v>251</v>
      </c>
      <c r="E204" s="2569">
        <f t="shared" si="16"/>
        <v>4.0949999999999998</v>
      </c>
      <c r="F204" s="2569">
        <f>IF(S204&lt;0,E204+F203+(-S204),E204+F203)</f>
        <v>221.55055983712379</v>
      </c>
      <c r="G204" s="2576" t="s">
        <v>35</v>
      </c>
      <c r="H204" s="2569">
        <f>IF($D204="operation",VLOOKUP($G204,'Generic Vertical Port Tasks'!$C$4:$D$197,2,FALSE),"N/A")</f>
        <v>4.0949999999999998</v>
      </c>
      <c r="I204" s="2576"/>
      <c r="J204" s="2576"/>
      <c r="K204" s="2576"/>
      <c r="L204" s="2571" t="str">
        <f>IFERROR(INDEX('Upper Cask Movement &amp; Logistics'!$I$24:$P$31,MATCH($J204,'Upper Cask Movement &amp; Logistics'!$H$24:$H$31,0),MATCH($K204,'Upper Cask Movement &amp; Logistics'!$H$24:$H$31,0)),"N/A")</f>
        <v>N/A</v>
      </c>
      <c r="M204" s="2571" t="str">
        <f>IFERROR(VLOOKUP($I204,'Upper Cask Movement &amp; Logistics'!$H$4:$I$8,2,FALSE),"N/A")</f>
        <v>N/A</v>
      </c>
      <c r="N204" s="2569" t="str">
        <f t="shared" si="17"/>
        <v>N/A</v>
      </c>
      <c r="O204" s="2577"/>
      <c r="P204" s="2569" t="str">
        <f>IF($D204="Logistics",VLOOKUP($O204,'Upper Cask Movement &amp; Logistics'!$C$4:$D$209,2,FALSE),"N/A")</f>
        <v>N/A</v>
      </c>
      <c r="Q204" s="2578"/>
      <c r="R204" s="2569" t="str">
        <f>IFERROR(VLOOKUP($Q204,'Upper Cask Dependencies'!$C$3:$F$322,4,FALSE),"N/A")</f>
        <v>N/A</v>
      </c>
      <c r="S204" s="2579" t="str">
        <f t="shared" si="18"/>
        <v>N/A</v>
      </c>
    </row>
    <row r="205" spans="2:19" ht="13.3" thickBot="1" x14ac:dyDescent="0.4">
      <c r="B205" s="3930"/>
      <c r="C205" s="2670" t="s">
        <v>1251</v>
      </c>
      <c r="D205" s="2691" t="s">
        <v>3</v>
      </c>
      <c r="E205" s="2645">
        <f t="shared" si="16"/>
        <v>0.38</v>
      </c>
      <c r="F205" s="2645">
        <f t="shared" ref="F205:F226" si="19">IF(S205&lt;0,E205+F204+(-S205),E205+F204)</f>
        <v>221.93055983712378</v>
      </c>
      <c r="G205" s="2670"/>
      <c r="H205" s="2645" t="str">
        <f>IF($D205="operation",VLOOKUP($G205,'Generic Vertical Port Tasks'!$C$4:$D$197,2,FALSE),"N/A")</f>
        <v>N/A</v>
      </c>
      <c r="I205" s="2670"/>
      <c r="J205" s="2670"/>
      <c r="K205" s="2670"/>
      <c r="L205" s="2644" t="str">
        <f>IFERROR(INDEX('Upper Cask Movement &amp; Logistics'!$I$24:$P$31,MATCH($J205,'Upper Cask Movement &amp; Logistics'!$H$24:$H$31,0),MATCH($K205,'Upper Cask Movement &amp; Logistics'!$H$24:$H$31,0)),"N/A")</f>
        <v>N/A</v>
      </c>
      <c r="M205" s="2644" t="str">
        <f>IFERROR(VLOOKUP($I205,'Upper Cask Movement &amp; Logistics'!$H$4:$I$8,2,FALSE),"N/A")</f>
        <v>N/A</v>
      </c>
      <c r="N205" s="2645" t="str">
        <f t="shared" si="17"/>
        <v>N/A</v>
      </c>
      <c r="O205" s="2693" t="s">
        <v>1230</v>
      </c>
      <c r="P205" s="2645">
        <f>IF($D205="Logistics",VLOOKUP($O205,'Upper Cask Movement &amp; Logistics'!$C$4:$D$209,2,FALSE),"N/A")</f>
        <v>0.38</v>
      </c>
      <c r="Q205" s="2672"/>
      <c r="R205" s="2645" t="str">
        <f>IFERROR(VLOOKUP($Q205,'Upper Cask Dependencies'!$C$3:$F$322,4,FALSE),"N/A")</f>
        <v>N/A</v>
      </c>
      <c r="S205" s="2648" t="str">
        <f t="shared" si="18"/>
        <v>N/A</v>
      </c>
    </row>
    <row r="206" spans="2:19" ht="15" customHeight="1" x14ac:dyDescent="0.35">
      <c r="B206" s="3954" t="s">
        <v>1098</v>
      </c>
      <c r="C206" s="2674" t="s">
        <v>1299</v>
      </c>
      <c r="D206" s="2674" t="s">
        <v>3</v>
      </c>
      <c r="E206" s="2675">
        <f t="shared" si="16"/>
        <v>0.38</v>
      </c>
      <c r="F206" s="2675">
        <f t="shared" si="19"/>
        <v>222.31055983712378</v>
      </c>
      <c r="G206" s="2674"/>
      <c r="H206" s="2675" t="str">
        <f>IF($D206="operation",VLOOKUP($G206,'Generic Vertical Port Tasks'!$C$4:$D$197,2,FALSE),"N/A")</f>
        <v>N/A</v>
      </c>
      <c r="I206" s="2674"/>
      <c r="J206" s="2674"/>
      <c r="K206" s="2674"/>
      <c r="L206" s="2563" t="str">
        <f>IFERROR(INDEX('Upper Cask Movement &amp; Logistics'!$I$24:$P$31,MATCH($J206,'Upper Cask Movement &amp; Logistics'!$H$24:$H$31,0),MATCH($K206,'Upper Cask Movement &amp; Logistics'!$H$24:$H$31,0)),"N/A")</f>
        <v>N/A</v>
      </c>
      <c r="M206" s="2676" t="str">
        <f>IFERROR(VLOOKUP($I206,'Upper Cask Movement &amp; Logistics'!$H$4:$I$8,2,FALSE),"N/A")</f>
        <v>N/A</v>
      </c>
      <c r="N206" s="2675" t="str">
        <f t="shared" si="17"/>
        <v>N/A</v>
      </c>
      <c r="O206" s="2677" t="s">
        <v>1226</v>
      </c>
      <c r="P206" s="2675">
        <f>IF($D206="Logistics",VLOOKUP($O206,'Upper Cask Movement &amp; Logistics'!$C$4:$D$209,2,FALSE),"N/A")</f>
        <v>0.38</v>
      </c>
      <c r="Q206" s="2678"/>
      <c r="R206" s="2675" t="str">
        <f>IFERROR(VLOOKUP($Q206,'Upper Cask Dependencies'!$C$3:$F$322,4,FALSE),"N/A")</f>
        <v>N/A</v>
      </c>
      <c r="S206" s="2679" t="str">
        <f t="shared" si="18"/>
        <v>N/A</v>
      </c>
    </row>
    <row r="207" spans="2:19" x14ac:dyDescent="0.35">
      <c r="B207" s="3955"/>
      <c r="C207" s="2680" t="s">
        <v>124</v>
      </c>
      <c r="D207" s="2680" t="s">
        <v>251</v>
      </c>
      <c r="E207" s="2681">
        <f t="shared" si="16"/>
        <v>24.022732551873563</v>
      </c>
      <c r="F207" s="2681">
        <f t="shared" si="19"/>
        <v>246.33329238899734</v>
      </c>
      <c r="G207" s="2680" t="s">
        <v>2492</v>
      </c>
      <c r="H207" s="2681">
        <f>IF($D207="operation",VLOOKUP($G207,'Generic Vertical Port Tasks'!$C$4:$D$197,2,FALSE),"N/A")</f>
        <v>24.022732551873563</v>
      </c>
      <c r="I207" s="2680"/>
      <c r="J207" s="2680"/>
      <c r="K207" s="2680"/>
      <c r="L207" s="2571" t="str">
        <f>IFERROR(INDEX('Upper Cask Movement &amp; Logistics'!$I$24:$P$31,MATCH($J207,'Upper Cask Movement &amp; Logistics'!$H$24:$H$31,0),MATCH($K207,'Upper Cask Movement &amp; Logistics'!$H$24:$H$31,0)),"N/A")</f>
        <v>N/A</v>
      </c>
      <c r="M207" s="2682" t="str">
        <f>IFERROR(VLOOKUP($I207,'Upper Cask Movement &amp; Logistics'!$H$4:$I$8,2,FALSE),"N/A")</f>
        <v>N/A</v>
      </c>
      <c r="N207" s="2681" t="str">
        <f t="shared" si="17"/>
        <v>N/A</v>
      </c>
      <c r="O207" s="2683"/>
      <c r="P207" s="2681" t="str">
        <f>IF($D207="Logistics",VLOOKUP($O207,'Upper Cask Movement &amp; Logistics'!$C$4:$D$209,2,FALSE),"N/A")</f>
        <v>N/A</v>
      </c>
      <c r="Q207" s="2684"/>
      <c r="R207" s="2681" t="str">
        <f>IFERROR(VLOOKUP($Q207,'Upper Cask Dependencies'!$C$3:$F$322,4,FALSE),"N/A")</f>
        <v>N/A</v>
      </c>
      <c r="S207" s="2669" t="str">
        <f t="shared" si="18"/>
        <v>N/A</v>
      </c>
    </row>
    <row r="208" spans="2:19" x14ac:dyDescent="0.35">
      <c r="B208" s="3955"/>
      <c r="C208" s="2680" t="s">
        <v>1248</v>
      </c>
      <c r="D208" s="2680" t="s">
        <v>3</v>
      </c>
      <c r="E208" s="2681">
        <f t="shared" si="16"/>
        <v>0.38</v>
      </c>
      <c r="F208" s="2681">
        <f t="shared" si="19"/>
        <v>246.71329238899733</v>
      </c>
      <c r="G208" s="2680"/>
      <c r="H208" s="2681" t="str">
        <f>IF($D208="operation",VLOOKUP($G208,'Generic Vertical Port Tasks'!$C$4:$D$197,2,FALSE),"N/A")</f>
        <v>N/A</v>
      </c>
      <c r="I208" s="2680"/>
      <c r="J208" s="2680"/>
      <c r="K208" s="2680"/>
      <c r="L208" s="2571" t="str">
        <f>IFERROR(INDEX('Upper Cask Movement &amp; Logistics'!$I$24:$P$31,MATCH($J208,'Upper Cask Movement &amp; Logistics'!$H$24:$H$31,0),MATCH($K208,'Upper Cask Movement &amp; Logistics'!$H$24:$H$31,0)),"N/A")</f>
        <v>N/A</v>
      </c>
      <c r="M208" s="2682" t="str">
        <f>IFERROR(VLOOKUP($I208,'Upper Cask Movement &amp; Logistics'!$H$4:$I$8,2,FALSE),"N/A")</f>
        <v>N/A</v>
      </c>
      <c r="N208" s="2681" t="str">
        <f t="shared" si="17"/>
        <v>N/A</v>
      </c>
      <c r="O208" s="2683" t="s">
        <v>1230</v>
      </c>
      <c r="P208" s="2681">
        <f>IF($D208="Logistics",VLOOKUP($O208,'Upper Cask Movement &amp; Logistics'!$C$4:$D$209,2,FALSE),"N/A")</f>
        <v>0.38</v>
      </c>
      <c r="Q208" s="2684"/>
      <c r="R208" s="2681" t="str">
        <f>IFERROR(VLOOKUP($Q208,'Upper Cask Dependencies'!$C$3:$F$322,4,FALSE),"N/A")</f>
        <v>N/A</v>
      </c>
      <c r="S208" s="2669" t="str">
        <f t="shared" si="18"/>
        <v>N/A</v>
      </c>
    </row>
    <row r="209" spans="2:19" x14ac:dyDescent="0.35">
      <c r="B209" s="3955"/>
      <c r="C209" s="2680" t="s">
        <v>1252</v>
      </c>
      <c r="D209" s="2680" t="s">
        <v>3</v>
      </c>
      <c r="E209" s="2681">
        <f t="shared" si="16"/>
        <v>0.38</v>
      </c>
      <c r="F209" s="2681">
        <f t="shared" si="19"/>
        <v>247.09329238899733</v>
      </c>
      <c r="G209" s="2680"/>
      <c r="H209" s="2681" t="str">
        <f>IF($D209="operation",VLOOKUP($G209,'Generic Vertical Port Tasks'!$C$4:$D$197,2,FALSE),"N/A")</f>
        <v>N/A</v>
      </c>
      <c r="I209" s="2680"/>
      <c r="J209" s="2680"/>
      <c r="K209" s="2680"/>
      <c r="L209" s="2571" t="str">
        <f>IFERROR(INDEX('Upper Cask Movement &amp; Logistics'!$I$24:$P$31,MATCH($J209,'Upper Cask Movement &amp; Logistics'!$H$24:$H$31,0),MATCH($K209,'Upper Cask Movement &amp; Logistics'!$H$24:$H$31,0)),"N/A")</f>
        <v>N/A</v>
      </c>
      <c r="M209" s="2682" t="str">
        <f>IFERROR(VLOOKUP($I209,'Upper Cask Movement &amp; Logistics'!$H$4:$I$8,2,FALSE),"N/A")</f>
        <v>N/A</v>
      </c>
      <c r="N209" s="2681" t="str">
        <f t="shared" si="17"/>
        <v>N/A</v>
      </c>
      <c r="O209" s="2683" t="s">
        <v>1226</v>
      </c>
      <c r="P209" s="2681">
        <f>IF($D209="Logistics",VLOOKUP($O209,'Upper Cask Movement &amp; Logistics'!$C$4:$D$209,2,FALSE),"N/A")</f>
        <v>0.38</v>
      </c>
      <c r="Q209" s="2684"/>
      <c r="R209" s="2681" t="str">
        <f>IFERROR(VLOOKUP($Q209,'Upper Cask Dependencies'!$C$3:$F$322,4,FALSE),"N/A")</f>
        <v>N/A</v>
      </c>
      <c r="S209" s="2669" t="str">
        <f t="shared" si="18"/>
        <v>N/A</v>
      </c>
    </row>
    <row r="210" spans="2:19" x14ac:dyDescent="0.35">
      <c r="B210" s="3955"/>
      <c r="C210" s="2680" t="s">
        <v>892</v>
      </c>
      <c r="D210" s="2680" t="s">
        <v>251</v>
      </c>
      <c r="E210" s="2681">
        <f t="shared" si="16"/>
        <v>7.83</v>
      </c>
      <c r="F210" s="2681">
        <f t="shared" si="19"/>
        <v>254.92329238899734</v>
      </c>
      <c r="G210" s="2680" t="s">
        <v>257</v>
      </c>
      <c r="H210" s="2681">
        <f>IF($D210="operation",VLOOKUP($G210,'Generic Vertical Port Tasks'!$C$4:$D$197,2,FALSE),"N/A")</f>
        <v>7.83</v>
      </c>
      <c r="I210" s="2680"/>
      <c r="J210" s="2680"/>
      <c r="K210" s="2680"/>
      <c r="L210" s="2571" t="str">
        <f>IFERROR(INDEX('Upper Cask Movement &amp; Logistics'!$I$24:$P$31,MATCH($J210,'Upper Cask Movement &amp; Logistics'!$H$24:$H$31,0),MATCH($K210,'Upper Cask Movement &amp; Logistics'!$H$24:$H$31,0)),"N/A")</f>
        <v>N/A</v>
      </c>
      <c r="M210" s="2682" t="str">
        <f>IFERROR(VLOOKUP($I210,'Upper Cask Movement &amp; Logistics'!$H$4:$I$8,2,FALSE),"N/A")</f>
        <v>N/A</v>
      </c>
      <c r="N210" s="2681" t="str">
        <f t="shared" si="17"/>
        <v>N/A</v>
      </c>
      <c r="O210" s="2683"/>
      <c r="P210" s="2681" t="str">
        <f>IF($D210="Logistics",VLOOKUP($O210,'Upper Cask Movement &amp; Logistics'!$C$4:$D$209,2,FALSE),"N/A")</f>
        <v>N/A</v>
      </c>
      <c r="Q210" s="2684"/>
      <c r="R210" s="2681" t="str">
        <f>IFERROR(VLOOKUP($Q210,'Upper Cask Dependencies'!$C$3:$F$322,4,FALSE),"N/A")</f>
        <v>N/A</v>
      </c>
      <c r="S210" s="2669" t="str">
        <f t="shared" si="18"/>
        <v>N/A</v>
      </c>
    </row>
    <row r="211" spans="2:19" x14ac:dyDescent="0.35">
      <c r="B211" s="3955"/>
      <c r="C211" s="2680" t="s">
        <v>1246</v>
      </c>
      <c r="D211" s="2680" t="s">
        <v>3</v>
      </c>
      <c r="E211" s="2681">
        <f t="shared" si="16"/>
        <v>0.38</v>
      </c>
      <c r="F211" s="2681">
        <f t="shared" si="19"/>
        <v>255.30329238899733</v>
      </c>
      <c r="G211" s="2680"/>
      <c r="H211" s="2681" t="str">
        <f>IF($D211="operation",VLOOKUP($G211,'Generic Vertical Port Tasks'!$C$4:$D$197,2,FALSE),"N/A")</f>
        <v>N/A</v>
      </c>
      <c r="I211" s="2680"/>
      <c r="J211" s="2680"/>
      <c r="K211" s="2680"/>
      <c r="L211" s="2571" t="str">
        <f>IFERROR(INDEX('Upper Cask Movement &amp; Logistics'!$I$24:$P$31,MATCH($J211,'Upper Cask Movement &amp; Logistics'!$H$24:$H$31,0),MATCH($K211,'Upper Cask Movement &amp; Logistics'!$H$24:$H$31,0)),"N/A")</f>
        <v>N/A</v>
      </c>
      <c r="M211" s="2682" t="str">
        <f>IFERROR(VLOOKUP($I211,'Upper Cask Movement &amp; Logistics'!$H$4:$I$8,2,FALSE),"N/A")</f>
        <v>N/A</v>
      </c>
      <c r="N211" s="2681" t="str">
        <f t="shared" si="17"/>
        <v>N/A</v>
      </c>
      <c r="O211" s="2683" t="s">
        <v>1230</v>
      </c>
      <c r="P211" s="2681">
        <f>IF($D211="Logistics",VLOOKUP($O211,'Upper Cask Movement &amp; Logistics'!$C$4:$D$209,2,FALSE),"N/A")</f>
        <v>0.38</v>
      </c>
      <c r="Q211" s="2684"/>
      <c r="R211" s="2681" t="str">
        <f>IFERROR(VLOOKUP($Q211,'Upper Cask Dependencies'!$C$3:$F$322,4,FALSE),"N/A")</f>
        <v>N/A</v>
      </c>
      <c r="S211" s="2669" t="str">
        <f t="shared" si="18"/>
        <v>N/A</v>
      </c>
    </row>
    <row r="212" spans="2:19" ht="13.3" thickBot="1" x14ac:dyDescent="0.4">
      <c r="B212" s="3956"/>
      <c r="C212" s="2685" t="s">
        <v>1259</v>
      </c>
      <c r="D212" s="2685" t="s">
        <v>3</v>
      </c>
      <c r="E212" s="2686">
        <f t="shared" si="16"/>
        <v>2.5400000000000005</v>
      </c>
      <c r="F212" s="2686">
        <f t="shared" si="19"/>
        <v>257.84329238899733</v>
      </c>
      <c r="G212" s="2685"/>
      <c r="H212" s="2686" t="str">
        <f>IF($D212="operation",VLOOKUP($G212,'Generic Vertical Port Tasks'!$C$4:$D$197,2,FALSE),"N/A")</f>
        <v>N/A</v>
      </c>
      <c r="I212" s="2685"/>
      <c r="J212" s="2685"/>
      <c r="K212" s="2685"/>
      <c r="L212" s="2583" t="str">
        <f>IFERROR(INDEX('Upper Cask Movement &amp; Logistics'!$I$24:$P$31,MATCH($J212,'Upper Cask Movement &amp; Logistics'!$H$24:$H$31,0),MATCH($K212,'Upper Cask Movement &amp; Logistics'!$H$24:$H$31,0)),"N/A")</f>
        <v>N/A</v>
      </c>
      <c r="M212" s="2687" t="str">
        <f>IFERROR(VLOOKUP($I212,'Upper Cask Movement &amp; Logistics'!$H$4:$I$8,2,FALSE),"N/A")</f>
        <v>N/A</v>
      </c>
      <c r="N212" s="2686" t="str">
        <f t="shared" si="17"/>
        <v>N/A</v>
      </c>
      <c r="O212" s="2688" t="s">
        <v>1260</v>
      </c>
      <c r="P212" s="2686">
        <f>IF($D212="Logistics",VLOOKUP($O212,'Upper Cask Movement &amp; Logistics'!$C$4:$D$209,2,FALSE),"N/A")</f>
        <v>2.5400000000000005</v>
      </c>
      <c r="Q212" s="2689"/>
      <c r="R212" s="2686" t="str">
        <f>IFERROR(VLOOKUP($Q212,'Upper Cask Dependencies'!$C$3:$F$322,4,FALSE),"N/A")</f>
        <v>N/A</v>
      </c>
      <c r="S212" s="2690" t="str">
        <f t="shared" si="18"/>
        <v>N/A</v>
      </c>
    </row>
    <row r="213" spans="2:19" ht="15" customHeight="1" x14ac:dyDescent="0.35">
      <c r="B213" s="3934" t="s">
        <v>1309</v>
      </c>
      <c r="C213" s="2664" t="s">
        <v>1310</v>
      </c>
      <c r="D213" s="2664" t="s">
        <v>3</v>
      </c>
      <c r="E213" s="2636">
        <f t="shared" si="16"/>
        <v>0.38</v>
      </c>
      <c r="F213" s="2636">
        <f t="shared" si="19"/>
        <v>261.519959055664</v>
      </c>
      <c r="G213" s="2664"/>
      <c r="H213" s="2636" t="str">
        <f>IF($D213="operation",VLOOKUP($G213,'Generic Vertical Port Tasks'!$C$4:$D$197,2,FALSE),"N/A")</f>
        <v>N/A</v>
      </c>
      <c r="I213" s="2664"/>
      <c r="J213" s="2664"/>
      <c r="K213" s="2664"/>
      <c r="L213" s="2665" t="str">
        <f>IFERROR(INDEX('Upper Cask Movement &amp; Logistics'!$I$24:$P$31,MATCH($J213,'Upper Cask Movement &amp; Logistics'!$H$24:$H$31,0),MATCH($K213,'Upper Cask Movement &amp; Logistics'!$H$24:$H$31,0)),"N/A")</f>
        <v>N/A</v>
      </c>
      <c r="M213" s="2665" t="str">
        <f>IFERROR(VLOOKUP($I213,'Upper Cask Movement &amp; Logistics'!$H$4:$I$8,2,FALSE),"N/A")</f>
        <v>N/A</v>
      </c>
      <c r="N213" s="2636" t="str">
        <f t="shared" si="17"/>
        <v>N/A</v>
      </c>
      <c r="O213" s="2666" t="s">
        <v>1226</v>
      </c>
      <c r="P213" s="2636">
        <f>IF($D213="Logistics",VLOOKUP($O213,'Upper Cask Movement &amp; Logistics'!$C$4:$D$209,2,FALSE),"N/A")</f>
        <v>0.38</v>
      </c>
      <c r="Q213" s="2667" t="s">
        <v>1311</v>
      </c>
      <c r="R213" s="2636">
        <f>IFERROR(VLOOKUP($Q213,'Upper Cask Dependencies'!$C$3:$F$322,4,FALSE),"N/A")</f>
        <v>261.13995905566401</v>
      </c>
      <c r="S213" s="2695">
        <f t="shared" si="18"/>
        <v>-3.2966666666666811</v>
      </c>
    </row>
    <row r="214" spans="2:19" ht="15" customHeight="1" x14ac:dyDescent="0.35">
      <c r="B214" s="3934"/>
      <c r="C214" s="2576" t="s">
        <v>1312</v>
      </c>
      <c r="D214" s="2576" t="s">
        <v>3</v>
      </c>
      <c r="E214" s="2569">
        <f t="shared" si="16"/>
        <v>0.60000000000000009</v>
      </c>
      <c r="F214" s="2569">
        <f>IF(S214&lt;0,E214+F213+(-S214),E214+F213)</f>
        <v>262.11995905566403</v>
      </c>
      <c r="G214" s="2576"/>
      <c r="H214" s="2569" t="str">
        <f>IF($D214="operation",VLOOKUP($G214,'Generic Vertical Port Tasks'!$C$4:$D$197,2,FALSE),"N/A")</f>
        <v>N/A</v>
      </c>
      <c r="I214" s="2576"/>
      <c r="J214" s="2576"/>
      <c r="K214" s="2576"/>
      <c r="L214" s="2571" t="str">
        <f>IFERROR(INDEX('Upper Cask Movement &amp; Logistics'!$I$24:$P$31,MATCH($J214,'Upper Cask Movement &amp; Logistics'!$H$24:$H$31,0),MATCH($K214,'Upper Cask Movement &amp; Logistics'!$H$24:$H$31,0)),"N/A")</f>
        <v>N/A</v>
      </c>
      <c r="M214" s="2571" t="str">
        <f>IFERROR(VLOOKUP($I214,'Upper Cask Movement &amp; Logistics'!$H$4:$I$8,2,FALSE),"N/A")</f>
        <v>N/A</v>
      </c>
      <c r="N214" s="2569" t="str">
        <f t="shared" si="17"/>
        <v>N/A</v>
      </c>
      <c r="O214" s="2577" t="s">
        <v>1279</v>
      </c>
      <c r="P214" s="2569">
        <f>IF($D214="Logistics",VLOOKUP($O214,'Upper Cask Movement &amp; Logistics'!$C$4:$D$209,2,FALSE),"N/A")</f>
        <v>0.60000000000000009</v>
      </c>
      <c r="Q214" s="2578" t="s">
        <v>1313</v>
      </c>
      <c r="R214" s="2569">
        <f>IFERROR(VLOOKUP($Q214,'Upper Cask Dependencies'!$C$3:$F$322,4,FALSE),"N/A")</f>
        <v>188.3087532111762</v>
      </c>
      <c r="S214" s="2579">
        <f>IFERROR(F213-R214,"N/A")</f>
        <v>73.211205844487807</v>
      </c>
    </row>
    <row r="215" spans="2:19" ht="15" customHeight="1" x14ac:dyDescent="0.35">
      <c r="B215" s="3934"/>
      <c r="C215" s="2576" t="s">
        <v>142</v>
      </c>
      <c r="D215" s="2576" t="s">
        <v>251</v>
      </c>
      <c r="E215" s="2569">
        <f t="shared" si="16"/>
        <v>3.6949999999999998</v>
      </c>
      <c r="F215" s="2569">
        <f t="shared" si="19"/>
        <v>265.81495905566402</v>
      </c>
      <c r="G215" s="2576" t="s">
        <v>258</v>
      </c>
      <c r="H215" s="2569">
        <f>IF($D215="operation",VLOOKUP($G215,'Generic Vertical Port Tasks'!$C$4:$D$197,2,FALSE),"N/A")</f>
        <v>3.6949999999999998</v>
      </c>
      <c r="I215" s="2576"/>
      <c r="J215" s="2576"/>
      <c r="K215" s="2576"/>
      <c r="L215" s="2571" t="str">
        <f>IFERROR(INDEX('Upper Cask Movement &amp; Logistics'!$I$24:$P$31,MATCH($J215,'Upper Cask Movement &amp; Logistics'!$H$24:$H$31,0),MATCH($K215,'Upper Cask Movement &amp; Logistics'!$H$24:$H$31,0)),"N/A")</f>
        <v>N/A</v>
      </c>
      <c r="M215" s="2571" t="str">
        <f>IFERROR(VLOOKUP($I215,'Upper Cask Movement &amp; Logistics'!$H$4:$I$8,2,FALSE),"N/A")</f>
        <v>N/A</v>
      </c>
      <c r="N215" s="2569" t="str">
        <f t="shared" si="17"/>
        <v>N/A</v>
      </c>
      <c r="O215" s="2577"/>
      <c r="P215" s="2569" t="str">
        <f>IF($D215="Logistics",VLOOKUP($O215,'Upper Cask Movement &amp; Logistics'!$C$4:$D$209,2,FALSE),"N/A")</f>
        <v>N/A</v>
      </c>
      <c r="Q215" s="2578"/>
      <c r="R215" s="2569" t="str">
        <f>IFERROR(VLOOKUP($Q215,'Upper Cask Dependencies'!$C$3:$F$322,4,FALSE),"N/A")</f>
        <v>N/A</v>
      </c>
      <c r="S215" s="2579" t="str">
        <f t="shared" si="18"/>
        <v>N/A</v>
      </c>
    </row>
    <row r="216" spans="2:19" ht="15" customHeight="1" x14ac:dyDescent="0.35">
      <c r="B216" s="3934"/>
      <c r="C216" s="2576" t="s">
        <v>1243</v>
      </c>
      <c r="D216" s="2576" t="s">
        <v>3</v>
      </c>
      <c r="E216" s="2569">
        <f t="shared" si="16"/>
        <v>0.38</v>
      </c>
      <c r="F216" s="2569">
        <f t="shared" si="19"/>
        <v>266.19495905566401</v>
      </c>
      <c r="G216" s="2576"/>
      <c r="H216" s="2569" t="str">
        <f>IF($D216="operation",VLOOKUP($G216,'Generic Vertical Port Tasks'!$C$4:$D$197,2,FALSE),"N/A")</f>
        <v>N/A</v>
      </c>
      <c r="I216" s="2576"/>
      <c r="J216" s="2576"/>
      <c r="K216" s="2576"/>
      <c r="L216" s="2571" t="str">
        <f>IFERROR(INDEX('Upper Cask Movement &amp; Logistics'!$I$24:$P$31,MATCH($J216,'Upper Cask Movement &amp; Logistics'!$H$24:$H$31,0),MATCH($K216,'Upper Cask Movement &amp; Logistics'!$H$24:$H$31,0)),"N/A")</f>
        <v>N/A</v>
      </c>
      <c r="M216" s="2571" t="str">
        <f>IFERROR(VLOOKUP($I216,'Upper Cask Movement &amp; Logistics'!$H$4:$I$8,2,FALSE),"N/A")</f>
        <v>N/A</v>
      </c>
      <c r="N216" s="2569" t="str">
        <f t="shared" si="17"/>
        <v>N/A</v>
      </c>
      <c r="O216" s="2577" t="s">
        <v>1230</v>
      </c>
      <c r="P216" s="2569">
        <f>IF($D216="Logistics",VLOOKUP($O216,'Upper Cask Movement &amp; Logistics'!$C$4:$D$209,2,FALSE),"N/A")</f>
        <v>0.38</v>
      </c>
      <c r="Q216" s="2578"/>
      <c r="R216" s="2569" t="str">
        <f>IFERROR(VLOOKUP($Q216,'Upper Cask Dependencies'!$C$3:$F$322,4,FALSE),"N/A")</f>
        <v>N/A</v>
      </c>
      <c r="S216" s="2579" t="str">
        <f t="shared" si="18"/>
        <v>N/A</v>
      </c>
    </row>
    <row r="217" spans="2:19" ht="15" customHeight="1" x14ac:dyDescent="0.35">
      <c r="B217" s="3934"/>
      <c r="C217" s="2576" t="s">
        <v>1252</v>
      </c>
      <c r="D217" s="2576" t="s">
        <v>3</v>
      </c>
      <c r="E217" s="2569">
        <f t="shared" si="16"/>
        <v>0.38</v>
      </c>
      <c r="F217" s="2569">
        <f t="shared" si="19"/>
        <v>266.57495905566401</v>
      </c>
      <c r="G217" s="2576"/>
      <c r="H217" s="2569" t="str">
        <f>IF($D217="operation",VLOOKUP($G217,'Generic Vertical Port Tasks'!$C$4:$D$197,2,FALSE),"N/A")</f>
        <v>N/A</v>
      </c>
      <c r="I217" s="2576"/>
      <c r="J217" s="2576"/>
      <c r="K217" s="2576"/>
      <c r="L217" s="2571" t="str">
        <f>IFERROR(INDEX('Upper Cask Movement &amp; Logistics'!$I$24:$P$31,MATCH($J217,'Upper Cask Movement &amp; Logistics'!$H$24:$H$31,0),MATCH($K217,'Upper Cask Movement &amp; Logistics'!$H$24:$H$31,0)),"N/A")</f>
        <v>N/A</v>
      </c>
      <c r="M217" s="2571" t="str">
        <f>IFERROR(VLOOKUP($I217,'Upper Cask Movement &amp; Logistics'!$H$4:$I$8,2,FALSE),"N/A")</f>
        <v>N/A</v>
      </c>
      <c r="N217" s="2569" t="str">
        <f t="shared" si="17"/>
        <v>N/A</v>
      </c>
      <c r="O217" s="2577" t="s">
        <v>1226</v>
      </c>
      <c r="P217" s="2569">
        <f>IF($D217="Logistics",VLOOKUP($O217,'Upper Cask Movement &amp; Logistics'!$C$4:$D$209,2,FALSE),"N/A")</f>
        <v>0.38</v>
      </c>
      <c r="Q217" s="2578"/>
      <c r="R217" s="2569" t="str">
        <f>IFERROR(VLOOKUP($Q217,'Upper Cask Dependencies'!$C$3:$F$322,4,FALSE),"N/A")</f>
        <v>N/A</v>
      </c>
      <c r="S217" s="2579" t="str">
        <f t="shared" si="18"/>
        <v>N/A</v>
      </c>
    </row>
    <row r="218" spans="2:19" ht="15" customHeight="1" x14ac:dyDescent="0.35">
      <c r="B218" s="3934"/>
      <c r="C218" s="2576" t="s">
        <v>894</v>
      </c>
      <c r="D218" s="2576" t="s">
        <v>251</v>
      </c>
      <c r="E218" s="2569">
        <f t="shared" si="16"/>
        <v>4.1050000000000004</v>
      </c>
      <c r="F218" s="2569">
        <f t="shared" si="19"/>
        <v>270.67995905566403</v>
      </c>
      <c r="G218" s="2576" t="s">
        <v>36</v>
      </c>
      <c r="H218" s="2569">
        <f>IF($D218="operation",VLOOKUP($G218,'Generic Vertical Port Tasks'!$C$4:$D$197,2,FALSE),"N/A")</f>
        <v>4.1050000000000004</v>
      </c>
      <c r="I218" s="2576"/>
      <c r="J218" s="2576"/>
      <c r="K218" s="2576"/>
      <c r="L218" s="2571" t="str">
        <f>IFERROR(INDEX('Upper Cask Movement &amp; Logistics'!$I$24:$P$31,MATCH($J218,'Upper Cask Movement &amp; Logistics'!$H$24:$H$31,0),MATCH($K218,'Upper Cask Movement &amp; Logistics'!$H$24:$H$31,0)),"N/A")</f>
        <v>N/A</v>
      </c>
      <c r="M218" s="2571" t="str">
        <f>IFERROR(VLOOKUP($I218,'Upper Cask Movement &amp; Logistics'!$H$4:$I$8,2,FALSE),"N/A")</f>
        <v>N/A</v>
      </c>
      <c r="N218" s="2569" t="str">
        <f t="shared" si="17"/>
        <v>N/A</v>
      </c>
      <c r="O218" s="2577"/>
      <c r="P218" s="2569" t="str">
        <f>IF($D218="Logistics",VLOOKUP($O218,'Upper Cask Movement &amp; Logistics'!$C$4:$D$209,2,FALSE),"N/A")</f>
        <v>N/A</v>
      </c>
      <c r="Q218" s="2578"/>
      <c r="R218" s="2569" t="str">
        <f>IFERROR(VLOOKUP($Q218,'Upper Cask Dependencies'!$C$3:$F$322,4,FALSE),"N/A")</f>
        <v>N/A</v>
      </c>
      <c r="S218" s="2579" t="str">
        <f t="shared" si="18"/>
        <v>N/A</v>
      </c>
    </row>
    <row r="219" spans="2:19" ht="15.75" customHeight="1" x14ac:dyDescent="0.35">
      <c r="B219" s="3934"/>
      <c r="C219" s="2670" t="s">
        <v>1232</v>
      </c>
      <c r="D219" s="2670" t="s">
        <v>3</v>
      </c>
      <c r="E219" s="2645">
        <f t="shared" si="16"/>
        <v>0.38</v>
      </c>
      <c r="F219" s="2645">
        <f t="shared" si="19"/>
        <v>271.05995905566402</v>
      </c>
      <c r="G219" s="2670"/>
      <c r="H219" s="2645" t="str">
        <f>IF($D219="operation",VLOOKUP($G219,'Generic Vertical Port Tasks'!$C$4:$D$197,2,FALSE),"N/A")</f>
        <v>N/A</v>
      </c>
      <c r="I219" s="2670"/>
      <c r="J219" s="2670"/>
      <c r="K219" s="2670"/>
      <c r="L219" s="2644" t="str">
        <f>IFERROR(INDEX('Upper Cask Movement &amp; Logistics'!$I$24:$P$31,MATCH($J219,'Upper Cask Movement &amp; Logistics'!$H$24:$H$31,0),MATCH($K219,'Upper Cask Movement &amp; Logistics'!$H$24:$H$31,0)),"N/A")</f>
        <v>N/A</v>
      </c>
      <c r="M219" s="2644" t="str">
        <f>IFERROR(VLOOKUP($I219,'Upper Cask Movement &amp; Logistics'!$H$4:$I$8,2,FALSE),"N/A")</f>
        <v>N/A</v>
      </c>
      <c r="N219" s="2645" t="str">
        <f t="shared" si="17"/>
        <v>N/A</v>
      </c>
      <c r="O219" s="2693" t="s">
        <v>1230</v>
      </c>
      <c r="P219" s="2645">
        <f>IF($D219="Logistics",VLOOKUP($O219,'Upper Cask Movement &amp; Logistics'!$C$4:$D$209,2,FALSE),"N/A")</f>
        <v>0.38</v>
      </c>
      <c r="Q219" s="2672"/>
      <c r="R219" s="2645" t="str">
        <f>IFERROR(VLOOKUP($Q219,'Upper Cask Dependencies'!$C$3:$F$322,4,FALSE),"N/A")</f>
        <v>N/A</v>
      </c>
      <c r="S219" s="2648" t="str">
        <f t="shared" si="18"/>
        <v>N/A</v>
      </c>
    </row>
    <row r="220" spans="2:19" s="2593" customFormat="1" x14ac:dyDescent="0.35">
      <c r="B220" s="3934"/>
      <c r="C220" s="2576" t="s">
        <v>2394</v>
      </c>
      <c r="D220" s="2576" t="s">
        <v>3</v>
      </c>
      <c r="E220" s="2569">
        <f t="shared" si="16"/>
        <v>0.38</v>
      </c>
      <c r="F220" s="2569">
        <f t="shared" si="19"/>
        <v>271.43995905566402</v>
      </c>
      <c r="G220" s="2576"/>
      <c r="H220" s="2569" t="str">
        <f>IF($D220="operation",VLOOKUP($G220,'Generic Vertical Port Tasks'!$C$4:$D$197,2,FALSE),"N/A")</f>
        <v>N/A</v>
      </c>
      <c r="I220" s="2576"/>
      <c r="J220" s="2576"/>
      <c r="K220" s="2576"/>
      <c r="L220" s="2571" t="str">
        <f>IFERROR(INDEX('Upper Cask Movement &amp; Logistics'!$I$24:$P$31,MATCH($J220,'Upper Cask Movement &amp; Logistics'!$H$24:$H$31,0),MATCH($K220,'Upper Cask Movement &amp; Logistics'!$H$24:$H$31,0)),"N/A")</f>
        <v>N/A</v>
      </c>
      <c r="M220" s="2571" t="str">
        <f>IFERROR(VLOOKUP($I220,'Upper Cask Movement &amp; Logistics'!$H$4:$I$8,2,FALSE),"N/A")</f>
        <v>N/A</v>
      </c>
      <c r="N220" s="2569" t="str">
        <f t="shared" si="17"/>
        <v>N/A</v>
      </c>
      <c r="O220" s="2577" t="s">
        <v>1226</v>
      </c>
      <c r="P220" s="2569">
        <f>IF($D220="Logistics",VLOOKUP($O220,'Upper Cask Movement &amp; Logistics'!$C$4:$D$209,2,FALSE),"N/A")</f>
        <v>0.38</v>
      </c>
      <c r="Q220" s="2578"/>
      <c r="R220" s="2569" t="str">
        <f>IFERROR(VLOOKUP($Q220,'Upper Cask Dependencies'!$C$3:$F$322,4,FALSE),"N/A")</f>
        <v>N/A</v>
      </c>
      <c r="S220" s="2579" t="str">
        <f>IFERROR(F217-R220,"N/A")</f>
        <v>N/A</v>
      </c>
    </row>
    <row r="221" spans="2:19" s="2593" customFormat="1" x14ac:dyDescent="0.35">
      <c r="B221" s="3934"/>
      <c r="C221" s="2664" t="s">
        <v>2641</v>
      </c>
      <c r="D221" s="2664" t="s">
        <v>251</v>
      </c>
      <c r="E221" s="2636">
        <f t="shared" si="16"/>
        <v>5.7722222222222221</v>
      </c>
      <c r="F221" s="2636">
        <f t="shared" si="19"/>
        <v>277.21218127788626</v>
      </c>
      <c r="G221" s="2664" t="s">
        <v>2385</v>
      </c>
      <c r="H221" s="2636">
        <f>IF($D221="operation",VLOOKUP($G221,'Generic Vertical Port Tasks'!$C$4:$D$197,2,FALSE),"N/A")</f>
        <v>5.7722222222222221</v>
      </c>
      <c r="I221" s="2664"/>
      <c r="J221" s="2664"/>
      <c r="K221" s="2664"/>
      <c r="L221" s="2665" t="str">
        <f>IFERROR(INDEX('Upper Cask Movement &amp; Logistics'!$I$24:$P$31,MATCH($J221,'Upper Cask Movement &amp; Logistics'!$H$24:$H$31,0),MATCH($K221,'Upper Cask Movement &amp; Logistics'!$H$24:$H$31,0)),"N/A")</f>
        <v>N/A</v>
      </c>
      <c r="M221" s="2665" t="str">
        <f>IFERROR(VLOOKUP($I221,'Upper Cask Movement &amp; Logistics'!$H$4:$I$8,2,FALSE),"N/A")</f>
        <v>N/A</v>
      </c>
      <c r="N221" s="2636" t="str">
        <f t="shared" si="17"/>
        <v>N/A</v>
      </c>
      <c r="O221" s="2666"/>
      <c r="P221" s="2636" t="str">
        <f>IF($D221="Logistics",VLOOKUP($O221,'Upper Cask Movement &amp; Logistics'!$C$4:$D$209,2,FALSE),"N/A")</f>
        <v>N/A</v>
      </c>
      <c r="Q221" s="2667"/>
      <c r="R221" s="2636" t="str">
        <f>IFERROR(VLOOKUP($Q221,'Upper Cask Dependencies'!$C$3:$F$322,4,FALSE),"N/A")</f>
        <v>N/A</v>
      </c>
      <c r="S221" s="2695" t="str">
        <f>IFERROR(F218-R221,"N/A")</f>
        <v>N/A</v>
      </c>
    </row>
    <row r="222" spans="2:19" s="2593" customFormat="1" ht="13.3" thickBot="1" x14ac:dyDescent="0.4">
      <c r="B222" s="3938"/>
      <c r="C222" s="2664" t="s">
        <v>2395</v>
      </c>
      <c r="D222" s="2664" t="s">
        <v>3</v>
      </c>
      <c r="E222" s="2636">
        <f t="shared" si="16"/>
        <v>0.38</v>
      </c>
      <c r="F222" s="2636">
        <f t="shared" si="19"/>
        <v>277.59218127788625</v>
      </c>
      <c r="G222" s="2664"/>
      <c r="H222" s="2636" t="str">
        <f>IF($D222="operation",VLOOKUP($G222,'Generic Vertical Port Tasks'!$C$4:$D$197,2,FALSE),"N/A")</f>
        <v>N/A</v>
      </c>
      <c r="I222" s="2664"/>
      <c r="J222" s="2664"/>
      <c r="K222" s="2664"/>
      <c r="L222" s="2665" t="str">
        <f>IFERROR(INDEX('Upper Cask Movement &amp; Logistics'!$I$24:$P$31,MATCH($J222,'Upper Cask Movement &amp; Logistics'!$H$24:$H$31,0),MATCH($K222,'Upper Cask Movement &amp; Logistics'!$H$24:$H$31,0)),"N/A")</f>
        <v>N/A</v>
      </c>
      <c r="M222" s="2665" t="str">
        <f>IFERROR(VLOOKUP($I222,'Upper Cask Movement &amp; Logistics'!$H$4:$I$8,2,FALSE),"N/A")</f>
        <v>N/A</v>
      </c>
      <c r="N222" s="2636" t="str">
        <f t="shared" si="17"/>
        <v>N/A</v>
      </c>
      <c r="O222" s="2666" t="s">
        <v>1226</v>
      </c>
      <c r="P222" s="2636">
        <f>IF($D222="Logistics",VLOOKUP($O222,'Upper Cask Movement &amp; Logistics'!$C$4:$D$209,2,FALSE),"N/A")</f>
        <v>0.38</v>
      </c>
      <c r="Q222" s="2667"/>
      <c r="R222" s="2636" t="str">
        <f>IFERROR(VLOOKUP($Q222,'Upper Cask Dependencies'!$C$3:$F$322,4,FALSE),"N/A")</f>
        <v>N/A</v>
      </c>
      <c r="S222" s="2695" t="str">
        <f>IFERROR(F219-R222,"N/A")</f>
        <v>N/A</v>
      </c>
    </row>
    <row r="223" spans="2:19" ht="30" customHeight="1" x14ac:dyDescent="0.35">
      <c r="B223" s="3957" t="s">
        <v>777</v>
      </c>
      <c r="C223" s="2674" t="s">
        <v>1314</v>
      </c>
      <c r="D223" s="2674" t="s">
        <v>3</v>
      </c>
      <c r="E223" s="2675">
        <f t="shared" si="16"/>
        <v>0.38</v>
      </c>
      <c r="F223" s="2675">
        <f t="shared" si="19"/>
        <v>277.97218127788625</v>
      </c>
      <c r="G223" s="2674"/>
      <c r="H223" s="2675" t="str">
        <f>IF($D223="operation",VLOOKUP($G223,'Generic Vertical Port Tasks'!$C$4:$D$197,2,FALSE),"N/A")</f>
        <v>N/A</v>
      </c>
      <c r="I223" s="2674"/>
      <c r="J223" s="2674"/>
      <c r="K223" s="2674"/>
      <c r="L223" s="2563" t="str">
        <f>IFERROR(INDEX('Upper Cask Movement &amp; Logistics'!$I$24:$P$31,MATCH($J223,'Upper Cask Movement &amp; Logistics'!$H$24:$H$31,0),MATCH($K223,'Upper Cask Movement &amp; Logistics'!$H$24:$H$31,0)),"N/A")</f>
        <v>N/A</v>
      </c>
      <c r="M223" s="2676" t="str">
        <f>IFERROR(VLOOKUP($I223,'Upper Cask Movement &amp; Logistics'!$H$4:$I$8,2,FALSE),"N/A")</f>
        <v>N/A</v>
      </c>
      <c r="N223" s="2675" t="str">
        <f t="shared" si="17"/>
        <v>N/A</v>
      </c>
      <c r="O223" s="2677" t="s">
        <v>1226</v>
      </c>
      <c r="P223" s="2675">
        <f>IF($D223="Logistics",VLOOKUP($O223,'Upper Cask Movement &amp; Logistics'!$C$4:$D$209,2,FALSE),"N/A")</f>
        <v>0.38</v>
      </c>
      <c r="Q223" s="2678"/>
      <c r="R223" s="2675" t="str">
        <f>IFERROR(VLOOKUP($Q223,'Upper Cask Dependencies'!$C$3:$F$322,4,FALSE),"N/A")</f>
        <v>N/A</v>
      </c>
      <c r="S223" s="2679" t="str">
        <f>IFERROR(F219-R223,"N/A")</f>
        <v>N/A</v>
      </c>
    </row>
    <row r="224" spans="2:19" x14ac:dyDescent="0.35">
      <c r="B224" s="3958"/>
      <c r="C224" s="2680" t="s">
        <v>1315</v>
      </c>
      <c r="D224" s="2680" t="s">
        <v>3</v>
      </c>
      <c r="E224" s="2681">
        <f t="shared" si="16"/>
        <v>0.60000000000000009</v>
      </c>
      <c r="F224" s="2681">
        <f t="shared" si="19"/>
        <v>278.57218127788627</v>
      </c>
      <c r="G224" s="2680"/>
      <c r="H224" s="2681" t="str">
        <f>IF($D224="operation",VLOOKUP($G224,'Generic Vertical Port Tasks'!$C$4:$D$197,2,FALSE),"N/A")</f>
        <v>N/A</v>
      </c>
      <c r="I224" s="2680"/>
      <c r="J224" s="2680"/>
      <c r="K224" s="2680"/>
      <c r="L224" s="2571" t="str">
        <f>IFERROR(INDEX('Upper Cask Movement &amp; Logistics'!$I$24:$P$31,MATCH($J224,'Upper Cask Movement &amp; Logistics'!$H$24:$H$31,0),MATCH($K224,'Upper Cask Movement &amp; Logistics'!$H$24:$H$31,0)),"N/A")</f>
        <v>N/A</v>
      </c>
      <c r="M224" s="2682" t="str">
        <f>IFERROR(VLOOKUP($I224,'Upper Cask Movement &amp; Logistics'!$H$4:$I$8,2,FALSE),"N/A")</f>
        <v>N/A</v>
      </c>
      <c r="N224" s="2681" t="str">
        <f t="shared" si="17"/>
        <v>N/A</v>
      </c>
      <c r="O224" s="2683" t="s">
        <v>1279</v>
      </c>
      <c r="P224" s="2681">
        <f>IF($D224="Logistics",VLOOKUP($O224,'Upper Cask Movement &amp; Logistics'!$C$4:$D$209,2,FALSE),"N/A")</f>
        <v>0.60000000000000009</v>
      </c>
      <c r="Q224" s="2684" t="s">
        <v>1316</v>
      </c>
      <c r="R224" s="2681">
        <f>IFERROR(VLOOKUP($Q224,'Upper Cask Dependencies'!$C$3:$F$322,4,FALSE),"N/A")</f>
        <v>269.50866275936772</v>
      </c>
      <c r="S224" s="2669">
        <f t="shared" si="18"/>
        <v>8.4635185185185264</v>
      </c>
    </row>
    <row r="225" spans="2:19" x14ac:dyDescent="0.35">
      <c r="B225" s="3958"/>
      <c r="C225" s="2680" t="s">
        <v>143</v>
      </c>
      <c r="D225" s="2680" t="s">
        <v>251</v>
      </c>
      <c r="E225" s="2681">
        <f t="shared" si="16"/>
        <v>0.37500000000000006</v>
      </c>
      <c r="F225" s="2681">
        <f t="shared" si="19"/>
        <v>278.94718127788627</v>
      </c>
      <c r="G225" s="2680" t="s">
        <v>259</v>
      </c>
      <c r="H225" s="2681">
        <f>IF($D225="operation",VLOOKUP($G225,'Generic Vertical Port Tasks'!$C$4:$D$197,2,FALSE),"N/A")</f>
        <v>0.37500000000000006</v>
      </c>
      <c r="I225" s="2680"/>
      <c r="J225" s="2680"/>
      <c r="K225" s="2680"/>
      <c r="L225" s="2571" t="str">
        <f>IFERROR(INDEX('Upper Cask Movement &amp; Logistics'!$I$24:$P$31,MATCH($J225,'Upper Cask Movement &amp; Logistics'!$H$24:$H$31,0),MATCH($K225,'Upper Cask Movement &amp; Logistics'!$H$24:$H$31,0)),"N/A")</f>
        <v>N/A</v>
      </c>
      <c r="M225" s="2682" t="str">
        <f>IFERROR(VLOOKUP($I225,'Upper Cask Movement &amp; Logistics'!$H$4:$I$8,2,FALSE),"N/A")</f>
        <v>N/A</v>
      </c>
      <c r="N225" s="2681" t="str">
        <f t="shared" si="17"/>
        <v>N/A</v>
      </c>
      <c r="O225" s="2683"/>
      <c r="P225" s="2681" t="str">
        <f>IF($D225="Logistics",VLOOKUP($O225,'Upper Cask Movement &amp; Logistics'!$C$4:$D$209,2,FALSE),"N/A")</f>
        <v>N/A</v>
      </c>
      <c r="Q225" s="2684"/>
      <c r="R225" s="2681" t="str">
        <f>IFERROR(VLOOKUP($Q225,'Upper Cask Dependencies'!$C$3:$F$322,4,FALSE),"N/A")</f>
        <v>N/A</v>
      </c>
      <c r="S225" s="2669" t="str">
        <f t="shared" si="18"/>
        <v>N/A</v>
      </c>
    </row>
    <row r="226" spans="2:19" x14ac:dyDescent="0.35">
      <c r="B226" s="3958"/>
      <c r="C226" s="2680" t="s">
        <v>1317</v>
      </c>
      <c r="D226" s="2680" t="s">
        <v>3</v>
      </c>
      <c r="E226" s="2681">
        <f t="shared" si="16"/>
        <v>0.38</v>
      </c>
      <c r="F226" s="2681">
        <f t="shared" si="19"/>
        <v>279.32718127788627</v>
      </c>
      <c r="G226" s="2680"/>
      <c r="H226" s="2681" t="str">
        <f>IF($D226="operation",VLOOKUP($G226,'Generic Vertical Port Tasks'!$C$4:$D$197,2,FALSE),"N/A")</f>
        <v>N/A</v>
      </c>
      <c r="I226" s="2680"/>
      <c r="J226" s="2680"/>
      <c r="K226" s="2680"/>
      <c r="L226" s="2571" t="str">
        <f>IFERROR(INDEX('Upper Cask Movement &amp; Logistics'!$I$24:$P$31,MATCH($J226,'Upper Cask Movement &amp; Logistics'!$H$24:$H$31,0),MATCH($K226,'Upper Cask Movement &amp; Logistics'!$H$24:$H$31,0)),"N/A")</f>
        <v>N/A</v>
      </c>
      <c r="M226" s="2682" t="str">
        <f>IFERROR(VLOOKUP($I226,'Upper Cask Movement &amp; Logistics'!$H$4:$I$8,2,FALSE),"N/A")</f>
        <v>N/A</v>
      </c>
      <c r="N226" s="2681" t="str">
        <f t="shared" si="17"/>
        <v>N/A</v>
      </c>
      <c r="O226" s="2683" t="s">
        <v>1230</v>
      </c>
      <c r="P226" s="2681">
        <f>IF($D226="Logistics",VLOOKUP($O226,'Upper Cask Movement &amp; Logistics'!$C$4:$D$209,2,FALSE),"N/A")</f>
        <v>0.38</v>
      </c>
      <c r="Q226" s="2684"/>
      <c r="R226" s="2681" t="str">
        <f>IFERROR(VLOOKUP($Q226,'Upper Cask Dependencies'!$C$3:$F$322,4,FALSE),"N/A")</f>
        <v>N/A</v>
      </c>
      <c r="S226" s="2669" t="str">
        <f t="shared" si="18"/>
        <v>N/A</v>
      </c>
    </row>
    <row r="227" spans="2:19" x14ac:dyDescent="0.35">
      <c r="B227" s="3958"/>
      <c r="C227" s="2680" t="s">
        <v>1252</v>
      </c>
      <c r="D227" s="2680" t="s">
        <v>3</v>
      </c>
      <c r="E227" s="2681">
        <f t="shared" si="16"/>
        <v>0.38</v>
      </c>
      <c r="F227" s="2681">
        <f>IF(S227&lt;0,E227+F226+(-S227),E227+F226)</f>
        <v>279.70718127788626</v>
      </c>
      <c r="G227" s="2680"/>
      <c r="H227" s="2681" t="str">
        <f>IF($D227="operation",VLOOKUP($G227,'Generic Vertical Port Tasks'!$C$4:$D$197,2,FALSE),"N/A")</f>
        <v>N/A</v>
      </c>
      <c r="I227" s="2680"/>
      <c r="J227" s="2680"/>
      <c r="K227" s="2680"/>
      <c r="L227" s="2571" t="str">
        <f>IFERROR(INDEX('Upper Cask Movement &amp; Logistics'!$I$24:$P$31,MATCH($J227,'Upper Cask Movement &amp; Logistics'!$H$24:$H$31,0),MATCH($K227,'Upper Cask Movement &amp; Logistics'!$H$24:$H$31,0)),"N/A")</f>
        <v>N/A</v>
      </c>
      <c r="M227" s="2682" t="str">
        <f>IFERROR(VLOOKUP($I227,'Upper Cask Movement &amp; Logistics'!$H$4:$I$8,2,FALSE),"N/A")</f>
        <v>N/A</v>
      </c>
      <c r="N227" s="2681" t="str">
        <f t="shared" si="17"/>
        <v>N/A</v>
      </c>
      <c r="O227" s="2683" t="s">
        <v>1226</v>
      </c>
      <c r="P227" s="2681">
        <f>IF($D227="Logistics",VLOOKUP($O227,'Upper Cask Movement &amp; Logistics'!$C$4:$D$209,2,FALSE),"N/A")</f>
        <v>0.38</v>
      </c>
      <c r="Q227" s="2684"/>
      <c r="R227" s="2681" t="str">
        <f>IFERROR(VLOOKUP($Q227,'Upper Cask Dependencies'!$C$3:$F$322,4,FALSE),"N/A")</f>
        <v>N/A</v>
      </c>
      <c r="S227" s="2669" t="str">
        <f t="shared" si="18"/>
        <v>N/A</v>
      </c>
    </row>
    <row r="228" spans="2:19" x14ac:dyDescent="0.35">
      <c r="B228" s="3958"/>
      <c r="C228" s="2680" t="s">
        <v>898</v>
      </c>
      <c r="D228" s="2680" t="s">
        <v>251</v>
      </c>
      <c r="E228" s="2681">
        <f t="shared" si="16"/>
        <v>34.32</v>
      </c>
      <c r="F228" s="2681">
        <f t="shared" ref="F228:F250" si="20">IF(S228&lt;0,E228+F227+(-S228),E228+F227)</f>
        <v>314.02718127788626</v>
      </c>
      <c r="G228" s="2680" t="s">
        <v>37</v>
      </c>
      <c r="H228" s="2681">
        <f>IF($D228="operation",VLOOKUP($G228,'Generic Vertical Port Tasks'!$C$4:$D$197,2,FALSE),"N/A")</f>
        <v>34.32</v>
      </c>
      <c r="I228" s="2680"/>
      <c r="J228" s="2680"/>
      <c r="K228" s="2680"/>
      <c r="L228" s="2571" t="str">
        <f>IFERROR(INDEX('Upper Cask Movement &amp; Logistics'!$I$24:$P$31,MATCH($J228,'Upper Cask Movement &amp; Logistics'!$H$24:$H$31,0),MATCH($K228,'Upper Cask Movement &amp; Logistics'!$H$24:$H$31,0)),"N/A")</f>
        <v>N/A</v>
      </c>
      <c r="M228" s="2682" t="str">
        <f>IFERROR(VLOOKUP($I228,'Upper Cask Movement &amp; Logistics'!$H$4:$I$8,2,FALSE),"N/A")</f>
        <v>N/A</v>
      </c>
      <c r="N228" s="2681" t="str">
        <f t="shared" si="17"/>
        <v>N/A</v>
      </c>
      <c r="O228" s="2683"/>
      <c r="P228" s="2681" t="str">
        <f>IF($D228="Logistics",VLOOKUP($O228,'Upper Cask Movement &amp; Logistics'!$C$4:$D$209,2,FALSE),"N/A")</f>
        <v>N/A</v>
      </c>
      <c r="Q228" s="2684"/>
      <c r="R228" s="2681" t="str">
        <f>IFERROR(VLOOKUP($Q228,'Upper Cask Dependencies'!$C$3:$F$322,4,FALSE),"N/A")</f>
        <v>N/A</v>
      </c>
      <c r="S228" s="2669" t="str">
        <f t="shared" si="18"/>
        <v>N/A</v>
      </c>
    </row>
    <row r="229" spans="2:19" ht="13.3" thickBot="1" x14ac:dyDescent="0.4">
      <c r="B229" s="3959"/>
      <c r="C229" s="2685" t="s">
        <v>1232</v>
      </c>
      <c r="D229" s="2685" t="s">
        <v>3</v>
      </c>
      <c r="E229" s="2686">
        <f t="shared" si="16"/>
        <v>0.38</v>
      </c>
      <c r="F229" s="2686">
        <f t="shared" si="20"/>
        <v>314.40718127788625</v>
      </c>
      <c r="G229" s="2685"/>
      <c r="H229" s="2686" t="str">
        <f>IF($D229="operation",VLOOKUP($G229,'Generic Vertical Port Tasks'!$C$4:$D$197,2,FALSE),"N/A")</f>
        <v>N/A</v>
      </c>
      <c r="I229" s="2685"/>
      <c r="J229" s="2685"/>
      <c r="K229" s="2685"/>
      <c r="L229" s="2583" t="str">
        <f>IFERROR(INDEX('Upper Cask Movement &amp; Logistics'!$I$24:$P$31,MATCH($J229,'Upper Cask Movement &amp; Logistics'!$H$24:$H$31,0),MATCH($K229,'Upper Cask Movement &amp; Logistics'!$H$24:$H$31,0)),"N/A")</f>
        <v>N/A</v>
      </c>
      <c r="M229" s="2687" t="str">
        <f>IFERROR(VLOOKUP($I229,'Upper Cask Movement &amp; Logistics'!$H$4:$I$8,2,FALSE),"N/A")</f>
        <v>N/A</v>
      </c>
      <c r="N229" s="2686" t="str">
        <f t="shared" si="17"/>
        <v>N/A</v>
      </c>
      <c r="O229" s="2688" t="s">
        <v>1230</v>
      </c>
      <c r="P229" s="2686">
        <f>IF($D229="Logistics",VLOOKUP($O229,'Upper Cask Movement &amp; Logistics'!$C$4:$D$209,2,FALSE),"N/A")</f>
        <v>0.38</v>
      </c>
      <c r="Q229" s="2689"/>
      <c r="R229" s="2686" t="str">
        <f>IFERROR(VLOOKUP($Q229,'Upper Cask Dependencies'!$C$3:$F$322,4,FALSE),"N/A")</f>
        <v>N/A</v>
      </c>
      <c r="S229" s="2690" t="str">
        <f t="shared" si="18"/>
        <v>N/A</v>
      </c>
    </row>
    <row r="230" spans="2:19" ht="30" customHeight="1" x14ac:dyDescent="0.35">
      <c r="B230" s="3934" t="s">
        <v>1318</v>
      </c>
      <c r="C230" s="2664" t="s">
        <v>1319</v>
      </c>
      <c r="D230" s="2664" t="s">
        <v>3</v>
      </c>
      <c r="E230" s="2636">
        <f t="shared" si="16"/>
        <v>0.38</v>
      </c>
      <c r="F230" s="2636">
        <f t="shared" si="20"/>
        <v>314.78718127788625</v>
      </c>
      <c r="G230" s="2664"/>
      <c r="H230" s="2636" t="str">
        <f>IF($D230="operation",VLOOKUP($G230,'Generic Vertical Port Tasks'!$C$4:$D$197,2,FALSE),"N/A")</f>
        <v>N/A</v>
      </c>
      <c r="I230" s="2664"/>
      <c r="J230" s="2664"/>
      <c r="K230" s="2664"/>
      <c r="L230" s="2665" t="str">
        <f>IFERROR(INDEX('Upper Cask Movement &amp; Logistics'!$I$24:$P$31,MATCH($J230,'Upper Cask Movement &amp; Logistics'!$H$24:$H$31,0),MATCH($K230,'Upper Cask Movement &amp; Logistics'!$H$24:$H$31,0)),"N/A")</f>
        <v>N/A</v>
      </c>
      <c r="M230" s="2665" t="str">
        <f>IFERROR(VLOOKUP($I230,'Upper Cask Movement &amp; Logistics'!$H$4:$I$8,2,FALSE),"N/A")</f>
        <v>N/A</v>
      </c>
      <c r="N230" s="2636" t="str">
        <f t="shared" si="17"/>
        <v>N/A</v>
      </c>
      <c r="O230" s="2666" t="s">
        <v>1226</v>
      </c>
      <c r="P230" s="2636">
        <f>IF($D230="Logistics",VLOOKUP($O230,'Upper Cask Movement &amp; Logistics'!$C$4:$D$209,2,FALSE),"N/A")</f>
        <v>0.38</v>
      </c>
      <c r="Q230" s="2667"/>
      <c r="R230" s="2636" t="str">
        <f>IFERROR(VLOOKUP($Q230,'Upper Cask Dependencies'!$C$3:$F$322,4,FALSE),"N/A")</f>
        <v>N/A</v>
      </c>
      <c r="S230" s="2695" t="str">
        <f t="shared" si="18"/>
        <v>N/A</v>
      </c>
    </row>
    <row r="231" spans="2:19" x14ac:dyDescent="0.35">
      <c r="B231" s="3934"/>
      <c r="C231" s="2576" t="s">
        <v>1320</v>
      </c>
      <c r="D231" s="2576" t="s">
        <v>3</v>
      </c>
      <c r="E231" s="2569">
        <f t="shared" si="16"/>
        <v>0.60000000000000009</v>
      </c>
      <c r="F231" s="2569">
        <f t="shared" si="20"/>
        <v>317.46088498158997</v>
      </c>
      <c r="G231" s="2576"/>
      <c r="H231" s="2569" t="str">
        <f>IF($D231="operation",VLOOKUP($G231,'Generic Vertical Port Tasks'!$C$4:$D$197,2,FALSE),"N/A")</f>
        <v>N/A</v>
      </c>
      <c r="I231" s="2576"/>
      <c r="J231" s="2576"/>
      <c r="K231" s="2576"/>
      <c r="L231" s="2571" t="str">
        <f>IFERROR(INDEX('Upper Cask Movement &amp; Logistics'!$I$24:$P$31,MATCH($J231,'Upper Cask Movement &amp; Logistics'!$H$24:$H$31,0),MATCH($K231,'Upper Cask Movement &amp; Logistics'!$H$24:$H$31,0)),"N/A")</f>
        <v>N/A</v>
      </c>
      <c r="M231" s="2571" t="str">
        <f>IFERROR(VLOOKUP($I231,'Upper Cask Movement &amp; Logistics'!$H$4:$I$8,2,FALSE),"N/A")</f>
        <v>N/A</v>
      </c>
      <c r="N231" s="2569" t="str">
        <f t="shared" si="17"/>
        <v>N/A</v>
      </c>
      <c r="O231" s="2577" t="s">
        <v>1279</v>
      </c>
      <c r="P231" s="2569">
        <f>IF($D231="Logistics",VLOOKUP($O231,'Upper Cask Movement &amp; Logistics'!$C$4:$D$209,2,FALSE),"N/A")</f>
        <v>0.60000000000000009</v>
      </c>
      <c r="Q231" s="2578" t="s">
        <v>1321</v>
      </c>
      <c r="R231" s="2569">
        <f>IFERROR(VLOOKUP($Q231,'Upper Cask Dependencies'!$C$3:$F$322,4,FALSE),"N/A")</f>
        <v>316.86088498158995</v>
      </c>
      <c r="S231" s="2579">
        <f t="shared" si="18"/>
        <v>-2.0737037037036998</v>
      </c>
    </row>
    <row r="232" spans="2:19" x14ac:dyDescent="0.35">
      <c r="B232" s="3934"/>
      <c r="C232" s="2576" t="s">
        <v>44</v>
      </c>
      <c r="D232" s="2576" t="s">
        <v>251</v>
      </c>
      <c r="E232" s="2569">
        <f t="shared" si="16"/>
        <v>0.16666666666666666</v>
      </c>
      <c r="F232" s="2569">
        <f t="shared" si="20"/>
        <v>317.62755164825666</v>
      </c>
      <c r="G232" s="2576" t="s">
        <v>260</v>
      </c>
      <c r="H232" s="2569">
        <f>IF($D232="operation",VLOOKUP($G232,'Generic Vertical Port Tasks'!$C$4:$D$197,2,FALSE),"N/A")</f>
        <v>0.16666666666666666</v>
      </c>
      <c r="I232" s="2576"/>
      <c r="J232" s="2576"/>
      <c r="K232" s="2576"/>
      <c r="L232" s="2571" t="str">
        <f>IFERROR(INDEX('Upper Cask Movement &amp; Logistics'!$I$24:$P$31,MATCH($J232,'Upper Cask Movement &amp; Logistics'!$H$24:$H$31,0),MATCH($K232,'Upper Cask Movement &amp; Logistics'!$H$24:$H$31,0)),"N/A")</f>
        <v>N/A</v>
      </c>
      <c r="M232" s="2571" t="str">
        <f>IFERROR(VLOOKUP($I232,'Upper Cask Movement &amp; Logistics'!$H$4:$I$8,2,FALSE),"N/A")</f>
        <v>N/A</v>
      </c>
      <c r="N232" s="2569" t="str">
        <f t="shared" si="17"/>
        <v>N/A</v>
      </c>
      <c r="O232" s="2577"/>
      <c r="P232" s="2569" t="str">
        <f>IF($D232="Logistics",VLOOKUP($O232,'Upper Cask Movement &amp; Logistics'!$C$4:$D$209,2,FALSE),"N/A")</f>
        <v>N/A</v>
      </c>
      <c r="Q232" s="2578"/>
      <c r="R232" s="2569" t="str">
        <f>IFERROR(VLOOKUP($Q232,'Upper Cask Dependencies'!$C$3:$F$322,4,FALSE),"N/A")</f>
        <v>N/A</v>
      </c>
      <c r="S232" s="2579" t="str">
        <f t="shared" si="18"/>
        <v>N/A</v>
      </c>
    </row>
    <row r="233" spans="2:19" x14ac:dyDescent="0.35">
      <c r="B233" s="3934"/>
      <c r="C233" s="2576" t="s">
        <v>1235</v>
      </c>
      <c r="D233" s="2576" t="s">
        <v>3</v>
      </c>
      <c r="E233" s="2569">
        <f t="shared" si="16"/>
        <v>0.38</v>
      </c>
      <c r="F233" s="2569">
        <f t="shared" si="20"/>
        <v>318.00755164825665</v>
      </c>
      <c r="G233" s="2576"/>
      <c r="H233" s="2569" t="str">
        <f>IF($D233="operation",VLOOKUP($G233,'Generic Vertical Port Tasks'!$C$4:$D$197,2,FALSE),"N/A")</f>
        <v>N/A</v>
      </c>
      <c r="I233" s="2576"/>
      <c r="J233" s="2576"/>
      <c r="K233" s="2576"/>
      <c r="L233" s="2571" t="str">
        <f>IFERROR(INDEX('Upper Cask Movement &amp; Logistics'!$I$24:$P$31,MATCH($J233,'Upper Cask Movement &amp; Logistics'!$H$24:$H$31,0),MATCH($K233,'Upper Cask Movement &amp; Logistics'!$H$24:$H$31,0)),"N/A")</f>
        <v>N/A</v>
      </c>
      <c r="M233" s="2571" t="str">
        <f>IFERROR(VLOOKUP($I233,'Upper Cask Movement &amp; Logistics'!$H$4:$I$8,2,FALSE),"N/A")</f>
        <v>N/A</v>
      </c>
      <c r="N233" s="2569" t="str">
        <f t="shared" si="17"/>
        <v>N/A</v>
      </c>
      <c r="O233" s="2577" t="s">
        <v>1230</v>
      </c>
      <c r="P233" s="2569">
        <f>IF($D233="Logistics",VLOOKUP($O233,'Upper Cask Movement &amp; Logistics'!$C$4:$D$209,2,FALSE),"N/A")</f>
        <v>0.38</v>
      </c>
      <c r="Q233" s="2578"/>
      <c r="R233" s="2569" t="str">
        <f>IFERROR(VLOOKUP($Q233,'Upper Cask Dependencies'!$C$3:$F$322,4,FALSE),"N/A")</f>
        <v>N/A</v>
      </c>
      <c r="S233" s="2579" t="str">
        <f t="shared" si="18"/>
        <v>N/A</v>
      </c>
    </row>
    <row r="234" spans="2:19" x14ac:dyDescent="0.35">
      <c r="B234" s="3934"/>
      <c r="C234" s="2576" t="s">
        <v>1252</v>
      </c>
      <c r="D234" s="2576" t="s">
        <v>3</v>
      </c>
      <c r="E234" s="2569">
        <f t="shared" si="16"/>
        <v>0.38</v>
      </c>
      <c r="F234" s="2569">
        <f t="shared" si="20"/>
        <v>318.38755164825665</v>
      </c>
      <c r="G234" s="2576"/>
      <c r="H234" s="2569" t="str">
        <f>IF($D234="operation",VLOOKUP($G234,'Generic Vertical Port Tasks'!$C$4:$D$197,2,FALSE),"N/A")</f>
        <v>N/A</v>
      </c>
      <c r="I234" s="2576"/>
      <c r="J234" s="2576"/>
      <c r="K234" s="2576"/>
      <c r="L234" s="2571" t="str">
        <f>IFERROR(INDEX('Upper Cask Movement &amp; Logistics'!$I$24:$P$31,MATCH($J234,'Upper Cask Movement &amp; Logistics'!$H$24:$H$31,0),MATCH($K234,'Upper Cask Movement &amp; Logistics'!$H$24:$H$31,0)),"N/A")</f>
        <v>N/A</v>
      </c>
      <c r="M234" s="2571" t="str">
        <f>IFERROR(VLOOKUP($I234,'Upper Cask Movement &amp; Logistics'!$H$4:$I$8,2,FALSE),"N/A")</f>
        <v>N/A</v>
      </c>
      <c r="N234" s="2569" t="str">
        <f t="shared" si="17"/>
        <v>N/A</v>
      </c>
      <c r="O234" s="2577" t="s">
        <v>1226</v>
      </c>
      <c r="P234" s="2569">
        <f>IF($D234="Logistics",VLOOKUP($O234,'Upper Cask Movement &amp; Logistics'!$C$4:$D$209,2,FALSE),"N/A")</f>
        <v>0.38</v>
      </c>
      <c r="Q234" s="2578"/>
      <c r="R234" s="2569" t="str">
        <f>IFERROR(VLOOKUP($Q234,'Upper Cask Dependencies'!$C$3:$F$322,4,FALSE),"N/A")</f>
        <v>N/A</v>
      </c>
      <c r="S234" s="2579" t="str">
        <f t="shared" si="18"/>
        <v>N/A</v>
      </c>
    </row>
    <row r="235" spans="2:19" x14ac:dyDescent="0.35">
      <c r="B235" s="3934"/>
      <c r="C235" s="2576" t="s">
        <v>899</v>
      </c>
      <c r="D235" s="2576" t="s">
        <v>251</v>
      </c>
      <c r="E235" s="2569">
        <f t="shared" si="16"/>
        <v>14.565</v>
      </c>
      <c r="F235" s="2569">
        <f t="shared" si="20"/>
        <v>332.95255164825664</v>
      </c>
      <c r="G235" s="2576" t="s">
        <v>261</v>
      </c>
      <c r="H235" s="2569">
        <f>IF($D235="operation",VLOOKUP($G235,'Generic Vertical Port Tasks'!$C$4:$D$197,2,FALSE),"N/A")</f>
        <v>14.565</v>
      </c>
      <c r="I235" s="2576"/>
      <c r="J235" s="2576"/>
      <c r="K235" s="2576"/>
      <c r="L235" s="2571" t="str">
        <f>IFERROR(INDEX('Upper Cask Movement &amp; Logistics'!$I$24:$P$31,MATCH($J235,'Upper Cask Movement &amp; Logistics'!$H$24:$H$31,0),MATCH($K235,'Upper Cask Movement &amp; Logistics'!$H$24:$H$31,0)),"N/A")</f>
        <v>N/A</v>
      </c>
      <c r="M235" s="2571" t="str">
        <f>IFERROR(VLOOKUP($I235,'Upper Cask Movement &amp; Logistics'!$H$4:$I$8,2,FALSE),"N/A")</f>
        <v>N/A</v>
      </c>
      <c r="N235" s="2569" t="str">
        <f t="shared" si="17"/>
        <v>N/A</v>
      </c>
      <c r="O235" s="2577"/>
      <c r="P235" s="2569" t="str">
        <f>IF($D235="Logistics",VLOOKUP($O235,'Upper Cask Movement &amp; Logistics'!$C$4:$D$209,2,FALSE),"N/A")</f>
        <v>N/A</v>
      </c>
      <c r="Q235" s="2578"/>
      <c r="R235" s="2569" t="str">
        <f>IFERROR(VLOOKUP($Q235,'Upper Cask Dependencies'!$C$3:$F$322,4,FALSE),"N/A")</f>
        <v>N/A</v>
      </c>
      <c r="S235" s="2579" t="str">
        <f t="shared" si="18"/>
        <v>N/A</v>
      </c>
    </row>
    <row r="236" spans="2:19" x14ac:dyDescent="0.35">
      <c r="B236" s="3934"/>
      <c r="C236" s="2670" t="s">
        <v>1232</v>
      </c>
      <c r="D236" s="2670" t="s">
        <v>3</v>
      </c>
      <c r="E236" s="2645">
        <f t="shared" si="16"/>
        <v>0.38</v>
      </c>
      <c r="F236" s="2645">
        <f t="shared" si="20"/>
        <v>333.33255164825664</v>
      </c>
      <c r="G236" s="2670"/>
      <c r="H236" s="2645" t="str">
        <f>IF($D236="operation",VLOOKUP($G236,'Generic Vertical Port Tasks'!$C$4:$D$197,2,FALSE),"N/A")</f>
        <v>N/A</v>
      </c>
      <c r="I236" s="2670"/>
      <c r="J236" s="2670"/>
      <c r="K236" s="2670"/>
      <c r="L236" s="2644" t="str">
        <f>IFERROR(INDEX('Upper Cask Movement &amp; Logistics'!$I$24:$P$31,MATCH($J236,'Upper Cask Movement &amp; Logistics'!$H$24:$H$31,0),MATCH($K236,'Upper Cask Movement &amp; Logistics'!$H$24:$H$31,0)),"N/A")</f>
        <v>N/A</v>
      </c>
      <c r="M236" s="2644" t="str">
        <f>IFERROR(VLOOKUP($I236,'Upper Cask Movement &amp; Logistics'!$H$4:$I$8,2,FALSE),"N/A")</f>
        <v>N/A</v>
      </c>
      <c r="N236" s="2645" t="str">
        <f t="shared" si="17"/>
        <v>N/A</v>
      </c>
      <c r="O236" s="2693" t="s">
        <v>1230</v>
      </c>
      <c r="P236" s="2645">
        <f>IF($D236="Logistics",VLOOKUP($O236,'Upper Cask Movement &amp; Logistics'!$C$4:$D$209,2,FALSE),"N/A")</f>
        <v>0.38</v>
      </c>
      <c r="Q236" s="2672"/>
      <c r="R236" s="2645" t="str">
        <f>IFERROR(VLOOKUP($Q236,'Upper Cask Dependencies'!$C$3:$F$322,4,FALSE),"N/A")</f>
        <v>N/A</v>
      </c>
      <c r="S236" s="2648" t="str">
        <f t="shared" si="18"/>
        <v>N/A</v>
      </c>
    </row>
    <row r="237" spans="2:19" s="2593" customFormat="1" x14ac:dyDescent="0.35">
      <c r="B237" s="3934"/>
      <c r="C237" s="2576" t="s">
        <v>2394</v>
      </c>
      <c r="D237" s="2576" t="s">
        <v>3</v>
      </c>
      <c r="E237" s="2569">
        <f t="shared" si="16"/>
        <v>0.38</v>
      </c>
      <c r="F237" s="2569">
        <f t="shared" si="20"/>
        <v>333.71255164825664</v>
      </c>
      <c r="G237" s="2576"/>
      <c r="H237" s="2569" t="str">
        <f>IF($D237="operation",VLOOKUP($G237,'Generic Vertical Port Tasks'!$C$4:$D$197,2,FALSE),"N/A")</f>
        <v>N/A</v>
      </c>
      <c r="I237" s="2576"/>
      <c r="J237" s="2576"/>
      <c r="K237" s="2576"/>
      <c r="L237" s="2571" t="str">
        <f>IFERROR(INDEX('Upper Cask Movement &amp; Logistics'!$I$24:$P$31,MATCH($J237,'Upper Cask Movement &amp; Logistics'!$H$24:$H$31,0),MATCH($K237,'Upper Cask Movement &amp; Logistics'!$H$24:$H$31,0)),"N/A")</f>
        <v>N/A</v>
      </c>
      <c r="M237" s="2571" t="str">
        <f>IFERROR(VLOOKUP($I237,'Upper Cask Movement &amp; Logistics'!$H$4:$I$8,2,FALSE),"N/A")</f>
        <v>N/A</v>
      </c>
      <c r="N237" s="2569" t="str">
        <f>IF(D237="Movement",IFERROR((L237/M237)/(60*60),"Error"),"N/A")</f>
        <v>N/A</v>
      </c>
      <c r="O237" s="2577" t="s">
        <v>1226</v>
      </c>
      <c r="P237" s="2569">
        <f>IF($D237="Logistics",VLOOKUP($O237,'Upper Cask Movement &amp; Logistics'!$C$4:$D$209,2,FALSE),"N/A")</f>
        <v>0.38</v>
      </c>
      <c r="Q237" s="2578"/>
      <c r="R237" s="2569" t="str">
        <f>IFERROR(VLOOKUP($Q237,'Upper Cask Dependencies'!$C$3:$F$322,4,FALSE),"N/A")</f>
        <v>N/A</v>
      </c>
      <c r="S237" s="2579" t="str">
        <f>IFERROR(F234-R237,"N/A")</f>
        <v>N/A</v>
      </c>
    </row>
    <row r="238" spans="2:19" s="2593" customFormat="1" x14ac:dyDescent="0.35">
      <c r="B238" s="3934"/>
      <c r="C238" s="2664" t="s">
        <v>2641</v>
      </c>
      <c r="D238" s="2664" t="s">
        <v>251</v>
      </c>
      <c r="E238" s="2636">
        <f t="shared" si="16"/>
        <v>5.7722222222222221</v>
      </c>
      <c r="F238" s="2636">
        <f t="shared" si="20"/>
        <v>339.48477387047888</v>
      </c>
      <c r="G238" s="2664" t="s">
        <v>2385</v>
      </c>
      <c r="H238" s="2636">
        <f>IF($D238="operation",VLOOKUP($G238,'Generic Vertical Port Tasks'!$C$4:$D$197,2,FALSE),"N/A")</f>
        <v>5.7722222222222221</v>
      </c>
      <c r="I238" s="2664"/>
      <c r="J238" s="2664"/>
      <c r="K238" s="2664"/>
      <c r="L238" s="2665" t="str">
        <f>IFERROR(INDEX('Upper Cask Movement &amp; Logistics'!$I$24:$P$31,MATCH($J238,'Upper Cask Movement &amp; Logistics'!$H$24:$H$31,0),MATCH($K238,'Upper Cask Movement &amp; Logistics'!$H$24:$H$31,0)),"N/A")</f>
        <v>N/A</v>
      </c>
      <c r="M238" s="2665" t="str">
        <f>IFERROR(VLOOKUP($I238,'Upper Cask Movement &amp; Logistics'!$H$4:$I$8,2,FALSE),"N/A")</f>
        <v>N/A</v>
      </c>
      <c r="N238" s="2636" t="str">
        <f>IF(D238="Movement",IFERROR((L238/M238)/(60*60),"Error"),"N/A")</f>
        <v>N/A</v>
      </c>
      <c r="O238" s="2666"/>
      <c r="P238" s="2636" t="str">
        <f>IF($D238="Logistics",VLOOKUP($O238,'Upper Cask Movement &amp; Logistics'!$C$4:$D$209,2,FALSE),"N/A")</f>
        <v>N/A</v>
      </c>
      <c r="Q238" s="2667"/>
      <c r="R238" s="2636" t="str">
        <f>IFERROR(VLOOKUP($Q238,'Upper Cask Dependencies'!$C$3:$F$322,4,FALSE),"N/A")</f>
        <v>N/A</v>
      </c>
      <c r="S238" s="2695" t="str">
        <f>IFERROR(F235-R238,"N/A")</f>
        <v>N/A</v>
      </c>
    </row>
    <row r="239" spans="2:19" s="2593" customFormat="1" ht="13.3" thickBot="1" x14ac:dyDescent="0.4">
      <c r="B239" s="3938"/>
      <c r="C239" s="2664" t="s">
        <v>2395</v>
      </c>
      <c r="D239" s="2664" t="s">
        <v>3</v>
      </c>
      <c r="E239" s="2636">
        <f t="shared" si="16"/>
        <v>0.38</v>
      </c>
      <c r="F239" s="2636">
        <f t="shared" si="20"/>
        <v>339.86477387047887</v>
      </c>
      <c r="G239" s="2664"/>
      <c r="H239" s="2636" t="str">
        <f>IF($D239="operation",VLOOKUP($G239,'Generic Vertical Port Tasks'!$C$4:$D$197,2,FALSE),"N/A")</f>
        <v>N/A</v>
      </c>
      <c r="I239" s="2664"/>
      <c r="J239" s="2664"/>
      <c r="K239" s="2664"/>
      <c r="L239" s="2665" t="str">
        <f>IFERROR(INDEX('Upper Cask Movement &amp; Logistics'!$I$24:$P$31,MATCH($J239,'Upper Cask Movement &amp; Logistics'!$H$24:$H$31,0),MATCH($K239,'Upper Cask Movement &amp; Logistics'!$H$24:$H$31,0)),"N/A")</f>
        <v>N/A</v>
      </c>
      <c r="M239" s="2665" t="str">
        <f>IFERROR(VLOOKUP($I239,'Upper Cask Movement &amp; Logistics'!$H$4:$I$8,2,FALSE),"N/A")</f>
        <v>N/A</v>
      </c>
      <c r="N239" s="2636" t="str">
        <f>IF(D239="Movement",IFERROR((L239/M239)/(60*60),"Error"),"N/A")</f>
        <v>N/A</v>
      </c>
      <c r="O239" s="2666" t="s">
        <v>1226</v>
      </c>
      <c r="P239" s="2636">
        <f>IF($D239="Logistics",VLOOKUP($O239,'Upper Cask Movement &amp; Logistics'!$C$4:$D$209,2,FALSE),"N/A")</f>
        <v>0.38</v>
      </c>
      <c r="Q239" s="2667"/>
      <c r="R239" s="2636" t="str">
        <f>IFERROR(VLOOKUP($Q239,'Upper Cask Dependencies'!$C$3:$F$322,4,FALSE),"N/A")</f>
        <v>N/A</v>
      </c>
      <c r="S239" s="2695" t="str">
        <f>IFERROR(F236-R239,"N/A")</f>
        <v>N/A</v>
      </c>
    </row>
    <row r="240" spans="2:19" ht="30.75" customHeight="1" x14ac:dyDescent="0.35">
      <c r="B240" s="3945" t="s">
        <v>1322</v>
      </c>
      <c r="C240" s="2674" t="s">
        <v>1323</v>
      </c>
      <c r="D240" s="2674" t="s">
        <v>3</v>
      </c>
      <c r="E240" s="2675">
        <f t="shared" si="16"/>
        <v>0.38</v>
      </c>
      <c r="F240" s="2675">
        <f t="shared" si="20"/>
        <v>340.24477387047887</v>
      </c>
      <c r="G240" s="2674"/>
      <c r="H240" s="2696" t="str">
        <f>IF($D240="operation",VLOOKUP($G240,'Generic Vertical Port Tasks'!$C$4:$D$197,2,FALSE),"N/A")</f>
        <v>N/A</v>
      </c>
      <c r="I240" s="2674"/>
      <c r="J240" s="2674"/>
      <c r="K240" s="2674"/>
      <c r="L240" s="2563" t="str">
        <f>IFERROR(INDEX('Upper Cask Movement &amp; Logistics'!$I$24:$P$31,MATCH($J240,'Upper Cask Movement &amp; Logistics'!$H$24:$H$31,0),MATCH($K240,'Upper Cask Movement &amp; Logistics'!$H$24:$H$31,0)),"N/A")</f>
        <v>N/A</v>
      </c>
      <c r="M240" s="2696" t="str">
        <f>IFERROR(VLOOKUP($I240,'Upper Cask Movement &amp; Logistics'!$H$4:$I$8,2,FALSE),"N/A")</f>
        <v>N/A</v>
      </c>
      <c r="N240" s="2696" t="str">
        <f t="shared" si="17"/>
        <v>N/A</v>
      </c>
      <c r="O240" s="2677" t="s">
        <v>1226</v>
      </c>
      <c r="P240" s="2675">
        <f>IF($D240="Logistics",VLOOKUP($O240,'Upper Cask Movement &amp; Logistics'!$C$4:$D$209,2,FALSE),"N/A")</f>
        <v>0.38</v>
      </c>
      <c r="Q240" s="2675"/>
      <c r="R240" s="2696" t="str">
        <f>IFERROR(VLOOKUP($Q240,'Upper Cask Dependencies'!$C$3:$F$322,4,FALSE),"N/A")</f>
        <v>N/A</v>
      </c>
      <c r="S240" s="2697" t="str">
        <f>IFERROR(F236-R240,"N/A")</f>
        <v>N/A</v>
      </c>
    </row>
    <row r="241" spans="2:19" x14ac:dyDescent="0.35">
      <c r="B241" s="3946"/>
      <c r="C241" s="2680" t="s">
        <v>1324</v>
      </c>
      <c r="D241" s="2680" t="s">
        <v>3</v>
      </c>
      <c r="E241" s="2681">
        <f t="shared" si="16"/>
        <v>0.60000000000000009</v>
      </c>
      <c r="F241" s="2681">
        <f t="shared" si="20"/>
        <v>340.84477387047889</v>
      </c>
      <c r="G241" s="2680"/>
      <c r="H241" s="2698" t="str">
        <f>IF($D241="operation",VLOOKUP($G241,'Generic Vertical Port Tasks'!$C$4:$D$197,2,FALSE),"N/A")</f>
        <v>N/A</v>
      </c>
      <c r="I241" s="2680"/>
      <c r="J241" s="2680"/>
      <c r="K241" s="2680"/>
      <c r="L241" s="2571" t="str">
        <f>IFERROR(INDEX('Upper Cask Movement &amp; Logistics'!$I$24:$P$31,MATCH($J241,'Upper Cask Movement &amp; Logistics'!$H$24:$H$31,0),MATCH($K241,'Upper Cask Movement &amp; Logistics'!$H$24:$H$31,0)),"N/A")</f>
        <v>N/A</v>
      </c>
      <c r="M241" s="2698" t="str">
        <f>IFERROR(VLOOKUP($I241,'Upper Cask Movement &amp; Logistics'!$H$4:$I$8,2,FALSE),"N/A")</f>
        <v>N/A</v>
      </c>
      <c r="N241" s="2698" t="str">
        <f t="shared" si="17"/>
        <v>N/A</v>
      </c>
      <c r="O241" s="2683" t="s">
        <v>1279</v>
      </c>
      <c r="P241" s="2681">
        <f>IF($D241="Logistics",VLOOKUP($O241,'Upper Cask Movement &amp; Logistics'!$C$4:$D$209,2,FALSE),"N/A")</f>
        <v>0.60000000000000009</v>
      </c>
      <c r="Q241" s="2681"/>
      <c r="R241" s="2698" t="str">
        <f>IFERROR(VLOOKUP($Q241,'Upper Cask Dependencies'!$C$3:$F$322,4,FALSE),"N/A")</f>
        <v>N/A</v>
      </c>
      <c r="S241" s="2699" t="str">
        <f t="shared" si="18"/>
        <v>N/A</v>
      </c>
    </row>
    <row r="242" spans="2:19" x14ac:dyDescent="0.35">
      <c r="B242" s="3946"/>
      <c r="C242" s="2680" t="s">
        <v>45</v>
      </c>
      <c r="D242" s="2700" t="s">
        <v>251</v>
      </c>
      <c r="E242" s="2681">
        <f t="shared" si="16"/>
        <v>5.6</v>
      </c>
      <c r="F242" s="2681">
        <f t="shared" si="20"/>
        <v>346.44477387047891</v>
      </c>
      <c r="G242" s="2680" t="s">
        <v>262</v>
      </c>
      <c r="H242" s="2698">
        <f>IF($D242="operation",VLOOKUP($G242,'Generic Vertical Port Tasks'!$C$4:$D$197,2,FALSE),"N/A")</f>
        <v>5.6</v>
      </c>
      <c r="I242" s="2680"/>
      <c r="J242" s="2680"/>
      <c r="K242" s="2680"/>
      <c r="L242" s="2571" t="str">
        <f>IFERROR(INDEX('Upper Cask Movement &amp; Logistics'!$I$24:$P$31,MATCH($J242,'Upper Cask Movement &amp; Logistics'!$H$24:$H$31,0),MATCH($K242,'Upper Cask Movement &amp; Logistics'!$H$24:$H$31,0)),"N/A")</f>
        <v>N/A</v>
      </c>
      <c r="M242" s="2698" t="str">
        <f>IFERROR(VLOOKUP($I242,'Upper Cask Movement &amp; Logistics'!$H$4:$I$8,2,FALSE),"N/A")</f>
        <v>N/A</v>
      </c>
      <c r="N242" s="2698" t="str">
        <f t="shared" si="17"/>
        <v>N/A</v>
      </c>
      <c r="O242" s="2683"/>
      <c r="P242" s="2681" t="str">
        <f>IF($D242="Logistics",VLOOKUP($O242,'Upper Cask Movement &amp; Logistics'!$C$4:$D$209,2,FALSE),"N/A")</f>
        <v>N/A</v>
      </c>
      <c r="Q242" s="2681"/>
      <c r="R242" s="2698" t="str">
        <f>IFERROR(VLOOKUP($Q242,'Upper Cask Dependencies'!$C$3:$F$322,4,FALSE),"N/A")</f>
        <v>N/A</v>
      </c>
      <c r="S242" s="2699" t="str">
        <f t="shared" si="18"/>
        <v>N/A</v>
      </c>
    </row>
    <row r="243" spans="2:19" x14ac:dyDescent="0.35">
      <c r="B243" s="3946"/>
      <c r="C243" s="2680" t="s">
        <v>1229</v>
      </c>
      <c r="D243" s="2680" t="s">
        <v>3</v>
      </c>
      <c r="E243" s="2681">
        <f t="shared" si="16"/>
        <v>0.38</v>
      </c>
      <c r="F243" s="2681">
        <f t="shared" si="20"/>
        <v>346.82477387047891</v>
      </c>
      <c r="G243" s="2680"/>
      <c r="H243" s="2698" t="str">
        <f>IF($D243="operation",VLOOKUP($G243,'Generic Vertical Port Tasks'!$C$4:$D$197,2,FALSE),"N/A")</f>
        <v>N/A</v>
      </c>
      <c r="I243" s="2680"/>
      <c r="J243" s="2680"/>
      <c r="K243" s="2680"/>
      <c r="L243" s="2571" t="str">
        <f>IFERROR(INDEX('Upper Cask Movement &amp; Logistics'!$I$24:$P$31,MATCH($J243,'Upper Cask Movement &amp; Logistics'!$H$24:$H$31,0),MATCH($K243,'Upper Cask Movement &amp; Logistics'!$H$24:$H$31,0)),"N/A")</f>
        <v>N/A</v>
      </c>
      <c r="M243" s="2698" t="str">
        <f>IFERROR(VLOOKUP($I243,'Upper Cask Movement &amp; Logistics'!$H$4:$I$8,2,FALSE),"N/A")</f>
        <v>N/A</v>
      </c>
      <c r="N243" s="2698" t="str">
        <f t="shared" si="17"/>
        <v>N/A</v>
      </c>
      <c r="O243" s="2683" t="s">
        <v>1325</v>
      </c>
      <c r="P243" s="2681">
        <f>IF($D243="Logistics",VLOOKUP($O243,'Upper Cask Movement &amp; Logistics'!$C$4:$D$209,2,FALSE),"N/A")</f>
        <v>0.38</v>
      </c>
      <c r="Q243" s="2681"/>
      <c r="R243" s="2698" t="str">
        <f>IFERROR(VLOOKUP($Q243,'Upper Cask Dependencies'!$C$3:$F$322,4,FALSE),"N/A")</f>
        <v>N/A</v>
      </c>
      <c r="S243" s="2699" t="str">
        <f t="shared" si="18"/>
        <v>N/A</v>
      </c>
    </row>
    <row r="244" spans="2:19" x14ac:dyDescent="0.35">
      <c r="B244" s="3946"/>
      <c r="C244" s="2680" t="s">
        <v>2411</v>
      </c>
      <c r="D244" s="2680" t="s">
        <v>3</v>
      </c>
      <c r="E244" s="2681">
        <f t="shared" si="16"/>
        <v>0.38</v>
      </c>
      <c r="F244" s="2681">
        <f>IF(S244&lt;0,E244+F243+(-S244),E244+F243)</f>
        <v>347.2047738704789</v>
      </c>
      <c r="G244" s="2680"/>
      <c r="H244" s="2698" t="str">
        <f>IF($D244="operation",VLOOKUP($G244,'Generic Vertical Port Tasks'!$C$4:$D$197,2,FALSE),"N/A")</f>
        <v>N/A</v>
      </c>
      <c r="I244" s="2680"/>
      <c r="J244" s="2680"/>
      <c r="K244" s="2680"/>
      <c r="L244" s="2571" t="str">
        <f>IFERROR(INDEX('Upper Cask Movement &amp; Logistics'!$I$24:$P$31,MATCH($J244,'Upper Cask Movement &amp; Logistics'!$H$24:$H$31,0),MATCH($K244,'Upper Cask Movement &amp; Logistics'!$H$24:$H$31,0)),"N/A")</f>
        <v>N/A</v>
      </c>
      <c r="M244" s="2698" t="str">
        <f>IFERROR(VLOOKUP($I244,'Upper Cask Movement &amp; Logistics'!$H$4:$I$8,2,FALSE),"N/A")</f>
        <v>N/A</v>
      </c>
      <c r="N244" s="2698" t="str">
        <f>IF(D244="Movement",IFERROR((L244/M244)/(60*60),"Error"),"N/A")</f>
        <v>N/A</v>
      </c>
      <c r="O244" s="2701" t="s">
        <v>1226</v>
      </c>
      <c r="P244" s="2681">
        <f>IF($D244="Logistics",VLOOKUP($O244,'Upper Cask Movement &amp; Logistics'!$C$4:$D$209,2,FALSE),"N/A")</f>
        <v>0.38</v>
      </c>
      <c r="Q244" s="2681"/>
      <c r="R244" s="2698" t="str">
        <f>IFERROR(VLOOKUP($Q244,'Upper Cask Dependencies'!$C$3:$F$322,4,FALSE),"N/A")</f>
        <v>N/A</v>
      </c>
      <c r="S244" s="2699" t="str">
        <f t="shared" ref="S244:S251" si="21">IFERROR(F243-R244,"N/A")</f>
        <v>N/A</v>
      </c>
    </row>
    <row r="245" spans="2:19" x14ac:dyDescent="0.35">
      <c r="B245" s="3946"/>
      <c r="C245" s="2680" t="s">
        <v>2412</v>
      </c>
      <c r="D245" s="2680" t="s">
        <v>251</v>
      </c>
      <c r="E245" s="2681">
        <f t="shared" si="16"/>
        <v>6.7722222222222221</v>
      </c>
      <c r="F245" s="2681">
        <f>IF(S245&lt;0,E245+F244+(-S245),E245+F244)</f>
        <v>353.97699609270114</v>
      </c>
      <c r="G245" s="2680" t="s">
        <v>596</v>
      </c>
      <c r="H245" s="2698">
        <f>IF($D245="operation",VLOOKUP($G245,'Generic Vertical Port Tasks'!$C$4:$D$197,2,FALSE),"N/A")</f>
        <v>6.7722222222222221</v>
      </c>
      <c r="I245" s="2680"/>
      <c r="J245" s="2680"/>
      <c r="K245" s="2680"/>
      <c r="L245" s="2571" t="str">
        <f>IFERROR(INDEX('Upper Cask Movement &amp; Logistics'!$I$24:$P$31,MATCH($J245,'Upper Cask Movement &amp; Logistics'!$H$24:$H$31,0),MATCH($K245,'Upper Cask Movement &amp; Logistics'!$H$24:$H$31,0)),"N/A")</f>
        <v>N/A</v>
      </c>
      <c r="M245" s="2698" t="str">
        <f>IFERROR(VLOOKUP($I245,'Upper Cask Movement &amp; Logistics'!$H$4:$I$8,2,FALSE),"N/A")</f>
        <v>N/A</v>
      </c>
      <c r="N245" s="2698" t="str">
        <f t="shared" ref="N245:N250" si="22">IF(D245="Movement",IFERROR((L245/M245)/(60*60),"Error"),"N/A")</f>
        <v>N/A</v>
      </c>
      <c r="O245" s="2683"/>
      <c r="P245" s="2681" t="str">
        <f>IF($D245="Logistics",VLOOKUP($O245,'Upper Cask Movement &amp; Logistics'!$C$4:$D$209,2,FALSE),"N/A")</f>
        <v>N/A</v>
      </c>
      <c r="Q245" s="2681"/>
      <c r="R245" s="2698" t="str">
        <f>IFERROR(VLOOKUP($Q245,'Upper Cask Dependencies'!$C$3:$F$322,4,FALSE),"N/A")</f>
        <v>N/A</v>
      </c>
      <c r="S245" s="2699" t="str">
        <f t="shared" si="21"/>
        <v>N/A</v>
      </c>
    </row>
    <row r="246" spans="2:19" x14ac:dyDescent="0.35">
      <c r="B246" s="3946"/>
      <c r="C246" s="2680" t="s">
        <v>2413</v>
      </c>
      <c r="D246" s="2680" t="s">
        <v>3</v>
      </c>
      <c r="E246" s="2681">
        <f t="shared" si="16"/>
        <v>0.38</v>
      </c>
      <c r="F246" s="2681">
        <f>IF(S246&lt;0,E246+F245+(-S246),E246+F245)</f>
        <v>354.35699609270114</v>
      </c>
      <c r="G246" s="2680"/>
      <c r="H246" s="2698" t="str">
        <f>IF($D246="operation",VLOOKUP($G246,'Generic Vertical Port Tasks'!$C$4:$D$197,2,FALSE),"N/A")</f>
        <v>N/A</v>
      </c>
      <c r="I246" s="2680"/>
      <c r="J246" s="2680"/>
      <c r="K246" s="2680"/>
      <c r="L246" s="2571" t="str">
        <f>IFERROR(INDEX('Upper Cask Movement &amp; Logistics'!$I$24:$P$31,MATCH($J246,'Upper Cask Movement &amp; Logistics'!$H$24:$H$31,0),MATCH($K246,'Upper Cask Movement &amp; Logistics'!$H$24:$H$31,0)),"N/A")</f>
        <v>N/A</v>
      </c>
      <c r="M246" s="2698" t="str">
        <f>IFERROR(VLOOKUP($I246,'Upper Cask Movement &amp; Logistics'!$H$4:$I$8,2,FALSE),"N/A")</f>
        <v>N/A</v>
      </c>
      <c r="N246" s="2698" t="str">
        <f t="shared" si="22"/>
        <v>N/A</v>
      </c>
      <c r="O246" s="2683" t="s">
        <v>1325</v>
      </c>
      <c r="P246" s="2681">
        <f>IF($D246="Logistics",VLOOKUP($O246,'Upper Cask Movement &amp; Logistics'!$C$4:$D$209,2,FALSE),"N/A")</f>
        <v>0.38</v>
      </c>
      <c r="Q246" s="2681"/>
      <c r="R246" s="2698" t="str">
        <f>IFERROR(VLOOKUP($Q246,'Upper Cask Dependencies'!$C$3:$F$322,4,FALSE),"N/A")</f>
        <v>N/A</v>
      </c>
      <c r="S246" s="2699" t="str">
        <f t="shared" si="21"/>
        <v>N/A</v>
      </c>
    </row>
    <row r="247" spans="2:19" x14ac:dyDescent="0.35">
      <c r="B247" s="3946"/>
      <c r="C247" s="2680" t="s">
        <v>1326</v>
      </c>
      <c r="D247" s="2680" t="s">
        <v>3</v>
      </c>
      <c r="E247" s="2681">
        <f t="shared" si="16"/>
        <v>2.5400000000000005</v>
      </c>
      <c r="F247" s="2681">
        <f>IF(S247&lt;0,E247+F246+(-S247),E247+F246)</f>
        <v>356.89699609270116</v>
      </c>
      <c r="G247" s="2680"/>
      <c r="H247" s="2698" t="str">
        <f>IF($D247="operation",VLOOKUP($G247,'Generic Vertical Port Tasks'!$C$4:$D$197,2,FALSE),"N/A")</f>
        <v>N/A</v>
      </c>
      <c r="I247" s="2680"/>
      <c r="J247" s="2680"/>
      <c r="K247" s="2680"/>
      <c r="L247" s="2571" t="str">
        <f>IFERROR(INDEX('Upper Cask Movement &amp; Logistics'!$I$24:$P$31,MATCH($J247,'Upper Cask Movement &amp; Logistics'!$H$24:$H$31,0),MATCH($K247,'Upper Cask Movement &amp; Logistics'!$H$24:$H$31,0)),"N/A")</f>
        <v>N/A</v>
      </c>
      <c r="M247" s="2698" t="str">
        <f>IFERROR(VLOOKUP($I247,'Upper Cask Movement &amp; Logistics'!$H$4:$I$8,2,FALSE),"N/A")</f>
        <v>N/A</v>
      </c>
      <c r="N247" s="2698" t="str">
        <f t="shared" si="22"/>
        <v>N/A</v>
      </c>
      <c r="O247" s="2683" t="s">
        <v>2414</v>
      </c>
      <c r="P247" s="2681">
        <f>IF($D247="Logistics",VLOOKUP($O247,'Upper Cask Movement &amp; Logistics'!$C$4:$D$209,2,FALSE),"N/A")</f>
        <v>2.5400000000000005</v>
      </c>
      <c r="Q247" s="2681"/>
      <c r="R247" s="2698" t="str">
        <f>IFERROR(VLOOKUP($Q247,'Upper Cask Dependencies'!$C$3:$F$322,4,FALSE),"N/A")</f>
        <v>N/A</v>
      </c>
      <c r="S247" s="2699" t="str">
        <f t="shared" si="21"/>
        <v>N/A</v>
      </c>
    </row>
    <row r="248" spans="2:19" x14ac:dyDescent="0.35">
      <c r="B248" s="3946"/>
      <c r="C248" s="2680" t="s">
        <v>1220</v>
      </c>
      <c r="D248" s="2680" t="s">
        <v>778</v>
      </c>
      <c r="E248" s="2681">
        <f t="shared" si="16"/>
        <v>6.9444444444444448E-2</v>
      </c>
      <c r="F248" s="2681">
        <f t="shared" si="20"/>
        <v>356.96644053714562</v>
      </c>
      <c r="G248" s="2680"/>
      <c r="H248" s="2698" t="str">
        <f>IF($D248="operation",VLOOKUP($G248,'Generic Vertical Port Tasks'!$C$4:$D$197,2,FALSE),"N/A")</f>
        <v>N/A</v>
      </c>
      <c r="I248" s="2680" t="s">
        <v>1161</v>
      </c>
      <c r="J248" s="2680" t="s">
        <v>1975</v>
      </c>
      <c r="K248" s="2680" t="s">
        <v>452</v>
      </c>
      <c r="L248" s="2571">
        <f>IFERROR(INDEX('Upper Cask Movement &amp; Logistics'!$I$24:$P$31,MATCH($J248,'Upper Cask Movement &amp; Logistics'!$H$24:$H$31,0),MATCH($K248,'Upper Cask Movement &amp; Logistics'!$H$24:$H$31,0)),"N/A")</f>
        <v>50</v>
      </c>
      <c r="M248" s="2698">
        <f>IFERROR(VLOOKUP($I248,'Upper Cask Movement &amp; Logistics'!$H$4:$I$8,2,FALSE),"N/A")</f>
        <v>0.2</v>
      </c>
      <c r="N248" s="2698">
        <f t="shared" si="22"/>
        <v>6.9444444444444448E-2</v>
      </c>
      <c r="O248" s="2683"/>
      <c r="P248" s="2681" t="str">
        <f>IF($D248="Logistics",VLOOKUP($O248,'Upper Cask Movement &amp; Logistics'!$C$4:$D$209,2,FALSE),"N/A")</f>
        <v>N/A</v>
      </c>
      <c r="Q248" s="2681"/>
      <c r="R248" s="2698" t="str">
        <f>IFERROR(VLOOKUP($Q248,'Upper Cask Dependencies'!$C$3:$F$322,4,FALSE),"N/A")</f>
        <v>N/A</v>
      </c>
      <c r="S248" s="2699" t="str">
        <f t="shared" si="21"/>
        <v>N/A</v>
      </c>
    </row>
    <row r="249" spans="2:19" x14ac:dyDescent="0.35">
      <c r="B249" s="3946"/>
      <c r="C249" s="2680" t="s">
        <v>1327</v>
      </c>
      <c r="D249" s="2680" t="s">
        <v>3</v>
      </c>
      <c r="E249" s="2681">
        <f>MAX($P249,$N249,$H249)</f>
        <v>0.68</v>
      </c>
      <c r="F249" s="2681">
        <f t="shared" si="20"/>
        <v>357.64644053714562</v>
      </c>
      <c r="G249" s="2680"/>
      <c r="H249" s="2698" t="str">
        <f>IF($D249="operation",VLOOKUP($G249,'Generic Vertical Port Tasks'!$C$4:$D$197,2,FALSE),"N/A")</f>
        <v>N/A</v>
      </c>
      <c r="I249" s="2680"/>
      <c r="J249" s="2680"/>
      <c r="K249" s="2680"/>
      <c r="L249" s="2571" t="str">
        <f>IFERROR(INDEX('Upper Cask Movement &amp; Logistics'!$I$24:$P$31,MATCH($J249,'Upper Cask Movement &amp; Logistics'!$H$24:$H$31,0),MATCH($K249,'Upper Cask Movement &amp; Logistics'!$H$24:$H$31,0)),"N/A")</f>
        <v>N/A</v>
      </c>
      <c r="M249" s="2698" t="str">
        <f>IFERROR(VLOOKUP($I249,'Upper Cask Movement &amp; Logistics'!$H$4:$I$8,2,FALSE),"N/A")</f>
        <v>N/A</v>
      </c>
      <c r="N249" s="2698" t="str">
        <f t="shared" si="22"/>
        <v>N/A</v>
      </c>
      <c r="O249" s="2683" t="s">
        <v>1216</v>
      </c>
      <c r="P249" s="2681">
        <f>IF($D249="Logistics",VLOOKUP($O249,'Upper Cask Movement &amp; Logistics'!$C$4:$D$209,2,FALSE),"N/A")</f>
        <v>0.68</v>
      </c>
      <c r="Q249" s="2681"/>
      <c r="R249" s="2698" t="str">
        <f>IFERROR(VLOOKUP($Q249,'Upper Cask Dependencies'!$C$3:$F$322,4,FALSE),"N/A")</f>
        <v>N/A</v>
      </c>
      <c r="S249" s="2699" t="str">
        <f t="shared" si="21"/>
        <v>N/A</v>
      </c>
    </row>
    <row r="250" spans="2:19" x14ac:dyDescent="0.35">
      <c r="B250" s="3946"/>
      <c r="C250" s="2680" t="s">
        <v>1328</v>
      </c>
      <c r="D250" s="2680" t="s">
        <v>778</v>
      </c>
      <c r="E250" s="2681">
        <f>MAX($P250,$N250,$H250)</f>
        <v>0.69444444444444442</v>
      </c>
      <c r="F250" s="2681">
        <f t="shared" si="20"/>
        <v>358.34088498159008</v>
      </c>
      <c r="G250" s="2680"/>
      <c r="H250" s="2698" t="str">
        <f>IF($D250="operation",VLOOKUP($G250,'Generic Vertical Port Tasks'!$C$4:$D$197,2,FALSE),"N/A")</f>
        <v>N/A</v>
      </c>
      <c r="I250" s="2680" t="s">
        <v>857</v>
      </c>
      <c r="J250" s="2680" t="s">
        <v>816</v>
      </c>
      <c r="K250" s="2680" t="s">
        <v>914</v>
      </c>
      <c r="L250" s="2571">
        <f>IFERROR(INDEX('Upper Cask Movement &amp; Logistics'!$I$24:$P$31,MATCH($J250,'Upper Cask Movement &amp; Logistics'!$H$24:$H$31,0),MATCH($K250,'Upper Cask Movement &amp; Logistics'!$H$24:$H$31,0)),"N/A")</f>
        <v>50</v>
      </c>
      <c r="M250" s="2698">
        <f>IFERROR(VLOOKUP($I250,'Upper Cask Movement &amp; Logistics'!$H$4:$I$8,2,FALSE),"N/A")</f>
        <v>0.02</v>
      </c>
      <c r="N250" s="2698">
        <f t="shared" si="22"/>
        <v>0.69444444444444442</v>
      </c>
      <c r="O250" s="2683"/>
      <c r="P250" s="2681" t="str">
        <f>IF($D250="Logistics",VLOOKUP($O250,'Upper Cask Movement &amp; Logistics'!$C$4:$D$209,2,FALSE),"N/A")</f>
        <v>N/A</v>
      </c>
      <c r="Q250" s="2681"/>
      <c r="R250" s="2698" t="str">
        <f>IFERROR(VLOOKUP($Q250,'Upper Cask Dependencies'!$C$3:$F$322,4,FALSE),"N/A")</f>
        <v>N/A</v>
      </c>
      <c r="S250" s="2699" t="str">
        <f t="shared" si="21"/>
        <v>N/A</v>
      </c>
    </row>
    <row r="251" spans="2:19" x14ac:dyDescent="0.35">
      <c r="B251" s="3946"/>
      <c r="C251" s="2680" t="s">
        <v>1329</v>
      </c>
      <c r="D251" s="2680" t="s">
        <v>3</v>
      </c>
      <c r="E251" s="2681">
        <f>MAX($P251,$N251,$H251)</f>
        <v>0.48000000000000004</v>
      </c>
      <c r="F251" s="2681">
        <f t="shared" ref="F251:F260" si="23">IF(S251&lt;0,E251+F250+(-S251),E251+F250)</f>
        <v>358.8208849815901</v>
      </c>
      <c r="G251" s="2680"/>
      <c r="H251" s="2698" t="str">
        <f>IF($D251="operation",VLOOKUP($G251,'Generic Vertical Port Tasks'!$C$4:$D$197,2,FALSE),"N/A")</f>
        <v>N/A</v>
      </c>
      <c r="I251" s="2680"/>
      <c r="J251" s="2680"/>
      <c r="K251" s="2680"/>
      <c r="L251" s="2571" t="str">
        <f>IFERROR(INDEX('Upper Cask Movement &amp; Logistics'!$I$24:$P$31,MATCH($J251,'Upper Cask Movement &amp; Logistics'!$H$24:$H$31,0),MATCH($K251,'Upper Cask Movement &amp; Logistics'!$H$24:$H$31,0)),"N/A")</f>
        <v>N/A</v>
      </c>
      <c r="M251" s="2698" t="str">
        <f>IFERROR(VLOOKUP($I251,'Upper Cask Movement &amp; Logistics'!$H$4:$I$8,2,FALSE),"N/A")</f>
        <v>N/A</v>
      </c>
      <c r="N251" s="2698" t="str">
        <f t="shared" si="17"/>
        <v>N/A</v>
      </c>
      <c r="O251" s="2683" t="s">
        <v>1330</v>
      </c>
      <c r="P251" s="2681">
        <f>IF($D251="Logistics",VLOOKUP($O251,'Upper Cask Movement &amp; Logistics'!$C$4:$D$209,2,FALSE),"N/A")</f>
        <v>0.48000000000000004</v>
      </c>
      <c r="Q251" s="2681"/>
      <c r="R251" s="2698" t="str">
        <f>IFERROR(VLOOKUP($Q251,'Upper Cask Dependencies'!$C$3:$F$322,4,FALSE),"N/A")</f>
        <v>N/A</v>
      </c>
      <c r="S251" s="2699" t="str">
        <f t="shared" si="21"/>
        <v>N/A</v>
      </c>
    </row>
    <row r="252" spans="2:19" x14ac:dyDescent="0.35">
      <c r="B252" s="3946"/>
      <c r="C252" s="2680" t="s">
        <v>1209</v>
      </c>
      <c r="D252" s="2680" t="s">
        <v>778</v>
      </c>
      <c r="E252" s="2681">
        <f>MAX($P252,$N252,$H252)</f>
        <v>6.9444444444444448E-2</v>
      </c>
      <c r="F252" s="2681">
        <f t="shared" si="23"/>
        <v>358.89032942603455</v>
      </c>
      <c r="G252" s="2680"/>
      <c r="H252" s="2698" t="str">
        <f>IF($D252="operation",VLOOKUP($G252,'Generic Vertical Port Tasks'!$C$4:$D$197,2,FALSE),"N/A")</f>
        <v>N/A</v>
      </c>
      <c r="I252" s="2680" t="s">
        <v>808</v>
      </c>
      <c r="J252" s="2680" t="s">
        <v>914</v>
      </c>
      <c r="K252" s="2680" t="s">
        <v>452</v>
      </c>
      <c r="L252" s="2571">
        <f>IFERROR(INDEX('Upper Cask Movement &amp; Logistics'!$I$24:$P$31,MATCH($J252,'Upper Cask Movement &amp; Logistics'!$H$24:$H$31,0),MATCH($K252,'Upper Cask Movement &amp; Logistics'!$H$24:$H$31,0)),"N/A")</f>
        <v>50</v>
      </c>
      <c r="M252" s="2698">
        <f>IFERROR(VLOOKUP($I252,'Upper Cask Movement &amp; Logistics'!$H$4:$I$8,2,FALSE),"N/A")</f>
        <v>0.2</v>
      </c>
      <c r="N252" s="2698">
        <f t="shared" si="17"/>
        <v>6.9444444444444448E-2</v>
      </c>
      <c r="O252" s="2683"/>
      <c r="P252" s="2681" t="str">
        <f>IF($D252="Logistics",VLOOKUP($O252,'Upper Cask Movement &amp; Logistics'!$C$4:$D$209,2,FALSE),"N/A")</f>
        <v>N/A</v>
      </c>
      <c r="Q252" s="2681"/>
      <c r="R252" s="2698" t="str">
        <f>IFERROR(VLOOKUP($Q252,'Upper Cask Dependencies'!$C$3:$F$322,4,FALSE),"N/A")</f>
        <v>N/A</v>
      </c>
      <c r="S252" s="2699" t="str">
        <f t="shared" si="18"/>
        <v>N/A</v>
      </c>
    </row>
    <row r="253" spans="2:19" x14ac:dyDescent="0.35">
      <c r="B253" s="3946"/>
      <c r="C253" s="2680" t="s">
        <v>1215</v>
      </c>
      <c r="D253" s="2680" t="s">
        <v>3</v>
      </c>
      <c r="E253" s="2681">
        <f t="shared" ref="E253:E260" si="24">MAX($P253,$N253,$H253)</f>
        <v>0.48000000000000004</v>
      </c>
      <c r="F253" s="2681">
        <f t="shared" si="23"/>
        <v>359.37032942603457</v>
      </c>
      <c r="G253" s="2680"/>
      <c r="H253" s="2698" t="str">
        <f>IF($D253="operation",VLOOKUP($G253,'Generic Vertical Port Tasks'!$C$4:$D$197,2,FALSE),"N/A")</f>
        <v>N/A</v>
      </c>
      <c r="I253" s="2680"/>
      <c r="J253" s="2680"/>
      <c r="K253" s="2680"/>
      <c r="L253" s="2571" t="str">
        <f>IFERROR(INDEX('Upper Cask Movement &amp; Logistics'!$I$24:$P$31,MATCH($J253,'Upper Cask Movement &amp; Logistics'!$H$24:$H$31,0),MATCH($K253,'Upper Cask Movement &amp; Logistics'!$H$24:$H$31,0)),"N/A")</f>
        <v>N/A</v>
      </c>
      <c r="M253" s="2698" t="str">
        <f>IFERROR(VLOOKUP($I253,'Upper Cask Movement &amp; Logistics'!$H$4:$I$8,2,FALSE),"N/A")</f>
        <v>N/A</v>
      </c>
      <c r="N253" s="2698" t="str">
        <f t="shared" si="17"/>
        <v>N/A</v>
      </c>
      <c r="O253" s="2683" t="s">
        <v>1331</v>
      </c>
      <c r="P253" s="2681">
        <f>IF($D253="Logistics",VLOOKUP($O253,'Upper Cask Movement &amp; Logistics'!$C$4:$D$209,2,FALSE),"N/A")</f>
        <v>0.48000000000000004</v>
      </c>
      <c r="Q253" s="2681"/>
      <c r="R253" s="2698" t="str">
        <f>IFERROR(VLOOKUP($Q253,'Upper Cask Dependencies'!$C$3:$F$322,4,FALSE),"N/A")</f>
        <v>N/A</v>
      </c>
      <c r="S253" s="2699" t="str">
        <f t="shared" si="18"/>
        <v>N/A</v>
      </c>
    </row>
    <row r="254" spans="2:19" x14ac:dyDescent="0.35">
      <c r="B254" s="3946"/>
      <c r="C254" s="2680" t="s">
        <v>1214</v>
      </c>
      <c r="D254" s="2680" t="s">
        <v>778</v>
      </c>
      <c r="E254" s="2681">
        <f t="shared" si="24"/>
        <v>0.69444444444444442</v>
      </c>
      <c r="F254" s="2681">
        <f t="shared" si="23"/>
        <v>360.06477387047903</v>
      </c>
      <c r="G254" s="2680"/>
      <c r="H254" s="2698" t="str">
        <f>IF($D254="operation",VLOOKUP($G254,'Generic Vertical Port Tasks'!$C$4:$D$197,2,FALSE),"N/A")</f>
        <v>N/A</v>
      </c>
      <c r="I254" s="2680" t="s">
        <v>857</v>
      </c>
      <c r="J254" s="2680" t="s">
        <v>816</v>
      </c>
      <c r="K254" s="2680" t="s">
        <v>914</v>
      </c>
      <c r="L254" s="2571">
        <f>IFERROR(INDEX('Upper Cask Movement &amp; Logistics'!$I$24:$P$31,MATCH($J254,'Upper Cask Movement &amp; Logistics'!$H$24:$H$31,0),MATCH($K254,'Upper Cask Movement &amp; Logistics'!$H$24:$H$31,0)),"N/A")</f>
        <v>50</v>
      </c>
      <c r="M254" s="2698">
        <f>IFERROR(VLOOKUP($I254,'Upper Cask Movement &amp; Logistics'!$H$4:$I$8,2,FALSE),"N/A")</f>
        <v>0.02</v>
      </c>
      <c r="N254" s="2698">
        <f t="shared" si="17"/>
        <v>0.69444444444444442</v>
      </c>
      <c r="O254" s="2683"/>
      <c r="P254" s="2681" t="str">
        <f>IF($D254="Logistics",VLOOKUP($O254,'Upper Cask Movement &amp; Logistics'!$C$4:$D$209,2,FALSE),"N/A")</f>
        <v>N/A</v>
      </c>
      <c r="Q254" s="2681"/>
      <c r="R254" s="2698" t="str">
        <f>IFERROR(VLOOKUP($Q254,'Upper Cask Dependencies'!$C$3:$F$322,4,FALSE),"N/A")</f>
        <v>N/A</v>
      </c>
      <c r="S254" s="2699" t="str">
        <f t="shared" si="18"/>
        <v>N/A</v>
      </c>
    </row>
    <row r="255" spans="2:19" x14ac:dyDescent="0.35">
      <c r="B255" s="3946"/>
      <c r="C255" s="2680" t="s">
        <v>1332</v>
      </c>
      <c r="D255" s="2680" t="s">
        <v>3</v>
      </c>
      <c r="E255" s="2681">
        <f t="shared" si="24"/>
        <v>0.48000000000000004</v>
      </c>
      <c r="F255" s="2681">
        <f t="shared" si="23"/>
        <v>360.54477387047905</v>
      </c>
      <c r="G255" s="2680"/>
      <c r="H255" s="2698" t="str">
        <f>IF($D255="operation",VLOOKUP($G255,'Generic Vertical Port Tasks'!$C$4:$D$197,2,FALSE),"N/A")</f>
        <v>N/A</v>
      </c>
      <c r="I255" s="2680"/>
      <c r="J255" s="2680"/>
      <c r="K255" s="2680"/>
      <c r="L255" s="2571" t="str">
        <f>IFERROR(INDEX('Upper Cask Movement &amp; Logistics'!$I$24:$P$31,MATCH($J255,'Upper Cask Movement &amp; Logistics'!$H$24:$H$31,0),MATCH($K255,'Upper Cask Movement &amp; Logistics'!$H$24:$H$31,0)),"N/A")</f>
        <v>N/A</v>
      </c>
      <c r="M255" s="2698" t="str">
        <f>IFERROR(VLOOKUP($I255,'Upper Cask Movement &amp; Logistics'!$H$4:$I$8,2,FALSE),"N/A")</f>
        <v>N/A</v>
      </c>
      <c r="N255" s="2698" t="str">
        <f t="shared" si="17"/>
        <v>N/A</v>
      </c>
      <c r="O255" s="2683" t="s">
        <v>1330</v>
      </c>
      <c r="P255" s="2681">
        <f>IF($D255="Logistics",VLOOKUP($O255,'Upper Cask Movement &amp; Logistics'!$C$4:$D$209,2,FALSE),"N/A")</f>
        <v>0.48000000000000004</v>
      </c>
      <c r="Q255" s="2681"/>
      <c r="R255" s="2698" t="str">
        <f>IFERROR(VLOOKUP($Q255,'Upper Cask Dependencies'!$C$3:$F$322,4,FALSE),"N/A")</f>
        <v>N/A</v>
      </c>
      <c r="S255" s="2699" t="str">
        <f t="shared" si="18"/>
        <v>N/A</v>
      </c>
    </row>
    <row r="256" spans="2:19" x14ac:dyDescent="0.35">
      <c r="B256" s="3946"/>
      <c r="C256" s="2680" t="s">
        <v>1210</v>
      </c>
      <c r="D256" s="2680" t="s">
        <v>778</v>
      </c>
      <c r="E256" s="2681">
        <f t="shared" si="24"/>
        <v>2.7777777777777776E-2</v>
      </c>
      <c r="F256" s="2681">
        <f t="shared" si="23"/>
        <v>360.57255164825682</v>
      </c>
      <c r="G256" s="2680"/>
      <c r="H256" s="2698" t="str">
        <f>IF($D256="operation",VLOOKUP($G256,'Generic Vertical Port Tasks'!$C$4:$D$197,2,FALSE),"N/A")</f>
        <v>N/A</v>
      </c>
      <c r="I256" s="2680" t="s">
        <v>808</v>
      </c>
      <c r="J256" s="2680" t="s">
        <v>914</v>
      </c>
      <c r="K256" s="2680" t="s">
        <v>1211</v>
      </c>
      <c r="L256" s="2571">
        <f>IFERROR(INDEX('Upper Cask Movement &amp; Logistics'!$I$24:$P$31,MATCH($J256,'Upper Cask Movement &amp; Logistics'!$H$24:$H$31,0),MATCH($K256,'Upper Cask Movement &amp; Logistics'!$H$24:$H$31,0)),"N/A")</f>
        <v>20</v>
      </c>
      <c r="M256" s="2698">
        <f>IFERROR(VLOOKUP($I256,'Upper Cask Movement &amp; Logistics'!$H$4:$I$8,2,FALSE),"N/A")</f>
        <v>0.2</v>
      </c>
      <c r="N256" s="2698">
        <f t="shared" si="17"/>
        <v>2.7777777777777776E-2</v>
      </c>
      <c r="O256" s="2683"/>
      <c r="P256" s="2681" t="str">
        <f>IF($D256="Logistics",VLOOKUP($O256,'Upper Cask Movement &amp; Logistics'!$C$4:$D$209,2,FALSE),"N/A")</f>
        <v>N/A</v>
      </c>
      <c r="Q256" s="2681"/>
      <c r="R256" s="2698" t="str">
        <f>IFERROR(VLOOKUP($Q256,'Upper Cask Dependencies'!$C$3:$F$322,4,FALSE),"N/A")</f>
        <v>N/A</v>
      </c>
      <c r="S256" s="2699" t="str">
        <f>IFERROR(F255-R256,"N/A")</f>
        <v>N/A</v>
      </c>
    </row>
    <row r="257" spans="2:19" x14ac:dyDescent="0.35">
      <c r="B257" s="3946"/>
      <c r="C257" s="2680" t="s">
        <v>1333</v>
      </c>
      <c r="D257" s="2680" t="s">
        <v>3</v>
      </c>
      <c r="E257" s="2681">
        <f t="shared" si="24"/>
        <v>0.48000000000000004</v>
      </c>
      <c r="F257" s="2681">
        <f t="shared" si="23"/>
        <v>361.05255164825684</v>
      </c>
      <c r="G257" s="2680"/>
      <c r="H257" s="2698" t="str">
        <f>IF($D257="operation",VLOOKUP($G257,'Generic Vertical Port Tasks'!$C$4:$D$197,2,FALSE),"N/A")</f>
        <v>N/A</v>
      </c>
      <c r="I257" s="2680"/>
      <c r="J257" s="2680"/>
      <c r="K257" s="2680"/>
      <c r="L257" s="2571" t="str">
        <f>IFERROR(INDEX('Upper Cask Movement &amp; Logistics'!$I$24:$P$31,MATCH($J257,'Upper Cask Movement &amp; Logistics'!$H$24:$H$31,0),MATCH($K257,'Upper Cask Movement &amp; Logistics'!$H$24:$H$31,0)),"N/A")</f>
        <v>N/A</v>
      </c>
      <c r="M257" s="2698" t="str">
        <f>IFERROR(VLOOKUP($I257,'Upper Cask Movement &amp; Logistics'!$H$4:$I$8,2,FALSE),"N/A")</f>
        <v>N/A</v>
      </c>
      <c r="N257" s="2698" t="str">
        <f t="shared" si="17"/>
        <v>N/A</v>
      </c>
      <c r="O257" s="2683" t="s">
        <v>1331</v>
      </c>
      <c r="P257" s="2681">
        <f>IF($D257="Logistics",VLOOKUP($O257,'Upper Cask Movement &amp; Logistics'!$C$4:$D$209,2,FALSE),"N/A")</f>
        <v>0.48000000000000004</v>
      </c>
      <c r="Q257" s="2681"/>
      <c r="R257" s="2698" t="str">
        <f>IFERROR(VLOOKUP($Q257,'Upper Cask Dependencies'!$C$3:$F$322,4,FALSE),"N/A")</f>
        <v>N/A</v>
      </c>
      <c r="S257" s="2699" t="str">
        <f t="shared" si="18"/>
        <v>N/A</v>
      </c>
    </row>
    <row r="258" spans="2:19" x14ac:dyDescent="0.35">
      <c r="B258" s="3946"/>
      <c r="C258" s="2680" t="s">
        <v>1209</v>
      </c>
      <c r="D258" s="2680" t="s">
        <v>778</v>
      </c>
      <c r="E258" s="2681">
        <f t="shared" si="24"/>
        <v>0.41666666666666669</v>
      </c>
      <c r="F258" s="2681">
        <f t="shared" si="23"/>
        <v>361.46921831492352</v>
      </c>
      <c r="G258" s="2680"/>
      <c r="H258" s="2698" t="str">
        <f>IF($D258="operation",VLOOKUP($G258,'Generic Vertical Port Tasks'!$C$4:$D$197,2,FALSE),"N/A")</f>
        <v>N/A</v>
      </c>
      <c r="I258" s="2680" t="s">
        <v>855</v>
      </c>
      <c r="J258" s="2680" t="s">
        <v>1211</v>
      </c>
      <c r="K258" s="2680" t="s">
        <v>452</v>
      </c>
      <c r="L258" s="2571">
        <f>IFERROR(INDEX('Upper Cask Movement &amp; Logistics'!$I$24:$P$31,MATCH($J258,'Upper Cask Movement &amp; Logistics'!$H$24:$H$31,0),MATCH($K258,'Upper Cask Movement &amp; Logistics'!$H$24:$H$31,0)),"N/A")</f>
        <v>30</v>
      </c>
      <c r="M258" s="2698">
        <f>IFERROR(VLOOKUP($I258,'Upper Cask Movement &amp; Logistics'!$H$4:$I$8,2,FALSE),"N/A")</f>
        <v>0.02</v>
      </c>
      <c r="N258" s="2698">
        <f t="shared" si="17"/>
        <v>0.41666666666666669</v>
      </c>
      <c r="O258" s="2683"/>
      <c r="P258" s="2681" t="str">
        <f>IF($D258="Logistics",VLOOKUP($O258,'Upper Cask Movement &amp; Logistics'!$C$4:$D$209,2,FALSE),"N/A")</f>
        <v>N/A</v>
      </c>
      <c r="Q258" s="2681"/>
      <c r="R258" s="2698" t="str">
        <f>IFERROR(VLOOKUP($Q258,'Upper Cask Dependencies'!$C$3:$F$322,4,FALSE),"N/A")</f>
        <v>N/A</v>
      </c>
      <c r="S258" s="2699" t="str">
        <f t="shared" si="18"/>
        <v>N/A</v>
      </c>
    </row>
    <row r="259" spans="2:19" x14ac:dyDescent="0.35">
      <c r="B259" s="3946"/>
      <c r="C259" s="2680" t="s">
        <v>1204</v>
      </c>
      <c r="D259" s="2700" t="s">
        <v>251</v>
      </c>
      <c r="E259" s="2681">
        <f t="shared" si="24"/>
        <v>1.0999999999999999</v>
      </c>
      <c r="F259" s="2681">
        <f t="shared" si="23"/>
        <v>362.56921831492355</v>
      </c>
      <c r="G259" s="2680" t="s">
        <v>1204</v>
      </c>
      <c r="H259" s="2698">
        <f>IF($D259="operation",VLOOKUP($G259,'Generic Vertical Port Tasks'!$C$4:$D$197,2,FALSE),"N/A")</f>
        <v>1.0999999999999999</v>
      </c>
      <c r="I259" s="2680"/>
      <c r="J259" s="2680"/>
      <c r="K259" s="2680"/>
      <c r="L259" s="2571" t="str">
        <f>IFERROR(INDEX('Upper Cask Movement &amp; Logistics'!$I$24:$P$31,MATCH($J259,'Upper Cask Movement &amp; Logistics'!$H$24:$H$31,0),MATCH($K259,'Upper Cask Movement &amp; Logistics'!$H$24:$H$31,0)),"N/A")</f>
        <v>N/A</v>
      </c>
      <c r="M259" s="2698" t="str">
        <f>IFERROR(VLOOKUP($I259,'Upper Cask Movement &amp; Logistics'!$H$4:$I$8,2,FALSE),"N/A")</f>
        <v>N/A</v>
      </c>
      <c r="N259" s="2698" t="str">
        <f t="shared" si="17"/>
        <v>N/A</v>
      </c>
      <c r="O259" s="2683"/>
      <c r="P259" s="2681" t="str">
        <f>IF($D259="Logistics",VLOOKUP($O259,'Upper Cask Movement &amp; Logistics'!$C$4:$D$209,2,FALSE),"N/A")</f>
        <v>N/A</v>
      </c>
      <c r="Q259" s="2681"/>
      <c r="R259" s="2698" t="str">
        <f>IFERROR(VLOOKUP($Q259,'Upper Cask Dependencies'!$C$3:$F$322,4,FALSE),"N/A")</f>
        <v>N/A</v>
      </c>
      <c r="S259" s="2699" t="str">
        <f t="shared" si="18"/>
        <v>N/A</v>
      </c>
    </row>
    <row r="260" spans="2:19" ht="13.3" thickBot="1" x14ac:dyDescent="0.4">
      <c r="B260" s="3947"/>
      <c r="C260" s="2685" t="s">
        <v>1328</v>
      </c>
      <c r="D260" s="2685" t="s">
        <v>778</v>
      </c>
      <c r="E260" s="2686">
        <f t="shared" si="24"/>
        <v>0.69444444444444442</v>
      </c>
      <c r="F260" s="2686">
        <f t="shared" si="23"/>
        <v>363.263662759368</v>
      </c>
      <c r="G260" s="2685"/>
      <c r="H260" s="2702" t="str">
        <f>IF($D260="operation",VLOOKUP($G260,'Generic Vertical Port Tasks'!$C$4:$D$197,2,FALSE),"N/A")</f>
        <v>N/A</v>
      </c>
      <c r="I260" s="2685" t="s">
        <v>857</v>
      </c>
      <c r="J260" s="2685" t="s">
        <v>452</v>
      </c>
      <c r="K260" s="2685" t="s">
        <v>914</v>
      </c>
      <c r="L260" s="2583">
        <f>IFERROR(INDEX('Upper Cask Movement &amp; Logistics'!$I$24:$P$31,MATCH($J260,'Upper Cask Movement &amp; Logistics'!$H$24:$H$31,0),MATCH($K260,'Upper Cask Movement &amp; Logistics'!$H$24:$H$31,0)),"N/A")</f>
        <v>50</v>
      </c>
      <c r="M260" s="2702">
        <f>IFERROR(VLOOKUP($I260,'Upper Cask Movement &amp; Logistics'!$H$4:$I$8,2,FALSE),"N/A")</f>
        <v>0.02</v>
      </c>
      <c r="N260" s="2702">
        <f t="shared" si="17"/>
        <v>0.69444444444444442</v>
      </c>
      <c r="O260" s="2688"/>
      <c r="P260" s="2686" t="str">
        <f>IF($D260="Logistics",VLOOKUP($O260,'Upper Cask Movement &amp; Logistics'!$C$4:$D$209,2,FALSE),"N/A")</f>
        <v>N/A</v>
      </c>
      <c r="Q260" s="2686"/>
      <c r="R260" s="2702" t="str">
        <f>IFERROR(VLOOKUP($Q260,'Upper Cask Dependencies'!$C$3:$F$322,4,FALSE),"N/A")</f>
        <v>N/A</v>
      </c>
      <c r="S260" s="2703" t="str">
        <f t="shared" si="18"/>
        <v>N/A</v>
      </c>
    </row>
    <row r="261" spans="2:19" x14ac:dyDescent="0.35">
      <c r="B261" s="3948" t="s">
        <v>1334</v>
      </c>
      <c r="C261" s="2704" t="s">
        <v>850</v>
      </c>
      <c r="D261" s="2704"/>
      <c r="E261" s="2705"/>
      <c r="F261" s="2705">
        <f>F260</f>
        <v>363.263662759368</v>
      </c>
      <c r="G261" s="2706"/>
      <c r="H261" s="2707"/>
      <c r="I261" s="2706"/>
      <c r="J261" s="2706"/>
      <c r="K261" s="2706"/>
      <c r="L261" s="2706"/>
      <c r="M261" s="2706"/>
      <c r="N261" s="2707"/>
      <c r="O261" s="2706"/>
      <c r="P261" s="2708"/>
      <c r="Q261" s="2708"/>
      <c r="R261" s="2708"/>
      <c r="S261" s="2708"/>
    </row>
    <row r="262" spans="2:19" x14ac:dyDescent="0.35">
      <c r="B262" s="3949"/>
      <c r="C262" s="2710" t="s">
        <v>851</v>
      </c>
      <c r="D262" s="2710"/>
      <c r="E262" s="2711"/>
      <c r="F262" s="2711">
        <f>SUMIF(D135:D260,"Operation",E135:E260)</f>
        <v>300.63199609270123</v>
      </c>
      <c r="G262" s="2712">
        <f>F262/F261</f>
        <v>0.82758620504205216</v>
      </c>
      <c r="H262" s="2711"/>
      <c r="I262" s="2710"/>
      <c r="J262" s="2710"/>
      <c r="K262" s="2710"/>
      <c r="L262" s="2710"/>
      <c r="M262" s="2710"/>
      <c r="N262" s="2711"/>
      <c r="O262" s="2710"/>
      <c r="P262" s="2709"/>
      <c r="Q262" s="2709"/>
      <c r="R262" s="2709"/>
      <c r="S262" s="2709"/>
    </row>
    <row r="263" spans="2:19" x14ac:dyDescent="0.35">
      <c r="B263" s="3949"/>
      <c r="C263" s="2710" t="s">
        <v>852</v>
      </c>
      <c r="D263" s="2710"/>
      <c r="E263" s="2711"/>
      <c r="F263" s="2711">
        <f>SUMIF(D135:D260,"Logistics",E135:E260)</f>
        <v>48.760000000000026</v>
      </c>
      <c r="G263" s="2712">
        <f>F263/F262</f>
        <v>0.1621916516995239</v>
      </c>
      <c r="H263" s="2711"/>
      <c r="I263" s="2710"/>
      <c r="J263" s="2710"/>
      <c r="K263" s="2710"/>
      <c r="L263" s="2710"/>
      <c r="M263" s="2710"/>
      <c r="N263" s="2711"/>
      <c r="O263" s="2710"/>
      <c r="P263" s="2709"/>
      <c r="Q263" s="2709"/>
      <c r="R263" s="2709"/>
      <c r="S263" s="2709"/>
    </row>
    <row r="264" spans="2:19" ht="13.3" thickBot="1" x14ac:dyDescent="0.4">
      <c r="B264" s="3950"/>
      <c r="C264" s="2713" t="s">
        <v>1271</v>
      </c>
      <c r="D264" s="2713"/>
      <c r="E264" s="2714"/>
      <c r="F264" s="2714">
        <f>SUMIF(D135:D260,"Movement",E135:E260)</f>
        <v>3.3611111111111107</v>
      </c>
      <c r="G264" s="2715">
        <f>F264/F263</f>
        <v>6.8931729104001416E-2</v>
      </c>
      <c r="H264" s="2714"/>
      <c r="I264" s="2713"/>
      <c r="J264" s="2713"/>
      <c r="K264" s="2713"/>
      <c r="L264" s="2713"/>
      <c r="M264" s="2713"/>
      <c r="N264" s="2714"/>
      <c r="O264" s="2713"/>
      <c r="P264" s="2716"/>
      <c r="Q264" s="2716"/>
      <c r="R264" s="2716"/>
      <c r="S264" s="2716"/>
    </row>
    <row r="265" spans="2:19" x14ac:dyDescent="0.35">
      <c r="B265" s="3951" t="s">
        <v>906</v>
      </c>
      <c r="C265" s="2717" t="s">
        <v>850</v>
      </c>
      <c r="D265" s="2717"/>
      <c r="E265" s="2718"/>
      <c r="F265" s="2718">
        <f>F261+E131</f>
        <v>575.80413847046748</v>
      </c>
      <c r="G265" s="2719"/>
      <c r="H265" s="2720"/>
      <c r="I265" s="2719"/>
      <c r="J265" s="2719"/>
      <c r="K265" s="2719"/>
      <c r="L265" s="2719"/>
      <c r="M265" s="2719"/>
      <c r="N265" s="2720"/>
      <c r="O265" s="2719"/>
      <c r="P265" s="2721"/>
      <c r="Q265" s="2721"/>
      <c r="R265" s="2721"/>
      <c r="S265" s="2721"/>
    </row>
    <row r="266" spans="2:19" x14ac:dyDescent="0.35">
      <c r="B266" s="3952"/>
      <c r="C266" s="2722" t="s">
        <v>851</v>
      </c>
      <c r="D266" s="2722"/>
      <c r="E266" s="2723"/>
      <c r="F266" s="2723">
        <f>F262+E132</f>
        <v>452.45101819572949</v>
      </c>
      <c r="G266" s="2724">
        <f>F266/F265</f>
        <v>0.78577243192032964</v>
      </c>
      <c r="H266" s="2723"/>
      <c r="I266" s="2722"/>
      <c r="J266" s="2722"/>
      <c r="K266" s="2722"/>
      <c r="L266" s="2722"/>
      <c r="M266" s="2722"/>
      <c r="N266" s="2723"/>
      <c r="O266" s="2722"/>
      <c r="P266" s="2725"/>
      <c r="Q266" s="2725"/>
      <c r="R266" s="2725"/>
      <c r="S266" s="2725"/>
    </row>
    <row r="267" spans="2:19" x14ac:dyDescent="0.35">
      <c r="B267" s="3952"/>
      <c r="C267" s="2722" t="s">
        <v>852</v>
      </c>
      <c r="D267" s="2722"/>
      <c r="E267" s="2723"/>
      <c r="F267" s="2723">
        <f>F263+E133</f>
        <v>97.480000000000047</v>
      </c>
      <c r="G267" s="2724">
        <f>F267/F266</f>
        <v>0.21544873606148096</v>
      </c>
      <c r="H267" s="2723"/>
      <c r="I267" s="2722"/>
      <c r="J267" s="2722"/>
      <c r="K267" s="2722"/>
      <c r="L267" s="2722"/>
      <c r="M267" s="2722"/>
      <c r="N267" s="2723"/>
      <c r="O267" s="2722"/>
      <c r="P267" s="2725"/>
      <c r="Q267" s="2725"/>
      <c r="R267" s="2725"/>
      <c r="S267" s="2725"/>
    </row>
    <row r="268" spans="2:19" ht="13.3" thickBot="1" x14ac:dyDescent="0.4">
      <c r="B268" s="3953"/>
      <c r="C268" s="2726" t="s">
        <v>1271</v>
      </c>
      <c r="D268" s="2726"/>
      <c r="E268" s="2727"/>
      <c r="F268" s="2727">
        <f>F264+E134</f>
        <v>6.0277777777777777</v>
      </c>
      <c r="G268" s="2728">
        <f>F268/F267</f>
        <v>6.1836046140518824E-2</v>
      </c>
      <c r="H268" s="2727"/>
      <c r="I268" s="2726"/>
      <c r="J268" s="2726"/>
      <c r="K268" s="2726"/>
      <c r="L268" s="2726"/>
      <c r="M268" s="2726"/>
      <c r="N268" s="2727"/>
      <c r="O268" s="2726"/>
      <c r="P268" s="2729"/>
      <c r="Q268" s="2729"/>
      <c r="R268" s="2729"/>
      <c r="S268" s="2729"/>
    </row>
    <row r="269" spans="2:19" x14ac:dyDescent="0.35">
      <c r="F269" s="2546">
        <f>((F260+(-SUMIF(S7:S260,"&lt;0")))/two_shift_productivity_ratio)*1.1</f>
        <v>632.12985867294162</v>
      </c>
    </row>
    <row r="270" spans="2:19" x14ac:dyDescent="0.35">
      <c r="C270" s="2545">
        <f>SUMIF(C7:C260, "*Multifunction*",E7:E260)</f>
        <v>181.04166666666657</v>
      </c>
      <c r="D270" s="2545">
        <f>SUMIF(C7:C260,"*Multifunction*",E7:E260)</f>
        <v>181.04166666666657</v>
      </c>
    </row>
  </sheetData>
  <autoFilter ref="B6:S270"/>
  <customSheetViews>
    <customSheetView guid="{9C0AA20B-B2A2-4A2C-B279-4A5988F4E71A}" showAutoFilter="1" hiddenColumns="1" state="hidden">
      <selection activeCell="U23" sqref="U23"/>
      <pageMargins left="0.7" right="0.7" top="0.75" bottom="0.75" header="0.3" footer="0.3"/>
      <pageSetup paperSize="9" orientation="portrait" verticalDpi="0" r:id="rId1"/>
      <autoFilter ref="B6:S268"/>
    </customSheetView>
  </customSheetViews>
  <mergeCells count="38">
    <mergeCell ref="B176:B181"/>
    <mergeCell ref="B182:B185"/>
    <mergeCell ref="B240:B260"/>
    <mergeCell ref="B261:B264"/>
    <mergeCell ref="B265:B268"/>
    <mergeCell ref="B192:B195"/>
    <mergeCell ref="B196:B201"/>
    <mergeCell ref="B202:B205"/>
    <mergeCell ref="B206:B212"/>
    <mergeCell ref="B223:B229"/>
    <mergeCell ref="B230:B239"/>
    <mergeCell ref="B213:B222"/>
    <mergeCell ref="B186:B191"/>
    <mergeCell ref="B141:B158"/>
    <mergeCell ref="B159:B165"/>
    <mergeCell ref="B166:B171"/>
    <mergeCell ref="B172:B175"/>
    <mergeCell ref="O5:P5"/>
    <mergeCell ref="B103:B108"/>
    <mergeCell ref="B109:B113"/>
    <mergeCell ref="B114:B130"/>
    <mergeCell ref="B131:B134"/>
    <mergeCell ref="B135:B140"/>
    <mergeCell ref="G5:H5"/>
    <mergeCell ref="I5:N5"/>
    <mergeCell ref="B83:B88"/>
    <mergeCell ref="B89:B92"/>
    <mergeCell ref="B93:B98"/>
    <mergeCell ref="Q5:S5"/>
    <mergeCell ref="B99:B102"/>
    <mergeCell ref="B7:B29"/>
    <mergeCell ref="B43:B49"/>
    <mergeCell ref="B63:B68"/>
    <mergeCell ref="B69:B72"/>
    <mergeCell ref="B73:B78"/>
    <mergeCell ref="B79:B82"/>
    <mergeCell ref="B50:B62"/>
    <mergeCell ref="B30:B42"/>
  </mergeCells>
  <conditionalFormatting sqref="H80:K80 H90:K90 H100:K100 H110:K110 P81 P91 P101 P111 H74:K74 H84:K84 H94:K94 H104:K104 G166:K168 G171:K171 H145:K153 G142:K144 M142:P153 M171:P171 M166:P168 G7:P7 G8:K18 M8:P18 M81:N81 M91:N91 M101:N101 M111:N111 D141:D144 G141:P141 G154:K156 L135:L137 L142:L156 D154:D158 G157:L158 M156:P158 L159:L162 L166:L171 G172:P173 G174:K175 M175:P175 L174:L219 D166:D181 G49 G72:K73 G81:K83 G85:K89 M82:P90 G111:K130 M112:P130 G105:K109 M102:P110 G101:K103 G95:K99 M92:P100 G91:K93 G75:K79 G67:G69 D49 D28:D37 G53:G54 L43:P49 D43:D46 L223:L236 G26:P37 L8:L25 M20:P25 G20:K25 L240:L260 G63 G58:G59 D53:D113 L63:L130 L53:P62 M63:P80">
    <cfRule type="cellIs" dxfId="691" priority="212" stopIfTrue="1" operator="equal">
      <formula>"Operation"</formula>
    </cfRule>
  </conditionalFormatting>
  <conditionalFormatting sqref="H43:K45 H47:K47 G46:K46">
    <cfRule type="cellIs" dxfId="690" priority="211" stopIfTrue="1" operator="equal">
      <formula>"Operation"</formula>
    </cfRule>
  </conditionalFormatting>
  <conditionalFormatting sqref="H53 H54:K54 H49:K49 H56:K56 G55:K55 G48:H48">
    <cfRule type="cellIs" dxfId="689" priority="210" stopIfTrue="1" operator="equal">
      <formula>"Operation"</formula>
    </cfRule>
  </conditionalFormatting>
  <conditionalFormatting sqref="H63:K63 H58:K58 H65:K65 G64:H64 G57:H62">
    <cfRule type="cellIs" dxfId="688" priority="209" stopIfTrue="1" operator="equal">
      <formula>"Operation"</formula>
    </cfRule>
  </conditionalFormatting>
  <conditionalFormatting sqref="H68 H69:K69 H67:K67 H71:K71 G70:H70 G66:H66">
    <cfRule type="cellIs" dxfId="687" priority="208" stopIfTrue="1" operator="equal">
      <formula>"Operation"</formula>
    </cfRule>
  </conditionalFormatting>
  <conditionalFormatting sqref="G19:K19 M19:P19">
    <cfRule type="cellIs" dxfId="686" priority="207" stopIfTrue="1" operator="equal">
      <formula>"Operation"</formula>
    </cfRule>
  </conditionalFormatting>
  <conditionalFormatting sqref="I59:K59">
    <cfRule type="cellIs" dxfId="685" priority="201" stopIfTrue="1" operator="equal">
      <formula>"Operation"</formula>
    </cfRule>
  </conditionalFormatting>
  <conditionalFormatting sqref="I48:K48">
    <cfRule type="cellIs" dxfId="684" priority="205" stopIfTrue="1" operator="equal">
      <formula>"Operation"</formula>
    </cfRule>
  </conditionalFormatting>
  <conditionalFormatting sqref="I57:K62">
    <cfRule type="cellIs" dxfId="683" priority="204" stopIfTrue="1" operator="equal">
      <formula>"Operation"</formula>
    </cfRule>
  </conditionalFormatting>
  <conditionalFormatting sqref="I66:K66">
    <cfRule type="cellIs" dxfId="682" priority="203" stopIfTrue="1" operator="equal">
      <formula>"Operation"</formula>
    </cfRule>
  </conditionalFormatting>
  <conditionalFormatting sqref="I53:K53">
    <cfRule type="cellIs" dxfId="681" priority="202" stopIfTrue="1" operator="equal">
      <formula>"Operation"</formula>
    </cfRule>
  </conditionalFormatting>
  <conditionalFormatting sqref="I68:K68">
    <cfRule type="cellIs" dxfId="680" priority="200" stopIfTrue="1" operator="equal">
      <formula>"Operation"</formula>
    </cfRule>
  </conditionalFormatting>
  <conditionalFormatting sqref="I64:K64">
    <cfRule type="cellIs" dxfId="679" priority="199" stopIfTrue="1" operator="equal">
      <formula>"Operation"</formula>
    </cfRule>
  </conditionalFormatting>
  <conditionalFormatting sqref="I70:K70">
    <cfRule type="cellIs" dxfId="678" priority="198" stopIfTrue="1" operator="equal">
      <formula>"Operation"</formula>
    </cfRule>
  </conditionalFormatting>
  <conditionalFormatting sqref="G43:G45">
    <cfRule type="cellIs" dxfId="677" priority="197" stopIfTrue="1" operator="equal">
      <formula>"Operation"</formula>
    </cfRule>
  </conditionalFormatting>
  <conditionalFormatting sqref="G47">
    <cfRule type="cellIs" dxfId="676" priority="196" stopIfTrue="1" operator="equal">
      <formula>"Operation"</formula>
    </cfRule>
  </conditionalFormatting>
  <conditionalFormatting sqref="G56">
    <cfRule type="cellIs" dxfId="675" priority="195" stopIfTrue="1" operator="equal">
      <formula>"Operation"</formula>
    </cfRule>
  </conditionalFormatting>
  <conditionalFormatting sqref="G65">
    <cfRule type="cellIs" dxfId="674" priority="194" stopIfTrue="1" operator="equal">
      <formula>"Operation"</formula>
    </cfRule>
  </conditionalFormatting>
  <conditionalFormatting sqref="G71">
    <cfRule type="cellIs" dxfId="673" priority="193" stopIfTrue="1" operator="equal">
      <formula>"Operation"</formula>
    </cfRule>
  </conditionalFormatting>
  <conditionalFormatting sqref="D1:D6 D269:D65568">
    <cfRule type="cellIs" dxfId="672" priority="192" stopIfTrue="1" operator="equal">
      <formula>"Total"</formula>
    </cfRule>
  </conditionalFormatting>
  <conditionalFormatting sqref="S141:S184 S43:S49 S53:S130 S7:S37">
    <cfRule type="cellIs" dxfId="671" priority="190" stopIfTrue="1" operator="lessThan">
      <formula>0</formula>
    </cfRule>
  </conditionalFormatting>
  <conditionalFormatting sqref="D114:D119 D122:D130 D8:D26">
    <cfRule type="cellIs" dxfId="670" priority="189" stopIfTrue="1" operator="equal">
      <formula>"Operation"</formula>
    </cfRule>
  </conditionalFormatting>
  <conditionalFormatting sqref="D7">
    <cfRule type="cellIs" dxfId="669" priority="188" stopIfTrue="1" operator="equal">
      <formula>"Operation"</formula>
    </cfRule>
  </conditionalFormatting>
  <conditionalFormatting sqref="D27">
    <cfRule type="cellIs" dxfId="668" priority="187" stopIfTrue="1" operator="equal">
      <formula>"Operation"</formula>
    </cfRule>
  </conditionalFormatting>
  <conditionalFormatting sqref="D47:D48">
    <cfRule type="cellIs" dxfId="667" priority="186" stopIfTrue="1" operator="equal">
      <formula>"Operation"</formula>
    </cfRule>
  </conditionalFormatting>
  <conditionalFormatting sqref="D120:D121">
    <cfRule type="cellIs" dxfId="666" priority="185" stopIfTrue="1" operator="equal">
      <formula>"Operation"</formula>
    </cfRule>
  </conditionalFormatting>
  <conditionalFormatting sqref="G80">
    <cfRule type="cellIs" dxfId="665" priority="184" stopIfTrue="1" operator="equal">
      <formula>"Operation"</formula>
    </cfRule>
  </conditionalFormatting>
  <conditionalFormatting sqref="G90">
    <cfRule type="cellIs" dxfId="664" priority="183" stopIfTrue="1" operator="equal">
      <formula>"Operation"</formula>
    </cfRule>
  </conditionalFormatting>
  <conditionalFormatting sqref="G100">
    <cfRule type="cellIs" dxfId="663" priority="182" stopIfTrue="1" operator="equal">
      <formula>"Operation"</formula>
    </cfRule>
  </conditionalFormatting>
  <conditionalFormatting sqref="G110">
    <cfRule type="cellIs" dxfId="662" priority="181" stopIfTrue="1" operator="equal">
      <formula>"Operation"</formula>
    </cfRule>
  </conditionalFormatting>
  <conditionalFormatting sqref="D131:D134">
    <cfRule type="cellIs" dxfId="661" priority="180" stopIfTrue="1" operator="equal">
      <formula>"Total"</formula>
    </cfRule>
  </conditionalFormatting>
  <conditionalFormatting sqref="O81">
    <cfRule type="cellIs" dxfId="660" priority="179" stopIfTrue="1" operator="equal">
      <formula>"Operation"</formula>
    </cfRule>
  </conditionalFormatting>
  <conditionalFormatting sqref="O111">
    <cfRule type="cellIs" dxfId="659" priority="176" stopIfTrue="1" operator="equal">
      <formula>"Operation"</formula>
    </cfRule>
  </conditionalFormatting>
  <conditionalFormatting sqref="O91">
    <cfRule type="cellIs" dxfId="658" priority="178" stopIfTrue="1" operator="equal">
      <formula>"Operation"</formula>
    </cfRule>
  </conditionalFormatting>
  <conditionalFormatting sqref="O101">
    <cfRule type="cellIs" dxfId="657" priority="177" stopIfTrue="1" operator="equal">
      <formula>"Operation"</formula>
    </cfRule>
  </conditionalFormatting>
  <conditionalFormatting sqref="G129:K130 M129:P130">
    <cfRule type="cellIs" dxfId="656" priority="175" stopIfTrue="1" operator="equal">
      <formula>"Operation"</formula>
    </cfRule>
  </conditionalFormatting>
  <conditionalFormatting sqref="S129:S130">
    <cfRule type="cellIs" dxfId="655" priority="174" stopIfTrue="1" operator="lessThan">
      <formula>0</formula>
    </cfRule>
  </conditionalFormatting>
  <conditionalFormatting sqref="D129:D130">
    <cfRule type="cellIs" dxfId="654" priority="173" stopIfTrue="1" operator="equal">
      <formula>"Operation"</formula>
    </cfRule>
  </conditionalFormatting>
  <conditionalFormatting sqref="M142:P153 H141:P141 L135:L137 O139:P139 P140 P135:P138 R141:S158 H142:L158 M156:P158 L159:L162 H166:P173 L174:L219 H174:K181 M174:P181 S159:S165 R166:S181 S182:S184 H43:P49 R43:S49 L223:L236 H7:P37 L240:L260 H53:P130 R7:S37 R53:S130">
    <cfRule type="cellIs" dxfId="653" priority="172" stopIfTrue="1" operator="equal">
      <formula>"N/A"</formula>
    </cfRule>
  </conditionalFormatting>
  <conditionalFormatting sqref="G74">
    <cfRule type="cellIs" dxfId="652" priority="171" stopIfTrue="1" operator="equal">
      <formula>"Operation"</formula>
    </cfRule>
  </conditionalFormatting>
  <conditionalFormatting sqref="G84">
    <cfRule type="cellIs" dxfId="651" priority="170" stopIfTrue="1" operator="equal">
      <formula>"Operation"</formula>
    </cfRule>
  </conditionalFormatting>
  <conditionalFormatting sqref="G104">
    <cfRule type="cellIs" dxfId="650" priority="168" stopIfTrue="1" operator="equal">
      <formula>"Operation"</formula>
    </cfRule>
  </conditionalFormatting>
  <conditionalFormatting sqref="G94">
    <cfRule type="cellIs" dxfId="649" priority="169" stopIfTrue="1" operator="equal">
      <formula>"Operation"</formula>
    </cfRule>
  </conditionalFormatting>
  <conditionalFormatting sqref="G159:G162">
    <cfRule type="cellIs" dxfId="648" priority="159" stopIfTrue="1" operator="equal">
      <formula>"Operation"</formula>
    </cfRule>
  </conditionalFormatting>
  <conditionalFormatting sqref="G145:G147 D145:D147">
    <cfRule type="cellIs" dxfId="647" priority="167" stopIfTrue="1" operator="equal">
      <formula>"Operation"</formula>
    </cfRule>
  </conditionalFormatting>
  <conditionalFormatting sqref="G148:G150 D148:D150">
    <cfRule type="cellIs" dxfId="646" priority="166" stopIfTrue="1" operator="equal">
      <formula>"Operation"</formula>
    </cfRule>
  </conditionalFormatting>
  <conditionalFormatting sqref="G151:G153 D151:D153">
    <cfRule type="cellIs" dxfId="645" priority="165" stopIfTrue="1" operator="equal">
      <formula>"Operation"</formula>
    </cfRule>
  </conditionalFormatting>
  <conditionalFormatting sqref="P155 M155:N155 M154:P154">
    <cfRule type="cellIs" dxfId="644" priority="164" stopIfTrue="1" operator="equal">
      <formula>"Operation"</formula>
    </cfRule>
  </conditionalFormatting>
  <conditionalFormatting sqref="P155 M155:N155 M154:P154">
    <cfRule type="cellIs" dxfId="643" priority="163" stopIfTrue="1" operator="equal">
      <formula>"N/A"</formula>
    </cfRule>
  </conditionalFormatting>
  <conditionalFormatting sqref="G159:K161 H162:K162 M159:P162">
    <cfRule type="cellIs" dxfId="642" priority="162" stopIfTrue="1" operator="equal">
      <formula>"Operation"</formula>
    </cfRule>
  </conditionalFormatting>
  <conditionalFormatting sqref="S159:S162">
    <cfRule type="cellIs" dxfId="641" priority="161" stopIfTrue="1" operator="lessThan">
      <formula>0</formula>
    </cfRule>
  </conditionalFormatting>
  <conditionalFormatting sqref="D159:D162">
    <cfRule type="cellIs" dxfId="640" priority="160" stopIfTrue="1" operator="equal">
      <formula>"Operation"</formula>
    </cfRule>
  </conditionalFormatting>
  <conditionalFormatting sqref="M159:P162 R159:S162 H159:K162">
    <cfRule type="cellIs" dxfId="639" priority="158" stopIfTrue="1" operator="equal">
      <formula>"N/A"</formula>
    </cfRule>
  </conditionalFormatting>
  <conditionalFormatting sqref="G169:K169 H170:K170 M169:P170">
    <cfRule type="cellIs" dxfId="638" priority="157" stopIfTrue="1" operator="equal">
      <formula>"Operation"</formula>
    </cfRule>
  </conditionalFormatting>
  <conditionalFormatting sqref="G170">
    <cfRule type="cellIs" dxfId="637" priority="156" stopIfTrue="1" operator="equal">
      <formula>"Operation"</formula>
    </cfRule>
  </conditionalFormatting>
  <conditionalFormatting sqref="O155">
    <cfRule type="cellIs" dxfId="636" priority="150" stopIfTrue="1" operator="equal">
      <formula>"Operation"</formula>
    </cfRule>
  </conditionalFormatting>
  <conditionalFormatting sqref="G176:K178 G181:K181 M181:P181 M176:P178">
    <cfRule type="cellIs" dxfId="635" priority="155" stopIfTrue="1" operator="equal">
      <formula>"Operation"</formula>
    </cfRule>
  </conditionalFormatting>
  <conditionalFormatting sqref="P174 M174:N174">
    <cfRule type="cellIs" dxfId="634" priority="154" stopIfTrue="1" operator="equal">
      <formula>"Operation"</formula>
    </cfRule>
  </conditionalFormatting>
  <conditionalFormatting sqref="O174">
    <cfRule type="cellIs" dxfId="633" priority="153" stopIfTrue="1" operator="equal">
      <formula>"Operation"</formula>
    </cfRule>
  </conditionalFormatting>
  <conditionalFormatting sqref="G179:K179 H180:K180 M179:P180">
    <cfRule type="cellIs" dxfId="632" priority="152" stopIfTrue="1" operator="equal">
      <formula>"Operation"</formula>
    </cfRule>
  </conditionalFormatting>
  <conditionalFormatting sqref="G180">
    <cfRule type="cellIs" dxfId="631" priority="151" stopIfTrue="1" operator="equal">
      <formula>"Operation"</formula>
    </cfRule>
  </conditionalFormatting>
  <conditionalFormatting sqref="O155">
    <cfRule type="cellIs" dxfId="630" priority="149" stopIfTrue="1" operator="equal">
      <formula>"N/A"</formula>
    </cfRule>
  </conditionalFormatting>
  <conditionalFormatting sqref="G216:K216 H217:K217 M216:P217">
    <cfRule type="cellIs" dxfId="629" priority="106" stopIfTrue="1" operator="equal">
      <formula>"Operation"</formula>
    </cfRule>
  </conditionalFormatting>
  <conditionalFormatting sqref="G186:K188 G191:K191 D186:D191 M191:P191 M186:P188">
    <cfRule type="cellIs" dxfId="628" priority="148" stopIfTrue="1" operator="equal">
      <formula>"Operation"</formula>
    </cfRule>
  </conditionalFormatting>
  <conditionalFormatting sqref="S186:S191">
    <cfRule type="cellIs" dxfId="627" priority="147" stopIfTrue="1" operator="lessThan">
      <formula>0</formula>
    </cfRule>
  </conditionalFormatting>
  <conditionalFormatting sqref="H186:K191 R186:S191 M186:P191">
    <cfRule type="cellIs" dxfId="626" priority="146" stopIfTrue="1" operator="equal">
      <formula>"N/A"</formula>
    </cfRule>
  </conditionalFormatting>
  <conditionalFormatting sqref="G183">
    <cfRule type="cellIs" dxfId="625" priority="142" stopIfTrue="1" operator="equal">
      <formula>"Operation"</formula>
    </cfRule>
  </conditionalFormatting>
  <conditionalFormatting sqref="P184 G184:K185 G182:K182 H183:K183 M182:P183 M185:P185 M184:N184">
    <cfRule type="cellIs" dxfId="624" priority="145" stopIfTrue="1" operator="equal">
      <formula>"Operation"</formula>
    </cfRule>
  </conditionalFormatting>
  <conditionalFormatting sqref="S182:S185">
    <cfRule type="cellIs" dxfId="623" priority="144" stopIfTrue="1" operator="lessThan">
      <formula>0</formula>
    </cfRule>
  </conditionalFormatting>
  <conditionalFormatting sqref="D182:D183 D185">
    <cfRule type="cellIs" dxfId="622" priority="143" stopIfTrue="1" operator="equal">
      <formula>"Operation"</formula>
    </cfRule>
  </conditionalFormatting>
  <conditionalFormatting sqref="O184">
    <cfRule type="cellIs" dxfId="621" priority="141" stopIfTrue="1" operator="equal">
      <formula>"Operation"</formula>
    </cfRule>
  </conditionalFormatting>
  <conditionalFormatting sqref="H182:K185 R182:S185 M182:P185">
    <cfRule type="cellIs" dxfId="620" priority="140" stopIfTrue="1" operator="equal">
      <formula>"N/A"</formula>
    </cfRule>
  </conditionalFormatting>
  <conditionalFormatting sqref="G189:K189 H190:K190 M189:P190">
    <cfRule type="cellIs" dxfId="619" priority="139" stopIfTrue="1" operator="equal">
      <formula>"Operation"</formula>
    </cfRule>
  </conditionalFormatting>
  <conditionalFormatting sqref="G190">
    <cfRule type="cellIs" dxfId="618" priority="138" stopIfTrue="1" operator="equal">
      <formula>"Operation"</formula>
    </cfRule>
  </conditionalFormatting>
  <conditionalFormatting sqref="D184">
    <cfRule type="cellIs" dxfId="617" priority="137" stopIfTrue="1" operator="equal">
      <formula>"Operation"</formula>
    </cfRule>
  </conditionalFormatting>
  <conditionalFormatting sqref="G196:K198 G201:K201 D196:D201 M201:P201 M196:P198">
    <cfRule type="cellIs" dxfId="616" priority="136" stopIfTrue="1" operator="equal">
      <formula>"Operation"</formula>
    </cfRule>
  </conditionalFormatting>
  <conditionalFormatting sqref="S196:S201">
    <cfRule type="cellIs" dxfId="615" priority="135" stopIfTrue="1" operator="lessThan">
      <formula>0</formula>
    </cfRule>
  </conditionalFormatting>
  <conditionalFormatting sqref="H196:K201 R196:S201 M196:P201">
    <cfRule type="cellIs" dxfId="614" priority="134" stopIfTrue="1" operator="equal">
      <formula>"N/A"</formula>
    </cfRule>
  </conditionalFormatting>
  <conditionalFormatting sqref="G193">
    <cfRule type="cellIs" dxfId="613" priority="130" stopIfTrue="1" operator="equal">
      <formula>"Operation"</formula>
    </cfRule>
  </conditionalFormatting>
  <conditionalFormatting sqref="P194 G194:K195 G192:K192 H193:K193 M192:P193 M195:P195 M194:N194">
    <cfRule type="cellIs" dxfId="612" priority="133" stopIfTrue="1" operator="equal">
      <formula>"Operation"</formula>
    </cfRule>
  </conditionalFormatting>
  <conditionalFormatting sqref="S192:S195">
    <cfRule type="cellIs" dxfId="611" priority="132" stopIfTrue="1" operator="lessThan">
      <formula>0</formula>
    </cfRule>
  </conditionalFormatting>
  <conditionalFormatting sqref="D192:D193 D195">
    <cfRule type="cellIs" dxfId="610" priority="131" stopIfTrue="1" operator="equal">
      <formula>"Operation"</formula>
    </cfRule>
  </conditionalFormatting>
  <conditionalFormatting sqref="O194">
    <cfRule type="cellIs" dxfId="609" priority="129" stopIfTrue="1" operator="equal">
      <formula>"Operation"</formula>
    </cfRule>
  </conditionalFormatting>
  <conditionalFormatting sqref="H192:K195 R192:S195 M192:P195">
    <cfRule type="cellIs" dxfId="608" priority="128" stopIfTrue="1" operator="equal">
      <formula>"N/A"</formula>
    </cfRule>
  </conditionalFormatting>
  <conditionalFormatting sqref="G199:K199 H200:K200 M199:P200">
    <cfRule type="cellIs" dxfId="607" priority="127" stopIfTrue="1" operator="equal">
      <formula>"Operation"</formula>
    </cfRule>
  </conditionalFormatting>
  <conditionalFormatting sqref="G200">
    <cfRule type="cellIs" dxfId="606" priority="126" stopIfTrue="1" operator="equal">
      <formula>"Operation"</formula>
    </cfRule>
  </conditionalFormatting>
  <conditionalFormatting sqref="D194">
    <cfRule type="cellIs" dxfId="605" priority="125" stopIfTrue="1" operator="equal">
      <formula>"Operation"</formula>
    </cfRule>
  </conditionalFormatting>
  <conditionalFormatting sqref="G206:K208 D206:D210 M206:P208">
    <cfRule type="cellIs" dxfId="604" priority="124" stopIfTrue="1" operator="equal">
      <formula>"Operation"</formula>
    </cfRule>
  </conditionalFormatting>
  <conditionalFormatting sqref="S206:S210">
    <cfRule type="cellIs" dxfId="603" priority="123" stopIfTrue="1" operator="lessThan">
      <formula>0</formula>
    </cfRule>
  </conditionalFormatting>
  <conditionalFormatting sqref="H206:K210 R206:S210 M206:P210">
    <cfRule type="cellIs" dxfId="602" priority="122" stopIfTrue="1" operator="equal">
      <formula>"N/A"</formula>
    </cfRule>
  </conditionalFormatting>
  <conditionalFormatting sqref="G203">
    <cfRule type="cellIs" dxfId="601" priority="118" stopIfTrue="1" operator="equal">
      <formula>"Operation"</formula>
    </cfRule>
  </conditionalFormatting>
  <conditionalFormatting sqref="P204 G204:K205 G202:K202 H203:K203 M202:P203 M205:P205 M204:N204">
    <cfRule type="cellIs" dxfId="600" priority="121" stopIfTrue="1" operator="equal">
      <formula>"Operation"</formula>
    </cfRule>
  </conditionalFormatting>
  <conditionalFormatting sqref="S202:S205">
    <cfRule type="cellIs" dxfId="599" priority="120" stopIfTrue="1" operator="lessThan">
      <formula>0</formula>
    </cfRule>
  </conditionalFormatting>
  <conditionalFormatting sqref="D202:D203 D205">
    <cfRule type="cellIs" dxfId="598" priority="119" stopIfTrue="1" operator="equal">
      <formula>"Operation"</formula>
    </cfRule>
  </conditionalFormatting>
  <conditionalFormatting sqref="O204">
    <cfRule type="cellIs" dxfId="597" priority="117" stopIfTrue="1" operator="equal">
      <formula>"Operation"</formula>
    </cfRule>
  </conditionalFormatting>
  <conditionalFormatting sqref="H202:K205 R202:S205 M202:P205">
    <cfRule type="cellIs" dxfId="596" priority="116" stopIfTrue="1" operator="equal">
      <formula>"N/A"</formula>
    </cfRule>
  </conditionalFormatting>
  <conditionalFormatting sqref="G209:K209 H210:K210 M209:P210">
    <cfRule type="cellIs" dxfId="595" priority="115" stopIfTrue="1" operator="equal">
      <formula>"Operation"</formula>
    </cfRule>
  </conditionalFormatting>
  <conditionalFormatting sqref="G210">
    <cfRule type="cellIs" dxfId="594" priority="114" stopIfTrue="1" operator="equal">
      <formula>"Operation"</formula>
    </cfRule>
  </conditionalFormatting>
  <conditionalFormatting sqref="D204">
    <cfRule type="cellIs" dxfId="593" priority="113" stopIfTrue="1" operator="equal">
      <formula>"Operation"</formula>
    </cfRule>
  </conditionalFormatting>
  <conditionalFormatting sqref="G211:K212 D211:D212 M211:P212">
    <cfRule type="cellIs" dxfId="592" priority="112" stopIfTrue="1" operator="equal">
      <formula>"Operation"</formula>
    </cfRule>
  </conditionalFormatting>
  <conditionalFormatting sqref="G213:K215 D213:D217 M213:P215">
    <cfRule type="cellIs" dxfId="591" priority="109" stopIfTrue="1" operator="equal">
      <formula>"Operation"</formula>
    </cfRule>
  </conditionalFormatting>
  <conditionalFormatting sqref="S211:S212">
    <cfRule type="cellIs" dxfId="590" priority="111" stopIfTrue="1" operator="lessThan">
      <formula>0</formula>
    </cfRule>
  </conditionalFormatting>
  <conditionalFormatting sqref="H211:K212 R211:S212 M211:P212">
    <cfRule type="cellIs" dxfId="589" priority="110" stopIfTrue="1" operator="equal">
      <formula>"N/A"</formula>
    </cfRule>
  </conditionalFormatting>
  <conditionalFormatting sqref="S213:S217">
    <cfRule type="cellIs" dxfId="588" priority="108" stopIfTrue="1" operator="lessThan">
      <formula>0</formula>
    </cfRule>
  </conditionalFormatting>
  <conditionalFormatting sqref="H213:K217 R213:S217 M213:P217">
    <cfRule type="cellIs" dxfId="587" priority="107" stopIfTrue="1" operator="equal">
      <formula>"N/A"</formula>
    </cfRule>
  </conditionalFormatting>
  <conditionalFormatting sqref="G217">
    <cfRule type="cellIs" dxfId="586" priority="105" stopIfTrue="1" operator="equal">
      <formula>"Operation"</formula>
    </cfRule>
  </conditionalFormatting>
  <conditionalFormatting sqref="G218:K219 D218:D219 M218:P219">
    <cfRule type="cellIs" dxfId="585" priority="104" stopIfTrue="1" operator="equal">
      <formula>"Operation"</formula>
    </cfRule>
  </conditionalFormatting>
  <conditionalFormatting sqref="S218:S219">
    <cfRule type="cellIs" dxfId="584" priority="103" stopIfTrue="1" operator="lessThan">
      <formula>0</formula>
    </cfRule>
  </conditionalFormatting>
  <conditionalFormatting sqref="H218:K219 R218:S219 M218:P219">
    <cfRule type="cellIs" dxfId="583" priority="102" stopIfTrue="1" operator="equal">
      <formula>"N/A"</formula>
    </cfRule>
  </conditionalFormatting>
  <conditionalFormatting sqref="G226:K226 H227:K227 M226:P227">
    <cfRule type="cellIs" dxfId="582" priority="98" stopIfTrue="1" operator="equal">
      <formula>"Operation"</formula>
    </cfRule>
  </conditionalFormatting>
  <conditionalFormatting sqref="G223:K225 D223:D227 M223:P225">
    <cfRule type="cellIs" dxfId="581" priority="101" stopIfTrue="1" operator="equal">
      <formula>"Operation"</formula>
    </cfRule>
  </conditionalFormatting>
  <conditionalFormatting sqref="S223:S227">
    <cfRule type="cellIs" dxfId="580" priority="100" stopIfTrue="1" operator="lessThan">
      <formula>0</formula>
    </cfRule>
  </conditionalFormatting>
  <conditionalFormatting sqref="H223:K227 R223:S227 M223:P227">
    <cfRule type="cellIs" dxfId="579" priority="99" stopIfTrue="1" operator="equal">
      <formula>"N/A"</formula>
    </cfRule>
  </conditionalFormatting>
  <conditionalFormatting sqref="G227">
    <cfRule type="cellIs" dxfId="578" priority="97" stopIfTrue="1" operator="equal">
      <formula>"Operation"</formula>
    </cfRule>
  </conditionalFormatting>
  <conditionalFormatting sqref="G228:K229 D228:D229 M228:P229">
    <cfRule type="cellIs" dxfId="577" priority="96" stopIfTrue="1" operator="equal">
      <formula>"Operation"</formula>
    </cfRule>
  </conditionalFormatting>
  <conditionalFormatting sqref="S228:S229">
    <cfRule type="cellIs" dxfId="576" priority="95" stopIfTrue="1" operator="lessThan">
      <formula>0</formula>
    </cfRule>
  </conditionalFormatting>
  <conditionalFormatting sqref="H228:K229 R228:S229 M228:P229">
    <cfRule type="cellIs" dxfId="575" priority="94" stopIfTrue="1" operator="equal">
      <formula>"N/A"</formula>
    </cfRule>
  </conditionalFormatting>
  <conditionalFormatting sqref="G233:K233 H234:K234 M233:P234">
    <cfRule type="cellIs" dxfId="574" priority="90" stopIfTrue="1" operator="equal">
      <formula>"Operation"</formula>
    </cfRule>
  </conditionalFormatting>
  <conditionalFormatting sqref="G230:K232 D230:D234 M230:P232">
    <cfRule type="cellIs" dxfId="573" priority="93" stopIfTrue="1" operator="equal">
      <formula>"Operation"</formula>
    </cfRule>
  </conditionalFormatting>
  <conditionalFormatting sqref="S230:S234">
    <cfRule type="cellIs" dxfId="572" priority="92" stopIfTrue="1" operator="lessThan">
      <formula>0</formula>
    </cfRule>
  </conditionalFormatting>
  <conditionalFormatting sqref="H230:K234 R230:S234 M230:P234">
    <cfRule type="cellIs" dxfId="571" priority="91" stopIfTrue="1" operator="equal">
      <formula>"N/A"</formula>
    </cfRule>
  </conditionalFormatting>
  <conditionalFormatting sqref="G234">
    <cfRule type="cellIs" dxfId="570" priority="89" stopIfTrue="1" operator="equal">
      <formula>"Operation"</formula>
    </cfRule>
  </conditionalFormatting>
  <conditionalFormatting sqref="D235:D236 H235:K235 G236:K236 M235:P236">
    <cfRule type="cellIs" dxfId="569" priority="88" stopIfTrue="1" operator="equal">
      <formula>"Operation"</formula>
    </cfRule>
  </conditionalFormatting>
  <conditionalFormatting sqref="S235:S236">
    <cfRule type="cellIs" dxfId="568" priority="87" stopIfTrue="1" operator="lessThan">
      <formula>0</formula>
    </cfRule>
  </conditionalFormatting>
  <conditionalFormatting sqref="H235:K236 R235:S236 M235:P236">
    <cfRule type="cellIs" dxfId="567" priority="86" stopIfTrue="1" operator="equal">
      <formula>"N/A"</formula>
    </cfRule>
  </conditionalFormatting>
  <conditionalFormatting sqref="G235">
    <cfRule type="cellIs" dxfId="566" priority="85" stopIfTrue="1" operator="equal">
      <formula>"Operation"</formula>
    </cfRule>
  </conditionalFormatting>
  <conditionalFormatting sqref="D249">
    <cfRule type="cellIs" dxfId="565" priority="68" stopIfTrue="1" operator="equal">
      <formula>"Operation"</formula>
    </cfRule>
  </conditionalFormatting>
  <conditionalFormatting sqref="Q241:Q260">
    <cfRule type="cellIs" dxfId="564" priority="83" stopIfTrue="1" operator="equal">
      <formula>"Operation"</formula>
    </cfRule>
  </conditionalFormatting>
  <conditionalFormatting sqref="Q241:Q260">
    <cfRule type="cellIs" dxfId="563" priority="84" stopIfTrue="1" operator="equal">
      <formula>"N/A"</formula>
    </cfRule>
  </conditionalFormatting>
  <conditionalFormatting sqref="Q240">
    <cfRule type="cellIs" dxfId="562" priority="81" stopIfTrue="1" operator="equal">
      <formula>"Operation"</formula>
    </cfRule>
  </conditionalFormatting>
  <conditionalFormatting sqref="O240:O243 O245:O260">
    <cfRule type="cellIs" dxfId="561" priority="79" stopIfTrue="1" operator="equal">
      <formula>"Operation"</formula>
    </cfRule>
  </conditionalFormatting>
  <conditionalFormatting sqref="Q240">
    <cfRule type="cellIs" dxfId="560" priority="82" stopIfTrue="1" operator="equal">
      <formula>"N/A"</formula>
    </cfRule>
  </conditionalFormatting>
  <conditionalFormatting sqref="O240:O243 O245:O260">
    <cfRule type="cellIs" dxfId="559" priority="80" stopIfTrue="1" operator="equal">
      <formula>"N/A"</formula>
    </cfRule>
  </conditionalFormatting>
  <conditionalFormatting sqref="P240:P260">
    <cfRule type="cellIs" dxfId="558" priority="77" stopIfTrue="1" operator="equal">
      <formula>"Operation"</formula>
    </cfRule>
  </conditionalFormatting>
  <conditionalFormatting sqref="P240:P260">
    <cfRule type="cellIs" dxfId="557" priority="78" stopIfTrue="1" operator="equal">
      <formula>"N/A"</formula>
    </cfRule>
  </conditionalFormatting>
  <conditionalFormatting sqref="R240:S260">
    <cfRule type="cellIs" dxfId="556" priority="76" stopIfTrue="1" operator="equal">
      <formula>"N/A"</formula>
    </cfRule>
  </conditionalFormatting>
  <conditionalFormatting sqref="H240:H260 M240:N260">
    <cfRule type="cellIs" dxfId="555" priority="75" stopIfTrue="1" operator="equal">
      <formula>"Operation"</formula>
    </cfRule>
  </conditionalFormatting>
  <conditionalFormatting sqref="H240:H260 M240:N260">
    <cfRule type="cellIs" dxfId="554" priority="74" stopIfTrue="1" operator="equal">
      <formula>"N/A"</formula>
    </cfRule>
  </conditionalFormatting>
  <conditionalFormatting sqref="D242">
    <cfRule type="cellIs" dxfId="553" priority="73" stopIfTrue="1" operator="equal">
      <formula>"Operation"</formula>
    </cfRule>
  </conditionalFormatting>
  <conditionalFormatting sqref="D243:D246">
    <cfRule type="cellIs" dxfId="552" priority="72" stopIfTrue="1" operator="equal">
      <formula>"Operation"</formula>
    </cfRule>
  </conditionalFormatting>
  <conditionalFormatting sqref="D259">
    <cfRule type="cellIs" dxfId="551" priority="71" stopIfTrue="1" operator="equal">
      <formula>"Operation"</formula>
    </cfRule>
  </conditionalFormatting>
  <conditionalFormatting sqref="G240:G260">
    <cfRule type="cellIs" dxfId="550" priority="70" stopIfTrue="1" operator="equal">
      <formula>"Operation"</formula>
    </cfRule>
  </conditionalFormatting>
  <conditionalFormatting sqref="I240:K260">
    <cfRule type="cellIs" dxfId="549" priority="69" stopIfTrue="1" operator="equal">
      <formula>"Operation"</formula>
    </cfRule>
  </conditionalFormatting>
  <conditionalFormatting sqref="D253">
    <cfRule type="cellIs" dxfId="548" priority="67" stopIfTrue="1" operator="equal">
      <formula>"Operation"</formula>
    </cfRule>
  </conditionalFormatting>
  <conditionalFormatting sqref="D261:D264">
    <cfRule type="cellIs" dxfId="547" priority="65" stopIfTrue="1" operator="equal">
      <formula>"Total"</formula>
    </cfRule>
  </conditionalFormatting>
  <conditionalFormatting sqref="D265:D268">
    <cfRule type="cellIs" dxfId="546" priority="63" stopIfTrue="1" operator="equal">
      <formula>"Total"</formula>
    </cfRule>
  </conditionalFormatting>
  <conditionalFormatting sqref="M136:N137 O135:O137 D135:D137 G135:K137">
    <cfRule type="cellIs" dxfId="545" priority="62" stopIfTrue="1" operator="equal">
      <formula>"Operation"</formula>
    </cfRule>
  </conditionalFormatting>
  <conditionalFormatting sqref="D135:D137">
    <cfRule type="cellIs" dxfId="544" priority="61" stopIfTrue="1" operator="equal">
      <formula>"Total"</formula>
    </cfRule>
  </conditionalFormatting>
  <conditionalFormatting sqref="O135 M136:O137 H135:K137 Q135:Q137">
    <cfRule type="cellIs" dxfId="543" priority="60" stopIfTrue="1" operator="equal">
      <formula>"N/A"</formula>
    </cfRule>
  </conditionalFormatting>
  <conditionalFormatting sqref="M135:N135">
    <cfRule type="cellIs" dxfId="542" priority="59" stopIfTrue="1" operator="equal">
      <formula>"Operation"</formula>
    </cfRule>
  </conditionalFormatting>
  <conditionalFormatting sqref="M135:N135">
    <cfRule type="cellIs" dxfId="541" priority="58" stopIfTrue="1" operator="equal">
      <formula>"N/A"</formula>
    </cfRule>
  </conditionalFormatting>
  <conditionalFormatting sqref="S135:S137">
    <cfRule type="cellIs" dxfId="540" priority="57" stopIfTrue="1" operator="lessThan">
      <formula>0</formula>
    </cfRule>
  </conditionalFormatting>
  <conditionalFormatting sqref="R135:S137">
    <cfRule type="cellIs" dxfId="539" priority="56" stopIfTrue="1" operator="equal">
      <formula>"N/A"</formula>
    </cfRule>
  </conditionalFormatting>
  <conditionalFormatting sqref="L163:L165">
    <cfRule type="cellIs" dxfId="538" priority="55" stopIfTrue="1" operator="equal">
      <formula>"Operation"</formula>
    </cfRule>
  </conditionalFormatting>
  <conditionalFormatting sqref="L163:L165">
    <cfRule type="cellIs" dxfId="537" priority="54" stopIfTrue="1" operator="equal">
      <formula>"N/A"</formula>
    </cfRule>
  </conditionalFormatting>
  <conditionalFormatting sqref="G163:G165">
    <cfRule type="cellIs" dxfId="536" priority="50" stopIfTrue="1" operator="equal">
      <formula>"Operation"</formula>
    </cfRule>
  </conditionalFormatting>
  <conditionalFormatting sqref="H163:K165 M163:P165">
    <cfRule type="cellIs" dxfId="535" priority="53" stopIfTrue="1" operator="equal">
      <formula>"Operation"</formula>
    </cfRule>
  </conditionalFormatting>
  <conditionalFormatting sqref="S163:S165">
    <cfRule type="cellIs" dxfId="534" priority="52" stopIfTrue="1" operator="lessThan">
      <formula>0</formula>
    </cfRule>
  </conditionalFormatting>
  <conditionalFormatting sqref="D163:D165">
    <cfRule type="cellIs" dxfId="533" priority="51" stopIfTrue="1" operator="equal">
      <formula>"Operation"</formula>
    </cfRule>
  </conditionalFormatting>
  <conditionalFormatting sqref="M163:P165 R163:S165 H163:K165">
    <cfRule type="cellIs" dxfId="532" priority="49" stopIfTrue="1" operator="equal">
      <formula>"N/A"</formula>
    </cfRule>
  </conditionalFormatting>
  <conditionalFormatting sqref="L138:L140">
    <cfRule type="cellIs" dxfId="531" priority="48" stopIfTrue="1" operator="equal">
      <formula>"Operation"</formula>
    </cfRule>
  </conditionalFormatting>
  <conditionalFormatting sqref="L138:L140">
    <cfRule type="cellIs" dxfId="530" priority="47" stopIfTrue="1" operator="equal">
      <formula>"N/A"</formula>
    </cfRule>
  </conditionalFormatting>
  <conditionalFormatting sqref="M138:O138 D138:D140 G138:K140 M140:P140 M139:N139 P135:P139">
    <cfRule type="cellIs" dxfId="529" priority="46" stopIfTrue="1" operator="equal">
      <formula>"Operation"</formula>
    </cfRule>
  </conditionalFormatting>
  <conditionalFormatting sqref="D138:D140">
    <cfRule type="cellIs" dxfId="528" priority="45" stopIfTrue="1" operator="equal">
      <formula>"Total"</formula>
    </cfRule>
  </conditionalFormatting>
  <conditionalFormatting sqref="M138:O138 H138:K140 M140:Q140 M139:N139 Q138">
    <cfRule type="cellIs" dxfId="527" priority="44" stopIfTrue="1" operator="equal">
      <formula>"N/A"</formula>
    </cfRule>
  </conditionalFormatting>
  <conditionalFormatting sqref="S138:S140">
    <cfRule type="cellIs" dxfId="526" priority="43" stopIfTrue="1" operator="lessThan">
      <formula>0</formula>
    </cfRule>
  </conditionalFormatting>
  <conditionalFormatting sqref="R138:S140">
    <cfRule type="cellIs" dxfId="525" priority="42" stopIfTrue="1" operator="equal">
      <formula>"N/A"</formula>
    </cfRule>
  </conditionalFormatting>
  <conditionalFormatting sqref="D50:D52 G50:P52">
    <cfRule type="cellIs" dxfId="524" priority="36" stopIfTrue="1" operator="equal">
      <formula>"Operation"</formula>
    </cfRule>
  </conditionalFormatting>
  <conditionalFormatting sqref="S50:S52">
    <cfRule type="cellIs" dxfId="523" priority="35" stopIfTrue="1" operator="lessThan">
      <formula>0</formula>
    </cfRule>
  </conditionalFormatting>
  <conditionalFormatting sqref="R50:S52 H50:P52">
    <cfRule type="cellIs" dxfId="522" priority="34" stopIfTrue="1" operator="equal">
      <formula>"N/A"</formula>
    </cfRule>
  </conditionalFormatting>
  <conditionalFormatting sqref="D42 G42:P42">
    <cfRule type="cellIs" dxfId="521" priority="30" stopIfTrue="1" operator="equal">
      <formula>"Operation"</formula>
    </cfRule>
  </conditionalFormatting>
  <conditionalFormatting sqref="S42">
    <cfRule type="cellIs" dxfId="520" priority="29" stopIfTrue="1" operator="lessThan">
      <formula>0</formula>
    </cfRule>
  </conditionalFormatting>
  <conditionalFormatting sqref="R42:S42 H42:P42">
    <cfRule type="cellIs" dxfId="519" priority="28" stopIfTrue="1" operator="equal">
      <formula>"N/A"</formula>
    </cfRule>
  </conditionalFormatting>
  <conditionalFormatting sqref="D38:D41 G38:P41">
    <cfRule type="cellIs" dxfId="518" priority="19" stopIfTrue="1" operator="equal">
      <formula>"Operation"</formula>
    </cfRule>
  </conditionalFormatting>
  <conditionalFormatting sqref="S38:S41">
    <cfRule type="cellIs" dxfId="517" priority="18" stopIfTrue="1" operator="lessThan">
      <formula>0</formula>
    </cfRule>
  </conditionalFormatting>
  <conditionalFormatting sqref="R38:S41 H38:P41">
    <cfRule type="cellIs" dxfId="516" priority="17" stopIfTrue="1" operator="equal">
      <formula>"N/A"</formula>
    </cfRule>
  </conditionalFormatting>
  <conditionalFormatting sqref="D220:D222 G220:P222">
    <cfRule type="cellIs" dxfId="515" priority="14" stopIfTrue="1" operator="equal">
      <formula>"Operation"</formula>
    </cfRule>
  </conditionalFormatting>
  <conditionalFormatting sqref="S220:S222">
    <cfRule type="cellIs" dxfId="514" priority="13" stopIfTrue="1" operator="lessThan">
      <formula>0</formula>
    </cfRule>
  </conditionalFormatting>
  <conditionalFormatting sqref="R220:S222 H220:P222">
    <cfRule type="cellIs" dxfId="513" priority="12" stopIfTrue="1" operator="equal">
      <formula>"N/A"</formula>
    </cfRule>
  </conditionalFormatting>
  <conditionalFormatting sqref="D237:D239 G237:P239">
    <cfRule type="cellIs" dxfId="512" priority="8" stopIfTrue="1" operator="equal">
      <formula>"Operation"</formula>
    </cfRule>
  </conditionalFormatting>
  <conditionalFormatting sqref="S237:S239">
    <cfRule type="cellIs" dxfId="511" priority="7" stopIfTrue="1" operator="lessThan">
      <formula>0</formula>
    </cfRule>
  </conditionalFormatting>
  <conditionalFormatting sqref="R237:S239 H237:P239">
    <cfRule type="cellIs" dxfId="510" priority="6" stopIfTrue="1" operator="equal">
      <formula>"N/A"</formula>
    </cfRule>
  </conditionalFormatting>
  <conditionalFormatting sqref="O244">
    <cfRule type="cellIs" dxfId="509" priority="2" stopIfTrue="1" operator="equal">
      <formula>"Operation"</formula>
    </cfRule>
  </conditionalFormatting>
  <conditionalFormatting sqref="O244">
    <cfRule type="cellIs" dxfId="508" priority="1" stopIfTrue="1" operator="equal">
      <formula>"N/A"</formula>
    </cfRule>
  </conditionalFormatting>
  <pageMargins left="0.7" right="0.7" top="0.75" bottom="0.75" header="0.3" footer="0.3"/>
  <pageSetup paperSize="9" orientation="portrait" verticalDpi="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Q278"/>
  <sheetViews>
    <sheetView workbookViewId="0">
      <selection activeCell="U23" sqref="U23"/>
    </sheetView>
  </sheetViews>
  <sheetFormatPr defaultColWidth="9.15234375" defaultRowHeight="12.9" outlineLevelCol="1" x14ac:dyDescent="0.35"/>
  <cols>
    <col min="1" max="1" width="9.15234375" style="89" customWidth="1"/>
    <col min="2" max="2" width="44" style="1233" customWidth="1"/>
    <col min="3" max="3" width="94" style="89" bestFit="1" customWidth="1"/>
    <col min="4" max="4" width="12.3828125" style="89" bestFit="1" customWidth="1"/>
    <col min="5" max="5" width="8.3828125" style="89" bestFit="1" customWidth="1"/>
    <col min="6" max="6" width="11.3828125" style="89" customWidth="1"/>
    <col min="7" max="7" width="19.3828125" style="89" hidden="1" customWidth="1" outlineLevel="1"/>
    <col min="8" max="8" width="12.3046875" style="89" customWidth="1" collapsed="1"/>
    <col min="9" max="9" width="23.84375" style="89" bestFit="1" customWidth="1" outlineLevel="1"/>
    <col min="10" max="11" width="23.3046875" style="89" customWidth="1" outlineLevel="1"/>
    <col min="12" max="12" width="12.15234375" style="89" customWidth="1" outlineLevel="1"/>
    <col min="13" max="13" width="11.84375" style="89" customWidth="1" outlineLevel="1"/>
    <col min="14" max="14" width="11.3046875" style="89" customWidth="1"/>
    <col min="15" max="15" width="34.15234375" style="89" customWidth="1" outlineLevel="1"/>
    <col min="16" max="16" width="10.3046875" style="89" customWidth="1"/>
    <col min="17" max="16384" width="9.15234375" style="89"/>
  </cols>
  <sheetData>
    <row r="1" spans="1:16" ht="13.3" thickBot="1" x14ac:dyDescent="0.4">
      <c r="A1" s="88"/>
      <c r="C1" s="88"/>
      <c r="D1" s="88"/>
      <c r="E1" s="88"/>
      <c r="F1" s="88"/>
      <c r="G1" s="88"/>
      <c r="H1" s="88"/>
      <c r="I1" s="88"/>
      <c r="J1" s="88"/>
      <c r="K1" s="88"/>
      <c r="L1" s="88"/>
      <c r="M1" s="88"/>
      <c r="N1" s="88"/>
      <c r="O1" s="88"/>
      <c r="P1" s="88"/>
    </row>
    <row r="2" spans="1:16" ht="13.3" thickBot="1" x14ac:dyDescent="0.4">
      <c r="A2" s="88"/>
      <c r="C2" s="88"/>
      <c r="D2" s="88"/>
      <c r="E2" s="88"/>
      <c r="F2" s="88"/>
      <c r="G2" s="3791" t="s">
        <v>18</v>
      </c>
      <c r="H2" s="3792"/>
      <c r="I2" s="3793" t="s">
        <v>778</v>
      </c>
      <c r="J2" s="3794"/>
      <c r="K2" s="3794"/>
      <c r="L2" s="3794"/>
      <c r="M2" s="3794"/>
      <c r="N2" s="3794"/>
      <c r="O2" s="3793" t="s">
        <v>3</v>
      </c>
      <c r="P2" s="3795"/>
    </row>
    <row r="3" spans="1:16" ht="13.3" thickBot="1" x14ac:dyDescent="0.4">
      <c r="A3" s="88"/>
      <c r="B3" s="1301" t="s">
        <v>780</v>
      </c>
      <c r="C3" s="558" t="s">
        <v>781</v>
      </c>
      <c r="D3" s="558" t="s">
        <v>782</v>
      </c>
      <c r="E3" s="559" t="s">
        <v>783</v>
      </c>
      <c r="F3" s="559" t="s">
        <v>769</v>
      </c>
      <c r="G3" s="560" t="s">
        <v>785</v>
      </c>
      <c r="H3" s="561" t="s">
        <v>783</v>
      </c>
      <c r="I3" s="562" t="s">
        <v>786</v>
      </c>
      <c r="J3" s="563" t="s">
        <v>787</v>
      </c>
      <c r="K3" s="563" t="s">
        <v>788</v>
      </c>
      <c r="L3" s="563" t="s">
        <v>789</v>
      </c>
      <c r="M3" s="563" t="s">
        <v>790</v>
      </c>
      <c r="N3" s="564" t="s">
        <v>783</v>
      </c>
      <c r="O3" s="565" t="s">
        <v>785</v>
      </c>
      <c r="P3" s="561" t="s">
        <v>783</v>
      </c>
    </row>
    <row r="4" spans="1:16" x14ac:dyDescent="0.35">
      <c r="A4" s="88"/>
      <c r="B4" s="3960" t="s">
        <v>1335</v>
      </c>
      <c r="C4" s="1302" t="str">
        <f>'Upper Cask Critical Path'!C7</f>
        <v>Blanket Removal Required</v>
      </c>
      <c r="D4" s="1302" t="s">
        <v>907</v>
      </c>
      <c r="E4" s="1303">
        <f>MAX($P4,$N4,$H4)</f>
        <v>0</v>
      </c>
      <c r="F4" s="1303">
        <f>IF($D4="Trigger",VLOOKUP($C4,'Upper Cask Critical Path'!$C$7:$F$336,4,FALSE),E4+F3)</f>
        <v>0</v>
      </c>
      <c r="G4" s="1304"/>
      <c r="H4" s="1305" t="str">
        <f>IF(D4="operation",VLOOKUP(G4,'Generic Vertical Port Tasks'!#REF!,2,FALSE),"N/A")</f>
        <v>N/A</v>
      </c>
      <c r="I4" s="1302"/>
      <c r="J4" s="1302"/>
      <c r="K4" s="1302"/>
      <c r="L4" s="1306" t="str">
        <f>IFERROR(INDEX('Upper Cask Movement &amp; Logistics'!$I$24:$O$30,MATCH($J4,'Upper Cask Movement &amp; Logistics'!$H$24:$H$30,0),MATCH($K4,'Upper Cask Movement &amp; Logistics'!$H$24:$H$30,0)),"N/A")</f>
        <v>N/A</v>
      </c>
      <c r="M4" s="1306" t="str">
        <f>IFERROR(VLOOKUP($I4,'Upper Cask Movement &amp; Logistics'!$H$4:$I$8,2,FALSE),"N/A")</f>
        <v>N/A</v>
      </c>
      <c r="N4" s="1307" t="str">
        <f>IF(D4="Movement",IFERROR((L4/M4)/(60*60),"Error"),"N/A")</f>
        <v>N/A</v>
      </c>
      <c r="O4" s="1304"/>
      <c r="P4" s="1305" t="str">
        <f>IF($D4="Logistics",VLOOKUP($O4,'Upper Cask Movement &amp; Logistics'!$C$4:$D$77,2,FALSE),"N/A")</f>
        <v>N/A</v>
      </c>
    </row>
    <row r="5" spans="1:16" x14ac:dyDescent="0.35">
      <c r="A5" s="88"/>
      <c r="B5" s="3961"/>
      <c r="C5" s="1243" t="s">
        <v>1336</v>
      </c>
      <c r="D5" s="1308" t="s">
        <v>3</v>
      </c>
      <c r="E5" s="1244">
        <f t="shared" ref="E5:E68" si="0">MAX($P5,$N5,$H5)</f>
        <v>0.48000000000000004</v>
      </c>
      <c r="F5" s="1244">
        <f>IF($D5="Trigger",VLOOKUP($C5,'Upper Cask Critical Path'!$C$7:$F$336,4,FALSE),E5+F4)</f>
        <v>0.48000000000000004</v>
      </c>
      <c r="G5" s="1309"/>
      <c r="H5" s="1310" t="str">
        <f>IF(D5="operation",VLOOKUP(G5,'Generic Vertical Port Tasks'!#REF!,2,FALSE),"N/A")</f>
        <v>N/A</v>
      </c>
      <c r="I5" s="1243"/>
      <c r="J5" s="1243"/>
      <c r="K5" s="1243"/>
      <c r="L5" s="1245" t="str">
        <f>IFERROR(INDEX('Upper Cask Movement &amp; Logistics'!$I$24:$O$30,MATCH($J5,'Upper Cask Movement &amp; Logistics'!$H$24:$H$30,0),MATCH($K5,'Upper Cask Movement &amp; Logistics'!$H$24:$H$30,0)),"N/A")</f>
        <v>N/A</v>
      </c>
      <c r="M5" s="1245" t="str">
        <f>IFERROR(VLOOKUP($I5,'Upper Cask Movement &amp; Logistics'!$H$4:$I$8,2,FALSE),"N/A")</f>
        <v>N/A</v>
      </c>
      <c r="N5" s="1311" t="str">
        <f t="shared" ref="N5:N68" si="1">IF(D5="Movement",IFERROR((L5/M5)/(60*60),"Error"),"N/A")</f>
        <v>N/A</v>
      </c>
      <c r="O5" s="1312" t="s">
        <v>1331</v>
      </c>
      <c r="P5" s="1313">
        <f>IF($D5="Logistics",VLOOKUP($O5,'Upper Cask Movement &amp; Logistics'!$C$4:$D$77,2,FALSE),"N/A")</f>
        <v>0.48000000000000004</v>
      </c>
    </row>
    <row r="6" spans="1:16" ht="13.3" thickBot="1" x14ac:dyDescent="0.4">
      <c r="A6" s="88"/>
      <c r="B6" s="3963"/>
      <c r="C6" s="1314" t="str">
        <f>B4</f>
        <v>Equipment Cask 1 collected</v>
      </c>
      <c r="D6" s="1315" t="s">
        <v>11</v>
      </c>
      <c r="E6" s="1316">
        <f t="shared" si="0"/>
        <v>0</v>
      </c>
      <c r="F6" s="1316">
        <f>IF($D6="Trigger",VLOOKUP($C6,'Upper Cask Critical Path'!$C$7:$F$336,4,FALSE),E6+F5)</f>
        <v>0.48000000000000004</v>
      </c>
      <c r="G6" s="1317"/>
      <c r="H6" s="1318" t="str">
        <f>IF(D6="operation",VLOOKUP(G6,'Generic Vertical Port Tasks'!#REF!,2,FALSE),"N/A")</f>
        <v>N/A</v>
      </c>
      <c r="I6" s="1314"/>
      <c r="J6" s="1314"/>
      <c r="K6" s="1314"/>
      <c r="L6" s="1319" t="str">
        <f>IFERROR(INDEX('Upper Cask Movement &amp; Logistics'!$I$24:$O$30,MATCH($J6,'Upper Cask Movement &amp; Logistics'!$H$24:$H$30,0),MATCH($K6,'Upper Cask Movement &amp; Logistics'!$H$24:$H$30,0)),"N/A")</f>
        <v>N/A</v>
      </c>
      <c r="M6" s="1319" t="str">
        <f>IFERROR(VLOOKUP($I6,'Upper Cask Movement &amp; Logistics'!$H$4:$I$8,2,FALSE),"N/A")</f>
        <v>N/A</v>
      </c>
      <c r="N6" s="1320" t="str">
        <f t="shared" si="1"/>
        <v>N/A</v>
      </c>
      <c r="O6" s="1321"/>
      <c r="P6" s="1322" t="str">
        <f>IF($D6="Logistics",VLOOKUP($O6,'Upper Cask Movement &amp; Logistics'!$C$4:$D$77,2,FALSE),"N/A")</f>
        <v>N/A</v>
      </c>
    </row>
    <row r="7" spans="1:16" x14ac:dyDescent="0.35">
      <c r="A7" s="88"/>
      <c r="B7" s="3964" t="s">
        <v>1337</v>
      </c>
      <c r="C7" s="823" t="str">
        <f>'Upper Cask Critical Path'!C22</f>
        <v>Dock Equipment Cask 1</v>
      </c>
      <c r="D7" s="823" t="s">
        <v>907</v>
      </c>
      <c r="E7" s="1291">
        <f t="shared" si="0"/>
        <v>0</v>
      </c>
      <c r="F7" s="1291">
        <f>IF($D7="Trigger",VLOOKUP($C7,'Upper Cask Critical Path'!$C$7:$F$336,4,FALSE),E7+F6)</f>
        <v>11.993333333333334</v>
      </c>
      <c r="G7" s="825"/>
      <c r="H7" s="1323" t="str">
        <f>IF(D7="operation",VLOOKUP(G7,'Generic Vertical Port Tasks'!#REF!,2,FALSE),"N/A")</f>
        <v>N/A</v>
      </c>
      <c r="I7" s="1324"/>
      <c r="J7" s="1324"/>
      <c r="K7" s="1324"/>
      <c r="L7" s="1325" t="str">
        <f>IFERROR(INDEX('Upper Cask Movement &amp; Logistics'!$I$24:$O$30,MATCH($J7,'Upper Cask Movement &amp; Logistics'!$H$24:$H$30,0),MATCH($K7,'Upper Cask Movement &amp; Logistics'!$H$24:$H$30,0)),"N/A")</f>
        <v>N/A</v>
      </c>
      <c r="M7" s="1325" t="str">
        <f>IFERROR(VLOOKUP($I7,'Upper Cask Movement &amp; Logistics'!$H$4:$I$8,2,FALSE),"N/A")</f>
        <v>N/A</v>
      </c>
      <c r="N7" s="1326" t="str">
        <f t="shared" si="1"/>
        <v>N/A</v>
      </c>
      <c r="O7" s="1327"/>
      <c r="P7" s="824" t="str">
        <f>IF($D7="Logistics",VLOOKUP($O7,'Upper Cask Movement &amp; Logistics'!$C$4:$D$77,2,FALSE),"N/A")</f>
        <v>N/A</v>
      </c>
    </row>
    <row r="8" spans="1:16" x14ac:dyDescent="0.35">
      <c r="A8" s="88"/>
      <c r="B8" s="3965"/>
      <c r="C8" s="1294" t="s">
        <v>1338</v>
      </c>
      <c r="D8" s="1294" t="s">
        <v>778</v>
      </c>
      <c r="E8" s="1292">
        <f t="shared" si="0"/>
        <v>0.23148148148148148</v>
      </c>
      <c r="F8" s="1292">
        <f>IF($D8="Trigger",VLOOKUP($C8,'Upper Cask Critical Path'!$C$7:$F$336,4,FALSE),E8+F7)</f>
        <v>12.224814814814815</v>
      </c>
      <c r="G8" s="862"/>
      <c r="H8" s="1328" t="str">
        <f>IF(D8="operation",VLOOKUP(G8,'Generic Vertical Port Tasks'!#REF!,2,FALSE),"N/A")</f>
        <v>N/A</v>
      </c>
      <c r="I8" s="1294" t="s">
        <v>2501</v>
      </c>
      <c r="J8" s="1294" t="s">
        <v>816</v>
      </c>
      <c r="K8" s="1294" t="s">
        <v>799</v>
      </c>
      <c r="L8" s="1329">
        <f>IFERROR(INDEX('Upper Cask Movement &amp; Logistics'!$I$24:$O$30,MATCH($J8,'Upper Cask Movement &amp; Logistics'!$H$24:$H$30,0),MATCH($K8,'Upper Cask Movement &amp; Logistics'!$H$24:$H$30,0)),"N/A")</f>
        <v>50</v>
      </c>
      <c r="M8" s="1329">
        <f>IFERROR(VLOOKUP($I8,'Upper Cask Movement &amp; Logistics'!$H$4:$I$8,2,FALSE),"N/A")</f>
        <v>0.06</v>
      </c>
      <c r="N8" s="1330">
        <f t="shared" si="1"/>
        <v>0.23148148148148148</v>
      </c>
      <c r="O8" s="1331"/>
      <c r="P8" s="1332" t="str">
        <f>IF($D8="Logistics",VLOOKUP($O8,'Upper Cask Movement &amp; Logistics'!$C$4:$D$77,2,FALSE),"N/A")</f>
        <v>N/A</v>
      </c>
    </row>
    <row r="9" spans="1:16" x14ac:dyDescent="0.35">
      <c r="A9" s="88"/>
      <c r="B9" s="3965"/>
      <c r="C9" s="1294" t="s">
        <v>1339</v>
      </c>
      <c r="D9" s="1294" t="s">
        <v>3</v>
      </c>
      <c r="E9" s="1292">
        <f t="shared" si="0"/>
        <v>0.48000000000000004</v>
      </c>
      <c r="F9" s="1292">
        <f>IF($D9="Trigger",VLOOKUP($C9,'Upper Cask Critical Path'!$C$7:$F$336,4,FALSE),E9+F8)</f>
        <v>12.704814814814815</v>
      </c>
      <c r="G9" s="862"/>
      <c r="H9" s="1328" t="str">
        <f>IF(D9="operation",VLOOKUP(G9,'Generic Vertical Port Tasks'!#REF!,2,FALSE),"N/A")</f>
        <v>N/A</v>
      </c>
      <c r="I9" s="1294"/>
      <c r="J9" s="1294"/>
      <c r="K9" s="1294"/>
      <c r="L9" s="1329" t="str">
        <f>IFERROR(INDEX('Upper Cask Movement &amp; Logistics'!$I$24:$O$30,MATCH($J9,'Upper Cask Movement &amp; Logistics'!$H$24:$H$30,0),MATCH($K9,'Upper Cask Movement &amp; Logistics'!$H$24:$H$30,0)),"N/A")</f>
        <v>N/A</v>
      </c>
      <c r="M9" s="1329" t="str">
        <f>IFERROR(VLOOKUP($I9,'Upper Cask Movement &amp; Logistics'!$H$4:$I$8,2,FALSE),"N/A")</f>
        <v>N/A</v>
      </c>
      <c r="N9" s="1330" t="str">
        <f t="shared" si="1"/>
        <v>N/A</v>
      </c>
      <c r="O9" s="1331" t="s">
        <v>1331</v>
      </c>
      <c r="P9" s="1332">
        <f>IF($D9="Logistics",VLOOKUP($O9,'Upper Cask Movement &amp; Logistics'!$C$4:$D$77,2,FALSE),"N/A")</f>
        <v>0.48000000000000004</v>
      </c>
    </row>
    <row r="10" spans="1:16" x14ac:dyDescent="0.35">
      <c r="A10" s="88"/>
      <c r="B10" s="3965"/>
      <c r="C10" s="1294" t="s">
        <v>1340</v>
      </c>
      <c r="D10" s="1294" t="s">
        <v>778</v>
      </c>
      <c r="E10" s="1292">
        <f t="shared" si="0"/>
        <v>0.69444444444444442</v>
      </c>
      <c r="F10" s="1292">
        <f>IF($D10="Trigger",VLOOKUP($C10,'Upper Cask Critical Path'!$C$7:$F$336,4,FALSE),E10+F9)</f>
        <v>13.39925925925926</v>
      </c>
      <c r="G10" s="862"/>
      <c r="H10" s="1328" t="str">
        <f>IF(D10="operation",VLOOKUP(G10,'Generic Vertical Port Tasks'!#REF!,2,FALSE),"N/A")</f>
        <v>N/A</v>
      </c>
      <c r="I10" s="1294" t="s">
        <v>1789</v>
      </c>
      <c r="J10" s="1294" t="s">
        <v>799</v>
      </c>
      <c r="K10" s="1294" t="s">
        <v>901</v>
      </c>
      <c r="L10" s="1329">
        <f>IFERROR(INDEX('Upper Cask Movement &amp; Logistics'!$I$24:$O$30,MATCH($J10,'Upper Cask Movement &amp; Logistics'!$H$24:$H$30,0),MATCH($K10,'Upper Cask Movement &amp; Logistics'!$H$24:$H$30,0)),"N/A")</f>
        <v>50</v>
      </c>
      <c r="M10" s="1329">
        <f>IFERROR(VLOOKUP($I10,'Upper Cask Movement &amp; Logistics'!$H$4:$I$8,2,FALSE),"N/A")</f>
        <v>0.02</v>
      </c>
      <c r="N10" s="1330">
        <f t="shared" si="1"/>
        <v>0.69444444444444442</v>
      </c>
      <c r="O10" s="1331"/>
      <c r="P10" s="1332" t="str">
        <f>IF($D10="Logistics",VLOOKUP($O10,'Upper Cask Movement &amp; Logistics'!$C$4:$D$77,2,FALSE),"N/A")</f>
        <v>N/A</v>
      </c>
    </row>
    <row r="11" spans="1:16" x14ac:dyDescent="0.35">
      <c r="A11" s="88"/>
      <c r="B11" s="3965"/>
      <c r="C11" s="1294" t="s">
        <v>1341</v>
      </c>
      <c r="D11" s="1294" t="s">
        <v>3</v>
      </c>
      <c r="E11" s="1292">
        <f t="shared" si="0"/>
        <v>1.4000000000000001</v>
      </c>
      <c r="F11" s="1292">
        <f>IF($D11="Trigger",VLOOKUP($C11,'Upper Cask Critical Path'!$C$7:$F$336,4,FALSE),E11+F10)</f>
        <v>14.79925925925926</v>
      </c>
      <c r="G11" s="862"/>
      <c r="H11" s="1328" t="str">
        <f>IF(D11="operation",VLOOKUP(G11,'Generic Vertical Port Tasks'!#REF!,2,FALSE),"N/A")</f>
        <v>N/A</v>
      </c>
      <c r="I11" s="1294"/>
      <c r="J11" s="1294"/>
      <c r="K11" s="1294"/>
      <c r="L11" s="1329" t="str">
        <f>IFERROR(INDEX('Upper Cask Movement &amp; Logistics'!$I$24:$O$30,MATCH($J11,'Upper Cask Movement &amp; Logistics'!$H$24:$H$30,0),MATCH($K11,'Upper Cask Movement &amp; Logistics'!$H$24:$H$30,0)),"N/A")</f>
        <v>N/A</v>
      </c>
      <c r="M11" s="1329" t="str">
        <f>IFERROR(VLOOKUP($I11,'Upper Cask Movement &amp; Logistics'!$H$4:$I$8,2,FALSE),"N/A")</f>
        <v>N/A</v>
      </c>
      <c r="N11" s="1330" t="str">
        <f t="shared" si="1"/>
        <v>N/A</v>
      </c>
      <c r="O11" s="1331" t="s">
        <v>1277</v>
      </c>
      <c r="P11" s="1332">
        <f>IF($D11="Logistics",VLOOKUP($O11,'Upper Cask Movement &amp; Logistics'!$C$4:$D$77,2,FALSE),"N/A")</f>
        <v>1.4000000000000001</v>
      </c>
    </row>
    <row r="12" spans="1:16" ht="13.3" thickBot="1" x14ac:dyDescent="0.4">
      <c r="A12" s="88"/>
      <c r="B12" s="3965"/>
      <c r="C12" s="1294" t="str">
        <f>B7</f>
        <v>Hardware Cask 1 collected &amp; docked</v>
      </c>
      <c r="D12" s="1294" t="s">
        <v>11</v>
      </c>
      <c r="E12" s="1292">
        <f t="shared" si="0"/>
        <v>0</v>
      </c>
      <c r="F12" s="1292">
        <f>IF($D12="Trigger",VLOOKUP($C12,'Upper Cask Critical Path'!$C$7:$F$336,4,FALSE),E12+F11)</f>
        <v>14.79925925925926</v>
      </c>
      <c r="G12" s="862"/>
      <c r="H12" s="1328" t="str">
        <f>IF(D12="operation",VLOOKUP(G12,'Generic Vertical Port Tasks'!#REF!,2,FALSE),"N/A")</f>
        <v>N/A</v>
      </c>
      <c r="I12" s="1294"/>
      <c r="J12" s="1294"/>
      <c r="K12" s="1294"/>
      <c r="L12" s="1329" t="str">
        <f>IFERROR(INDEX('Upper Cask Movement &amp; Logistics'!$I$24:$O$30,MATCH($J12,'Upper Cask Movement &amp; Logistics'!$H$24:$H$30,0),MATCH($K12,'Upper Cask Movement &amp; Logistics'!$H$24:$H$30,0)),"N/A")</f>
        <v>N/A</v>
      </c>
      <c r="M12" s="1329" t="str">
        <f>IFERROR(VLOOKUP($I12,'Upper Cask Movement &amp; Logistics'!$H$4:$I$8,2,FALSE),"N/A")</f>
        <v>N/A</v>
      </c>
      <c r="N12" s="1330" t="str">
        <f t="shared" si="1"/>
        <v>N/A</v>
      </c>
      <c r="O12" s="1331"/>
      <c r="P12" s="1332" t="str">
        <f>IF($D12="Logistics",VLOOKUP($O12,'Upper Cask Movement &amp; Logistics'!$C$4:$D$77,2,FALSE),"N/A")</f>
        <v>N/A</v>
      </c>
    </row>
    <row r="13" spans="1:16" x14ac:dyDescent="0.35">
      <c r="A13" s="88"/>
      <c r="B13" s="3960" t="s">
        <v>1342</v>
      </c>
      <c r="C13" s="1333" t="str">
        <f>'Upper Cask Critical Path'!C38</f>
        <v>Store ECH in Hardware Cask 1</v>
      </c>
      <c r="D13" s="1333" t="s">
        <v>907</v>
      </c>
      <c r="E13" s="1303">
        <f t="shared" si="0"/>
        <v>0</v>
      </c>
      <c r="F13" s="1303">
        <f>IF($D13="Trigger",VLOOKUP($C13,'Upper Cask Critical Path'!$C$7:$F$336,4,FALSE),E13+F12)</f>
        <v>43.937777777777782</v>
      </c>
      <c r="G13" s="1304"/>
      <c r="H13" s="1305" t="str">
        <f>IF(D13="operation",VLOOKUP(G13,'Generic Vertical Port Tasks'!#REF!,2,FALSE),"N/A")</f>
        <v>N/A</v>
      </c>
      <c r="I13" s="1333"/>
      <c r="J13" s="1333"/>
      <c r="K13" s="1333"/>
      <c r="L13" s="1334" t="str">
        <f>IFERROR(INDEX('Upper Cask Movement &amp; Logistics'!$I$24:$O$30,MATCH($J13,'Upper Cask Movement &amp; Logistics'!$H$24:$H$30,0),MATCH($K13,'Upper Cask Movement &amp; Logistics'!$H$24:$H$30,0)),"N/A")</f>
        <v>N/A</v>
      </c>
      <c r="M13" s="1334" t="str">
        <f>IFERROR(VLOOKUP($I13,'Upper Cask Movement &amp; Logistics'!$H$4:$I$8,2,FALSE),"N/A")</f>
        <v>N/A</v>
      </c>
      <c r="N13" s="1335" t="str">
        <f t="shared" si="1"/>
        <v>N/A</v>
      </c>
      <c r="O13" s="1336"/>
      <c r="P13" s="1337" t="str">
        <f>IF($D13="Logistics",VLOOKUP($O13,'Upper Cask Movement &amp; Logistics'!$C$4:$D$77,2,FALSE),"N/A")</f>
        <v>N/A</v>
      </c>
    </row>
    <row r="14" spans="1:16" x14ac:dyDescent="0.35">
      <c r="A14" s="88"/>
      <c r="B14" s="3961"/>
      <c r="C14" s="1243" t="s">
        <v>1343</v>
      </c>
      <c r="D14" s="1243" t="s">
        <v>3</v>
      </c>
      <c r="E14" s="1244">
        <f t="shared" si="0"/>
        <v>2.3000000000000003</v>
      </c>
      <c r="F14" s="1244">
        <f>IF($D14="Trigger",VLOOKUP($C14,'Upper Cask Critical Path'!$C$7:$F$336,4,FALSE),E14+F13)</f>
        <v>46.237777777777779</v>
      </c>
      <c r="G14" s="1309"/>
      <c r="H14" s="1310" t="str">
        <f>IF(D14="operation",VLOOKUP(G14,'Generic Vertical Port Tasks'!#REF!,2,FALSE),"N/A")</f>
        <v>N/A</v>
      </c>
      <c r="I14" s="1243"/>
      <c r="J14" s="1243"/>
      <c r="K14" s="1243"/>
      <c r="L14" s="1245" t="str">
        <f>IFERROR(INDEX('Upper Cask Movement &amp; Logistics'!$I$24:$O$30,MATCH($J14,'Upper Cask Movement &amp; Logistics'!$H$24:$H$30,0),MATCH($K14,'Upper Cask Movement &amp; Logistics'!$H$24:$H$30,0)),"N/A")</f>
        <v>N/A</v>
      </c>
      <c r="M14" s="1245" t="str">
        <f>IFERROR(VLOOKUP($I14,'Upper Cask Movement &amp; Logistics'!$H$4:$I$8,2,FALSE),"N/A")</f>
        <v>N/A</v>
      </c>
      <c r="N14" s="1311" t="str">
        <f t="shared" si="1"/>
        <v>N/A</v>
      </c>
      <c r="O14" s="1312" t="s">
        <v>1269</v>
      </c>
      <c r="P14" s="1313">
        <f>IF($D14="Logistics",VLOOKUP($O14,'Upper Cask Movement &amp; Logistics'!$C$4:$D$77,2,FALSE),"N/A")</f>
        <v>2.3000000000000003</v>
      </c>
    </row>
    <row r="15" spans="1:16" x14ac:dyDescent="0.35">
      <c r="A15" s="88"/>
      <c r="B15" s="3961"/>
      <c r="C15" s="1243" t="s">
        <v>1344</v>
      </c>
      <c r="D15" s="1243" t="s">
        <v>778</v>
      </c>
      <c r="E15" s="1244">
        <f t="shared" si="0"/>
        <v>0.69444444444444442</v>
      </c>
      <c r="F15" s="1244">
        <f>IF($D15="Trigger",VLOOKUP($C15,'Upper Cask Critical Path'!$C$7:$F$336,4,FALSE),E15+F14)</f>
        <v>46.932222222222222</v>
      </c>
      <c r="G15" s="1309"/>
      <c r="H15" s="1310" t="str">
        <f>IF(D15="operation",VLOOKUP(G15,'Generic Vertical Port Tasks'!#REF!,2,FALSE),"N/A")</f>
        <v>N/A</v>
      </c>
      <c r="I15" s="1243" t="s">
        <v>1789</v>
      </c>
      <c r="J15" s="1243" t="s">
        <v>901</v>
      </c>
      <c r="K15" s="1243" t="s">
        <v>831</v>
      </c>
      <c r="L15" s="1245">
        <f>IFERROR(INDEX('Upper Cask Movement &amp; Logistics'!$I$24:$O$30,MATCH($J15,'Upper Cask Movement &amp; Logistics'!$H$24:$H$30,0),MATCH($K15,'Upper Cask Movement &amp; Logistics'!$H$24:$H$30,0)),"N/A")</f>
        <v>50</v>
      </c>
      <c r="M15" s="1245">
        <f>IFERROR(VLOOKUP($I15,'Upper Cask Movement &amp; Logistics'!$H$4:$I$8,2,FALSE),"N/A")</f>
        <v>0.02</v>
      </c>
      <c r="N15" s="1311">
        <f t="shared" si="1"/>
        <v>0.69444444444444442</v>
      </c>
      <c r="O15" s="1312"/>
      <c r="P15" s="1313" t="str">
        <f>IF($D15="Logistics",VLOOKUP($O15,'Upper Cask Movement &amp; Logistics'!$C$4:$D$77,2,FALSE),"N/A")</f>
        <v>N/A</v>
      </c>
    </row>
    <row r="16" spans="1:16" x14ac:dyDescent="0.35">
      <c r="A16" s="88"/>
      <c r="B16" s="3961"/>
      <c r="C16" s="1243" t="s">
        <v>927</v>
      </c>
      <c r="D16" s="1243" t="s">
        <v>3</v>
      </c>
      <c r="E16" s="1244">
        <f t="shared" si="0"/>
        <v>0.68</v>
      </c>
      <c r="F16" s="1244">
        <f>IF($D16="Trigger",VLOOKUP($C16,'Upper Cask Critical Path'!$C$7:$F$336,4,FALSE),E16+F15)</f>
        <v>47.612222222222222</v>
      </c>
      <c r="G16" s="1309"/>
      <c r="H16" s="1310" t="str">
        <f>IF(D16="operation",VLOOKUP(G16,'Generic Vertical Port Tasks'!#REF!,2,FALSE),"N/A")</f>
        <v>N/A</v>
      </c>
      <c r="I16" s="1243"/>
      <c r="J16" s="1243"/>
      <c r="K16" s="1243"/>
      <c r="L16" s="1245" t="str">
        <f>IFERROR(INDEX('Upper Cask Movement &amp; Logistics'!$I$24:$O$30,MATCH($J16,'Upper Cask Movement &amp; Logistics'!$H$24:$H$30,0),MATCH($K16,'Upper Cask Movement &amp; Logistics'!$H$24:$H$30,0)),"N/A")</f>
        <v>N/A</v>
      </c>
      <c r="M16" s="1245" t="str">
        <f>IFERROR(VLOOKUP($I16,'Upper Cask Movement &amp; Logistics'!$H$4:$I$8,2,FALSE),"N/A")</f>
        <v>N/A</v>
      </c>
      <c r="N16" s="1311" t="str">
        <f t="shared" si="1"/>
        <v>N/A</v>
      </c>
      <c r="O16" s="1312" t="s">
        <v>1213</v>
      </c>
      <c r="P16" s="1313">
        <f>IF($D16="Logistics",VLOOKUP($O16,'Upper Cask Movement &amp; Logistics'!$C$4:$D$77,2,FALSE),"N/A")</f>
        <v>0.68</v>
      </c>
    </row>
    <row r="17" spans="1:16" x14ac:dyDescent="0.35">
      <c r="A17" s="88"/>
      <c r="B17" s="3961"/>
      <c r="C17" s="1243" t="s">
        <v>1345</v>
      </c>
      <c r="D17" s="1243" t="s">
        <v>778</v>
      </c>
      <c r="E17" s="1244">
        <f t="shared" si="0"/>
        <v>9.2592592592592601E-2</v>
      </c>
      <c r="F17" s="1244">
        <f>IF($D17="Trigger",VLOOKUP($C17,'Upper Cask Critical Path'!$C$7:$F$336,4,FALSE),E17+F16)</f>
        <v>47.704814814814817</v>
      </c>
      <c r="G17" s="1309"/>
      <c r="H17" s="1310" t="str">
        <f>IF(D17="operation",VLOOKUP(G17,'Generic Vertical Port Tasks'!#REF!,2,FALSE),"N/A")</f>
        <v>N/A</v>
      </c>
      <c r="I17" s="1243" t="s">
        <v>2501</v>
      </c>
      <c r="J17" s="1243" t="s">
        <v>831</v>
      </c>
      <c r="K17" s="1243" t="s">
        <v>914</v>
      </c>
      <c r="L17" s="1245">
        <f>IFERROR(INDEX('Upper Cask Movement &amp; Logistics'!$I$24:$O$30,MATCH($J17,'Upper Cask Movement &amp; Logistics'!$H$24:$H$30,0),MATCH($K17,'Upper Cask Movement &amp; Logistics'!$H$24:$H$30,0)),"N/A")</f>
        <v>20</v>
      </c>
      <c r="M17" s="1245">
        <f>IFERROR(VLOOKUP($I17,'Upper Cask Movement &amp; Logistics'!$H$4:$I$8,2,FALSE),"N/A")</f>
        <v>0.06</v>
      </c>
      <c r="N17" s="1311">
        <f t="shared" si="1"/>
        <v>9.2592592592592601E-2</v>
      </c>
      <c r="O17" s="1312"/>
      <c r="P17" s="1313" t="str">
        <f>IF($D17="Logistics",VLOOKUP($O17,'Upper Cask Movement &amp; Logistics'!$C$4:$D$77,2,FALSE),"N/A")</f>
        <v>N/A</v>
      </c>
    </row>
    <row r="18" spans="1:16" x14ac:dyDescent="0.35">
      <c r="A18" s="88"/>
      <c r="B18" s="3961"/>
      <c r="C18" s="1243" t="s">
        <v>1346</v>
      </c>
      <c r="D18" s="1243" t="s">
        <v>3</v>
      </c>
      <c r="E18" s="1244">
        <f t="shared" si="0"/>
        <v>0.48000000000000004</v>
      </c>
      <c r="F18" s="1244">
        <f>IF($D18="Trigger",VLOOKUP($C18,'Upper Cask Critical Path'!$C$7:$F$336,4,FALSE),E18+F17)</f>
        <v>48.184814814814814</v>
      </c>
      <c r="G18" s="1309"/>
      <c r="H18" s="1310" t="str">
        <f>IF(D18="operation",VLOOKUP(G18,'Generic Vertical Port Tasks'!#REF!,2,FALSE),"N/A")</f>
        <v>N/A</v>
      </c>
      <c r="I18" s="1243"/>
      <c r="J18" s="1243"/>
      <c r="K18" s="1243"/>
      <c r="L18" s="1245" t="str">
        <f>IFERROR(INDEX('Upper Cask Movement &amp; Logistics'!$I$24:$O$30,MATCH($J18,'Upper Cask Movement &amp; Logistics'!$H$24:$H$30,0),MATCH($K18,'Upper Cask Movement &amp; Logistics'!$H$24:$H$30,0)),"N/A")</f>
        <v>N/A</v>
      </c>
      <c r="M18" s="1245" t="str">
        <f>IFERROR(VLOOKUP($I18,'Upper Cask Movement &amp; Logistics'!$H$4:$I$8,2,FALSE),"N/A")</f>
        <v>N/A</v>
      </c>
      <c r="N18" s="1311" t="str">
        <f t="shared" si="1"/>
        <v>N/A</v>
      </c>
      <c r="O18" s="1312" t="s">
        <v>1330</v>
      </c>
      <c r="P18" s="1313">
        <f>IF($D18="Logistics",VLOOKUP($O18,'Upper Cask Movement &amp; Logistics'!$C$4:$D$77,2,FALSE),"N/A")</f>
        <v>0.48000000000000004</v>
      </c>
    </row>
    <row r="19" spans="1:16" x14ac:dyDescent="0.35">
      <c r="A19" s="88"/>
      <c r="B19" s="3961"/>
      <c r="C19" s="1243" t="s">
        <v>1338</v>
      </c>
      <c r="D19" s="1243" t="s">
        <v>778</v>
      </c>
      <c r="E19" s="1244">
        <f t="shared" si="0"/>
        <v>0</v>
      </c>
      <c r="F19" s="1244">
        <f>IF($D19="Trigger",VLOOKUP($C19,'Upper Cask Critical Path'!$C$7:$F$336,4,FALSE),E19+F18)</f>
        <v>48.184814814814814</v>
      </c>
      <c r="G19" s="1309"/>
      <c r="H19" s="1310" t="str">
        <f>IF(D19="operation",VLOOKUP(G19,'Generic Vertical Port Tasks'!#REF!,2,FALSE),"N/A")</f>
        <v>N/A</v>
      </c>
      <c r="I19" s="1243" t="s">
        <v>2499</v>
      </c>
      <c r="J19" s="1243" t="s">
        <v>914</v>
      </c>
      <c r="K19" s="1243" t="s">
        <v>799</v>
      </c>
      <c r="L19" s="1245">
        <f>IFERROR(INDEX('Upper Cask Movement &amp; Logistics'!$I$24:$O$30,MATCH($J19,'Upper Cask Movement &amp; Logistics'!$H$24:$H$30,0),MATCH($K19,'Upper Cask Movement &amp; Logistics'!$H$24:$H$30,0)),"N/A")</f>
        <v>20</v>
      </c>
      <c r="M19" s="1245" t="str">
        <f>IFERROR(VLOOKUP($I19,'Upper Cask Movement &amp; Logistics'!$H$4:$I$8,2,FALSE),"N/A")</f>
        <v>N/A</v>
      </c>
      <c r="N19" s="1311" t="str">
        <f t="shared" si="1"/>
        <v>Error</v>
      </c>
      <c r="O19" s="1312"/>
      <c r="P19" s="1313" t="str">
        <f>IF($D19="Logistics",VLOOKUP($O19,'Upper Cask Movement &amp; Logistics'!$C$4:$D$77,2,FALSE),"N/A")</f>
        <v>N/A</v>
      </c>
    </row>
    <row r="20" spans="1:16" x14ac:dyDescent="0.35">
      <c r="A20" s="88"/>
      <c r="B20" s="3962"/>
      <c r="C20" s="1249" t="s">
        <v>1347</v>
      </c>
      <c r="D20" s="1249" t="s">
        <v>3</v>
      </c>
      <c r="E20" s="1244">
        <f t="shared" si="0"/>
        <v>0.48000000000000004</v>
      </c>
      <c r="F20" s="1244">
        <f>IF($D20="Trigger",VLOOKUP($C20,'Upper Cask Critical Path'!$C$7:$F$336,4,FALSE),E20+F19)</f>
        <v>48.664814814814811</v>
      </c>
      <c r="G20" s="1338"/>
      <c r="H20" s="1310" t="str">
        <f>IF(D20="operation",VLOOKUP(G20,'Generic Vertical Port Tasks'!#REF!,2,FALSE),"N/A")</f>
        <v>N/A</v>
      </c>
      <c r="I20" s="1249"/>
      <c r="J20" s="1249"/>
      <c r="K20" s="1249"/>
      <c r="L20" s="1245" t="str">
        <f>IFERROR(INDEX('Upper Cask Movement &amp; Logistics'!$I$24:$O$30,MATCH($J20,'Upper Cask Movement &amp; Logistics'!$H$24:$H$30,0),MATCH($K20,'Upper Cask Movement &amp; Logistics'!$H$24:$H$30,0)),"N/A")</f>
        <v>N/A</v>
      </c>
      <c r="M20" s="1245" t="str">
        <f>IFERROR(VLOOKUP($I20,'Upper Cask Movement &amp; Logistics'!$H$4:$I$8,2,FALSE),"N/A")</f>
        <v>N/A</v>
      </c>
      <c r="N20" s="1311" t="str">
        <f t="shared" si="1"/>
        <v>N/A</v>
      </c>
      <c r="O20" s="1339" t="s">
        <v>1331</v>
      </c>
      <c r="P20" s="1313">
        <f>IF($D20="Logistics",VLOOKUP($O20,'Upper Cask Movement &amp; Logistics'!$C$4:$D$77,2,FALSE),"N/A")</f>
        <v>0.48000000000000004</v>
      </c>
    </row>
    <row r="21" spans="1:16" x14ac:dyDescent="0.35">
      <c r="A21" s="88"/>
      <c r="B21" s="3962"/>
      <c r="C21" s="1249" t="s">
        <v>1340</v>
      </c>
      <c r="D21" s="1249" t="s">
        <v>778</v>
      </c>
      <c r="E21" s="1244">
        <f t="shared" si="0"/>
        <v>0.69444444444444442</v>
      </c>
      <c r="F21" s="1244">
        <f>IF($D21="Trigger",VLOOKUP($C21,'Upper Cask Critical Path'!$C$7:$F$336,4,FALSE),E21+F20)</f>
        <v>49.359259259259254</v>
      </c>
      <c r="G21" s="1338"/>
      <c r="H21" s="1310" t="str">
        <f>IF(D21="operation",VLOOKUP(G21,'Generic Vertical Port Tasks'!#REF!,2,FALSE),"N/A")</f>
        <v>N/A</v>
      </c>
      <c r="I21" s="1249" t="s">
        <v>1789</v>
      </c>
      <c r="J21" s="1249" t="s">
        <v>799</v>
      </c>
      <c r="K21" s="1249" t="s">
        <v>901</v>
      </c>
      <c r="L21" s="1245">
        <f>IFERROR(INDEX('Upper Cask Movement &amp; Logistics'!$I$24:$O$30,MATCH($J21,'Upper Cask Movement &amp; Logistics'!$H$24:$H$30,0),MATCH($K21,'Upper Cask Movement &amp; Logistics'!$H$24:$H$30,0)),"N/A")</f>
        <v>50</v>
      </c>
      <c r="M21" s="1245">
        <f>IFERROR(VLOOKUP($I21,'Upper Cask Movement &amp; Logistics'!$H$4:$I$8,2,FALSE),"N/A")</f>
        <v>0.02</v>
      </c>
      <c r="N21" s="1311">
        <f t="shared" si="1"/>
        <v>0.69444444444444442</v>
      </c>
      <c r="O21" s="1339"/>
      <c r="P21" s="1313" t="str">
        <f>IF($D21="Logistics",VLOOKUP($O21,'Upper Cask Movement &amp; Logistics'!$C$4:$D$77,2,FALSE),"N/A")</f>
        <v>N/A</v>
      </c>
    </row>
    <row r="22" spans="1:16" x14ac:dyDescent="0.35">
      <c r="A22" s="88"/>
      <c r="B22" s="3962"/>
      <c r="C22" s="1249" t="s">
        <v>1348</v>
      </c>
      <c r="D22" s="1249" t="s">
        <v>3</v>
      </c>
      <c r="E22" s="1244">
        <f t="shared" si="0"/>
        <v>1.4000000000000001</v>
      </c>
      <c r="F22" s="1244">
        <f>IF($D22="Trigger",VLOOKUP($C22,'Upper Cask Critical Path'!$C$7:$F$336,4,FALSE),E22+F21)</f>
        <v>50.759259259259252</v>
      </c>
      <c r="G22" s="1338"/>
      <c r="H22" s="1310" t="str">
        <f>IF(D22="operation",VLOOKUP(G22,'Generic Vertical Port Tasks'!#REF!,2,FALSE),"N/A")</f>
        <v>N/A</v>
      </c>
      <c r="I22" s="1249"/>
      <c r="J22" s="1249"/>
      <c r="K22" s="1249"/>
      <c r="L22" s="1245" t="str">
        <f>IFERROR(INDEX('Upper Cask Movement &amp; Logistics'!$I$24:$O$30,MATCH($J22,'Upper Cask Movement &amp; Logistics'!$H$24:$H$30,0),MATCH($K22,'Upper Cask Movement &amp; Logistics'!$H$24:$H$30,0)),"N/A")</f>
        <v>N/A</v>
      </c>
      <c r="M22" s="1245" t="str">
        <f>IFERROR(VLOOKUP($I22,'Upper Cask Movement &amp; Logistics'!$H$4:$I$8,2,FALSE),"N/A")</f>
        <v>N/A</v>
      </c>
      <c r="N22" s="1311" t="str">
        <f t="shared" si="1"/>
        <v>N/A</v>
      </c>
      <c r="O22" s="1339" t="s">
        <v>1277</v>
      </c>
      <c r="P22" s="1313">
        <f>IF($D22="Logistics",VLOOKUP($O22,'Upper Cask Movement &amp; Logistics'!$C$4:$D$77,2,FALSE),"N/A")</f>
        <v>1.4000000000000001</v>
      </c>
    </row>
    <row r="23" spans="1:16" ht="13.3" thickBot="1" x14ac:dyDescent="0.4">
      <c r="A23" s="88"/>
      <c r="B23" s="3963"/>
      <c r="C23" s="1314" t="str">
        <f>B13</f>
        <v>ECH &amp; Hardware Cask 1 stored; Hardware Cask 2 collected; Hardware Cask 2 docked</v>
      </c>
      <c r="D23" s="1314" t="s">
        <v>11</v>
      </c>
      <c r="E23" s="1316">
        <f t="shared" si="0"/>
        <v>0</v>
      </c>
      <c r="F23" s="1316">
        <f>IF($D23="Trigger",VLOOKUP($C23,'Upper Cask Critical Path'!$C$7:$F$336,4,FALSE),E23+F22)</f>
        <v>50.759259259259252</v>
      </c>
      <c r="G23" s="1317"/>
      <c r="H23" s="1318" t="str">
        <f>IF(D23="operation",VLOOKUP(G23,'Generic Vertical Port Tasks'!#REF!,2,FALSE),"N/A")</f>
        <v>N/A</v>
      </c>
      <c r="I23" s="1314"/>
      <c r="J23" s="1314"/>
      <c r="K23" s="1314"/>
      <c r="L23" s="1319" t="str">
        <f>IFERROR(INDEX('Upper Cask Movement &amp; Logistics'!$I$24:$O$30,MATCH($J23,'Upper Cask Movement &amp; Logistics'!$H$24:$H$30,0),MATCH($K23,'Upper Cask Movement &amp; Logistics'!$H$24:$H$30,0)),"N/A")</f>
        <v>N/A</v>
      </c>
      <c r="M23" s="1319" t="str">
        <f>IFERROR(VLOOKUP($I23,'Upper Cask Movement &amp; Logistics'!$H$4:$I$8,2,FALSE),"N/A")</f>
        <v>N/A</v>
      </c>
      <c r="N23" s="1320" t="str">
        <f t="shared" si="1"/>
        <v>N/A</v>
      </c>
      <c r="O23" s="1321"/>
      <c r="P23" s="1322" t="str">
        <f>IF($D23="Logistics",VLOOKUP($O23,'Upper Cask Movement &amp; Logistics'!$C$4:$D$77,2,FALSE),"N/A")</f>
        <v>N/A</v>
      </c>
    </row>
    <row r="24" spans="1:16" x14ac:dyDescent="0.35">
      <c r="A24" s="88"/>
      <c r="B24" s="3964" t="s">
        <v>1349</v>
      </c>
      <c r="C24" s="1324" t="str">
        <f>'Upper Cask Critical Path'!C48</f>
        <v>Store Closure Plate in Hardware Cask 2</v>
      </c>
      <c r="D24" s="1324" t="s">
        <v>907</v>
      </c>
      <c r="E24" s="1291">
        <f t="shared" si="0"/>
        <v>0</v>
      </c>
      <c r="F24" s="1291">
        <f>IF($D24="Trigger",VLOOKUP($C24,'Upper Cask Critical Path'!$C$7:$F$336,4,FALSE),E24+F23)</f>
        <v>82.328333333333347</v>
      </c>
      <c r="G24" s="825"/>
      <c r="H24" s="1323" t="str">
        <f>IF(D24="operation",VLOOKUP(G24,'Generic Vertical Port Tasks'!#REF!,2,FALSE),"N/A")</f>
        <v>N/A</v>
      </c>
      <c r="I24" s="1324"/>
      <c r="J24" s="1324"/>
      <c r="K24" s="1324"/>
      <c r="L24" s="1325" t="str">
        <f>IFERROR(INDEX('Upper Cask Movement &amp; Logistics'!$I$24:$O$30,MATCH($J24,'Upper Cask Movement &amp; Logistics'!$H$24:$H$30,0),MATCH($K24,'Upper Cask Movement &amp; Logistics'!$H$24:$H$30,0)),"N/A")</f>
        <v>N/A</v>
      </c>
      <c r="M24" s="1325" t="str">
        <f>IFERROR(VLOOKUP($I24,'Upper Cask Movement &amp; Logistics'!$H$4:$I$8,2,FALSE),"N/A")</f>
        <v>N/A</v>
      </c>
      <c r="N24" s="1326" t="str">
        <f t="shared" si="1"/>
        <v>N/A</v>
      </c>
      <c r="O24" s="1327"/>
      <c r="P24" s="824" t="str">
        <f>IF($D24="Logistics",VLOOKUP($O24,'Upper Cask Movement &amp; Logistics'!$C$4:$D$77,2,FALSE),"N/A")</f>
        <v>N/A</v>
      </c>
    </row>
    <row r="25" spans="1:16" x14ac:dyDescent="0.35">
      <c r="A25" s="88"/>
      <c r="B25" s="3965"/>
      <c r="C25" s="1294" t="s">
        <v>1350</v>
      </c>
      <c r="D25" s="1294" t="s">
        <v>3</v>
      </c>
      <c r="E25" s="1292">
        <f t="shared" si="0"/>
        <v>2.3000000000000003</v>
      </c>
      <c r="F25" s="1292">
        <f>IF($D25="Trigger",VLOOKUP($C25,'Upper Cask Critical Path'!$C$7:$F$336,4,FALSE),E25+F24)</f>
        <v>84.628333333333345</v>
      </c>
      <c r="G25" s="862"/>
      <c r="H25" s="1328" t="str">
        <f>IF(D25="operation",VLOOKUP(G25,'Generic Vertical Port Tasks'!#REF!,2,FALSE),"N/A")</f>
        <v>N/A</v>
      </c>
      <c r="I25" s="1294"/>
      <c r="J25" s="1294"/>
      <c r="K25" s="1294"/>
      <c r="L25" s="1329" t="str">
        <f>IFERROR(INDEX('Upper Cask Movement &amp; Logistics'!$I$24:$O$30,MATCH($J25,'Upper Cask Movement &amp; Logistics'!$H$24:$H$30,0),MATCH($K25,'Upper Cask Movement &amp; Logistics'!$H$24:$H$30,0)),"N/A")</f>
        <v>N/A</v>
      </c>
      <c r="M25" s="1329" t="str">
        <f>IFERROR(VLOOKUP($I25,'Upper Cask Movement &amp; Logistics'!$H$4:$I$8,2,FALSE),"N/A")</f>
        <v>N/A</v>
      </c>
      <c r="N25" s="1330" t="str">
        <f t="shared" si="1"/>
        <v>N/A</v>
      </c>
      <c r="O25" s="1331" t="s">
        <v>1269</v>
      </c>
      <c r="P25" s="1332">
        <f>IF($D25="Logistics",VLOOKUP($O25,'Upper Cask Movement &amp; Logistics'!$C$4:$D$77,2,FALSE),"N/A")</f>
        <v>2.3000000000000003</v>
      </c>
    </row>
    <row r="26" spans="1:16" x14ac:dyDescent="0.35">
      <c r="A26" s="88"/>
      <c r="B26" s="3965"/>
      <c r="C26" s="1294" t="s">
        <v>1344</v>
      </c>
      <c r="D26" s="1294" t="s">
        <v>778</v>
      </c>
      <c r="E26" s="1292">
        <f t="shared" si="0"/>
        <v>0.69444444444444442</v>
      </c>
      <c r="F26" s="1292">
        <f>IF($D26="Trigger",VLOOKUP($C26,'Upper Cask Critical Path'!$C$7:$F$336,4,FALSE),E26+F25)</f>
        <v>85.322777777777787</v>
      </c>
      <c r="G26" s="862"/>
      <c r="H26" s="1328" t="str">
        <f>IF(D26="operation",VLOOKUP(G26,'Generic Vertical Port Tasks'!#REF!,2,FALSE),"N/A")</f>
        <v>N/A</v>
      </c>
      <c r="I26" s="1294" t="s">
        <v>1789</v>
      </c>
      <c r="J26" s="1294" t="s">
        <v>901</v>
      </c>
      <c r="K26" s="1294" t="s">
        <v>831</v>
      </c>
      <c r="L26" s="1329">
        <f>IFERROR(INDEX('Upper Cask Movement &amp; Logistics'!$I$24:$O$30,MATCH($J26,'Upper Cask Movement &amp; Logistics'!$H$24:$H$30,0),MATCH($K26,'Upper Cask Movement &amp; Logistics'!$H$24:$H$30,0)),"N/A")</f>
        <v>50</v>
      </c>
      <c r="M26" s="1329">
        <f>IFERROR(VLOOKUP($I26,'Upper Cask Movement &amp; Logistics'!$H$4:$I$8,2,FALSE),"N/A")</f>
        <v>0.02</v>
      </c>
      <c r="N26" s="1330">
        <f t="shared" si="1"/>
        <v>0.69444444444444442</v>
      </c>
      <c r="O26" s="1331"/>
      <c r="P26" s="1332" t="str">
        <f>IF($D26="Logistics",VLOOKUP($O26,'Upper Cask Movement &amp; Logistics'!$C$4:$D$77,2,FALSE),"N/A")</f>
        <v>N/A</v>
      </c>
    </row>
    <row r="27" spans="1:16" x14ac:dyDescent="0.35">
      <c r="A27" s="88"/>
      <c r="B27" s="3965"/>
      <c r="C27" s="1294" t="s">
        <v>931</v>
      </c>
      <c r="D27" s="1294" t="s">
        <v>3</v>
      </c>
      <c r="E27" s="1292">
        <f t="shared" si="0"/>
        <v>0.68</v>
      </c>
      <c r="F27" s="1292">
        <f>IF($D27="Trigger",VLOOKUP($C27,'Upper Cask Critical Path'!$C$7:$F$336,4,FALSE),E27+F26)</f>
        <v>86.002777777777794</v>
      </c>
      <c r="G27" s="862"/>
      <c r="H27" s="1328" t="str">
        <f>IF(D27="operation",VLOOKUP(G27,'Generic Vertical Port Tasks'!#REF!,2,FALSE),"N/A")</f>
        <v>N/A</v>
      </c>
      <c r="I27" s="1294"/>
      <c r="J27" s="1294"/>
      <c r="K27" s="1294"/>
      <c r="L27" s="1329" t="str">
        <f>IFERROR(INDEX('Upper Cask Movement &amp; Logistics'!$I$24:$O$30,MATCH($J27,'Upper Cask Movement &amp; Logistics'!$H$24:$H$30,0),MATCH($K27,'Upper Cask Movement &amp; Logistics'!$H$24:$H$30,0)),"N/A")</f>
        <v>N/A</v>
      </c>
      <c r="M27" s="1329" t="str">
        <f>IFERROR(VLOOKUP($I27,'Upper Cask Movement &amp; Logistics'!$H$4:$I$8,2,FALSE),"N/A")</f>
        <v>N/A</v>
      </c>
      <c r="N27" s="1330" t="str">
        <f t="shared" si="1"/>
        <v>N/A</v>
      </c>
      <c r="O27" s="1331" t="s">
        <v>1213</v>
      </c>
      <c r="P27" s="1332">
        <f>IF($D27="Logistics",VLOOKUP($O27,'Upper Cask Movement &amp; Logistics'!$C$4:$D$77,2,FALSE),"N/A")</f>
        <v>0.68</v>
      </c>
    </row>
    <row r="28" spans="1:16" x14ac:dyDescent="0.35">
      <c r="A28" s="88"/>
      <c r="B28" s="3965"/>
      <c r="C28" s="1294" t="s">
        <v>1345</v>
      </c>
      <c r="D28" s="1294" t="s">
        <v>778</v>
      </c>
      <c r="E28" s="1292">
        <f t="shared" si="0"/>
        <v>9.2592592592592601E-2</v>
      </c>
      <c r="F28" s="1292">
        <f>IF($D28="Trigger",VLOOKUP($C28,'Upper Cask Critical Path'!$C$7:$F$336,4,FALSE),E28+F27)</f>
        <v>86.095370370370389</v>
      </c>
      <c r="G28" s="862"/>
      <c r="H28" s="1328" t="str">
        <f>IF(D28="operation",VLOOKUP(G28,'Generic Vertical Port Tasks'!#REF!,2,FALSE),"N/A")</f>
        <v>N/A</v>
      </c>
      <c r="I28" s="1294" t="s">
        <v>2501</v>
      </c>
      <c r="J28" s="1294" t="s">
        <v>831</v>
      </c>
      <c r="K28" s="1294" t="s">
        <v>914</v>
      </c>
      <c r="L28" s="1329">
        <f>IFERROR(INDEX('Upper Cask Movement &amp; Logistics'!$I$24:$O$30,MATCH($J28,'Upper Cask Movement &amp; Logistics'!$H$24:$H$30,0),MATCH($K28,'Upper Cask Movement &amp; Logistics'!$H$24:$H$30,0)),"N/A")</f>
        <v>20</v>
      </c>
      <c r="M28" s="1329">
        <f>IFERROR(VLOOKUP($I28,'Upper Cask Movement &amp; Logistics'!$H$4:$I$8,2,FALSE),"N/A")</f>
        <v>0.06</v>
      </c>
      <c r="N28" s="1330">
        <f t="shared" si="1"/>
        <v>9.2592592592592601E-2</v>
      </c>
      <c r="O28" s="1331"/>
      <c r="P28" s="1332" t="str">
        <f>IF($D28="Logistics",VLOOKUP($O28,'Upper Cask Movement &amp; Logistics'!$C$4:$D$77,2,FALSE),"N/A")</f>
        <v>N/A</v>
      </c>
    </row>
    <row r="29" spans="1:16" x14ac:dyDescent="0.35">
      <c r="A29" s="88"/>
      <c r="B29" s="3965"/>
      <c r="C29" s="1294" t="s">
        <v>1351</v>
      </c>
      <c r="D29" s="1294" t="s">
        <v>3</v>
      </c>
      <c r="E29" s="1292">
        <f t="shared" si="0"/>
        <v>0.48000000000000004</v>
      </c>
      <c r="F29" s="1292">
        <f>IF($D29="Trigger",VLOOKUP($C29,'Upper Cask Critical Path'!$C$7:$F$336,4,FALSE),E29+F28)</f>
        <v>86.575370370370393</v>
      </c>
      <c r="G29" s="862"/>
      <c r="H29" s="1328" t="str">
        <f>IF(D29="operation",VLOOKUP(G29,'Generic Vertical Port Tasks'!#REF!,2,FALSE),"N/A")</f>
        <v>N/A</v>
      </c>
      <c r="I29" s="1294"/>
      <c r="J29" s="1294"/>
      <c r="K29" s="1294"/>
      <c r="L29" s="1329" t="str">
        <f>IFERROR(INDEX('Upper Cask Movement &amp; Logistics'!$I$24:$O$30,MATCH($J29,'Upper Cask Movement &amp; Logistics'!$H$24:$H$30,0),MATCH($K29,'Upper Cask Movement &amp; Logistics'!$H$24:$H$30,0)),"N/A")</f>
        <v>N/A</v>
      </c>
      <c r="M29" s="1329" t="str">
        <f>IFERROR(VLOOKUP($I29,'Upper Cask Movement &amp; Logistics'!$H$4:$I$8,2,FALSE),"N/A")</f>
        <v>N/A</v>
      </c>
      <c r="N29" s="1330" t="str">
        <f t="shared" si="1"/>
        <v>N/A</v>
      </c>
      <c r="O29" s="1331" t="s">
        <v>1330</v>
      </c>
      <c r="P29" s="1332">
        <f>IF($D29="Logistics",VLOOKUP($O29,'Upper Cask Movement &amp; Logistics'!$C$4:$D$77,2,FALSE),"N/A")</f>
        <v>0.48000000000000004</v>
      </c>
    </row>
    <row r="30" spans="1:16" x14ac:dyDescent="0.35">
      <c r="A30" s="88"/>
      <c r="B30" s="3965"/>
      <c r="C30" s="1294" t="s">
        <v>1338</v>
      </c>
      <c r="D30" s="1294" t="s">
        <v>778</v>
      </c>
      <c r="E30" s="1292">
        <f t="shared" si="0"/>
        <v>2.7777777777777776E-2</v>
      </c>
      <c r="F30" s="1292">
        <f>IF($D30="Trigger",VLOOKUP($C30,'Upper Cask Critical Path'!$C$7:$F$336,4,FALSE),E30+F29)</f>
        <v>86.603148148148165</v>
      </c>
      <c r="G30" s="862"/>
      <c r="H30" s="1328" t="str">
        <f>IF(D30="operation",VLOOKUP(G30,'Generic Vertical Port Tasks'!#REF!,2,FALSE),"N/A")</f>
        <v>N/A</v>
      </c>
      <c r="I30" s="1294" t="s">
        <v>2502</v>
      </c>
      <c r="J30" s="1294" t="s">
        <v>914</v>
      </c>
      <c r="K30" s="1294" t="s">
        <v>799</v>
      </c>
      <c r="L30" s="1329">
        <f>IFERROR(INDEX('Upper Cask Movement &amp; Logistics'!$I$24:$O$30,MATCH($J30,'Upper Cask Movement &amp; Logistics'!$H$24:$H$30,0),MATCH($K30,'Upper Cask Movement &amp; Logistics'!$H$24:$H$30,0)),"N/A")</f>
        <v>20</v>
      </c>
      <c r="M30" s="1329">
        <f>IFERROR(VLOOKUP($I30,'Upper Cask Movement &amp; Logistics'!$H$4:$I$8,2,FALSE),"N/A")</f>
        <v>0.2</v>
      </c>
      <c r="N30" s="1330">
        <f t="shared" si="1"/>
        <v>2.7777777777777776E-2</v>
      </c>
      <c r="O30" s="1331"/>
      <c r="P30" s="1332" t="str">
        <f>IF($D30="Logistics",VLOOKUP($O30,'Upper Cask Movement &amp; Logistics'!$C$4:$D$77,2,FALSE),"N/A")</f>
        <v>N/A</v>
      </c>
    </row>
    <row r="31" spans="1:16" x14ac:dyDescent="0.35">
      <c r="A31" s="88"/>
      <c r="B31" s="3965"/>
      <c r="C31" s="1294" t="s">
        <v>1352</v>
      </c>
      <c r="D31" s="1294" t="s">
        <v>3</v>
      </c>
      <c r="E31" s="1292">
        <f t="shared" si="0"/>
        <v>0.48000000000000004</v>
      </c>
      <c r="F31" s="1292">
        <f>IF($D31="Trigger",VLOOKUP($C31,'Upper Cask Critical Path'!$C$7:$F$336,4,FALSE),E31+F30)</f>
        <v>87.083148148148169</v>
      </c>
      <c r="G31" s="862"/>
      <c r="H31" s="1328" t="str">
        <f>IF(D31="operation",VLOOKUP(G31,'Generic Vertical Port Tasks'!#REF!,2,FALSE),"N/A")</f>
        <v>N/A</v>
      </c>
      <c r="I31" s="1294"/>
      <c r="J31" s="1294"/>
      <c r="K31" s="1294"/>
      <c r="L31" s="1329" t="str">
        <f>IFERROR(INDEX('Upper Cask Movement &amp; Logistics'!$I$24:$O$30,MATCH($J31,'Upper Cask Movement &amp; Logistics'!$H$24:$H$30,0),MATCH($K31,'Upper Cask Movement &amp; Logistics'!$H$24:$H$30,0)),"N/A")</f>
        <v>N/A</v>
      </c>
      <c r="M31" s="1329" t="str">
        <f>IFERROR(VLOOKUP($I31,'Upper Cask Movement &amp; Logistics'!$H$4:$I$8,2,FALSE),"N/A")</f>
        <v>N/A</v>
      </c>
      <c r="N31" s="1330" t="str">
        <f t="shared" si="1"/>
        <v>N/A</v>
      </c>
      <c r="O31" s="1331" t="s">
        <v>1331</v>
      </c>
      <c r="P31" s="1332">
        <f>IF($D31="Logistics",VLOOKUP($O31,'Upper Cask Movement &amp; Logistics'!$C$4:$D$77,2,FALSE),"N/A")</f>
        <v>0.48000000000000004</v>
      </c>
    </row>
    <row r="32" spans="1:16" x14ac:dyDescent="0.35">
      <c r="A32" s="88"/>
      <c r="B32" s="3965"/>
      <c r="C32" s="1294" t="s">
        <v>1340</v>
      </c>
      <c r="D32" s="1294" t="s">
        <v>778</v>
      </c>
      <c r="E32" s="1292">
        <f t="shared" si="0"/>
        <v>0.69444444444444442</v>
      </c>
      <c r="F32" s="1292">
        <f>IF($D32="Trigger",VLOOKUP($C32,'Upper Cask Critical Path'!$C$7:$F$336,4,FALSE),E32+F31)</f>
        <v>87.777592592592612</v>
      </c>
      <c r="G32" s="862"/>
      <c r="H32" s="1328" t="str">
        <f>IF(D32="operation",VLOOKUP(G32,'Generic Vertical Port Tasks'!#REF!,2,FALSE),"N/A")</f>
        <v>N/A</v>
      </c>
      <c r="I32" s="1294" t="s">
        <v>1789</v>
      </c>
      <c r="J32" s="1294" t="s">
        <v>799</v>
      </c>
      <c r="K32" s="1294" t="s">
        <v>901</v>
      </c>
      <c r="L32" s="1329">
        <f>IFERROR(INDEX('Upper Cask Movement &amp; Logistics'!$I$24:$O$30,MATCH($J32,'Upper Cask Movement &amp; Logistics'!$H$24:$H$30,0),MATCH($K32,'Upper Cask Movement &amp; Logistics'!$H$24:$H$30,0)),"N/A")</f>
        <v>50</v>
      </c>
      <c r="M32" s="1329">
        <f>IFERROR(VLOOKUP($I32,'Upper Cask Movement &amp; Logistics'!$H$4:$I$8,2,FALSE),"N/A")</f>
        <v>0.02</v>
      </c>
      <c r="N32" s="1330">
        <f t="shared" si="1"/>
        <v>0.69444444444444442</v>
      </c>
      <c r="O32" s="1331"/>
      <c r="P32" s="1332" t="str">
        <f>IF($D32="Logistics",VLOOKUP($O32,'Upper Cask Movement &amp; Logistics'!$C$4:$D$77,2,FALSE),"N/A")</f>
        <v>N/A</v>
      </c>
    </row>
    <row r="33" spans="1:16" x14ac:dyDescent="0.35">
      <c r="A33" s="88"/>
      <c r="B33" s="3965"/>
      <c r="C33" s="1294" t="s">
        <v>1353</v>
      </c>
      <c r="D33" s="1294" t="s">
        <v>3</v>
      </c>
      <c r="E33" s="1292">
        <f t="shared" si="0"/>
        <v>1.4000000000000001</v>
      </c>
      <c r="F33" s="1292">
        <f>IF($D33="Trigger",VLOOKUP($C33,'Upper Cask Critical Path'!$C$7:$F$336,4,FALSE),E33+F32)</f>
        <v>89.177592592592617</v>
      </c>
      <c r="G33" s="862"/>
      <c r="H33" s="1328" t="str">
        <f>IF(D33="operation",VLOOKUP(G33,'Generic Vertical Port Tasks'!#REF!,2,FALSE),"N/A")</f>
        <v>N/A</v>
      </c>
      <c r="I33" s="1294"/>
      <c r="J33" s="1294"/>
      <c r="K33" s="1294"/>
      <c r="L33" s="1329" t="str">
        <f>IFERROR(INDEX('Upper Cask Movement &amp; Logistics'!$I$24:$O$30,MATCH($J33,'Upper Cask Movement &amp; Logistics'!$H$24:$H$30,0),MATCH($K33,'Upper Cask Movement &amp; Logistics'!$H$24:$H$30,0)),"N/A")</f>
        <v>N/A</v>
      </c>
      <c r="M33" s="1329" t="str">
        <f>IFERROR(VLOOKUP($I33,'Upper Cask Movement &amp; Logistics'!$H$4:$I$8,2,FALSE),"N/A")</f>
        <v>N/A</v>
      </c>
      <c r="N33" s="1330" t="str">
        <f t="shared" si="1"/>
        <v>N/A</v>
      </c>
      <c r="O33" s="1331" t="s">
        <v>1277</v>
      </c>
      <c r="P33" s="1332">
        <f>IF($D33="Logistics",VLOOKUP($O33,'Upper Cask Movement &amp; Logistics'!$C$4:$D$77,2,FALSE),"N/A")</f>
        <v>1.4000000000000001</v>
      </c>
    </row>
    <row r="34" spans="1:16" ht="13.3" thickBot="1" x14ac:dyDescent="0.4">
      <c r="A34" s="88"/>
      <c r="B34" s="3966"/>
      <c r="C34" s="1340" t="str">
        <f>B24</f>
        <v>Closure Plate &amp; Hardware Cask 2 stored; Hardware Cask 3 collected; Hardware Cask 3 docked</v>
      </c>
      <c r="D34" s="1340" t="s">
        <v>11</v>
      </c>
      <c r="E34" s="1295">
        <f t="shared" si="0"/>
        <v>0</v>
      </c>
      <c r="F34" s="1295">
        <f>IF($D34="Trigger",VLOOKUP($C34,'Upper Cask Critical Path'!$C$7:$F$336,4,FALSE),E34+F33)</f>
        <v>89.177592592592617</v>
      </c>
      <c r="G34" s="839"/>
      <c r="H34" s="1341" t="str">
        <f>IF(D34="operation",VLOOKUP(G34,'Generic Vertical Port Tasks'!#REF!,2,FALSE),"N/A")</f>
        <v>N/A</v>
      </c>
      <c r="I34" s="1340"/>
      <c r="J34" s="1340"/>
      <c r="K34" s="1340"/>
      <c r="L34" s="1342" t="str">
        <f>IFERROR(INDEX('Upper Cask Movement &amp; Logistics'!$I$24:$O$30,MATCH($J34,'Upper Cask Movement &amp; Logistics'!$H$24:$H$30,0),MATCH($K34,'Upper Cask Movement &amp; Logistics'!$H$24:$H$30,0)),"N/A")</f>
        <v>N/A</v>
      </c>
      <c r="M34" s="1342" t="str">
        <f>IFERROR(VLOOKUP($I34,'Upper Cask Movement &amp; Logistics'!$H$4:$I$8,2,FALSE),"N/A")</f>
        <v>N/A</v>
      </c>
      <c r="N34" s="1343" t="str">
        <f t="shared" si="1"/>
        <v>N/A</v>
      </c>
      <c r="O34" s="1344"/>
      <c r="P34" s="1345" t="str">
        <f>IF($D34="Logistics",VLOOKUP($O34,'Upper Cask Movement &amp; Logistics'!$C$4:$D$77,2,FALSE),"N/A")</f>
        <v>N/A</v>
      </c>
    </row>
    <row r="35" spans="1:16" x14ac:dyDescent="0.35">
      <c r="A35" s="88"/>
      <c r="B35" s="3960" t="s">
        <v>1354</v>
      </c>
      <c r="C35" s="1333" t="str">
        <f>'Upper Cask Critical Path'!C58</f>
        <v>Store Shield Plug &amp; Fixations in Hardware Cask 3</v>
      </c>
      <c r="D35" s="1333" t="s">
        <v>907</v>
      </c>
      <c r="E35" s="1303">
        <f t="shared" si="0"/>
        <v>0</v>
      </c>
      <c r="F35" s="1303">
        <f>IF($D35="Trigger",VLOOKUP($C35,'Upper Cask Critical Path'!$C$7:$F$336,4,FALSE),E35+F34)</f>
        <v>98.768888888888867</v>
      </c>
      <c r="G35" s="1304"/>
      <c r="H35" s="1305" t="str">
        <f>IF(D35="operation",VLOOKUP(G35,'Generic Vertical Port Tasks'!#REF!,2,FALSE),"N/A")</f>
        <v>N/A</v>
      </c>
      <c r="I35" s="1333"/>
      <c r="J35" s="1333"/>
      <c r="K35" s="1333"/>
      <c r="L35" s="1334" t="str">
        <f>IFERROR(INDEX('Upper Cask Movement &amp; Logistics'!$I$24:$O$30,MATCH($J35,'Upper Cask Movement &amp; Logistics'!$H$24:$H$30,0),MATCH($K35,'Upper Cask Movement &amp; Logistics'!$H$24:$H$30,0)),"N/A")</f>
        <v>N/A</v>
      </c>
      <c r="M35" s="1334" t="str">
        <f>IFERROR(VLOOKUP($I35,'Upper Cask Movement &amp; Logistics'!$H$4:$I$8,2,FALSE),"N/A")</f>
        <v>N/A</v>
      </c>
      <c r="N35" s="1335" t="str">
        <f t="shared" si="1"/>
        <v>N/A</v>
      </c>
      <c r="O35" s="1336"/>
      <c r="P35" s="1337" t="str">
        <f>IF($D35="Logistics",VLOOKUP($O35,'Upper Cask Movement &amp; Logistics'!$C$4:$D$77,2,FALSE),"N/A")</f>
        <v>N/A</v>
      </c>
    </row>
    <row r="36" spans="1:16" x14ac:dyDescent="0.35">
      <c r="A36" s="88"/>
      <c r="B36" s="3961"/>
      <c r="C36" s="1243" t="s">
        <v>1355</v>
      </c>
      <c r="D36" s="1243" t="s">
        <v>3</v>
      </c>
      <c r="E36" s="1244">
        <f t="shared" si="0"/>
        <v>2.3000000000000003</v>
      </c>
      <c r="F36" s="1244">
        <f>IF($D36="Trigger",VLOOKUP($C36,'Upper Cask Critical Path'!$C$7:$F$336,4,FALSE),E36+F35)</f>
        <v>101.06888888888886</v>
      </c>
      <c r="G36" s="1309"/>
      <c r="H36" s="1310" t="str">
        <f>IF(D36="operation",VLOOKUP(G36,'Generic Vertical Port Tasks'!#REF!,2,FALSE),"N/A")</f>
        <v>N/A</v>
      </c>
      <c r="I36" s="1243"/>
      <c r="J36" s="1243"/>
      <c r="K36" s="1243"/>
      <c r="L36" s="1245" t="str">
        <f>IFERROR(INDEX('Upper Cask Movement &amp; Logistics'!$I$24:$O$30,MATCH($J36,'Upper Cask Movement &amp; Logistics'!$H$24:$H$30,0),MATCH($K36,'Upper Cask Movement &amp; Logistics'!$H$24:$H$30,0)),"N/A")</f>
        <v>N/A</v>
      </c>
      <c r="M36" s="1245" t="str">
        <f>IFERROR(VLOOKUP($I36,'Upper Cask Movement &amp; Logistics'!$H$4:$I$8,2,FALSE),"N/A")</f>
        <v>N/A</v>
      </c>
      <c r="N36" s="1311" t="str">
        <f t="shared" si="1"/>
        <v>N/A</v>
      </c>
      <c r="O36" s="1312" t="s">
        <v>1269</v>
      </c>
      <c r="P36" s="1313">
        <f>IF($D36="Logistics",VLOOKUP($O36,'Upper Cask Movement &amp; Logistics'!$C$4:$D$77,2,FALSE),"N/A")</f>
        <v>2.3000000000000003</v>
      </c>
    </row>
    <row r="37" spans="1:16" x14ac:dyDescent="0.35">
      <c r="A37" s="88"/>
      <c r="B37" s="3961"/>
      <c r="C37" s="1243" t="s">
        <v>1344</v>
      </c>
      <c r="D37" s="1243" t="s">
        <v>778</v>
      </c>
      <c r="E37" s="1244">
        <f t="shared" si="0"/>
        <v>0.69444444444444442</v>
      </c>
      <c r="F37" s="1244">
        <f>IF($D37="Trigger",VLOOKUP($C37,'Upper Cask Critical Path'!$C$7:$F$336,4,FALSE),E37+F36)</f>
        <v>101.76333333333331</v>
      </c>
      <c r="G37" s="1309"/>
      <c r="H37" s="1310" t="str">
        <f>IF(D37="operation",VLOOKUP(G37,'Generic Vertical Port Tasks'!#REF!,2,FALSE),"N/A")</f>
        <v>N/A</v>
      </c>
      <c r="I37" s="1243" t="s">
        <v>1789</v>
      </c>
      <c r="J37" s="1243" t="s">
        <v>901</v>
      </c>
      <c r="K37" s="1243" t="s">
        <v>831</v>
      </c>
      <c r="L37" s="1245">
        <f>IFERROR(INDEX('Upper Cask Movement &amp; Logistics'!$I$24:$O$30,MATCH($J37,'Upper Cask Movement &amp; Logistics'!$H$24:$H$30,0),MATCH($K37,'Upper Cask Movement &amp; Logistics'!$H$24:$H$30,0)),"N/A")</f>
        <v>50</v>
      </c>
      <c r="M37" s="1245">
        <f>IFERROR(VLOOKUP($I37,'Upper Cask Movement &amp; Logistics'!$H$4:$I$8,2,FALSE),"N/A")</f>
        <v>0.02</v>
      </c>
      <c r="N37" s="1311">
        <f t="shared" si="1"/>
        <v>0.69444444444444442</v>
      </c>
      <c r="O37" s="1312"/>
      <c r="P37" s="1313" t="str">
        <f>IF($D37="Logistics",VLOOKUP($O37,'Upper Cask Movement &amp; Logistics'!$C$4:$D$77,2,FALSE),"N/A")</f>
        <v>N/A</v>
      </c>
    </row>
    <row r="38" spans="1:16" x14ac:dyDescent="0.35">
      <c r="A38" s="88"/>
      <c r="B38" s="3961"/>
      <c r="C38" s="1243" t="s">
        <v>1356</v>
      </c>
      <c r="D38" s="1243" t="s">
        <v>3</v>
      </c>
      <c r="E38" s="1244">
        <f t="shared" si="0"/>
        <v>0.68</v>
      </c>
      <c r="F38" s="1244">
        <f>IF($D38="Trigger",VLOOKUP($C38,'Upper Cask Critical Path'!$C$7:$F$336,4,FALSE),E38+F37)</f>
        <v>102.44333333333331</v>
      </c>
      <c r="G38" s="1309"/>
      <c r="H38" s="1310" t="str">
        <f>IF(D38="operation",VLOOKUP(G38,'Generic Vertical Port Tasks'!#REF!,2,FALSE),"N/A")</f>
        <v>N/A</v>
      </c>
      <c r="I38" s="1243"/>
      <c r="J38" s="1243"/>
      <c r="K38" s="1243"/>
      <c r="L38" s="1245" t="str">
        <f>IFERROR(INDEX('Upper Cask Movement &amp; Logistics'!$I$24:$O$30,MATCH($J38,'Upper Cask Movement &amp; Logistics'!$H$24:$H$30,0),MATCH($K38,'Upper Cask Movement &amp; Logistics'!$H$24:$H$30,0)),"N/A")</f>
        <v>N/A</v>
      </c>
      <c r="M38" s="1245" t="str">
        <f>IFERROR(VLOOKUP($I38,'Upper Cask Movement &amp; Logistics'!$H$4:$I$8,2,FALSE),"N/A")</f>
        <v>N/A</v>
      </c>
      <c r="N38" s="1311" t="str">
        <f t="shared" si="1"/>
        <v>N/A</v>
      </c>
      <c r="O38" s="1312" t="s">
        <v>1213</v>
      </c>
      <c r="P38" s="1313">
        <f>IF($D38="Logistics",VLOOKUP($O38,'Upper Cask Movement &amp; Logistics'!$C$4:$D$77,2,FALSE),"N/A")</f>
        <v>0.68</v>
      </c>
    </row>
    <row r="39" spans="1:16" x14ac:dyDescent="0.35">
      <c r="A39" s="88"/>
      <c r="B39" s="3961"/>
      <c r="C39" s="1243" t="s">
        <v>1345</v>
      </c>
      <c r="D39" s="1243" t="s">
        <v>778</v>
      </c>
      <c r="E39" s="1244">
        <f t="shared" si="0"/>
        <v>9.2592592592592601E-2</v>
      </c>
      <c r="F39" s="1244">
        <f>IF($D39="Trigger",VLOOKUP($C39,'Upper Cask Critical Path'!$C$7:$F$336,4,FALSE),E39+F38)</f>
        <v>102.53592592592591</v>
      </c>
      <c r="G39" s="1309"/>
      <c r="H39" s="1310" t="str">
        <f>IF(D39="operation",VLOOKUP(G39,'Generic Vertical Port Tasks'!#REF!,2,FALSE),"N/A")</f>
        <v>N/A</v>
      </c>
      <c r="I39" s="1243" t="s">
        <v>2501</v>
      </c>
      <c r="J39" s="1243" t="s">
        <v>831</v>
      </c>
      <c r="K39" s="1243" t="s">
        <v>914</v>
      </c>
      <c r="L39" s="1245">
        <f>IFERROR(INDEX('Upper Cask Movement &amp; Logistics'!$I$24:$O$30,MATCH($J39,'Upper Cask Movement &amp; Logistics'!$H$24:$H$30,0),MATCH($K39,'Upper Cask Movement &amp; Logistics'!$H$24:$H$30,0)),"N/A")</f>
        <v>20</v>
      </c>
      <c r="M39" s="1245">
        <f>IFERROR(VLOOKUP($I39,'Upper Cask Movement &amp; Logistics'!$H$4:$I$8,2,FALSE),"N/A")</f>
        <v>0.06</v>
      </c>
      <c r="N39" s="1311">
        <f t="shared" si="1"/>
        <v>9.2592592592592601E-2</v>
      </c>
      <c r="O39" s="1312"/>
      <c r="P39" s="1313" t="str">
        <f>IF($D39="Logistics",VLOOKUP($O39,'Upper Cask Movement &amp; Logistics'!$C$4:$D$77,2,FALSE),"N/A")</f>
        <v>N/A</v>
      </c>
    </row>
    <row r="40" spans="1:16" x14ac:dyDescent="0.35">
      <c r="A40" s="88"/>
      <c r="B40" s="3961"/>
      <c r="C40" s="1243" t="s">
        <v>1357</v>
      </c>
      <c r="D40" s="1243" t="s">
        <v>3</v>
      </c>
      <c r="E40" s="1244">
        <f t="shared" si="0"/>
        <v>0.48000000000000004</v>
      </c>
      <c r="F40" s="1244">
        <f>IF($D40="Trigger",VLOOKUP($C40,'Upper Cask Critical Path'!$C$7:$F$336,4,FALSE),E40+F39)</f>
        <v>103.01592592592591</v>
      </c>
      <c r="G40" s="1309"/>
      <c r="H40" s="1310" t="str">
        <f>IF(D40="operation",VLOOKUP(G40,'Generic Vertical Port Tasks'!#REF!,2,FALSE),"N/A")</f>
        <v>N/A</v>
      </c>
      <c r="I40" s="1243"/>
      <c r="J40" s="1243"/>
      <c r="K40" s="1243"/>
      <c r="L40" s="1245" t="str">
        <f>IFERROR(INDEX('Upper Cask Movement &amp; Logistics'!$I$24:$O$30,MATCH($J40,'Upper Cask Movement &amp; Logistics'!$H$24:$H$30,0),MATCH($K40,'Upper Cask Movement &amp; Logistics'!$H$24:$H$30,0)),"N/A")</f>
        <v>N/A</v>
      </c>
      <c r="M40" s="1245" t="str">
        <f>IFERROR(VLOOKUP($I40,'Upper Cask Movement &amp; Logistics'!$H$4:$I$8,2,FALSE),"N/A")</f>
        <v>N/A</v>
      </c>
      <c r="N40" s="1311" t="str">
        <f t="shared" si="1"/>
        <v>N/A</v>
      </c>
      <c r="O40" s="1312" t="s">
        <v>1330</v>
      </c>
      <c r="P40" s="1313">
        <f>IF($D40="Logistics",VLOOKUP($O40,'Upper Cask Movement &amp; Logistics'!$C$4:$D$77,2,FALSE),"N/A")</f>
        <v>0.48000000000000004</v>
      </c>
    </row>
    <row r="41" spans="1:16" x14ac:dyDescent="0.35">
      <c r="A41" s="88"/>
      <c r="B41" s="3961"/>
      <c r="C41" s="1243" t="s">
        <v>1338</v>
      </c>
      <c r="D41" s="1243" t="s">
        <v>778</v>
      </c>
      <c r="E41" s="1244">
        <f t="shared" si="0"/>
        <v>2.7777777777777776E-2</v>
      </c>
      <c r="F41" s="1244">
        <f>IF($D41="Trigger",VLOOKUP($C41,'Upper Cask Critical Path'!$C$7:$F$336,4,FALSE),E41+F40)</f>
        <v>103.04370370370368</v>
      </c>
      <c r="G41" s="1309"/>
      <c r="H41" s="1310" t="str">
        <f>IF(D41="operation",VLOOKUP(G41,'Generic Vertical Port Tasks'!#REF!,2,FALSE),"N/A")</f>
        <v>N/A</v>
      </c>
      <c r="I41" s="1243" t="s">
        <v>2502</v>
      </c>
      <c r="J41" s="1243" t="s">
        <v>914</v>
      </c>
      <c r="K41" s="1243" t="s">
        <v>799</v>
      </c>
      <c r="L41" s="1245">
        <f>IFERROR(INDEX('Upper Cask Movement &amp; Logistics'!$I$24:$O$30,MATCH($J41,'Upper Cask Movement &amp; Logistics'!$H$24:$H$30,0),MATCH($K41,'Upper Cask Movement &amp; Logistics'!$H$24:$H$30,0)),"N/A")</f>
        <v>20</v>
      </c>
      <c r="M41" s="1245">
        <f>IFERROR(VLOOKUP($I41,'Upper Cask Movement &amp; Logistics'!$H$4:$I$8,2,FALSE),"N/A")</f>
        <v>0.2</v>
      </c>
      <c r="N41" s="1311">
        <f t="shared" si="1"/>
        <v>2.7777777777777776E-2</v>
      </c>
      <c r="O41" s="1312"/>
      <c r="P41" s="1313" t="str">
        <f>IF($D41="Logistics",VLOOKUP($O41,'Upper Cask Movement &amp; Logistics'!$C$4:$D$77,2,FALSE),"N/A")</f>
        <v>N/A</v>
      </c>
    </row>
    <row r="42" spans="1:16" x14ac:dyDescent="0.35">
      <c r="A42" s="88"/>
      <c r="B42" s="3962"/>
      <c r="C42" s="1249" t="s">
        <v>1358</v>
      </c>
      <c r="D42" s="1249" t="s">
        <v>3</v>
      </c>
      <c r="E42" s="1250">
        <f t="shared" si="0"/>
        <v>0.48000000000000004</v>
      </c>
      <c r="F42" s="1250">
        <f>IF($D42="Trigger",VLOOKUP($C42,'Upper Cask Critical Path'!$C$7:$F$336,4,FALSE),E42+F41)</f>
        <v>103.52370370370369</v>
      </c>
      <c r="G42" s="1338"/>
      <c r="H42" s="1310" t="str">
        <f>IF(D42="operation",VLOOKUP(G42,'Generic Vertical Port Tasks'!#REF!,2,FALSE),"N/A")</f>
        <v>N/A</v>
      </c>
      <c r="I42" s="1249"/>
      <c r="J42" s="1249"/>
      <c r="K42" s="1249"/>
      <c r="L42" s="1245" t="str">
        <f>IFERROR(INDEX('Upper Cask Movement &amp; Logistics'!$I$24:$O$30,MATCH($J42,'Upper Cask Movement &amp; Logistics'!$H$24:$H$30,0),MATCH($K42,'Upper Cask Movement &amp; Logistics'!$H$24:$H$30,0)),"N/A")</f>
        <v>N/A</v>
      </c>
      <c r="M42" s="1245" t="str">
        <f>IFERROR(VLOOKUP($I42,'Upper Cask Movement &amp; Logistics'!$H$4:$I$8,2,FALSE),"N/A")</f>
        <v>N/A</v>
      </c>
      <c r="N42" s="1311" t="str">
        <f t="shared" si="1"/>
        <v>N/A</v>
      </c>
      <c r="O42" s="1312" t="s">
        <v>1331</v>
      </c>
      <c r="P42" s="1313">
        <f>IF($D42="Logistics",VLOOKUP($O42,'Upper Cask Movement &amp; Logistics'!$C$4:$D$77,2,FALSE),"N/A")</f>
        <v>0.48000000000000004</v>
      </c>
    </row>
    <row r="43" spans="1:16" x14ac:dyDescent="0.35">
      <c r="A43" s="88"/>
      <c r="B43" s="3962"/>
      <c r="C43" s="1249" t="s">
        <v>1222</v>
      </c>
      <c r="D43" s="1249" t="s">
        <v>778</v>
      </c>
      <c r="E43" s="1250">
        <f t="shared" si="0"/>
        <v>0.69444444444444442</v>
      </c>
      <c r="F43" s="1250">
        <f>IF($D43="Trigger",VLOOKUP($C43,'Upper Cask Critical Path'!$C$7:$F$336,4,FALSE),E43+F42)</f>
        <v>104.21814814814813</v>
      </c>
      <c r="G43" s="1338"/>
      <c r="H43" s="1310" t="str">
        <f>IF(D43="operation",VLOOKUP(G43,'Generic Vertical Port Tasks'!#REF!,2,FALSE),"N/A")</f>
        <v>N/A</v>
      </c>
      <c r="I43" s="1249" t="s">
        <v>1789</v>
      </c>
      <c r="J43" s="1243" t="s">
        <v>799</v>
      </c>
      <c r="K43" s="1249" t="s">
        <v>901</v>
      </c>
      <c r="L43" s="1245">
        <f>IFERROR(INDEX('Upper Cask Movement &amp; Logistics'!$I$24:$O$30,MATCH($J43,'Upper Cask Movement &amp; Logistics'!$H$24:$H$30,0),MATCH($K43,'Upper Cask Movement &amp; Logistics'!$H$24:$H$30,0)),"N/A")</f>
        <v>50</v>
      </c>
      <c r="M43" s="1245">
        <f>IFERROR(VLOOKUP($I43,'Upper Cask Movement &amp; Logistics'!$H$4:$I$8,2,FALSE),"N/A")</f>
        <v>0.02</v>
      </c>
      <c r="N43" s="1311">
        <f t="shared" si="1"/>
        <v>0.69444444444444442</v>
      </c>
      <c r="O43" s="1312"/>
      <c r="P43" s="1313" t="str">
        <f>IF($D43="Logistics",VLOOKUP($O43,'Upper Cask Movement &amp; Logistics'!$C$4:$D$77,2,FALSE),"N/A")</f>
        <v>N/A</v>
      </c>
    </row>
    <row r="44" spans="1:16" x14ac:dyDescent="0.35">
      <c r="A44" s="88"/>
      <c r="B44" s="3962"/>
      <c r="C44" s="1249" t="s">
        <v>1359</v>
      </c>
      <c r="D44" s="1249" t="s">
        <v>3</v>
      </c>
      <c r="E44" s="1250">
        <f t="shared" si="0"/>
        <v>1.6400000000000001</v>
      </c>
      <c r="F44" s="1250">
        <f>IF($D44="Trigger",VLOOKUP($C44,'Upper Cask Critical Path'!$C$7:$F$336,4,FALSE),E44+F43)</f>
        <v>105.85814814814813</v>
      </c>
      <c r="G44" s="1338"/>
      <c r="H44" s="1310" t="str">
        <f>IF(D44="operation",VLOOKUP(G44,'Generic Vertical Port Tasks'!#REF!,2,FALSE),"N/A")</f>
        <v>N/A</v>
      </c>
      <c r="I44" s="1249"/>
      <c r="J44" s="1249"/>
      <c r="K44" s="1249"/>
      <c r="L44" s="1245" t="str">
        <f>IFERROR(INDEX('Upper Cask Movement &amp; Logistics'!$I$24:$O$30,MATCH($J44,'Upper Cask Movement &amp; Logistics'!$H$24:$H$30,0),MATCH($K44,'Upper Cask Movement &amp; Logistics'!$H$24:$H$30,0)),"N/A")</f>
        <v>N/A</v>
      </c>
      <c r="M44" s="1245" t="str">
        <f>IFERROR(VLOOKUP($I44,'Upper Cask Movement &amp; Logistics'!$H$4:$I$8,2,FALSE),"N/A")</f>
        <v>N/A</v>
      </c>
      <c r="N44" s="1311" t="str">
        <f t="shared" si="1"/>
        <v>N/A</v>
      </c>
      <c r="O44" s="1312" t="s">
        <v>1224</v>
      </c>
      <c r="P44" s="1313">
        <f>IF($D44="Logistics",VLOOKUP($O44,'Upper Cask Movement &amp; Logistics'!$C$4:$D$77,2,FALSE),"N/A")</f>
        <v>1.6400000000000001</v>
      </c>
    </row>
    <row r="45" spans="1:16" ht="13.3" thickBot="1" x14ac:dyDescent="0.4">
      <c r="A45" s="88"/>
      <c r="B45" s="3962"/>
      <c r="C45" s="1249" t="str">
        <f>B35</f>
        <v>Shield Plug &amp; Fixations &amp; Hardware Cask 3 stored; Equipment Cask 2 collected; Equipment cask 2 docked</v>
      </c>
      <c r="D45" s="1249" t="s">
        <v>11</v>
      </c>
      <c r="E45" s="1250">
        <f t="shared" si="0"/>
        <v>0</v>
      </c>
      <c r="F45" s="1250">
        <f>IF($D45="Trigger",VLOOKUP($C45,'Upper Cask Critical Path'!$C$7:$F$336,4,FALSE),E45+F44)</f>
        <v>105.85814814814813</v>
      </c>
      <c r="G45" s="1338"/>
      <c r="H45" s="1310" t="str">
        <f>IF(D45="operation",VLOOKUP(G45,'Generic Vertical Port Tasks'!#REF!,2,FALSE),"N/A")</f>
        <v>N/A</v>
      </c>
      <c r="I45" s="1249"/>
      <c r="J45" s="1249"/>
      <c r="K45" s="1249"/>
      <c r="L45" s="1245" t="str">
        <f>IFERROR(INDEX('Upper Cask Movement &amp; Logistics'!$I$24:$O$30,MATCH($J45,'Upper Cask Movement &amp; Logistics'!$H$24:$H$30,0),MATCH($K45,'Upper Cask Movement &amp; Logistics'!$H$24:$H$30,0)),"N/A")</f>
        <v>N/A</v>
      </c>
      <c r="M45" s="1245" t="str">
        <f>IFERROR(VLOOKUP($I45,'Upper Cask Movement &amp; Logistics'!$H$4:$I$8,2,FALSE),"N/A")</f>
        <v>N/A</v>
      </c>
      <c r="N45" s="1311" t="str">
        <f t="shared" si="1"/>
        <v>N/A</v>
      </c>
      <c r="O45" s="1312"/>
      <c r="P45" s="1313" t="str">
        <f>IF($D45="Logistics",VLOOKUP($O45,'Upper Cask Movement &amp; Logistics'!$C$4:$D$77,2,FALSE),"N/A")</f>
        <v>N/A</v>
      </c>
    </row>
    <row r="46" spans="1:16" x14ac:dyDescent="0.35">
      <c r="A46" s="88"/>
      <c r="B46" s="3964" t="s">
        <v>1360</v>
      </c>
      <c r="C46" s="1324" t="str">
        <f>'Upper Cask Critical Path'!C63</f>
        <v>Deploy Multifunction Manipulator for Multipipe Flange 1</v>
      </c>
      <c r="D46" s="1324" t="s">
        <v>907</v>
      </c>
      <c r="E46" s="1291">
        <f t="shared" si="0"/>
        <v>0</v>
      </c>
      <c r="F46" s="1291">
        <f>IF($D46="Trigger",VLOOKUP($C46,'Upper Cask Critical Path'!$C$7:$F$336,4,FALSE),E46+F45)</f>
        <v>105.30111111111108</v>
      </c>
      <c r="G46" s="825"/>
      <c r="H46" s="1323" t="str">
        <f>IF(D46="operation",VLOOKUP(G46,'Generic Vertical Port Tasks'!#REF!,2,FALSE),"N/A")</f>
        <v>N/A</v>
      </c>
      <c r="I46" s="1324"/>
      <c r="J46" s="1324"/>
      <c r="K46" s="1324"/>
      <c r="L46" s="1325" t="str">
        <f>IFERROR(INDEX('Upper Cask Movement &amp; Logistics'!$I$24:$O$30,MATCH($J46,'Upper Cask Movement &amp; Logistics'!$H$24:$H$30,0),MATCH($K46,'Upper Cask Movement &amp; Logistics'!$H$24:$H$30,0)),"N/A")</f>
        <v>N/A</v>
      </c>
      <c r="M46" s="1325" t="str">
        <f>IFERROR(VLOOKUP($I46,'Upper Cask Movement &amp; Logistics'!$H$4:$I$8,2,FALSE),"N/A")</f>
        <v>N/A</v>
      </c>
      <c r="N46" s="1326" t="str">
        <f t="shared" si="1"/>
        <v>N/A</v>
      </c>
      <c r="O46" s="1327"/>
      <c r="P46" s="824" t="str">
        <f>IF($D46="Logistics",VLOOKUP($O46,'Upper Cask Movement &amp; Logistics'!$C$4:$D$77,2,FALSE),"N/A")</f>
        <v>N/A</v>
      </c>
    </row>
    <row r="47" spans="1:16" x14ac:dyDescent="0.35">
      <c r="A47" s="88"/>
      <c r="B47" s="3965"/>
      <c r="C47" s="1294" t="s">
        <v>1361</v>
      </c>
      <c r="D47" s="1294" t="s">
        <v>3</v>
      </c>
      <c r="E47" s="1292">
        <f t="shared" si="0"/>
        <v>2.5400000000000005</v>
      </c>
      <c r="F47" s="1292">
        <f>IF($D47="Trigger",VLOOKUP($C47,'Upper Cask Critical Path'!$C$7:$F$336,4,FALSE),E47+F46)</f>
        <v>107.84111111111109</v>
      </c>
      <c r="G47" s="862"/>
      <c r="H47" s="1328" t="str">
        <f>IF(D47="operation",VLOOKUP(G47,'Generic Vertical Port Tasks'!#REF!,2,FALSE),"N/A")</f>
        <v>N/A</v>
      </c>
      <c r="I47" s="1294"/>
      <c r="J47" s="1294"/>
      <c r="K47" s="1294"/>
      <c r="L47" s="1329" t="str">
        <f>IFERROR(INDEX('Upper Cask Movement &amp; Logistics'!$I$24:$O$30,MATCH($J47,'Upper Cask Movement &amp; Logistics'!$H$24:$H$30,0),MATCH($K47,'Upper Cask Movement &amp; Logistics'!$H$24:$H$30,0)),"N/A")</f>
        <v>N/A</v>
      </c>
      <c r="M47" s="1329" t="str">
        <f>IFERROR(VLOOKUP($I47,'Upper Cask Movement &amp; Logistics'!$H$4:$I$8,2,FALSE),"N/A")</f>
        <v>N/A</v>
      </c>
      <c r="N47" s="1330" t="str">
        <f t="shared" si="1"/>
        <v>N/A</v>
      </c>
      <c r="O47" s="1331" t="s">
        <v>1260</v>
      </c>
      <c r="P47" s="1332">
        <f>IF($D47="Logistics",VLOOKUP($O47,'Upper Cask Movement &amp; Logistics'!$C$4:$D$77,2,FALSE),"N/A")</f>
        <v>2.5400000000000005</v>
      </c>
    </row>
    <row r="48" spans="1:16" x14ac:dyDescent="0.35">
      <c r="A48" s="88"/>
      <c r="B48" s="3965"/>
      <c r="C48" s="1294" t="s">
        <v>1362</v>
      </c>
      <c r="D48" s="1294" t="s">
        <v>778</v>
      </c>
      <c r="E48" s="1292">
        <f t="shared" si="0"/>
        <v>0.69444444444444442</v>
      </c>
      <c r="F48" s="1292">
        <f>IF($D48="Trigger",VLOOKUP($C48,'Upper Cask Critical Path'!$C$7:$F$336,4,FALSE),E48+F47)</f>
        <v>108.53555555555553</v>
      </c>
      <c r="G48" s="862"/>
      <c r="H48" s="1328" t="str">
        <f>IF(D48="operation",VLOOKUP(G48,'Generic Vertical Port Tasks'!#REF!,2,FALSE),"N/A")</f>
        <v>N/A</v>
      </c>
      <c r="I48" s="1294" t="s">
        <v>1789</v>
      </c>
      <c r="J48" s="1294" t="s">
        <v>816</v>
      </c>
      <c r="K48" s="1294" t="s">
        <v>914</v>
      </c>
      <c r="L48" s="1329">
        <f>IFERROR(INDEX('Upper Cask Movement &amp; Logistics'!$I$24:$O$30,MATCH($J48,'Upper Cask Movement &amp; Logistics'!$H$24:$H$30,0),MATCH($K48,'Upper Cask Movement &amp; Logistics'!$H$24:$H$30,0)),"N/A")</f>
        <v>50</v>
      </c>
      <c r="M48" s="1329">
        <f>IFERROR(VLOOKUP($I48,'Upper Cask Movement &amp; Logistics'!$H$4:$I$8,2,FALSE),"N/A")</f>
        <v>0.02</v>
      </c>
      <c r="N48" s="1330">
        <f t="shared" si="1"/>
        <v>0.69444444444444442</v>
      </c>
      <c r="O48" s="1331"/>
      <c r="P48" s="1332" t="str">
        <f>IF($D48="Logistics",VLOOKUP($O48,'Upper Cask Movement &amp; Logistics'!$C$4:$D$77,2,FALSE),"N/A")</f>
        <v>N/A</v>
      </c>
    </row>
    <row r="49" spans="1:16" x14ac:dyDescent="0.35">
      <c r="A49" s="88"/>
      <c r="B49" s="3965"/>
      <c r="C49" s="1294" t="s">
        <v>1363</v>
      </c>
      <c r="D49" s="1294" t="s">
        <v>3</v>
      </c>
      <c r="E49" s="1292">
        <f t="shared" si="0"/>
        <v>0.48000000000000004</v>
      </c>
      <c r="F49" s="1292">
        <f>IF($D49="Trigger",VLOOKUP($C49,'Upper Cask Critical Path'!$C$7:$F$336,4,FALSE),E49+F48)</f>
        <v>109.01555555555554</v>
      </c>
      <c r="G49" s="862"/>
      <c r="H49" s="1328" t="str">
        <f>IF(D49="operation",VLOOKUP(G49,'Generic Vertical Port Tasks'!#REF!,2,FALSE),"N/A")</f>
        <v>N/A</v>
      </c>
      <c r="I49" s="1294"/>
      <c r="J49" s="1294"/>
      <c r="K49" s="1294"/>
      <c r="L49" s="1329" t="str">
        <f>IFERROR(INDEX('Upper Cask Movement &amp; Logistics'!$I$24:$O$30,MATCH($J49,'Upper Cask Movement &amp; Logistics'!$H$24:$H$30,0),MATCH($K49,'Upper Cask Movement &amp; Logistics'!$H$24:$H$30,0)),"N/A")</f>
        <v>N/A</v>
      </c>
      <c r="M49" s="1329" t="str">
        <f>IFERROR(VLOOKUP($I49,'Upper Cask Movement &amp; Logistics'!$H$4:$I$8,2,FALSE),"N/A")</f>
        <v>N/A</v>
      </c>
      <c r="N49" s="1330" t="str">
        <f t="shared" si="1"/>
        <v>N/A</v>
      </c>
      <c r="O49" s="1331" t="s">
        <v>1330</v>
      </c>
      <c r="P49" s="1332">
        <f>IF($D49="Logistics",VLOOKUP($O49,'Upper Cask Movement &amp; Logistics'!$C$4:$D$77,2,FALSE),"N/A")</f>
        <v>0.48000000000000004</v>
      </c>
    </row>
    <row r="50" spans="1:16" x14ac:dyDescent="0.35">
      <c r="A50" s="88"/>
      <c r="B50" s="3965"/>
      <c r="C50" s="1294" t="s">
        <v>1364</v>
      </c>
      <c r="D50" s="1294" t="s">
        <v>778</v>
      </c>
      <c r="E50" s="1292">
        <f t="shared" si="0"/>
        <v>9.2592592592592601E-2</v>
      </c>
      <c r="F50" s="1292">
        <f>IF($D50="Trigger",VLOOKUP($C50,'Upper Cask Critical Path'!$C$7:$F$336,4,FALSE),E50+F49)</f>
        <v>109.10814814814813</v>
      </c>
      <c r="G50" s="862"/>
      <c r="H50" s="1328" t="str">
        <f>IF(D50="operation",VLOOKUP(G50,'Generic Vertical Port Tasks'!#REF!,2,FALSE),"N/A")</f>
        <v>N/A</v>
      </c>
      <c r="I50" s="1294" t="s">
        <v>2501</v>
      </c>
      <c r="J50" s="1294" t="s">
        <v>914</v>
      </c>
      <c r="K50" s="1294" t="s">
        <v>799</v>
      </c>
      <c r="L50" s="1329">
        <f>IFERROR(INDEX('Upper Cask Movement &amp; Logistics'!$I$24:$O$30,MATCH($J50,'Upper Cask Movement &amp; Logistics'!$H$24:$H$30,0),MATCH($K50,'Upper Cask Movement &amp; Logistics'!$H$24:$H$30,0)),"N/A")</f>
        <v>20</v>
      </c>
      <c r="M50" s="1329">
        <f>IFERROR(VLOOKUP($I50,'Upper Cask Movement &amp; Logistics'!$H$4:$I$8,2,FALSE),"N/A")</f>
        <v>0.06</v>
      </c>
      <c r="N50" s="1330">
        <f t="shared" si="1"/>
        <v>9.2592592592592601E-2</v>
      </c>
      <c r="O50" s="1331"/>
      <c r="P50" s="1332" t="str">
        <f>IF($D50="Logistics",VLOOKUP($O50,'Upper Cask Movement &amp; Logistics'!$C$4:$D$77,2,FALSE),"N/A")</f>
        <v>N/A</v>
      </c>
    </row>
    <row r="51" spans="1:16" x14ac:dyDescent="0.35">
      <c r="A51" s="88"/>
      <c r="B51" s="3965"/>
      <c r="C51" s="1294" t="s">
        <v>1365</v>
      </c>
      <c r="D51" s="1294" t="s">
        <v>3</v>
      </c>
      <c r="E51" s="1292">
        <f t="shared" si="0"/>
        <v>0.48000000000000004</v>
      </c>
      <c r="F51" s="1292">
        <f>IF($D51="Trigger",VLOOKUP($C51,'Upper Cask Critical Path'!$C$7:$F$336,4,FALSE),E51+F50)</f>
        <v>109.58814814814814</v>
      </c>
      <c r="G51" s="862"/>
      <c r="H51" s="1328" t="str">
        <f>IF(D51="operation",VLOOKUP(G51,'Generic Vertical Port Tasks'!#REF!,2,FALSE),"N/A")</f>
        <v>N/A</v>
      </c>
      <c r="I51" s="1294"/>
      <c r="J51" s="1294"/>
      <c r="K51" s="1294"/>
      <c r="L51" s="1329" t="str">
        <f>IFERROR(INDEX('Upper Cask Movement &amp; Logistics'!$I$24:$O$30,MATCH($J51,'Upper Cask Movement &amp; Logistics'!$H$24:$H$30,0),MATCH($K51,'Upper Cask Movement &amp; Logistics'!$H$24:$H$30,0)),"N/A")</f>
        <v>N/A</v>
      </c>
      <c r="M51" s="1329" t="str">
        <f>IFERROR(VLOOKUP($I51,'Upper Cask Movement &amp; Logistics'!$H$4:$I$8,2,FALSE),"N/A")</f>
        <v>N/A</v>
      </c>
      <c r="N51" s="1330" t="str">
        <f t="shared" si="1"/>
        <v>N/A</v>
      </c>
      <c r="O51" s="1331" t="s">
        <v>1331</v>
      </c>
      <c r="P51" s="1332">
        <f>IF($D51="Logistics",VLOOKUP($O51,'Upper Cask Movement &amp; Logistics'!$C$4:$D$77,2,FALSE),"N/A")</f>
        <v>0.48000000000000004</v>
      </c>
    </row>
    <row r="52" spans="1:16" x14ac:dyDescent="0.35">
      <c r="A52" s="88"/>
      <c r="B52" s="3965"/>
      <c r="C52" s="1294" t="s">
        <v>1366</v>
      </c>
      <c r="D52" s="1294" t="s">
        <v>778</v>
      </c>
      <c r="E52" s="1292">
        <f t="shared" si="0"/>
        <v>0.69444444444444442</v>
      </c>
      <c r="F52" s="1292">
        <f>IF($D52="Trigger",VLOOKUP($C52,'Upper Cask Critical Path'!$C$7:$F$336,4,FALSE),E52+F51)</f>
        <v>110.28259259259258</v>
      </c>
      <c r="G52" s="862"/>
      <c r="H52" s="1328" t="str">
        <f>IF(D52="operation",VLOOKUP(G52,'Generic Vertical Port Tasks'!#REF!,2,FALSE),"N/A")</f>
        <v>N/A</v>
      </c>
      <c r="I52" s="1294" t="s">
        <v>1789</v>
      </c>
      <c r="J52" s="1294" t="s">
        <v>799</v>
      </c>
      <c r="K52" s="1294" t="s">
        <v>901</v>
      </c>
      <c r="L52" s="1329">
        <f>IFERROR(INDEX('Upper Cask Movement &amp; Logistics'!$I$24:$O$30,MATCH($J52,'Upper Cask Movement &amp; Logistics'!$H$24:$H$30,0),MATCH($K52,'Upper Cask Movement &amp; Logistics'!$H$24:$H$30,0)),"N/A")</f>
        <v>50</v>
      </c>
      <c r="M52" s="1329">
        <f>IFERROR(VLOOKUP($I52,'Upper Cask Movement &amp; Logistics'!$H$4:$I$8,2,FALSE),"N/A")</f>
        <v>0.02</v>
      </c>
      <c r="N52" s="1330">
        <f t="shared" si="1"/>
        <v>0.69444444444444442</v>
      </c>
      <c r="O52" s="1331"/>
      <c r="P52" s="1332" t="str">
        <f>IF($D52="Logistics",VLOOKUP($O52,'Upper Cask Movement &amp; Logistics'!$C$4:$D$77,2,FALSE),"N/A")</f>
        <v>N/A</v>
      </c>
    </row>
    <row r="53" spans="1:16" x14ac:dyDescent="0.35">
      <c r="A53" s="88"/>
      <c r="B53" s="3967"/>
      <c r="C53" s="1346" t="s">
        <v>1367</v>
      </c>
      <c r="D53" s="1346" t="s">
        <v>3</v>
      </c>
      <c r="E53" s="1347">
        <f t="shared" si="0"/>
        <v>1.4000000000000001</v>
      </c>
      <c r="F53" s="1347">
        <f>IF($D53="Trigger",VLOOKUP($C53,'Upper Cask Critical Path'!$C$7:$F$336,4,FALSE),E53+F52)</f>
        <v>111.68259259259258</v>
      </c>
      <c r="G53" s="1348"/>
      <c r="H53" s="1349" t="str">
        <f>IF(D53="operation",VLOOKUP(G53,'Generic Vertical Port Tasks'!#REF!,2,FALSE),"N/A")</f>
        <v>N/A</v>
      </c>
      <c r="I53" s="1346"/>
      <c r="J53" s="1346"/>
      <c r="K53" s="1346"/>
      <c r="L53" s="1350" t="str">
        <f>IFERROR(INDEX('Upper Cask Movement &amp; Logistics'!$I$24:$O$30,MATCH($J53,'Upper Cask Movement &amp; Logistics'!$H$24:$H$30,0),MATCH($K53,'Upper Cask Movement &amp; Logistics'!$H$24:$H$30,0)),"N/A")</f>
        <v>N/A</v>
      </c>
      <c r="M53" s="1350" t="str">
        <f>IFERROR(VLOOKUP($I53,'Upper Cask Movement &amp; Logistics'!$H$4:$I$8,2,FALSE),"N/A")</f>
        <v>N/A</v>
      </c>
      <c r="N53" s="1351" t="str">
        <f t="shared" si="1"/>
        <v>N/A</v>
      </c>
      <c r="O53" s="1352" t="s">
        <v>1277</v>
      </c>
      <c r="P53" s="1353">
        <f>IF($D53="Logistics",VLOOKUP($O53,'Upper Cask Movement &amp; Logistics'!$C$4:$D$77,2,FALSE),"N/A")</f>
        <v>1.4000000000000001</v>
      </c>
    </row>
    <row r="54" spans="1:16" ht="13.3" thickBot="1" x14ac:dyDescent="0.4">
      <c r="A54" s="88"/>
      <c r="B54" s="3966"/>
      <c r="C54" s="1340" t="str">
        <f>B46</f>
        <v>Equipment Cask 1 stored; Hardware Cask 4 collected; Hardware Cask 4 docked</v>
      </c>
      <c r="D54" s="1340" t="s">
        <v>11</v>
      </c>
      <c r="E54" s="1295">
        <f t="shared" si="0"/>
        <v>0</v>
      </c>
      <c r="F54" s="1295">
        <f>IF($D54="Trigger",VLOOKUP($C54,'Upper Cask Critical Path'!$C$7:$F$336,4,FALSE),E54+F53)</f>
        <v>111.68259259259258</v>
      </c>
      <c r="G54" s="839"/>
      <c r="H54" s="1341" t="str">
        <f>IF(D54="operation",VLOOKUP(G54,'Generic Vertical Port Tasks'!C92:D174,2,FALSE),"N/A")</f>
        <v>N/A</v>
      </c>
      <c r="I54" s="1340"/>
      <c r="J54" s="1340"/>
      <c r="K54" s="1340"/>
      <c r="L54" s="1342" t="str">
        <f>IFERROR(INDEX('Upper Cask Movement &amp; Logistics'!$I$24:$O$30,MATCH($J54,'Upper Cask Movement &amp; Logistics'!$H$24:$H$30,0),MATCH($K54,'Upper Cask Movement &amp; Logistics'!$H$24:$H$30,0)),"N/A")</f>
        <v>N/A</v>
      </c>
      <c r="M54" s="1342" t="str">
        <f>IFERROR(VLOOKUP($I54,'Upper Cask Movement &amp; Logistics'!$H$4:$I$8,2,FALSE),"N/A")</f>
        <v>N/A</v>
      </c>
      <c r="N54" s="1343" t="str">
        <f t="shared" si="1"/>
        <v>N/A</v>
      </c>
      <c r="O54" s="1344"/>
      <c r="P54" s="1345" t="str">
        <f>IF($D54="Logistics",VLOOKUP($O54,'Upper Cask Movement &amp; Logistics'!$C$4:$D$77,2,FALSE),"N/A")</f>
        <v>N/A</v>
      </c>
    </row>
    <row r="55" spans="1:16" x14ac:dyDescent="0.35">
      <c r="A55" s="88"/>
      <c r="B55" s="3960" t="s">
        <v>1368</v>
      </c>
      <c r="C55" s="1333" t="str">
        <f>'Upper Cask Critical Path'!C71</f>
        <v>Store COB Pipe Module In Hardware Cask 4</v>
      </c>
      <c r="D55" s="1333" t="s">
        <v>907</v>
      </c>
      <c r="E55" s="1303">
        <f t="shared" si="0"/>
        <v>0</v>
      </c>
      <c r="F55" s="1303">
        <f>IF($D55="Trigger",VLOOKUP($C55,'Upper Cask Critical Path'!$C$7:$F$336,4,FALSE),E55+F54)</f>
        <v>116.05602664282782</v>
      </c>
      <c r="G55" s="1304"/>
      <c r="H55" s="1305" t="str">
        <f>IF(D55="operation",VLOOKUP(G55,'Generic Vertical Port Tasks'!C92:D175,2,FALSE),"N/A")</f>
        <v>N/A</v>
      </c>
      <c r="I55" s="1333"/>
      <c r="J55" s="1333"/>
      <c r="K55" s="1333"/>
      <c r="L55" s="1334" t="str">
        <f>IFERROR(INDEX('Upper Cask Movement &amp; Logistics'!$I$24:$O$30,MATCH($J55,'Upper Cask Movement &amp; Logistics'!$H$24:$H$30,0),MATCH($K55,'Upper Cask Movement &amp; Logistics'!$H$24:$H$30,0)),"N/A")</f>
        <v>N/A</v>
      </c>
      <c r="M55" s="1334" t="str">
        <f>IFERROR(VLOOKUP($I55,'Upper Cask Movement &amp; Logistics'!$H$4:$I$8,2,FALSE),"N/A")</f>
        <v>N/A</v>
      </c>
      <c r="N55" s="1335" t="str">
        <f t="shared" si="1"/>
        <v>N/A</v>
      </c>
      <c r="O55" s="1336"/>
      <c r="P55" s="1337" t="str">
        <f>IF($D55="Logistics",VLOOKUP($O55,'Upper Cask Movement &amp; Logistics'!$C$4:$D$77,2,FALSE),"N/A")</f>
        <v>N/A</v>
      </c>
    </row>
    <row r="56" spans="1:16" x14ac:dyDescent="0.35">
      <c r="A56" s="88"/>
      <c r="B56" s="3968"/>
      <c r="C56" s="1240" t="s">
        <v>1369</v>
      </c>
      <c r="D56" s="1240" t="s">
        <v>3</v>
      </c>
      <c r="E56" s="1241">
        <f t="shared" si="0"/>
        <v>2.3000000000000003</v>
      </c>
      <c r="F56" s="1241">
        <f>IF($D56="Trigger",VLOOKUP($C56,'Upper Cask Critical Path'!$C$7:$F$336,4,FALSE),E56+F55)</f>
        <v>118.35602664282781</v>
      </c>
      <c r="G56" s="1354"/>
      <c r="H56" s="1355" t="str">
        <f>IF(D56="operation",VLOOKUP(G56,'Generic Vertical Port Tasks'!C92:D176,2,FALSE),"N/A")</f>
        <v>N/A</v>
      </c>
      <c r="I56" s="1240"/>
      <c r="J56" s="1240"/>
      <c r="K56" s="1240"/>
      <c r="L56" s="1242" t="str">
        <f>IFERROR(INDEX('Upper Cask Movement &amp; Logistics'!$I$24:$O$30,MATCH($J56,'Upper Cask Movement &amp; Logistics'!$H$24:$H$30,0),MATCH($K56,'Upper Cask Movement &amp; Logistics'!$H$24:$H$30,0)),"N/A")</f>
        <v>N/A</v>
      </c>
      <c r="M56" s="1242" t="str">
        <f>IFERROR(VLOOKUP($I56,'Upper Cask Movement &amp; Logistics'!$H$4:$I$8,2,FALSE),"N/A")</f>
        <v>N/A</v>
      </c>
      <c r="N56" s="1356" t="str">
        <f t="shared" si="1"/>
        <v>N/A</v>
      </c>
      <c r="O56" s="1357" t="s">
        <v>1269</v>
      </c>
      <c r="P56" s="1358">
        <f>IF($D56="Logistics",VLOOKUP($O56,'Upper Cask Movement &amp; Logistics'!$C$4:$D$77,2,FALSE),"N/A")</f>
        <v>2.3000000000000003</v>
      </c>
    </row>
    <row r="57" spans="1:16" x14ac:dyDescent="0.35">
      <c r="A57" s="88"/>
      <c r="B57" s="3961"/>
      <c r="C57" s="1243" t="s">
        <v>1370</v>
      </c>
      <c r="D57" s="1243" t="s">
        <v>778</v>
      </c>
      <c r="E57" s="1244">
        <f t="shared" si="0"/>
        <v>0.69444444444444442</v>
      </c>
      <c r="F57" s="1244">
        <f>IF($D57="Trigger",VLOOKUP($C57,'Upper Cask Critical Path'!$C$7:$F$336,4,FALSE),E57+F56)</f>
        <v>119.05047108727226</v>
      </c>
      <c r="G57" s="1309"/>
      <c r="H57" s="1310" t="str">
        <f>IF(D57="operation",VLOOKUP(G57,'Generic Vertical Port Tasks'!C92:D178,2,FALSE),"N/A")</f>
        <v>N/A</v>
      </c>
      <c r="I57" s="1243" t="s">
        <v>1789</v>
      </c>
      <c r="J57" s="1243" t="s">
        <v>901</v>
      </c>
      <c r="K57" s="1243" t="s">
        <v>831</v>
      </c>
      <c r="L57" s="1245">
        <f>IFERROR(INDEX('Upper Cask Movement &amp; Logistics'!$I$24:$O$30,MATCH($J57,'Upper Cask Movement &amp; Logistics'!$H$24:$H$30,0),MATCH($K57,'Upper Cask Movement &amp; Logistics'!$H$24:$H$30,0)),"N/A")</f>
        <v>50</v>
      </c>
      <c r="M57" s="1245">
        <f>IFERROR(VLOOKUP($I57,'Upper Cask Movement &amp; Logistics'!$H$4:$I$8,2,FALSE),"N/A")</f>
        <v>0.02</v>
      </c>
      <c r="N57" s="1311">
        <f t="shared" si="1"/>
        <v>0.69444444444444442</v>
      </c>
      <c r="O57" s="1312"/>
      <c r="P57" s="1313" t="str">
        <f>IF($D57="Logistics",VLOOKUP($O57,'Upper Cask Movement &amp; Logistics'!$C$4:$D$77,2,FALSE),"N/A")</f>
        <v>N/A</v>
      </c>
    </row>
    <row r="58" spans="1:16" x14ac:dyDescent="0.35">
      <c r="A58" s="88"/>
      <c r="B58" s="3961"/>
      <c r="C58" s="1243" t="s">
        <v>1371</v>
      </c>
      <c r="D58" s="1243" t="s">
        <v>3</v>
      </c>
      <c r="E58" s="1244">
        <f t="shared" si="0"/>
        <v>0.68</v>
      </c>
      <c r="F58" s="1244">
        <f>IF($D58="Trigger",VLOOKUP($C58,'Upper Cask Critical Path'!$C$7:$F$336,4,FALSE),E58+F57)</f>
        <v>119.73047108727226</v>
      </c>
      <c r="G58" s="1309"/>
      <c r="H58" s="1310" t="str">
        <f>IF(D58="operation",VLOOKUP(G58,'Generic Vertical Port Tasks'!C92:D179,2,FALSE),"N/A")</f>
        <v>N/A</v>
      </c>
      <c r="I58" s="1243"/>
      <c r="J58" s="1243"/>
      <c r="K58" s="1243"/>
      <c r="L58" s="1245" t="str">
        <f>IFERROR(INDEX('Upper Cask Movement &amp; Logistics'!$I$24:$O$30,MATCH($J58,'Upper Cask Movement &amp; Logistics'!$H$24:$H$30,0),MATCH($K58,'Upper Cask Movement &amp; Logistics'!$H$24:$H$30,0)),"N/A")</f>
        <v>N/A</v>
      </c>
      <c r="M58" s="1245" t="str">
        <f>IFERROR(VLOOKUP($I58,'Upper Cask Movement &amp; Logistics'!$H$4:$I$8,2,FALSE),"N/A")</f>
        <v>N/A</v>
      </c>
      <c r="N58" s="1311" t="str">
        <f t="shared" si="1"/>
        <v>N/A</v>
      </c>
      <c r="O58" s="1312" t="s">
        <v>1213</v>
      </c>
      <c r="P58" s="1313">
        <f>IF($D58="Logistics",VLOOKUP($O58,'Upper Cask Movement &amp; Logistics'!$C$4:$D$77,2,FALSE),"N/A")</f>
        <v>0.68</v>
      </c>
    </row>
    <row r="59" spans="1:16" x14ac:dyDescent="0.35">
      <c r="A59" s="88"/>
      <c r="B59" s="3962"/>
      <c r="C59" s="1249" t="s">
        <v>1366</v>
      </c>
      <c r="D59" s="1249" t="s">
        <v>778</v>
      </c>
      <c r="E59" s="1250">
        <f t="shared" si="0"/>
        <v>0.23148148148148148</v>
      </c>
      <c r="F59" s="1250">
        <f>IF($D59="Trigger",VLOOKUP($C59,'Upper Cask Critical Path'!$C$7:$F$336,4,FALSE),E59+F58)</f>
        <v>119.96195256875374</v>
      </c>
      <c r="G59" s="1338"/>
      <c r="H59" s="1359" t="str">
        <f>IF(D59="operation",VLOOKUP(G59,'Generic Vertical Port Tasks'!C92:D179,2,FALSE),"N/A")</f>
        <v>N/A</v>
      </c>
      <c r="I59" s="1249" t="s">
        <v>2503</v>
      </c>
      <c r="J59" s="1249" t="s">
        <v>831</v>
      </c>
      <c r="K59" s="1249" t="s">
        <v>901</v>
      </c>
      <c r="L59" s="1252">
        <f>IFERROR(INDEX('Upper Cask Movement &amp; Logistics'!$I$24:$O$30,MATCH($J59,'Upper Cask Movement &amp; Logistics'!$H$24:$H$30,0),MATCH($K59,'Upper Cask Movement &amp; Logistics'!$H$24:$H$30,0)),"N/A")</f>
        <v>50</v>
      </c>
      <c r="M59" s="1252">
        <f>IFERROR(VLOOKUP($I59,'Upper Cask Movement &amp; Logistics'!$H$4:$I$8,2,FALSE),"N/A")</f>
        <v>0.06</v>
      </c>
      <c r="N59" s="1360">
        <f t="shared" si="1"/>
        <v>0.23148148148148148</v>
      </c>
      <c r="O59" s="1339"/>
      <c r="P59" s="1361" t="str">
        <f>IF($D59="Logistics",VLOOKUP($O59,'Upper Cask Movement &amp; Logistics'!$C$4:$D$77,2,FALSE),"N/A")</f>
        <v>N/A</v>
      </c>
    </row>
    <row r="60" spans="1:16" x14ac:dyDescent="0.35">
      <c r="A60" s="88"/>
      <c r="B60" s="3962"/>
      <c r="C60" s="1249" t="s">
        <v>1367</v>
      </c>
      <c r="D60" s="1249" t="s">
        <v>3</v>
      </c>
      <c r="E60" s="1250">
        <f t="shared" si="0"/>
        <v>1.4000000000000001</v>
      </c>
      <c r="F60" s="1250">
        <f>IF($D60="Trigger",VLOOKUP($C60,'Upper Cask Critical Path'!$C$7:$F$336,4,FALSE),E60+F59)</f>
        <v>121.36195256875375</v>
      </c>
      <c r="G60" s="1338"/>
      <c r="H60" s="1359" t="str">
        <f>IF(D60="operation",VLOOKUP(G60,'Generic Vertical Port Tasks'!C92:D179,2,FALSE),"N/A")</f>
        <v>N/A</v>
      </c>
      <c r="I60" s="1249"/>
      <c r="J60" s="1249"/>
      <c r="K60" s="1249"/>
      <c r="L60" s="1252" t="str">
        <f>IFERROR(INDEX('Upper Cask Movement &amp; Logistics'!$I$24:$O$30,MATCH($J60,'Upper Cask Movement &amp; Logistics'!$H$24:$H$30,0),MATCH($K60,'Upper Cask Movement &amp; Logistics'!$H$24:$H$30,0)),"N/A")</f>
        <v>N/A</v>
      </c>
      <c r="M60" s="1252" t="str">
        <f>IFERROR(VLOOKUP($I60,'Upper Cask Movement &amp; Logistics'!$H$4:$I$8,2,FALSE),"N/A")</f>
        <v>N/A</v>
      </c>
      <c r="N60" s="1360" t="str">
        <f t="shared" si="1"/>
        <v>N/A</v>
      </c>
      <c r="O60" s="1339" t="s">
        <v>1277</v>
      </c>
      <c r="P60" s="1361">
        <f>IF($D60="Logistics",VLOOKUP($O60,'Upper Cask Movement &amp; Logistics'!$C$4:$D$77,2,FALSE),"N/A")</f>
        <v>1.4000000000000001</v>
      </c>
    </row>
    <row r="61" spans="1:16" ht="13.3" thickBot="1" x14ac:dyDescent="0.4">
      <c r="A61" s="88"/>
      <c r="B61" s="3963"/>
      <c r="C61" s="1314" t="str">
        <f>B55</f>
        <v>COB Pipe Module stored; Hardware Cask 4 docked</v>
      </c>
      <c r="D61" s="1314" t="s">
        <v>11</v>
      </c>
      <c r="E61" s="1316">
        <f t="shared" si="0"/>
        <v>0</v>
      </c>
      <c r="F61" s="1316">
        <f>IF($D61="Trigger",VLOOKUP($C61,'Upper Cask Critical Path'!$C$7:$F$336,4,FALSE),E61+F60)</f>
        <v>121.36195256875375</v>
      </c>
      <c r="G61" s="1317"/>
      <c r="H61" s="1318" t="str">
        <f>IF(D61="operation",VLOOKUP(G61,'Generic Vertical Port Tasks'!C92:D179,2,FALSE),"N/A")</f>
        <v>N/A</v>
      </c>
      <c r="I61" s="1314"/>
      <c r="J61" s="1314"/>
      <c r="K61" s="1314"/>
      <c r="L61" s="1319" t="str">
        <f>IFERROR(INDEX('Upper Cask Movement &amp; Logistics'!$I$24:$O$30,MATCH($J61,'Upper Cask Movement &amp; Logistics'!$H$24:$H$30,0),MATCH($K61,'Upper Cask Movement &amp; Logistics'!$H$24:$H$30,0)),"N/A")</f>
        <v>N/A</v>
      </c>
      <c r="M61" s="1319" t="str">
        <f>IFERROR(VLOOKUP($I61,'Upper Cask Movement &amp; Logistics'!$H$4:$I$8,2,FALSE),"N/A")</f>
        <v>N/A</v>
      </c>
      <c r="N61" s="1320" t="str">
        <f t="shared" si="1"/>
        <v>N/A</v>
      </c>
      <c r="O61" s="1321"/>
      <c r="P61" s="1322" t="str">
        <f>IF($D61="Logistics",VLOOKUP($O61,'Upper Cask Movement &amp; Logistics'!$C$4:$D$77,2,FALSE),"N/A")</f>
        <v>N/A</v>
      </c>
    </row>
    <row r="62" spans="1:16" x14ac:dyDescent="0.35">
      <c r="A62" s="88"/>
      <c r="B62" s="3964" t="s">
        <v>1372</v>
      </c>
      <c r="C62" s="1324" t="str">
        <f>'Upper Cask Critical Path'!C81</f>
        <v>Store LOB Pipe Module In Hardware Cask 4</v>
      </c>
      <c r="D62" s="1324" t="s">
        <v>907</v>
      </c>
      <c r="E62" s="1291">
        <f t="shared" si="0"/>
        <v>0</v>
      </c>
      <c r="F62" s="1291">
        <f>IF($D62="Trigger",VLOOKUP($C62,'Upper Cask Critical Path'!$C$7:$F$336,4,FALSE),E62+F61)</f>
        <v>127.57094217454454</v>
      </c>
      <c r="G62" s="825"/>
      <c r="H62" s="1323" t="str">
        <f>IF(D62="operation",VLOOKUP(G62,'Generic Vertical Port Tasks'!C92:D179,2,FALSE),"N/A")</f>
        <v>N/A</v>
      </c>
      <c r="I62" s="1324"/>
      <c r="J62" s="1324"/>
      <c r="K62" s="1324"/>
      <c r="L62" s="1325" t="str">
        <f>IFERROR(INDEX('Upper Cask Movement &amp; Logistics'!$I$24:$O$30,MATCH($J62,'Upper Cask Movement &amp; Logistics'!$H$24:$H$30,0),MATCH($K62,'Upper Cask Movement &amp; Logistics'!$H$24:$H$30,0)),"N/A")</f>
        <v>N/A</v>
      </c>
      <c r="M62" s="1325" t="str">
        <f>IFERROR(VLOOKUP($I62,'Upper Cask Movement &amp; Logistics'!$H$4:$I$8,2,FALSE),"N/A")</f>
        <v>N/A</v>
      </c>
      <c r="N62" s="1326" t="str">
        <f t="shared" si="1"/>
        <v>N/A</v>
      </c>
      <c r="O62" s="1327"/>
      <c r="P62" s="824" t="str">
        <f>IF($D62="Logistics",VLOOKUP($O62,'Upper Cask Movement &amp; Logistics'!$C$4:$D$77,2,FALSE),"N/A")</f>
        <v>N/A</v>
      </c>
    </row>
    <row r="63" spans="1:16" x14ac:dyDescent="0.35">
      <c r="A63" s="88"/>
      <c r="B63" s="3969"/>
      <c r="C63" s="1362" t="s">
        <v>1369</v>
      </c>
      <c r="D63" s="1362" t="s">
        <v>3</v>
      </c>
      <c r="E63" s="1363">
        <f t="shared" si="0"/>
        <v>2.3000000000000003</v>
      </c>
      <c r="F63" s="1363">
        <f>IF($D63="Trigger",VLOOKUP($C63,'Upper Cask Critical Path'!$C$7:$F$336,4,FALSE),E63+F62)</f>
        <v>129.87094217454455</v>
      </c>
      <c r="G63" s="1364"/>
      <c r="H63" s="1365" t="str">
        <f>IF(D63="operation",VLOOKUP(G63,'Generic Vertical Port Tasks'!C92:D179,2,FALSE),"N/A")</f>
        <v>N/A</v>
      </c>
      <c r="I63" s="1362"/>
      <c r="J63" s="1362"/>
      <c r="K63" s="1362"/>
      <c r="L63" s="1366" t="str">
        <f>IFERROR(INDEX('Upper Cask Movement &amp; Logistics'!$I$24:$O$30,MATCH($J63,'Upper Cask Movement &amp; Logistics'!$H$24:$H$30,0),MATCH($K63,'Upper Cask Movement &amp; Logistics'!$H$24:$H$30,0)),"N/A")</f>
        <v>N/A</v>
      </c>
      <c r="M63" s="1366" t="str">
        <f>IFERROR(VLOOKUP($I63,'Upper Cask Movement &amp; Logistics'!$H$4:$I$8,2,FALSE),"N/A")</f>
        <v>N/A</v>
      </c>
      <c r="N63" s="1367" t="str">
        <f t="shared" si="1"/>
        <v>N/A</v>
      </c>
      <c r="O63" s="1368" t="s">
        <v>1269</v>
      </c>
      <c r="P63" s="861">
        <f>IF($D63="Logistics",VLOOKUP($O63,'Upper Cask Movement &amp; Logistics'!$C$4:$D$77,2,FALSE),"N/A")</f>
        <v>2.3000000000000003</v>
      </c>
    </row>
    <row r="64" spans="1:16" x14ac:dyDescent="0.35">
      <c r="A64" s="88"/>
      <c r="B64" s="3965"/>
      <c r="C64" s="1294" t="s">
        <v>1370</v>
      </c>
      <c r="D64" s="1294" t="s">
        <v>778</v>
      </c>
      <c r="E64" s="1292">
        <f t="shared" si="0"/>
        <v>0.69444444444444442</v>
      </c>
      <c r="F64" s="1292">
        <f>IF($D64="Trigger",VLOOKUP($C64,'Upper Cask Critical Path'!$C$7:$F$336,4,FALSE),E64+F63)</f>
        <v>130.56538661898901</v>
      </c>
      <c r="G64" s="862"/>
      <c r="H64" s="1328" t="str">
        <f>IF(D64="operation",VLOOKUP(G64,'Generic Vertical Port Tasks'!C92:D179,2,FALSE),"N/A")</f>
        <v>N/A</v>
      </c>
      <c r="I64" s="1294" t="s">
        <v>1789</v>
      </c>
      <c r="J64" s="1294" t="s">
        <v>901</v>
      </c>
      <c r="K64" s="1294" t="s">
        <v>831</v>
      </c>
      <c r="L64" s="1329">
        <f>IFERROR(INDEX('Upper Cask Movement &amp; Logistics'!$I$24:$O$30,MATCH($J64,'Upper Cask Movement &amp; Logistics'!$H$24:$H$30,0),MATCH($K64,'Upper Cask Movement &amp; Logistics'!$H$24:$H$30,0)),"N/A")</f>
        <v>50</v>
      </c>
      <c r="M64" s="1329">
        <f>IFERROR(VLOOKUP($I64,'Upper Cask Movement &amp; Logistics'!$H$4:$I$8,2,FALSE),"N/A")</f>
        <v>0.02</v>
      </c>
      <c r="N64" s="1330">
        <f t="shared" si="1"/>
        <v>0.69444444444444442</v>
      </c>
      <c r="O64" s="1331"/>
      <c r="P64" s="1332" t="str">
        <f>IF($D64="Logistics",VLOOKUP($O64,'Upper Cask Movement &amp; Logistics'!$C$4:$D$77,2,FALSE),"N/A")</f>
        <v>N/A</v>
      </c>
    </row>
    <row r="65" spans="1:16" x14ac:dyDescent="0.35">
      <c r="A65" s="88"/>
      <c r="B65" s="3965"/>
      <c r="C65" s="1294" t="s">
        <v>1373</v>
      </c>
      <c r="D65" s="1294" t="s">
        <v>3</v>
      </c>
      <c r="E65" s="1292">
        <f t="shared" si="0"/>
        <v>0.68</v>
      </c>
      <c r="F65" s="1292">
        <f>IF($D65="Trigger",VLOOKUP($C65,'Upper Cask Critical Path'!$C$7:$F$336,4,FALSE),E65+F64)</f>
        <v>131.24538661898902</v>
      </c>
      <c r="G65" s="862"/>
      <c r="H65" s="1328" t="str">
        <f>IF(D65="operation",VLOOKUP(G65,'Generic Vertical Port Tasks'!C174:D189,2,FALSE),"N/A")</f>
        <v>N/A</v>
      </c>
      <c r="I65" s="1294"/>
      <c r="J65" s="1294"/>
      <c r="K65" s="1294"/>
      <c r="L65" s="1329" t="str">
        <f>IFERROR(INDEX('Upper Cask Movement &amp; Logistics'!$I$24:$O$30,MATCH($J65,'Upper Cask Movement &amp; Logistics'!$H$24:$H$30,0),MATCH($K65,'Upper Cask Movement &amp; Logistics'!$H$24:$H$30,0)),"N/A")</f>
        <v>N/A</v>
      </c>
      <c r="M65" s="1329" t="str">
        <f>IFERROR(VLOOKUP($I65,'Upper Cask Movement &amp; Logistics'!$H$4:$I$8,2,FALSE),"N/A")</f>
        <v>N/A</v>
      </c>
      <c r="N65" s="1330" t="str">
        <f t="shared" si="1"/>
        <v>N/A</v>
      </c>
      <c r="O65" s="1331" t="s">
        <v>1213</v>
      </c>
      <c r="P65" s="1332">
        <f>IF($D65="Logistics",VLOOKUP($O65,'Upper Cask Movement &amp; Logistics'!$C$4:$D$77,2,FALSE),"N/A")</f>
        <v>0.68</v>
      </c>
    </row>
    <row r="66" spans="1:16" x14ac:dyDescent="0.35">
      <c r="A66" s="88"/>
      <c r="B66" s="3965"/>
      <c r="C66" s="1294" t="s">
        <v>1366</v>
      </c>
      <c r="D66" s="1294" t="s">
        <v>778</v>
      </c>
      <c r="E66" s="1292">
        <f t="shared" si="0"/>
        <v>0.23148148148148148</v>
      </c>
      <c r="F66" s="1292">
        <f>IF($D66="Trigger",VLOOKUP($C66,'Upper Cask Critical Path'!$C$7:$F$336,4,FALSE),E66+F65)</f>
        <v>131.47686810047051</v>
      </c>
      <c r="G66" s="862"/>
      <c r="H66" s="1328" t="str">
        <f>IF(D66="operation",VLOOKUP(G66,'Generic Vertical Port Tasks'!C174:D189,2,FALSE),"N/A")</f>
        <v>N/A</v>
      </c>
      <c r="I66" s="1294" t="s">
        <v>2501</v>
      </c>
      <c r="J66" s="1294" t="s">
        <v>831</v>
      </c>
      <c r="K66" s="1294" t="s">
        <v>901</v>
      </c>
      <c r="L66" s="1329">
        <f>IFERROR(INDEX('Upper Cask Movement &amp; Logistics'!$I$24:$O$30,MATCH($J66,'Upper Cask Movement &amp; Logistics'!$H$24:$H$30,0),MATCH($K66,'Upper Cask Movement &amp; Logistics'!$H$24:$H$30,0)),"N/A")</f>
        <v>50</v>
      </c>
      <c r="M66" s="1329">
        <f>IFERROR(VLOOKUP($I66,'Upper Cask Movement &amp; Logistics'!$H$4:$I$8,2,FALSE),"N/A")</f>
        <v>0.06</v>
      </c>
      <c r="N66" s="1330">
        <f t="shared" si="1"/>
        <v>0.23148148148148148</v>
      </c>
      <c r="O66" s="1331"/>
      <c r="P66" s="1332" t="str">
        <f>IF($D66="Logistics",VLOOKUP($O66,'Upper Cask Movement &amp; Logistics'!$C$4:$D$77,2,FALSE),"N/A")</f>
        <v>N/A</v>
      </c>
    </row>
    <row r="67" spans="1:16" x14ac:dyDescent="0.35">
      <c r="A67" s="88"/>
      <c r="B67" s="3965"/>
      <c r="C67" s="1294" t="s">
        <v>1367</v>
      </c>
      <c r="D67" s="1294" t="s">
        <v>3</v>
      </c>
      <c r="E67" s="1292">
        <f t="shared" si="0"/>
        <v>1.4000000000000001</v>
      </c>
      <c r="F67" s="1292">
        <f>IF($D67="Trigger",VLOOKUP($C67,'Upper Cask Critical Path'!$C$7:$F$336,4,FALSE),E67+F66)</f>
        <v>132.87686810047052</v>
      </c>
      <c r="G67" s="862"/>
      <c r="H67" s="1328" t="str">
        <f>IF(D67="operation",VLOOKUP(G67,'Generic Vertical Port Tasks'!C174:D189,2,FALSE),"N/A")</f>
        <v>N/A</v>
      </c>
      <c r="I67" s="1294"/>
      <c r="J67" s="1294"/>
      <c r="K67" s="1294"/>
      <c r="L67" s="1329" t="str">
        <f>IFERROR(INDEX('Upper Cask Movement &amp; Logistics'!$I$24:$O$30,MATCH($J67,'Upper Cask Movement &amp; Logistics'!$H$24:$H$30,0),MATCH($K67,'Upper Cask Movement &amp; Logistics'!$H$24:$H$30,0)),"N/A")</f>
        <v>N/A</v>
      </c>
      <c r="M67" s="1329" t="str">
        <f>IFERROR(VLOOKUP($I67,'Upper Cask Movement &amp; Logistics'!$H$4:$I$8,2,FALSE),"N/A")</f>
        <v>N/A</v>
      </c>
      <c r="N67" s="1330" t="str">
        <f t="shared" si="1"/>
        <v>N/A</v>
      </c>
      <c r="O67" s="1331" t="s">
        <v>1277</v>
      </c>
      <c r="P67" s="1332">
        <f>IF($D67="Logistics",VLOOKUP($O67,'Upper Cask Movement &amp; Logistics'!$C$4:$D$77,2,FALSE),"N/A")</f>
        <v>1.4000000000000001</v>
      </c>
    </row>
    <row r="68" spans="1:16" ht="13.3" thickBot="1" x14ac:dyDescent="0.4">
      <c r="A68" s="88"/>
      <c r="B68" s="3966"/>
      <c r="C68" s="1340" t="str">
        <f>B62</f>
        <v>LOB Pipe Module stored; Hardware Cask 4 docked</v>
      </c>
      <c r="D68" s="1340" t="s">
        <v>11</v>
      </c>
      <c r="E68" s="1295">
        <f t="shared" si="0"/>
        <v>0</v>
      </c>
      <c r="F68" s="1295">
        <f>IF($D68="Trigger",VLOOKUP($C68,'Upper Cask Critical Path'!$C$7:$F$336,4,FALSE),E68+F67)</f>
        <v>132.87686810047052</v>
      </c>
      <c r="G68" s="839"/>
      <c r="H68" s="1341" t="str">
        <f>IF(D68="operation",VLOOKUP(G68,'Generic Vertical Port Tasks'!C174:D189,2,FALSE),"N/A")</f>
        <v>N/A</v>
      </c>
      <c r="I68" s="1340"/>
      <c r="J68" s="1340"/>
      <c r="K68" s="1340"/>
      <c r="L68" s="1342" t="str">
        <f>IFERROR(INDEX('Upper Cask Movement &amp; Logistics'!$I$24:$O$30,MATCH($J68,'Upper Cask Movement &amp; Logistics'!$H$24:$H$30,0),MATCH($K68,'Upper Cask Movement &amp; Logistics'!$H$24:$H$30,0)),"N/A")</f>
        <v>N/A</v>
      </c>
      <c r="M68" s="1342" t="str">
        <f>IFERROR(VLOOKUP($I68,'Upper Cask Movement &amp; Logistics'!$H$4:$I$8,2,FALSE),"N/A")</f>
        <v>N/A</v>
      </c>
      <c r="N68" s="1343" t="str">
        <f t="shared" si="1"/>
        <v>N/A</v>
      </c>
      <c r="O68" s="1344"/>
      <c r="P68" s="1345" t="str">
        <f>IF($D68="Logistics",VLOOKUP($O68,'Upper Cask Movement &amp; Logistics'!$C$4:$D$77,2,FALSE),"N/A")</f>
        <v>N/A</v>
      </c>
    </row>
    <row r="69" spans="1:16" x14ac:dyDescent="0.35">
      <c r="A69" s="88"/>
      <c r="B69" s="3960" t="s">
        <v>1374</v>
      </c>
      <c r="C69" s="1333" t="str">
        <f>'Upper Cask Critical Path'!C91</f>
        <v>Store ROB Pipe Module In Hardware Cask 4</v>
      </c>
      <c r="D69" s="1333" t="s">
        <v>907</v>
      </c>
      <c r="E69" s="1303">
        <f t="shared" ref="E69:E142" si="2">MAX($P69,$N69,$H69)</f>
        <v>0</v>
      </c>
      <c r="F69" s="1303">
        <f>IF($D69="Trigger",VLOOKUP($C69,'Upper Cask Critical Path'!$C$7:$F$336,4,FALSE),E69+F68)</f>
        <v>139.08585770626129</v>
      </c>
      <c r="G69" s="1304"/>
      <c r="H69" s="1305" t="str">
        <f>IF(D69="operation",VLOOKUP(G69,'Generic Vertical Port Tasks'!C174:D189,2,FALSE),"N/A")</f>
        <v>N/A</v>
      </c>
      <c r="I69" s="1333"/>
      <c r="J69" s="1333"/>
      <c r="K69" s="1333"/>
      <c r="L69" s="1334" t="str">
        <f>IFERROR(INDEX('Upper Cask Movement &amp; Logistics'!$I$24:$O$30,MATCH($J69,'Upper Cask Movement &amp; Logistics'!$H$24:$H$30,0),MATCH($K69,'Upper Cask Movement &amp; Logistics'!$H$24:$H$30,0)),"N/A")</f>
        <v>N/A</v>
      </c>
      <c r="M69" s="1334" t="str">
        <f>IFERROR(VLOOKUP($I69,'Upper Cask Movement &amp; Logistics'!$H$4:$I$8,2,FALSE),"N/A")</f>
        <v>N/A</v>
      </c>
      <c r="N69" s="1335" t="str">
        <f t="shared" ref="N69:N102" si="3">IF(D69="Movement",IFERROR((L69/M69)/(60*60),"Error"),"N/A")</f>
        <v>N/A</v>
      </c>
      <c r="O69" s="1336"/>
      <c r="P69" s="1337" t="str">
        <f>IF($D69="Logistics",VLOOKUP($O69,'Upper Cask Movement &amp; Logistics'!$C$4:$D$77,2,FALSE),"N/A")</f>
        <v>N/A</v>
      </c>
    </row>
    <row r="70" spans="1:16" x14ac:dyDescent="0.35">
      <c r="A70" s="88"/>
      <c r="B70" s="3968"/>
      <c r="C70" s="1240" t="s">
        <v>1369</v>
      </c>
      <c r="D70" s="1240" t="s">
        <v>3</v>
      </c>
      <c r="E70" s="1241">
        <f t="shared" si="2"/>
        <v>2.3000000000000003</v>
      </c>
      <c r="F70" s="1241">
        <f>IF($D70="Trigger",VLOOKUP($C70,'Upper Cask Critical Path'!$C$7:$F$336,4,FALSE),E70+F69)</f>
        <v>141.38585770626131</v>
      </c>
      <c r="G70" s="1354"/>
      <c r="H70" s="1355" t="str">
        <f>IF(D70="operation",VLOOKUP(G70,'Generic Vertical Port Tasks'!C174:D189,2,FALSE),"N/A")</f>
        <v>N/A</v>
      </c>
      <c r="I70" s="1240"/>
      <c r="J70" s="1240"/>
      <c r="K70" s="1240"/>
      <c r="L70" s="1242" t="str">
        <f>IFERROR(INDEX('Upper Cask Movement &amp; Logistics'!$I$24:$O$30,MATCH($J70,'Upper Cask Movement &amp; Logistics'!$H$24:$H$30,0),MATCH($K70,'Upper Cask Movement &amp; Logistics'!$H$24:$H$30,0)),"N/A")</f>
        <v>N/A</v>
      </c>
      <c r="M70" s="1242" t="str">
        <f>IFERROR(VLOOKUP($I70,'Upper Cask Movement &amp; Logistics'!$H$4:$I$8,2,FALSE),"N/A")</f>
        <v>N/A</v>
      </c>
      <c r="N70" s="1356" t="str">
        <f t="shared" si="3"/>
        <v>N/A</v>
      </c>
      <c r="O70" s="1357" t="s">
        <v>1269</v>
      </c>
      <c r="P70" s="1358">
        <f>IF($D70="Logistics",VLOOKUP($O70,'Upper Cask Movement &amp; Logistics'!$C$4:$D$77,2,FALSE),"N/A")</f>
        <v>2.3000000000000003</v>
      </c>
    </row>
    <row r="71" spans="1:16" x14ac:dyDescent="0.35">
      <c r="A71" s="88"/>
      <c r="B71" s="3961"/>
      <c r="C71" s="1243" t="s">
        <v>1370</v>
      </c>
      <c r="D71" s="1243" t="s">
        <v>778</v>
      </c>
      <c r="E71" s="1244">
        <f t="shared" si="2"/>
        <v>0.69444444444444442</v>
      </c>
      <c r="F71" s="1244">
        <f>IF($D71="Trigger",VLOOKUP($C71,'Upper Cask Critical Path'!$C$7:$F$336,4,FALSE),E71+F70)</f>
        <v>142.08030215070576</v>
      </c>
      <c r="G71" s="1309"/>
      <c r="H71" s="1310" t="str">
        <f>IF(D71="operation",VLOOKUP(G71,'Generic Vertical Port Tasks'!C174:D189,2,FALSE),"N/A")</f>
        <v>N/A</v>
      </c>
      <c r="I71" s="1243" t="s">
        <v>1789</v>
      </c>
      <c r="J71" s="1243" t="s">
        <v>901</v>
      </c>
      <c r="K71" s="1243" t="s">
        <v>831</v>
      </c>
      <c r="L71" s="1245">
        <f>IFERROR(INDEX('Upper Cask Movement &amp; Logistics'!$I$24:$O$30,MATCH($J71,'Upper Cask Movement &amp; Logistics'!$H$24:$H$30,0),MATCH($K71,'Upper Cask Movement &amp; Logistics'!$H$24:$H$30,0)),"N/A")</f>
        <v>50</v>
      </c>
      <c r="M71" s="1245">
        <f>IFERROR(VLOOKUP($I71,'Upper Cask Movement &amp; Logistics'!$H$4:$I$8,2,FALSE),"N/A")</f>
        <v>0.02</v>
      </c>
      <c r="N71" s="1311">
        <f t="shared" si="3"/>
        <v>0.69444444444444442</v>
      </c>
      <c r="O71" s="1312"/>
      <c r="P71" s="1313" t="str">
        <f>IF($D71="Logistics",VLOOKUP($O71,'Upper Cask Movement &amp; Logistics'!$C$4:$D$77,2,FALSE),"N/A")</f>
        <v>N/A</v>
      </c>
    </row>
    <row r="72" spans="1:16" x14ac:dyDescent="0.35">
      <c r="A72" s="88"/>
      <c r="B72" s="3961"/>
      <c r="C72" s="1243" t="s">
        <v>1375</v>
      </c>
      <c r="D72" s="1243" t="s">
        <v>3</v>
      </c>
      <c r="E72" s="1244">
        <f t="shared" si="2"/>
        <v>0.68</v>
      </c>
      <c r="F72" s="1244">
        <f>IF($D72="Trigger",VLOOKUP($C72,'Upper Cask Critical Path'!$C$7:$F$336,4,FALSE),E72+F71)</f>
        <v>142.76030215070577</v>
      </c>
      <c r="G72" s="1309"/>
      <c r="H72" s="1310" t="str">
        <f>IF(D72="operation",VLOOKUP(G72,'Generic Vertical Port Tasks'!C174:D189,2,FALSE),"N/A")</f>
        <v>N/A</v>
      </c>
      <c r="I72" s="1243"/>
      <c r="J72" s="1243"/>
      <c r="K72" s="1243"/>
      <c r="L72" s="1245" t="str">
        <f>IFERROR(INDEX('Upper Cask Movement &amp; Logistics'!$I$24:$O$30,MATCH($J72,'Upper Cask Movement &amp; Logistics'!$H$24:$H$30,0),MATCH($K72,'Upper Cask Movement &amp; Logistics'!$H$24:$H$30,0)),"N/A")</f>
        <v>N/A</v>
      </c>
      <c r="M72" s="1245" t="str">
        <f>IFERROR(VLOOKUP($I72,'Upper Cask Movement &amp; Logistics'!$H$4:$I$8,2,FALSE),"N/A")</f>
        <v>N/A</v>
      </c>
      <c r="N72" s="1311" t="str">
        <f t="shared" si="3"/>
        <v>N/A</v>
      </c>
      <c r="O72" s="1312" t="s">
        <v>1213</v>
      </c>
      <c r="P72" s="1313">
        <f>IF($D72="Logistics",VLOOKUP($O72,'Upper Cask Movement &amp; Logistics'!$C$4:$D$77,2,FALSE),"N/A")</f>
        <v>0.68</v>
      </c>
    </row>
    <row r="73" spans="1:16" x14ac:dyDescent="0.35">
      <c r="A73" s="88"/>
      <c r="B73" s="3961"/>
      <c r="C73" s="1249" t="s">
        <v>1366</v>
      </c>
      <c r="D73" s="1249" t="s">
        <v>778</v>
      </c>
      <c r="E73" s="1244">
        <f t="shared" si="2"/>
        <v>0.23148148148148148</v>
      </c>
      <c r="F73" s="1244">
        <f>IF($D73="Trigger",VLOOKUP($C73,'Upper Cask Critical Path'!$C$7:$F$336,4,FALSE),E73+F72)</f>
        <v>142.99178363218726</v>
      </c>
      <c r="G73" s="1309"/>
      <c r="H73" s="1310" t="str">
        <f>IF(D73="operation",VLOOKUP(G73,'Generic Vertical Port Tasks'!C174:D189,2,FALSE),"N/A")</f>
        <v>N/A</v>
      </c>
      <c r="I73" s="1249" t="s">
        <v>2501</v>
      </c>
      <c r="J73" s="1249" t="s">
        <v>831</v>
      </c>
      <c r="K73" s="1249" t="s">
        <v>901</v>
      </c>
      <c r="L73" s="1245">
        <f>IFERROR(INDEX('Upper Cask Movement &amp; Logistics'!$I$24:$O$30,MATCH($J73,'Upper Cask Movement &amp; Logistics'!$H$24:$H$30,0),MATCH($K73,'Upper Cask Movement &amp; Logistics'!$H$24:$H$30,0)),"N/A")</f>
        <v>50</v>
      </c>
      <c r="M73" s="1245">
        <f>IFERROR(VLOOKUP($I73,'Upper Cask Movement &amp; Logistics'!$H$4:$I$8,2,FALSE),"N/A")</f>
        <v>0.06</v>
      </c>
      <c r="N73" s="1311">
        <f t="shared" si="3"/>
        <v>0.23148148148148148</v>
      </c>
      <c r="O73" s="1339"/>
      <c r="P73" s="1313" t="str">
        <f>IF($D73="Logistics",VLOOKUP($O73,'Upper Cask Movement &amp; Logistics'!$C$4:$D$77,2,FALSE),"N/A")</f>
        <v>N/A</v>
      </c>
    </row>
    <row r="74" spans="1:16" x14ac:dyDescent="0.35">
      <c r="A74" s="88"/>
      <c r="B74" s="3961"/>
      <c r="C74" s="1249" t="s">
        <v>1367</v>
      </c>
      <c r="D74" s="1249" t="s">
        <v>3</v>
      </c>
      <c r="E74" s="1244">
        <f t="shared" si="2"/>
        <v>1.4000000000000001</v>
      </c>
      <c r="F74" s="1244">
        <f>IF($D74="Trigger",VLOOKUP($C74,'Upper Cask Critical Path'!$C$7:$F$336,4,FALSE),E74+F73)</f>
        <v>144.39178363218727</v>
      </c>
      <c r="G74" s="1309"/>
      <c r="H74" s="1310" t="str">
        <f>IF(D74="operation",VLOOKUP(G74,'Generic Vertical Port Tasks'!C174:D189,2,FALSE),"N/A")</f>
        <v>N/A</v>
      </c>
      <c r="I74" s="1249"/>
      <c r="J74" s="1249"/>
      <c r="K74" s="1249"/>
      <c r="L74" s="1245" t="str">
        <f>IFERROR(INDEX('Upper Cask Movement &amp; Logistics'!$I$24:$O$30,MATCH($J74,'Upper Cask Movement &amp; Logistics'!$H$24:$H$30,0),MATCH($K74,'Upper Cask Movement &amp; Logistics'!$H$24:$H$30,0)),"N/A")</f>
        <v>N/A</v>
      </c>
      <c r="M74" s="1245" t="str">
        <f>IFERROR(VLOOKUP($I74,'Upper Cask Movement &amp; Logistics'!$H$4:$I$8,2,FALSE),"N/A")</f>
        <v>N/A</v>
      </c>
      <c r="N74" s="1311" t="str">
        <f t="shared" si="3"/>
        <v>N/A</v>
      </c>
      <c r="O74" s="1339" t="s">
        <v>1277</v>
      </c>
      <c r="P74" s="1313">
        <f>IF($D74="Logistics",VLOOKUP($O74,'Upper Cask Movement &amp; Logistics'!$C$4:$D$77,2,FALSE),"N/A")</f>
        <v>1.4000000000000001</v>
      </c>
    </row>
    <row r="75" spans="1:16" ht="13.3" thickBot="1" x14ac:dyDescent="0.4">
      <c r="A75" s="88"/>
      <c r="B75" s="3963"/>
      <c r="C75" s="1314" t="str">
        <f>B69</f>
        <v>ROB Pipe Module stored; Hardware Cask 4 docked</v>
      </c>
      <c r="D75" s="1314" t="s">
        <v>11</v>
      </c>
      <c r="E75" s="1316">
        <f t="shared" si="2"/>
        <v>0</v>
      </c>
      <c r="F75" s="1316">
        <f>IF($D75="Trigger",VLOOKUP($C75,'Upper Cask Critical Path'!$C$7:$F$336,4,FALSE),E75+F74)</f>
        <v>144.39178363218727</v>
      </c>
      <c r="G75" s="1317"/>
      <c r="H75" s="1318" t="str">
        <f>IF(D75="operation",VLOOKUP(G75,'Generic Vertical Port Tasks'!C174:D189,2,FALSE),"N/A")</f>
        <v>N/A</v>
      </c>
      <c r="I75" s="1314"/>
      <c r="J75" s="1314"/>
      <c r="K75" s="1314"/>
      <c r="L75" s="1319" t="str">
        <f>IFERROR(INDEX('Upper Cask Movement &amp; Logistics'!$I$24:$O$30,MATCH($J75,'Upper Cask Movement &amp; Logistics'!$H$24:$H$30,0),MATCH($K75,'Upper Cask Movement &amp; Logistics'!$H$24:$H$30,0)),"N/A")</f>
        <v>N/A</v>
      </c>
      <c r="M75" s="1319" t="str">
        <f>IFERROR(VLOOKUP($I75,'Upper Cask Movement &amp; Logistics'!$H$4:$I$8,2,FALSE),"N/A")</f>
        <v>N/A</v>
      </c>
      <c r="N75" s="1320" t="str">
        <f t="shared" si="3"/>
        <v>N/A</v>
      </c>
      <c r="O75" s="1321"/>
      <c r="P75" s="1322" t="str">
        <f>IF($D75="Logistics",VLOOKUP($O75,'Upper Cask Movement &amp; Logistics'!$C$4:$D$77,2,FALSE),"N/A")</f>
        <v>N/A</v>
      </c>
    </row>
    <row r="76" spans="1:16" x14ac:dyDescent="0.35">
      <c r="A76" s="88"/>
      <c r="B76" s="3964" t="s">
        <v>1376</v>
      </c>
      <c r="C76" s="1324" t="str">
        <f>'Upper Cask Critical Path'!C101</f>
        <v>Store LIB Pipe Module In Hardware Cask 4</v>
      </c>
      <c r="D76" s="1324" t="s">
        <v>907</v>
      </c>
      <c r="E76" s="1291">
        <f t="shared" si="2"/>
        <v>0</v>
      </c>
      <c r="F76" s="1291">
        <f>IF($D76="Trigger",VLOOKUP($C76,'Upper Cask Critical Path'!$C$7:$F$336,4,FALSE),E76+F75)</f>
        <v>150.60077323797805</v>
      </c>
      <c r="G76" s="825"/>
      <c r="H76" s="1323" t="str">
        <f>IF(D76="operation",VLOOKUP(G76,'Generic Vertical Port Tasks'!C174:D189,2,FALSE),"N/A")</f>
        <v>N/A</v>
      </c>
      <c r="I76" s="1324"/>
      <c r="J76" s="1324"/>
      <c r="K76" s="1324"/>
      <c r="L76" s="1325" t="str">
        <f>IFERROR(INDEX('Upper Cask Movement &amp; Logistics'!$I$24:$O$30,MATCH($J76,'Upper Cask Movement &amp; Logistics'!$H$24:$H$30,0),MATCH($K76,'Upper Cask Movement &amp; Logistics'!$H$24:$H$30,0)),"N/A")</f>
        <v>N/A</v>
      </c>
      <c r="M76" s="1325" t="str">
        <f>IFERROR(VLOOKUP($I76,'Upper Cask Movement &amp; Logistics'!$H$4:$I$8,2,FALSE),"N/A")</f>
        <v>N/A</v>
      </c>
      <c r="N76" s="1326" t="str">
        <f t="shared" si="3"/>
        <v>N/A</v>
      </c>
      <c r="O76" s="1327"/>
      <c r="P76" s="824" t="str">
        <f>IF($D76="Logistics",VLOOKUP($O76,'Upper Cask Movement &amp; Logistics'!$C$4:$D$77,2,FALSE),"N/A")</f>
        <v>N/A</v>
      </c>
    </row>
    <row r="77" spans="1:16" x14ac:dyDescent="0.35">
      <c r="A77" s="88"/>
      <c r="B77" s="3969"/>
      <c r="C77" s="1362" t="s">
        <v>1377</v>
      </c>
      <c r="D77" s="1362" t="s">
        <v>3</v>
      </c>
      <c r="E77" s="1363">
        <f t="shared" si="2"/>
        <v>2.3000000000000003</v>
      </c>
      <c r="F77" s="1363">
        <f>IF($D77="Trigger",VLOOKUP($C77,'Upper Cask Critical Path'!$C$7:$F$336,4,FALSE),E77+F76)</f>
        <v>152.90077323797806</v>
      </c>
      <c r="G77" s="1364"/>
      <c r="H77" s="1365" t="str">
        <f>IF(D77="operation",VLOOKUP(G77,'Generic Vertical Port Tasks'!C174:D189,2,FALSE),"N/A")</f>
        <v>N/A</v>
      </c>
      <c r="I77" s="1362"/>
      <c r="J77" s="1362"/>
      <c r="K77" s="1362"/>
      <c r="L77" s="1366" t="str">
        <f>IFERROR(INDEX('Upper Cask Movement &amp; Logistics'!$I$24:$O$30,MATCH($J77,'Upper Cask Movement &amp; Logistics'!$H$24:$H$30,0),MATCH($K77,'Upper Cask Movement &amp; Logistics'!$H$24:$H$30,0)),"N/A")</f>
        <v>N/A</v>
      </c>
      <c r="M77" s="1366" t="str">
        <f>IFERROR(VLOOKUP($I77,'Upper Cask Movement &amp; Logistics'!$H$4:$I$8,2,FALSE),"N/A")</f>
        <v>N/A</v>
      </c>
      <c r="N77" s="1367" t="str">
        <f t="shared" si="3"/>
        <v>N/A</v>
      </c>
      <c r="O77" s="1368" t="s">
        <v>1269</v>
      </c>
      <c r="P77" s="861">
        <f>IF($D77="Logistics",VLOOKUP($O77,'Upper Cask Movement &amp; Logistics'!$C$4:$D$77,2,FALSE),"N/A")</f>
        <v>2.3000000000000003</v>
      </c>
    </row>
    <row r="78" spans="1:16" x14ac:dyDescent="0.35">
      <c r="A78" s="88"/>
      <c r="B78" s="3965"/>
      <c r="C78" s="1294" t="s">
        <v>1370</v>
      </c>
      <c r="D78" s="1294" t="s">
        <v>778</v>
      </c>
      <c r="E78" s="1292">
        <f t="shared" si="2"/>
        <v>0.69444444444444442</v>
      </c>
      <c r="F78" s="1292">
        <f>IF($D78="Trigger",VLOOKUP($C78,'Upper Cask Critical Path'!$C$7:$F$336,4,FALSE),E78+F77)</f>
        <v>153.59521768242251</v>
      </c>
      <c r="G78" s="862"/>
      <c r="H78" s="1328" t="str">
        <f>IF(D78="operation",VLOOKUP(G78,'Generic Vertical Port Tasks'!C174:D189,2,FALSE),"N/A")</f>
        <v>N/A</v>
      </c>
      <c r="I78" s="1294" t="s">
        <v>1789</v>
      </c>
      <c r="J78" s="1294" t="s">
        <v>901</v>
      </c>
      <c r="K78" s="1294" t="s">
        <v>831</v>
      </c>
      <c r="L78" s="1329">
        <f>IFERROR(INDEX('Upper Cask Movement &amp; Logistics'!$I$24:$O$30,MATCH($J78,'Upper Cask Movement &amp; Logistics'!$H$24:$H$30,0),MATCH($K78,'Upper Cask Movement &amp; Logistics'!$H$24:$H$30,0)),"N/A")</f>
        <v>50</v>
      </c>
      <c r="M78" s="1329">
        <f>IFERROR(VLOOKUP($I78,'Upper Cask Movement &amp; Logistics'!$H$4:$I$8,2,FALSE),"N/A")</f>
        <v>0.02</v>
      </c>
      <c r="N78" s="1330">
        <f t="shared" si="3"/>
        <v>0.69444444444444442</v>
      </c>
      <c r="O78" s="1331"/>
      <c r="P78" s="1332" t="str">
        <f>IF($D78="Logistics",VLOOKUP($O78,'Upper Cask Movement &amp; Logistics'!$C$4:$D$77,2,FALSE),"N/A")</f>
        <v>N/A</v>
      </c>
    </row>
    <row r="79" spans="1:16" x14ac:dyDescent="0.35">
      <c r="A79" s="88"/>
      <c r="B79" s="3965"/>
      <c r="C79" s="1294" t="s">
        <v>1378</v>
      </c>
      <c r="D79" s="1294" t="s">
        <v>3</v>
      </c>
      <c r="E79" s="1292">
        <f t="shared" si="2"/>
        <v>0.68</v>
      </c>
      <c r="F79" s="1292">
        <f>IF($D79="Trigger",VLOOKUP($C79,'Upper Cask Critical Path'!$C$7:$F$336,4,FALSE),E79+F78)</f>
        <v>154.27521768242252</v>
      </c>
      <c r="G79" s="862"/>
      <c r="H79" s="1328" t="str">
        <f>IF(D79="operation",VLOOKUP(G79,'Generic Vertical Port Tasks'!C174:D189,2,FALSE),"N/A")</f>
        <v>N/A</v>
      </c>
      <c r="I79" s="1294"/>
      <c r="J79" s="1294"/>
      <c r="K79" s="1294"/>
      <c r="L79" s="1329" t="str">
        <f>IFERROR(INDEX('Upper Cask Movement &amp; Logistics'!$I$24:$O$30,MATCH($J79,'Upper Cask Movement &amp; Logistics'!$H$24:$H$30,0),MATCH($K79,'Upper Cask Movement &amp; Logistics'!$H$24:$H$30,0)),"N/A")</f>
        <v>N/A</v>
      </c>
      <c r="M79" s="1329" t="str">
        <f>IFERROR(VLOOKUP($I79,'Upper Cask Movement &amp; Logistics'!$H$4:$I$8,2,FALSE),"N/A")</f>
        <v>N/A</v>
      </c>
      <c r="N79" s="1330" t="str">
        <f t="shared" si="3"/>
        <v>N/A</v>
      </c>
      <c r="O79" s="1331" t="s">
        <v>1213</v>
      </c>
      <c r="P79" s="1332">
        <f>IF($D79="Logistics",VLOOKUP($O79,'Upper Cask Movement &amp; Logistics'!$C$4:$D$77,2,FALSE),"N/A")</f>
        <v>0.68</v>
      </c>
    </row>
    <row r="80" spans="1:16" x14ac:dyDescent="0.35">
      <c r="A80" s="88"/>
      <c r="B80" s="3965"/>
      <c r="C80" s="1294" t="s">
        <v>1366</v>
      </c>
      <c r="D80" s="1294" t="s">
        <v>778</v>
      </c>
      <c r="E80" s="1292">
        <f t="shared" si="2"/>
        <v>0.23148148148148148</v>
      </c>
      <c r="F80" s="1292">
        <f>IF($D80="Trigger",VLOOKUP($C80,'Upper Cask Critical Path'!$C$7:$F$336,4,FALSE),E80+F79)</f>
        <v>154.50669916390402</v>
      </c>
      <c r="G80" s="862"/>
      <c r="H80" s="1328" t="str">
        <f>IF(D80="operation",VLOOKUP(G80,'Generic Vertical Port Tasks'!C174:D189,2,FALSE),"N/A")</f>
        <v>N/A</v>
      </c>
      <c r="I80" s="1294" t="s">
        <v>2501</v>
      </c>
      <c r="J80" s="1294" t="s">
        <v>831</v>
      </c>
      <c r="K80" s="1294" t="s">
        <v>901</v>
      </c>
      <c r="L80" s="1329">
        <f>IFERROR(INDEX('Upper Cask Movement &amp; Logistics'!$I$24:$O$30,MATCH($J80,'Upper Cask Movement &amp; Logistics'!$H$24:$H$30,0),MATCH($K80,'Upper Cask Movement &amp; Logistics'!$H$24:$H$30,0)),"N/A")</f>
        <v>50</v>
      </c>
      <c r="M80" s="1329">
        <f>IFERROR(VLOOKUP($I80,'Upper Cask Movement &amp; Logistics'!$H$4:$I$8,2,FALSE),"N/A")</f>
        <v>0.06</v>
      </c>
      <c r="N80" s="1330">
        <f t="shared" si="3"/>
        <v>0.23148148148148148</v>
      </c>
      <c r="O80" s="1331"/>
      <c r="P80" s="1332" t="str">
        <f>IF($D80="Logistics",VLOOKUP($O80,'Upper Cask Movement &amp; Logistics'!$C$4:$D$77,2,FALSE),"N/A")</f>
        <v>N/A</v>
      </c>
    </row>
    <row r="81" spans="1:16" x14ac:dyDescent="0.35">
      <c r="A81" s="88"/>
      <c r="B81" s="3965"/>
      <c r="C81" s="1294" t="s">
        <v>1367</v>
      </c>
      <c r="D81" s="1294" t="s">
        <v>3</v>
      </c>
      <c r="E81" s="1292">
        <f t="shared" si="2"/>
        <v>1.4000000000000001</v>
      </c>
      <c r="F81" s="1292">
        <f>IF($D81="Trigger",VLOOKUP($C81,'Upper Cask Critical Path'!$C$7:$F$336,4,FALSE),E81+F80)</f>
        <v>155.90669916390402</v>
      </c>
      <c r="G81" s="862"/>
      <c r="H81" s="1328" t="str">
        <f>IF(D81="operation",VLOOKUP(G81,'Generic Vertical Port Tasks'!C174:D189,2,FALSE),"N/A")</f>
        <v>N/A</v>
      </c>
      <c r="I81" s="1294"/>
      <c r="J81" s="1294"/>
      <c r="K81" s="1294"/>
      <c r="L81" s="1329" t="str">
        <f>IFERROR(INDEX('Upper Cask Movement &amp; Logistics'!$I$24:$O$30,MATCH($J81,'Upper Cask Movement &amp; Logistics'!$H$24:$H$30,0),MATCH($K81,'Upper Cask Movement &amp; Logistics'!$H$24:$H$30,0)),"N/A")</f>
        <v>N/A</v>
      </c>
      <c r="M81" s="1329" t="str">
        <f>IFERROR(VLOOKUP($I81,'Upper Cask Movement &amp; Logistics'!$H$4:$I$8,2,FALSE),"N/A")</f>
        <v>N/A</v>
      </c>
      <c r="N81" s="1330" t="str">
        <f t="shared" si="3"/>
        <v>N/A</v>
      </c>
      <c r="O81" s="1331" t="s">
        <v>1277</v>
      </c>
      <c r="P81" s="1332">
        <f>IF($D81="Logistics",VLOOKUP($O81,'Upper Cask Movement &amp; Logistics'!$C$4:$D$77,2,FALSE),"N/A")</f>
        <v>1.4000000000000001</v>
      </c>
    </row>
    <row r="82" spans="1:16" ht="13.3" thickBot="1" x14ac:dyDescent="0.4">
      <c r="A82" s="88"/>
      <c r="B82" s="3966"/>
      <c r="C82" s="1340" t="str">
        <f>B76</f>
        <v>LIB Pipe Module stored; Hardware Cask 4 docked</v>
      </c>
      <c r="D82" s="1340" t="s">
        <v>11</v>
      </c>
      <c r="E82" s="1295">
        <f t="shared" si="2"/>
        <v>0</v>
      </c>
      <c r="F82" s="1295">
        <f>IF($D82="Trigger",VLOOKUP($C82,'Upper Cask Critical Path'!$C$7:$F$336,4,FALSE),E82+F81)</f>
        <v>155.90669916390402</v>
      </c>
      <c r="G82" s="839"/>
      <c r="H82" s="1341" t="str">
        <f>IF(D82="operation",VLOOKUP(G82,'Generic Vertical Port Tasks'!C174:D189,2,FALSE),"N/A")</f>
        <v>N/A</v>
      </c>
      <c r="I82" s="1340"/>
      <c r="J82" s="1340"/>
      <c r="K82" s="1340"/>
      <c r="L82" s="1342" t="str">
        <f>IFERROR(INDEX('Upper Cask Movement &amp; Logistics'!$I$24:$O$30,MATCH($J82,'Upper Cask Movement &amp; Logistics'!$H$24:$H$30,0),MATCH($K82,'Upper Cask Movement &amp; Logistics'!$H$24:$H$30,0)),"N/A")</f>
        <v>N/A</v>
      </c>
      <c r="M82" s="1342" t="str">
        <f>IFERROR(VLOOKUP($I82,'Upper Cask Movement &amp; Logistics'!$H$4:$I$8,2,FALSE),"N/A")</f>
        <v>N/A</v>
      </c>
      <c r="N82" s="1343" t="str">
        <f t="shared" si="3"/>
        <v>N/A</v>
      </c>
      <c r="O82" s="1344"/>
      <c r="P82" s="1345" t="str">
        <f>IF($D82="Logistics",VLOOKUP($O82,'Upper Cask Movement &amp; Logistics'!$C$4:$D$77,2,FALSE),"N/A")</f>
        <v>N/A</v>
      </c>
    </row>
    <row r="83" spans="1:16" x14ac:dyDescent="0.35">
      <c r="A83" s="88"/>
      <c r="B83" s="3960" t="s">
        <v>1379</v>
      </c>
      <c r="C83" s="1333" t="str">
        <f>'Upper Cask Critical Path'!C111</f>
        <v>Store RIB Pipe Module In Hardware Cask 4</v>
      </c>
      <c r="D83" s="1333" t="s">
        <v>907</v>
      </c>
      <c r="E83" s="1303">
        <f t="shared" si="2"/>
        <v>0</v>
      </c>
      <c r="F83" s="1303">
        <f>IF($D83="Trigger",VLOOKUP($C83,'Upper Cask Critical Path'!$C$7:$F$336,4,FALSE),E83+F82)</f>
        <v>162.1156887696948</v>
      </c>
      <c r="G83" s="1304"/>
      <c r="H83" s="1305" t="str">
        <f>IF(D83="operation",VLOOKUP(G83,'Generic Vertical Port Tasks'!C174:D189,2,FALSE),"N/A")</f>
        <v>N/A</v>
      </c>
      <c r="I83" s="1333"/>
      <c r="J83" s="1333"/>
      <c r="K83" s="1333"/>
      <c r="L83" s="1334" t="str">
        <f>IFERROR(INDEX('Upper Cask Movement &amp; Logistics'!$I$24:$O$30,MATCH($J83,'Upper Cask Movement &amp; Logistics'!$H$24:$H$30,0),MATCH($K83,'Upper Cask Movement &amp; Logistics'!$H$24:$H$30,0)),"N/A")</f>
        <v>N/A</v>
      </c>
      <c r="M83" s="1334" t="str">
        <f>IFERROR(VLOOKUP($I83,'Upper Cask Movement &amp; Logistics'!$H$4:$I$8,2,FALSE),"N/A")</f>
        <v>N/A</v>
      </c>
      <c r="N83" s="1335" t="str">
        <f t="shared" si="3"/>
        <v>N/A</v>
      </c>
      <c r="O83" s="1336"/>
      <c r="P83" s="1337" t="str">
        <f>IF($D83="Logistics",VLOOKUP($O83,'Upper Cask Movement &amp; Logistics'!$C$4:$D$77,2,FALSE),"N/A")</f>
        <v>N/A</v>
      </c>
    </row>
    <row r="84" spans="1:16" x14ac:dyDescent="0.35">
      <c r="A84" s="88"/>
      <c r="B84" s="3968"/>
      <c r="C84" s="1240" t="s">
        <v>1369</v>
      </c>
      <c r="D84" s="1240" t="s">
        <v>3</v>
      </c>
      <c r="E84" s="1241">
        <f t="shared" si="2"/>
        <v>2.3000000000000003</v>
      </c>
      <c r="F84" s="1241">
        <f>IF($D84="Trigger",VLOOKUP($C84,'Upper Cask Critical Path'!$C$7:$F$336,4,FALSE),E84+F83)</f>
        <v>164.41568876969481</v>
      </c>
      <c r="G84" s="1354"/>
      <c r="H84" s="1355" t="str">
        <f>IF(D84="operation",VLOOKUP(G84,'Generic Vertical Port Tasks'!C174:D189,2,FALSE),"N/A")</f>
        <v>N/A</v>
      </c>
      <c r="I84" s="1240"/>
      <c r="J84" s="1240"/>
      <c r="K84" s="1240"/>
      <c r="L84" s="1242" t="str">
        <f>IFERROR(INDEX('Upper Cask Movement &amp; Logistics'!$I$24:$O$30,MATCH($J84,'Upper Cask Movement &amp; Logistics'!$H$24:$H$30,0),MATCH($K84,'Upper Cask Movement &amp; Logistics'!$H$24:$H$30,0)),"N/A")</f>
        <v>N/A</v>
      </c>
      <c r="M84" s="1242" t="str">
        <f>IFERROR(VLOOKUP($I84,'Upper Cask Movement &amp; Logistics'!$H$4:$I$8,2,FALSE),"N/A")</f>
        <v>N/A</v>
      </c>
      <c r="N84" s="1356" t="str">
        <f t="shared" si="3"/>
        <v>N/A</v>
      </c>
      <c r="O84" s="1357" t="s">
        <v>1269</v>
      </c>
      <c r="P84" s="1358">
        <f>IF($D84="Logistics",VLOOKUP($O84,'Upper Cask Movement &amp; Logistics'!$C$4:$D$77,2,FALSE),"N/A")</f>
        <v>2.3000000000000003</v>
      </c>
    </row>
    <row r="85" spans="1:16" x14ac:dyDescent="0.35">
      <c r="A85" s="88"/>
      <c r="B85" s="3961"/>
      <c r="C85" s="1243" t="s">
        <v>1370</v>
      </c>
      <c r="D85" s="1243" t="s">
        <v>778</v>
      </c>
      <c r="E85" s="1244">
        <f t="shared" si="2"/>
        <v>0.69444444444444442</v>
      </c>
      <c r="F85" s="1244">
        <f>IF($D85="Trigger",VLOOKUP($C85,'Upper Cask Critical Path'!$C$7:$F$336,4,FALSE),E85+F84)</f>
        <v>165.11013321413927</v>
      </c>
      <c r="G85" s="1309"/>
      <c r="H85" s="1310" t="str">
        <f>IF(D85="operation",VLOOKUP(G85,'Generic Vertical Port Tasks'!C174:D189,2,FALSE),"N/A")</f>
        <v>N/A</v>
      </c>
      <c r="I85" s="1243" t="s">
        <v>1789</v>
      </c>
      <c r="J85" s="1243" t="s">
        <v>901</v>
      </c>
      <c r="K85" s="1243" t="s">
        <v>831</v>
      </c>
      <c r="L85" s="1245">
        <f>IFERROR(INDEX('Upper Cask Movement &amp; Logistics'!$I$24:$O$30,MATCH($J85,'Upper Cask Movement &amp; Logistics'!$H$24:$H$30,0),MATCH($K85,'Upper Cask Movement &amp; Logistics'!$H$24:$H$30,0)),"N/A")</f>
        <v>50</v>
      </c>
      <c r="M85" s="1245">
        <f>IFERROR(VLOOKUP($I85,'Upper Cask Movement &amp; Logistics'!$H$4:$I$8,2,FALSE),"N/A")</f>
        <v>0.02</v>
      </c>
      <c r="N85" s="1311">
        <f>IF(D85="Movement",IFERROR((L85/M85)/(60*60),"Error"),"N/A")</f>
        <v>0.69444444444444442</v>
      </c>
      <c r="O85" s="1312"/>
      <c r="P85" s="1313" t="str">
        <f>IF($D85="Logistics",VLOOKUP($O85,'Upper Cask Movement &amp; Logistics'!$C$4:$D$77,2,FALSE),"N/A")</f>
        <v>N/A</v>
      </c>
    </row>
    <row r="86" spans="1:16" x14ac:dyDescent="0.35">
      <c r="A86" s="88"/>
      <c r="B86" s="3961"/>
      <c r="C86" s="1243" t="s">
        <v>1375</v>
      </c>
      <c r="D86" s="1243" t="s">
        <v>3</v>
      </c>
      <c r="E86" s="1244">
        <f t="shared" si="2"/>
        <v>0.68</v>
      </c>
      <c r="F86" s="1244">
        <f>IF($D86="Trigger",VLOOKUP($C86,'Upper Cask Critical Path'!$C$7:$F$336,4,FALSE),E86+F85)</f>
        <v>165.79013321413927</v>
      </c>
      <c r="G86" s="1309"/>
      <c r="H86" s="1310" t="str">
        <f>IF(D86="operation",VLOOKUP(G86,'Generic Vertical Port Tasks'!C174:D189,2,FALSE),"N/A")</f>
        <v>N/A</v>
      </c>
      <c r="I86" s="1243"/>
      <c r="J86" s="1243"/>
      <c r="K86" s="1243"/>
      <c r="L86" s="1245" t="str">
        <f>IFERROR(INDEX('Upper Cask Movement &amp; Logistics'!$I$24:$O$30,MATCH($J86,'Upper Cask Movement &amp; Logistics'!$H$24:$H$30,0),MATCH($K86,'Upper Cask Movement &amp; Logistics'!$H$24:$H$30,0)),"N/A")</f>
        <v>N/A</v>
      </c>
      <c r="M86" s="1245" t="str">
        <f>IFERROR(VLOOKUP($I86,'Upper Cask Movement &amp; Logistics'!$H$4:$I$8,2,FALSE),"N/A")</f>
        <v>N/A</v>
      </c>
      <c r="N86" s="1311" t="str">
        <f t="shared" si="3"/>
        <v>N/A</v>
      </c>
      <c r="O86" s="1312" t="s">
        <v>1213</v>
      </c>
      <c r="P86" s="1313">
        <f>IF($D86="Logistics",VLOOKUP($O86,'Upper Cask Movement &amp; Logistics'!$C$4:$D$77,2,FALSE),"N/A")</f>
        <v>0.68</v>
      </c>
    </row>
    <row r="87" spans="1:16" x14ac:dyDescent="0.35">
      <c r="A87" s="88"/>
      <c r="B87" s="3961"/>
      <c r="C87" s="1249" t="s">
        <v>1362</v>
      </c>
      <c r="D87" s="1249" t="s">
        <v>778</v>
      </c>
      <c r="E87" s="1244">
        <f t="shared" si="2"/>
        <v>9.2592592592592601E-2</v>
      </c>
      <c r="F87" s="1244">
        <f>IF($D87="Trigger",VLOOKUP($C87,'Upper Cask Critical Path'!$C$7:$F$336,4,FALSE),E87+F86)</f>
        <v>165.88272580673186</v>
      </c>
      <c r="G87" s="1309"/>
      <c r="H87" s="1310" t="str">
        <f>IF(D87="operation",VLOOKUP(G87,'Generic Vertical Port Tasks'!C174:D189,2,FALSE),"N/A")</f>
        <v>N/A</v>
      </c>
      <c r="I87" s="1243" t="s">
        <v>2501</v>
      </c>
      <c r="J87" s="1243" t="s">
        <v>831</v>
      </c>
      <c r="K87" s="1243" t="s">
        <v>914</v>
      </c>
      <c r="L87" s="1245">
        <f>IFERROR(INDEX('Upper Cask Movement &amp; Logistics'!$I$24:$O$30,MATCH($J87,'Upper Cask Movement &amp; Logistics'!$H$24:$H$30,0),MATCH($K87,'Upper Cask Movement &amp; Logistics'!$H$24:$H$30,0)),"N/A")</f>
        <v>20</v>
      </c>
      <c r="M87" s="1245">
        <f>IFERROR(VLOOKUP($I87,'Upper Cask Movement &amp; Logistics'!$H$4:$I$8,2,FALSE),"N/A")</f>
        <v>0.06</v>
      </c>
      <c r="N87" s="1311">
        <f t="shared" si="3"/>
        <v>9.2592592592592601E-2</v>
      </c>
      <c r="O87" s="1312"/>
      <c r="P87" s="1313" t="str">
        <f>IF($D87="Logistics",VLOOKUP($O87,'Upper Cask Movement &amp; Logistics'!$C$4:$D$77,2,FALSE),"N/A")</f>
        <v>N/A</v>
      </c>
    </row>
    <row r="88" spans="1:16" x14ac:dyDescent="0.35">
      <c r="A88" s="88"/>
      <c r="B88" s="3961"/>
      <c r="C88" s="1243" t="s">
        <v>1380</v>
      </c>
      <c r="D88" s="1243" t="s">
        <v>3</v>
      </c>
      <c r="E88" s="1244">
        <f t="shared" si="2"/>
        <v>0.48000000000000004</v>
      </c>
      <c r="F88" s="1244">
        <f>IF($D88="Trigger",VLOOKUP($C88,'Upper Cask Critical Path'!$C$7:$F$336,4,FALSE),E88+F87)</f>
        <v>166.36272580673185</v>
      </c>
      <c r="G88" s="1309"/>
      <c r="H88" s="1310" t="str">
        <f>IF(D88="operation",VLOOKUP(G88,'Generic Vertical Port Tasks'!C174:D189,2,FALSE),"N/A")</f>
        <v>N/A</v>
      </c>
      <c r="I88" s="1243"/>
      <c r="J88" s="1243"/>
      <c r="K88" s="1243"/>
      <c r="L88" s="1245" t="str">
        <f>IFERROR(INDEX('Upper Cask Movement &amp; Logistics'!$I$24:$O$30,MATCH($J88,'Upper Cask Movement &amp; Logistics'!$H$24:$H$30,0),MATCH($K88,'Upper Cask Movement &amp; Logistics'!$H$24:$H$30,0)),"N/A")</f>
        <v>N/A</v>
      </c>
      <c r="M88" s="1245" t="str">
        <f>IFERROR(VLOOKUP($I88,'Upper Cask Movement &amp; Logistics'!$H$4:$I$8,2,FALSE),"N/A")</f>
        <v>N/A</v>
      </c>
      <c r="N88" s="1311" t="str">
        <f t="shared" si="3"/>
        <v>N/A</v>
      </c>
      <c r="O88" s="1312" t="s">
        <v>1330</v>
      </c>
      <c r="P88" s="1313">
        <f>IF($D88="Logistics",VLOOKUP($O88,'Upper Cask Movement &amp; Logistics'!$C$4:$D$77,2,FALSE),"N/A")</f>
        <v>0.48000000000000004</v>
      </c>
    </row>
    <row r="89" spans="1:16" x14ac:dyDescent="0.35">
      <c r="A89" s="88"/>
      <c r="B89" s="3961"/>
      <c r="C89" s="1243" t="s">
        <v>1381</v>
      </c>
      <c r="D89" s="1243" t="s">
        <v>778</v>
      </c>
      <c r="E89" s="1244">
        <f t="shared" si="2"/>
        <v>2.7777777777777776E-2</v>
      </c>
      <c r="F89" s="1244">
        <f>IF($D89="Trigger",VLOOKUP($C89,'Upper Cask Critical Path'!$C$7:$F$336,4,FALSE),E89+F88)</f>
        <v>166.39050358450962</v>
      </c>
      <c r="G89" s="1309"/>
      <c r="H89" s="1310" t="str">
        <f>IF(D89="operation",VLOOKUP(G89,'Generic Vertical Port Tasks'!C174:D189,2,FALSE),"N/A")</f>
        <v>N/A</v>
      </c>
      <c r="I89" s="1243" t="s">
        <v>2502</v>
      </c>
      <c r="J89" s="1243" t="s">
        <v>914</v>
      </c>
      <c r="K89" s="1243" t="s">
        <v>799</v>
      </c>
      <c r="L89" s="1245">
        <f>IFERROR(INDEX('Upper Cask Movement &amp; Logistics'!$I$24:$O$30,MATCH($J89,'Upper Cask Movement &amp; Logistics'!$H$24:$H$30,0),MATCH($K89,'Upper Cask Movement &amp; Logistics'!$H$24:$H$30,0)),"N/A")</f>
        <v>20</v>
      </c>
      <c r="M89" s="1245">
        <f>IFERROR(VLOOKUP($I89,'Upper Cask Movement &amp; Logistics'!$H$4:$I$8,2,FALSE),"N/A")</f>
        <v>0.2</v>
      </c>
      <c r="N89" s="1311">
        <f t="shared" si="3"/>
        <v>2.7777777777777776E-2</v>
      </c>
      <c r="O89" s="1312"/>
      <c r="P89" s="1313" t="str">
        <f>IF($D89="Logistics",VLOOKUP($O89,'Upper Cask Movement &amp; Logistics'!$C$4:$D$77,2,FALSE),"N/A")</f>
        <v>N/A</v>
      </c>
    </row>
    <row r="90" spans="1:16" x14ac:dyDescent="0.35">
      <c r="A90" s="88"/>
      <c r="B90" s="3961"/>
      <c r="C90" s="1243" t="s">
        <v>1382</v>
      </c>
      <c r="D90" s="1243" t="s">
        <v>3</v>
      </c>
      <c r="E90" s="1244">
        <f t="shared" si="2"/>
        <v>0.48000000000000004</v>
      </c>
      <c r="F90" s="1244">
        <f>IF($D90="Trigger",VLOOKUP($C90,'Upper Cask Critical Path'!$C$7:$F$336,4,FALSE),E90+F89)</f>
        <v>166.87050358450961</v>
      </c>
      <c r="G90" s="1309"/>
      <c r="H90" s="1310" t="str">
        <f>IF(D90="operation",VLOOKUP(G90,'Generic Vertical Port Tasks'!C174:D189,2,FALSE),"N/A")</f>
        <v>N/A</v>
      </c>
      <c r="I90" s="1243"/>
      <c r="J90" s="1243"/>
      <c r="K90" s="1243"/>
      <c r="L90" s="1245" t="str">
        <f>IFERROR(INDEX('Upper Cask Movement &amp; Logistics'!$I$24:$O$30,MATCH($J90,'Upper Cask Movement &amp; Logistics'!$H$24:$H$30,0),MATCH($K90,'Upper Cask Movement &amp; Logistics'!$H$24:$H$30,0)),"N/A")</f>
        <v>N/A</v>
      </c>
      <c r="M90" s="1245" t="str">
        <f>IFERROR(VLOOKUP($I90,'Upper Cask Movement &amp; Logistics'!$H$4:$I$8,2,FALSE),"N/A")</f>
        <v>N/A</v>
      </c>
      <c r="N90" s="1311" t="str">
        <f t="shared" si="3"/>
        <v>N/A</v>
      </c>
      <c r="O90" s="1312" t="s">
        <v>1331</v>
      </c>
      <c r="P90" s="1313">
        <f>IF($D90="Logistics",VLOOKUP($O90,'Upper Cask Movement &amp; Logistics'!$C$4:$D$77,2,FALSE),"N/A")</f>
        <v>0.48000000000000004</v>
      </c>
    </row>
    <row r="91" spans="1:16" x14ac:dyDescent="0.35">
      <c r="A91" s="88"/>
      <c r="B91" s="3961"/>
      <c r="C91" s="1243" t="s">
        <v>1366</v>
      </c>
      <c r="D91" s="1243" t="s">
        <v>778</v>
      </c>
      <c r="E91" s="1244">
        <f t="shared" si="2"/>
        <v>0.23148148148148148</v>
      </c>
      <c r="F91" s="1244">
        <f>IF($D91="Trigger",VLOOKUP($C91,'Upper Cask Critical Path'!$C$7:$F$336,4,FALSE),E91+F90)</f>
        <v>167.1019850659911</v>
      </c>
      <c r="G91" s="1309"/>
      <c r="H91" s="1310" t="str">
        <f>IF(D91="operation",VLOOKUP(G91,'Generic Vertical Port Tasks'!C174:D189,2,FALSE),"N/A")</f>
        <v>N/A</v>
      </c>
      <c r="I91" s="1243" t="s">
        <v>2501</v>
      </c>
      <c r="J91" s="1243" t="s">
        <v>799</v>
      </c>
      <c r="K91" s="1243" t="s">
        <v>901</v>
      </c>
      <c r="L91" s="1245">
        <f>IFERROR(INDEX('Upper Cask Movement &amp; Logistics'!$I$24:$O$30,MATCH($J91,'Upper Cask Movement &amp; Logistics'!$H$24:$H$30,0),MATCH($K91,'Upper Cask Movement &amp; Logistics'!$H$24:$H$30,0)),"N/A")</f>
        <v>50</v>
      </c>
      <c r="M91" s="1245">
        <f>IFERROR(VLOOKUP($I91,'Upper Cask Movement &amp; Logistics'!$H$4:$I$8,2,FALSE),"N/A")</f>
        <v>0.06</v>
      </c>
      <c r="N91" s="1311">
        <f t="shared" si="3"/>
        <v>0.23148148148148148</v>
      </c>
      <c r="O91" s="1312"/>
      <c r="P91" s="1313" t="str">
        <f>IF($D91="Logistics",VLOOKUP($O91,'Upper Cask Movement &amp; Logistics'!$C$4:$D$77,2,FALSE),"N/A")</f>
        <v>N/A</v>
      </c>
    </row>
    <row r="92" spans="1:16" x14ac:dyDescent="0.35">
      <c r="A92" s="88"/>
      <c r="B92" s="3961"/>
      <c r="C92" s="1243" t="s">
        <v>1383</v>
      </c>
      <c r="D92" s="1243" t="s">
        <v>3</v>
      </c>
      <c r="E92" s="1244">
        <f t="shared" si="2"/>
        <v>1.4000000000000001</v>
      </c>
      <c r="F92" s="1244">
        <f>IF($D92="Trigger",VLOOKUP($C92,'Upper Cask Critical Path'!$C$7:$F$336,4,FALSE),E92+F91)</f>
        <v>168.50198506599111</v>
      </c>
      <c r="G92" s="1309"/>
      <c r="H92" s="1310" t="str">
        <f>IF(D92="operation",VLOOKUP(G92,'Generic Vertical Port Tasks'!C174:D189,2,FALSE),"N/A")</f>
        <v>N/A</v>
      </c>
      <c r="I92" s="1243"/>
      <c r="J92" s="1243"/>
      <c r="K92" s="1243"/>
      <c r="L92" s="1245" t="str">
        <f>IFERROR(INDEX('Upper Cask Movement &amp; Logistics'!$I$24:$O$30,MATCH($J92,'Upper Cask Movement &amp; Logistics'!$H$24:$H$30,0),MATCH($K92,'Upper Cask Movement &amp; Logistics'!$H$24:$H$30,0)),"N/A")</f>
        <v>N/A</v>
      </c>
      <c r="M92" s="1245" t="str">
        <f>IFERROR(VLOOKUP($I92,'Upper Cask Movement &amp; Logistics'!$H$4:$I$8,2,FALSE),"N/A")</f>
        <v>N/A</v>
      </c>
      <c r="N92" s="1311" t="str">
        <f t="shared" si="3"/>
        <v>N/A</v>
      </c>
      <c r="O92" s="1312" t="s">
        <v>1277</v>
      </c>
      <c r="P92" s="1313">
        <f>IF($D92="Logistics",VLOOKUP($O92,'Upper Cask Movement &amp; Logistics'!$C$4:$D$77,2,FALSE),"N/A")</f>
        <v>1.4000000000000001</v>
      </c>
    </row>
    <row r="93" spans="1:16" ht="13.3" thickBot="1" x14ac:dyDescent="0.4">
      <c r="A93" s="88"/>
      <c r="B93" s="3963"/>
      <c r="C93" s="1314" t="str">
        <f>B83</f>
        <v>RIB Pipe Module stored; Hardware Cask 4 stored; Hardware Cask 5 collected; Hardware Cask 5 docked</v>
      </c>
      <c r="D93" s="1314" t="s">
        <v>11</v>
      </c>
      <c r="E93" s="1316">
        <f t="shared" si="2"/>
        <v>0</v>
      </c>
      <c r="F93" s="1316">
        <f>IF($D93="Trigger",VLOOKUP($C93,'Upper Cask Critical Path'!$C$7:$F$336,4,FALSE),E93+F92)</f>
        <v>168.50198506599111</v>
      </c>
      <c r="G93" s="1317"/>
      <c r="H93" s="1318" t="str">
        <f>IF(D93="operation",VLOOKUP(G93,'Generic Vertical Port Tasks'!C174:D189,2,FALSE),"N/A")</f>
        <v>N/A</v>
      </c>
      <c r="I93" s="1314"/>
      <c r="J93" s="1314"/>
      <c r="K93" s="1314"/>
      <c r="L93" s="1319" t="str">
        <f>IFERROR(INDEX('Upper Cask Movement &amp; Logistics'!$I$24:$O$30,MATCH($J93,'Upper Cask Movement &amp; Logistics'!$H$24:$H$30,0),MATCH($K93,'Upper Cask Movement &amp; Logistics'!$H$24:$H$30,0)),"N/A")</f>
        <v>N/A</v>
      </c>
      <c r="M93" s="1319" t="str">
        <f>IFERROR(VLOOKUP($I93,'Upper Cask Movement &amp; Logistics'!$H$4:$I$8,2,FALSE),"N/A")</f>
        <v>N/A</v>
      </c>
      <c r="N93" s="1320" t="str">
        <f t="shared" si="3"/>
        <v>N/A</v>
      </c>
      <c r="O93" s="1321"/>
      <c r="P93" s="1322" t="str">
        <f>IF($D93="Logistics",VLOOKUP($O93,'Upper Cask Movement &amp; Logistics'!$C$4:$D$77,2,FALSE),"N/A")</f>
        <v>N/A</v>
      </c>
    </row>
    <row r="94" spans="1:16" x14ac:dyDescent="0.35">
      <c r="A94" s="88"/>
      <c r="B94" s="3964" t="s">
        <v>1384</v>
      </c>
      <c r="C94" s="1324" t="str">
        <f>'Upper Cask Critical Path'!C113</f>
        <v>Un-Dock Equipment Cask 2</v>
      </c>
      <c r="D94" s="1324" t="s">
        <v>907</v>
      </c>
      <c r="E94" s="1291">
        <f t="shared" si="2"/>
        <v>0</v>
      </c>
      <c r="F94" s="1291">
        <f>IF($D94="Trigger",VLOOKUP($C94,'Upper Cask Critical Path'!$C$7:$F$336,4,FALSE),E94+F93)</f>
        <v>165.03568876969479</v>
      </c>
      <c r="G94" s="825"/>
      <c r="H94" s="1323" t="str">
        <f>IF(D94="operation",VLOOKUP(G94,'Generic Vertical Port Tasks'!C174:D189,2,FALSE),"N/A")</f>
        <v>N/A</v>
      </c>
      <c r="I94" s="1324"/>
      <c r="J94" s="1324"/>
      <c r="K94" s="1324"/>
      <c r="L94" s="1325" t="str">
        <f>IFERROR(INDEX('Upper Cask Movement &amp; Logistics'!$I$24:$O$30,MATCH($J94,'Upper Cask Movement &amp; Logistics'!$H$24:$H$30,0),MATCH($K94,'Upper Cask Movement &amp; Logistics'!$H$24:$H$30,0)),"N/A")</f>
        <v>N/A</v>
      </c>
      <c r="M94" s="1325" t="str">
        <f>IFERROR(VLOOKUP($I94,'Upper Cask Movement &amp; Logistics'!$H$4:$I$8,2,FALSE),"N/A")</f>
        <v>N/A</v>
      </c>
      <c r="N94" s="1326" t="str">
        <f t="shared" si="3"/>
        <v>N/A</v>
      </c>
      <c r="O94" s="1327"/>
      <c r="P94" s="824" t="str">
        <f>IF($D94="Logistics",VLOOKUP($O94,'Upper Cask Movement &amp; Logistics'!$C$4:$D$77,2,FALSE),"N/A")</f>
        <v>N/A</v>
      </c>
    </row>
    <row r="95" spans="1:16" x14ac:dyDescent="0.35">
      <c r="A95" s="88"/>
      <c r="B95" s="3965"/>
      <c r="C95" s="1294" t="s">
        <v>1385</v>
      </c>
      <c r="D95" s="1294" t="s">
        <v>3</v>
      </c>
      <c r="E95" s="1292">
        <f t="shared" si="2"/>
        <v>0.5</v>
      </c>
      <c r="F95" s="1292">
        <f>IF($D95="Trigger",VLOOKUP($C95,'Upper Cask Critical Path'!$C$7:$F$336,4,FALSE),E95+F94)</f>
        <v>165.53568876969479</v>
      </c>
      <c r="G95" s="862"/>
      <c r="H95" s="1328" t="str">
        <f>IF(D95="operation",VLOOKUP(G95,'Generic Vertical Port Tasks'!C174:D189,2,FALSE),"N/A")</f>
        <v>N/A</v>
      </c>
      <c r="I95" s="1294"/>
      <c r="J95" s="1294"/>
      <c r="K95" s="1294"/>
      <c r="L95" s="1329" t="str">
        <f>IFERROR(INDEX('Upper Cask Movement &amp; Logistics'!$I$24:$O$30,MATCH($J95,'Upper Cask Movement &amp; Logistics'!$H$24:$H$30,0),MATCH($K95,'Upper Cask Movement &amp; Logistics'!$H$24:$H$30,0)),"N/A")</f>
        <v>N/A</v>
      </c>
      <c r="M95" s="1329" t="str">
        <f>IFERROR(VLOOKUP($I95,'Upper Cask Movement &amp; Logistics'!$H$4:$I$8,2,FALSE),"N/A")</f>
        <v>N/A</v>
      </c>
      <c r="N95" s="1330" t="str">
        <f t="shared" si="3"/>
        <v>N/A</v>
      </c>
      <c r="O95" s="1331" t="s">
        <v>1208</v>
      </c>
      <c r="P95" s="1332">
        <f>IF($D95="Logistics",VLOOKUP($O95,'Upper Cask Movement &amp; Logistics'!$C$4:$D$77,2,FALSE),"N/A")</f>
        <v>0.5</v>
      </c>
    </row>
    <row r="96" spans="1:16" x14ac:dyDescent="0.35">
      <c r="A96" s="88"/>
      <c r="B96" s="3965"/>
      <c r="C96" s="1294" t="s">
        <v>1386</v>
      </c>
      <c r="D96" s="1294" t="s">
        <v>3</v>
      </c>
      <c r="E96" s="1292">
        <f t="shared" si="2"/>
        <v>0.48000000000000004</v>
      </c>
      <c r="F96" s="1292">
        <f>IF($D96="Trigger",VLOOKUP($C96,'Upper Cask Critical Path'!$C$7:$F$336,4,FALSE),E96+F95)</f>
        <v>166.01568876969478</v>
      </c>
      <c r="G96" s="862"/>
      <c r="H96" s="1328" t="str">
        <f>IF(D96="operation",VLOOKUP(G96,'Generic Vertical Port Tasks'!C174:D189,2,FALSE),"N/A")</f>
        <v>N/A</v>
      </c>
      <c r="I96" s="1294"/>
      <c r="J96" s="1294"/>
      <c r="K96" s="1294"/>
      <c r="L96" s="1329" t="str">
        <f>IFERROR(INDEX('Upper Cask Movement &amp; Logistics'!$I$24:$O$30,MATCH($J96,'Upper Cask Movement &amp; Logistics'!$H$24:$H$30,0),MATCH($K96,'Upper Cask Movement &amp; Logistics'!$H$24:$H$30,0)),"N/A")</f>
        <v>N/A</v>
      </c>
      <c r="M96" s="1329" t="str">
        <f>IFERROR(VLOOKUP($I96,'Upper Cask Movement &amp; Logistics'!$H$4:$I$8,2,FALSE),"N/A")</f>
        <v>N/A</v>
      </c>
      <c r="N96" s="1330" t="str">
        <f t="shared" si="3"/>
        <v>N/A</v>
      </c>
      <c r="O96" s="1331" t="s">
        <v>1331</v>
      </c>
      <c r="P96" s="1332">
        <f>IF($D96="Logistics",VLOOKUP($O96,'Upper Cask Movement &amp; Logistics'!$C$4:$D$77,2,FALSE),"N/A")</f>
        <v>0.48000000000000004</v>
      </c>
    </row>
    <row r="97" spans="1:17" x14ac:dyDescent="0.35">
      <c r="A97" s="88"/>
      <c r="B97" s="3965"/>
      <c r="C97" s="1294" t="s">
        <v>1387</v>
      </c>
      <c r="D97" s="1294" t="s">
        <v>778</v>
      </c>
      <c r="E97" s="1292">
        <f t="shared" si="2"/>
        <v>0.69444444444444442</v>
      </c>
      <c r="F97" s="1292">
        <f>IF($D97="Trigger",VLOOKUP($C97,'Upper Cask Critical Path'!$C$7:$F$336,4,FALSE),E97+F96)</f>
        <v>166.71013321413923</v>
      </c>
      <c r="G97" s="862"/>
      <c r="H97" s="1328" t="str">
        <f>IF(D97="operation",VLOOKUP(G97,'Generic Vertical Port Tasks'!C174:D189,2,FALSE),"N/A")</f>
        <v>N/A</v>
      </c>
      <c r="I97" s="1294" t="s">
        <v>1789</v>
      </c>
      <c r="J97" s="1294" t="s">
        <v>799</v>
      </c>
      <c r="K97" s="1294" t="s">
        <v>901</v>
      </c>
      <c r="L97" s="1329">
        <f>IFERROR(INDEX('Upper Cask Movement &amp; Logistics'!$I$24:$O$30,MATCH($J97,'Upper Cask Movement &amp; Logistics'!$H$24:$H$30,0),MATCH($K97,'Upper Cask Movement &amp; Logistics'!$H$24:$H$30,0)),"N/A")</f>
        <v>50</v>
      </c>
      <c r="M97" s="1329">
        <f>IFERROR(VLOOKUP($I97,'Upper Cask Movement &amp; Logistics'!$H$4:$I$8,2,FALSE),"N/A")</f>
        <v>0.02</v>
      </c>
      <c r="N97" s="1330">
        <f t="shared" si="3"/>
        <v>0.69444444444444442</v>
      </c>
      <c r="O97" s="1331"/>
      <c r="P97" s="1332" t="str">
        <f>IF($D97="Logistics",VLOOKUP($O97,'Upper Cask Movement &amp; Logistics'!$C$4:$D$77,2,FALSE),"N/A")</f>
        <v>N/A</v>
      </c>
    </row>
    <row r="98" spans="1:17" ht="13.3" thickBot="1" x14ac:dyDescent="0.4">
      <c r="A98" s="88"/>
      <c r="B98" s="3965"/>
      <c r="C98" s="1294" t="str">
        <f>B94</f>
        <v>Equipment Cask 3 collected; Equipment Cask 3 moved to equipment stillage</v>
      </c>
      <c r="D98" s="1294" t="s">
        <v>11</v>
      </c>
      <c r="E98" s="1292">
        <f t="shared" si="2"/>
        <v>0</v>
      </c>
      <c r="F98" s="1292">
        <f>IF($D98="Trigger",VLOOKUP($C98,'Upper Cask Critical Path'!$C$7:$F$336,4,FALSE),E98+F97)</f>
        <v>166.71013321413923</v>
      </c>
      <c r="G98" s="862"/>
      <c r="H98" s="1328" t="str">
        <f>IF(D98="operation",VLOOKUP(G98,'Generic Vertical Port Tasks'!C174:D189,2,FALSE),"N/A")</f>
        <v>N/A</v>
      </c>
      <c r="I98" s="1294"/>
      <c r="J98" s="1294"/>
      <c r="K98" s="1294"/>
      <c r="L98" s="1329" t="str">
        <f>IFERROR(INDEX('Upper Cask Movement &amp; Logistics'!$I$24:$O$30,MATCH($J98,'Upper Cask Movement &amp; Logistics'!$H$24:$H$30,0),MATCH($K98,'Upper Cask Movement &amp; Logistics'!$H$24:$H$30,0)),"N/A")</f>
        <v>N/A</v>
      </c>
      <c r="M98" s="1329" t="str">
        <f>IFERROR(VLOOKUP($I98,'Upper Cask Movement &amp; Logistics'!$H$4:$I$8,2,FALSE),"N/A")</f>
        <v>N/A</v>
      </c>
      <c r="N98" s="1330" t="str">
        <f t="shared" si="3"/>
        <v>N/A</v>
      </c>
      <c r="O98" s="1331"/>
      <c r="P98" s="1332" t="str">
        <f>IF($D98="Logistics",VLOOKUP($O98,'Upper Cask Movement &amp; Logistics'!$C$4:$D$77,2,FALSE),"N/A")</f>
        <v>N/A</v>
      </c>
    </row>
    <row r="99" spans="1:17" x14ac:dyDescent="0.35">
      <c r="A99" s="88"/>
      <c r="B99" s="3960" t="s">
        <v>1388</v>
      </c>
      <c r="C99" s="1333" t="str">
        <f>'Upper Cask Critical Path'!C113</f>
        <v>Un-Dock Equipment Cask 2</v>
      </c>
      <c r="D99" s="1333" t="s">
        <v>907</v>
      </c>
      <c r="E99" s="1303">
        <f t="shared" si="2"/>
        <v>0</v>
      </c>
      <c r="F99" s="1303">
        <f>IF($D99="Trigger",VLOOKUP($C99,'Upper Cask Critical Path'!$C$7:$F$336,4,FALSE),E99+F98)</f>
        <v>165.03568876969479</v>
      </c>
      <c r="G99" s="1304"/>
      <c r="H99" s="1305" t="str">
        <f>IF(D99="operation",VLOOKUP(G99,'Generic Vertical Port Tasks'!C174:D189,2,FALSE),"N/A")</f>
        <v>N/A</v>
      </c>
      <c r="I99" s="1333"/>
      <c r="J99" s="1333"/>
      <c r="K99" s="1333"/>
      <c r="L99" s="1334" t="str">
        <f>IFERROR(INDEX('Upper Cask Movement &amp; Logistics'!$I$24:$O$30,MATCH($J99,'Upper Cask Movement &amp; Logistics'!$H$24:$H$30,0),MATCH($K99,'Upper Cask Movement &amp; Logistics'!$H$24:$H$30,0)),"N/A")</f>
        <v>N/A</v>
      </c>
      <c r="M99" s="1334" t="str">
        <f>IFERROR(VLOOKUP($I99,'Upper Cask Movement &amp; Logistics'!$H$4:$I$8,2,FALSE),"N/A")</f>
        <v>N/A</v>
      </c>
      <c r="N99" s="1335" t="str">
        <f t="shared" si="3"/>
        <v>N/A</v>
      </c>
      <c r="O99" s="1336"/>
      <c r="P99" s="1337" t="str">
        <f>IF($D99="Logistics",VLOOKUP($O99,'Upper Cask Movement &amp; Logistics'!$C$4:$D$77,2,FALSE),"N/A")</f>
        <v>N/A</v>
      </c>
    </row>
    <row r="100" spans="1:17" x14ac:dyDescent="0.35">
      <c r="A100" s="88"/>
      <c r="B100" s="3961"/>
      <c r="C100" s="1243" t="s">
        <v>1345</v>
      </c>
      <c r="D100" s="1243" t="s">
        <v>778</v>
      </c>
      <c r="E100" s="1244">
        <f t="shared" si="2"/>
        <v>0.69444444444444442</v>
      </c>
      <c r="F100" s="1244">
        <f>IF($D100="Trigger",VLOOKUP($C100,'Upper Cask Critical Path'!$C$7:$F$336,4,FALSE),E100+F99)</f>
        <v>165.73013321413924</v>
      </c>
      <c r="G100" s="1309"/>
      <c r="H100" s="1310" t="str">
        <f>IF(D100="operation",VLOOKUP(G100,'Generic Vertical Port Tasks'!C174:D189,2,FALSE),"N/A")</f>
        <v>N/A</v>
      </c>
      <c r="I100" s="1243" t="s">
        <v>1789</v>
      </c>
      <c r="J100" s="1243" t="s">
        <v>816</v>
      </c>
      <c r="K100" s="1243" t="s">
        <v>914</v>
      </c>
      <c r="L100" s="1245">
        <f>IFERROR(INDEX('Upper Cask Movement &amp; Logistics'!$I$24:$O$30,MATCH($J100,'Upper Cask Movement &amp; Logistics'!$H$24:$H$30,0),MATCH($K100,'Upper Cask Movement &amp; Logistics'!$H$24:$H$30,0)),"N/A")</f>
        <v>50</v>
      </c>
      <c r="M100" s="1245">
        <f>IFERROR(VLOOKUP($I100,'Upper Cask Movement &amp; Logistics'!$H$4:$I$8,2,FALSE),"N/A")</f>
        <v>0.02</v>
      </c>
      <c r="N100" s="1311">
        <f t="shared" si="3"/>
        <v>0.69444444444444442</v>
      </c>
      <c r="O100" s="1312"/>
      <c r="P100" s="1313" t="str">
        <f>IF($D100="Logistics",VLOOKUP($O100,'Upper Cask Movement &amp; Logistics'!$C$4:$D$77,2,FALSE),"N/A")</f>
        <v>N/A</v>
      </c>
    </row>
    <row r="101" spans="1:17" x14ac:dyDescent="0.35">
      <c r="A101" s="88"/>
      <c r="B101" s="3962"/>
      <c r="C101" s="1249" t="s">
        <v>1389</v>
      </c>
      <c r="D101" s="1249" t="s">
        <v>3</v>
      </c>
      <c r="E101" s="1250">
        <f t="shared" si="2"/>
        <v>0.48000000000000004</v>
      </c>
      <c r="F101" s="1250">
        <f>IF($D101="Trigger",VLOOKUP($C101,'Upper Cask Critical Path'!$C$7:$F$336,4,FALSE),E101+F100)</f>
        <v>166.21013321413923</v>
      </c>
      <c r="G101" s="1338"/>
      <c r="H101" s="1359" t="str">
        <f>IF(D101="operation",VLOOKUP(G101,'Generic Vertical Port Tasks'!C174:D189,2,FALSE),"N/A")</f>
        <v>N/A</v>
      </c>
      <c r="I101" s="1249"/>
      <c r="J101" s="1249"/>
      <c r="K101" s="1249"/>
      <c r="L101" s="1245" t="str">
        <f>IFERROR(INDEX('Upper Cask Movement &amp; Logistics'!$I$24:$O$30,MATCH($J101,'Upper Cask Movement &amp; Logistics'!$H$24:$H$30,0),MATCH($K101,'Upper Cask Movement &amp; Logistics'!$H$24:$H$30,0)),"N/A")</f>
        <v>N/A</v>
      </c>
      <c r="M101" s="1245" t="str">
        <f>IFERROR(VLOOKUP($I101,'Upper Cask Movement &amp; Logistics'!$H$4:$I$8,2,FALSE),"N/A")</f>
        <v>N/A</v>
      </c>
      <c r="N101" s="1311" t="str">
        <f t="shared" si="3"/>
        <v>N/A</v>
      </c>
      <c r="O101" s="1339" t="s">
        <v>1330</v>
      </c>
      <c r="P101" s="1313">
        <f>IF($D101="Logistics",VLOOKUP($O101,'Upper Cask Movement &amp; Logistics'!$C$4:$D$77,2,FALSE),"N/A")</f>
        <v>0.48000000000000004</v>
      </c>
    </row>
    <row r="102" spans="1:17" x14ac:dyDescent="0.35">
      <c r="A102" s="88"/>
      <c r="B102" s="3962"/>
      <c r="C102" s="1249" t="s">
        <v>1338</v>
      </c>
      <c r="D102" s="1249" t="s">
        <v>778</v>
      </c>
      <c r="E102" s="1250">
        <f t="shared" si="2"/>
        <v>9.2592592592592601E-2</v>
      </c>
      <c r="F102" s="1250">
        <f>IF($D102="Trigger",VLOOKUP($C102,'Upper Cask Critical Path'!$C$7:$F$336,4,FALSE),E102+F101)</f>
        <v>166.30272580673181</v>
      </c>
      <c r="G102" s="1338"/>
      <c r="H102" s="1359" t="str">
        <f>IF(D102="operation",VLOOKUP(G102,'Generic Vertical Port Tasks'!C174:D189,2,FALSE),"N/A")</f>
        <v>N/A</v>
      </c>
      <c r="I102" s="1243" t="s">
        <v>2503</v>
      </c>
      <c r="J102" s="1249" t="s">
        <v>914</v>
      </c>
      <c r="K102" s="1249" t="s">
        <v>799</v>
      </c>
      <c r="L102" s="1245">
        <f>IFERROR(INDEX('Upper Cask Movement &amp; Logistics'!$I$24:$O$30,MATCH($J102,'Upper Cask Movement &amp; Logistics'!$H$24:$H$30,0),MATCH($K102,'Upper Cask Movement &amp; Logistics'!$H$24:$H$30,0)),"N/A")</f>
        <v>20</v>
      </c>
      <c r="M102" s="1245">
        <f>IFERROR(VLOOKUP($I102,'Upper Cask Movement &amp; Logistics'!$H$4:$I$8,2,FALSE),"N/A")</f>
        <v>0.06</v>
      </c>
      <c r="N102" s="1311">
        <f t="shared" si="3"/>
        <v>9.2592592592592601E-2</v>
      </c>
      <c r="O102" s="1339"/>
      <c r="P102" s="1313" t="str">
        <f>IF($D102="Logistics",VLOOKUP($O102,'Upper Cask Movement &amp; Logistics'!$C$4:$D$77,2,FALSE),"N/A")</f>
        <v>N/A</v>
      </c>
    </row>
    <row r="103" spans="1:17" x14ac:dyDescent="0.35">
      <c r="A103" s="88"/>
      <c r="B103" s="3962"/>
      <c r="C103" s="1249" t="s">
        <v>1390</v>
      </c>
      <c r="D103" s="1249" t="s">
        <v>3</v>
      </c>
      <c r="E103" s="1250">
        <f t="shared" si="2"/>
        <v>0.48000000000000004</v>
      </c>
      <c r="F103" s="1250">
        <f>IF($D103="Trigger",VLOOKUP($C103,'Upper Cask Critical Path'!$C$7:$F$336,4,FALSE),E103+F102)</f>
        <v>166.7827258067318</v>
      </c>
      <c r="G103" s="1338"/>
      <c r="H103" s="1359" t="str">
        <f>IF(D103="operation",VLOOKUP(G103,'Generic Vertical Port Tasks'!C174:D189,2,FALSE),"N/A")</f>
        <v>N/A</v>
      </c>
      <c r="I103" s="1249"/>
      <c r="J103" s="1249"/>
      <c r="K103" s="1249"/>
      <c r="L103" s="1245" t="str">
        <f>IFERROR(INDEX('Upper Cask Movement &amp; Logistics'!$I$24:$O$30,MATCH($J103,'Upper Cask Movement &amp; Logistics'!$H$24:$H$30,0),MATCH($K103,'Upper Cask Movement &amp; Logistics'!$H$24:$H$30,0)),"N/A")</f>
        <v>N/A</v>
      </c>
      <c r="M103" s="1245" t="str">
        <f>IFERROR(VLOOKUP($I103,'Upper Cask Movement &amp; Logistics'!$H$4:$I$8,2,FALSE),"N/A")</f>
        <v>N/A</v>
      </c>
      <c r="N103" s="1311" t="str">
        <f>IF(D103="Movement",IFERROR((L103/M103)/(60*60),"Error"),"N/A")</f>
        <v>N/A</v>
      </c>
      <c r="O103" s="1339" t="s">
        <v>1331</v>
      </c>
      <c r="P103" s="1313">
        <f>IF($D103="Logistics",VLOOKUP($O103,'Upper Cask Movement &amp; Logistics'!$C$4:$D$77,2,FALSE),"N/A")</f>
        <v>0.48000000000000004</v>
      </c>
    </row>
    <row r="104" spans="1:17" x14ac:dyDescent="0.35">
      <c r="A104" s="88"/>
      <c r="B104" s="3962"/>
      <c r="C104" s="1249" t="s">
        <v>1340</v>
      </c>
      <c r="D104" s="1249" t="s">
        <v>778</v>
      </c>
      <c r="E104" s="1250">
        <f t="shared" si="2"/>
        <v>0.69444444444444442</v>
      </c>
      <c r="F104" s="1250">
        <f>IF($D104="Trigger",VLOOKUP($C104,'Upper Cask Critical Path'!$C$7:$F$336,4,FALSE),E104+F103)</f>
        <v>167.47717025117626</v>
      </c>
      <c r="G104" s="1338"/>
      <c r="H104" s="1359" t="str">
        <f>IF(D104="operation",VLOOKUP(G104,'Generic Vertical Port Tasks'!C174:D189,2,FALSE),"N/A")</f>
        <v>N/A</v>
      </c>
      <c r="I104" s="1249" t="s">
        <v>1789</v>
      </c>
      <c r="J104" s="1249" t="s">
        <v>799</v>
      </c>
      <c r="K104" s="1249" t="s">
        <v>901</v>
      </c>
      <c r="L104" s="1245">
        <f>IFERROR(INDEX('Upper Cask Movement &amp; Logistics'!$I$24:$O$30,MATCH($J104,'Upper Cask Movement &amp; Logistics'!$H$24:$H$30,0),MATCH($K104,'Upper Cask Movement &amp; Logistics'!$H$24:$H$30,0)),"N/A")</f>
        <v>50</v>
      </c>
      <c r="M104" s="1245">
        <f>IFERROR(VLOOKUP($I104,'Upper Cask Movement &amp; Logistics'!$H$4:$I$8,2,FALSE),"N/A")</f>
        <v>0.02</v>
      </c>
      <c r="N104" s="1311">
        <f>IF(D104="Movement",IFERROR((L104/M104)/(60*60),"Error"),"N/A")</f>
        <v>0.69444444444444442</v>
      </c>
      <c r="O104" s="1339"/>
      <c r="P104" s="1313" t="str">
        <f>IF($D104="Logistics",VLOOKUP($O104,'Upper Cask Movement &amp; Logistics'!$C$4:$D$77,2,FALSE),"N/A")</f>
        <v>N/A</v>
      </c>
    </row>
    <row r="105" spans="1:17" x14ac:dyDescent="0.35">
      <c r="A105" s="88"/>
      <c r="B105" s="3962"/>
      <c r="C105" s="1249" t="s">
        <v>1391</v>
      </c>
      <c r="D105" s="1249" t="s">
        <v>3</v>
      </c>
      <c r="E105" s="1250">
        <f t="shared" si="2"/>
        <v>1.4000000000000001</v>
      </c>
      <c r="F105" s="1250">
        <f>IF($D105="Trigger",VLOOKUP($C105,'Upper Cask Critical Path'!$C$7:$F$336,4,FALSE),E105+F104)</f>
        <v>168.87717025117627</v>
      </c>
      <c r="G105" s="1338"/>
      <c r="H105" s="1359" t="str">
        <f>IF(D105="operation",VLOOKUP(G105,'Generic Vertical Port Tasks'!C174:D189,2,FALSE),"N/A")</f>
        <v>N/A</v>
      </c>
      <c r="I105" s="1249"/>
      <c r="J105" s="1249"/>
      <c r="K105" s="1249"/>
      <c r="L105" s="1245" t="str">
        <f>IFERROR(INDEX('Upper Cask Movement &amp; Logistics'!$I$24:$O$30,MATCH($J105,'Upper Cask Movement &amp; Logistics'!$H$24:$H$30,0),MATCH($K105,'Upper Cask Movement &amp; Logistics'!$H$24:$H$30,0)),"N/A")</f>
        <v>N/A</v>
      </c>
      <c r="M105" s="1245" t="str">
        <f>IFERROR(VLOOKUP($I105,'Upper Cask Movement &amp; Logistics'!$H$4:$I$8,2,FALSE),"N/A")</f>
        <v>N/A</v>
      </c>
      <c r="N105" s="1311" t="str">
        <f>IF(D105="Movement",IFERROR((L105/M105)/(60*60),"Error"),"N/A")</f>
        <v>N/A</v>
      </c>
      <c r="O105" s="1339" t="s">
        <v>1277</v>
      </c>
      <c r="P105" s="1313">
        <f>IF($D105="Logistics",VLOOKUP($O105,'Upper Cask Movement &amp; Logistics'!$C$4:$D$77,2,FALSE),"N/A")</f>
        <v>1.4000000000000001</v>
      </c>
    </row>
    <row r="106" spans="1:17" ht="13.3" thickBot="1" x14ac:dyDescent="0.4">
      <c r="A106" s="88"/>
      <c r="B106" s="3963"/>
      <c r="C106" s="1314" t="str">
        <f>B99</f>
        <v>Equipment Cask 2 stored; Hardware Cask 6 Collected; Hardware Cask 6 docked</v>
      </c>
      <c r="D106" s="1314" t="s">
        <v>11</v>
      </c>
      <c r="E106" s="1316">
        <f t="shared" si="2"/>
        <v>0</v>
      </c>
      <c r="F106" s="1316">
        <f>IF($D106="Trigger",VLOOKUP($C106,'Upper Cask Critical Path'!$C$7:$F$336,4,FALSE),E106+F105)</f>
        <v>168.87717025117627</v>
      </c>
      <c r="G106" s="1317"/>
      <c r="H106" s="1318" t="str">
        <f>IF(D106="operation",VLOOKUP(G106,'Generic Vertical Port Tasks'!C174:D189,2,FALSE),"N/A")</f>
        <v>N/A</v>
      </c>
      <c r="I106" s="1314"/>
      <c r="J106" s="1314"/>
      <c r="K106" s="1314"/>
      <c r="L106" s="1319" t="str">
        <f>IFERROR(INDEX('Upper Cask Movement &amp; Logistics'!$I$24:$O$30,MATCH($J106,'Upper Cask Movement &amp; Logistics'!$H$24:$H$30,0),MATCH($K106,'Upper Cask Movement &amp; Logistics'!$H$24:$H$30,0)),"N/A")</f>
        <v>N/A</v>
      </c>
      <c r="M106" s="1319" t="str">
        <f>IFERROR(VLOOKUP($I106,'Upper Cask Movement &amp; Logistics'!$H$4:$I$8,2,FALSE),"N/A")</f>
        <v>N/A</v>
      </c>
      <c r="N106" s="1320" t="str">
        <f t="shared" ref="N106:N156" si="4">IF(D106="Movement",IFERROR((L106/M106)/(60*60),"Error"),"N/A")</f>
        <v>N/A</v>
      </c>
      <c r="O106" s="1321"/>
      <c r="P106" s="1322" t="str">
        <f>IF($D106="Logistics",VLOOKUP($O106,'Upper Cask Movement &amp; Logistics'!$C$4:$D$77,2,FALSE),"N/A")</f>
        <v>N/A</v>
      </c>
    </row>
    <row r="107" spans="1:17" customFormat="1" ht="14.6" x14ac:dyDescent="0.4">
      <c r="A107" s="88"/>
      <c r="B107" s="3820" t="s">
        <v>844</v>
      </c>
      <c r="C107" s="596" t="s">
        <v>0</v>
      </c>
      <c r="D107" s="596" t="s">
        <v>907</v>
      </c>
      <c r="E107" s="593">
        <f t="shared" si="2"/>
        <v>0</v>
      </c>
      <c r="F107" s="593">
        <f>IF($D107="Trigger",VLOOKUP($C107,'Upper Hot Cell Critical Path'!$C$3:$F$322,4,FALSE),E107+F106)</f>
        <v>0</v>
      </c>
      <c r="G107" s="594"/>
      <c r="H107" s="595" t="str">
        <f>IF(D107="operation",VLOOKUP(G107,'Generic Vertical Port Tasks'!C190:D191,2,FALSE),"N/A")</f>
        <v>N/A</v>
      </c>
      <c r="I107" s="596"/>
      <c r="J107" s="596"/>
      <c r="K107" s="596"/>
      <c r="L107" s="597" t="str">
        <f>IFERROR(INDEX('Upper Cask Movement &amp; Logistics'!$I$24:$O$30,MATCH($J107,'Upper Cask Movement &amp; Logistics'!$H$24:$H$30,0),MATCH($K107,'Upper Cask Movement &amp; Logistics'!$H$24:$H$30,0)),"N/A")</f>
        <v>N/A</v>
      </c>
      <c r="M107" s="597" t="str">
        <f>IFERROR(VLOOKUP($I107,'Upper Hot Cell Logistics'!$H$4:$I$9,2,FALSE),"N/A")</f>
        <v>N/A</v>
      </c>
      <c r="N107" s="598" t="str">
        <f t="shared" si="4"/>
        <v>N/A</v>
      </c>
      <c r="O107" s="599"/>
      <c r="P107" s="600" t="str">
        <f>IF($D107="Logistics",VLOOKUP($O107,'Upper Hot Cell Logistics'!$C$4:$D$51,2,FALSE),"N/A")</f>
        <v>N/A</v>
      </c>
      <c r="Q107" s="89"/>
    </row>
    <row r="108" spans="1:17" customFormat="1" ht="25.75" x14ac:dyDescent="0.4">
      <c r="A108" s="88"/>
      <c r="B108" s="3821"/>
      <c r="C108" s="622" t="s">
        <v>944</v>
      </c>
      <c r="D108" s="622" t="s">
        <v>251</v>
      </c>
      <c r="E108" s="602">
        <f>MAX($P108,$N108,$H108)</f>
        <v>173.17045591518612</v>
      </c>
      <c r="F108" s="602">
        <f>IF($D108="Trigger",VLOOKUP($C108,'Upper Hot Cell Critical Path'!$C$3:$F$322,4,FALSE),E108+F107)</f>
        <v>173.17045591518612</v>
      </c>
      <c r="G108" s="603" t="s">
        <v>945</v>
      </c>
      <c r="H108" s="608">
        <f>VLOOKUP(G108,'Lower Cask Critical Path'!C:F,4, FALSE)</f>
        <v>173.17045591518612</v>
      </c>
      <c r="I108" s="601"/>
      <c r="J108" s="601"/>
      <c r="K108" s="601"/>
      <c r="L108" s="605" t="str">
        <f>IFERROR(INDEX('Upper Cask Movement &amp; Logistics'!$I$24:$O$30,MATCH($J108,'Upper Cask Movement &amp; Logistics'!$H$24:$H$30,0),MATCH($K108,'Upper Cask Movement &amp; Logistics'!$H$24:$H$30,0)),"N/A")</f>
        <v>N/A</v>
      </c>
      <c r="M108" s="605" t="str">
        <f>IFERROR(VLOOKUP($I108,'Upper Hot Cell Logistics'!$H$4:$I$9,2,FALSE),"N/A")</f>
        <v>N/A</v>
      </c>
      <c r="N108" s="606" t="str">
        <f t="shared" si="4"/>
        <v>N/A</v>
      </c>
      <c r="O108" s="607"/>
      <c r="P108" s="608" t="str">
        <f>IF($D108="Logistics",VLOOKUP($O108,'Upper Hot Cell Logistics'!$C$4:$D$51,2,FALSE),"N/A")</f>
        <v>N/A</v>
      </c>
      <c r="Q108" s="89"/>
    </row>
    <row r="109" spans="1:17" customFormat="1" ht="15" thickBot="1" x14ac:dyDescent="0.45">
      <c r="A109" s="88"/>
      <c r="B109" s="3822"/>
      <c r="C109" s="609" t="str">
        <f>B107</f>
        <v>Lower Port COB Pipe Module Removed</v>
      </c>
      <c r="D109" s="609" t="s">
        <v>11</v>
      </c>
      <c r="E109" s="602">
        <f>MAX($P109,$N109,$H109)</f>
        <v>0</v>
      </c>
      <c r="F109" s="602">
        <f>IF($D109="Trigger",VLOOKUP($C109,'Upper Hot Cell Critical Path'!$C$3:$F$322,4,FALSE),E109+F108)</f>
        <v>173.17045591518612</v>
      </c>
      <c r="G109" s="603"/>
      <c r="H109" s="604" t="str">
        <f>IF(D109="operation",VLOOKUP(G109,'Generic Vertical Port Tasks'!C190:D192,2,FALSE),"N/A")</f>
        <v>N/A</v>
      </c>
      <c r="I109" s="601"/>
      <c r="J109" s="601"/>
      <c r="K109" s="601"/>
      <c r="L109" s="605" t="str">
        <f>IFERROR(INDEX('Upper Cask Movement &amp; Logistics'!$I$24:$O$30,MATCH($J109,'Upper Cask Movement &amp; Logistics'!$H$24:$H$30,0),MATCH($K109,'Upper Cask Movement &amp; Logistics'!$H$24:$H$30,0)),"N/A")</f>
        <v>N/A</v>
      </c>
      <c r="M109" s="605" t="str">
        <f>IFERROR(VLOOKUP($I109,'Upper Hot Cell Logistics'!$H$4:$I$9,2,FALSE),"N/A")</f>
        <v>N/A</v>
      </c>
      <c r="N109" s="606" t="str">
        <f t="shared" si="4"/>
        <v>N/A</v>
      </c>
      <c r="O109" s="607"/>
      <c r="P109" s="608" t="str">
        <f>IF($D109="Logistics",VLOOKUP($O109,'Upper Hot Cell Logistics'!$C$4:$D$51,2,FALSE),"N/A")</f>
        <v>N/A</v>
      </c>
      <c r="Q109" s="89"/>
    </row>
    <row r="110" spans="1:17" s="8" customFormat="1" ht="14.6" x14ac:dyDescent="0.4">
      <c r="A110" s="623"/>
      <c r="B110" s="3787" t="s">
        <v>845</v>
      </c>
      <c r="C110" s="617" t="s">
        <v>0</v>
      </c>
      <c r="D110" s="617" t="s">
        <v>907</v>
      </c>
      <c r="E110" s="567">
        <f t="shared" si="2"/>
        <v>0</v>
      </c>
      <c r="F110" s="567">
        <f>IF($D110="Trigger",VLOOKUP($C110,'Upper Hot Cell Critical Path'!$C$3:$F$322,4,FALSE),E110+F109)</f>
        <v>0</v>
      </c>
      <c r="G110" s="568"/>
      <c r="H110" s="569" t="str">
        <f>IF(D110="operation",VLOOKUP(G110,'Generic Vertical Port Tasks'!C190:D192,2,FALSE),"N/A")</f>
        <v>N/A</v>
      </c>
      <c r="I110" s="617"/>
      <c r="J110" s="617"/>
      <c r="K110" s="617"/>
      <c r="L110" s="618" t="str">
        <f>IFERROR(INDEX('Upper Cask Movement &amp; Logistics'!$I$24:$O$30,MATCH($J110,'Upper Cask Movement &amp; Logistics'!$H$24:$H$30,0),MATCH($K110,'Upper Cask Movement &amp; Logistics'!$H$24:$H$30,0)),"N/A")</f>
        <v>N/A</v>
      </c>
      <c r="M110" s="618" t="str">
        <f>IFERROR(VLOOKUP($I110,'Upper Hot Cell Logistics'!$H$4:$I$9,2,FALSE),"N/A")</f>
        <v>N/A</v>
      </c>
      <c r="N110" s="619" t="str">
        <f>IF(D110="Movement",IFERROR((L110/M110)/(60*60),"Error"),"N/A")</f>
        <v>N/A</v>
      </c>
      <c r="O110" s="620"/>
      <c r="P110" s="621" t="str">
        <f>IF($D110="Logistics",VLOOKUP($O110,'Upper Hot Cell Logistics'!$C$4:$D$51,2,FALSE),"N/A")</f>
        <v>N/A</v>
      </c>
      <c r="Q110" s="624"/>
    </row>
    <row r="111" spans="1:17" s="8" customFormat="1" ht="25.75" x14ac:dyDescent="0.4">
      <c r="A111" s="623"/>
      <c r="B111" s="3786"/>
      <c r="C111" s="625" t="s">
        <v>946</v>
      </c>
      <c r="D111" s="625" t="s">
        <v>251</v>
      </c>
      <c r="E111" s="574">
        <f t="shared" si="2"/>
        <v>183.26047571109939</v>
      </c>
      <c r="F111" s="574">
        <f>IF($D111="Trigger",VLOOKUP($C111,'Upper Hot Cell Critical Path'!$C$3:$F$322,4,FALSE),E111+F110)</f>
        <v>183.26047571109939</v>
      </c>
      <c r="G111" s="575" t="s">
        <v>947</v>
      </c>
      <c r="H111" s="580">
        <f>VLOOKUP(G111,'Lower Cask Critical Path'!C:F,4, FALSE)</f>
        <v>183.26047571109939</v>
      </c>
      <c r="I111" s="572"/>
      <c r="J111" s="572"/>
      <c r="K111" s="572"/>
      <c r="L111" s="577" t="str">
        <f>IFERROR(INDEX('Upper Cask Movement &amp; Logistics'!$I$24:$O$30,MATCH($J111,'Upper Cask Movement &amp; Logistics'!$H$24:$H$30,0),MATCH($K111,'Upper Cask Movement &amp; Logistics'!$H$24:$H$30,0)),"N/A")</f>
        <v>N/A</v>
      </c>
      <c r="M111" s="577" t="str">
        <f>IFERROR(VLOOKUP($I111,'Upper Hot Cell Logistics'!$H$4:$I$9,2,FALSE),"N/A")</f>
        <v>N/A</v>
      </c>
      <c r="N111" s="578" t="str">
        <f>IF(D111="Movement",IFERROR((L111/M111)/(60*60),"Error"),"N/A")</f>
        <v>N/A</v>
      </c>
      <c r="O111" s="579"/>
      <c r="P111" s="580" t="str">
        <f>IF($D111="Logistics",VLOOKUP($O111,'Upper Hot Cell Logistics'!$C$4:$D$51,2,FALSE),"N/A")</f>
        <v>N/A</v>
      </c>
      <c r="Q111" s="624"/>
    </row>
    <row r="112" spans="1:17" s="8" customFormat="1" ht="15" thickBot="1" x14ac:dyDescent="0.45">
      <c r="A112" s="623"/>
      <c r="B112" s="3788"/>
      <c r="C112" s="583" t="str">
        <f>B110</f>
        <v>Lower Port LOB Pipe Module Removed</v>
      </c>
      <c r="D112" s="583" t="s">
        <v>11</v>
      </c>
      <c r="E112" s="574">
        <f t="shared" si="2"/>
        <v>0</v>
      </c>
      <c r="F112" s="574">
        <f>IF($D112="Trigger",VLOOKUP($C112,'Upper Hot Cell Critical Path'!$C$3:$F$322,4,FALSE),E112+F111)</f>
        <v>183.26047571109939</v>
      </c>
      <c r="G112" s="575"/>
      <c r="H112" s="576" t="str">
        <f>IF(D112="operation",VLOOKUP(G112,'Generic Vertical Port Tasks'!C190:D194,2,FALSE),"N/A")</f>
        <v>N/A</v>
      </c>
      <c r="I112" s="572"/>
      <c r="J112" s="572"/>
      <c r="K112" s="572"/>
      <c r="L112" s="577" t="str">
        <f>IFERROR(INDEX('Upper Cask Movement &amp; Logistics'!$I$24:$O$30,MATCH($J112,'Upper Cask Movement &amp; Logistics'!$H$24:$H$30,0),MATCH($K112,'Upper Cask Movement &amp; Logistics'!$H$24:$H$30,0)),"N/A")</f>
        <v>N/A</v>
      </c>
      <c r="M112" s="577" t="str">
        <f>IFERROR(VLOOKUP($I112,'Upper Hot Cell Logistics'!$H$4:$I$9,2,FALSE),"N/A")</f>
        <v>N/A</v>
      </c>
      <c r="N112" s="578" t="str">
        <f>IF(D112="Movement",IFERROR((L112/M112)/(60*60),"Error"),"N/A")</f>
        <v>N/A</v>
      </c>
      <c r="O112" s="579"/>
      <c r="P112" s="580" t="str">
        <f>IF($D112="Logistics",VLOOKUP($O112,'Upper Hot Cell Logistics'!$C$4:$D$51,2,FALSE),"N/A")</f>
        <v>N/A</v>
      </c>
      <c r="Q112" s="624"/>
    </row>
    <row r="113" spans="1:17" customFormat="1" ht="14.6" x14ac:dyDescent="0.4">
      <c r="A113" s="88"/>
      <c r="B113" s="3820" t="s">
        <v>846</v>
      </c>
      <c r="C113" s="596" t="s">
        <v>0</v>
      </c>
      <c r="D113" s="596" t="s">
        <v>907</v>
      </c>
      <c r="E113" s="593">
        <f t="shared" si="2"/>
        <v>0</v>
      </c>
      <c r="F113" s="593">
        <f>IF($D113="Trigger",VLOOKUP($C113,'Upper Hot Cell Critical Path'!$C$3:$F$322,4,FALSE),E113+F112)</f>
        <v>0</v>
      </c>
      <c r="G113" s="594"/>
      <c r="H113" s="595" t="str">
        <f>IF(D113="operation",VLOOKUP(G113,'Generic Vertical Port Tasks'!C190:D195,2,FALSE),"N/A")</f>
        <v>N/A</v>
      </c>
      <c r="I113" s="596"/>
      <c r="J113" s="596"/>
      <c r="K113" s="596"/>
      <c r="L113" s="597" t="str">
        <f>IFERROR(INDEX('Upper Cask Movement &amp; Logistics'!$I$24:$O$30,MATCH($J113,'Upper Cask Movement &amp; Logistics'!$H$24:$H$30,0),MATCH($K113,'Upper Cask Movement &amp; Logistics'!$H$24:$H$30,0)),"N/A")</f>
        <v>N/A</v>
      </c>
      <c r="M113" s="597" t="str">
        <f>IFERROR(VLOOKUP($I113,'Upper Hot Cell Logistics'!$H$4:$I$9,2,FALSE),"N/A")</f>
        <v>N/A</v>
      </c>
      <c r="N113" s="598" t="str">
        <f>IF(D113="Movement",IFERROR((L113/M113)/(60*60),"Error"),"N/A")</f>
        <v>N/A</v>
      </c>
      <c r="O113" s="599"/>
      <c r="P113" s="600" t="str">
        <f>IF($D113="Logistics",VLOOKUP($O113,'Upper Hot Cell Logistics'!$C$4:$D$51,2,FALSE),"N/A")</f>
        <v>N/A</v>
      </c>
      <c r="Q113" s="89"/>
    </row>
    <row r="114" spans="1:17" customFormat="1" ht="25.75" x14ac:dyDescent="0.4">
      <c r="A114" s="88"/>
      <c r="B114" s="3821"/>
      <c r="C114" s="622" t="s">
        <v>948</v>
      </c>
      <c r="D114" s="622" t="s">
        <v>251</v>
      </c>
      <c r="E114" s="602">
        <f t="shared" si="2"/>
        <v>184.93049550701264</v>
      </c>
      <c r="F114" s="602">
        <f>IF($D114="Trigger",VLOOKUP($C114,'Upper Hot Cell Critical Path'!$C$3:$F$322,4,FALSE),E114+F113)</f>
        <v>184.93049550701264</v>
      </c>
      <c r="G114" s="603" t="s">
        <v>949</v>
      </c>
      <c r="H114" s="608">
        <f>VLOOKUP(G114,'Lower Cask Critical Path'!C:F,4, FALSE)</f>
        <v>184.93049550701264</v>
      </c>
      <c r="I114" s="601"/>
      <c r="J114" s="601"/>
      <c r="K114" s="601"/>
      <c r="L114" s="605" t="str">
        <f>IFERROR(INDEX('Upper Cask Movement &amp; Logistics'!$I$24:$O$30,MATCH($J114,'Upper Cask Movement &amp; Logistics'!$H$24:$H$30,0),MATCH($K114,'Upper Cask Movement &amp; Logistics'!$H$24:$H$30,0)),"N/A")</f>
        <v>N/A</v>
      </c>
      <c r="M114" s="605" t="str">
        <f>IFERROR(VLOOKUP($I114,'Upper Hot Cell Logistics'!$H$4:$I$9,2,FALSE),"N/A")</f>
        <v>N/A</v>
      </c>
      <c r="N114" s="606" t="str">
        <f>IF(D114="Movement",IFERROR((L114/M114)/(60*60),"Error"),"N/A")</f>
        <v>N/A</v>
      </c>
      <c r="O114" s="607"/>
      <c r="P114" s="608" t="str">
        <f>IF($D114="Logistics",VLOOKUP($O114,'Upper Hot Cell Logistics'!$C$4:$D$51,2,FALSE),"N/A")</f>
        <v>N/A</v>
      </c>
      <c r="Q114" s="89"/>
    </row>
    <row r="115" spans="1:17" customFormat="1" ht="15" thickBot="1" x14ac:dyDescent="0.45">
      <c r="A115" s="88"/>
      <c r="B115" s="3822"/>
      <c r="C115" s="609" t="str">
        <f>B113</f>
        <v>Lower Port ROB Pipe Module Removed</v>
      </c>
      <c r="D115" s="609" t="s">
        <v>11</v>
      </c>
      <c r="E115" s="602">
        <f t="shared" si="2"/>
        <v>0</v>
      </c>
      <c r="F115" s="602">
        <f>IF($D115="Trigger",VLOOKUP($C115,'Upper Hot Cell Critical Path'!$C$3:$F$322,4,FALSE),E115+F114)</f>
        <v>184.93049550701264</v>
      </c>
      <c r="G115" s="603"/>
      <c r="H115" s="604" t="str">
        <f>IF(D115="operation",VLOOKUP(G115,'Generic Vertical Port Tasks'!C190:D196,2,FALSE),"N/A")</f>
        <v>N/A</v>
      </c>
      <c r="I115" s="601"/>
      <c r="J115" s="601"/>
      <c r="K115" s="601"/>
      <c r="L115" s="605" t="str">
        <f>IFERROR(INDEX('Upper Cask Movement &amp; Logistics'!$I$24:$O$30,MATCH($J115,'Upper Cask Movement &amp; Logistics'!$H$24:$H$30,0),MATCH($K115,'Upper Cask Movement &amp; Logistics'!$H$24:$H$30,0)),"N/A")</f>
        <v>N/A</v>
      </c>
      <c r="M115" s="605" t="str">
        <f>IFERROR(VLOOKUP($I115,'Upper Hot Cell Logistics'!$H$4:$I$9,2,FALSE),"N/A")</f>
        <v>N/A</v>
      </c>
      <c r="N115" s="606" t="str">
        <f t="shared" ref="N115:N120" si="5">IF(D115="Movement",IFERROR((L115/M115)/(60*60),"Error"),"N/A")</f>
        <v>N/A</v>
      </c>
      <c r="O115" s="607"/>
      <c r="P115" s="608" t="str">
        <f>IF($D115="Logistics",VLOOKUP($O115,'Upper Hot Cell Logistics'!$C$4:$D$51,2,FALSE),"N/A")</f>
        <v>N/A</v>
      </c>
      <c r="Q115" s="89"/>
    </row>
    <row r="116" spans="1:17" s="8" customFormat="1" ht="14.6" x14ac:dyDescent="0.4">
      <c r="A116" s="623"/>
      <c r="B116" s="3787" t="s">
        <v>847</v>
      </c>
      <c r="C116" s="617" t="s">
        <v>0</v>
      </c>
      <c r="D116" s="617" t="s">
        <v>907</v>
      </c>
      <c r="E116" s="567">
        <f t="shared" si="2"/>
        <v>0</v>
      </c>
      <c r="F116" s="567">
        <f>IF($D116="Trigger",VLOOKUP($C116,'Upper Hot Cell Critical Path'!$C$3:$F$322,4,FALSE),E116+F115)</f>
        <v>0</v>
      </c>
      <c r="G116" s="568"/>
      <c r="H116" s="569" t="str">
        <f>IF(D116="operation",VLOOKUP(G116,'Generic Vertical Port Tasks'!C190:D197,2,FALSE),"N/A")</f>
        <v>N/A</v>
      </c>
      <c r="I116" s="617"/>
      <c r="J116" s="617"/>
      <c r="K116" s="617"/>
      <c r="L116" s="618" t="str">
        <f>IFERROR(INDEX('Upper Cask Movement &amp; Logistics'!$I$24:$O$30,MATCH($J116,'Upper Cask Movement &amp; Logistics'!$H$24:$H$30,0),MATCH($K116,'Upper Cask Movement &amp; Logistics'!$H$24:$H$30,0)),"N/A")</f>
        <v>N/A</v>
      </c>
      <c r="M116" s="618" t="str">
        <f>IFERROR(VLOOKUP($I116,'Upper Hot Cell Logistics'!$H$4:$I$9,2,FALSE),"N/A")</f>
        <v>N/A</v>
      </c>
      <c r="N116" s="619" t="str">
        <f t="shared" si="5"/>
        <v>N/A</v>
      </c>
      <c r="O116" s="620"/>
      <c r="P116" s="621" t="str">
        <f>IF($D116="Logistics",VLOOKUP($O116,'Upper Hot Cell Logistics'!$C$4:$D$51,2,FALSE),"N/A")</f>
        <v>N/A</v>
      </c>
      <c r="Q116" s="624"/>
    </row>
    <row r="117" spans="1:17" s="8" customFormat="1" ht="25.75" x14ac:dyDescent="0.4">
      <c r="A117" s="623"/>
      <c r="B117" s="3786"/>
      <c r="C117" s="625" t="s">
        <v>950</v>
      </c>
      <c r="D117" s="625" t="s">
        <v>251</v>
      </c>
      <c r="E117" s="574">
        <f t="shared" si="2"/>
        <v>191.03051530292589</v>
      </c>
      <c r="F117" s="574">
        <f>IF($D117="Trigger",VLOOKUP($C117,'Upper Hot Cell Critical Path'!$C$3:$F$322,4,FALSE),E117+F116)</f>
        <v>191.03051530292589</v>
      </c>
      <c r="G117" s="575" t="s">
        <v>951</v>
      </c>
      <c r="H117" s="580">
        <f>VLOOKUP(G117,'Lower Cask Critical Path'!C:F,4, FALSE)</f>
        <v>191.03051530292589</v>
      </c>
      <c r="I117" s="572"/>
      <c r="J117" s="572"/>
      <c r="K117" s="572"/>
      <c r="L117" s="577" t="str">
        <f>IFERROR(INDEX('Upper Cask Movement &amp; Logistics'!$I$24:$O$30,MATCH($J117,'Upper Cask Movement &amp; Logistics'!$H$24:$H$30,0),MATCH($K117,'Upper Cask Movement &amp; Logistics'!$H$24:$H$30,0)),"N/A")</f>
        <v>N/A</v>
      </c>
      <c r="M117" s="577" t="str">
        <f>IFERROR(VLOOKUP($I117,'Upper Hot Cell Logistics'!$H$4:$I$9,2,FALSE),"N/A")</f>
        <v>N/A</v>
      </c>
      <c r="N117" s="578" t="str">
        <f t="shared" si="5"/>
        <v>N/A</v>
      </c>
      <c r="O117" s="579"/>
      <c r="P117" s="580" t="str">
        <f>IF($D117="Logistics",VLOOKUP($O117,'Upper Hot Cell Logistics'!$C$4:$D$51,2,FALSE),"N/A")</f>
        <v>N/A</v>
      </c>
      <c r="Q117" s="624"/>
    </row>
    <row r="118" spans="1:17" s="8" customFormat="1" ht="15" thickBot="1" x14ac:dyDescent="0.45">
      <c r="A118" s="623"/>
      <c r="B118" s="3788"/>
      <c r="C118" s="583" t="str">
        <f>B116</f>
        <v>Lower Port LIB Pipe Module Removed</v>
      </c>
      <c r="D118" s="583" t="s">
        <v>11</v>
      </c>
      <c r="E118" s="574">
        <f t="shared" si="2"/>
        <v>0</v>
      </c>
      <c r="F118" s="574">
        <f>IF($D118="Trigger",VLOOKUP($C118,'Upper Hot Cell Critical Path'!$C$3:$F$322,4,FALSE),E118+F117)</f>
        <v>191.03051530292589</v>
      </c>
      <c r="G118" s="575"/>
      <c r="H118" s="576" t="str">
        <f>IF(D118="operation",VLOOKUP(G118,'Generic Vertical Port Tasks'!C190:D199,2,FALSE),"N/A")</f>
        <v>N/A</v>
      </c>
      <c r="I118" s="572"/>
      <c r="J118" s="572"/>
      <c r="K118" s="572"/>
      <c r="L118" s="577" t="str">
        <f>IFERROR(INDEX('Upper Cask Movement &amp; Logistics'!$I$24:$O$30,MATCH($J118,'Upper Cask Movement &amp; Logistics'!$H$24:$H$30,0),MATCH($K118,'Upper Cask Movement &amp; Logistics'!$H$24:$H$30,0)),"N/A")</f>
        <v>N/A</v>
      </c>
      <c r="M118" s="577" t="str">
        <f>IFERROR(VLOOKUP($I118,'Upper Hot Cell Logistics'!$H$4:$I$9,2,FALSE),"N/A")</f>
        <v>N/A</v>
      </c>
      <c r="N118" s="578" t="str">
        <f t="shared" si="5"/>
        <v>N/A</v>
      </c>
      <c r="O118" s="579"/>
      <c r="P118" s="580" t="str">
        <f>IF($D118="Logistics",VLOOKUP($O118,'Upper Hot Cell Logistics'!$C$4:$D$51,2,FALSE),"N/A")</f>
        <v>N/A</v>
      </c>
      <c r="Q118" s="624"/>
    </row>
    <row r="119" spans="1:17" customFormat="1" ht="14.6" x14ac:dyDescent="0.4">
      <c r="A119" s="88"/>
      <c r="B119" s="3820" t="s">
        <v>848</v>
      </c>
      <c r="C119" s="596" t="s">
        <v>0</v>
      </c>
      <c r="D119" s="1324" t="s">
        <v>907</v>
      </c>
      <c r="E119" s="593">
        <f t="shared" si="2"/>
        <v>0</v>
      </c>
      <c r="F119" s="593">
        <f>IF($D119="Trigger",VLOOKUP($C119,'Upper Hot Cell Critical Path'!$C$3:$F$322,4,FALSE),E119+F118)</f>
        <v>0</v>
      </c>
      <c r="G119" s="594"/>
      <c r="H119" s="595" t="str">
        <f>IF(D119="operation",VLOOKUP(G119,'Generic Vertical Port Tasks'!C190:D201,2,FALSE),"N/A")</f>
        <v>N/A</v>
      </c>
      <c r="I119" s="596"/>
      <c r="J119" s="596"/>
      <c r="K119" s="596"/>
      <c r="L119" s="597" t="str">
        <f>IFERROR(INDEX('Upper Cask Movement &amp; Logistics'!$I$24:$O$30,MATCH($J119,'Upper Cask Movement &amp; Logistics'!$H$24:$H$30,0),MATCH($K119,'Upper Cask Movement &amp; Logistics'!$H$24:$H$30,0)),"N/A")</f>
        <v>N/A</v>
      </c>
      <c r="M119" s="597" t="str">
        <f>IFERROR(VLOOKUP($I119,'Upper Hot Cell Logistics'!$H$4:$I$9,2,FALSE),"N/A")</f>
        <v>N/A</v>
      </c>
      <c r="N119" s="598" t="str">
        <f t="shared" si="5"/>
        <v>N/A</v>
      </c>
      <c r="O119" s="599"/>
      <c r="P119" s="600" t="str">
        <f>IF($D119="Logistics",VLOOKUP($O119,'Upper Hot Cell Logistics'!$C$4:$D$51,2,FALSE),"N/A")</f>
        <v>N/A</v>
      </c>
      <c r="Q119" s="89"/>
    </row>
    <row r="120" spans="1:17" customFormat="1" ht="25.75" x14ac:dyDescent="0.4">
      <c r="A120" s="88"/>
      <c r="B120" s="3821"/>
      <c r="C120" s="622" t="s">
        <v>952</v>
      </c>
      <c r="D120" s="622" t="s">
        <v>251</v>
      </c>
      <c r="E120" s="602">
        <f t="shared" si="2"/>
        <v>192.70053509883914</v>
      </c>
      <c r="F120" s="602">
        <f>IF($D120="Trigger",VLOOKUP($C120,'Upper Hot Cell Critical Path'!$C$3:$F$322,4,FALSE),E120+F119)</f>
        <v>192.70053509883914</v>
      </c>
      <c r="G120" s="603" t="s">
        <v>953</v>
      </c>
      <c r="H120" s="608">
        <f>VLOOKUP(G120,'Lower Cask Critical Path'!C:F,4, FALSE)</f>
        <v>192.70053509883914</v>
      </c>
      <c r="I120" s="601"/>
      <c r="J120" s="601"/>
      <c r="K120" s="601"/>
      <c r="L120" s="605" t="str">
        <f>IFERROR(INDEX('Upper Cask Movement &amp; Logistics'!$I$24:$O$30,MATCH($J120,'Upper Cask Movement &amp; Logistics'!$H$24:$H$30,0),MATCH($K120,'Upper Cask Movement &amp; Logistics'!$H$24:$H$30,0)),"N/A")</f>
        <v>N/A</v>
      </c>
      <c r="M120" s="605" t="str">
        <f>IFERROR(VLOOKUP($I120,'Upper Hot Cell Logistics'!$H$4:$I$9,2,FALSE),"N/A")</f>
        <v>N/A</v>
      </c>
      <c r="N120" s="606" t="str">
        <f t="shared" si="5"/>
        <v>N/A</v>
      </c>
      <c r="O120" s="607"/>
      <c r="P120" s="608" t="str">
        <f>IF($D120="Logistics",VLOOKUP($O120,'Upper Hot Cell Logistics'!$C$4:$D$51,2,FALSE),"N/A")</f>
        <v>N/A</v>
      </c>
      <c r="Q120" s="89"/>
    </row>
    <row r="121" spans="1:17" customFormat="1" ht="15" thickBot="1" x14ac:dyDescent="0.45">
      <c r="A121" s="88"/>
      <c r="B121" s="3822"/>
      <c r="C121" s="609" t="str">
        <f>B119</f>
        <v>Lower Port RIB Pipe Module Removed</v>
      </c>
      <c r="D121" s="609" t="s">
        <v>11</v>
      </c>
      <c r="E121" s="602">
        <f t="shared" si="2"/>
        <v>0</v>
      </c>
      <c r="F121" s="602">
        <f>IF($D121="Trigger",VLOOKUP($C121,'Upper Hot Cell Critical Path'!$C$3:$F$322,4,FALSE),E121+F120)</f>
        <v>192.70053509883914</v>
      </c>
      <c r="G121" s="603"/>
      <c r="H121" s="604" t="str">
        <f>IF(D121="operation",VLOOKUP(G121,'Generic Vertical Port Tasks'!C191:D204,2,FALSE),"N/A")</f>
        <v>N/A</v>
      </c>
      <c r="I121" s="601"/>
      <c r="J121" s="601"/>
      <c r="K121" s="601"/>
      <c r="L121" s="605" t="str">
        <f>IFERROR(INDEX('Upper Cask Movement &amp; Logistics'!$I$24:$O$30,MATCH($J121,'Upper Cask Movement &amp; Logistics'!$H$24:$H$30,0),MATCH($K121,'Upper Cask Movement &amp; Logistics'!$H$24:$H$30,0)),"N/A")</f>
        <v>N/A</v>
      </c>
      <c r="M121" s="605" t="str">
        <f>IFERROR(VLOOKUP($I121,'Upper Hot Cell Logistics'!$H$4:$I$9,2,FALSE),"N/A")</f>
        <v>N/A</v>
      </c>
      <c r="N121" s="606" t="str">
        <f>IF(D121="Movement",IFERROR((L121/M121)/(60*60),"Error"),"N/A")</f>
        <v>N/A</v>
      </c>
      <c r="O121" s="607"/>
      <c r="P121" s="608" t="str">
        <f>IF($D121="Logistics",VLOOKUP($O121,'Upper Hot Cell Logistics'!$C$4:$D$51,2,FALSE),"N/A")</f>
        <v>N/A</v>
      </c>
      <c r="Q121" s="89"/>
    </row>
    <row r="122" spans="1:17" x14ac:dyDescent="0.35">
      <c r="A122" s="88"/>
      <c r="B122" s="3964" t="s">
        <v>1392</v>
      </c>
      <c r="C122" s="1324" t="str">
        <f>'Upper Cask Critical Path'!C117</f>
        <v>Store COB Blanket Segment in Hardware Cask 5</v>
      </c>
      <c r="D122" s="1324" t="s">
        <v>907</v>
      </c>
      <c r="E122" s="1291">
        <f t="shared" si="2"/>
        <v>0</v>
      </c>
      <c r="F122" s="1291">
        <f>IF($D122="Trigger",VLOOKUP($C122,'Upper Cask Critical Path'!$C$7:$F$336,4,FALSE),E122+F106)</f>
        <v>179.54045591518613</v>
      </c>
      <c r="G122" s="825"/>
      <c r="H122" s="1323" t="str">
        <f>IF(D122="operation",VLOOKUP(G122,'Generic Vertical Port Tasks'!C174:D189,2,FALSE),"N/A")</f>
        <v>N/A</v>
      </c>
      <c r="I122" s="1324"/>
      <c r="J122" s="1324"/>
      <c r="K122" s="1324"/>
      <c r="L122" s="1325" t="str">
        <f>IFERROR(INDEX('Upper Cask Movement &amp; Logistics'!$I$24:$O$30,MATCH($J122,'Upper Cask Movement &amp; Logistics'!$H$24:$H$30,0),MATCH($K122,'Upper Cask Movement &amp; Logistics'!$H$24:$H$30,0)),"N/A")</f>
        <v>N/A</v>
      </c>
      <c r="M122" s="1325" t="str">
        <f>IFERROR(VLOOKUP($I122,'Upper Cask Movement &amp; Logistics'!$H$4:$I$8,2,FALSE),"N/A")</f>
        <v>N/A</v>
      </c>
      <c r="N122" s="1326" t="str">
        <f t="shared" si="4"/>
        <v>N/A</v>
      </c>
      <c r="O122" s="1327"/>
      <c r="P122" s="824" t="str">
        <f>IF($D122="Logistics",VLOOKUP($O122,'Upper Cask Movement &amp; Logistics'!$C$4:$D$77,2,FALSE),"N/A")</f>
        <v>N/A</v>
      </c>
    </row>
    <row r="123" spans="1:17" x14ac:dyDescent="0.35">
      <c r="A123" s="88"/>
      <c r="B123" s="3969"/>
      <c r="C123" s="1362" t="s">
        <v>1268</v>
      </c>
      <c r="D123" s="1362" t="s">
        <v>3</v>
      </c>
      <c r="E123" s="1363">
        <f t="shared" si="2"/>
        <v>2.3000000000000003</v>
      </c>
      <c r="F123" s="1363">
        <f>IF($D123="Trigger",VLOOKUP($C123,'Upper Cask Critical Path'!$C$7:$F$336,4,FALSE),E123+F122)</f>
        <v>181.84045591518614</v>
      </c>
      <c r="G123" s="1364"/>
      <c r="H123" s="1365" t="str">
        <f>IF(D123="operation",VLOOKUP(G123,'Generic Vertical Port Tasks'!C174:D189,2,FALSE),"N/A")</f>
        <v>N/A</v>
      </c>
      <c r="I123" s="1362"/>
      <c r="J123" s="1362"/>
      <c r="K123" s="1362"/>
      <c r="L123" s="1366" t="str">
        <f>IFERROR(INDEX('Upper Cask Movement &amp; Logistics'!$I$24:$O$30,MATCH($J123,'Upper Cask Movement &amp; Logistics'!$H$24:$H$30,0),MATCH($K123,'Upper Cask Movement &amp; Logistics'!$H$24:$H$30,0)),"N/A")</f>
        <v>N/A</v>
      </c>
      <c r="M123" s="1366" t="str">
        <f>IFERROR(VLOOKUP($I123,'Upper Cask Movement &amp; Logistics'!$H$4:$I$8,2,FALSE),"N/A")</f>
        <v>N/A</v>
      </c>
      <c r="N123" s="1367" t="str">
        <f t="shared" si="4"/>
        <v>N/A</v>
      </c>
      <c r="O123" s="1368" t="s">
        <v>1269</v>
      </c>
      <c r="P123" s="861">
        <f>IF($D123="Logistics",VLOOKUP($O123,'Upper Cask Movement &amp; Logistics'!$C$4:$D$77,2,FALSE),"N/A")</f>
        <v>2.3000000000000003</v>
      </c>
    </row>
    <row r="124" spans="1:17" x14ac:dyDescent="0.35">
      <c r="A124" s="88"/>
      <c r="B124" s="3969"/>
      <c r="C124" s="1362" t="s">
        <v>1370</v>
      </c>
      <c r="D124" s="1362" t="s">
        <v>778</v>
      </c>
      <c r="E124" s="1363">
        <f t="shared" si="2"/>
        <v>0.69444444444444442</v>
      </c>
      <c r="F124" s="1363">
        <f>IF($D124="Trigger",VLOOKUP($C124,'Upper Cask Critical Path'!$C$7:$F$336,4,FALSE),E124+F123)</f>
        <v>182.5349003596306</v>
      </c>
      <c r="G124" s="1364"/>
      <c r="H124" s="1365" t="str">
        <f>IF(D124="operation",VLOOKUP(G124,'Generic Vertical Port Tasks'!C174:D189,2,FALSE),"N/A")</f>
        <v>N/A</v>
      </c>
      <c r="I124" s="1362" t="s">
        <v>1789</v>
      </c>
      <c r="J124" s="1362" t="s">
        <v>901</v>
      </c>
      <c r="K124" s="1362" t="s">
        <v>831</v>
      </c>
      <c r="L124" s="1366">
        <f>IFERROR(INDEX('Upper Cask Movement &amp; Logistics'!$I$24:$O$30,MATCH($J124,'Upper Cask Movement &amp; Logistics'!$H$24:$H$30,0),MATCH($K124,'Upper Cask Movement &amp; Logistics'!$H$24:$H$30,0)),"N/A")</f>
        <v>50</v>
      </c>
      <c r="M124" s="1366">
        <f>IFERROR(VLOOKUP($I124,'Upper Cask Movement &amp; Logistics'!$H$4:$I$8,2,FALSE),"N/A")</f>
        <v>0.02</v>
      </c>
      <c r="N124" s="1367">
        <f t="shared" si="4"/>
        <v>0.69444444444444442</v>
      </c>
      <c r="O124" s="1368"/>
      <c r="P124" s="861" t="str">
        <f>IF($D124="Logistics",VLOOKUP($O124,'Upper Cask Movement &amp; Logistics'!$C$4:$D$77,2,FALSE),"N/A")</f>
        <v>N/A</v>
      </c>
    </row>
    <row r="125" spans="1:17" x14ac:dyDescent="0.35">
      <c r="A125" s="88"/>
      <c r="B125" s="3969"/>
      <c r="C125" s="1362" t="s">
        <v>1393</v>
      </c>
      <c r="D125" s="1362" t="s">
        <v>3</v>
      </c>
      <c r="E125" s="1363">
        <f t="shared" si="2"/>
        <v>0.68</v>
      </c>
      <c r="F125" s="1363">
        <f>IF($D125="Trigger",VLOOKUP($C125,'Upper Cask Critical Path'!$C$7:$F$336,4,FALSE),E125+F124)</f>
        <v>183.2149003596306</v>
      </c>
      <c r="G125" s="1364"/>
      <c r="H125" s="1365" t="str">
        <f>IF(D125="operation",VLOOKUP(G125,'Generic Vertical Port Tasks'!C174:D189,2,FALSE),"N/A")</f>
        <v>N/A</v>
      </c>
      <c r="I125" s="1362"/>
      <c r="J125" s="1362"/>
      <c r="K125" s="1362"/>
      <c r="L125" s="1366" t="str">
        <f>IFERROR(INDEX('Upper Cask Movement &amp; Logistics'!$I$24:$O$30,MATCH($J125,'Upper Cask Movement &amp; Logistics'!$H$24:$H$30,0),MATCH($K125,'Upper Cask Movement &amp; Logistics'!$H$24:$H$30,0)),"N/A")</f>
        <v>N/A</v>
      </c>
      <c r="M125" s="1366" t="str">
        <f>IFERROR(VLOOKUP($I125,'Upper Cask Movement &amp; Logistics'!$H$4:$I$8,2,FALSE),"N/A")</f>
        <v>N/A</v>
      </c>
      <c r="N125" s="1367" t="str">
        <f t="shared" si="4"/>
        <v>N/A</v>
      </c>
      <c r="O125" s="1368" t="s">
        <v>1213</v>
      </c>
      <c r="P125" s="861">
        <f>IF($D125="Logistics",VLOOKUP($O125,'Upper Cask Movement &amp; Logistics'!$C$4:$D$77,2,FALSE),"N/A")</f>
        <v>0.68</v>
      </c>
    </row>
    <row r="126" spans="1:17" x14ac:dyDescent="0.35">
      <c r="A126" s="88"/>
      <c r="B126" s="3965"/>
      <c r="C126" s="1294" t="s">
        <v>1366</v>
      </c>
      <c r="D126" s="1294" t="s">
        <v>778</v>
      </c>
      <c r="E126" s="1292">
        <f t="shared" si="2"/>
        <v>0.23148148148148148</v>
      </c>
      <c r="F126" s="1292">
        <f>IF($D126="Trigger",VLOOKUP($C126,'Upper Cask Critical Path'!$C$7:$F$336,4,FALSE),E126+F125)</f>
        <v>183.4463818411121</v>
      </c>
      <c r="G126" s="862"/>
      <c r="H126" s="1328" t="str">
        <f>IF(D126="operation",VLOOKUP(G126,'Generic Vertical Port Tasks'!C174:D189,2,FALSE),"N/A")</f>
        <v>N/A</v>
      </c>
      <c r="I126" s="1294" t="s">
        <v>2503</v>
      </c>
      <c r="J126" s="1294" t="s">
        <v>831</v>
      </c>
      <c r="K126" s="1294" t="s">
        <v>901</v>
      </c>
      <c r="L126" s="1329">
        <f>IFERROR(INDEX('Upper Cask Movement &amp; Logistics'!$I$24:$O$30,MATCH($J126,'Upper Cask Movement &amp; Logistics'!$H$24:$H$30,0),MATCH($K126,'Upper Cask Movement &amp; Logistics'!$H$24:$H$30,0)),"N/A")</f>
        <v>50</v>
      </c>
      <c r="M126" s="1329">
        <f>IFERROR(VLOOKUP($I126,'Upper Cask Movement &amp; Logistics'!$H$4:$I$8,2,FALSE),"N/A")</f>
        <v>0.06</v>
      </c>
      <c r="N126" s="1330">
        <f t="shared" si="4"/>
        <v>0.23148148148148148</v>
      </c>
      <c r="O126" s="1331"/>
      <c r="P126" s="1332" t="str">
        <f>IF($D126="Logistics",VLOOKUP($O126,'Upper Cask Movement &amp; Logistics'!$C$4:$D$77,2,FALSE),"N/A")</f>
        <v>N/A</v>
      </c>
    </row>
    <row r="127" spans="1:17" x14ac:dyDescent="0.35">
      <c r="A127" s="88"/>
      <c r="B127" s="3965"/>
      <c r="C127" s="1294" t="s">
        <v>1383</v>
      </c>
      <c r="D127" s="1294" t="s">
        <v>3</v>
      </c>
      <c r="E127" s="1292">
        <f t="shared" si="2"/>
        <v>1.4000000000000001</v>
      </c>
      <c r="F127" s="1292">
        <f>IF($D127="Trigger",VLOOKUP($C127,'Upper Cask Critical Path'!$C$7:$F$336,4,FALSE),E127+F126)</f>
        <v>184.84638184111211</v>
      </c>
      <c r="G127" s="862"/>
      <c r="H127" s="1328" t="str">
        <f>IF(D127="operation",VLOOKUP(G127,'Generic Vertical Port Tasks'!C174:D189,2,FALSE),"N/A")</f>
        <v>N/A</v>
      </c>
      <c r="I127" s="1294"/>
      <c r="J127" s="1294"/>
      <c r="K127" s="1294"/>
      <c r="L127" s="1329" t="str">
        <f>IFERROR(INDEX('Upper Cask Movement &amp; Logistics'!$I$24:$O$30,MATCH($J127,'Upper Cask Movement &amp; Logistics'!$H$24:$H$30,0),MATCH($K127,'Upper Cask Movement &amp; Logistics'!$H$24:$H$30,0)),"N/A")</f>
        <v>N/A</v>
      </c>
      <c r="M127" s="1329" t="str">
        <f>IFERROR(VLOOKUP($I127,'Upper Cask Movement &amp; Logistics'!$H$4:$I$8,2,FALSE),"N/A")</f>
        <v>N/A</v>
      </c>
      <c r="N127" s="1330" t="str">
        <f t="shared" si="4"/>
        <v>N/A</v>
      </c>
      <c r="O127" s="1331" t="s">
        <v>1277</v>
      </c>
      <c r="P127" s="1332">
        <f>IF($D127="Logistics",VLOOKUP($O127,'Upper Cask Movement &amp; Logistics'!$C$4:$D$77,2,FALSE),"N/A")</f>
        <v>1.4000000000000001</v>
      </c>
    </row>
    <row r="128" spans="1:17" ht="13.3" thickBot="1" x14ac:dyDescent="0.4">
      <c r="A128" s="88"/>
      <c r="B128" s="3966"/>
      <c r="C128" s="1340" t="str">
        <f>B122</f>
        <v>COB Blanket Segment stored; Hardware Cask 5 docked</v>
      </c>
      <c r="D128" s="1340" t="s">
        <v>11</v>
      </c>
      <c r="E128" s="1295">
        <f t="shared" si="2"/>
        <v>0</v>
      </c>
      <c r="F128" s="1295">
        <f>IF($D128="Trigger",VLOOKUP($C128,'Upper Cask Critical Path'!$C$7:$F$336,4,FALSE),E128+F127)</f>
        <v>184.84638184111211</v>
      </c>
      <c r="G128" s="839"/>
      <c r="H128" s="1341" t="str">
        <f>IF(D128="operation",VLOOKUP(G128,'Generic Vertical Port Tasks'!C174:D189,2,FALSE),"N/A")</f>
        <v>N/A</v>
      </c>
      <c r="I128" s="1340"/>
      <c r="J128" s="1340"/>
      <c r="K128" s="1340"/>
      <c r="L128" s="1342" t="str">
        <f>IFERROR(INDEX('Upper Cask Movement &amp; Logistics'!$I$24:$O$30,MATCH($J128,'Upper Cask Movement &amp; Logistics'!$H$24:$H$30,0),MATCH($K128,'Upper Cask Movement &amp; Logistics'!$H$24:$H$30,0)),"N/A")</f>
        <v>N/A</v>
      </c>
      <c r="M128" s="1342" t="str">
        <f>IFERROR(VLOOKUP($I128,'Upper Cask Movement &amp; Logistics'!$H$4:$I$8,2,FALSE),"N/A")</f>
        <v>N/A</v>
      </c>
      <c r="N128" s="1343" t="str">
        <f t="shared" si="4"/>
        <v>N/A</v>
      </c>
      <c r="O128" s="1344"/>
      <c r="P128" s="1345" t="str">
        <f>IF($D128="Logistics",VLOOKUP($O128,'Upper Cask Movement &amp; Logistics'!$C$4:$D$77,2,FALSE),"N/A")</f>
        <v>N/A</v>
      </c>
    </row>
    <row r="129" spans="1:17" x14ac:dyDescent="0.35">
      <c r="A129" s="88"/>
      <c r="B129" s="3960" t="s">
        <v>1394</v>
      </c>
      <c r="C129" s="1333" t="str">
        <f>'Upper Cask Critical Path'!C120</f>
        <v>Store LOB Blanket Segment in Hardware Cask 6</v>
      </c>
      <c r="D129" s="1333" t="s">
        <v>907</v>
      </c>
      <c r="E129" s="1303">
        <f t="shared" si="2"/>
        <v>0</v>
      </c>
      <c r="F129" s="1303">
        <f>IF($D129="Trigger",VLOOKUP($C129,'Upper Cask Critical Path'!$C$7:$F$336,4,FALSE),E129+F128)</f>
        <v>189.63047571109939</v>
      </c>
      <c r="G129" s="1304"/>
      <c r="H129" s="1305" t="str">
        <f>IF(D129="operation",VLOOKUP(G129,'Generic Vertical Port Tasks'!C174:D189,2,FALSE),"N/A")</f>
        <v>N/A</v>
      </c>
      <c r="I129" s="1333"/>
      <c r="J129" s="1333"/>
      <c r="K129" s="1333"/>
      <c r="L129" s="1334" t="str">
        <f>IFERROR(INDEX('Upper Cask Movement &amp; Logistics'!$I$24:$O$30,MATCH($J129,'Upper Cask Movement &amp; Logistics'!$H$24:$H$30,0),MATCH($K129,'Upper Cask Movement &amp; Logistics'!$H$24:$H$30,0)),"N/A")</f>
        <v>N/A</v>
      </c>
      <c r="M129" s="1334" t="str">
        <f>IFERROR(VLOOKUP($I129,'Upper Cask Movement &amp; Logistics'!$H$4:$I$8,2,FALSE),"N/A")</f>
        <v>N/A</v>
      </c>
      <c r="N129" s="1335" t="str">
        <f t="shared" si="4"/>
        <v>N/A</v>
      </c>
      <c r="O129" s="1336"/>
      <c r="P129" s="1337" t="str">
        <f>IF($D129="Logistics",VLOOKUP($O129,'Upper Cask Movement &amp; Logistics'!$C$4:$D$77,2,FALSE),"N/A")</f>
        <v>N/A</v>
      </c>
    </row>
    <row r="130" spans="1:17" x14ac:dyDescent="0.35">
      <c r="A130" s="88"/>
      <c r="B130" s="3968"/>
      <c r="C130" s="1240" t="s">
        <v>1395</v>
      </c>
      <c r="D130" s="1240" t="s">
        <v>3</v>
      </c>
      <c r="E130" s="1241">
        <f t="shared" si="2"/>
        <v>2.3000000000000003</v>
      </c>
      <c r="F130" s="1241">
        <f>IF($D130="Trigger",VLOOKUP($C130,'Upper Cask Critical Path'!$C$7:$F$336,4,FALSE),E130+F129)</f>
        <v>191.9304757110994</v>
      </c>
      <c r="G130" s="1354"/>
      <c r="H130" s="1355" t="str">
        <f>IF(D130="operation",VLOOKUP(G130,'Generic Vertical Port Tasks'!C174:D189,2,FALSE),"N/A")</f>
        <v>N/A</v>
      </c>
      <c r="I130" s="1240"/>
      <c r="J130" s="1240"/>
      <c r="K130" s="1240"/>
      <c r="L130" s="1242" t="str">
        <f>IFERROR(INDEX('Upper Cask Movement &amp; Logistics'!$I$24:$O$30,MATCH($J130,'Upper Cask Movement &amp; Logistics'!$H$24:$H$30,0),MATCH($K130,'Upper Cask Movement &amp; Logistics'!$H$24:$H$30,0)),"N/A")</f>
        <v>N/A</v>
      </c>
      <c r="M130" s="1242" t="str">
        <f>IFERROR(VLOOKUP($I130,'Upper Cask Movement &amp; Logistics'!$H$4:$I$8,2,FALSE),"N/A")</f>
        <v>N/A</v>
      </c>
      <c r="N130" s="1356" t="str">
        <f t="shared" si="4"/>
        <v>N/A</v>
      </c>
      <c r="O130" s="1357" t="s">
        <v>1269</v>
      </c>
      <c r="P130" s="1358">
        <f>IF($D130="Logistics",VLOOKUP($O130,'Upper Cask Movement &amp; Logistics'!$C$4:$D$77,2,FALSE),"N/A")</f>
        <v>2.3000000000000003</v>
      </c>
    </row>
    <row r="131" spans="1:17" x14ac:dyDescent="0.35">
      <c r="A131" s="88"/>
      <c r="B131" s="3968"/>
      <c r="C131" s="1240" t="s">
        <v>1344</v>
      </c>
      <c r="D131" s="1240" t="s">
        <v>778</v>
      </c>
      <c r="E131" s="1241">
        <f t="shared" si="2"/>
        <v>0.69444444444444442</v>
      </c>
      <c r="F131" s="1241">
        <f>IF($D131="Trigger",VLOOKUP($C131,'Upper Cask Critical Path'!$C$7:$F$336,4,FALSE),E131+F130)</f>
        <v>192.62492015554386</v>
      </c>
      <c r="G131" s="1354"/>
      <c r="H131" s="1355" t="str">
        <f>IF(D131="operation",VLOOKUP(G131,'Generic Vertical Port Tasks'!C174:D189,2,FALSE),"N/A")</f>
        <v>N/A</v>
      </c>
      <c r="I131" s="1240" t="s">
        <v>1789</v>
      </c>
      <c r="J131" s="1240" t="s">
        <v>901</v>
      </c>
      <c r="K131" s="1240" t="s">
        <v>831</v>
      </c>
      <c r="L131" s="1242">
        <f>IFERROR(INDEX('Upper Cask Movement &amp; Logistics'!$I$24:$O$30,MATCH($J131,'Upper Cask Movement &amp; Logistics'!$H$24:$H$30,0),MATCH($K131,'Upper Cask Movement &amp; Logistics'!$H$24:$H$30,0)),"N/A")</f>
        <v>50</v>
      </c>
      <c r="M131" s="1242">
        <f>IFERROR(VLOOKUP($I131,'Upper Cask Movement &amp; Logistics'!$H$4:$I$8,2,FALSE),"N/A")</f>
        <v>0.02</v>
      </c>
      <c r="N131" s="1356">
        <f t="shared" si="4"/>
        <v>0.69444444444444442</v>
      </c>
      <c r="O131" s="1357"/>
      <c r="P131" s="1358" t="str">
        <f>IF($D131="Logistics",VLOOKUP($O131,'Upper Cask Movement &amp; Logistics'!$C$4:$D$77,2,FALSE),"N/A")</f>
        <v>N/A</v>
      </c>
    </row>
    <row r="132" spans="1:17" x14ac:dyDescent="0.35">
      <c r="A132" s="88"/>
      <c r="B132" s="3968"/>
      <c r="C132" s="1240" t="s">
        <v>1396</v>
      </c>
      <c r="D132" s="1240" t="s">
        <v>3</v>
      </c>
      <c r="E132" s="1241">
        <f t="shared" si="2"/>
        <v>0.68</v>
      </c>
      <c r="F132" s="1241">
        <f>IF($D132="Trigger",VLOOKUP($C132,'Upper Cask Critical Path'!$C$7:$F$336,4,FALSE),E132+F131)</f>
        <v>193.30492015554387</v>
      </c>
      <c r="G132" s="1354"/>
      <c r="H132" s="1355" t="str">
        <f>IF(D132="operation",VLOOKUP(G132,'Generic Vertical Port Tasks'!C174:D189,2,FALSE),"N/A")</f>
        <v>N/A</v>
      </c>
      <c r="I132" s="1240"/>
      <c r="J132" s="1240"/>
      <c r="K132" s="1240"/>
      <c r="L132" s="1242" t="str">
        <f>IFERROR(INDEX('Upper Cask Movement &amp; Logistics'!$I$24:$O$30,MATCH($J132,'Upper Cask Movement &amp; Logistics'!$H$24:$H$30,0),MATCH($K132,'Upper Cask Movement &amp; Logistics'!$H$24:$H$30,0)),"N/A")</f>
        <v>N/A</v>
      </c>
      <c r="M132" s="1242" t="str">
        <f>IFERROR(VLOOKUP($I132,'Upper Cask Movement &amp; Logistics'!$H$4:$I$8,2,FALSE),"N/A")</f>
        <v>N/A</v>
      </c>
      <c r="N132" s="1356" t="str">
        <f t="shared" si="4"/>
        <v>N/A</v>
      </c>
      <c r="O132" s="1357" t="s">
        <v>1213</v>
      </c>
      <c r="P132" s="1358">
        <f>IF($D132="Logistics",VLOOKUP($O132,'Upper Cask Movement &amp; Logistics'!$C$4:$D$77,2,FALSE),"N/A")</f>
        <v>0.68</v>
      </c>
    </row>
    <row r="133" spans="1:17" x14ac:dyDescent="0.35">
      <c r="A133" s="88"/>
      <c r="B133" s="3961"/>
      <c r="C133" s="1243" t="s">
        <v>1340</v>
      </c>
      <c r="D133" s="1243" t="s">
        <v>778</v>
      </c>
      <c r="E133" s="1244">
        <f t="shared" si="2"/>
        <v>0.23148148148148148</v>
      </c>
      <c r="F133" s="1244">
        <f>IF($D133="Trigger",VLOOKUP($C133,'Upper Cask Critical Path'!$C$7:$F$336,4,FALSE),E133+F132)</f>
        <v>193.53640163702536</v>
      </c>
      <c r="G133" s="1309"/>
      <c r="H133" s="1310" t="str">
        <f>IF(D133="operation",VLOOKUP(G133,'Generic Vertical Port Tasks'!C174:D189,2,FALSE),"N/A")</f>
        <v>N/A</v>
      </c>
      <c r="I133" s="1243" t="s">
        <v>2501</v>
      </c>
      <c r="J133" s="1243" t="s">
        <v>831</v>
      </c>
      <c r="K133" s="1243" t="s">
        <v>901</v>
      </c>
      <c r="L133" s="1245">
        <f>IFERROR(INDEX('Upper Cask Movement &amp; Logistics'!$I$24:$O$30,MATCH($J133,'Upper Cask Movement &amp; Logistics'!$H$24:$H$30,0),MATCH($K133,'Upper Cask Movement &amp; Logistics'!$H$24:$H$30,0)),"N/A")</f>
        <v>50</v>
      </c>
      <c r="M133" s="1245">
        <f>IFERROR(VLOOKUP($I133,'Upper Cask Movement &amp; Logistics'!$H$4:$I$8,2,FALSE),"N/A")</f>
        <v>0.06</v>
      </c>
      <c r="N133" s="1311">
        <f t="shared" si="4"/>
        <v>0.23148148148148148</v>
      </c>
      <c r="O133" s="1312"/>
      <c r="P133" s="1313" t="str">
        <f>IF($D133="Logistics",VLOOKUP($O133,'Upper Cask Movement &amp; Logistics'!$C$4:$D$77,2,FALSE),"N/A")</f>
        <v>N/A</v>
      </c>
    </row>
    <row r="134" spans="1:17" x14ac:dyDescent="0.35">
      <c r="A134" s="88"/>
      <c r="B134" s="3961"/>
      <c r="C134" s="1243" t="s">
        <v>1391</v>
      </c>
      <c r="D134" s="1243" t="s">
        <v>3</v>
      </c>
      <c r="E134" s="1244">
        <f t="shared" si="2"/>
        <v>1.4000000000000001</v>
      </c>
      <c r="F134" s="1244">
        <f>IF($D134="Trigger",VLOOKUP($C134,'Upper Cask Critical Path'!$C$7:$F$336,4,FALSE),E134+F133)</f>
        <v>194.93640163702537</v>
      </c>
      <c r="G134" s="1309"/>
      <c r="H134" s="1310" t="str">
        <f>IF(D134="operation",VLOOKUP(G134,'Generic Vertical Port Tasks'!C174:D189,2,FALSE),"N/A")</f>
        <v>N/A</v>
      </c>
      <c r="I134" s="1243"/>
      <c r="J134" s="1243"/>
      <c r="K134" s="1243"/>
      <c r="L134" s="1245" t="str">
        <f>IFERROR(INDEX('Upper Cask Movement &amp; Logistics'!$I$24:$O$30,MATCH($J134,'Upper Cask Movement &amp; Logistics'!$H$24:$H$30,0),MATCH($K134,'Upper Cask Movement &amp; Logistics'!$H$24:$H$30,0)),"N/A")</f>
        <v>N/A</v>
      </c>
      <c r="M134" s="1245" t="str">
        <f>IFERROR(VLOOKUP($I134,'Upper Cask Movement &amp; Logistics'!$H$4:$I$8,2,FALSE),"N/A")</f>
        <v>N/A</v>
      </c>
      <c r="N134" s="1311" t="str">
        <f t="shared" si="4"/>
        <v>N/A</v>
      </c>
      <c r="O134" s="1312" t="s">
        <v>1277</v>
      </c>
      <c r="P134" s="1313">
        <f>IF($D134="Logistics",VLOOKUP($O134,'Upper Cask Movement &amp; Logistics'!$C$4:$D$77,2,FALSE),"N/A")</f>
        <v>1.4000000000000001</v>
      </c>
    </row>
    <row r="135" spans="1:17" ht="13.3" thickBot="1" x14ac:dyDescent="0.4">
      <c r="A135" s="88"/>
      <c r="B135" s="3963"/>
      <c r="C135" s="1314" t="str">
        <f>B129</f>
        <v>LOB Blanket Segment stored; Hardware Cask 6 docked</v>
      </c>
      <c r="D135" s="1314" t="s">
        <v>11</v>
      </c>
      <c r="E135" s="1316">
        <f t="shared" si="2"/>
        <v>0</v>
      </c>
      <c r="F135" s="1316">
        <f>IF($D135="Trigger",VLOOKUP($C135,'Upper Cask Critical Path'!$C$7:$F$336,4,FALSE),E135+F134)</f>
        <v>194.93640163702537</v>
      </c>
      <c r="G135" s="1317"/>
      <c r="H135" s="1318" t="str">
        <f>IF(D135="operation",VLOOKUP(G135,'Generic Vertical Port Tasks'!C174:D189,2,FALSE),"N/A")</f>
        <v>N/A</v>
      </c>
      <c r="I135" s="1314"/>
      <c r="J135" s="1314"/>
      <c r="K135" s="1314"/>
      <c r="L135" s="1319" t="str">
        <f>IFERROR(INDEX('Upper Cask Movement &amp; Logistics'!$I$24:$O$30,MATCH($J135,'Upper Cask Movement &amp; Logistics'!$H$24:$H$30,0),MATCH($K135,'Upper Cask Movement &amp; Logistics'!$H$24:$H$30,0)),"N/A")</f>
        <v>N/A</v>
      </c>
      <c r="M135" s="1319" t="str">
        <f>IFERROR(VLOOKUP($I135,'Upper Cask Movement &amp; Logistics'!$H$4:$I$8,2,FALSE),"N/A")</f>
        <v>N/A</v>
      </c>
      <c r="N135" s="1320" t="str">
        <f t="shared" si="4"/>
        <v>N/A</v>
      </c>
      <c r="O135" s="1321"/>
      <c r="P135" s="1322" t="str">
        <f>IF($D135="Logistics",VLOOKUP($O135,'Upper Cask Movement &amp; Logistics'!$C$4:$D$77,2,FALSE),"N/A")</f>
        <v>N/A</v>
      </c>
    </row>
    <row r="136" spans="1:17" x14ac:dyDescent="0.35">
      <c r="A136" s="88"/>
      <c r="B136" s="3964" t="s">
        <v>1397</v>
      </c>
      <c r="C136" s="1324" t="str">
        <f>'Upper Cask Critical Path'!C123</f>
        <v>Store ROB Blanket Segment in Hardware Cask 5</v>
      </c>
      <c r="D136" s="1324" t="s">
        <v>907</v>
      </c>
      <c r="E136" s="1291">
        <f t="shared" si="2"/>
        <v>0</v>
      </c>
      <c r="F136" s="1291">
        <f>IF($D136="Trigger",VLOOKUP($C136,'Upper Cask Critical Path'!$C$7:$F$336,4,FALSE),E136+F135)</f>
        <v>196.5004757110994</v>
      </c>
      <c r="G136" s="825"/>
      <c r="H136" s="1323" t="str">
        <f>IF(D136="operation",VLOOKUP(G136,'Generic Vertical Port Tasks'!C175:D189,2,FALSE),"N/A")</f>
        <v>N/A</v>
      </c>
      <c r="I136" s="1324"/>
      <c r="J136" s="1324"/>
      <c r="K136" s="1324"/>
      <c r="L136" s="1325" t="str">
        <f>IFERROR(INDEX('Upper Cask Movement &amp; Logistics'!$I$24:$O$30,MATCH($J136,'Upper Cask Movement &amp; Logistics'!$H$24:$H$30,0),MATCH($K136,'Upper Cask Movement &amp; Logistics'!$H$24:$H$30,0)),"N/A")</f>
        <v>N/A</v>
      </c>
      <c r="M136" s="1325" t="str">
        <f>IFERROR(VLOOKUP($I136,'Upper Cask Movement &amp; Logistics'!$H$4:$I$8,2,FALSE),"N/A")</f>
        <v>N/A</v>
      </c>
      <c r="N136" s="1326" t="str">
        <f t="shared" si="4"/>
        <v>N/A</v>
      </c>
      <c r="O136" s="1327"/>
      <c r="P136" s="824" t="str">
        <f>IF($D136="Logistics",VLOOKUP($O136,'Upper Cask Movement &amp; Logistics'!$C$4:$D$77,2,FALSE),"N/A")</f>
        <v>N/A</v>
      </c>
      <c r="Q136" s="88"/>
    </row>
    <row r="137" spans="1:17" x14ac:dyDescent="0.35">
      <c r="A137" s="88"/>
      <c r="B137" s="3969"/>
      <c r="C137" s="1362" t="s">
        <v>1268</v>
      </c>
      <c r="D137" s="1362" t="s">
        <v>3</v>
      </c>
      <c r="E137" s="1363">
        <f t="shared" si="2"/>
        <v>2.3000000000000003</v>
      </c>
      <c r="F137" s="1363">
        <f>IF($D137="Trigger",VLOOKUP($C137,'Upper Cask Critical Path'!$C$7:$F$336,4,FALSE),E137+F136)</f>
        <v>198.80047571109941</v>
      </c>
      <c r="G137" s="1364"/>
      <c r="H137" s="1365" t="str">
        <f>IF(D137="operation",VLOOKUP(G137,'Generic Vertical Port Tasks'!C176:D189,2,FALSE),"N/A")</f>
        <v>N/A</v>
      </c>
      <c r="I137" s="1362"/>
      <c r="J137" s="1362"/>
      <c r="K137" s="1362"/>
      <c r="L137" s="1366" t="str">
        <f>IFERROR(INDEX('Upper Cask Movement &amp; Logistics'!$I$24:$O$30,MATCH($J137,'Upper Cask Movement &amp; Logistics'!$H$24:$H$30,0),MATCH($K137,'Upper Cask Movement &amp; Logistics'!$H$24:$H$30,0)),"N/A")</f>
        <v>N/A</v>
      </c>
      <c r="M137" s="1366" t="str">
        <f>IFERROR(VLOOKUP($I137,'Upper Cask Movement &amp; Logistics'!$H$4:$I$8,2,FALSE),"N/A")</f>
        <v>N/A</v>
      </c>
      <c r="N137" s="1367" t="str">
        <f t="shared" si="4"/>
        <v>N/A</v>
      </c>
      <c r="O137" s="1368" t="s">
        <v>1269</v>
      </c>
      <c r="P137" s="861">
        <f>IF($D137="Logistics",VLOOKUP($O137,'Upper Cask Movement &amp; Logistics'!$C$4:$D$77,2,FALSE),"N/A")</f>
        <v>2.3000000000000003</v>
      </c>
      <c r="Q137" s="88"/>
    </row>
    <row r="138" spans="1:17" x14ac:dyDescent="0.35">
      <c r="A138" s="88"/>
      <c r="B138" s="3969"/>
      <c r="C138" s="1362" t="s">
        <v>1370</v>
      </c>
      <c r="D138" s="1362" t="s">
        <v>778</v>
      </c>
      <c r="E138" s="1363">
        <f t="shared" si="2"/>
        <v>0.69444444444444442</v>
      </c>
      <c r="F138" s="1363">
        <f>IF($D138="Trigger",VLOOKUP($C138,'Upper Cask Critical Path'!$C$7:$F$336,4,FALSE),E138+F137)</f>
        <v>199.49492015554387</v>
      </c>
      <c r="G138" s="1364"/>
      <c r="H138" s="1365" t="str">
        <f>IF(D138="operation",VLOOKUP(G138,'Generic Vertical Port Tasks'!C178:D189,2,FALSE),"N/A")</f>
        <v>N/A</v>
      </c>
      <c r="I138" s="1362" t="s">
        <v>1789</v>
      </c>
      <c r="J138" s="1362" t="s">
        <v>901</v>
      </c>
      <c r="K138" s="1362" t="s">
        <v>831</v>
      </c>
      <c r="L138" s="1366">
        <f>IFERROR(INDEX('Upper Cask Movement &amp; Logistics'!$I$24:$O$30,MATCH($J138,'Upper Cask Movement &amp; Logistics'!$H$24:$H$30,0),MATCH($K138,'Upper Cask Movement &amp; Logistics'!$H$24:$H$30,0)),"N/A")</f>
        <v>50</v>
      </c>
      <c r="M138" s="1366">
        <f>IFERROR(VLOOKUP($I138,'Upper Cask Movement &amp; Logistics'!$H$4:$I$8,2,FALSE),"N/A")</f>
        <v>0.02</v>
      </c>
      <c r="N138" s="1367">
        <f t="shared" si="4"/>
        <v>0.69444444444444442</v>
      </c>
      <c r="O138" s="1368"/>
      <c r="P138" s="861" t="str">
        <f>IF($D138="Logistics",VLOOKUP($O138,'Upper Cask Movement &amp; Logistics'!$C$4:$D$77,2,FALSE),"N/A")</f>
        <v>N/A</v>
      </c>
      <c r="Q138" s="88"/>
    </row>
    <row r="139" spans="1:17" x14ac:dyDescent="0.35">
      <c r="A139" s="88"/>
      <c r="B139" s="3969"/>
      <c r="C139" s="1362" t="s">
        <v>1398</v>
      </c>
      <c r="D139" s="1362" t="s">
        <v>3</v>
      </c>
      <c r="E139" s="1363">
        <f t="shared" si="2"/>
        <v>0.68</v>
      </c>
      <c r="F139" s="1363">
        <f>IF($D139="Trigger",VLOOKUP($C139,'Upper Cask Critical Path'!$C$7:$F$336,4,FALSE),E139+F138)</f>
        <v>200.17492015554387</v>
      </c>
      <c r="G139" s="1364"/>
      <c r="H139" s="1365" t="str">
        <f>IF(D139="operation",VLOOKUP(G139,'Generic Vertical Port Tasks'!C179:D189,2,FALSE),"N/A")</f>
        <v>N/A</v>
      </c>
      <c r="I139" s="1362"/>
      <c r="J139" s="1362"/>
      <c r="K139" s="1362"/>
      <c r="L139" s="1366" t="str">
        <f>IFERROR(INDEX('Upper Cask Movement &amp; Logistics'!$I$24:$O$30,MATCH($J139,'Upper Cask Movement &amp; Logistics'!$H$24:$H$30,0),MATCH($K139,'Upper Cask Movement &amp; Logistics'!$H$24:$H$30,0)),"N/A")</f>
        <v>N/A</v>
      </c>
      <c r="M139" s="1366" t="str">
        <f>IFERROR(VLOOKUP($I139,'Upper Cask Movement &amp; Logistics'!$H$4:$I$8,2,FALSE),"N/A")</f>
        <v>N/A</v>
      </c>
      <c r="N139" s="1367" t="str">
        <f t="shared" si="4"/>
        <v>N/A</v>
      </c>
      <c r="O139" s="1368" t="s">
        <v>1213</v>
      </c>
      <c r="P139" s="861">
        <f>IF($D139="Logistics",VLOOKUP($O139,'Upper Cask Movement &amp; Logistics'!$C$4:$D$77,2,FALSE),"N/A")</f>
        <v>0.68</v>
      </c>
      <c r="Q139" s="88"/>
    </row>
    <row r="140" spans="1:17" x14ac:dyDescent="0.35">
      <c r="B140" s="3965"/>
      <c r="C140" s="1294" t="s">
        <v>1366</v>
      </c>
      <c r="D140" s="1294" t="s">
        <v>778</v>
      </c>
      <c r="E140" s="1292">
        <f t="shared" si="2"/>
        <v>0.23148148148148148</v>
      </c>
      <c r="F140" s="1292">
        <f>IF($D140="Trigger",VLOOKUP($C140,'Upper Cask Critical Path'!$C$7:$F$336,4,FALSE),E140+F139)</f>
        <v>200.40640163702537</v>
      </c>
      <c r="G140" s="862"/>
      <c r="H140" s="1328" t="str">
        <f>IF(D140="operation",VLOOKUP(G140,'Generic Vertical Port Tasks'!#REF!,2,FALSE),"N/A")</f>
        <v>N/A</v>
      </c>
      <c r="I140" s="1294" t="s">
        <v>2501</v>
      </c>
      <c r="J140" s="1294" t="s">
        <v>831</v>
      </c>
      <c r="K140" s="1294" t="s">
        <v>901</v>
      </c>
      <c r="L140" s="1329">
        <f>IFERROR(INDEX('Upper Cask Movement &amp; Logistics'!$I$24:$O$30,MATCH($J140,'Upper Cask Movement &amp; Logistics'!$H$24:$H$30,0),MATCH($K140,'Upper Cask Movement &amp; Logistics'!$H$24:$H$30,0)),"N/A")</f>
        <v>50</v>
      </c>
      <c r="M140" s="1329">
        <f>IFERROR(VLOOKUP($I140,'Upper Cask Movement &amp; Logistics'!$H$4:$I$8,2,FALSE),"N/A")</f>
        <v>0.06</v>
      </c>
      <c r="N140" s="1330">
        <f t="shared" si="4"/>
        <v>0.23148148148148148</v>
      </c>
      <c r="O140" s="1331"/>
      <c r="P140" s="1332" t="str">
        <f>IF($D140="Logistics",VLOOKUP($O140,'Upper Cask Movement &amp; Logistics'!$C$4:$D$77,2,FALSE),"N/A")</f>
        <v>N/A</v>
      </c>
    </row>
    <row r="141" spans="1:17" x14ac:dyDescent="0.35">
      <c r="B141" s="3965"/>
      <c r="C141" s="1294" t="s">
        <v>1383</v>
      </c>
      <c r="D141" s="1294" t="s">
        <v>3</v>
      </c>
      <c r="E141" s="1292">
        <f t="shared" si="2"/>
        <v>1.4000000000000001</v>
      </c>
      <c r="F141" s="1292">
        <f>IF($D141="Trigger",VLOOKUP($C141,'Upper Cask Critical Path'!$C$7:$F$336,4,FALSE),E141+F140)</f>
        <v>201.80640163702537</v>
      </c>
      <c r="G141" s="862"/>
      <c r="H141" s="1328" t="str">
        <f>IF(D141="operation",VLOOKUP(G141,'Generic Vertical Port Tasks'!#REF!,2,FALSE),"N/A")</f>
        <v>N/A</v>
      </c>
      <c r="I141" s="1294"/>
      <c r="J141" s="1294"/>
      <c r="K141" s="1294"/>
      <c r="L141" s="1329" t="str">
        <f>IFERROR(INDEX('Upper Cask Movement &amp; Logistics'!$I$24:$O$30,MATCH($J141,'Upper Cask Movement &amp; Logistics'!$H$24:$H$30,0),MATCH($K141,'Upper Cask Movement &amp; Logistics'!$H$24:$H$30,0)),"N/A")</f>
        <v>N/A</v>
      </c>
      <c r="M141" s="1329" t="str">
        <f>IFERROR(VLOOKUP($I141,'Upper Cask Movement &amp; Logistics'!$H$4:$I$8,2,FALSE),"N/A")</f>
        <v>N/A</v>
      </c>
      <c r="N141" s="1330" t="str">
        <f t="shared" si="4"/>
        <v>N/A</v>
      </c>
      <c r="O141" s="1331" t="s">
        <v>1277</v>
      </c>
      <c r="P141" s="1332">
        <f>IF($D141="Logistics",VLOOKUP($O141,'Upper Cask Movement &amp; Logistics'!$C$4:$D$77,2,FALSE),"N/A")</f>
        <v>1.4000000000000001</v>
      </c>
    </row>
    <row r="142" spans="1:17" ht="13.3" thickBot="1" x14ac:dyDescent="0.4">
      <c r="B142" s="3966"/>
      <c r="C142" s="1340" t="str">
        <f>B136</f>
        <v>ROB Blanket Segment stored; Hardware Cask 5 docked</v>
      </c>
      <c r="D142" s="1340" t="s">
        <v>11</v>
      </c>
      <c r="E142" s="1295">
        <f t="shared" si="2"/>
        <v>0</v>
      </c>
      <c r="F142" s="1295">
        <f>IF($D142="Trigger",VLOOKUP($C142,'Upper Cask Critical Path'!$C$7:$F$336,4,FALSE),E142+F141)</f>
        <v>201.80640163702537</v>
      </c>
      <c r="G142" s="839"/>
      <c r="H142" s="1341" t="str">
        <f>IF(D142="operation",VLOOKUP(G142,'Generic Vertical Port Tasks'!#REF!,2,FALSE),"N/A")</f>
        <v>N/A</v>
      </c>
      <c r="I142" s="1340"/>
      <c r="J142" s="1340"/>
      <c r="K142" s="1340"/>
      <c r="L142" s="1342" t="str">
        <f>IFERROR(INDEX('Upper Cask Movement &amp; Logistics'!$I$24:$O$30,MATCH($J142,'Upper Cask Movement &amp; Logistics'!$H$24:$H$30,0),MATCH($K142,'Upper Cask Movement &amp; Logistics'!$H$24:$H$30,0)),"N/A")</f>
        <v>N/A</v>
      </c>
      <c r="M142" s="1342" t="str">
        <f>IFERROR(VLOOKUP($I142,'Upper Cask Movement &amp; Logistics'!$H$4:$I$8,2,FALSE),"N/A")</f>
        <v>N/A</v>
      </c>
      <c r="N142" s="1343" t="str">
        <f t="shared" si="4"/>
        <v>N/A</v>
      </c>
      <c r="O142" s="1344"/>
      <c r="P142" s="1345" t="str">
        <f>IF($D142="Logistics",VLOOKUP($O142,'Upper Cask Movement &amp; Logistics'!$C$4:$D$77,2,FALSE),"N/A")</f>
        <v>N/A</v>
      </c>
    </row>
    <row r="143" spans="1:17" x14ac:dyDescent="0.35">
      <c r="B143" s="3960" t="s">
        <v>1399</v>
      </c>
      <c r="C143" s="1333" t="str">
        <f>'Upper Cask Critical Path'!C142</f>
        <v>Collect Blanket Segment 5 from Hardware Cask 6</v>
      </c>
      <c r="D143" s="1333" t="s">
        <v>907</v>
      </c>
      <c r="E143" s="1303">
        <f t="shared" ref="E143:E156" si="6">MAX($P143,$N143,$H143)</f>
        <v>0</v>
      </c>
      <c r="F143" s="1303">
        <f>IF($D143="Trigger",VLOOKUP($C143,'Upper Cask Critical Path'!$C$7:$F$336,4,FALSE),E143+F142)</f>
        <v>27.75462962962963</v>
      </c>
      <c r="G143" s="1304"/>
      <c r="H143" s="1305" t="str">
        <f>IF(D143="operation",VLOOKUP(G143,'Generic Vertical Port Tasks'!#REF!,2,FALSE),"N/A")</f>
        <v>N/A</v>
      </c>
      <c r="I143" s="1333"/>
      <c r="J143" s="1333"/>
      <c r="K143" s="1333"/>
      <c r="L143" s="1334" t="str">
        <f>IFERROR(INDEX('Upper Cask Movement &amp; Logistics'!$I$24:$O$30,MATCH($J143,'Upper Cask Movement &amp; Logistics'!$H$24:$H$30,0),MATCH($K143,'Upper Cask Movement &amp; Logistics'!$H$24:$H$30,0)),"N/A")</f>
        <v>N/A</v>
      </c>
      <c r="M143" s="1334" t="str">
        <f>IFERROR(VLOOKUP($I143,'Upper Cask Movement &amp; Logistics'!$H$4:$I$8,2,FALSE),"N/A")</f>
        <v>N/A</v>
      </c>
      <c r="N143" s="1335" t="str">
        <f t="shared" si="4"/>
        <v>N/A</v>
      </c>
      <c r="O143" s="1336"/>
      <c r="P143" s="1337" t="str">
        <f>IF($D143="Logistics",VLOOKUP($O143,'Upper Cask Movement &amp; Logistics'!$C$4:$D$77,2,FALSE),"N/A")</f>
        <v>N/A</v>
      </c>
    </row>
    <row r="144" spans="1:17" x14ac:dyDescent="0.35">
      <c r="B144" s="3968"/>
      <c r="C144" s="1240" t="s">
        <v>1268</v>
      </c>
      <c r="D144" s="1240" t="s">
        <v>3</v>
      </c>
      <c r="E144" s="1241">
        <f t="shared" si="6"/>
        <v>2.3000000000000003</v>
      </c>
      <c r="F144" s="1241">
        <f>IF($D144="Trigger",VLOOKUP($C144,'Upper Cask Critical Path'!$C$7:$F$336,4,FALSE),E144+F143)</f>
        <v>30.05462962962963</v>
      </c>
      <c r="G144" s="1354"/>
      <c r="H144" s="1355" t="str">
        <f>IF(D144="operation",VLOOKUP(G144,'Generic Vertical Port Tasks'!#REF!,2,FALSE),"N/A")</f>
        <v>N/A</v>
      </c>
      <c r="I144" s="1240"/>
      <c r="J144" s="1240"/>
      <c r="K144" s="1240"/>
      <c r="L144" s="1242" t="str">
        <f>IFERROR(INDEX('Upper Cask Movement &amp; Logistics'!$I$24:$O$30,MATCH($J144,'Upper Cask Movement &amp; Logistics'!$H$24:$H$30,0),MATCH($K144,'Upper Cask Movement &amp; Logistics'!$H$24:$H$30,0)),"N/A")</f>
        <v>N/A</v>
      </c>
      <c r="M144" s="1242" t="str">
        <f>IFERROR(VLOOKUP($I144,'Upper Cask Movement &amp; Logistics'!$H$4:$I$8,2,FALSE),"N/A")</f>
        <v>N/A</v>
      </c>
      <c r="N144" s="1356" t="str">
        <f t="shared" si="4"/>
        <v>N/A</v>
      </c>
      <c r="O144" s="1357" t="s">
        <v>1269</v>
      </c>
      <c r="P144" s="1358">
        <f>IF($D144="Logistics",VLOOKUP($O144,'Upper Cask Movement &amp; Logistics'!$C$4:$D$77,2,FALSE),"N/A")</f>
        <v>2.3000000000000003</v>
      </c>
    </row>
    <row r="145" spans="2:16" x14ac:dyDescent="0.35">
      <c r="B145" s="3968"/>
      <c r="C145" s="1240" t="s">
        <v>1344</v>
      </c>
      <c r="D145" s="1240" t="s">
        <v>778</v>
      </c>
      <c r="E145" s="1241">
        <f t="shared" si="6"/>
        <v>0.34722222222222221</v>
      </c>
      <c r="F145" s="1241">
        <f>IF($D145="Trigger",VLOOKUP($C145,'Upper Cask Critical Path'!$C$7:$F$336,4,FALSE),E145+F144)</f>
        <v>30.401851851851852</v>
      </c>
      <c r="G145" s="1354"/>
      <c r="H145" s="1355" t="str">
        <f>IF(D145="operation",VLOOKUP(G145,'Generic Vertical Port Tasks'!#REF!,2,FALSE),"N/A")</f>
        <v>N/A</v>
      </c>
      <c r="I145" s="1240" t="s">
        <v>1789</v>
      </c>
      <c r="J145" s="1240" t="s">
        <v>901</v>
      </c>
      <c r="K145" s="1240" t="s">
        <v>858</v>
      </c>
      <c r="L145" s="1242">
        <f>IFERROR(INDEX('Upper Cask Movement &amp; Logistics'!$I$24:$O$30,MATCH($J145,'Upper Cask Movement &amp; Logistics'!$H$24:$H$30,0),MATCH($K145,'Upper Cask Movement &amp; Logistics'!$H$24:$H$30,0)),"N/A")</f>
        <v>25</v>
      </c>
      <c r="M145" s="1242">
        <f>IFERROR(VLOOKUP($I145,'Upper Cask Movement &amp; Logistics'!$H$4:$I$8,2,FALSE),"N/A")</f>
        <v>0.02</v>
      </c>
      <c r="N145" s="1356">
        <f t="shared" si="4"/>
        <v>0.34722222222222221</v>
      </c>
      <c r="O145" s="1357"/>
      <c r="P145" s="1358" t="str">
        <f>IF($D145="Logistics",VLOOKUP($O145,'Upper Cask Movement &amp; Logistics'!$C$4:$D$77,2,FALSE),"N/A")</f>
        <v>N/A</v>
      </c>
    </row>
    <row r="146" spans="2:16" x14ac:dyDescent="0.35">
      <c r="B146" s="3968"/>
      <c r="C146" s="1240" t="s">
        <v>1400</v>
      </c>
      <c r="D146" s="1240" t="s">
        <v>3</v>
      </c>
      <c r="E146" s="1241">
        <f t="shared" si="6"/>
        <v>0.68</v>
      </c>
      <c r="F146" s="1241">
        <f>IF($D146="Trigger",VLOOKUP($C146,'Upper Cask Critical Path'!$C$7:$F$336,4,FALSE),E146+F145)</f>
        <v>31.081851851851852</v>
      </c>
      <c r="G146" s="1354"/>
      <c r="H146" s="1355" t="str">
        <f>IF(D146="operation",VLOOKUP(G146,'Generic Vertical Port Tasks'!#REF!,2,FALSE),"N/A")</f>
        <v>N/A</v>
      </c>
      <c r="I146" s="1240"/>
      <c r="J146" s="1240"/>
      <c r="K146" s="1240"/>
      <c r="L146" s="1242" t="str">
        <f>IFERROR(INDEX('Upper Cask Movement &amp; Logistics'!$I$24:$O$30,MATCH($J146,'Upper Cask Movement &amp; Logistics'!$H$24:$H$30,0),MATCH($K146,'Upper Cask Movement &amp; Logistics'!$H$24:$H$30,0)),"N/A")</f>
        <v>N/A</v>
      </c>
      <c r="M146" s="1242" t="str">
        <f>IFERROR(VLOOKUP($I146,'Upper Cask Movement &amp; Logistics'!$H$4:$I$8,2,FALSE),"N/A")</f>
        <v>N/A</v>
      </c>
      <c r="N146" s="1356" t="str">
        <f t="shared" si="4"/>
        <v>N/A</v>
      </c>
      <c r="O146" s="1357" t="s">
        <v>1213</v>
      </c>
      <c r="P146" s="1358">
        <f>IF($D146="Logistics",VLOOKUP($O146,'Upper Cask Movement &amp; Logistics'!$C$4:$D$77,2,FALSE),"N/A")</f>
        <v>0.68</v>
      </c>
    </row>
    <row r="147" spans="2:16" x14ac:dyDescent="0.35">
      <c r="B147" s="3961"/>
      <c r="C147" s="1243" t="s">
        <v>1340</v>
      </c>
      <c r="D147" s="1243" t="s">
        <v>778</v>
      </c>
      <c r="E147" s="1244">
        <f t="shared" si="6"/>
        <v>0.23148148148148148</v>
      </c>
      <c r="F147" s="1244">
        <f>IF($D147="Trigger",VLOOKUP($C147,'Upper Cask Critical Path'!$C$7:$F$336,4,FALSE),E147+F146)</f>
        <v>31.313333333333333</v>
      </c>
      <c r="G147" s="1309"/>
      <c r="H147" s="1310" t="str">
        <f>IF(D147="operation",VLOOKUP(G147,'Generic Vertical Port Tasks'!#REF!,2,FALSE),"N/A")</f>
        <v>N/A</v>
      </c>
      <c r="I147" s="1243" t="s">
        <v>2501</v>
      </c>
      <c r="J147" s="1243" t="s">
        <v>831</v>
      </c>
      <c r="K147" s="1243" t="s">
        <v>901</v>
      </c>
      <c r="L147" s="1245">
        <f>IFERROR(INDEX('Upper Cask Movement &amp; Logistics'!$I$24:$O$30,MATCH($J147,'Upper Cask Movement &amp; Logistics'!$H$24:$H$30,0),MATCH($K147,'Upper Cask Movement &amp; Logistics'!$H$24:$H$30,0)),"N/A")</f>
        <v>50</v>
      </c>
      <c r="M147" s="1245">
        <f>IFERROR(VLOOKUP($I147,'Upper Cask Movement &amp; Logistics'!$H$4:$I$8,2,FALSE),"N/A")</f>
        <v>0.06</v>
      </c>
      <c r="N147" s="1311">
        <f t="shared" si="4"/>
        <v>0.23148148148148148</v>
      </c>
      <c r="O147" s="1312"/>
      <c r="P147" s="1313" t="str">
        <f>IF($D147="Logistics",VLOOKUP($O147,'Upper Cask Movement &amp; Logistics'!$C$4:$D$77,2,FALSE),"N/A")</f>
        <v>N/A</v>
      </c>
    </row>
    <row r="148" spans="2:16" x14ac:dyDescent="0.35">
      <c r="B148" s="3961"/>
      <c r="C148" s="1243" t="s">
        <v>1391</v>
      </c>
      <c r="D148" s="1243" t="s">
        <v>3</v>
      </c>
      <c r="E148" s="1244">
        <f t="shared" si="6"/>
        <v>1.4000000000000001</v>
      </c>
      <c r="F148" s="1244">
        <f>IF($D148="Trigger",VLOOKUP($C148,'Upper Cask Critical Path'!$C$7:$F$336,4,FALSE),E148+F147)</f>
        <v>32.713333333333331</v>
      </c>
      <c r="G148" s="1309"/>
      <c r="H148" s="1310" t="str">
        <f>IF(D148="operation",VLOOKUP(G148,'Generic Vertical Port Tasks'!#REF!,2,FALSE),"N/A")</f>
        <v>N/A</v>
      </c>
      <c r="I148" s="1243"/>
      <c r="J148" s="1243"/>
      <c r="K148" s="1243"/>
      <c r="L148" s="1245" t="str">
        <f>IFERROR(INDEX('Upper Cask Movement &amp; Logistics'!$I$24:$O$30,MATCH($J148,'Upper Cask Movement &amp; Logistics'!$H$24:$H$30,0),MATCH($K148,'Upper Cask Movement &amp; Logistics'!$H$24:$H$30,0)),"N/A")</f>
        <v>N/A</v>
      </c>
      <c r="M148" s="1245" t="str">
        <f>IFERROR(VLOOKUP($I148,'Upper Cask Movement &amp; Logistics'!$H$4:$I$8,2,FALSE),"N/A")</f>
        <v>N/A</v>
      </c>
      <c r="N148" s="1311" t="str">
        <f t="shared" si="4"/>
        <v>N/A</v>
      </c>
      <c r="O148" s="1312" t="s">
        <v>1277</v>
      </c>
      <c r="P148" s="1313">
        <f>IF($D148="Logistics",VLOOKUP($O148,'Upper Cask Movement &amp; Logistics'!$C$4:$D$77,2,FALSE),"N/A")</f>
        <v>1.4000000000000001</v>
      </c>
    </row>
    <row r="149" spans="2:16" ht="13.3" thickBot="1" x14ac:dyDescent="0.4">
      <c r="B149" s="3963"/>
      <c r="C149" s="1314" t="str">
        <f>B143</f>
        <v>LIB Blanket Segment stored; Hardware Cask 6 docked</v>
      </c>
      <c r="D149" s="1314" t="s">
        <v>11</v>
      </c>
      <c r="E149" s="1316">
        <f t="shared" si="6"/>
        <v>0</v>
      </c>
      <c r="F149" s="1316">
        <f>IF($D149="Trigger",VLOOKUP($C149,'Upper Cask Critical Path'!$C$7:$F$336,4,FALSE),E149+F148)</f>
        <v>32.713333333333331</v>
      </c>
      <c r="G149" s="1317"/>
      <c r="H149" s="1318" t="str">
        <f>IF(D149="operation",VLOOKUP(G149,'Generic Vertical Port Tasks'!#REF!,2,FALSE),"N/A")</f>
        <v>N/A</v>
      </c>
      <c r="I149" s="1314"/>
      <c r="J149" s="1314"/>
      <c r="K149" s="1314"/>
      <c r="L149" s="1319" t="str">
        <f>IFERROR(INDEX('Upper Cask Movement &amp; Logistics'!$I$24:$O$30,MATCH($J149,'Upper Cask Movement &amp; Logistics'!$H$24:$H$30,0),MATCH($K149,'Upper Cask Movement &amp; Logistics'!$H$24:$H$30,0)),"N/A")</f>
        <v>N/A</v>
      </c>
      <c r="M149" s="1319" t="str">
        <f>IFERROR(VLOOKUP($I149,'Upper Cask Movement &amp; Logistics'!$H$4:$I$8,2,FALSE),"N/A")</f>
        <v>N/A</v>
      </c>
      <c r="N149" s="1320" t="str">
        <f t="shared" si="4"/>
        <v>N/A</v>
      </c>
      <c r="O149" s="1321"/>
      <c r="P149" s="1322" t="str">
        <f>IF($D149="Logistics",VLOOKUP($O149,'Upper Cask Movement &amp; Logistics'!$C$4:$D$77,2,FALSE),"N/A")</f>
        <v>N/A</v>
      </c>
    </row>
    <row r="150" spans="2:16" x14ac:dyDescent="0.35">
      <c r="B150" s="3964" t="s">
        <v>1401</v>
      </c>
      <c r="C150" s="1324" t="str">
        <f>'Upper Cask Critical Path'!C145</f>
        <v>Collect Blanket Segment 4 from Hardware Cask 5</v>
      </c>
      <c r="D150" s="1324" t="s">
        <v>907</v>
      </c>
      <c r="E150" s="1291">
        <f t="shared" si="6"/>
        <v>0</v>
      </c>
      <c r="F150" s="1291">
        <f>IF($D150="Trigger",VLOOKUP($C150,'Upper Cask Critical Path'!$C$7:$F$336,4,FALSE),E150+F149)</f>
        <v>33.064629629629628</v>
      </c>
      <c r="G150" s="825"/>
      <c r="H150" s="1323" t="str">
        <f>IF(D150="operation",VLOOKUP(G150,'Generic Vertical Port Tasks'!#REF!,2,FALSE),"N/A")</f>
        <v>N/A</v>
      </c>
      <c r="I150" s="1324"/>
      <c r="J150" s="1324"/>
      <c r="K150" s="1324"/>
      <c r="L150" s="1325" t="str">
        <f>IFERROR(INDEX('Upper Cask Movement &amp; Logistics'!$I$24:$O$30,MATCH($J150,'Upper Cask Movement &amp; Logistics'!$H$24:$H$30,0),MATCH($K150,'Upper Cask Movement &amp; Logistics'!$H$24:$H$30,0)),"N/A")</f>
        <v>N/A</v>
      </c>
      <c r="M150" s="1325" t="str">
        <f>IFERROR(VLOOKUP($I150,'Upper Cask Movement &amp; Logistics'!$H$4:$I$8,2,FALSE),"N/A")</f>
        <v>N/A</v>
      </c>
      <c r="N150" s="1326" t="str">
        <f t="shared" si="4"/>
        <v>N/A</v>
      </c>
      <c r="O150" s="1327"/>
      <c r="P150" s="824" t="str">
        <f>IF($D150="Logistics",VLOOKUP($O150,'Upper Cask Movement &amp; Logistics'!$C$4:$D$77,2,FALSE),"N/A")</f>
        <v>N/A</v>
      </c>
    </row>
    <row r="151" spans="2:16" x14ac:dyDescent="0.35">
      <c r="B151" s="3969"/>
      <c r="C151" s="1362" t="s">
        <v>1268</v>
      </c>
      <c r="D151" s="1362" t="s">
        <v>3</v>
      </c>
      <c r="E151" s="1363">
        <f t="shared" si="6"/>
        <v>2.3000000000000003</v>
      </c>
      <c r="F151" s="1363">
        <f>IF($D151="Trigger",VLOOKUP($C151,'Upper Cask Critical Path'!$C$7:$F$336,4,FALSE),E151+F150)</f>
        <v>35.364629629629626</v>
      </c>
      <c r="G151" s="1364"/>
      <c r="H151" s="1365" t="str">
        <f>IF(D151="operation",VLOOKUP(G151,'Generic Vertical Port Tasks'!#REF!,2,FALSE),"N/A")</f>
        <v>N/A</v>
      </c>
      <c r="I151" s="1362"/>
      <c r="J151" s="1362"/>
      <c r="K151" s="1362"/>
      <c r="L151" s="1366" t="str">
        <f>IFERROR(INDEX('Upper Cask Movement &amp; Logistics'!$I$24:$O$30,MATCH($J151,'Upper Cask Movement &amp; Logistics'!$H$24:$H$30,0),MATCH($K151,'Upper Cask Movement &amp; Logistics'!$H$24:$H$30,0)),"N/A")</f>
        <v>N/A</v>
      </c>
      <c r="M151" s="1366" t="str">
        <f>IFERROR(VLOOKUP($I151,'Upper Cask Movement &amp; Logistics'!$H$4:$I$8,2,FALSE),"N/A")</f>
        <v>N/A</v>
      </c>
      <c r="N151" s="1367" t="str">
        <f t="shared" si="4"/>
        <v>N/A</v>
      </c>
      <c r="O151" s="1368" t="s">
        <v>1269</v>
      </c>
      <c r="P151" s="861">
        <f>IF($D151="Logistics",VLOOKUP($O151,'Upper Cask Movement &amp; Logistics'!$C$4:$D$77,2,FALSE),"N/A")</f>
        <v>2.3000000000000003</v>
      </c>
    </row>
    <row r="152" spans="2:16" x14ac:dyDescent="0.35">
      <c r="B152" s="3969"/>
      <c r="C152" s="1362" t="s">
        <v>1344</v>
      </c>
      <c r="D152" s="1362" t="s">
        <v>778</v>
      </c>
      <c r="E152" s="1363">
        <f t="shared" si="6"/>
        <v>0.69444444444444442</v>
      </c>
      <c r="F152" s="1363">
        <f>IF($D152="Trigger",VLOOKUP($C152,'Upper Cask Critical Path'!$C$7:$F$336,4,FALSE),E152+F151)</f>
        <v>36.059074074074069</v>
      </c>
      <c r="G152" s="1364"/>
      <c r="H152" s="1365" t="str">
        <f>IF(D152="operation",VLOOKUP(G152,'Generic Vertical Port Tasks'!#REF!,2,FALSE),"N/A")</f>
        <v>N/A</v>
      </c>
      <c r="I152" s="1362" t="s">
        <v>1789</v>
      </c>
      <c r="J152" s="1362" t="s">
        <v>901</v>
      </c>
      <c r="K152" s="1362" t="s">
        <v>831</v>
      </c>
      <c r="L152" s="1366">
        <f>IFERROR(INDEX('Upper Cask Movement &amp; Logistics'!$I$24:$O$30,MATCH($J152,'Upper Cask Movement &amp; Logistics'!$H$24:$H$30,0),MATCH($K152,'Upper Cask Movement &amp; Logistics'!$H$24:$H$30,0)),"N/A")</f>
        <v>50</v>
      </c>
      <c r="M152" s="1366">
        <f>IFERROR(VLOOKUP($I152,'Upper Cask Movement &amp; Logistics'!$H$4:$I$8,2,FALSE),"N/A")</f>
        <v>0.02</v>
      </c>
      <c r="N152" s="1367">
        <f t="shared" si="4"/>
        <v>0.69444444444444442</v>
      </c>
      <c r="O152" s="1368"/>
      <c r="P152" s="861" t="str">
        <f>IF($D152="Logistics",VLOOKUP($O152,'Upper Cask Movement &amp; Logistics'!$C$4:$D$77,2,FALSE),"N/A")</f>
        <v>N/A</v>
      </c>
    </row>
    <row r="153" spans="2:16" x14ac:dyDescent="0.35">
      <c r="B153" s="3969"/>
      <c r="C153" s="1362" t="s">
        <v>1400</v>
      </c>
      <c r="D153" s="1362" t="s">
        <v>3</v>
      </c>
      <c r="E153" s="1363">
        <f t="shared" si="6"/>
        <v>0.68</v>
      </c>
      <c r="F153" s="1363">
        <f>IF($D153="Trigger",VLOOKUP($C153,'Upper Cask Critical Path'!$C$7:$F$336,4,FALSE),E153+F152)</f>
        <v>36.739074074074068</v>
      </c>
      <c r="G153" s="1364"/>
      <c r="H153" s="1365" t="str">
        <f>IF(D153="operation",VLOOKUP(G153,'Generic Vertical Port Tasks'!#REF!,2,FALSE),"N/A")</f>
        <v>N/A</v>
      </c>
      <c r="I153" s="1362"/>
      <c r="J153" s="1362"/>
      <c r="K153" s="1362"/>
      <c r="L153" s="1366" t="str">
        <f>IFERROR(INDEX('Upper Cask Movement &amp; Logistics'!$I$24:$O$30,MATCH($J153,'Upper Cask Movement &amp; Logistics'!$H$24:$H$30,0),MATCH($K153,'Upper Cask Movement &amp; Logistics'!$H$24:$H$30,0)),"N/A")</f>
        <v>N/A</v>
      </c>
      <c r="M153" s="1366" t="str">
        <f>IFERROR(VLOOKUP($I153,'Upper Cask Movement &amp; Logistics'!$H$4:$I$8,2,FALSE),"N/A")</f>
        <v>N/A</v>
      </c>
      <c r="N153" s="1367" t="str">
        <f t="shared" si="4"/>
        <v>N/A</v>
      </c>
      <c r="O153" s="1368" t="s">
        <v>1213</v>
      </c>
      <c r="P153" s="861">
        <f>IF($D153="Logistics",VLOOKUP($O153,'Upper Cask Movement &amp; Logistics'!$C$4:$D$77,2,FALSE),"N/A")</f>
        <v>0.68</v>
      </c>
    </row>
    <row r="154" spans="2:16" x14ac:dyDescent="0.35">
      <c r="B154" s="3965"/>
      <c r="C154" s="1294" t="s">
        <v>1340</v>
      </c>
      <c r="D154" s="1294" t="s">
        <v>778</v>
      </c>
      <c r="E154" s="1292">
        <f t="shared" si="6"/>
        <v>0.23148148148148148</v>
      </c>
      <c r="F154" s="1292">
        <f>IF($D154="Trigger",VLOOKUP($C154,'Upper Cask Critical Path'!$C$7:$F$336,4,FALSE),E154+F153)</f>
        <v>36.970555555555549</v>
      </c>
      <c r="G154" s="862"/>
      <c r="H154" s="1328" t="str">
        <f>IF(D154="operation",VLOOKUP(G154,'Generic Vertical Port Tasks'!#REF!,2,FALSE),"N/A")</f>
        <v>N/A</v>
      </c>
      <c r="I154" s="1294" t="s">
        <v>2501</v>
      </c>
      <c r="J154" s="1294" t="s">
        <v>831</v>
      </c>
      <c r="K154" s="1294" t="s">
        <v>901</v>
      </c>
      <c r="L154" s="1329">
        <f>IFERROR(INDEX('Upper Cask Movement &amp; Logistics'!$I$24:$O$30,MATCH($J154,'Upper Cask Movement &amp; Logistics'!$H$24:$H$30,0),MATCH($K154,'Upper Cask Movement &amp; Logistics'!$H$24:$H$30,0)),"N/A")</f>
        <v>50</v>
      </c>
      <c r="M154" s="1329">
        <f>IFERROR(VLOOKUP($I154,'Upper Cask Movement &amp; Logistics'!$H$4:$I$8,2,FALSE),"N/A")</f>
        <v>0.06</v>
      </c>
      <c r="N154" s="1330">
        <f t="shared" si="4"/>
        <v>0.23148148148148148</v>
      </c>
      <c r="O154" s="1331"/>
      <c r="P154" s="1332" t="str">
        <f>IF($D154="Logistics",VLOOKUP($O154,'Upper Cask Movement &amp; Logistics'!$C$4:$D$77,2,FALSE),"N/A")</f>
        <v>N/A</v>
      </c>
    </row>
    <row r="155" spans="2:16" x14ac:dyDescent="0.35">
      <c r="B155" s="3965"/>
      <c r="C155" s="1294" t="s">
        <v>1391</v>
      </c>
      <c r="D155" s="1294" t="s">
        <v>3</v>
      </c>
      <c r="E155" s="1292">
        <f t="shared" si="6"/>
        <v>1.4000000000000001</v>
      </c>
      <c r="F155" s="1292">
        <f>IF($D155="Trigger",VLOOKUP($C155,'Upper Cask Critical Path'!$C$7:$F$336,4,FALSE),E155+F154)</f>
        <v>38.370555555555548</v>
      </c>
      <c r="G155" s="862"/>
      <c r="H155" s="1328" t="str">
        <f>IF(D155="operation",VLOOKUP(G155,'Generic Vertical Port Tasks'!#REF!,2,FALSE),"N/A")</f>
        <v>N/A</v>
      </c>
      <c r="I155" s="1294"/>
      <c r="J155" s="1294"/>
      <c r="K155" s="1294"/>
      <c r="L155" s="1329" t="str">
        <f>IFERROR(INDEX('Upper Cask Movement &amp; Logistics'!$I$24:$O$30,MATCH($J155,'Upper Cask Movement &amp; Logistics'!$H$24:$H$30,0),MATCH($K155,'Upper Cask Movement &amp; Logistics'!$H$24:$H$30,0)),"N/A")</f>
        <v>N/A</v>
      </c>
      <c r="M155" s="1329" t="str">
        <f>IFERROR(VLOOKUP($I155,'Upper Cask Movement &amp; Logistics'!$H$4:$I$8,2,FALSE),"N/A")</f>
        <v>N/A</v>
      </c>
      <c r="N155" s="1330" t="str">
        <f t="shared" si="4"/>
        <v>N/A</v>
      </c>
      <c r="O155" s="1331" t="s">
        <v>1277</v>
      </c>
      <c r="P155" s="1332">
        <f>IF($D155="Logistics",VLOOKUP($O155,'Upper Cask Movement &amp; Logistics'!$C$4:$D$77,2,FALSE),"N/A")</f>
        <v>1.4000000000000001</v>
      </c>
    </row>
    <row r="156" spans="2:16" ht="13.3" thickBot="1" x14ac:dyDescent="0.4">
      <c r="B156" s="3966"/>
      <c r="C156" s="1340" t="str">
        <f>B150</f>
        <v>RIB Blanket Segment stored; Hardware Cask 5 docked</v>
      </c>
      <c r="D156" s="1340" t="s">
        <v>11</v>
      </c>
      <c r="E156" s="1295">
        <f t="shared" si="6"/>
        <v>0</v>
      </c>
      <c r="F156" s="1295">
        <f>IF($D156="Trigger",VLOOKUP($C156,'Upper Cask Critical Path'!$C$7:$F$336,4,FALSE),E156+F155)</f>
        <v>38.370555555555548</v>
      </c>
      <c r="G156" s="839"/>
      <c r="H156" s="1341" t="str">
        <f>IF(D156="operation",VLOOKUP(G156,'Generic Vertical Port Tasks'!#REF!,2,FALSE),"N/A")</f>
        <v>N/A</v>
      </c>
      <c r="I156" s="1340"/>
      <c r="J156" s="1340"/>
      <c r="K156" s="1340"/>
      <c r="L156" s="1342" t="str">
        <f>IFERROR(INDEX('Upper Cask Movement &amp; Logistics'!$I$24:$O$30,MATCH($J156,'Upper Cask Movement &amp; Logistics'!$H$24:$H$30,0),MATCH($K156,'Upper Cask Movement &amp; Logistics'!$H$24:$H$30,0)),"N/A")</f>
        <v>N/A</v>
      </c>
      <c r="M156" s="1342" t="str">
        <f>IFERROR(VLOOKUP($I156,'Upper Cask Movement &amp; Logistics'!$H$4:$I$8,2,FALSE),"N/A")</f>
        <v>N/A</v>
      </c>
      <c r="N156" s="1343" t="str">
        <f t="shared" si="4"/>
        <v>N/A</v>
      </c>
      <c r="O156" s="1344"/>
      <c r="P156" s="1345" t="str">
        <f>IF($D156="Logistics",VLOOKUP($O156,'Upper Cask Movement &amp; Logistics'!$C$4:$D$77,2,FALSE),"N/A")</f>
        <v>N/A</v>
      </c>
    </row>
    <row r="157" spans="2:16" x14ac:dyDescent="0.35">
      <c r="B157" s="1369"/>
      <c r="C157" s="1370"/>
      <c r="D157" s="1370"/>
      <c r="E157" s="1370"/>
      <c r="F157" s="1370"/>
      <c r="G157" s="1370"/>
      <c r="H157" s="1370"/>
      <c r="I157" s="1370"/>
      <c r="J157" s="1370"/>
      <c r="K157" s="1370"/>
      <c r="L157" s="1370"/>
      <c r="M157" s="1370"/>
      <c r="N157" s="1370"/>
      <c r="O157" s="1370"/>
      <c r="P157" s="1371"/>
    </row>
    <row r="158" spans="2:16" x14ac:dyDescent="0.35">
      <c r="B158" s="1372"/>
      <c r="C158" s="1373"/>
      <c r="D158" s="1373"/>
      <c r="E158" s="1373"/>
      <c r="F158" s="1373"/>
      <c r="G158" s="1373"/>
      <c r="H158" s="1373"/>
      <c r="I158" s="1373"/>
      <c r="J158" s="1373"/>
      <c r="K158" s="1373"/>
      <c r="L158" s="1373"/>
      <c r="M158" s="1373"/>
      <c r="N158" s="1373"/>
      <c r="O158" s="1373"/>
      <c r="P158" s="1374"/>
    </row>
    <row r="159" spans="2:16" x14ac:dyDescent="0.35">
      <c r="B159" s="1372"/>
      <c r="C159" s="1373"/>
      <c r="D159" s="1373"/>
      <c r="E159" s="1373"/>
      <c r="F159" s="1373"/>
      <c r="G159" s="1373"/>
      <c r="H159" s="1373"/>
      <c r="I159" s="1373"/>
      <c r="J159" s="1373"/>
      <c r="K159" s="1373"/>
      <c r="L159" s="1373"/>
      <c r="M159" s="1373"/>
      <c r="N159" s="1373"/>
      <c r="O159" s="1373"/>
      <c r="P159" s="1374"/>
    </row>
    <row r="160" spans="2:16" ht="13.3" thickBot="1" x14ac:dyDescent="0.4">
      <c r="B160" s="1375"/>
      <c r="C160" s="1376"/>
      <c r="D160" s="1376"/>
      <c r="E160" s="1376"/>
      <c r="F160" s="1376"/>
      <c r="G160" s="1376"/>
      <c r="H160" s="1376"/>
      <c r="I160" s="1376"/>
      <c r="J160" s="1376"/>
      <c r="K160" s="1376"/>
      <c r="L160" s="1376"/>
      <c r="M160" s="1376"/>
      <c r="N160" s="1376"/>
      <c r="O160" s="1376"/>
      <c r="P160" s="1377"/>
    </row>
    <row r="161" spans="2:16" x14ac:dyDescent="0.35">
      <c r="B161" s="3960" t="s">
        <v>1273</v>
      </c>
      <c r="C161" s="1333" t="str">
        <f>'Upper Cask Critical Path'!C135</f>
        <v>Blanket Installation Required</v>
      </c>
      <c r="D161" s="1333" t="s">
        <v>907</v>
      </c>
      <c r="E161" s="1303">
        <f t="shared" ref="E161:E217" si="7">MAX($P161,$N161,$H161)</f>
        <v>0</v>
      </c>
      <c r="F161" s="1303">
        <f>IF($D161="Trigger",VLOOKUP($C161,'Upper Cask Critical Path'!$C$135:$F$336,4,FALSE),E161+F152)</f>
        <v>0</v>
      </c>
      <c r="G161" s="1304"/>
      <c r="H161" s="1305" t="str">
        <f>IF(D161="operation",VLOOKUP(G161,'Generic Vertical Port Tasks'!#REF!,2,FALSE),"N/A")</f>
        <v>N/A</v>
      </c>
      <c r="I161" s="1333"/>
      <c r="J161" s="1333"/>
      <c r="K161" s="1333"/>
      <c r="L161" s="1334" t="str">
        <f>IFERROR(INDEX('Upper Cask Movement &amp; Logistics'!$I$24:$O$30,MATCH($J161,'Upper Cask Movement &amp; Logistics'!$H$24:$H$30,0),MATCH($K161,'Upper Cask Movement &amp; Logistics'!$H$24:$H$30,0)),"N/A")</f>
        <v>N/A</v>
      </c>
      <c r="M161" s="1334" t="str">
        <f>IFERROR(VLOOKUP($I161,'Upper Cask Movement &amp; Logistics'!$H$4:$I$8,2,FALSE),"N/A")</f>
        <v>N/A</v>
      </c>
      <c r="N161" s="1335" t="str">
        <f t="shared" ref="N161:N206" si="8">IF(D161="Movement",IFERROR((L161/M161)/(60*60),"Error"),"N/A")</f>
        <v>N/A</v>
      </c>
      <c r="O161" s="1336"/>
      <c r="P161" s="1337" t="str">
        <f>IF($D161="Logistics",VLOOKUP($O161,'Upper Cask Movement &amp; Logistics'!$C$4:$D$77,2,FALSE),"N/A")</f>
        <v>N/A</v>
      </c>
    </row>
    <row r="162" spans="2:16" x14ac:dyDescent="0.35">
      <c r="B162" s="3968"/>
      <c r="C162" s="1240" t="s">
        <v>1268</v>
      </c>
      <c r="D162" s="1240" t="s">
        <v>3</v>
      </c>
      <c r="E162" s="1241">
        <f t="shared" si="7"/>
        <v>2.3000000000000003</v>
      </c>
      <c r="F162" s="1241">
        <f>IF($D162="Trigger",VLOOKUP($C162,'Upper Cask Critical Path'!$C$135:$F$336,4,FALSE),E162+F161)</f>
        <v>2.3000000000000003</v>
      </c>
      <c r="G162" s="1354"/>
      <c r="H162" s="1355" t="str">
        <f>IF(D162="operation",VLOOKUP(G162,'Generic Vertical Port Tasks'!#REF!,2,FALSE),"N/A")</f>
        <v>N/A</v>
      </c>
      <c r="I162" s="1240"/>
      <c r="J162" s="1240"/>
      <c r="K162" s="1240"/>
      <c r="L162" s="1242" t="str">
        <f>IFERROR(INDEX('Upper Cask Movement &amp; Logistics'!$I$24:$O$30,MATCH($J162,'Upper Cask Movement &amp; Logistics'!$H$24:$H$30,0),MATCH($K162,'Upper Cask Movement &amp; Logistics'!$H$24:$H$30,0)),"N/A")</f>
        <v>N/A</v>
      </c>
      <c r="M162" s="1242" t="str">
        <f>IFERROR(VLOOKUP($I162,'Upper Cask Movement &amp; Logistics'!$H$4:$I$8,2,FALSE),"N/A")</f>
        <v>N/A</v>
      </c>
      <c r="N162" s="1356" t="str">
        <f t="shared" si="8"/>
        <v>N/A</v>
      </c>
      <c r="O162" s="1357" t="s">
        <v>1269</v>
      </c>
      <c r="P162" s="1358">
        <f>IF($D162="Logistics",VLOOKUP($O162,'Upper Cask Movement &amp; Logistics'!$C$4:$D$77,2,FALSE),"N/A")</f>
        <v>2.3000000000000003</v>
      </c>
    </row>
    <row r="163" spans="2:16" x14ac:dyDescent="0.35">
      <c r="B163" s="3968"/>
      <c r="C163" s="1240" t="s">
        <v>1402</v>
      </c>
      <c r="D163" s="1240" t="s">
        <v>778</v>
      </c>
      <c r="E163" s="1241">
        <f t="shared" si="7"/>
        <v>0.11574074074074074</v>
      </c>
      <c r="F163" s="1241">
        <f>IF($D163="Trigger",VLOOKUP($C163,'Upper Cask Critical Path'!$C$135:$F$336,4,FALSE),E163+F162)</f>
        <v>2.4157407407407412</v>
      </c>
      <c r="G163" s="1354"/>
      <c r="H163" s="1355" t="str">
        <f>IF(D163="operation",VLOOKUP(G163,'Generic Vertical Port Tasks'!#REF!,2,FALSE),"N/A")</f>
        <v>N/A</v>
      </c>
      <c r="I163" s="1240" t="s">
        <v>2501</v>
      </c>
      <c r="J163" s="1240" t="s">
        <v>901</v>
      </c>
      <c r="K163" s="1240" t="s">
        <v>858</v>
      </c>
      <c r="L163" s="1242">
        <f>IFERROR(INDEX('Upper Cask Movement &amp; Logistics'!$I$24:$O$30,MATCH($J163,'Upper Cask Movement &amp; Logistics'!$H$24:$H$30,0),MATCH($K163,'Upper Cask Movement &amp; Logistics'!$H$24:$H$30,0)),"N/A")</f>
        <v>25</v>
      </c>
      <c r="M163" s="1242">
        <f>IFERROR(VLOOKUP($I163,'Upper Cask Movement &amp; Logistics'!$H$4:$I$8,2,FALSE),"N/A")</f>
        <v>0.06</v>
      </c>
      <c r="N163" s="1356">
        <f t="shared" si="8"/>
        <v>0.11574074074074074</v>
      </c>
      <c r="O163" s="1357"/>
      <c r="P163" s="1358" t="str">
        <f>IF($D163="Logistics",VLOOKUP($O163,'Upper Cask Movement &amp; Logistics'!$C$4:$D$77,2,FALSE),"N/A")</f>
        <v>N/A</v>
      </c>
    </row>
    <row r="164" spans="2:16" x14ac:dyDescent="0.35">
      <c r="B164" s="3968"/>
      <c r="C164" s="1240" t="s">
        <v>1403</v>
      </c>
      <c r="D164" s="1240" t="s">
        <v>3</v>
      </c>
      <c r="E164" s="1241">
        <f t="shared" si="7"/>
        <v>0.63000000000000012</v>
      </c>
      <c r="F164" s="1241">
        <f>IF($D164="Trigger",VLOOKUP($C164,'Upper Cask Critical Path'!$C$135:$F$336,4,FALSE),E164+F163)</f>
        <v>3.0457407407407411</v>
      </c>
      <c r="G164" s="1354"/>
      <c r="H164" s="1355" t="str">
        <f>IF(D164="operation",VLOOKUP(G164,'Generic Vertical Port Tasks'!#REF!,2,FALSE),"N/A")</f>
        <v>N/A</v>
      </c>
      <c r="I164" s="1240"/>
      <c r="J164" s="1240"/>
      <c r="K164" s="1240"/>
      <c r="L164" s="1242" t="str">
        <f>IFERROR(INDEX('Upper Cask Movement &amp; Logistics'!$I$24:$O$30,MATCH($J164,'Upper Cask Movement &amp; Logistics'!$H$24:$H$30,0),MATCH($K164,'Upper Cask Movement &amp; Logistics'!$H$24:$H$30,0)),"N/A")</f>
        <v>N/A</v>
      </c>
      <c r="M164" s="1242" t="str">
        <f>IFERROR(VLOOKUP($I164,'Upper Cask Movement &amp; Logistics'!$H$4:$I$8,2,FALSE),"N/A")</f>
        <v>N/A</v>
      </c>
      <c r="N164" s="1356" t="str">
        <f t="shared" si="8"/>
        <v>N/A</v>
      </c>
      <c r="O164" s="1357" t="s">
        <v>1228</v>
      </c>
      <c r="P164" s="1358">
        <f>IF($D164="Logistics",VLOOKUP($O164,'Upper Cask Movement &amp; Logistics'!$C$4:$D$77,2,FALSE),"N/A")</f>
        <v>0.63000000000000012</v>
      </c>
    </row>
    <row r="165" spans="2:16" x14ac:dyDescent="0.35">
      <c r="B165" s="3961"/>
      <c r="C165" s="1243" t="s">
        <v>1340</v>
      </c>
      <c r="D165" s="1243" t="s">
        <v>778</v>
      </c>
      <c r="E165" s="1244">
        <f t="shared" si="7"/>
        <v>0.69444444444444442</v>
      </c>
      <c r="F165" s="1244">
        <f>IF($D165="Trigger",VLOOKUP($C165,'Upper Cask Critical Path'!$C$135:$F$336,4,FALSE),E165+F164)</f>
        <v>3.7401851851851857</v>
      </c>
      <c r="G165" s="1309"/>
      <c r="H165" s="1310" t="str">
        <f>IF(D165="operation",VLOOKUP(G165,'Generic Vertical Port Tasks'!#REF!,2,FALSE),"N/A")</f>
        <v>N/A</v>
      </c>
      <c r="I165" s="1243" t="s">
        <v>1789</v>
      </c>
      <c r="J165" s="1243" t="s">
        <v>831</v>
      </c>
      <c r="K165" s="1243" t="s">
        <v>901</v>
      </c>
      <c r="L165" s="1245">
        <f>IFERROR(INDEX('Upper Cask Movement &amp; Logistics'!$I$24:$O$30,MATCH($J165,'Upper Cask Movement &amp; Logistics'!$H$24:$H$30,0),MATCH($K165,'Upper Cask Movement &amp; Logistics'!$H$24:$H$30,0)),"N/A")</f>
        <v>50</v>
      </c>
      <c r="M165" s="1245">
        <f>IFERROR(VLOOKUP($I165,'Upper Cask Movement &amp; Logistics'!$H$4:$I$8,2,FALSE),"N/A")</f>
        <v>0.02</v>
      </c>
      <c r="N165" s="1311">
        <f t="shared" si="8"/>
        <v>0.69444444444444442</v>
      </c>
      <c r="O165" s="1312"/>
      <c r="P165" s="1313" t="str">
        <f>IF($D165="Logistics",VLOOKUP($O165,'Upper Cask Movement &amp; Logistics'!$C$4:$D$77,2,FALSE),"N/A")</f>
        <v>N/A</v>
      </c>
    </row>
    <row r="166" spans="2:16" x14ac:dyDescent="0.35">
      <c r="B166" s="3961"/>
      <c r="C166" s="1243" t="s">
        <v>1404</v>
      </c>
      <c r="D166" s="1243" t="s">
        <v>3</v>
      </c>
      <c r="E166" s="1244">
        <f t="shared" si="7"/>
        <v>1.4000000000000001</v>
      </c>
      <c r="F166" s="1244">
        <f>IF($D166="Trigger",VLOOKUP($C166,'Upper Cask Critical Path'!$C$135:$F$336,4,FALSE),E166+F165)</f>
        <v>5.1401851851851861</v>
      </c>
      <c r="G166" s="1309"/>
      <c r="H166" s="1310" t="str">
        <f>IF(D166="operation",VLOOKUP(G166,'Generic Vertical Port Tasks'!#REF!,2,FALSE),"N/A")</f>
        <v>N/A</v>
      </c>
      <c r="I166" s="1243"/>
      <c r="J166" s="1243"/>
      <c r="K166" s="1243"/>
      <c r="L166" s="1245" t="str">
        <f>IFERROR(INDEX('Upper Cask Movement &amp; Logistics'!$I$24:$O$30,MATCH($J166,'Upper Cask Movement &amp; Logistics'!$H$24:$H$30,0),MATCH($K166,'Upper Cask Movement &amp; Logistics'!$H$24:$H$30,0)),"N/A")</f>
        <v>N/A</v>
      </c>
      <c r="M166" s="1245" t="str">
        <f>IFERROR(VLOOKUP($I166,'Upper Cask Movement &amp; Logistics'!$H$4:$I$8,2,FALSE),"N/A")</f>
        <v>N/A</v>
      </c>
      <c r="N166" s="1311" t="str">
        <f t="shared" si="8"/>
        <v>N/A</v>
      </c>
      <c r="O166" s="1312" t="s">
        <v>1277</v>
      </c>
      <c r="P166" s="1313">
        <f>IF($D166="Logistics",VLOOKUP($O166,'Upper Cask Movement &amp; Logistics'!$C$4:$D$77,2,FALSE),"N/A")</f>
        <v>1.4000000000000001</v>
      </c>
    </row>
    <row r="167" spans="2:16" ht="13.3" thickBot="1" x14ac:dyDescent="0.4">
      <c r="B167" s="3963"/>
      <c r="C167" s="1314" t="str">
        <f>B161</f>
        <v>Port Inspection System Collected; Hardware Cask 7 docked</v>
      </c>
      <c r="D167" s="1314" t="s">
        <v>11</v>
      </c>
      <c r="E167" s="1316">
        <f t="shared" si="7"/>
        <v>0</v>
      </c>
      <c r="F167" s="1316">
        <f>IF($D167="Trigger",VLOOKUP($C167,'Upper Cask Critical Path'!$C$135:$F$336,4,FALSE),E167+F166)</f>
        <v>5.1401851851851861</v>
      </c>
      <c r="G167" s="1317"/>
      <c r="H167" s="1318" t="str">
        <f>IF(D167="operation",VLOOKUP(G167,'Generic Vertical Port Tasks'!#REF!,2,FALSE),"N/A")</f>
        <v>N/A</v>
      </c>
      <c r="I167" s="1314"/>
      <c r="J167" s="1314"/>
      <c r="K167" s="1314"/>
      <c r="L167" s="1319" t="str">
        <f>IFERROR(INDEX('Upper Cask Movement &amp; Logistics'!$I$24:$O$30,MATCH($J167,'Upper Cask Movement &amp; Logistics'!$H$24:$H$30,0),MATCH($K167,'Upper Cask Movement &amp; Logistics'!$H$24:$H$30,0)),"N/A")</f>
        <v>N/A</v>
      </c>
      <c r="M167" s="1319" t="str">
        <f>IFERROR(VLOOKUP($I167,'Upper Cask Movement &amp; Logistics'!$H$4:$I$8,2,FALSE),"N/A")</f>
        <v>N/A</v>
      </c>
      <c r="N167" s="1320" t="str">
        <f t="shared" si="8"/>
        <v>N/A</v>
      </c>
      <c r="O167" s="1321"/>
      <c r="P167" s="1322" t="str">
        <f>IF($D167="Logistics",VLOOKUP($O167,'Upper Cask Movement &amp; Logistics'!$C$4:$D$77,2,FALSE),"N/A")</f>
        <v>N/A</v>
      </c>
    </row>
    <row r="168" spans="2:16" x14ac:dyDescent="0.35">
      <c r="B168" s="3960" t="s">
        <v>1280</v>
      </c>
      <c r="C168" s="1333" t="str">
        <f>'Upper Cask Critical Path'!C135</f>
        <v>Blanket Installation Required</v>
      </c>
      <c r="D168" s="1333" t="s">
        <v>907</v>
      </c>
      <c r="E168" s="1303">
        <f t="shared" si="7"/>
        <v>0</v>
      </c>
      <c r="F168" s="1303">
        <f>IF($D168="Trigger",VLOOKUP($C168,'Upper Cask Critical Path'!$C$135:$F$336,4,FALSE),E168+F167)</f>
        <v>0</v>
      </c>
      <c r="G168" s="1304"/>
      <c r="H168" s="1305" t="str">
        <f>IF(D168="operation",VLOOKUP(G168,'Generic Vertical Port Tasks'!#REF!,2,FALSE),"N/A")</f>
        <v>N/A</v>
      </c>
      <c r="I168" s="1333"/>
      <c r="J168" s="1333"/>
      <c r="K168" s="1333"/>
      <c r="L168" s="1334" t="str">
        <f>IFERROR(INDEX('Upper Cask Movement &amp; Logistics'!$I$24:$O$30,MATCH($J168,'Upper Cask Movement &amp; Logistics'!$H$24:$H$30,0),MATCH($K168,'Upper Cask Movement &amp; Logistics'!$H$24:$H$30,0)),"N/A")</f>
        <v>N/A</v>
      </c>
      <c r="M168" s="1334" t="str">
        <f>IFERROR(VLOOKUP($I168,'Upper Cask Movement &amp; Logistics'!$H$4:$I$8,2,FALSE),"N/A")</f>
        <v>N/A</v>
      </c>
      <c r="N168" s="1335" t="str">
        <f t="shared" si="8"/>
        <v>N/A</v>
      </c>
      <c r="O168" s="1336"/>
      <c r="P168" s="1337" t="str">
        <f>IF($D168="Logistics",VLOOKUP($O168,'Upper Cask Movement &amp; Logistics'!$C$4:$D$77,2,FALSE),"N/A")</f>
        <v>N/A</v>
      </c>
    </row>
    <row r="169" spans="2:16" x14ac:dyDescent="0.35">
      <c r="B169" s="3968"/>
      <c r="C169" s="1240" t="s">
        <v>1405</v>
      </c>
      <c r="D169" s="1240" t="s">
        <v>3</v>
      </c>
      <c r="E169" s="1241">
        <f t="shared" si="7"/>
        <v>2.3000000000000003</v>
      </c>
      <c r="F169" s="1241">
        <f>IF($D169="Trigger",VLOOKUP($C169,'Upper Cask Critical Path'!$C$135:$F$336,4,FALSE),E169+F168)</f>
        <v>2.3000000000000003</v>
      </c>
      <c r="G169" s="1354"/>
      <c r="H169" s="1355" t="str">
        <f>IF(D169="operation",VLOOKUP(G169,'Generic Vertical Port Tasks'!#REF!,2,FALSE),"N/A")</f>
        <v>N/A</v>
      </c>
      <c r="I169" s="1240"/>
      <c r="J169" s="1240"/>
      <c r="K169" s="1240"/>
      <c r="L169" s="1242" t="str">
        <f>IFERROR(INDEX('Upper Cask Movement &amp; Logistics'!$I$24:$O$30,MATCH($J169,'Upper Cask Movement &amp; Logistics'!$H$24:$H$30,0),MATCH($K169,'Upper Cask Movement &amp; Logistics'!$H$24:$H$30,0)),"N/A")</f>
        <v>N/A</v>
      </c>
      <c r="M169" s="1242" t="str">
        <f>IFERROR(VLOOKUP($I169,'Upper Cask Movement &amp; Logistics'!$H$4:$I$8,2,FALSE),"N/A")</f>
        <v>N/A</v>
      </c>
      <c r="N169" s="1356" t="str">
        <f t="shared" si="8"/>
        <v>N/A</v>
      </c>
      <c r="O169" s="1357" t="s">
        <v>1269</v>
      </c>
      <c r="P169" s="1358">
        <f>IF($D169="Logistics",VLOOKUP($O169,'Upper Cask Movement &amp; Logistics'!$C$4:$D$77,2,FALSE),"N/A")</f>
        <v>2.3000000000000003</v>
      </c>
    </row>
    <row r="170" spans="2:16" x14ac:dyDescent="0.35">
      <c r="B170" s="3968"/>
      <c r="C170" s="1240" t="s">
        <v>1402</v>
      </c>
      <c r="D170" s="1240" t="s">
        <v>778</v>
      </c>
      <c r="E170" s="1241">
        <f t="shared" si="7"/>
        <v>0.11574074074074074</v>
      </c>
      <c r="F170" s="1241">
        <f>IF($D170="Trigger",VLOOKUP($C170,'Upper Cask Critical Path'!$C$135:$F$336,4,FALSE),E170+F169)</f>
        <v>2.4157407407407412</v>
      </c>
      <c r="G170" s="1354"/>
      <c r="H170" s="1355" t="str">
        <f>IF(D170="operation",VLOOKUP(G170,'Generic Vertical Port Tasks'!#REF!,2,FALSE),"N/A")</f>
        <v>N/A</v>
      </c>
      <c r="I170" s="1240" t="s">
        <v>2501</v>
      </c>
      <c r="J170" s="1240" t="s">
        <v>901</v>
      </c>
      <c r="K170" s="1240" t="s">
        <v>858</v>
      </c>
      <c r="L170" s="1242">
        <f>IFERROR(INDEX('Upper Cask Movement &amp; Logistics'!$I$24:$O$30,MATCH($J170,'Upper Cask Movement &amp; Logistics'!$H$24:$H$30,0),MATCH($K170,'Upper Cask Movement &amp; Logistics'!$H$24:$H$30,0)),"N/A")</f>
        <v>25</v>
      </c>
      <c r="M170" s="1242">
        <f>IFERROR(VLOOKUP($I170,'Upper Cask Movement &amp; Logistics'!$H$4:$I$8,2,FALSE),"N/A")</f>
        <v>0.06</v>
      </c>
      <c r="N170" s="1356">
        <f t="shared" si="8"/>
        <v>0.11574074074074074</v>
      </c>
      <c r="O170" s="1357"/>
      <c r="P170" s="1358" t="str">
        <f>IF($D170="Logistics",VLOOKUP($O170,'Upper Cask Movement &amp; Logistics'!$C$4:$D$77,2,FALSE),"N/A")</f>
        <v>N/A</v>
      </c>
    </row>
    <row r="171" spans="2:16" x14ac:dyDescent="0.35">
      <c r="B171" s="3968"/>
      <c r="C171" s="1240" t="s">
        <v>1406</v>
      </c>
      <c r="D171" s="1240" t="s">
        <v>3</v>
      </c>
      <c r="E171" s="1241">
        <f t="shared" si="7"/>
        <v>0.63000000000000012</v>
      </c>
      <c r="F171" s="1241">
        <f>IF($D171="Trigger",VLOOKUP($C171,'Upper Cask Critical Path'!$C$135:$F$336,4,FALSE),E171+F170)</f>
        <v>3.0457407407407411</v>
      </c>
      <c r="G171" s="1354"/>
      <c r="H171" s="1355" t="str">
        <f>IF(D171="operation",VLOOKUP(G171,'Generic Vertical Port Tasks'!#REF!,2,FALSE),"N/A")</f>
        <v>N/A</v>
      </c>
      <c r="I171" s="1240"/>
      <c r="J171" s="1240"/>
      <c r="K171" s="1240"/>
      <c r="L171" s="1242" t="str">
        <f>IFERROR(INDEX('Upper Cask Movement &amp; Logistics'!$I$24:$O$30,MATCH($J171,'Upper Cask Movement &amp; Logistics'!$H$24:$H$30,0),MATCH($K171,'Upper Cask Movement &amp; Logistics'!$H$24:$H$30,0)),"N/A")</f>
        <v>N/A</v>
      </c>
      <c r="M171" s="1242" t="str">
        <f>IFERROR(VLOOKUP($I171,'Upper Cask Movement &amp; Logistics'!$H$4:$I$8,2,FALSE),"N/A")</f>
        <v>N/A</v>
      </c>
      <c r="N171" s="1356" t="str">
        <f t="shared" si="8"/>
        <v>N/A</v>
      </c>
      <c r="O171" s="1357" t="s">
        <v>1228</v>
      </c>
      <c r="P171" s="1358">
        <f>IF($D171="Logistics",VLOOKUP($O171,'Upper Cask Movement &amp; Logistics'!$C$4:$D$77,2,FALSE),"N/A")</f>
        <v>0.63000000000000012</v>
      </c>
    </row>
    <row r="172" spans="2:16" x14ac:dyDescent="0.35">
      <c r="B172" s="3961"/>
      <c r="C172" s="1243" t="s">
        <v>1340</v>
      </c>
      <c r="D172" s="1243" t="s">
        <v>778</v>
      </c>
      <c r="E172" s="1244">
        <f t="shared" si="7"/>
        <v>0.69444444444444442</v>
      </c>
      <c r="F172" s="1244">
        <f>IF($D172="Trigger",VLOOKUP($C172,'Upper Cask Critical Path'!$C$135:$F$336,4,FALSE),E172+F171)</f>
        <v>3.7401851851851857</v>
      </c>
      <c r="G172" s="1309"/>
      <c r="H172" s="1310" t="str">
        <f>IF(D172="operation",VLOOKUP(G172,'Generic Vertical Port Tasks'!#REF!,2,FALSE),"N/A")</f>
        <v>N/A</v>
      </c>
      <c r="I172" s="1243" t="s">
        <v>1789</v>
      </c>
      <c r="J172" s="1243" t="s">
        <v>831</v>
      </c>
      <c r="K172" s="1243" t="s">
        <v>901</v>
      </c>
      <c r="L172" s="1245">
        <f>IFERROR(INDEX('Upper Cask Movement &amp; Logistics'!$I$24:$O$30,MATCH($J172,'Upper Cask Movement &amp; Logistics'!$H$24:$H$30,0),MATCH($K172,'Upper Cask Movement &amp; Logistics'!$H$24:$H$30,0)),"N/A")</f>
        <v>50</v>
      </c>
      <c r="M172" s="1245">
        <f>IFERROR(VLOOKUP($I172,'Upper Cask Movement &amp; Logistics'!$H$4:$I$8,2,FALSE),"N/A")</f>
        <v>0.02</v>
      </c>
      <c r="N172" s="1311">
        <f t="shared" si="8"/>
        <v>0.69444444444444442</v>
      </c>
      <c r="O172" s="1312"/>
      <c r="P172" s="1313" t="str">
        <f>IF($D172="Logistics",VLOOKUP($O172,'Upper Cask Movement &amp; Logistics'!$C$4:$D$77,2,FALSE),"N/A")</f>
        <v>N/A</v>
      </c>
    </row>
    <row r="173" spans="2:16" x14ac:dyDescent="0.35">
      <c r="B173" s="3961"/>
      <c r="C173" s="1243" t="s">
        <v>1391</v>
      </c>
      <c r="D173" s="1243" t="s">
        <v>3</v>
      </c>
      <c r="E173" s="1244">
        <f t="shared" si="7"/>
        <v>1.4000000000000001</v>
      </c>
      <c r="F173" s="1244">
        <f>IF($D173="Trigger",VLOOKUP($C173,'Upper Cask Critical Path'!$C$135:$F$336,4,FALSE),E173+F172)</f>
        <v>5.1401851851851861</v>
      </c>
      <c r="G173" s="1309"/>
      <c r="H173" s="1310" t="str">
        <f>IF(D173="operation",VLOOKUP(G173,'Generic Vertical Port Tasks'!#REF!,2,FALSE),"N/A")</f>
        <v>N/A</v>
      </c>
      <c r="I173" s="1243"/>
      <c r="J173" s="1243"/>
      <c r="K173" s="1243"/>
      <c r="L173" s="1245" t="str">
        <f>IFERROR(INDEX('Upper Cask Movement &amp; Logistics'!$I$24:$O$30,MATCH($J173,'Upper Cask Movement &amp; Logistics'!$H$24:$H$30,0),MATCH($K173,'Upper Cask Movement &amp; Logistics'!$H$24:$H$30,0)),"N/A")</f>
        <v>N/A</v>
      </c>
      <c r="M173" s="1245" t="str">
        <f>IFERROR(VLOOKUP($I173,'Upper Cask Movement &amp; Logistics'!$H$4:$I$8,2,FALSE),"N/A")</f>
        <v>N/A</v>
      </c>
      <c r="N173" s="1311" t="str">
        <f t="shared" si="8"/>
        <v>N/A</v>
      </c>
      <c r="O173" s="1312" t="s">
        <v>1277</v>
      </c>
      <c r="P173" s="1313">
        <f>IF($D173="Logistics",VLOOKUP($O173,'Upper Cask Movement &amp; Logistics'!$C$4:$D$77,2,FALSE),"N/A")</f>
        <v>1.4000000000000001</v>
      </c>
    </row>
    <row r="174" spans="2:16" ht="13.3" thickBot="1" x14ac:dyDescent="0.4">
      <c r="B174" s="3963"/>
      <c r="C174" s="1314" t="str">
        <f>B168</f>
        <v>RIB Blanket Segment Collected; Hardware Cask 6 docked</v>
      </c>
      <c r="D174" s="1314" t="s">
        <v>11</v>
      </c>
      <c r="E174" s="1316">
        <f t="shared" si="7"/>
        <v>0</v>
      </c>
      <c r="F174" s="1316">
        <f>IF($D174="Trigger",VLOOKUP($C174,'Upper Cask Critical Path'!$C$135:$F$336,4,FALSE),E174+F173)</f>
        <v>5.1401851851851861</v>
      </c>
      <c r="G174" s="1317"/>
      <c r="H174" s="1318" t="str">
        <f>IF(D174="operation",VLOOKUP(G174,'Generic Vertical Port Tasks'!#REF!,2,FALSE),"N/A")</f>
        <v>N/A</v>
      </c>
      <c r="I174" s="1314"/>
      <c r="J174" s="1314"/>
      <c r="K174" s="1314"/>
      <c r="L174" s="1319" t="str">
        <f>IFERROR(INDEX('Upper Cask Movement &amp; Logistics'!$I$24:$O$30,MATCH($J174,'Upper Cask Movement &amp; Logistics'!$H$24:$H$30,0),MATCH($K174,'Upper Cask Movement &amp; Logistics'!$H$24:$H$30,0)),"N/A")</f>
        <v>N/A</v>
      </c>
      <c r="M174" s="1319" t="str">
        <f>IFERROR(VLOOKUP($I174,'Upper Cask Movement &amp; Logistics'!$H$4:$I$8,2,FALSE),"N/A")</f>
        <v>N/A</v>
      </c>
      <c r="N174" s="1320" t="str">
        <f t="shared" si="8"/>
        <v>N/A</v>
      </c>
      <c r="O174" s="1321"/>
      <c r="P174" s="1322" t="str">
        <f>IF($D174="Logistics",VLOOKUP($O174,'Upper Cask Movement &amp; Logistics'!$C$4:$D$77,2,FALSE),"N/A")</f>
        <v>N/A</v>
      </c>
    </row>
    <row r="175" spans="2:16" x14ac:dyDescent="0.35">
      <c r="B175" s="3964" t="s">
        <v>1282</v>
      </c>
      <c r="C175" s="1324" t="str">
        <f>'Upper Cask Critical Path'!C142</f>
        <v>Collect Blanket Segment 5 from Hardware Cask 6</v>
      </c>
      <c r="D175" s="1324" t="s">
        <v>907</v>
      </c>
      <c r="E175" s="1291">
        <f t="shared" si="7"/>
        <v>0</v>
      </c>
      <c r="F175" s="1291">
        <f>IF($D175="Trigger",VLOOKUP($C175,'Upper Cask Critical Path'!$C$135:$F$336,4,FALSE),E175+F174)</f>
        <v>27.75462962962963</v>
      </c>
      <c r="G175" s="825"/>
      <c r="H175" s="1323" t="str">
        <f>IF(D175="operation",VLOOKUP(G175,'Generic Vertical Port Tasks'!#REF!,2,FALSE),"N/A")</f>
        <v>N/A</v>
      </c>
      <c r="I175" s="1324"/>
      <c r="J175" s="1324"/>
      <c r="K175" s="1324"/>
      <c r="L175" s="1325" t="str">
        <f>IFERROR(INDEX('Upper Cask Movement &amp; Logistics'!$I$24:$O$30,MATCH($J175,'Upper Cask Movement &amp; Logistics'!$H$24:$H$30,0),MATCH($K175,'Upper Cask Movement &amp; Logistics'!$H$24:$H$30,0)),"N/A")</f>
        <v>N/A</v>
      </c>
      <c r="M175" s="1325" t="str">
        <f>IFERROR(VLOOKUP($I175,'Upper Cask Movement &amp; Logistics'!$H$4:$I$8,2,FALSE),"N/A")</f>
        <v>N/A</v>
      </c>
      <c r="N175" s="1326" t="str">
        <f t="shared" si="8"/>
        <v>N/A</v>
      </c>
      <c r="O175" s="1327"/>
      <c r="P175" s="824" t="str">
        <f>IF($D175="Logistics",VLOOKUP($O175,'Upper Cask Movement &amp; Logistics'!$C$4:$D$77,2,FALSE),"N/A")</f>
        <v>N/A</v>
      </c>
    </row>
    <row r="176" spans="2:16" x14ac:dyDescent="0.35">
      <c r="B176" s="3969"/>
      <c r="C176" s="1362" t="s">
        <v>1395</v>
      </c>
      <c r="D176" s="1362" t="s">
        <v>3</v>
      </c>
      <c r="E176" s="1363">
        <f t="shared" si="7"/>
        <v>2.3000000000000003</v>
      </c>
      <c r="F176" s="1363">
        <f>IF($D176="Trigger",VLOOKUP($C176,'Upper Cask Critical Path'!$C$135:$F$336,4,FALSE),E176+F175)</f>
        <v>30.05462962962963</v>
      </c>
      <c r="G176" s="1364"/>
      <c r="H176" s="1365" t="str">
        <f>IF(D176="operation",VLOOKUP(G176,'Generic Vertical Port Tasks'!#REF!,2,FALSE),"N/A")</f>
        <v>N/A</v>
      </c>
      <c r="I176" s="1362"/>
      <c r="J176" s="1362"/>
      <c r="K176" s="1362"/>
      <c r="L176" s="1366" t="str">
        <f>IFERROR(INDEX('Upper Cask Movement &amp; Logistics'!$I$24:$O$30,MATCH($J176,'Upper Cask Movement &amp; Logistics'!$H$24:$H$30,0),MATCH($K176,'Upper Cask Movement &amp; Logistics'!$H$24:$H$30,0)),"N/A")</f>
        <v>N/A</v>
      </c>
      <c r="M176" s="1366" t="str">
        <f>IFERROR(VLOOKUP($I176,'Upper Cask Movement &amp; Logistics'!$H$4:$I$8,2,FALSE),"N/A")</f>
        <v>N/A</v>
      </c>
      <c r="N176" s="1367" t="str">
        <f t="shared" si="8"/>
        <v>N/A</v>
      </c>
      <c r="O176" s="1368" t="s">
        <v>1269</v>
      </c>
      <c r="P176" s="861">
        <f>IF($D176="Logistics",VLOOKUP($O176,'Upper Cask Movement &amp; Logistics'!$C$4:$D$77,2,FALSE),"N/A")</f>
        <v>2.3000000000000003</v>
      </c>
    </row>
    <row r="177" spans="2:16" x14ac:dyDescent="0.35">
      <c r="B177" s="3969"/>
      <c r="C177" s="1362" t="s">
        <v>1402</v>
      </c>
      <c r="D177" s="1362" t="s">
        <v>778</v>
      </c>
      <c r="E177" s="1363">
        <f t="shared" si="7"/>
        <v>0.11574074074074074</v>
      </c>
      <c r="F177" s="1363">
        <f>IF($D177="Trigger",VLOOKUP($C177,'Upper Cask Critical Path'!$C$135:$F$336,4,FALSE),E177+F176)</f>
        <v>30.170370370370371</v>
      </c>
      <c r="G177" s="1364"/>
      <c r="H177" s="1365" t="str">
        <f>IF(D177="operation",VLOOKUP(G177,'Generic Vertical Port Tasks'!#REF!,2,FALSE),"N/A")</f>
        <v>N/A</v>
      </c>
      <c r="I177" s="1362" t="s">
        <v>2501</v>
      </c>
      <c r="J177" s="1362" t="s">
        <v>901</v>
      </c>
      <c r="K177" s="1362" t="s">
        <v>858</v>
      </c>
      <c r="L177" s="1366">
        <f>IFERROR(INDEX('Upper Cask Movement &amp; Logistics'!$I$24:$O$30,MATCH($J177,'Upper Cask Movement &amp; Logistics'!$H$24:$H$30,0),MATCH($K177,'Upper Cask Movement &amp; Logistics'!$H$24:$H$30,0)),"N/A")</f>
        <v>25</v>
      </c>
      <c r="M177" s="1366">
        <f>IFERROR(VLOOKUP($I177,'Upper Cask Movement &amp; Logistics'!$H$4:$I$8,2,FALSE),"N/A")</f>
        <v>0.06</v>
      </c>
      <c r="N177" s="1367">
        <f t="shared" si="8"/>
        <v>0.11574074074074074</v>
      </c>
      <c r="O177" s="1368"/>
      <c r="P177" s="861" t="str">
        <f>IF($D177="Logistics",VLOOKUP($O177,'Upper Cask Movement &amp; Logistics'!$C$4:$D$77,2,FALSE),"N/A")</f>
        <v>N/A</v>
      </c>
    </row>
    <row r="178" spans="2:16" x14ac:dyDescent="0.35">
      <c r="B178" s="3969"/>
      <c r="C178" s="1362" t="s">
        <v>1407</v>
      </c>
      <c r="D178" s="1362" t="s">
        <v>3</v>
      </c>
      <c r="E178" s="1363">
        <f t="shared" si="7"/>
        <v>0.63000000000000012</v>
      </c>
      <c r="F178" s="1363">
        <f>IF($D178="Trigger",VLOOKUP($C178,'Upper Cask Critical Path'!$C$135:$F$336,4,FALSE),E178+F177)</f>
        <v>30.80037037037037</v>
      </c>
      <c r="G178" s="1364"/>
      <c r="H178" s="1365" t="str">
        <f>IF(D178="operation",VLOOKUP(G178,'Generic Vertical Port Tasks'!#REF!,2,FALSE),"N/A")</f>
        <v>N/A</v>
      </c>
      <c r="I178" s="1362"/>
      <c r="J178" s="1362"/>
      <c r="K178" s="1362"/>
      <c r="L178" s="1366" t="str">
        <f>IFERROR(INDEX('Upper Cask Movement &amp; Logistics'!$I$24:$O$30,MATCH($J178,'Upper Cask Movement &amp; Logistics'!$H$24:$H$30,0),MATCH($K178,'Upper Cask Movement &amp; Logistics'!$H$24:$H$30,0)),"N/A")</f>
        <v>N/A</v>
      </c>
      <c r="M178" s="1366" t="str">
        <f>IFERROR(VLOOKUP($I178,'Upper Cask Movement &amp; Logistics'!$H$4:$I$8,2,FALSE),"N/A")</f>
        <v>N/A</v>
      </c>
      <c r="N178" s="1367" t="str">
        <f t="shared" si="8"/>
        <v>N/A</v>
      </c>
      <c r="O178" s="1368" t="s">
        <v>1228</v>
      </c>
      <c r="P178" s="861">
        <f>IF($D178="Logistics",VLOOKUP($O178,'Upper Cask Movement &amp; Logistics'!$C$4:$D$77,2,FALSE),"N/A")</f>
        <v>0.63000000000000012</v>
      </c>
    </row>
    <row r="179" spans="2:16" x14ac:dyDescent="0.35">
      <c r="B179" s="3965"/>
      <c r="C179" s="1294" t="s">
        <v>1340</v>
      </c>
      <c r="D179" s="1294" t="s">
        <v>778</v>
      </c>
      <c r="E179" s="1292">
        <f t="shared" si="7"/>
        <v>0.69444444444444442</v>
      </c>
      <c r="F179" s="1292">
        <f>IF($D179="Trigger",VLOOKUP($C179,'Upper Cask Critical Path'!$C$135:$F$336,4,FALSE),E179+F178)</f>
        <v>31.494814814814813</v>
      </c>
      <c r="G179" s="862"/>
      <c r="H179" s="1328" t="str">
        <f>IF(D179="operation",VLOOKUP(G179,'Generic Vertical Port Tasks'!#REF!,2,FALSE),"N/A")</f>
        <v>N/A</v>
      </c>
      <c r="I179" s="1294" t="s">
        <v>1789</v>
      </c>
      <c r="J179" s="1294" t="s">
        <v>831</v>
      </c>
      <c r="K179" s="1294" t="s">
        <v>901</v>
      </c>
      <c r="L179" s="1329">
        <f>IFERROR(INDEX('Upper Cask Movement &amp; Logistics'!$I$24:$O$30,MATCH($J179,'Upper Cask Movement &amp; Logistics'!$H$24:$H$30,0),MATCH($K179,'Upper Cask Movement &amp; Logistics'!$H$24:$H$30,0)),"N/A")</f>
        <v>50</v>
      </c>
      <c r="M179" s="1329">
        <f>IFERROR(VLOOKUP($I179,'Upper Cask Movement &amp; Logistics'!$H$4:$I$8,2,FALSE),"N/A")</f>
        <v>0.02</v>
      </c>
      <c r="N179" s="1330">
        <f t="shared" si="8"/>
        <v>0.69444444444444442</v>
      </c>
      <c r="O179" s="1331"/>
      <c r="P179" s="1332" t="str">
        <f>IF($D179="Logistics",VLOOKUP($O179,'Upper Cask Movement &amp; Logistics'!$C$4:$D$77,2,FALSE),"N/A")</f>
        <v>N/A</v>
      </c>
    </row>
    <row r="180" spans="2:16" x14ac:dyDescent="0.35">
      <c r="B180" s="3965"/>
      <c r="C180" s="1294" t="s">
        <v>1391</v>
      </c>
      <c r="D180" s="1294" t="s">
        <v>3</v>
      </c>
      <c r="E180" s="1292">
        <f t="shared" si="7"/>
        <v>1.4000000000000001</v>
      </c>
      <c r="F180" s="1292">
        <f>IF($D180="Trigger",VLOOKUP($C180,'Upper Cask Critical Path'!$C$135:$F$336,4,FALSE),E180+F179)</f>
        <v>32.894814814814815</v>
      </c>
      <c r="G180" s="862"/>
      <c r="H180" s="1328" t="str">
        <f>IF(D180="operation",VLOOKUP(G180,'Generic Vertical Port Tasks'!#REF!,2,FALSE),"N/A")</f>
        <v>N/A</v>
      </c>
      <c r="I180" s="1294"/>
      <c r="J180" s="1294"/>
      <c r="K180" s="1294"/>
      <c r="L180" s="1329" t="str">
        <f>IFERROR(INDEX('Upper Cask Movement &amp; Logistics'!$I$24:$O$30,MATCH($J180,'Upper Cask Movement &amp; Logistics'!$H$24:$H$30,0),MATCH($K180,'Upper Cask Movement &amp; Logistics'!$H$24:$H$30,0)),"N/A")</f>
        <v>N/A</v>
      </c>
      <c r="M180" s="1329" t="str">
        <f>IFERROR(VLOOKUP($I180,'Upper Cask Movement &amp; Logistics'!$H$4:$I$8,2,FALSE),"N/A")</f>
        <v>N/A</v>
      </c>
      <c r="N180" s="1330" t="str">
        <f t="shared" si="8"/>
        <v>N/A</v>
      </c>
      <c r="O180" s="1331" t="s">
        <v>1277</v>
      </c>
      <c r="P180" s="1332">
        <f>IF($D180="Logistics",VLOOKUP($O180,'Upper Cask Movement &amp; Logistics'!$C$4:$D$77,2,FALSE),"N/A")</f>
        <v>1.4000000000000001</v>
      </c>
    </row>
    <row r="181" spans="2:16" ht="13.3" thickBot="1" x14ac:dyDescent="0.4">
      <c r="B181" s="3966"/>
      <c r="C181" s="1340" t="str">
        <f>B175</f>
        <v>LIB Blanket Segment Collected; Hardware Cask 5 docked</v>
      </c>
      <c r="D181" s="1340" t="s">
        <v>11</v>
      </c>
      <c r="E181" s="1295">
        <f t="shared" si="7"/>
        <v>0</v>
      </c>
      <c r="F181" s="1295">
        <f>IF($D181="Trigger",VLOOKUP($C181,'Upper Cask Critical Path'!$C$135:$F$336,4,FALSE),E181+F180)</f>
        <v>32.894814814814815</v>
      </c>
      <c r="G181" s="839"/>
      <c r="H181" s="1341" t="str">
        <f>IF(D181="operation",VLOOKUP(G181,'Generic Vertical Port Tasks'!#REF!,2,FALSE),"N/A")</f>
        <v>N/A</v>
      </c>
      <c r="I181" s="1340"/>
      <c r="J181" s="1340"/>
      <c r="K181" s="1340"/>
      <c r="L181" s="1342" t="str">
        <f>IFERROR(INDEX('Upper Cask Movement &amp; Logistics'!$I$24:$O$30,MATCH($J181,'Upper Cask Movement &amp; Logistics'!$H$24:$H$30,0),MATCH($K181,'Upper Cask Movement &amp; Logistics'!$H$24:$H$30,0)),"N/A")</f>
        <v>N/A</v>
      </c>
      <c r="M181" s="1342" t="str">
        <f>IFERROR(VLOOKUP($I181,'Upper Cask Movement &amp; Logistics'!$H$4:$I$8,2,FALSE),"N/A")</f>
        <v>N/A</v>
      </c>
      <c r="N181" s="1343" t="str">
        <f t="shared" si="8"/>
        <v>N/A</v>
      </c>
      <c r="O181" s="1344"/>
      <c r="P181" s="1345" t="str">
        <f>IF($D181="Logistics",VLOOKUP($O181,'Upper Cask Movement &amp; Logistics'!$C$4:$D$77,2,FALSE),"N/A")</f>
        <v>N/A</v>
      </c>
    </row>
    <row r="182" spans="2:16" x14ac:dyDescent="0.35">
      <c r="B182" s="3960" t="s">
        <v>1284</v>
      </c>
      <c r="C182" s="1333" t="str">
        <f>'Upper Cask Critical Path'!C144</f>
        <v>Install RIB Blanket Segment</v>
      </c>
      <c r="D182" s="1333" t="s">
        <v>907</v>
      </c>
      <c r="E182" s="1303">
        <f t="shared" si="7"/>
        <v>0</v>
      </c>
      <c r="F182" s="1303">
        <f>IF($D182="Trigger",VLOOKUP($C182,'Upper Cask Critical Path'!$C$135:$F$336,4,FALSE),E182+F181)</f>
        <v>32.464629629629627</v>
      </c>
      <c r="G182" s="1304"/>
      <c r="H182" s="1305" t="str">
        <f>IF(D182="operation",VLOOKUP(G182,'Generic Vertical Port Tasks'!#REF!,2,FALSE),"N/A")</f>
        <v>N/A</v>
      </c>
      <c r="I182" s="1333"/>
      <c r="J182" s="1333"/>
      <c r="K182" s="1333"/>
      <c r="L182" s="1334" t="str">
        <f>IFERROR(INDEX('Upper Cask Movement &amp; Logistics'!$I$24:$O$30,MATCH($J182,'Upper Cask Movement &amp; Logistics'!$H$24:$H$30,0),MATCH($K182,'Upper Cask Movement &amp; Logistics'!$H$24:$H$30,0)),"N/A")</f>
        <v>N/A</v>
      </c>
      <c r="M182" s="1334" t="str">
        <f>IFERROR(VLOOKUP($I182,'Upper Cask Movement &amp; Logistics'!$H$4:$I$8,2,FALSE),"N/A")</f>
        <v>N/A</v>
      </c>
      <c r="N182" s="1335" t="str">
        <f t="shared" si="8"/>
        <v>N/A</v>
      </c>
      <c r="O182" s="1336"/>
      <c r="P182" s="1337" t="str">
        <f>IF($D182="Logistics",VLOOKUP($O182,'Upper Cask Movement &amp; Logistics'!$C$4:$D$77,2,FALSE),"N/A")</f>
        <v>N/A</v>
      </c>
    </row>
    <row r="183" spans="2:16" x14ac:dyDescent="0.35">
      <c r="B183" s="3968"/>
      <c r="C183" s="1240" t="s">
        <v>1268</v>
      </c>
      <c r="D183" s="1240" t="s">
        <v>3</v>
      </c>
      <c r="E183" s="1241">
        <f t="shared" si="7"/>
        <v>2.3000000000000003</v>
      </c>
      <c r="F183" s="1241">
        <f>IF($D183="Trigger",VLOOKUP($C183,'Upper Cask Critical Path'!$C$135:$F$336,4,FALSE),E183+F182)</f>
        <v>34.764629629629624</v>
      </c>
      <c r="G183" s="1354"/>
      <c r="H183" s="1355" t="str">
        <f>IF(D183="operation",VLOOKUP(G183,'Generic Vertical Port Tasks'!#REF!,2,FALSE),"N/A")</f>
        <v>N/A</v>
      </c>
      <c r="I183" s="1240"/>
      <c r="J183" s="1240"/>
      <c r="K183" s="1240"/>
      <c r="L183" s="1242" t="str">
        <f>IFERROR(INDEX('Upper Cask Movement &amp; Logistics'!$I$24:$O$30,MATCH($J183,'Upper Cask Movement &amp; Logistics'!$H$24:$H$30,0),MATCH($K183,'Upper Cask Movement &amp; Logistics'!$H$24:$H$30,0)),"N/A")</f>
        <v>N/A</v>
      </c>
      <c r="M183" s="1242" t="str">
        <f>IFERROR(VLOOKUP($I183,'Upper Cask Movement &amp; Logistics'!$H$4:$I$8,2,FALSE),"N/A")</f>
        <v>N/A</v>
      </c>
      <c r="N183" s="1356" t="str">
        <f t="shared" si="8"/>
        <v>N/A</v>
      </c>
      <c r="O183" s="1357" t="s">
        <v>1269</v>
      </c>
      <c r="P183" s="1358">
        <f>IF($D183="Logistics",VLOOKUP($O183,'Upper Cask Movement &amp; Logistics'!$C$4:$D$77,2,FALSE),"N/A")</f>
        <v>2.3000000000000003</v>
      </c>
    </row>
    <row r="184" spans="2:16" x14ac:dyDescent="0.35">
      <c r="B184" s="3968"/>
      <c r="C184" s="1240" t="s">
        <v>1402</v>
      </c>
      <c r="D184" s="1240" t="s">
        <v>778</v>
      </c>
      <c r="E184" s="1241">
        <f t="shared" si="7"/>
        <v>0.11574074074074074</v>
      </c>
      <c r="F184" s="1241">
        <f>IF($D184="Trigger",VLOOKUP($C184,'Upper Cask Critical Path'!$C$135:$F$336,4,FALSE),E184+F183)</f>
        <v>34.880370370370365</v>
      </c>
      <c r="G184" s="1354"/>
      <c r="H184" s="1355" t="str">
        <f>IF(D184="operation",VLOOKUP(G184,'Generic Vertical Port Tasks'!#REF!,2,FALSE),"N/A")</f>
        <v>N/A</v>
      </c>
      <c r="I184" s="1240" t="s">
        <v>2501</v>
      </c>
      <c r="J184" s="1240" t="s">
        <v>901</v>
      </c>
      <c r="K184" s="1240" t="s">
        <v>858</v>
      </c>
      <c r="L184" s="1242">
        <f>IFERROR(INDEX('Upper Cask Movement &amp; Logistics'!$I$24:$O$30,MATCH($J184,'Upper Cask Movement &amp; Logistics'!$H$24:$H$30,0),MATCH($K184,'Upper Cask Movement &amp; Logistics'!$H$24:$H$30,0)),"N/A")</f>
        <v>25</v>
      </c>
      <c r="M184" s="1242">
        <f>IFERROR(VLOOKUP($I184,'Upper Cask Movement &amp; Logistics'!$H$4:$I$8,2,FALSE),"N/A")</f>
        <v>0.06</v>
      </c>
      <c r="N184" s="1356">
        <f t="shared" si="8"/>
        <v>0.11574074074074074</v>
      </c>
      <c r="O184" s="1357"/>
      <c r="P184" s="1358" t="str">
        <f>IF($D184="Logistics",VLOOKUP($O184,'Upper Cask Movement &amp; Logistics'!$C$4:$D$77,2,FALSE),"N/A")</f>
        <v>N/A</v>
      </c>
    </row>
    <row r="185" spans="2:16" x14ac:dyDescent="0.35">
      <c r="B185" s="3968"/>
      <c r="C185" s="1240" t="s">
        <v>1408</v>
      </c>
      <c r="D185" s="1240" t="s">
        <v>3</v>
      </c>
      <c r="E185" s="1241">
        <f t="shared" si="7"/>
        <v>0.63000000000000012</v>
      </c>
      <c r="F185" s="1241">
        <f>IF($D185="Trigger",VLOOKUP($C185,'Upper Cask Critical Path'!$C$135:$F$336,4,FALSE),E185+F184)</f>
        <v>35.510370370370367</v>
      </c>
      <c r="G185" s="1354"/>
      <c r="H185" s="1355" t="str">
        <f>IF(D185="operation",VLOOKUP(G185,'Generic Vertical Port Tasks'!#REF!,2,FALSE),"N/A")</f>
        <v>N/A</v>
      </c>
      <c r="I185" s="1240"/>
      <c r="J185" s="1240"/>
      <c r="K185" s="1240"/>
      <c r="L185" s="1242" t="str">
        <f>IFERROR(INDEX('Upper Cask Movement &amp; Logistics'!$I$24:$O$30,MATCH($J185,'Upper Cask Movement &amp; Logistics'!$H$24:$H$30,0),MATCH($K185,'Upper Cask Movement &amp; Logistics'!$H$24:$H$30,0)),"N/A")</f>
        <v>N/A</v>
      </c>
      <c r="M185" s="1242" t="str">
        <f>IFERROR(VLOOKUP($I185,'Upper Cask Movement &amp; Logistics'!$H$4:$I$8,2,FALSE),"N/A")</f>
        <v>N/A</v>
      </c>
      <c r="N185" s="1356" t="str">
        <f t="shared" si="8"/>
        <v>N/A</v>
      </c>
      <c r="O185" s="1357" t="s">
        <v>1228</v>
      </c>
      <c r="P185" s="1358">
        <f>IF($D185="Logistics",VLOOKUP($O185,'Upper Cask Movement &amp; Logistics'!$C$4:$D$77,2,FALSE),"N/A")</f>
        <v>0.63000000000000012</v>
      </c>
    </row>
    <row r="186" spans="2:16" x14ac:dyDescent="0.35">
      <c r="B186" s="3961"/>
      <c r="C186" s="1243" t="s">
        <v>1366</v>
      </c>
      <c r="D186" s="1243" t="s">
        <v>778</v>
      </c>
      <c r="E186" s="1244">
        <f t="shared" si="7"/>
        <v>0.69444444444444442</v>
      </c>
      <c r="F186" s="1244">
        <f>IF($D186="Trigger",VLOOKUP($C186,'Upper Cask Critical Path'!$C$135:$F$336,4,FALSE),E186+F185)</f>
        <v>36.20481481481481</v>
      </c>
      <c r="G186" s="1309"/>
      <c r="H186" s="1310" t="str">
        <f>IF(D186="operation",VLOOKUP(G186,'Generic Vertical Port Tasks'!#REF!,2,FALSE),"N/A")</f>
        <v>N/A</v>
      </c>
      <c r="I186" s="1243" t="s">
        <v>1789</v>
      </c>
      <c r="J186" s="1243" t="s">
        <v>831</v>
      </c>
      <c r="K186" s="1243" t="s">
        <v>901</v>
      </c>
      <c r="L186" s="1245">
        <f>IFERROR(INDEX('Upper Cask Movement &amp; Logistics'!$I$24:$O$30,MATCH($J186,'Upper Cask Movement &amp; Logistics'!$H$24:$H$30,0),MATCH($K186,'Upper Cask Movement &amp; Logistics'!$H$24:$H$30,0)),"N/A")</f>
        <v>50</v>
      </c>
      <c r="M186" s="1245">
        <f>IFERROR(VLOOKUP($I186,'Upper Cask Movement &amp; Logistics'!$H$4:$I$8,2,FALSE),"N/A")</f>
        <v>0.02</v>
      </c>
      <c r="N186" s="1311">
        <f t="shared" si="8"/>
        <v>0.69444444444444442</v>
      </c>
      <c r="O186" s="1312"/>
      <c r="P186" s="1313" t="str">
        <f>IF($D186="Logistics",VLOOKUP($O186,'Upper Cask Movement &amp; Logistics'!$C$4:$D$77,2,FALSE),"N/A")</f>
        <v>N/A</v>
      </c>
    </row>
    <row r="187" spans="2:16" x14ac:dyDescent="0.35">
      <c r="B187" s="3961"/>
      <c r="C187" s="1243" t="s">
        <v>1391</v>
      </c>
      <c r="D187" s="1243" t="s">
        <v>3</v>
      </c>
      <c r="E187" s="1244">
        <f t="shared" si="7"/>
        <v>1.4000000000000001</v>
      </c>
      <c r="F187" s="1244">
        <f>IF($D187="Trigger",VLOOKUP($C187,'Upper Cask Critical Path'!$C$135:$F$336,4,FALSE),E187+F186)</f>
        <v>37.604814814814809</v>
      </c>
      <c r="G187" s="1309"/>
      <c r="H187" s="1310" t="str">
        <f>IF(D187="operation",VLOOKUP(G187,'Generic Vertical Port Tasks'!#REF!,2,FALSE),"N/A")</f>
        <v>N/A</v>
      </c>
      <c r="I187" s="1243"/>
      <c r="J187" s="1243"/>
      <c r="K187" s="1243"/>
      <c r="L187" s="1245" t="str">
        <f>IFERROR(INDEX('Upper Cask Movement &amp; Logistics'!$I$24:$O$30,MATCH($J187,'Upper Cask Movement &amp; Logistics'!$H$24:$H$30,0),MATCH($K187,'Upper Cask Movement &amp; Logistics'!$H$24:$H$30,0)),"N/A")</f>
        <v>N/A</v>
      </c>
      <c r="M187" s="1245" t="str">
        <f>IFERROR(VLOOKUP($I187,'Upper Cask Movement &amp; Logistics'!$H$4:$I$8,2,FALSE),"N/A")</f>
        <v>N/A</v>
      </c>
      <c r="N187" s="1311" t="str">
        <f t="shared" si="8"/>
        <v>N/A</v>
      </c>
      <c r="O187" s="1312" t="s">
        <v>1277</v>
      </c>
      <c r="P187" s="1313">
        <f>IF($D187="Logistics",VLOOKUP($O187,'Upper Cask Movement &amp; Logistics'!$C$4:$D$77,2,FALSE),"N/A")</f>
        <v>1.4000000000000001</v>
      </c>
    </row>
    <row r="188" spans="2:16" ht="13.3" thickBot="1" x14ac:dyDescent="0.4">
      <c r="B188" s="3963"/>
      <c r="C188" s="1314" t="str">
        <f>B182</f>
        <v>ROB Blanket Segment Collected; Hardware Cask 6 docked</v>
      </c>
      <c r="D188" s="1314" t="s">
        <v>11</v>
      </c>
      <c r="E188" s="1316">
        <f t="shared" si="7"/>
        <v>0</v>
      </c>
      <c r="F188" s="1316">
        <f>IF($D188="Trigger",VLOOKUP($C188,'Upper Cask Critical Path'!$C$135:$F$336,4,FALSE),E188+F187)</f>
        <v>37.604814814814809</v>
      </c>
      <c r="G188" s="1317"/>
      <c r="H188" s="1318" t="str">
        <f>IF(D188="operation",VLOOKUP(G188,'Generic Vertical Port Tasks'!#REF!,2,FALSE),"N/A")</f>
        <v>N/A</v>
      </c>
      <c r="I188" s="1314"/>
      <c r="J188" s="1314"/>
      <c r="K188" s="1314"/>
      <c r="L188" s="1319" t="str">
        <f>IFERROR(INDEX('Upper Cask Movement &amp; Logistics'!$I$24:$O$30,MATCH($J188,'Upper Cask Movement &amp; Logistics'!$H$24:$H$30,0),MATCH($K188,'Upper Cask Movement &amp; Logistics'!$H$24:$H$30,0)),"N/A")</f>
        <v>N/A</v>
      </c>
      <c r="M188" s="1319" t="str">
        <f>IFERROR(VLOOKUP($I188,'Upper Cask Movement &amp; Logistics'!$H$4:$I$8,2,FALSE),"N/A")</f>
        <v>N/A</v>
      </c>
      <c r="N188" s="1320" t="str">
        <f t="shared" si="8"/>
        <v>N/A</v>
      </c>
      <c r="O188" s="1321"/>
      <c r="P188" s="1322" t="str">
        <f>IF($D188="Logistics",VLOOKUP($O188,'Upper Cask Movement &amp; Logistics'!$C$4:$D$77,2,FALSE),"N/A")</f>
        <v>N/A</v>
      </c>
    </row>
    <row r="189" spans="2:16" x14ac:dyDescent="0.35">
      <c r="B189" s="3964" t="s">
        <v>1286</v>
      </c>
      <c r="C189" s="1324" t="str">
        <f>'Upper Cask Critical Path'!C147</f>
        <v>Install LIB Blanket Segment</v>
      </c>
      <c r="D189" s="1324" t="s">
        <v>907</v>
      </c>
      <c r="E189" s="1291">
        <f t="shared" si="7"/>
        <v>0</v>
      </c>
      <c r="F189" s="1291">
        <f>IF($D189="Trigger",VLOOKUP($C189,'Upper Cask Critical Path'!$C$135:$F$336,4,FALSE),E189+F188)</f>
        <v>37.774629629629629</v>
      </c>
      <c r="G189" s="825"/>
      <c r="H189" s="1323" t="str">
        <f>IF(D189="operation",VLOOKUP(G189,'Generic Vertical Port Tasks'!C190:D191,2,FALSE),"N/A")</f>
        <v>N/A</v>
      </c>
      <c r="I189" s="1324"/>
      <c r="J189" s="1324"/>
      <c r="K189" s="1324"/>
      <c r="L189" s="1325" t="str">
        <f>IFERROR(INDEX('Upper Cask Movement &amp; Logistics'!$I$24:$O$30,MATCH($J189,'Upper Cask Movement &amp; Logistics'!$H$24:$H$30,0),MATCH($K189,'Upper Cask Movement &amp; Logistics'!$H$24:$H$30,0)),"N/A")</f>
        <v>N/A</v>
      </c>
      <c r="M189" s="1325" t="str">
        <f>IFERROR(VLOOKUP($I189,'Upper Cask Movement &amp; Logistics'!$H$4:$I$8,2,FALSE),"N/A")</f>
        <v>N/A</v>
      </c>
      <c r="N189" s="1326" t="str">
        <f t="shared" si="8"/>
        <v>N/A</v>
      </c>
      <c r="O189" s="1327"/>
      <c r="P189" s="824" t="str">
        <f>IF($D189="Logistics",VLOOKUP($O189,'Upper Cask Movement &amp; Logistics'!$C$4:$D$77,2,FALSE),"N/A")</f>
        <v>N/A</v>
      </c>
    </row>
    <row r="190" spans="2:16" x14ac:dyDescent="0.35">
      <c r="B190" s="3969"/>
      <c r="C190" s="1362" t="s">
        <v>1395</v>
      </c>
      <c r="D190" s="1362" t="s">
        <v>3</v>
      </c>
      <c r="E190" s="1363">
        <f t="shared" si="7"/>
        <v>2.3000000000000003</v>
      </c>
      <c r="F190" s="1363">
        <f>IF($D190="Trigger",VLOOKUP($C190,'Upper Cask Critical Path'!$C$135:$F$336,4,FALSE),E190+F189)</f>
        <v>40.074629629629626</v>
      </c>
      <c r="G190" s="1364"/>
      <c r="H190" s="1365" t="str">
        <f>IF(D190="operation",VLOOKUP(G190,'Generic Vertical Port Tasks'!C190:D191,2,FALSE),"N/A")</f>
        <v>N/A</v>
      </c>
      <c r="I190" s="1362"/>
      <c r="J190" s="1362"/>
      <c r="K190" s="1362"/>
      <c r="L190" s="1366" t="str">
        <f>IFERROR(INDEX('Upper Cask Movement &amp; Logistics'!$I$24:$O$30,MATCH($J190,'Upper Cask Movement &amp; Logistics'!$H$24:$H$30,0),MATCH($K190,'Upper Cask Movement &amp; Logistics'!$H$24:$H$30,0)),"N/A")</f>
        <v>N/A</v>
      </c>
      <c r="M190" s="1366" t="str">
        <f>IFERROR(VLOOKUP($I190,'Upper Cask Movement &amp; Logistics'!$H$4:$I$8,2,FALSE),"N/A")</f>
        <v>N/A</v>
      </c>
      <c r="N190" s="1367" t="str">
        <f t="shared" si="8"/>
        <v>N/A</v>
      </c>
      <c r="O190" s="1368" t="s">
        <v>1269</v>
      </c>
      <c r="P190" s="861">
        <f>IF($D190="Logistics",VLOOKUP($O190,'Upper Cask Movement &amp; Logistics'!$C$4:$D$77,2,FALSE),"N/A")</f>
        <v>2.3000000000000003</v>
      </c>
    </row>
    <row r="191" spans="2:16" x14ac:dyDescent="0.35">
      <c r="B191" s="3969"/>
      <c r="C191" s="1362" t="s">
        <v>1402</v>
      </c>
      <c r="D191" s="1362" t="s">
        <v>778</v>
      </c>
      <c r="E191" s="1363">
        <f t="shared" si="7"/>
        <v>0.11574074074074074</v>
      </c>
      <c r="F191" s="1363">
        <f>IF($D191="Trigger",VLOOKUP($C191,'Upper Cask Critical Path'!$C$135:$F$336,4,FALSE),E191+F190)</f>
        <v>40.190370370370367</v>
      </c>
      <c r="G191" s="1364"/>
      <c r="H191" s="1365" t="str">
        <f>IF(D191="operation",VLOOKUP(G191,'Generic Vertical Port Tasks'!C190:D191,2,FALSE),"N/A")</f>
        <v>N/A</v>
      </c>
      <c r="I191" s="1362" t="s">
        <v>2501</v>
      </c>
      <c r="J191" s="1362" t="s">
        <v>901</v>
      </c>
      <c r="K191" s="1362" t="s">
        <v>858</v>
      </c>
      <c r="L191" s="1366">
        <f>IFERROR(INDEX('Upper Cask Movement &amp; Logistics'!$I$24:$O$30,MATCH($J191,'Upper Cask Movement &amp; Logistics'!$H$24:$H$30,0),MATCH($K191,'Upper Cask Movement &amp; Logistics'!$H$24:$H$30,0)),"N/A")</f>
        <v>25</v>
      </c>
      <c r="M191" s="1366">
        <f>IFERROR(VLOOKUP($I191,'Upper Cask Movement &amp; Logistics'!$H$4:$I$8,2,FALSE),"N/A")</f>
        <v>0.06</v>
      </c>
      <c r="N191" s="1367">
        <f t="shared" si="8"/>
        <v>0.11574074074074074</v>
      </c>
      <c r="O191" s="1368"/>
      <c r="P191" s="861" t="str">
        <f>IF($D191="Logistics",VLOOKUP($O191,'Upper Cask Movement &amp; Logistics'!$C$4:$D$77,2,FALSE),"N/A")</f>
        <v>N/A</v>
      </c>
    </row>
    <row r="192" spans="2:16" x14ac:dyDescent="0.35">
      <c r="B192" s="3969"/>
      <c r="C192" s="1362" t="s">
        <v>1409</v>
      </c>
      <c r="D192" s="1362" t="s">
        <v>3</v>
      </c>
      <c r="E192" s="1363">
        <f t="shared" si="7"/>
        <v>0.63000000000000012</v>
      </c>
      <c r="F192" s="1363">
        <f>IF($D192="Trigger",VLOOKUP($C192,'Upper Cask Critical Path'!$C$135:$F$336,4,FALSE),E192+F191)</f>
        <v>40.82037037037037</v>
      </c>
      <c r="G192" s="1364"/>
      <c r="H192" s="1365" t="str">
        <f>IF(D192="operation",VLOOKUP(G192,'Generic Vertical Port Tasks'!C190:D191,2,FALSE),"N/A")</f>
        <v>N/A</v>
      </c>
      <c r="I192" s="1362"/>
      <c r="J192" s="1362"/>
      <c r="K192" s="1362"/>
      <c r="L192" s="1366" t="str">
        <f>IFERROR(INDEX('Upper Cask Movement &amp; Logistics'!$I$24:$O$30,MATCH($J192,'Upper Cask Movement &amp; Logistics'!$H$24:$H$30,0),MATCH($K192,'Upper Cask Movement &amp; Logistics'!$H$24:$H$30,0)),"N/A")</f>
        <v>N/A</v>
      </c>
      <c r="M192" s="1366" t="str">
        <f>IFERROR(VLOOKUP($I192,'Upper Cask Movement &amp; Logistics'!$H$4:$I$8,2,FALSE),"N/A")</f>
        <v>N/A</v>
      </c>
      <c r="N192" s="1367" t="str">
        <f t="shared" si="8"/>
        <v>N/A</v>
      </c>
      <c r="O192" s="1368" t="s">
        <v>1228</v>
      </c>
      <c r="P192" s="861">
        <f>IF($D192="Logistics",VLOOKUP($O192,'Upper Cask Movement &amp; Logistics'!$C$4:$D$77,2,FALSE),"N/A")</f>
        <v>0.63000000000000012</v>
      </c>
    </row>
    <row r="193" spans="2:16" x14ac:dyDescent="0.35">
      <c r="B193" s="3965"/>
      <c r="C193" s="1294" t="s">
        <v>1340</v>
      </c>
      <c r="D193" s="1294" t="s">
        <v>778</v>
      </c>
      <c r="E193" s="1292">
        <f t="shared" si="7"/>
        <v>0.69444444444444442</v>
      </c>
      <c r="F193" s="1292">
        <f>IF($D193="Trigger",VLOOKUP($C193,'Upper Cask Critical Path'!$C$135:$F$336,4,FALSE),E193+F192)</f>
        <v>41.514814814814812</v>
      </c>
      <c r="G193" s="862"/>
      <c r="H193" s="1328" t="str">
        <f>IF(D193="operation",VLOOKUP(G193,'Generic Vertical Port Tasks'!C190:D191,2,FALSE),"N/A")</f>
        <v>N/A</v>
      </c>
      <c r="I193" s="1294" t="s">
        <v>1789</v>
      </c>
      <c r="J193" s="1294" t="s">
        <v>831</v>
      </c>
      <c r="K193" s="1294" t="s">
        <v>901</v>
      </c>
      <c r="L193" s="1329">
        <f>IFERROR(INDEX('Upper Cask Movement &amp; Logistics'!$I$24:$O$30,MATCH($J193,'Upper Cask Movement &amp; Logistics'!$H$24:$H$30,0),MATCH($K193,'Upper Cask Movement &amp; Logistics'!$H$24:$H$30,0)),"N/A")</f>
        <v>50</v>
      </c>
      <c r="M193" s="1329">
        <f>IFERROR(VLOOKUP($I193,'Upper Cask Movement &amp; Logistics'!$H$4:$I$8,2,FALSE),"N/A")</f>
        <v>0.02</v>
      </c>
      <c r="N193" s="1330">
        <f t="shared" si="8"/>
        <v>0.69444444444444442</v>
      </c>
      <c r="O193" s="1331"/>
      <c r="P193" s="1332" t="str">
        <f>IF($D193="Logistics",VLOOKUP($O193,'Upper Cask Movement &amp; Logistics'!$C$4:$D$77,2,FALSE),"N/A")</f>
        <v>N/A</v>
      </c>
    </row>
    <row r="194" spans="2:16" x14ac:dyDescent="0.35">
      <c r="B194" s="3965"/>
      <c r="C194" s="1294" t="s">
        <v>1391</v>
      </c>
      <c r="D194" s="1294" t="s">
        <v>3</v>
      </c>
      <c r="E194" s="1292">
        <f t="shared" si="7"/>
        <v>1.4000000000000001</v>
      </c>
      <c r="F194" s="1292">
        <f>IF($D194="Trigger",VLOOKUP($C194,'Upper Cask Critical Path'!$C$135:$F$336,4,FALSE),E194+F193)</f>
        <v>42.914814814814811</v>
      </c>
      <c r="G194" s="862"/>
      <c r="H194" s="1328" t="str">
        <f>IF(D194="operation",VLOOKUP(G194,'Generic Vertical Port Tasks'!C190:D191,2,FALSE),"N/A")</f>
        <v>N/A</v>
      </c>
      <c r="I194" s="1294"/>
      <c r="J194" s="1294"/>
      <c r="K194" s="1294"/>
      <c r="L194" s="1329" t="str">
        <f>IFERROR(INDEX('Upper Cask Movement &amp; Logistics'!$I$24:$O$30,MATCH($J194,'Upper Cask Movement &amp; Logistics'!$H$24:$H$30,0),MATCH($K194,'Upper Cask Movement &amp; Logistics'!$H$24:$H$30,0)),"N/A")</f>
        <v>N/A</v>
      </c>
      <c r="M194" s="1329" t="str">
        <f>IFERROR(VLOOKUP($I194,'Upper Cask Movement &amp; Logistics'!$H$4:$I$8,2,FALSE),"N/A")</f>
        <v>N/A</v>
      </c>
      <c r="N194" s="1330" t="str">
        <f t="shared" si="8"/>
        <v>N/A</v>
      </c>
      <c r="O194" s="1331" t="s">
        <v>1277</v>
      </c>
      <c r="P194" s="1332">
        <f>IF($D194="Logistics",VLOOKUP($O194,'Upper Cask Movement &amp; Logistics'!$C$4:$D$77,2,FALSE),"N/A")</f>
        <v>1.4000000000000001</v>
      </c>
    </row>
    <row r="195" spans="2:16" ht="13.3" thickBot="1" x14ac:dyDescent="0.4">
      <c r="B195" s="3966"/>
      <c r="C195" s="1340" t="str">
        <f>B189</f>
        <v>LOB Blanket Segment Collected; Hardware Cask 5 docked</v>
      </c>
      <c r="D195" s="1340" t="s">
        <v>11</v>
      </c>
      <c r="E195" s="1295">
        <f t="shared" si="7"/>
        <v>0</v>
      </c>
      <c r="F195" s="1295">
        <f>IF($D195="Trigger",VLOOKUP($C195,'Upper Cask Critical Path'!$C$135:$F$336,4,FALSE),E195+F194)</f>
        <v>42.914814814814811</v>
      </c>
      <c r="G195" s="839"/>
      <c r="H195" s="1341" t="str">
        <f>IF(D195="operation",VLOOKUP(G195,'Generic Vertical Port Tasks'!C190:D191,2,FALSE),"N/A")</f>
        <v>N/A</v>
      </c>
      <c r="I195" s="1340"/>
      <c r="J195" s="1340"/>
      <c r="K195" s="1340"/>
      <c r="L195" s="1342" t="str">
        <f>IFERROR(INDEX('Upper Cask Movement &amp; Logistics'!$I$24:$O$30,MATCH($J195,'Upper Cask Movement &amp; Logistics'!$H$24:$H$30,0),MATCH($K195,'Upper Cask Movement &amp; Logistics'!$H$24:$H$30,0)),"N/A")</f>
        <v>N/A</v>
      </c>
      <c r="M195" s="1342" t="str">
        <f>IFERROR(VLOOKUP($I195,'Upper Cask Movement &amp; Logistics'!$H$4:$I$8,2,FALSE),"N/A")</f>
        <v>N/A</v>
      </c>
      <c r="N195" s="1343" t="str">
        <f t="shared" si="8"/>
        <v>N/A</v>
      </c>
      <c r="O195" s="1344"/>
      <c r="P195" s="1345" t="str">
        <f>IF($D195="Logistics",VLOOKUP($O195,'Upper Cask Movement &amp; Logistics'!$C$4:$D$77,2,FALSE),"N/A")</f>
        <v>N/A</v>
      </c>
    </row>
    <row r="196" spans="2:16" x14ac:dyDescent="0.35">
      <c r="B196" s="3960" t="s">
        <v>1288</v>
      </c>
      <c r="C196" s="1333" t="str">
        <f>'Upper Cask Critical Path'!C150</f>
        <v>Install ROB Blanket Segment</v>
      </c>
      <c r="D196" s="1333" t="s">
        <v>907</v>
      </c>
      <c r="E196" s="1303">
        <f t="shared" si="7"/>
        <v>0</v>
      </c>
      <c r="F196" s="1303">
        <f>IF($D196="Trigger",VLOOKUP($C196,'Upper Cask Critical Path'!$C$135:$F$336,4,FALSE),E196+F195)</f>
        <v>43.084629629629632</v>
      </c>
      <c r="G196" s="1304"/>
      <c r="H196" s="1305" t="str">
        <f>IF(D196="operation",VLOOKUP(G196,'Generic Vertical Port Tasks'!C190:D198,2,FALSE),"N/A")</f>
        <v>N/A</v>
      </c>
      <c r="I196" s="1333"/>
      <c r="J196" s="1333"/>
      <c r="K196" s="1333"/>
      <c r="L196" s="1334" t="str">
        <f>IFERROR(INDEX('Upper Cask Movement &amp; Logistics'!$I$24:$O$30,MATCH($J196,'Upper Cask Movement &amp; Logistics'!$H$24:$H$30,0),MATCH($K196,'Upper Cask Movement &amp; Logistics'!$H$24:$H$30,0)),"N/A")</f>
        <v>N/A</v>
      </c>
      <c r="M196" s="1334" t="str">
        <f>IFERROR(VLOOKUP($I196,'Upper Cask Movement &amp; Logistics'!$H$4:$I$8,2,FALSE),"N/A")</f>
        <v>N/A</v>
      </c>
      <c r="N196" s="1335" t="str">
        <f t="shared" si="8"/>
        <v>N/A</v>
      </c>
      <c r="O196" s="1336"/>
      <c r="P196" s="1337" t="str">
        <f>IF($D196="Logistics",VLOOKUP($O196,'Upper Cask Movement &amp; Logistics'!$C$4:$D$77,2,FALSE),"N/A")</f>
        <v>N/A</v>
      </c>
    </row>
    <row r="197" spans="2:16" x14ac:dyDescent="0.35">
      <c r="B197" s="3968"/>
      <c r="C197" s="1240" t="s">
        <v>1268</v>
      </c>
      <c r="D197" s="1240" t="s">
        <v>3</v>
      </c>
      <c r="E197" s="1241">
        <f t="shared" si="7"/>
        <v>2.3000000000000003</v>
      </c>
      <c r="F197" s="1241">
        <f>IF($D197="Trigger",VLOOKUP($C197,'Upper Cask Critical Path'!$C$135:$F$336,4,FALSE),E197+F196)</f>
        <v>45.384629629629629</v>
      </c>
      <c r="G197" s="1354"/>
      <c r="H197" s="1355" t="str">
        <f>IF(D197="operation",VLOOKUP(G197,'Generic Vertical Port Tasks'!C190:D198,2,FALSE),"N/A")</f>
        <v>N/A</v>
      </c>
      <c r="I197" s="1240"/>
      <c r="J197" s="1240"/>
      <c r="K197" s="1240"/>
      <c r="L197" s="1242" t="str">
        <f>IFERROR(INDEX('Upper Cask Movement &amp; Logistics'!$I$24:$O$30,MATCH($J197,'Upper Cask Movement &amp; Logistics'!$H$24:$H$30,0),MATCH($K197,'Upper Cask Movement &amp; Logistics'!$H$24:$H$30,0)),"N/A")</f>
        <v>N/A</v>
      </c>
      <c r="M197" s="1242" t="str">
        <f>IFERROR(VLOOKUP($I197,'Upper Cask Movement &amp; Logistics'!$H$4:$I$8,2,FALSE),"N/A")</f>
        <v>N/A</v>
      </c>
      <c r="N197" s="1356" t="str">
        <f t="shared" si="8"/>
        <v>N/A</v>
      </c>
      <c r="O197" s="1357" t="s">
        <v>1269</v>
      </c>
      <c r="P197" s="1358">
        <f>IF($D197="Logistics",VLOOKUP($O197,'Upper Cask Movement &amp; Logistics'!$C$4:$D$77,2,FALSE),"N/A")</f>
        <v>2.3000000000000003</v>
      </c>
    </row>
    <row r="198" spans="2:16" x14ac:dyDescent="0.35">
      <c r="B198" s="3968"/>
      <c r="C198" s="1240" t="s">
        <v>1410</v>
      </c>
      <c r="D198" s="1240" t="s">
        <v>778</v>
      </c>
      <c r="E198" s="1241">
        <f t="shared" si="7"/>
        <v>0.11574074074074074</v>
      </c>
      <c r="F198" s="1241">
        <f>IF($D198="Trigger",VLOOKUP($C198,'Upper Cask Critical Path'!$C$135:$F$336,4,FALSE),E198+F197)</f>
        <v>45.500370370370369</v>
      </c>
      <c r="G198" s="1354"/>
      <c r="H198" s="1355" t="str">
        <f>IF(D198="operation",VLOOKUP(G198,'Generic Vertical Port Tasks'!C190:D198,2,FALSE),"N/A")</f>
        <v>N/A</v>
      </c>
      <c r="I198" s="1240" t="s">
        <v>2501</v>
      </c>
      <c r="J198" s="1240" t="s">
        <v>901</v>
      </c>
      <c r="K198" s="1240" t="s">
        <v>858</v>
      </c>
      <c r="L198" s="1242">
        <f>IFERROR(INDEX('Upper Cask Movement &amp; Logistics'!$I$24:$O$30,MATCH($J198,'Upper Cask Movement &amp; Logistics'!$H$24:$H$30,0),MATCH($K198,'Upper Cask Movement &amp; Logistics'!$H$24:$H$30,0)),"N/A")</f>
        <v>25</v>
      </c>
      <c r="M198" s="1242">
        <f>IFERROR(VLOOKUP($I198,'Upper Cask Movement &amp; Logistics'!$H$4:$I$8,2,FALSE),"N/A")</f>
        <v>0.06</v>
      </c>
      <c r="N198" s="1356">
        <f t="shared" si="8"/>
        <v>0.11574074074074074</v>
      </c>
      <c r="O198" s="1357"/>
      <c r="P198" s="1358" t="str">
        <f>IF($D198="Logistics",VLOOKUP($O198,'Upper Cask Movement &amp; Logistics'!$C$4:$D$77,2,FALSE),"N/A")</f>
        <v>N/A</v>
      </c>
    </row>
    <row r="199" spans="2:16" x14ac:dyDescent="0.35">
      <c r="B199" s="3968"/>
      <c r="C199" s="1240" t="s">
        <v>1411</v>
      </c>
      <c r="D199" s="1240" t="s">
        <v>3</v>
      </c>
      <c r="E199" s="1241">
        <f t="shared" si="7"/>
        <v>0.63000000000000012</v>
      </c>
      <c r="F199" s="1241">
        <f>IF($D199="Trigger",VLOOKUP($C199,'Upper Cask Critical Path'!$C$135:$F$336,4,FALSE),E199+F198)</f>
        <v>46.130370370370372</v>
      </c>
      <c r="G199" s="1354"/>
      <c r="H199" s="1355" t="str">
        <f>IF(D199="operation",VLOOKUP(G199,'Generic Vertical Port Tasks'!C190:D198,2,FALSE),"N/A")</f>
        <v>N/A</v>
      </c>
      <c r="I199" s="1240"/>
      <c r="J199" s="1240"/>
      <c r="K199" s="1240"/>
      <c r="L199" s="1242" t="str">
        <f>IFERROR(INDEX('Upper Cask Movement &amp; Logistics'!$I$24:$O$30,MATCH($J199,'Upper Cask Movement &amp; Logistics'!$H$24:$H$30,0),MATCH($K199,'Upper Cask Movement &amp; Logistics'!$H$24:$H$30,0)),"N/A")</f>
        <v>N/A</v>
      </c>
      <c r="M199" s="1242" t="str">
        <f>IFERROR(VLOOKUP($I199,'Upper Cask Movement &amp; Logistics'!$H$4:$I$8,2,FALSE),"N/A")</f>
        <v>N/A</v>
      </c>
      <c r="N199" s="1356" t="str">
        <f t="shared" si="8"/>
        <v>N/A</v>
      </c>
      <c r="O199" s="1357" t="s">
        <v>1228</v>
      </c>
      <c r="P199" s="1358">
        <f>IF($D199="Logistics",VLOOKUP($O199,'Upper Cask Movement &amp; Logistics'!$C$4:$D$77,2,FALSE),"N/A")</f>
        <v>0.63000000000000012</v>
      </c>
    </row>
    <row r="200" spans="2:16" x14ac:dyDescent="0.35">
      <c r="B200" s="3961"/>
      <c r="C200" s="1243" t="s">
        <v>1366</v>
      </c>
      <c r="D200" s="1243" t="s">
        <v>778</v>
      </c>
      <c r="E200" s="1244">
        <f t="shared" si="7"/>
        <v>0.69444444444444442</v>
      </c>
      <c r="F200" s="1244">
        <f>IF($D200="Trigger",VLOOKUP($C200,'Upper Cask Critical Path'!$C$135:$F$336,4,FALSE),E200+F199)</f>
        <v>46.824814814814815</v>
      </c>
      <c r="G200" s="1309"/>
      <c r="H200" s="1310" t="str">
        <f>IF(D200="operation",VLOOKUP(G200,'Generic Vertical Port Tasks'!C190:D198,2,FALSE),"N/A")</f>
        <v>N/A</v>
      </c>
      <c r="I200" s="1243" t="s">
        <v>1789</v>
      </c>
      <c r="J200" s="1243" t="s">
        <v>831</v>
      </c>
      <c r="K200" s="1243" t="s">
        <v>901</v>
      </c>
      <c r="L200" s="1245">
        <f>IFERROR(INDEX('Upper Cask Movement &amp; Logistics'!$I$24:$O$30,MATCH($J200,'Upper Cask Movement &amp; Logistics'!$H$24:$H$30,0),MATCH($K200,'Upper Cask Movement &amp; Logistics'!$H$24:$H$30,0)),"N/A")</f>
        <v>50</v>
      </c>
      <c r="M200" s="1245">
        <f>IFERROR(VLOOKUP($I200,'Upper Cask Movement &amp; Logistics'!$H$4:$I$8,2,FALSE),"N/A")</f>
        <v>0.02</v>
      </c>
      <c r="N200" s="1311">
        <f t="shared" si="8"/>
        <v>0.69444444444444442</v>
      </c>
      <c r="O200" s="1312"/>
      <c r="P200" s="1313" t="str">
        <f>IF($D200="Logistics",VLOOKUP($O200,'Upper Cask Movement &amp; Logistics'!$C$4:$D$77,2,FALSE),"N/A")</f>
        <v>N/A</v>
      </c>
    </row>
    <row r="201" spans="2:16" x14ac:dyDescent="0.35">
      <c r="B201" s="3961"/>
      <c r="C201" s="1243" t="s">
        <v>1391</v>
      </c>
      <c r="D201" s="1243" t="s">
        <v>3</v>
      </c>
      <c r="E201" s="1244">
        <f t="shared" si="7"/>
        <v>1.4000000000000001</v>
      </c>
      <c r="F201" s="1244">
        <f>IF($D201="Trigger",VLOOKUP($C201,'Upper Cask Critical Path'!$C$135:$F$336,4,FALSE),E201+F200)</f>
        <v>48.224814814814813</v>
      </c>
      <c r="G201" s="1309"/>
      <c r="H201" s="1310" t="str">
        <f>IF(D201="operation",VLOOKUP(G201,'Generic Vertical Port Tasks'!C190:D198,2,FALSE),"N/A")</f>
        <v>N/A</v>
      </c>
      <c r="I201" s="1243"/>
      <c r="J201" s="1243"/>
      <c r="K201" s="1243"/>
      <c r="L201" s="1245" t="str">
        <f>IFERROR(INDEX('Upper Cask Movement &amp; Logistics'!$I$24:$O$30,MATCH($J201,'Upper Cask Movement &amp; Logistics'!$H$24:$H$30,0),MATCH($K201,'Upper Cask Movement &amp; Logistics'!$H$24:$H$30,0)),"N/A")</f>
        <v>N/A</v>
      </c>
      <c r="M201" s="1245" t="str">
        <f>IFERROR(VLOOKUP($I201,'Upper Cask Movement &amp; Logistics'!$H$4:$I$8,2,FALSE),"N/A")</f>
        <v>N/A</v>
      </c>
      <c r="N201" s="1311" t="str">
        <f t="shared" si="8"/>
        <v>N/A</v>
      </c>
      <c r="O201" s="1312" t="s">
        <v>1277</v>
      </c>
      <c r="P201" s="1313">
        <f>IF($D201="Logistics",VLOOKUP($O201,'Upper Cask Movement &amp; Logistics'!$C$4:$D$77,2,FALSE),"N/A")</f>
        <v>1.4000000000000001</v>
      </c>
    </row>
    <row r="202" spans="2:16" ht="13.3" thickBot="1" x14ac:dyDescent="0.4">
      <c r="B202" s="3963"/>
      <c r="C202" s="1378" t="str">
        <f>B196</f>
        <v>COB Blanket Segment Collected; Hardware Cask 6 docked</v>
      </c>
      <c r="D202" s="1314" t="s">
        <v>11</v>
      </c>
      <c r="E202" s="1316">
        <f t="shared" si="7"/>
        <v>0</v>
      </c>
      <c r="F202" s="1316">
        <f>IF($D202="Trigger",VLOOKUP($C202,'Upper Cask Critical Path'!$C$135:$F$336,4,FALSE),E202+F201)</f>
        <v>48.224814814814813</v>
      </c>
      <c r="G202" s="1317"/>
      <c r="H202" s="1318" t="str">
        <f>IF(D202="operation",VLOOKUP(G202,'Generic Vertical Port Tasks'!C190:D198,2,FALSE),"N/A")</f>
        <v>N/A</v>
      </c>
      <c r="I202" s="1314"/>
      <c r="J202" s="1314"/>
      <c r="K202" s="1314"/>
      <c r="L202" s="1319" t="str">
        <f>IFERROR(INDEX('Upper Cask Movement &amp; Logistics'!$I$24:$O$30,MATCH($J202,'Upper Cask Movement &amp; Logistics'!$H$24:$H$30,0),MATCH($K202,'Upper Cask Movement &amp; Logistics'!$H$24:$H$30,0)),"N/A")</f>
        <v>N/A</v>
      </c>
      <c r="M202" s="1319" t="str">
        <f>IFERROR(VLOOKUP($I202,'Upper Cask Movement &amp; Logistics'!$H$4:$I$8,2,FALSE),"N/A")</f>
        <v>N/A</v>
      </c>
      <c r="N202" s="1320" t="str">
        <f t="shared" si="8"/>
        <v>N/A</v>
      </c>
      <c r="O202" s="1321"/>
      <c r="P202" s="1322" t="str">
        <f>IF($D202="Logistics",VLOOKUP($O202,'Upper Cask Movement &amp; Logistics'!$C$4:$D$77,2,FALSE),"N/A")</f>
        <v>N/A</v>
      </c>
    </row>
    <row r="203" spans="2:16" x14ac:dyDescent="0.35">
      <c r="B203" s="3814" t="s">
        <v>1295</v>
      </c>
      <c r="C203" s="1324" t="s">
        <v>1275</v>
      </c>
      <c r="D203" s="1324" t="s">
        <v>907</v>
      </c>
      <c r="E203" s="1291">
        <f t="shared" si="7"/>
        <v>0</v>
      </c>
      <c r="F203" s="1291">
        <f>IF($D203="Trigger",VLOOKUP($C203,'Upper Cask Critical Path'!$C$135:$F$336,4,FALSE),E203+F202)</f>
        <v>25.75462962962963</v>
      </c>
      <c r="G203" s="825"/>
      <c r="H203" s="1323" t="str">
        <f>IF(D203="operation",VLOOKUP(G203,'Generic Vertical Port Tasks'!C190:D220,2,FALSE),"N/A")</f>
        <v>N/A</v>
      </c>
      <c r="I203" s="1324"/>
      <c r="J203" s="1324"/>
      <c r="K203" s="1324"/>
      <c r="L203" s="1325" t="str">
        <f>IFERROR(INDEX('Upper Cask Movement &amp; Logistics'!$I$24:$O$30,MATCH($J203,'Upper Cask Movement &amp; Logistics'!$H$24:$H$30,0),MATCH($K203,'Upper Cask Movement &amp; Logistics'!$H$24:$H$30,0)),"N/A")</f>
        <v>N/A</v>
      </c>
      <c r="M203" s="1325" t="str">
        <f>IFERROR(VLOOKUP($I203,'Upper Cask Movement &amp; Logistics'!$H$4:$I$8,2,FALSE),"N/A")</f>
        <v>N/A</v>
      </c>
      <c r="N203" s="1326" t="str">
        <f t="shared" si="8"/>
        <v>N/A</v>
      </c>
      <c r="O203" s="1327"/>
      <c r="P203" s="824" t="str">
        <f>IF($D203="Logistics",VLOOKUP($O203,'Upper Cask Movement &amp; Logistics'!$C$4:$D$77,2,FALSE),"N/A")</f>
        <v>N/A</v>
      </c>
    </row>
    <row r="204" spans="2:16" x14ac:dyDescent="0.35">
      <c r="B204" s="3815"/>
      <c r="C204" s="1294" t="s">
        <v>1345</v>
      </c>
      <c r="D204" s="1294" t="s">
        <v>778</v>
      </c>
      <c r="E204" s="1292">
        <f t="shared" si="7"/>
        <v>0.69444444444444442</v>
      </c>
      <c r="F204" s="1292">
        <f>IF($D204="Trigger",VLOOKUP($C204,'Upper Cask Critical Path'!$C$135:$F$336,4,FALSE),E204+F203)</f>
        <v>26.449074074074073</v>
      </c>
      <c r="G204" s="862"/>
      <c r="H204" s="1328" t="str">
        <f>IF(D204="operation",VLOOKUP(G204,'Generic Vertical Port Tasks'!C190:D220,2,FALSE),"N/A")</f>
        <v>N/A</v>
      </c>
      <c r="I204" s="1294" t="s">
        <v>1789</v>
      </c>
      <c r="J204" s="1294" t="s">
        <v>816</v>
      </c>
      <c r="K204" s="1294" t="s">
        <v>914</v>
      </c>
      <c r="L204" s="1329">
        <f>IFERROR(INDEX('Upper Cask Movement &amp; Logistics'!$I$24:$O$30,MATCH($J204,'Upper Cask Movement &amp; Logistics'!$H$24:$H$30,0),MATCH($K204,'Upper Cask Movement &amp; Logistics'!$H$24:$H$30,0)),"N/A")</f>
        <v>50</v>
      </c>
      <c r="M204" s="1329">
        <f>IFERROR(VLOOKUP($I204,'Upper Cask Movement &amp; Logistics'!$H$4:$I$8,2,FALSE),"N/A")</f>
        <v>0.02</v>
      </c>
      <c r="N204" s="1330">
        <f t="shared" si="8"/>
        <v>0.69444444444444442</v>
      </c>
      <c r="O204" s="1331"/>
      <c r="P204" s="1332" t="str">
        <f>IF($D204="Logistics",VLOOKUP($O204,'Upper Cask Movement &amp; Logistics'!$C$4:$D$77,2,FALSE),"N/A")</f>
        <v>N/A</v>
      </c>
    </row>
    <row r="205" spans="2:16" x14ac:dyDescent="0.35">
      <c r="B205" s="3815"/>
      <c r="C205" s="1346" t="s">
        <v>1412</v>
      </c>
      <c r="D205" s="1346" t="s">
        <v>3</v>
      </c>
      <c r="E205" s="1347">
        <f t="shared" si="7"/>
        <v>0.48000000000000004</v>
      </c>
      <c r="F205" s="1347">
        <f>IF($D205="Trigger",VLOOKUP($C205,'Upper Cask Critical Path'!$C$135:$F$336,4,FALSE),E205+F204)</f>
        <v>26.929074074074073</v>
      </c>
      <c r="G205" s="1348"/>
      <c r="H205" s="1349" t="str">
        <f>IF(D205="operation",VLOOKUP(G205,'Generic Vertical Port Tasks'!C190:D220,2,FALSE),"N/A")</f>
        <v>N/A</v>
      </c>
      <c r="I205" s="1346"/>
      <c r="J205" s="1346"/>
      <c r="K205" s="1346"/>
      <c r="L205" s="1329" t="str">
        <f>IFERROR(INDEX('Upper Cask Movement &amp; Logistics'!$I$24:$O$30,MATCH($J205,'Upper Cask Movement &amp; Logistics'!$H$24:$H$30,0),MATCH($K205,'Upper Cask Movement &amp; Logistics'!$H$24:$H$30,0)),"N/A")</f>
        <v>N/A</v>
      </c>
      <c r="M205" s="1329" t="str">
        <f>IFERROR(VLOOKUP($I205,'Upper Cask Movement &amp; Logistics'!$H$4:$I$8,2,FALSE),"N/A")</f>
        <v>N/A</v>
      </c>
      <c r="N205" s="1330" t="str">
        <f t="shared" si="8"/>
        <v>N/A</v>
      </c>
      <c r="O205" s="1352" t="s">
        <v>1330</v>
      </c>
      <c r="P205" s="1332">
        <f>IF($D205="Logistics",VLOOKUP($O205,'Upper Cask Movement &amp; Logistics'!$C$4:$D$77,2,FALSE),"N/A")</f>
        <v>0.48000000000000004</v>
      </c>
    </row>
    <row r="206" spans="2:16" x14ac:dyDescent="0.35">
      <c r="B206" s="3815"/>
      <c r="C206" s="1346" t="s">
        <v>1338</v>
      </c>
      <c r="D206" s="1346" t="s">
        <v>778</v>
      </c>
      <c r="E206" s="1347">
        <f t="shared" si="7"/>
        <v>2.7777777777777776E-2</v>
      </c>
      <c r="F206" s="1347">
        <f>IF($D206="Trigger",VLOOKUP($C206,'Upper Cask Critical Path'!$C$135:$F$336,4,FALSE),E206+F205)</f>
        <v>26.956851851851852</v>
      </c>
      <c r="G206" s="1348"/>
      <c r="H206" s="1349" t="str">
        <f>IF(D206="operation",VLOOKUP(G206,'Generic Vertical Port Tasks'!C190:D220,2,FALSE),"N/A")</f>
        <v>N/A</v>
      </c>
      <c r="I206" s="1294" t="s">
        <v>2502</v>
      </c>
      <c r="J206" s="1346" t="s">
        <v>914</v>
      </c>
      <c r="K206" s="1346" t="s">
        <v>799</v>
      </c>
      <c r="L206" s="1329">
        <f>IFERROR(INDEX('Upper Cask Movement &amp; Logistics'!$I$24:$O$30,MATCH($J206,'Upper Cask Movement &amp; Logistics'!$H$24:$H$30,0),MATCH($K206,'Upper Cask Movement &amp; Logistics'!$H$24:$H$30,0)),"N/A")</f>
        <v>20</v>
      </c>
      <c r="M206" s="1329">
        <f>IFERROR(VLOOKUP($I206,'Upper Cask Movement &amp; Logistics'!$H$4:$I$8,2,FALSE),"N/A")</f>
        <v>0.2</v>
      </c>
      <c r="N206" s="1330">
        <f t="shared" si="8"/>
        <v>2.7777777777777776E-2</v>
      </c>
      <c r="O206" s="1352"/>
      <c r="P206" s="1332" t="str">
        <f>IF($D206="Logistics",VLOOKUP($O206,'Upper Cask Movement &amp; Logistics'!$C$4:$D$77,2,FALSE),"N/A")</f>
        <v>N/A</v>
      </c>
    </row>
    <row r="207" spans="2:16" x14ac:dyDescent="0.35">
      <c r="B207" s="3815"/>
      <c r="C207" s="1346" t="s">
        <v>1358</v>
      </c>
      <c r="D207" s="1346" t="s">
        <v>3</v>
      </c>
      <c r="E207" s="1347">
        <f t="shared" si="7"/>
        <v>0.48000000000000004</v>
      </c>
      <c r="F207" s="1347">
        <f>IF($D207="Trigger",VLOOKUP($C207,'Upper Cask Critical Path'!$C$135:$F$336,4,FALSE),E207+F206)</f>
        <v>27.436851851851852</v>
      </c>
      <c r="G207" s="1348"/>
      <c r="H207" s="1349" t="str">
        <f>IF(D207="operation",VLOOKUP(G207,'Generic Vertical Port Tasks'!C190:D220,2,FALSE),"N/A")</f>
        <v>N/A</v>
      </c>
      <c r="I207" s="1346"/>
      <c r="J207" s="1346"/>
      <c r="K207" s="1346"/>
      <c r="L207" s="1329" t="str">
        <f>IFERROR(INDEX('Upper Cask Movement &amp; Logistics'!$I$24:$O$30,MATCH($J207,'Upper Cask Movement &amp; Logistics'!$H$24:$H$30,0),MATCH($K207,'Upper Cask Movement &amp; Logistics'!$H$24:$H$30,0)),"N/A")</f>
        <v>N/A</v>
      </c>
      <c r="M207" s="1329" t="str">
        <f>IFERROR(VLOOKUP($I207,'Upper Cask Movement &amp; Logistics'!$H$4:$I$8,2,FALSE),"N/A")</f>
        <v>N/A</v>
      </c>
      <c r="N207" s="1330" t="str">
        <f>IF(D207="Movement",IFERROR((L207/M207)/(60*60),"Error"),"N/A")</f>
        <v>N/A</v>
      </c>
      <c r="O207" s="1352" t="s">
        <v>1331</v>
      </c>
      <c r="P207" s="1332">
        <f>IF($D207="Logistics",VLOOKUP($O207,'Upper Cask Movement &amp; Logistics'!$C$4:$D$77,2,FALSE),"N/A")</f>
        <v>0.48000000000000004</v>
      </c>
    </row>
    <row r="208" spans="2:16" x14ac:dyDescent="0.35">
      <c r="B208" s="3815"/>
      <c r="C208" s="1346" t="s">
        <v>2504</v>
      </c>
      <c r="D208" s="1346" t="s">
        <v>778</v>
      </c>
      <c r="E208" s="1347">
        <f t="shared" si="7"/>
        <v>9.2592592592592601E-2</v>
      </c>
      <c r="F208" s="1347">
        <f>IF($D208="Trigger",VLOOKUP($C208,'Upper Cask Critical Path'!$C$135:$F$336,4,FALSE),E208+F207)</f>
        <v>27.529444444444444</v>
      </c>
      <c r="G208" s="1348"/>
      <c r="H208" s="1349" t="str">
        <f>IF(D208="operation",VLOOKUP(G208,'Generic Vertical Port Tasks'!C190:D220,2,FALSE),"N/A")</f>
        <v>N/A</v>
      </c>
      <c r="I208" s="1346" t="s">
        <v>2501</v>
      </c>
      <c r="J208" s="1346" t="s">
        <v>799</v>
      </c>
      <c r="K208" s="1346" t="s">
        <v>858</v>
      </c>
      <c r="L208" s="1329">
        <f>IFERROR(INDEX('Upper Cask Movement &amp; Logistics'!$I$24:$O$30,MATCH($J208,'Upper Cask Movement &amp; Logistics'!$H$24:$H$30,0),MATCH($K208,'Upper Cask Movement &amp; Logistics'!$H$24:$H$30,0)),"N/A")</f>
        <v>20</v>
      </c>
      <c r="M208" s="1329">
        <f>IFERROR(VLOOKUP($I208,'Upper Cask Movement &amp; Logistics'!$H$4:$I$8,2,FALSE),"N/A")</f>
        <v>0.06</v>
      </c>
      <c r="N208" s="1330">
        <f>IF(D208="Movement",IFERROR((L208/M208)/(60*60),"Error"),"N/A")</f>
        <v>9.2592592592592601E-2</v>
      </c>
      <c r="O208" s="1352"/>
      <c r="P208" s="1332" t="str">
        <f>IF($D208="Logistics",VLOOKUP($O208,'Upper Cask Movement &amp; Logistics'!$C$4:$D$77,2,FALSE),"N/A")</f>
        <v>N/A</v>
      </c>
    </row>
    <row r="209" spans="2:16" x14ac:dyDescent="0.35">
      <c r="B209" s="3815"/>
      <c r="C209" s="1346" t="s">
        <v>1359</v>
      </c>
      <c r="D209" s="1346" t="s">
        <v>3</v>
      </c>
      <c r="E209" s="1347">
        <f t="shared" si="7"/>
        <v>1.4000000000000001</v>
      </c>
      <c r="F209" s="1347">
        <f>IF($D209="Trigger",VLOOKUP($C209,'Upper Cask Critical Path'!$C$135:$F$336,4,FALSE),E209+F208)</f>
        <v>28.929444444444442</v>
      </c>
      <c r="G209" s="1348"/>
      <c r="H209" s="1349" t="str">
        <f>IF(D209="operation",VLOOKUP(G209,'Generic Vertical Port Tasks'!C190:D220,2,FALSE),"N/A")</f>
        <v>N/A</v>
      </c>
      <c r="I209" s="1346"/>
      <c r="J209" s="1346"/>
      <c r="K209" s="1346"/>
      <c r="L209" s="1329" t="str">
        <f>IFERROR(INDEX('Upper Cask Movement &amp; Logistics'!$I$24:$O$30,MATCH($J209,'Upper Cask Movement &amp; Logistics'!$H$24:$H$30,0),MATCH($K209,'Upper Cask Movement &amp; Logistics'!$H$24:$H$30,0)),"N/A")</f>
        <v>N/A</v>
      </c>
      <c r="M209" s="1329" t="str">
        <f>IFERROR(VLOOKUP($I209,'Upper Cask Movement &amp; Logistics'!$H$4:$I$8,2,FALSE),"N/A")</f>
        <v>N/A</v>
      </c>
      <c r="N209" s="1330" t="str">
        <f>IF(D209="Movement",IFERROR((L209/M209)/(60*60),"Error"),"N/A")</f>
        <v>N/A</v>
      </c>
      <c r="O209" s="1352" t="s">
        <v>1277</v>
      </c>
      <c r="P209" s="1332">
        <f>IF($D209="Logistics",VLOOKUP($O209,'Upper Cask Movement &amp; Logistics'!$C$4:$D$77,2,FALSE),"N/A")</f>
        <v>1.4000000000000001</v>
      </c>
    </row>
    <row r="210" spans="2:16" x14ac:dyDescent="0.35">
      <c r="B210" s="3815"/>
      <c r="C210" s="1294" t="s">
        <v>1413</v>
      </c>
      <c r="D210" s="1294" t="s">
        <v>3</v>
      </c>
      <c r="E210" s="1292">
        <f t="shared" si="7"/>
        <v>0.63000000000000012</v>
      </c>
      <c r="F210" s="1347">
        <f>IF($D210="Trigger",VLOOKUP($C210,'Upper Cask Critical Path'!$C$135:$F$336,4,FALSE),E210+F209)</f>
        <v>29.559444444444441</v>
      </c>
      <c r="G210" s="862"/>
      <c r="H210" s="1328" t="str">
        <f>IF(D210="operation",VLOOKUP(G210,'Generic Vertical Port Tasks'!C190:D246,2,FALSE),"N/A")</f>
        <v>N/A</v>
      </c>
      <c r="I210" s="1294"/>
      <c r="J210" s="1294"/>
      <c r="K210" s="1294"/>
      <c r="L210" s="1329" t="str">
        <f>IFERROR(INDEX('Upper Cask Movement &amp; Logistics'!$I$24:$O$30,MATCH($J210,'Upper Cask Movement &amp; Logistics'!$H$24:$H$30,0),MATCH($K210,'Upper Cask Movement &amp; Logistics'!$H$24:$H$30,0)),"N/A")</f>
        <v>N/A</v>
      </c>
      <c r="M210" s="1329" t="str">
        <f>IFERROR(VLOOKUP($I210,'Upper Cask Movement &amp; Logistics'!$H$4:$I$8,2,FALSE),"N/A")</f>
        <v>N/A</v>
      </c>
      <c r="N210" s="1330" t="str">
        <f>IF(D210="Movement",IFERROR((L210/M210)/(60*60),"Error"),"N/A")</f>
        <v>N/A</v>
      </c>
      <c r="O210" s="1331" t="s">
        <v>1228</v>
      </c>
      <c r="P210" s="1332">
        <f>IF($D210="Logistics",VLOOKUP($O210,'Upper Cask Movement &amp; Logistics'!$C$4:$D$77,2,FALSE),"N/A")</f>
        <v>0.63000000000000012</v>
      </c>
    </row>
    <row r="211" spans="2:16" x14ac:dyDescent="0.35">
      <c r="B211" s="3815"/>
      <c r="C211" s="1294" t="s">
        <v>2505</v>
      </c>
      <c r="D211" s="1294" t="s">
        <v>3</v>
      </c>
      <c r="E211" s="1292">
        <f t="shared" si="7"/>
        <v>2.3000000000000003</v>
      </c>
      <c r="F211" s="1347">
        <f>IF($D211="Trigger",VLOOKUP($C211,'Upper Cask Critical Path'!$C$135:$F$336,4,FALSE),E211+F210)</f>
        <v>31.859444444444442</v>
      </c>
      <c r="G211" s="862"/>
      <c r="H211" s="1328" t="str">
        <f>IF(D211="operation",VLOOKUP(G211,'Generic Vertical Port Tasks'!C191:D246,2,FALSE),"N/A")</f>
        <v>N/A</v>
      </c>
      <c r="I211" s="1294"/>
      <c r="J211" s="1294"/>
      <c r="K211" s="1294"/>
      <c r="L211" s="1329" t="str">
        <f>IFERROR(INDEX('Upper Cask Movement &amp; Logistics'!$I$24:$O$30,MATCH($J211,'Upper Cask Movement &amp; Logistics'!$H$24:$H$30,0),MATCH($K211,'Upper Cask Movement &amp; Logistics'!$H$24:$H$30,0)),"N/A")</f>
        <v>N/A</v>
      </c>
      <c r="M211" s="1329" t="str">
        <f>IFERROR(VLOOKUP($I211,'Upper Cask Movement &amp; Logistics'!$H$4:$I$8,2,FALSE),"N/A")</f>
        <v>N/A</v>
      </c>
      <c r="N211" s="1330" t="str">
        <f t="shared" ref="N211:N273" si="9">IF(D211="Movement",IFERROR((L211/M211)/(60*60),"Error"),"N/A")</f>
        <v>N/A</v>
      </c>
      <c r="O211" s="1331" t="s">
        <v>1269</v>
      </c>
      <c r="P211" s="1332">
        <f>IF($D211="Logistics",VLOOKUP($O211,'Upper Cask Movement &amp; Logistics'!$C$4:$D$77,2,FALSE),"N/A")</f>
        <v>2.3000000000000003</v>
      </c>
    </row>
    <row r="212" spans="2:16" x14ac:dyDescent="0.35">
      <c r="B212" s="3815"/>
      <c r="C212" s="1294" t="s">
        <v>2506</v>
      </c>
      <c r="D212" s="1294" t="s">
        <v>778</v>
      </c>
      <c r="E212" s="1292">
        <f t="shared" si="7"/>
        <v>0.69444444444444442</v>
      </c>
      <c r="F212" s="1347">
        <f>IF($D212="Trigger",VLOOKUP($C212,'Upper Cask Critical Path'!$C$135:$F$336,4,FALSE),E212+F211)</f>
        <v>32.553888888888885</v>
      </c>
      <c r="G212" s="862"/>
      <c r="H212" s="1328" t="str">
        <f>IF(D212="operation",VLOOKUP(G212,'Generic Vertical Port Tasks'!C191:D246,2,FALSE),"N/A")</f>
        <v>N/A</v>
      </c>
      <c r="I212" s="1294" t="s">
        <v>1789</v>
      </c>
      <c r="J212" s="1294" t="s">
        <v>831</v>
      </c>
      <c r="K212" s="1294" t="s">
        <v>901</v>
      </c>
      <c r="L212" s="1329">
        <f>IFERROR(INDEX('Upper Cask Movement &amp; Logistics'!$I$24:$O$30,MATCH($J212,'Upper Cask Movement &amp; Logistics'!$H$24:$H$30,0),MATCH($K212,'Upper Cask Movement &amp; Logistics'!$H$24:$H$30,0)),"N/A")</f>
        <v>50</v>
      </c>
      <c r="M212" s="1329">
        <f>IFERROR(VLOOKUP($I212,'Upper Cask Movement &amp; Logistics'!$H$4:$I$8,2,FALSE),"N/A")</f>
        <v>0.02</v>
      </c>
      <c r="N212" s="1330">
        <f t="shared" si="9"/>
        <v>0.69444444444444442</v>
      </c>
      <c r="O212" s="1331"/>
      <c r="P212" s="1332" t="str">
        <f>IF($D212="Logistics",VLOOKUP($O212,'Upper Cask Movement &amp; Logistics'!$C$4:$D$77,2,FALSE),"N/A")</f>
        <v>N/A</v>
      </c>
    </row>
    <row r="213" spans="2:16" x14ac:dyDescent="0.35">
      <c r="B213" s="3815"/>
      <c r="C213" s="1294" t="s">
        <v>1367</v>
      </c>
      <c r="D213" s="1294" t="s">
        <v>3</v>
      </c>
      <c r="E213" s="1292">
        <f t="shared" si="7"/>
        <v>1.4000000000000001</v>
      </c>
      <c r="F213" s="1347">
        <f>IF($D213="Trigger",VLOOKUP($C213,'Upper Cask Critical Path'!$C$135:$F$336,4,FALSE),E213+F212)</f>
        <v>33.953888888888883</v>
      </c>
      <c r="G213" s="862"/>
      <c r="H213" s="1328" t="str">
        <f>IF(D213="operation",VLOOKUP(G213,'Generic Vertical Port Tasks'!C191:D246,2,FALSE),"N/A")</f>
        <v>N/A</v>
      </c>
      <c r="I213" s="1294"/>
      <c r="J213" s="1294"/>
      <c r="K213" s="1294"/>
      <c r="L213" s="1329" t="str">
        <f>IFERROR(INDEX('Upper Cask Movement &amp; Logistics'!$I$24:$O$30,MATCH($J213,'Upper Cask Movement &amp; Logistics'!$H$24:$H$30,0),MATCH($K213,'Upper Cask Movement &amp; Logistics'!$H$24:$H$30,0)),"N/A")</f>
        <v>N/A</v>
      </c>
      <c r="M213" s="1329" t="str">
        <f>IFERROR(VLOOKUP($I213,'Upper Cask Movement &amp; Logistics'!$H$4:$I$8,2,FALSE),"N/A")</f>
        <v>N/A</v>
      </c>
      <c r="N213" s="1330" t="str">
        <f t="shared" si="9"/>
        <v>N/A</v>
      </c>
      <c r="O213" s="1331" t="s">
        <v>1277</v>
      </c>
      <c r="P213" s="1332">
        <f>IF($D213="Logistics",VLOOKUP($O213,'Upper Cask Movement &amp; Logistics'!$C$4:$D$77,2,FALSE),"N/A")</f>
        <v>1.4000000000000001</v>
      </c>
    </row>
    <row r="214" spans="2:16" ht="13.3" thickBot="1" x14ac:dyDescent="0.4">
      <c r="B214" s="3816"/>
      <c r="C214" s="1340" t="str">
        <f>B203</f>
        <v>Equipment Cask 6 stored; Equipment Cask 2 Collected; Hardware Cask 2 docked; RIB Pipe Module Collected</v>
      </c>
      <c r="D214" s="1340" t="s">
        <v>11</v>
      </c>
      <c r="E214" s="1295">
        <f t="shared" si="7"/>
        <v>0</v>
      </c>
      <c r="F214" s="1295">
        <f>IF($D214="Trigger",VLOOKUP($C214,'Upper Cask Critical Path'!$C$135:$F$336,4,FALSE),E214+F213)</f>
        <v>33.953888888888883</v>
      </c>
      <c r="G214" s="839"/>
      <c r="H214" s="1341" t="str">
        <f>IF(D214="operation",VLOOKUP(G214,'Generic Vertical Port Tasks'!C191:D246,2,FALSE),"N/A")</f>
        <v>N/A</v>
      </c>
      <c r="I214" s="1340"/>
      <c r="J214" s="1340"/>
      <c r="K214" s="1340"/>
      <c r="L214" s="1342" t="str">
        <f>IFERROR(INDEX('Upper Cask Movement &amp; Logistics'!$I$24:$O$30,MATCH($J214,'Upper Cask Movement &amp; Logistics'!$H$24:$H$30,0),MATCH($K214,'Upper Cask Movement &amp; Logistics'!$H$24:$H$30,0)),"N/A")</f>
        <v>N/A</v>
      </c>
      <c r="M214" s="1342" t="str">
        <f>IFERROR(VLOOKUP($I214,'Upper Cask Movement &amp; Logistics'!$H$4:$I$8,2,FALSE),"N/A")</f>
        <v>N/A</v>
      </c>
      <c r="N214" s="1343" t="str">
        <f t="shared" si="9"/>
        <v>N/A</v>
      </c>
      <c r="O214" s="1344"/>
      <c r="P214" s="1345" t="str">
        <f>IF($D214="Logistics",VLOOKUP($O214,'Upper Cask Movement &amp; Logistics'!$C$4:$D$77,2,FALSE),"N/A")</f>
        <v>N/A</v>
      </c>
    </row>
    <row r="215" spans="2:16" x14ac:dyDescent="0.35">
      <c r="B215" s="3970" t="s">
        <v>1414</v>
      </c>
      <c r="C215" s="617" t="str">
        <f>'Upper Cask Critical Path'!C163</f>
        <v>Install RIB Pipe Module</v>
      </c>
      <c r="D215" s="617" t="s">
        <v>907</v>
      </c>
      <c r="E215" s="567">
        <f t="shared" si="7"/>
        <v>0</v>
      </c>
      <c r="F215" s="567">
        <f>IF($D215="Trigger",VLOOKUP($C215,'Upper Cask Critical Path'!$C$135:$F$336,4,FALSE),E215+F214)</f>
        <v>63.939629629629643</v>
      </c>
      <c r="G215" s="568"/>
      <c r="H215" s="569" t="str">
        <f>IF(D215="operation",VLOOKUP(G215,'Generic Vertical Port Tasks'!C195:D247,2,FALSE),"N/A")</f>
        <v>N/A</v>
      </c>
      <c r="I215" s="617"/>
      <c r="J215" s="617"/>
      <c r="K215" s="617"/>
      <c r="L215" s="618" t="str">
        <f>IFERROR(INDEX('Upper Cask Movement &amp; Logistics'!$I$24:$O$30,MATCH($J215,'Upper Cask Movement &amp; Logistics'!$H$24:$H$30,0),MATCH($K215,'Upper Cask Movement &amp; Logistics'!$H$24:$H$30,0)),"N/A")</f>
        <v>N/A</v>
      </c>
      <c r="M215" s="618" t="str">
        <f>IFERROR(VLOOKUP($I215,'Upper Cask Movement &amp; Logistics'!$H$4:$I$8,2,FALSE),"N/A")</f>
        <v>N/A</v>
      </c>
      <c r="N215" s="619" t="str">
        <f t="shared" si="9"/>
        <v>N/A</v>
      </c>
      <c r="O215" s="620"/>
      <c r="P215" s="621" t="str">
        <f>IF($D215="Logistics",VLOOKUP($O215,'Upper Cask Movement &amp; Logistics'!$C$4:$D$77,2,FALSE),"N/A")</f>
        <v>N/A</v>
      </c>
    </row>
    <row r="216" spans="2:16" x14ac:dyDescent="0.35">
      <c r="B216" s="3971"/>
      <c r="C216" s="1275" t="s">
        <v>1377</v>
      </c>
      <c r="D216" s="1275" t="s">
        <v>3</v>
      </c>
      <c r="E216" s="1276">
        <f t="shared" si="7"/>
        <v>2.3000000000000003</v>
      </c>
      <c r="F216" s="1276">
        <f>IF($D216="Trigger",VLOOKUP($C216,'Upper Cask Critical Path'!$C$135:$F$336,4,FALSE),E216+F215)</f>
        <v>66.239629629629647</v>
      </c>
      <c r="G216" s="879"/>
      <c r="H216" s="1379" t="str">
        <f>IF(D216="operation",VLOOKUP(G216,'Generic Vertical Port Tasks'!C195:D247,2,FALSE),"N/A")</f>
        <v>N/A</v>
      </c>
      <c r="I216" s="1275"/>
      <c r="J216" s="1275"/>
      <c r="K216" s="1275"/>
      <c r="L216" s="1277" t="str">
        <f>IFERROR(INDEX('Upper Cask Movement &amp; Logistics'!$I$24:$O$30,MATCH($J216,'Upper Cask Movement &amp; Logistics'!$H$24:$H$30,0),MATCH($K216,'Upper Cask Movement &amp; Logistics'!$H$24:$H$30,0)),"N/A")</f>
        <v>N/A</v>
      </c>
      <c r="M216" s="1277" t="str">
        <f>IFERROR(VLOOKUP($I216,'Upper Cask Movement &amp; Logistics'!$H$4:$I$8,2,FALSE),"N/A")</f>
        <v>N/A</v>
      </c>
      <c r="N216" s="1380" t="str">
        <f t="shared" si="9"/>
        <v>N/A</v>
      </c>
      <c r="O216" s="1381" t="s">
        <v>1269</v>
      </c>
      <c r="P216" s="850">
        <f>IF($D216="Logistics",VLOOKUP($O216,'Upper Cask Movement &amp; Logistics'!$C$4:$D$77,2,FALSE),"N/A")</f>
        <v>2.3000000000000003</v>
      </c>
    </row>
    <row r="217" spans="2:16" x14ac:dyDescent="0.35">
      <c r="B217" s="3972"/>
      <c r="C217" s="572" t="s">
        <v>1410</v>
      </c>
      <c r="D217" s="572" t="s">
        <v>778</v>
      </c>
      <c r="E217" s="574">
        <f t="shared" si="7"/>
        <v>0.23148148148148148</v>
      </c>
      <c r="F217" s="574">
        <f>IF($D217="Trigger",VLOOKUP($C217,'Upper Cask Critical Path'!$C$135:$F$336,4,FALSE),E217+F216)</f>
        <v>66.471111111111128</v>
      </c>
      <c r="G217" s="575"/>
      <c r="H217" s="576" t="str">
        <f>IF(D217="operation",VLOOKUP(G217,'Generic Vertical Port Tasks'!C195:D247,2,FALSE),"N/A")</f>
        <v>N/A</v>
      </c>
      <c r="I217" s="572" t="s">
        <v>2501</v>
      </c>
      <c r="J217" s="572" t="s">
        <v>901</v>
      </c>
      <c r="K217" s="572" t="s">
        <v>831</v>
      </c>
      <c r="L217" s="577">
        <f>IFERROR(INDEX('Upper Cask Movement &amp; Logistics'!$I$24:$O$30,MATCH($J217,'Upper Cask Movement &amp; Logistics'!$H$24:$H$30,0),MATCH($K217,'Upper Cask Movement &amp; Logistics'!$H$24:$H$30,0)),"N/A")</f>
        <v>50</v>
      </c>
      <c r="M217" s="577">
        <f>IFERROR(VLOOKUP($I217,'Upper Cask Movement &amp; Logistics'!$H$4:$I$8,2,FALSE),"N/A")</f>
        <v>0.06</v>
      </c>
      <c r="N217" s="578">
        <f t="shared" si="9"/>
        <v>0.23148148148148148</v>
      </c>
      <c r="O217" s="579"/>
      <c r="P217" s="580" t="str">
        <f>IF($D217="Logistics",VLOOKUP($O217,'Upper Cask Movement &amp; Logistics'!$C$4:$D$77,2,FALSE),"N/A")</f>
        <v>N/A</v>
      </c>
    </row>
    <row r="218" spans="2:16" x14ac:dyDescent="0.35">
      <c r="B218" s="3972"/>
      <c r="C218" s="572" t="s">
        <v>1415</v>
      </c>
      <c r="D218" s="572" t="s">
        <v>3</v>
      </c>
      <c r="E218" s="574">
        <f t="shared" ref="E218:E263" si="10">MAX($P218,$N218,$H218)</f>
        <v>0.68</v>
      </c>
      <c r="F218" s="574">
        <f>IF($D218="Trigger",VLOOKUP($C218,'Upper Cask Critical Path'!$C$135:$F$336,4,FALSE),E218+F217)</f>
        <v>67.151111111111135</v>
      </c>
      <c r="G218" s="575"/>
      <c r="H218" s="576" t="str">
        <f>IF(D218="operation",VLOOKUP(G218,'Generic Vertical Port Tasks'!C195:D247,2,FALSE),"N/A")</f>
        <v>N/A</v>
      </c>
      <c r="I218" s="572"/>
      <c r="J218" s="572"/>
      <c r="K218" s="572"/>
      <c r="L218" s="577" t="str">
        <f>IFERROR(INDEX('Upper Cask Movement &amp; Logistics'!$I$24:$O$30,MATCH($J218,'Upper Cask Movement &amp; Logistics'!$H$24:$H$30,0),MATCH($K218,'Upper Cask Movement &amp; Logistics'!$H$24:$H$30,0)),"N/A")</f>
        <v>N/A</v>
      </c>
      <c r="M218" s="577" t="str">
        <f>IFERROR(VLOOKUP($I218,'Upper Cask Movement &amp; Logistics'!$H$4:$I$8,2,FALSE),"N/A")</f>
        <v>N/A</v>
      </c>
      <c r="N218" s="578" t="str">
        <f t="shared" si="9"/>
        <v>N/A</v>
      </c>
      <c r="O218" s="579" t="s">
        <v>1213</v>
      </c>
      <c r="P218" s="580">
        <f>IF($D218="Logistics",VLOOKUP($O218,'Upper Cask Movement &amp; Logistics'!$C$4:$D$77,2,FALSE),"N/A")</f>
        <v>0.68</v>
      </c>
    </row>
    <row r="219" spans="2:16" x14ac:dyDescent="0.35">
      <c r="B219" s="3972"/>
      <c r="C219" s="572" t="s">
        <v>1366</v>
      </c>
      <c r="D219" s="572" t="s">
        <v>778</v>
      </c>
      <c r="E219" s="574">
        <f t="shared" si="10"/>
        <v>0.69444444444444442</v>
      </c>
      <c r="F219" s="574">
        <f>IF($D219="Trigger",VLOOKUP($C219,'Upper Cask Critical Path'!$C$135:$F$336,4,FALSE),E219+F218)</f>
        <v>67.845555555555578</v>
      </c>
      <c r="G219" s="575"/>
      <c r="H219" s="576" t="str">
        <f>IF(D219="operation",VLOOKUP(G219,'Generic Vertical Port Tasks'!C195:D247,2,FALSE),"N/A")</f>
        <v>N/A</v>
      </c>
      <c r="I219" s="572" t="s">
        <v>2507</v>
      </c>
      <c r="J219" s="572" t="s">
        <v>831</v>
      </c>
      <c r="K219" s="572" t="s">
        <v>901</v>
      </c>
      <c r="L219" s="577">
        <f>IFERROR(INDEX('Upper Cask Movement &amp; Logistics'!$I$24:$O$30,MATCH($J219,'Upper Cask Movement &amp; Logistics'!$H$24:$H$30,0),MATCH($K219,'Upper Cask Movement &amp; Logistics'!$H$24:$H$30,0)),"N/A")</f>
        <v>50</v>
      </c>
      <c r="M219" s="577">
        <f>IFERROR(VLOOKUP($I219,'Upper Cask Movement &amp; Logistics'!$H$4:$I$8,2,FALSE),"N/A")</f>
        <v>0.02</v>
      </c>
      <c r="N219" s="578">
        <f t="shared" si="9"/>
        <v>0.69444444444444442</v>
      </c>
      <c r="O219" s="579"/>
      <c r="P219" s="580" t="str">
        <f>IF($D219="Logistics",VLOOKUP($O219,'Upper Cask Movement &amp; Logistics'!$C$4:$D$77,2,FALSE),"N/A")</f>
        <v>N/A</v>
      </c>
    </row>
    <row r="220" spans="2:16" x14ac:dyDescent="0.35">
      <c r="B220" s="3972"/>
      <c r="C220" s="572" t="s">
        <v>1367</v>
      </c>
      <c r="D220" s="572" t="s">
        <v>3</v>
      </c>
      <c r="E220" s="574">
        <f t="shared" si="10"/>
        <v>1.4000000000000001</v>
      </c>
      <c r="F220" s="574">
        <f>IF($D220="Trigger",VLOOKUP($C220,'Upper Cask Critical Path'!$C$135:$F$336,4,FALSE),E220+F219)</f>
        <v>69.245555555555583</v>
      </c>
      <c r="G220" s="575"/>
      <c r="H220" s="576" t="str">
        <f>IF(D220="operation",VLOOKUP(G220,'Generic Vertical Port Tasks'!C195:D247,2,FALSE),"N/A")</f>
        <v>N/A</v>
      </c>
      <c r="I220" s="572"/>
      <c r="J220" s="572"/>
      <c r="K220" s="572"/>
      <c r="L220" s="577" t="str">
        <f>IFERROR(INDEX('Upper Cask Movement &amp; Logistics'!$I$24:$O$30,MATCH($J220,'Upper Cask Movement &amp; Logistics'!$H$24:$H$30,0),MATCH($K220,'Upper Cask Movement &amp; Logistics'!$H$24:$H$30,0)),"N/A")</f>
        <v>N/A</v>
      </c>
      <c r="M220" s="577" t="str">
        <f>IFERROR(VLOOKUP($I220,'Upper Cask Movement &amp; Logistics'!$H$4:$I$8,2,FALSE),"N/A")</f>
        <v>N/A</v>
      </c>
      <c r="N220" s="578" t="str">
        <f t="shared" si="9"/>
        <v>N/A</v>
      </c>
      <c r="O220" s="579" t="s">
        <v>1277</v>
      </c>
      <c r="P220" s="580">
        <f>IF($D220="Logistics",VLOOKUP($O220,'Upper Cask Movement &amp; Logistics'!$C$4:$D$77,2,FALSE),"N/A")</f>
        <v>1.4000000000000001</v>
      </c>
    </row>
    <row r="221" spans="2:16" ht="13.3" thickBot="1" x14ac:dyDescent="0.4">
      <c r="B221" s="3973"/>
      <c r="C221" s="583" t="str">
        <f>B215</f>
        <v>Hardware Cask 2 Un-Docked; LIB Pipe Module Collected; Hardware Cask 4 docked</v>
      </c>
      <c r="D221" s="583" t="s">
        <v>11</v>
      </c>
      <c r="E221" s="585">
        <f t="shared" si="10"/>
        <v>0</v>
      </c>
      <c r="F221" s="585">
        <f>IF($D221="Trigger",VLOOKUP($C221,'Upper Cask Critical Path'!$C$135:$F$336,4,FALSE),E221+F220)</f>
        <v>69.245555555555583</v>
      </c>
      <c r="G221" s="586"/>
      <c r="H221" s="587" t="str">
        <f>IF(D221="operation",VLOOKUP(G221,'Generic Vertical Port Tasks'!C195:D247,2,FALSE),"N/A")</f>
        <v>N/A</v>
      </c>
      <c r="I221" s="583"/>
      <c r="J221" s="583"/>
      <c r="K221" s="583"/>
      <c r="L221" s="588" t="str">
        <f>IFERROR(INDEX('Upper Cask Movement &amp; Logistics'!$I$24:$O$30,MATCH($J221,'Upper Cask Movement &amp; Logistics'!$H$24:$H$30,0),MATCH($K221,'Upper Cask Movement &amp; Logistics'!$H$24:$H$30,0)),"N/A")</f>
        <v>N/A</v>
      </c>
      <c r="M221" s="588" t="str">
        <f>IFERROR(VLOOKUP($I221,'Upper Cask Movement &amp; Logistics'!$H$4:$I$8,2,FALSE),"N/A")</f>
        <v>N/A</v>
      </c>
      <c r="N221" s="589" t="str">
        <f t="shared" si="9"/>
        <v>N/A</v>
      </c>
      <c r="O221" s="590"/>
      <c r="P221" s="591" t="str">
        <f>IF($D221="Logistics",VLOOKUP($O221,'Upper Cask Movement &amp; Logistics'!$C$4:$D$77,2,FALSE),"N/A")</f>
        <v>N/A</v>
      </c>
    </row>
    <row r="222" spans="2:16" x14ac:dyDescent="0.35">
      <c r="B222" s="3964" t="s">
        <v>1416</v>
      </c>
      <c r="C222" s="1324" t="str">
        <f>'Upper Cask Critical Path'!C174</f>
        <v>Install LIB Pipe Module</v>
      </c>
      <c r="D222" s="1324" t="s">
        <v>907</v>
      </c>
      <c r="E222" s="1291">
        <f t="shared" si="10"/>
        <v>0</v>
      </c>
      <c r="F222" s="1291">
        <f>IF($D222="Trigger",VLOOKUP($C222,'Upper Cask Critical Path'!$C$135:$F$336,4,FALSE),E222+F221)</f>
        <v>105.06736218150317</v>
      </c>
      <c r="G222" s="825"/>
      <c r="H222" s="1323" t="str">
        <f>IF(D222="operation",VLOOKUP(G222,'Generic Vertical Port Tasks'!C202:D248,2,FALSE),"N/A")</f>
        <v>N/A</v>
      </c>
      <c r="I222" s="1324"/>
      <c r="J222" s="1324"/>
      <c r="K222" s="1324"/>
      <c r="L222" s="1325" t="str">
        <f>IFERROR(INDEX('Upper Cask Movement &amp; Logistics'!$I$24:$O$30,MATCH($J222,'Upper Cask Movement &amp; Logistics'!$H$24:$H$30,0),MATCH($K222,'Upper Cask Movement &amp; Logistics'!$H$24:$H$30,0)),"N/A")</f>
        <v>N/A</v>
      </c>
      <c r="M222" s="1325" t="str">
        <f>IFERROR(VLOOKUP($I222,'Upper Cask Movement &amp; Logistics'!$H$4:$I$8,2,FALSE),"N/A")</f>
        <v>N/A</v>
      </c>
      <c r="N222" s="1326" t="str">
        <f t="shared" si="9"/>
        <v>N/A</v>
      </c>
      <c r="O222" s="1327"/>
      <c r="P222" s="824" t="str">
        <f>IF($D222="Logistics",VLOOKUP($O222,'Upper Cask Movement &amp; Logistics'!$C$4:$D$77,2,FALSE),"N/A")</f>
        <v>N/A</v>
      </c>
    </row>
    <row r="223" spans="2:16" x14ac:dyDescent="0.35">
      <c r="B223" s="3969"/>
      <c r="C223" s="1362" t="s">
        <v>1377</v>
      </c>
      <c r="D223" s="1362" t="s">
        <v>3</v>
      </c>
      <c r="E223" s="1363">
        <f t="shared" si="10"/>
        <v>2.3000000000000003</v>
      </c>
      <c r="F223" s="1363">
        <f>IF($D223="Trigger",VLOOKUP($C223,'Upper Cask Critical Path'!$C$135:$F$336,4,FALSE),E223+F222)</f>
        <v>107.36736218150317</v>
      </c>
      <c r="G223" s="1364"/>
      <c r="H223" s="1365" t="str">
        <f>IF(D223="operation",VLOOKUP(G223,'Generic Vertical Port Tasks'!C202:D248,2,FALSE),"N/A")</f>
        <v>N/A</v>
      </c>
      <c r="I223" s="1362"/>
      <c r="J223" s="1362"/>
      <c r="K223" s="1362"/>
      <c r="L223" s="1366" t="str">
        <f>IFERROR(INDEX('Upper Cask Movement &amp; Logistics'!$I$24:$O$30,MATCH($J223,'Upper Cask Movement &amp; Logistics'!$H$24:$H$30,0),MATCH($K223,'Upper Cask Movement &amp; Logistics'!$H$24:$H$30,0)),"N/A")</f>
        <v>N/A</v>
      </c>
      <c r="M223" s="1366" t="str">
        <f>IFERROR(VLOOKUP($I223,'Upper Cask Movement &amp; Logistics'!$H$4:$I$8,2,FALSE),"N/A")</f>
        <v>N/A</v>
      </c>
      <c r="N223" s="1367" t="str">
        <f t="shared" si="9"/>
        <v>N/A</v>
      </c>
      <c r="O223" s="1368" t="s">
        <v>1269</v>
      </c>
      <c r="P223" s="861">
        <f>IF($D223="Logistics",VLOOKUP($O223,'Upper Cask Movement &amp; Logistics'!$C$4:$D$77,2,FALSE),"N/A")</f>
        <v>2.3000000000000003</v>
      </c>
    </row>
    <row r="224" spans="2:16" x14ac:dyDescent="0.35">
      <c r="B224" s="3965"/>
      <c r="C224" s="1294" t="s">
        <v>1402</v>
      </c>
      <c r="D224" s="1294" t="s">
        <v>778</v>
      </c>
      <c r="E224" s="1292">
        <f t="shared" si="10"/>
        <v>0.23148148148148148</v>
      </c>
      <c r="F224" s="1292">
        <f>IF($D224="Trigger",VLOOKUP($C224,'Upper Cask Critical Path'!$C$135:$F$336,4,FALSE),E224+F223)</f>
        <v>107.59884366298465</v>
      </c>
      <c r="G224" s="862"/>
      <c r="H224" s="1328" t="str">
        <f>IF(D224="operation",VLOOKUP(G224,'Generic Vertical Port Tasks'!C202:D248,2,FALSE),"N/A")</f>
        <v>N/A</v>
      </c>
      <c r="I224" s="1294" t="s">
        <v>2501</v>
      </c>
      <c r="J224" s="1294" t="s">
        <v>901</v>
      </c>
      <c r="K224" s="1294" t="s">
        <v>831</v>
      </c>
      <c r="L224" s="1329">
        <f>IFERROR(INDEX('Upper Cask Movement &amp; Logistics'!$I$24:$O$30,MATCH($J224,'Upper Cask Movement &amp; Logistics'!$H$24:$H$30,0),MATCH($K224,'Upper Cask Movement &amp; Logistics'!$H$24:$H$30,0)),"N/A")</f>
        <v>50</v>
      </c>
      <c r="M224" s="1329">
        <f>IFERROR(VLOOKUP($I224,'Upper Cask Movement &amp; Logistics'!$H$4:$I$8,2,FALSE),"N/A")</f>
        <v>0.06</v>
      </c>
      <c r="N224" s="1330">
        <f t="shared" si="9"/>
        <v>0.23148148148148148</v>
      </c>
      <c r="O224" s="1331"/>
      <c r="P224" s="1332" t="str">
        <f>IF($D224="Logistics",VLOOKUP($O224,'Upper Cask Movement &amp; Logistics'!$C$4:$D$77,2,FALSE),"N/A")</f>
        <v>N/A</v>
      </c>
    </row>
    <row r="225" spans="2:16" x14ac:dyDescent="0.35">
      <c r="B225" s="3965"/>
      <c r="C225" s="1294" t="s">
        <v>1415</v>
      </c>
      <c r="D225" s="1294" t="s">
        <v>3</v>
      </c>
      <c r="E225" s="1292">
        <f t="shared" si="10"/>
        <v>0.68</v>
      </c>
      <c r="F225" s="1292">
        <f>IF($D225="Trigger",VLOOKUP($C225,'Upper Cask Critical Path'!$C$135:$F$336,4,FALSE),E225+F224)</f>
        <v>108.27884366298466</v>
      </c>
      <c r="G225" s="862"/>
      <c r="H225" s="1328" t="str">
        <f>IF(D225="operation",VLOOKUP(G225,'Generic Vertical Port Tasks'!C202:D248,2,FALSE),"N/A")</f>
        <v>N/A</v>
      </c>
      <c r="I225" s="1294"/>
      <c r="J225" s="1294"/>
      <c r="K225" s="1294"/>
      <c r="L225" s="1329" t="str">
        <f>IFERROR(INDEX('Upper Cask Movement &amp; Logistics'!$I$24:$O$30,MATCH($J225,'Upper Cask Movement &amp; Logistics'!$H$24:$H$30,0),MATCH($K225,'Upper Cask Movement &amp; Logistics'!$H$24:$H$30,0)),"N/A")</f>
        <v>N/A</v>
      </c>
      <c r="M225" s="1329" t="str">
        <f>IFERROR(VLOOKUP($I225,'Upper Cask Movement &amp; Logistics'!$H$4:$I$8,2,FALSE),"N/A")</f>
        <v>N/A</v>
      </c>
      <c r="N225" s="1330" t="str">
        <f t="shared" si="9"/>
        <v>N/A</v>
      </c>
      <c r="O225" s="1331" t="s">
        <v>1213</v>
      </c>
      <c r="P225" s="1332">
        <f>IF($D225="Logistics",VLOOKUP($O225,'Upper Cask Movement &amp; Logistics'!$C$4:$D$77,2,FALSE),"N/A")</f>
        <v>0.68</v>
      </c>
    </row>
    <row r="226" spans="2:16" x14ac:dyDescent="0.35">
      <c r="B226" s="3965"/>
      <c r="C226" s="1294" t="s">
        <v>1340</v>
      </c>
      <c r="D226" s="1294" t="s">
        <v>778</v>
      </c>
      <c r="E226" s="1292">
        <f t="shared" si="10"/>
        <v>0.69444444444444442</v>
      </c>
      <c r="F226" s="1292">
        <f>IF($D226="Trigger",VLOOKUP($C226,'Upper Cask Critical Path'!$C$135:$F$336,4,FALSE),E226+F225)</f>
        <v>108.9732881074291</v>
      </c>
      <c r="G226" s="862"/>
      <c r="H226" s="1328" t="str">
        <f>IF(D226="operation",VLOOKUP(G226,'Generic Vertical Port Tasks'!C202:D248,2,FALSE),"N/A")</f>
        <v>N/A</v>
      </c>
      <c r="I226" s="1294" t="s">
        <v>1789</v>
      </c>
      <c r="J226" s="1294" t="s">
        <v>831</v>
      </c>
      <c r="K226" s="1294" t="s">
        <v>901</v>
      </c>
      <c r="L226" s="1329">
        <f>IFERROR(INDEX('Upper Cask Movement &amp; Logistics'!$I$24:$O$30,MATCH($J226,'Upper Cask Movement &amp; Logistics'!$H$24:$H$30,0),MATCH($K226,'Upper Cask Movement &amp; Logistics'!$H$24:$H$30,0)),"N/A")</f>
        <v>50</v>
      </c>
      <c r="M226" s="1329">
        <f>IFERROR(VLOOKUP($I226,'Upper Cask Movement &amp; Logistics'!$H$4:$I$8,2,FALSE),"N/A")</f>
        <v>0.02</v>
      </c>
      <c r="N226" s="1330">
        <f t="shared" si="9"/>
        <v>0.69444444444444442</v>
      </c>
      <c r="O226" s="1331"/>
      <c r="P226" s="1332" t="str">
        <f>IF($D226="Logistics",VLOOKUP($O226,'Upper Cask Movement &amp; Logistics'!$C$4:$D$77,2,FALSE),"N/A")</f>
        <v>N/A</v>
      </c>
    </row>
    <row r="227" spans="2:16" x14ac:dyDescent="0.35">
      <c r="B227" s="3965"/>
      <c r="C227" s="1294" t="s">
        <v>1367</v>
      </c>
      <c r="D227" s="1294" t="s">
        <v>3</v>
      </c>
      <c r="E227" s="1292">
        <f t="shared" si="10"/>
        <v>1.4000000000000001</v>
      </c>
      <c r="F227" s="1292">
        <f>IF($D227="Trigger",VLOOKUP($C227,'Upper Cask Critical Path'!$C$135:$F$336,4,FALSE),E227+F226)</f>
        <v>110.3732881074291</v>
      </c>
      <c r="G227" s="862"/>
      <c r="H227" s="1328" t="str">
        <f>IF(D227="operation",VLOOKUP(G227,'Generic Vertical Port Tasks'!C202:D248,2,FALSE),"N/A")</f>
        <v>N/A</v>
      </c>
      <c r="I227" s="1294"/>
      <c r="J227" s="1294"/>
      <c r="K227" s="1294"/>
      <c r="L227" s="1329" t="str">
        <f>IFERROR(INDEX('Upper Cask Movement &amp; Logistics'!$I$24:$O$30,MATCH($J227,'Upper Cask Movement &amp; Logistics'!$H$24:$H$30,0),MATCH($K227,'Upper Cask Movement &amp; Logistics'!$H$24:$H$30,0)),"N/A")</f>
        <v>N/A</v>
      </c>
      <c r="M227" s="1329" t="str">
        <f>IFERROR(VLOOKUP($I227,'Upper Cask Movement &amp; Logistics'!$H$4:$I$8,2,FALSE),"N/A")</f>
        <v>N/A</v>
      </c>
      <c r="N227" s="1330" t="str">
        <f t="shared" si="9"/>
        <v>N/A</v>
      </c>
      <c r="O227" s="1331" t="s">
        <v>1277</v>
      </c>
      <c r="P227" s="1332">
        <f>IF($D227="Logistics",VLOOKUP($O227,'Upper Cask Movement &amp; Logistics'!$C$4:$D$77,2,FALSE),"N/A")</f>
        <v>1.4000000000000001</v>
      </c>
    </row>
    <row r="228" spans="2:16" ht="13.3" thickBot="1" x14ac:dyDescent="0.4">
      <c r="B228" s="3966"/>
      <c r="C228" s="1340" t="str">
        <f>B222</f>
        <v>Hardware Cask 4 Un-Docked; ROB Pipe Module Collected; Hardware Cask 2 docked</v>
      </c>
      <c r="D228" s="1340" t="s">
        <v>11</v>
      </c>
      <c r="E228" s="1295">
        <f t="shared" si="10"/>
        <v>0</v>
      </c>
      <c r="F228" s="1295">
        <f>IF($D228="Trigger",VLOOKUP($C228,'Upper Cask Critical Path'!$C$135:$F$336,4,FALSE),E228+F227)</f>
        <v>110.3732881074291</v>
      </c>
      <c r="G228" s="839"/>
      <c r="H228" s="1341" t="str">
        <f>IF(D228="operation",VLOOKUP(G228,'Generic Vertical Port Tasks'!C202:D248,2,FALSE),"N/A")</f>
        <v>N/A</v>
      </c>
      <c r="I228" s="1340"/>
      <c r="J228" s="1340"/>
      <c r="K228" s="1340"/>
      <c r="L228" s="1342" t="str">
        <f>IFERROR(INDEX('Upper Cask Movement &amp; Logistics'!$I$24:$O$30,MATCH($J228,'Upper Cask Movement &amp; Logistics'!$H$24:$H$30,0),MATCH($K228,'Upper Cask Movement &amp; Logistics'!$H$24:$H$30,0)),"N/A")</f>
        <v>N/A</v>
      </c>
      <c r="M228" s="1342" t="str">
        <f>IFERROR(VLOOKUP($I228,'Upper Cask Movement &amp; Logistics'!$H$4:$I$8,2,FALSE),"N/A")</f>
        <v>N/A</v>
      </c>
      <c r="N228" s="1343" t="str">
        <f t="shared" si="9"/>
        <v>N/A</v>
      </c>
      <c r="O228" s="1344"/>
      <c r="P228" s="1345" t="str">
        <f>IF($D228="Logistics",VLOOKUP($O228,'Upper Cask Movement &amp; Logistics'!$C$4:$D$77,2,FALSE),"N/A")</f>
        <v>N/A</v>
      </c>
    </row>
    <row r="229" spans="2:16" x14ac:dyDescent="0.35">
      <c r="B229" s="3970" t="s">
        <v>1417</v>
      </c>
      <c r="C229" s="617" t="str">
        <f>'Upper Cask Critical Path'!C184</f>
        <v>Install ROB Pipe Module</v>
      </c>
      <c r="D229" s="617" t="s">
        <v>907</v>
      </c>
      <c r="E229" s="567">
        <f t="shared" si="10"/>
        <v>0</v>
      </c>
      <c r="F229" s="567">
        <f>IF($D229="Trigger",VLOOKUP($C229,'Upper Cask Critical Path'!$C$135:$F$336,4,FALSE),E229+F228)</f>
        <v>143.89509473337671</v>
      </c>
      <c r="G229" s="568"/>
      <c r="H229" s="569" t="str">
        <f>IF(D229="operation",VLOOKUP(G229,'Generic Vertical Port Tasks'!C209:D249,2,FALSE),"N/A")</f>
        <v>N/A</v>
      </c>
      <c r="I229" s="617"/>
      <c r="J229" s="617"/>
      <c r="K229" s="617"/>
      <c r="L229" s="618" t="str">
        <f>IFERROR(INDEX('Upper Cask Movement &amp; Logistics'!$I$24:$O$30,MATCH($J229,'Upper Cask Movement &amp; Logistics'!$H$24:$H$30,0),MATCH($K229,'Upper Cask Movement &amp; Logistics'!$H$24:$H$30,0)),"N/A")</f>
        <v>N/A</v>
      </c>
      <c r="M229" s="618" t="str">
        <f>IFERROR(VLOOKUP($I229,'Upper Cask Movement &amp; Logistics'!$H$4:$I$8,2,FALSE),"N/A")</f>
        <v>N/A</v>
      </c>
      <c r="N229" s="619" t="str">
        <f t="shared" si="9"/>
        <v>N/A</v>
      </c>
      <c r="O229" s="620"/>
      <c r="P229" s="621" t="str">
        <f>IF($D229="Logistics",VLOOKUP($O229,'Upper Cask Movement &amp; Logistics'!$C$4:$D$77,2,FALSE),"N/A")</f>
        <v>N/A</v>
      </c>
    </row>
    <row r="230" spans="2:16" x14ac:dyDescent="0.35">
      <c r="B230" s="3971"/>
      <c r="C230" s="1275" t="s">
        <v>1377</v>
      </c>
      <c r="D230" s="1275" t="s">
        <v>3</v>
      </c>
      <c r="E230" s="1276">
        <f t="shared" si="10"/>
        <v>2.3000000000000003</v>
      </c>
      <c r="F230" s="1276">
        <f>IF($D230="Trigger",VLOOKUP($C230,'Upper Cask Critical Path'!$C$135:$F$336,4,FALSE),E230+F229)</f>
        <v>146.19509473337672</v>
      </c>
      <c r="G230" s="879"/>
      <c r="H230" s="1379" t="str">
        <f>IF(D230="operation",VLOOKUP(G230,'Generic Vertical Port Tasks'!C209:D249,2,FALSE),"N/A")</f>
        <v>N/A</v>
      </c>
      <c r="I230" s="1275"/>
      <c r="J230" s="1275"/>
      <c r="K230" s="1275"/>
      <c r="L230" s="1277" t="str">
        <f>IFERROR(INDEX('Upper Cask Movement &amp; Logistics'!$I$24:$O$30,MATCH($J230,'Upper Cask Movement &amp; Logistics'!$H$24:$H$30,0),MATCH($K230,'Upper Cask Movement &amp; Logistics'!$H$24:$H$30,0)),"N/A")</f>
        <v>N/A</v>
      </c>
      <c r="M230" s="1277" t="str">
        <f>IFERROR(VLOOKUP($I230,'Upper Cask Movement &amp; Logistics'!$H$4:$I$8,2,FALSE),"N/A")</f>
        <v>N/A</v>
      </c>
      <c r="N230" s="1380" t="str">
        <f t="shared" si="9"/>
        <v>N/A</v>
      </c>
      <c r="O230" s="1381" t="s">
        <v>1269</v>
      </c>
      <c r="P230" s="850">
        <f>IF($D230="Logistics",VLOOKUP($O230,'Upper Cask Movement &amp; Logistics'!$C$4:$D$77,2,FALSE),"N/A")</f>
        <v>2.3000000000000003</v>
      </c>
    </row>
    <row r="231" spans="2:16" x14ac:dyDescent="0.35">
      <c r="B231" s="3972"/>
      <c r="C231" s="572" t="s">
        <v>1410</v>
      </c>
      <c r="D231" s="572" t="s">
        <v>778</v>
      </c>
      <c r="E231" s="574">
        <f t="shared" si="10"/>
        <v>0.23148148148148148</v>
      </c>
      <c r="F231" s="574">
        <f>IF($D231="Trigger",VLOOKUP($C231,'Upper Cask Critical Path'!$C$135:$F$336,4,FALSE),E231+F230)</f>
        <v>146.42657621485822</v>
      </c>
      <c r="G231" s="575"/>
      <c r="H231" s="576" t="str">
        <f>IF(D231="operation",VLOOKUP(G231,'Generic Vertical Port Tasks'!C209:D249,2,FALSE),"N/A")</f>
        <v>N/A</v>
      </c>
      <c r="I231" s="572" t="s">
        <v>2501</v>
      </c>
      <c r="J231" s="572" t="s">
        <v>901</v>
      </c>
      <c r="K231" s="572" t="s">
        <v>831</v>
      </c>
      <c r="L231" s="577">
        <f>IFERROR(INDEX('Upper Cask Movement &amp; Logistics'!$I$24:$O$30,MATCH($J231,'Upper Cask Movement &amp; Logistics'!$H$24:$H$30,0),MATCH($K231,'Upper Cask Movement &amp; Logistics'!$H$24:$H$30,0)),"N/A")</f>
        <v>50</v>
      </c>
      <c r="M231" s="577">
        <f>IFERROR(VLOOKUP($I231,'Upper Cask Movement &amp; Logistics'!$H$4:$I$8,2,FALSE),"N/A")</f>
        <v>0.06</v>
      </c>
      <c r="N231" s="578">
        <f t="shared" si="9"/>
        <v>0.23148148148148148</v>
      </c>
      <c r="O231" s="579"/>
      <c r="P231" s="580" t="str">
        <f>IF($D231="Logistics",VLOOKUP($O231,'Upper Cask Movement &amp; Logistics'!$C$4:$D$77,2,FALSE),"N/A")</f>
        <v>N/A</v>
      </c>
    </row>
    <row r="232" spans="2:16" x14ac:dyDescent="0.35">
      <c r="B232" s="3972"/>
      <c r="C232" s="572" t="s">
        <v>1415</v>
      </c>
      <c r="D232" s="572" t="s">
        <v>3</v>
      </c>
      <c r="E232" s="574">
        <f t="shared" si="10"/>
        <v>0.68</v>
      </c>
      <c r="F232" s="574">
        <f>IF($D232="Trigger",VLOOKUP($C232,'Upper Cask Critical Path'!$C$135:$F$336,4,FALSE),E232+F231)</f>
        <v>147.10657621485822</v>
      </c>
      <c r="G232" s="575"/>
      <c r="H232" s="576" t="str">
        <f>IF(D232="operation",VLOOKUP(G232,'Generic Vertical Port Tasks'!C209:D249,2,FALSE),"N/A")</f>
        <v>N/A</v>
      </c>
      <c r="I232" s="572"/>
      <c r="J232" s="572"/>
      <c r="K232" s="572"/>
      <c r="L232" s="577" t="str">
        <f>IFERROR(INDEX('Upper Cask Movement &amp; Logistics'!$I$24:$O$30,MATCH($J232,'Upper Cask Movement &amp; Logistics'!$H$24:$H$30,0),MATCH($K232,'Upper Cask Movement &amp; Logistics'!$H$24:$H$30,0)),"N/A")</f>
        <v>N/A</v>
      </c>
      <c r="M232" s="577" t="str">
        <f>IFERROR(VLOOKUP($I232,'Upper Cask Movement &amp; Logistics'!$H$4:$I$8,2,FALSE),"N/A")</f>
        <v>N/A</v>
      </c>
      <c r="N232" s="578" t="str">
        <f t="shared" si="9"/>
        <v>N/A</v>
      </c>
      <c r="O232" s="579" t="s">
        <v>1213</v>
      </c>
      <c r="P232" s="580">
        <f>IF($D232="Logistics",VLOOKUP($O232,'Upper Cask Movement &amp; Logistics'!$C$4:$D$77,2,FALSE),"N/A")</f>
        <v>0.68</v>
      </c>
    </row>
    <row r="233" spans="2:16" x14ac:dyDescent="0.35">
      <c r="B233" s="3972"/>
      <c r="C233" s="572" t="s">
        <v>1366</v>
      </c>
      <c r="D233" s="572" t="s">
        <v>778</v>
      </c>
      <c r="E233" s="574">
        <f t="shared" si="10"/>
        <v>0.69444444444444442</v>
      </c>
      <c r="F233" s="574">
        <f>IF($D233="Trigger",VLOOKUP($C233,'Upper Cask Critical Path'!$C$135:$F$336,4,FALSE),E233+F232)</f>
        <v>147.80102065930268</v>
      </c>
      <c r="G233" s="575"/>
      <c r="H233" s="576" t="str">
        <f>IF(D233="operation",VLOOKUP(G233,'Generic Vertical Port Tasks'!C209:D249,2,FALSE),"N/A")</f>
        <v>N/A</v>
      </c>
      <c r="I233" s="572" t="s">
        <v>1789</v>
      </c>
      <c r="J233" s="572" t="s">
        <v>831</v>
      </c>
      <c r="K233" s="572" t="s">
        <v>901</v>
      </c>
      <c r="L233" s="577">
        <f>IFERROR(INDEX('Upper Cask Movement &amp; Logistics'!$I$24:$O$30,MATCH($J233,'Upper Cask Movement &amp; Logistics'!$H$24:$H$30,0),MATCH($K233,'Upper Cask Movement &amp; Logistics'!$H$24:$H$30,0)),"N/A")</f>
        <v>50</v>
      </c>
      <c r="M233" s="577">
        <f>IFERROR(VLOOKUP($I233,'Upper Cask Movement &amp; Logistics'!$H$4:$I$8,2,FALSE),"N/A")</f>
        <v>0.02</v>
      </c>
      <c r="N233" s="578">
        <f t="shared" si="9"/>
        <v>0.69444444444444442</v>
      </c>
      <c r="O233" s="579"/>
      <c r="P233" s="580" t="str">
        <f>IF($D233="Logistics",VLOOKUP($O233,'Upper Cask Movement &amp; Logistics'!$C$4:$D$77,2,FALSE),"N/A")</f>
        <v>N/A</v>
      </c>
    </row>
    <row r="234" spans="2:16" x14ac:dyDescent="0.35">
      <c r="B234" s="3972"/>
      <c r="C234" s="572" t="s">
        <v>1367</v>
      </c>
      <c r="D234" s="572" t="s">
        <v>3</v>
      </c>
      <c r="E234" s="574">
        <f t="shared" si="10"/>
        <v>1.4000000000000001</v>
      </c>
      <c r="F234" s="574">
        <f>IF($D234="Trigger",VLOOKUP($C234,'Upper Cask Critical Path'!$C$135:$F$336,4,FALSE),E234+F233)</f>
        <v>149.20102065930269</v>
      </c>
      <c r="G234" s="575"/>
      <c r="H234" s="576" t="str">
        <f>IF(D234="operation",VLOOKUP(G234,'Generic Vertical Port Tasks'!C209:D249,2,FALSE),"N/A")</f>
        <v>N/A</v>
      </c>
      <c r="I234" s="572"/>
      <c r="J234" s="572"/>
      <c r="K234" s="572"/>
      <c r="L234" s="577" t="str">
        <f>IFERROR(INDEX('Upper Cask Movement &amp; Logistics'!$I$24:$O$30,MATCH($J234,'Upper Cask Movement &amp; Logistics'!$H$24:$H$30,0),MATCH($K234,'Upper Cask Movement &amp; Logistics'!$H$24:$H$30,0)),"N/A")</f>
        <v>N/A</v>
      </c>
      <c r="M234" s="577" t="str">
        <f>IFERROR(VLOOKUP($I234,'Upper Cask Movement &amp; Logistics'!$H$4:$I$8,2,FALSE),"N/A")</f>
        <v>N/A</v>
      </c>
      <c r="N234" s="578" t="str">
        <f t="shared" si="9"/>
        <v>N/A</v>
      </c>
      <c r="O234" s="579" t="s">
        <v>1277</v>
      </c>
      <c r="P234" s="580">
        <f>IF($D234="Logistics",VLOOKUP($O234,'Upper Cask Movement &amp; Logistics'!$C$4:$D$77,2,FALSE),"N/A")</f>
        <v>1.4000000000000001</v>
      </c>
    </row>
    <row r="235" spans="2:16" ht="13.3" thickBot="1" x14ac:dyDescent="0.4">
      <c r="B235" s="3973"/>
      <c r="C235" s="583" t="str">
        <f>B229</f>
        <v>Hardware Cask 2 Un-Docked; LOB Pipe Module Collected; Hardware Cask 4 docked</v>
      </c>
      <c r="D235" s="583" t="s">
        <v>11</v>
      </c>
      <c r="E235" s="585">
        <f t="shared" si="10"/>
        <v>0</v>
      </c>
      <c r="F235" s="585">
        <f>IF($D235="Trigger",VLOOKUP($C235,'Upper Cask Critical Path'!$C$135:$F$336,4,FALSE),E235+F234)</f>
        <v>149.20102065930269</v>
      </c>
      <c r="G235" s="586"/>
      <c r="H235" s="587" t="str">
        <f>IF(D235="operation",VLOOKUP(G235,'Generic Vertical Port Tasks'!C209:D249,2,FALSE),"N/A")</f>
        <v>N/A</v>
      </c>
      <c r="I235" s="583"/>
      <c r="J235" s="583"/>
      <c r="K235" s="583"/>
      <c r="L235" s="588" t="str">
        <f>IFERROR(INDEX('Upper Cask Movement &amp; Logistics'!$I$24:$O$30,MATCH($J235,'Upper Cask Movement &amp; Logistics'!$H$24:$H$30,0),MATCH($K235,'Upper Cask Movement &amp; Logistics'!$H$24:$H$30,0)),"N/A")</f>
        <v>N/A</v>
      </c>
      <c r="M235" s="588" t="str">
        <f>IFERROR(VLOOKUP($I235,'Upper Cask Movement &amp; Logistics'!$H$4:$I$8,2,FALSE),"N/A")</f>
        <v>N/A</v>
      </c>
      <c r="N235" s="589" t="str">
        <f t="shared" si="9"/>
        <v>N/A</v>
      </c>
      <c r="O235" s="590"/>
      <c r="P235" s="591" t="str">
        <f>IF($D235="Logistics",VLOOKUP($O235,'Upper Cask Movement &amp; Logistics'!$C$4:$D$77,2,FALSE),"N/A")</f>
        <v>N/A</v>
      </c>
    </row>
    <row r="236" spans="2:16" x14ac:dyDescent="0.35">
      <c r="B236" s="3964" t="s">
        <v>1418</v>
      </c>
      <c r="C236" s="1324" t="str">
        <f>'Upper Cask Critical Path'!C194</f>
        <v>Install LOB Pipe Module</v>
      </c>
      <c r="D236" s="1324" t="s">
        <v>907</v>
      </c>
      <c r="E236" s="1291">
        <f t="shared" si="10"/>
        <v>0</v>
      </c>
      <c r="F236" s="1291">
        <f>IF($D236="Trigger",VLOOKUP($C236,'Upper Cask Critical Path'!$C$135:$F$336,4,FALSE),E236+F235)</f>
        <v>182.72282728525025</v>
      </c>
      <c r="G236" s="825"/>
      <c r="H236" s="1323" t="str">
        <f>IF(D236="operation",VLOOKUP(G236,'Generic Vertical Port Tasks'!C216:D251,2,FALSE),"N/A")</f>
        <v>N/A</v>
      </c>
      <c r="I236" s="1324"/>
      <c r="J236" s="1324"/>
      <c r="K236" s="1324"/>
      <c r="L236" s="1325" t="str">
        <f>IFERROR(INDEX('Upper Cask Movement &amp; Logistics'!$I$24:$O$30,MATCH($J236,'Upper Cask Movement &amp; Logistics'!$H$24:$H$30,0),MATCH($K236,'Upper Cask Movement &amp; Logistics'!$H$24:$H$30,0)),"N/A")</f>
        <v>N/A</v>
      </c>
      <c r="M236" s="1325" t="str">
        <f>IFERROR(VLOOKUP($I236,'Upper Cask Movement &amp; Logistics'!$H$4:$I$8,2,FALSE),"N/A")</f>
        <v>N/A</v>
      </c>
      <c r="N236" s="1326" t="str">
        <f t="shared" si="9"/>
        <v>N/A</v>
      </c>
      <c r="O236" s="1327"/>
      <c r="P236" s="824" t="str">
        <f>IF($D236="Logistics",VLOOKUP($O236,'Upper Cask Movement &amp; Logistics'!$C$4:$D$77,2,FALSE),"N/A")</f>
        <v>N/A</v>
      </c>
    </row>
    <row r="237" spans="2:16" x14ac:dyDescent="0.35">
      <c r="B237" s="3969"/>
      <c r="C237" s="1362" t="s">
        <v>1377</v>
      </c>
      <c r="D237" s="1362" t="s">
        <v>3</v>
      </c>
      <c r="E237" s="1363">
        <f t="shared" si="10"/>
        <v>2.3000000000000003</v>
      </c>
      <c r="F237" s="1363">
        <f>IF($D237="Trigger",VLOOKUP($C237,'Upper Cask Critical Path'!$C$135:$F$336,4,FALSE),E237+F236)</f>
        <v>185.02282728525026</v>
      </c>
      <c r="G237" s="1364"/>
      <c r="H237" s="1365" t="str">
        <f>IF(D237="operation",VLOOKUP(G237,'Generic Vertical Port Tasks'!C216:D251,2,FALSE),"N/A")</f>
        <v>N/A</v>
      </c>
      <c r="I237" s="1362"/>
      <c r="J237" s="1362"/>
      <c r="K237" s="1362"/>
      <c r="L237" s="1366" t="str">
        <f>IFERROR(INDEX('Upper Cask Movement &amp; Logistics'!$I$24:$O$30,MATCH($J237,'Upper Cask Movement &amp; Logistics'!$H$24:$H$30,0),MATCH($K237,'Upper Cask Movement &amp; Logistics'!$H$24:$H$30,0)),"N/A")</f>
        <v>N/A</v>
      </c>
      <c r="M237" s="1366" t="str">
        <f>IFERROR(VLOOKUP($I237,'Upper Cask Movement &amp; Logistics'!$H$4:$I$8,2,FALSE),"N/A")</f>
        <v>N/A</v>
      </c>
      <c r="N237" s="1367" t="str">
        <f t="shared" si="9"/>
        <v>N/A</v>
      </c>
      <c r="O237" s="1368" t="s">
        <v>1269</v>
      </c>
      <c r="P237" s="861">
        <f>IF($D237="Logistics",VLOOKUP($O237,'Upper Cask Movement &amp; Logistics'!$C$4:$D$77,2,FALSE),"N/A")</f>
        <v>2.3000000000000003</v>
      </c>
    </row>
    <row r="238" spans="2:16" x14ac:dyDescent="0.35">
      <c r="B238" s="3965"/>
      <c r="C238" s="1294" t="s">
        <v>1410</v>
      </c>
      <c r="D238" s="1294" t="s">
        <v>778</v>
      </c>
      <c r="E238" s="1292">
        <f t="shared" si="10"/>
        <v>0.23148148148148148</v>
      </c>
      <c r="F238" s="1292">
        <f>IF($D238="Trigger",VLOOKUP($C238,'Upper Cask Critical Path'!$C$135:$F$336,4,FALSE),E238+F237)</f>
        <v>185.25430876673175</v>
      </c>
      <c r="G238" s="862"/>
      <c r="H238" s="1328" t="str">
        <f>IF(D238="operation",VLOOKUP(G238,'Generic Vertical Port Tasks'!C216:D251,2,FALSE),"N/A")</f>
        <v>N/A</v>
      </c>
      <c r="I238" s="1294" t="s">
        <v>2501</v>
      </c>
      <c r="J238" s="1294" t="s">
        <v>901</v>
      </c>
      <c r="K238" s="1294" t="s">
        <v>831</v>
      </c>
      <c r="L238" s="1329">
        <f>IFERROR(INDEX('Upper Cask Movement &amp; Logistics'!$I$24:$O$30,MATCH($J238,'Upper Cask Movement &amp; Logistics'!$H$24:$H$30,0),MATCH($K238,'Upper Cask Movement &amp; Logistics'!$H$24:$H$30,0)),"N/A")</f>
        <v>50</v>
      </c>
      <c r="M238" s="1329">
        <f>IFERROR(VLOOKUP($I238,'Upper Cask Movement &amp; Logistics'!$H$4:$I$8,2,FALSE),"N/A")</f>
        <v>0.06</v>
      </c>
      <c r="N238" s="1330">
        <f t="shared" si="9"/>
        <v>0.23148148148148148</v>
      </c>
      <c r="O238" s="1331"/>
      <c r="P238" s="1332" t="str">
        <f>IF($D238="Logistics",VLOOKUP($O238,'Upper Cask Movement &amp; Logistics'!$C$4:$D$77,2,FALSE),"N/A")</f>
        <v>N/A</v>
      </c>
    </row>
    <row r="239" spans="2:16" x14ac:dyDescent="0.35">
      <c r="B239" s="3965"/>
      <c r="C239" s="1294" t="s">
        <v>1419</v>
      </c>
      <c r="D239" s="1294" t="s">
        <v>3</v>
      </c>
      <c r="E239" s="1292">
        <f t="shared" si="10"/>
        <v>0.68</v>
      </c>
      <c r="F239" s="1292">
        <f>IF($D239="Trigger",VLOOKUP($C239,'Upper Cask Critical Path'!$C$135:$F$336,4,FALSE),E239+F238)</f>
        <v>185.93430876673176</v>
      </c>
      <c r="G239" s="862"/>
      <c r="H239" s="1328" t="str">
        <f>IF(D239="operation",VLOOKUP(G239,'Generic Vertical Port Tasks'!C216:D251,2,FALSE),"N/A")</f>
        <v>N/A</v>
      </c>
      <c r="I239" s="1294"/>
      <c r="J239" s="1294"/>
      <c r="K239" s="1294"/>
      <c r="L239" s="1329" t="str">
        <f>IFERROR(INDEX('Upper Cask Movement &amp; Logistics'!$I$24:$O$30,MATCH($J239,'Upper Cask Movement &amp; Logistics'!$H$24:$H$30,0),MATCH($K239,'Upper Cask Movement &amp; Logistics'!$H$24:$H$30,0)),"N/A")</f>
        <v>N/A</v>
      </c>
      <c r="M239" s="1329" t="str">
        <f>IFERROR(VLOOKUP($I239,'Upper Cask Movement &amp; Logistics'!$H$4:$I$8,2,FALSE),"N/A")</f>
        <v>N/A</v>
      </c>
      <c r="N239" s="1330" t="str">
        <f t="shared" si="9"/>
        <v>N/A</v>
      </c>
      <c r="O239" s="1331" t="s">
        <v>1213</v>
      </c>
      <c r="P239" s="1332">
        <f>IF($D239="Logistics",VLOOKUP($O239,'Upper Cask Movement &amp; Logistics'!$C$4:$D$77,2,FALSE),"N/A")</f>
        <v>0.68</v>
      </c>
    </row>
    <row r="240" spans="2:16" x14ac:dyDescent="0.35">
      <c r="B240" s="3965"/>
      <c r="C240" s="1294" t="s">
        <v>1366</v>
      </c>
      <c r="D240" s="1294" t="s">
        <v>778</v>
      </c>
      <c r="E240" s="1292">
        <f t="shared" si="10"/>
        <v>0.69444444444444442</v>
      </c>
      <c r="F240" s="1292">
        <f>IF($D240="Trigger",VLOOKUP($C240,'Upper Cask Critical Path'!$C$135:$F$336,4,FALSE),E240+F239)</f>
        <v>186.62875321117622</v>
      </c>
      <c r="G240" s="862"/>
      <c r="H240" s="1328" t="str">
        <f>IF(D240="operation",VLOOKUP(G240,'Generic Vertical Port Tasks'!C216:D251,2,FALSE),"N/A")</f>
        <v>N/A</v>
      </c>
      <c r="I240" s="1294" t="s">
        <v>1789</v>
      </c>
      <c r="J240" s="1294" t="s">
        <v>831</v>
      </c>
      <c r="K240" s="1294" t="s">
        <v>901</v>
      </c>
      <c r="L240" s="1329">
        <f>IFERROR(INDEX('Upper Cask Movement &amp; Logistics'!$I$24:$O$30,MATCH($J240,'Upper Cask Movement &amp; Logistics'!$H$24:$H$30,0),MATCH($K240,'Upper Cask Movement &amp; Logistics'!$H$24:$H$30,0)),"N/A")</f>
        <v>50</v>
      </c>
      <c r="M240" s="1329">
        <f>IFERROR(VLOOKUP($I240,'Upper Cask Movement &amp; Logistics'!$H$4:$I$8,2,FALSE),"N/A")</f>
        <v>0.02</v>
      </c>
      <c r="N240" s="1330">
        <f t="shared" si="9"/>
        <v>0.69444444444444442</v>
      </c>
      <c r="O240" s="1331"/>
      <c r="P240" s="1332" t="str">
        <f>IF($D240="Logistics",VLOOKUP($O240,'Upper Cask Movement &amp; Logistics'!$C$4:$D$77,2,FALSE),"N/A")</f>
        <v>N/A</v>
      </c>
    </row>
    <row r="241" spans="2:16" x14ac:dyDescent="0.35">
      <c r="B241" s="3965"/>
      <c r="C241" s="1294" t="s">
        <v>1367</v>
      </c>
      <c r="D241" s="1294" t="s">
        <v>3</v>
      </c>
      <c r="E241" s="1292">
        <f t="shared" si="10"/>
        <v>1.4000000000000001</v>
      </c>
      <c r="F241" s="1292">
        <f>IF($D241="Trigger",VLOOKUP($C241,'Upper Cask Critical Path'!$C$135:$F$336,4,FALSE),E241+F240)</f>
        <v>188.02875321117622</v>
      </c>
      <c r="G241" s="862"/>
      <c r="H241" s="1328" t="str">
        <f>IF(D241="operation",VLOOKUP(G241,'Generic Vertical Port Tasks'!C216:D251,2,FALSE),"N/A")</f>
        <v>N/A</v>
      </c>
      <c r="I241" s="1294"/>
      <c r="J241" s="1294"/>
      <c r="K241" s="1294"/>
      <c r="L241" s="1329" t="str">
        <f>IFERROR(INDEX('Upper Cask Movement &amp; Logistics'!$I$24:$O$30,MATCH($J241,'Upper Cask Movement &amp; Logistics'!$H$24:$H$30,0),MATCH($K241,'Upper Cask Movement &amp; Logistics'!$H$24:$H$30,0)),"N/A")</f>
        <v>N/A</v>
      </c>
      <c r="M241" s="1329" t="str">
        <f>IFERROR(VLOOKUP($I241,'Upper Cask Movement &amp; Logistics'!$H$4:$I$8,2,FALSE),"N/A")</f>
        <v>N/A</v>
      </c>
      <c r="N241" s="1330" t="str">
        <f t="shared" si="9"/>
        <v>N/A</v>
      </c>
      <c r="O241" s="1331" t="s">
        <v>1277</v>
      </c>
      <c r="P241" s="1332">
        <f>IF($D241="Logistics",VLOOKUP($O241,'Upper Cask Movement &amp; Logistics'!$C$4:$D$77,2,FALSE),"N/A")</f>
        <v>1.4000000000000001</v>
      </c>
    </row>
    <row r="242" spans="2:16" ht="13.3" thickBot="1" x14ac:dyDescent="0.4">
      <c r="B242" s="3966"/>
      <c r="C242" s="1340" t="str">
        <f>B236</f>
        <v>Hardware Cask 4 Un-Docked; COB Pipe Module Collected; Hardware Cask 2 docked</v>
      </c>
      <c r="D242" s="1340" t="s">
        <v>11</v>
      </c>
      <c r="E242" s="1295">
        <f t="shared" si="10"/>
        <v>0</v>
      </c>
      <c r="F242" s="1295">
        <f>IF($D242="Trigger",VLOOKUP($C242,'Upper Cask Critical Path'!$C$135:$F$336,4,FALSE),E242+F241)</f>
        <v>188.02875321117622</v>
      </c>
      <c r="G242" s="839"/>
      <c r="H242" s="1341" t="str">
        <f>IF(D242="operation",VLOOKUP(G242,'Generic Vertical Port Tasks'!C216:D251,2,FALSE),"N/A")</f>
        <v>N/A</v>
      </c>
      <c r="I242" s="1340"/>
      <c r="J242" s="1340"/>
      <c r="K242" s="1340"/>
      <c r="L242" s="1342" t="str">
        <f>IFERROR(INDEX('Upper Cask Movement &amp; Logistics'!$I$24:$O$30,MATCH($J242,'Upper Cask Movement &amp; Logistics'!$H$24:$H$30,0),MATCH($K242,'Upper Cask Movement &amp; Logistics'!$H$24:$H$30,0)),"N/A")</f>
        <v>N/A</v>
      </c>
      <c r="M242" s="1342" t="str">
        <f>IFERROR(VLOOKUP($I242,'Upper Cask Movement &amp; Logistics'!$H$4:$I$8,2,FALSE),"N/A")</f>
        <v>N/A</v>
      </c>
      <c r="N242" s="1343" t="str">
        <f t="shared" si="9"/>
        <v>N/A</v>
      </c>
      <c r="O242" s="1344"/>
      <c r="P242" s="1345" t="str">
        <f>IF($D242="Logistics",VLOOKUP($O242,'Upper Cask Movement &amp; Logistics'!$C$4:$D$77,2,FALSE),"N/A")</f>
        <v>N/A</v>
      </c>
    </row>
    <row r="243" spans="2:16" x14ac:dyDescent="0.35">
      <c r="B243" s="3974" t="s">
        <v>1313</v>
      </c>
      <c r="C243" s="1333" t="str">
        <f>'Upper Cask Critical Path'!C194</f>
        <v>Install LOB Pipe Module</v>
      </c>
      <c r="D243" s="1333" t="s">
        <v>907</v>
      </c>
      <c r="E243" s="1303">
        <f t="shared" si="10"/>
        <v>0</v>
      </c>
      <c r="F243" s="1303">
        <f>IF($D243="Trigger",VLOOKUP($C243,'Upper Cask Critical Path'!$C$135:$F$336,4,FALSE),E243+F242)</f>
        <v>182.72282728525025</v>
      </c>
      <c r="G243" s="1304"/>
      <c r="H243" s="1305" t="str">
        <f>IF(D243="operation",VLOOKUP(G243,'Generic Vertical Port Tasks'!C250:D273,2,FALSE),"N/A")</f>
        <v>N/A</v>
      </c>
      <c r="I243" s="1333"/>
      <c r="J243" s="1333"/>
      <c r="K243" s="1333"/>
      <c r="L243" s="1334" t="str">
        <f>IFERROR(INDEX('Upper Cask Movement &amp; Logistics'!$I$24:$O$30,MATCH($J243,'Upper Cask Movement &amp; Logistics'!$H$24:$H$30,0),MATCH($K243,'Upper Cask Movement &amp; Logistics'!$H$24:$H$30,0)),"N/A")</f>
        <v>N/A</v>
      </c>
      <c r="M243" s="1334" t="str">
        <f>IFERROR(VLOOKUP($I243,'Upper Cask Movement &amp; Logistics'!$H$4:$I$8,2,FALSE),"N/A")</f>
        <v>N/A</v>
      </c>
      <c r="N243" s="1335" t="str">
        <f t="shared" si="9"/>
        <v>N/A</v>
      </c>
      <c r="O243" s="1336"/>
      <c r="P243" s="1337" t="str">
        <f>IF($D243="Logistics",VLOOKUP($O243,'Upper Cask Movement &amp; Logistics'!$C$4:$D$77,2,FALSE),"N/A")</f>
        <v>N/A</v>
      </c>
    </row>
    <row r="244" spans="2:16" x14ac:dyDescent="0.35">
      <c r="B244" s="3891"/>
      <c r="C244" s="1243" t="s">
        <v>1369</v>
      </c>
      <c r="D244" s="1243" t="s">
        <v>3</v>
      </c>
      <c r="E244" s="1244">
        <f t="shared" si="10"/>
        <v>2.3000000000000003</v>
      </c>
      <c r="F244" s="1244">
        <f>IF($D244="Trigger",VLOOKUP($C244,'Upper Cask Critical Path'!$C$135:$F$336,4,FALSE),E244+F243)</f>
        <v>185.02282728525026</v>
      </c>
      <c r="G244" s="1309"/>
      <c r="H244" s="1310" t="str">
        <f>IF(D244="operation",VLOOKUP(G244,'Generic Vertical Port Tasks'!C250:D274,2,FALSE),"N/A")</f>
        <v>N/A</v>
      </c>
      <c r="I244" s="1243"/>
      <c r="J244" s="1243"/>
      <c r="K244" s="1243"/>
      <c r="L244" s="1245" t="str">
        <f>IFERROR(INDEX('Upper Cask Movement &amp; Logistics'!$I$24:$O$30,MATCH($J244,'Upper Cask Movement &amp; Logistics'!$H$24:$H$30,0),MATCH($K244,'Upper Cask Movement &amp; Logistics'!$H$24:$H$30,0)),"N/A")</f>
        <v>N/A</v>
      </c>
      <c r="M244" s="1245" t="str">
        <f>IFERROR(VLOOKUP($I244,'Upper Cask Movement &amp; Logistics'!$H$4:$I$8,2,FALSE),"N/A")</f>
        <v>N/A</v>
      </c>
      <c r="N244" s="1311" t="str">
        <f t="shared" si="9"/>
        <v>N/A</v>
      </c>
      <c r="O244" s="1312" t="s">
        <v>1269</v>
      </c>
      <c r="P244" s="1313">
        <f>IF($D244="Logistics",VLOOKUP($O244,'Upper Cask Movement &amp; Logistics'!$C$4:$D$77,2,FALSE),"N/A")</f>
        <v>2.3000000000000003</v>
      </c>
    </row>
    <row r="245" spans="2:16" x14ac:dyDescent="0.35">
      <c r="B245" s="3891"/>
      <c r="C245" s="1243" t="s">
        <v>1344</v>
      </c>
      <c r="D245" s="1243" t="s">
        <v>778</v>
      </c>
      <c r="E245" s="1244">
        <f t="shared" si="10"/>
        <v>0.23148148148148148</v>
      </c>
      <c r="F245" s="1244">
        <f>IF($D245="Trigger",VLOOKUP($C245,'Upper Cask Critical Path'!$C$135:$F$336,4,FALSE),E245+F244)</f>
        <v>185.25430876673175</v>
      </c>
      <c r="G245" s="1309"/>
      <c r="H245" s="1310" t="str">
        <f>IF(D245="operation",VLOOKUP(G245,'Generic Vertical Port Tasks'!C250:D275,2,FALSE),"N/A")</f>
        <v>N/A</v>
      </c>
      <c r="I245" s="1243" t="s">
        <v>2501</v>
      </c>
      <c r="J245" s="1243" t="s">
        <v>901</v>
      </c>
      <c r="K245" s="1243" t="s">
        <v>831</v>
      </c>
      <c r="L245" s="1245">
        <f>IFERROR(INDEX('Upper Cask Movement &amp; Logistics'!$I$24:$O$30,MATCH($J245,'Upper Cask Movement &amp; Logistics'!$H$24:$H$30,0),MATCH($K245,'Upper Cask Movement &amp; Logistics'!$H$24:$H$30,0)),"N/A")</f>
        <v>50</v>
      </c>
      <c r="M245" s="1245">
        <f>IFERROR(VLOOKUP($I245,'Upper Cask Movement &amp; Logistics'!$H$4:$I$8,2,FALSE),"N/A")</f>
        <v>0.06</v>
      </c>
      <c r="N245" s="1311">
        <f t="shared" si="9"/>
        <v>0.23148148148148148</v>
      </c>
      <c r="O245" s="1312"/>
      <c r="P245" s="1313" t="str">
        <f>IF($D245="Logistics",VLOOKUP($O245,'Upper Cask Movement &amp; Logistics'!$C$4:$D$77,2,FALSE),"N/A")</f>
        <v>N/A</v>
      </c>
    </row>
    <row r="246" spans="2:16" x14ac:dyDescent="0.35">
      <c r="B246" s="3891"/>
      <c r="C246" s="1243" t="s">
        <v>1357</v>
      </c>
      <c r="D246" s="1243" t="s">
        <v>3</v>
      </c>
      <c r="E246" s="1244">
        <f t="shared" si="10"/>
        <v>0.48000000000000004</v>
      </c>
      <c r="F246" s="1244">
        <f>IF($D246="Trigger",VLOOKUP($C246,'Upper Cask Critical Path'!$C$135:$F$336,4,FALSE),E246+F245)</f>
        <v>185.73430876673174</v>
      </c>
      <c r="G246" s="1309"/>
      <c r="H246" s="1310" t="str">
        <f>IF(D246="operation",VLOOKUP(G246,'Generic Vertical Port Tasks'!C250:D276,2,FALSE),"N/A")</f>
        <v>N/A</v>
      </c>
      <c r="I246" s="1243"/>
      <c r="J246" s="1243"/>
      <c r="K246" s="1243"/>
      <c r="L246" s="1245" t="str">
        <f>IFERROR(INDEX('Upper Cask Movement &amp; Logistics'!$I$24:$O$30,MATCH($J246,'Upper Cask Movement &amp; Logistics'!$H$24:$H$30,0),MATCH($K246,'Upper Cask Movement &amp; Logistics'!$H$24:$H$30,0)),"N/A")</f>
        <v>N/A</v>
      </c>
      <c r="M246" s="1245" t="str">
        <f>IFERROR(VLOOKUP($I246,'Upper Cask Movement &amp; Logistics'!$H$4:$I$8,2,FALSE),"N/A")</f>
        <v>N/A</v>
      </c>
      <c r="N246" s="1311" t="str">
        <f t="shared" si="9"/>
        <v>N/A</v>
      </c>
      <c r="O246" s="1312" t="s">
        <v>1330</v>
      </c>
      <c r="P246" s="1313">
        <f>IF($D246="Logistics",VLOOKUP($O246,'Upper Cask Movement &amp; Logistics'!$C$4:$D$77,2,FALSE),"N/A")</f>
        <v>0.48000000000000004</v>
      </c>
    </row>
    <row r="247" spans="2:16" x14ac:dyDescent="0.35">
      <c r="B247" s="3891"/>
      <c r="C247" s="1243" t="s">
        <v>1338</v>
      </c>
      <c r="D247" s="1243" t="s">
        <v>778</v>
      </c>
      <c r="E247" s="1244">
        <f t="shared" si="10"/>
        <v>0</v>
      </c>
      <c r="F247" s="1244">
        <f>IF($D247="Trigger",VLOOKUP($C247,'Upper Cask Critical Path'!$C$135:$F$336,4,FALSE),E247+F246)</f>
        <v>185.73430876673174</v>
      </c>
      <c r="G247" s="1309"/>
      <c r="H247" s="1310" t="str">
        <f>IF(D247="operation",VLOOKUP(G247,'Generic Vertical Port Tasks'!C250:D277,2,FALSE),"N/A")</f>
        <v>N/A</v>
      </c>
      <c r="I247" s="1243" t="s">
        <v>2502</v>
      </c>
      <c r="J247" s="1243" t="s">
        <v>831</v>
      </c>
      <c r="K247" s="1243" t="s">
        <v>1420</v>
      </c>
      <c r="L247" s="1245" t="str">
        <f>IFERROR(INDEX('Upper Cask Movement &amp; Logistics'!$I$24:$O$30,MATCH($J247,'Upper Cask Movement &amp; Logistics'!$H$24:$H$30,0),MATCH($K247,'Upper Cask Movement &amp; Logistics'!$H$24:$H$30,0)),"N/A")</f>
        <v>N/A</v>
      </c>
      <c r="M247" s="1245">
        <f>IFERROR(VLOOKUP($I247,'Upper Cask Movement &amp; Logistics'!$H$4:$I$8,2,FALSE),"N/A")</f>
        <v>0.2</v>
      </c>
      <c r="N247" s="1311" t="str">
        <f t="shared" si="9"/>
        <v>Error</v>
      </c>
      <c r="O247" s="1312"/>
      <c r="P247" s="1313" t="str">
        <f>IF($D247="Logistics",VLOOKUP($O247,'Upper Cask Movement &amp; Logistics'!$C$4:$D$77,2,FALSE),"N/A")</f>
        <v>N/A</v>
      </c>
    </row>
    <row r="248" spans="2:16" x14ac:dyDescent="0.35">
      <c r="B248" s="3891"/>
      <c r="C248" s="1243" t="s">
        <v>1352</v>
      </c>
      <c r="D248" s="1243" t="s">
        <v>3</v>
      </c>
      <c r="E248" s="1244">
        <f t="shared" si="10"/>
        <v>0.48000000000000004</v>
      </c>
      <c r="F248" s="1244">
        <f>IF($D248="Trigger",VLOOKUP($C248,'Upper Cask Critical Path'!$C$135:$F$336,4,FALSE),E248+F247)</f>
        <v>186.21430876673173</v>
      </c>
      <c r="G248" s="1309"/>
      <c r="H248" s="1310" t="str">
        <f>IF(D248="operation",VLOOKUP(G248,'Generic Vertical Port Tasks'!C250:D278,2,FALSE),"N/A")</f>
        <v>N/A</v>
      </c>
      <c r="I248" s="1243"/>
      <c r="J248" s="1243"/>
      <c r="K248" s="1243"/>
      <c r="L248" s="1245" t="str">
        <f>IFERROR(INDEX('Upper Cask Movement &amp; Logistics'!$I$24:$O$30,MATCH($J248,'Upper Cask Movement &amp; Logistics'!$H$24:$H$30,0),MATCH($K248,'Upper Cask Movement &amp; Logistics'!$H$24:$H$30,0)),"N/A")</f>
        <v>N/A</v>
      </c>
      <c r="M248" s="1245" t="str">
        <f>IFERROR(VLOOKUP($I248,'Upper Cask Movement &amp; Logistics'!$H$4:$I$8,2,FALSE),"N/A")</f>
        <v>N/A</v>
      </c>
      <c r="N248" s="1311" t="str">
        <f t="shared" si="9"/>
        <v>N/A</v>
      </c>
      <c r="O248" s="1312" t="s">
        <v>1331</v>
      </c>
      <c r="P248" s="1313">
        <f>IF($D248="Logistics",VLOOKUP($O248,'Upper Cask Movement &amp; Logistics'!$C$4:$D$77,2,FALSE),"N/A")</f>
        <v>0.48000000000000004</v>
      </c>
    </row>
    <row r="249" spans="2:16" x14ac:dyDescent="0.35">
      <c r="B249" s="3891"/>
      <c r="C249" s="1243" t="s">
        <v>1340</v>
      </c>
      <c r="D249" s="1243" t="s">
        <v>778</v>
      </c>
      <c r="E249" s="1244">
        <f t="shared" si="10"/>
        <v>0.69444444444444442</v>
      </c>
      <c r="F249" s="1244">
        <f>IF($D249="Trigger",VLOOKUP($C249,'Upper Cask Critical Path'!$C$135:$F$336,4,FALSE),E249+F248)</f>
        <v>186.90875321117619</v>
      </c>
      <c r="G249" s="1309"/>
      <c r="H249" s="1310" t="str">
        <f>IF(D249="operation",VLOOKUP(G249,'Generic Vertical Port Tasks'!C250:D279,2,FALSE),"N/A")</f>
        <v>N/A</v>
      </c>
      <c r="I249" s="1243" t="s">
        <v>1789</v>
      </c>
      <c r="J249" s="1243" t="s">
        <v>858</v>
      </c>
      <c r="K249" s="1243" t="s">
        <v>901</v>
      </c>
      <c r="L249" s="1245">
        <f>IFERROR(INDEX('Upper Cask Movement &amp; Logistics'!$I$24:$O$30,MATCH($J249,'Upper Cask Movement &amp; Logistics'!$H$24:$H$30,0),MATCH($K249,'Upper Cask Movement &amp; Logistics'!$H$24:$H$30,0)),"N/A")</f>
        <v>50</v>
      </c>
      <c r="M249" s="1245">
        <f>IFERROR(VLOOKUP($I249,'Upper Cask Movement &amp; Logistics'!$H$4:$I$8,2,FALSE),"N/A")</f>
        <v>0.02</v>
      </c>
      <c r="N249" s="1311">
        <f>IF(D249="Movement",IFERROR((L249/M249)/(60*60),"Error"),"N/A")</f>
        <v>0.69444444444444442</v>
      </c>
      <c r="O249" s="1312"/>
      <c r="P249" s="1313" t="str">
        <f>IF($D249="Logistics",VLOOKUP($O249,'Upper Cask Movement &amp; Logistics'!$C$4:$D$77,2,FALSE),"N/A")</f>
        <v>N/A</v>
      </c>
    </row>
    <row r="250" spans="2:16" x14ac:dyDescent="0.35">
      <c r="B250" s="3891"/>
      <c r="C250" s="1243" t="s">
        <v>1353</v>
      </c>
      <c r="D250" s="1243" t="s">
        <v>3</v>
      </c>
      <c r="E250" s="1244">
        <f t="shared" si="10"/>
        <v>1.4000000000000001</v>
      </c>
      <c r="F250" s="1244">
        <f>IF($D250="Trigger",VLOOKUP($C250,'Upper Cask Critical Path'!$C$135:$F$336,4,FALSE),E250+F249)</f>
        <v>188.3087532111762</v>
      </c>
      <c r="G250" s="1309"/>
      <c r="H250" s="1310" t="str">
        <f>IF(D250="operation",VLOOKUP(G250,'Generic Vertical Port Tasks'!C250:D279,2,FALSE),"N/A")</f>
        <v>N/A</v>
      </c>
      <c r="I250" s="1243"/>
      <c r="J250" s="1243"/>
      <c r="K250" s="1243"/>
      <c r="L250" s="1245" t="str">
        <f>IFERROR(INDEX('Upper Cask Movement &amp; Logistics'!$I$24:$O$30,MATCH($J250,'Upper Cask Movement &amp; Logistics'!$H$24:$H$30,0),MATCH($K250,'Upper Cask Movement &amp; Logistics'!$H$24:$H$30,0)),"N/A")</f>
        <v>N/A</v>
      </c>
      <c r="M250" s="1245" t="str">
        <f>IFERROR(VLOOKUP($I250,'Upper Cask Movement &amp; Logistics'!$H$4:$I$8,2,FALSE),"N/A")</f>
        <v>N/A</v>
      </c>
      <c r="N250" s="1311" t="str">
        <f t="shared" si="9"/>
        <v>N/A</v>
      </c>
      <c r="O250" s="1312" t="s">
        <v>1277</v>
      </c>
      <c r="P250" s="1313">
        <f>IF($D250="Logistics",VLOOKUP($O250,'Upper Cask Movement &amp; Logistics'!$C$4:$D$77,2,FALSE),"N/A")</f>
        <v>1.4000000000000001</v>
      </c>
    </row>
    <row r="251" spans="2:16" ht="13.3" thickBot="1" x14ac:dyDescent="0.4">
      <c r="B251" s="3891"/>
      <c r="C251" s="1249" t="str">
        <f>B243</f>
        <v>Hardware Cask 4 stored; Hardware Cask 3 collected; Hardware Cask 3 docked</v>
      </c>
      <c r="D251" s="1249" t="s">
        <v>11</v>
      </c>
      <c r="E251" s="1250">
        <f t="shared" si="10"/>
        <v>0</v>
      </c>
      <c r="F251" s="1250">
        <f>IF($D251="Trigger",VLOOKUP($C251,'Upper Cask Critical Path'!$C$135:$F$336,4,FALSE),E251+F250)</f>
        <v>188.3087532111762</v>
      </c>
      <c r="G251" s="1338"/>
      <c r="H251" s="1359" t="str">
        <f>IF(D251="operation",VLOOKUP(G251,'Generic Vertical Port Tasks'!C250:D279,2,FALSE),"N/A")</f>
        <v>N/A</v>
      </c>
      <c r="I251" s="1249"/>
      <c r="J251" s="1249"/>
      <c r="K251" s="1249"/>
      <c r="L251" s="1252" t="str">
        <f>IFERROR(INDEX('Upper Cask Movement &amp; Logistics'!$I$24:$O$30,MATCH($J251,'Upper Cask Movement &amp; Logistics'!$H$24:$H$30,0),MATCH($K251,'Upper Cask Movement &amp; Logistics'!$H$24:$H$30,0)),"N/A")</f>
        <v>N/A</v>
      </c>
      <c r="M251" s="1252" t="str">
        <f>IFERROR(VLOOKUP($I251,'Upper Cask Movement &amp; Logistics'!$H$4:$I$8,2,FALSE),"N/A")</f>
        <v>N/A</v>
      </c>
      <c r="N251" s="1360" t="str">
        <f t="shared" si="9"/>
        <v>N/A</v>
      </c>
      <c r="O251" s="1339"/>
      <c r="P251" s="1361" t="str">
        <f>IF($D251="Logistics",VLOOKUP($O251,'Upper Cask Movement &amp; Logistics'!$C$4:$D$77,2,FALSE),"N/A")</f>
        <v>N/A</v>
      </c>
    </row>
    <row r="252" spans="2:16" x14ac:dyDescent="0.35">
      <c r="B252" s="3814" t="s">
        <v>1311</v>
      </c>
      <c r="C252" s="1324" t="str">
        <f>'Upper Cask Critical Path'!C212</f>
        <v>Un-Dock Equipment Cask 2</v>
      </c>
      <c r="D252" s="1324" t="s">
        <v>907</v>
      </c>
      <c r="E252" s="1291">
        <f t="shared" si="10"/>
        <v>0</v>
      </c>
      <c r="F252" s="1291">
        <f>IF($D252="Trigger",VLOOKUP($C252,'Upper Cask Critical Path'!$C$135:$F$336,4,FALSE),E252+F251)</f>
        <v>257.84329238899733</v>
      </c>
      <c r="G252" s="825"/>
      <c r="H252" s="1323" t="str">
        <f>IF(D252="operation",VLOOKUP(G252,'Generic Vertical Port Tasks'!C252:D281,2,FALSE),"N/A")</f>
        <v>N/A</v>
      </c>
      <c r="I252" s="1324"/>
      <c r="J252" s="1324"/>
      <c r="K252" s="1324"/>
      <c r="L252" s="1325" t="str">
        <f>IFERROR(INDEX('Upper Cask Movement &amp; Logistics'!$I$24:$O$30,MATCH($J252,'Upper Cask Movement &amp; Logistics'!$H$24:$H$30,0),MATCH($K252,'Upper Cask Movement &amp; Logistics'!$H$24:$H$30,0)),"N/A")</f>
        <v>N/A</v>
      </c>
      <c r="M252" s="1325" t="str">
        <f>IFERROR(VLOOKUP($I252,'Upper Cask Movement &amp; Logistics'!$H$4:$I$8,2,FALSE),"N/A")</f>
        <v>N/A</v>
      </c>
      <c r="N252" s="1326" t="str">
        <f t="shared" si="9"/>
        <v>N/A</v>
      </c>
      <c r="O252" s="1327"/>
      <c r="P252" s="824" t="str">
        <f>IF($D252="Logistics",VLOOKUP($O252,'Upper Cask Movement &amp; Logistics'!$C$4:$D$77,2,FALSE),"N/A")</f>
        <v>N/A</v>
      </c>
    </row>
    <row r="253" spans="2:16" x14ac:dyDescent="0.35">
      <c r="B253" s="3815"/>
      <c r="C253" s="1362" t="s">
        <v>1421</v>
      </c>
      <c r="D253" s="1362" t="s">
        <v>3</v>
      </c>
      <c r="E253" s="1292">
        <f t="shared" si="10"/>
        <v>2.3000000000000003</v>
      </c>
      <c r="F253" s="1292">
        <f>IF($D253="Trigger",VLOOKUP($C253,'Upper Cask Critical Path'!$C$135:$F$336,4,FALSE),E253+F251)</f>
        <v>190.60875321117621</v>
      </c>
      <c r="G253" s="862"/>
      <c r="H253" s="1328" t="str">
        <f>IF(D253="operation",VLOOKUP(G253,'Generic Vertical Port Tasks'!C250:D279,2,FALSE),"N/A")</f>
        <v>N/A</v>
      </c>
      <c r="I253" s="1294"/>
      <c r="J253" s="1294"/>
      <c r="K253" s="1294"/>
      <c r="L253" s="1329" t="str">
        <f>IFERROR(INDEX('Upper Cask Movement &amp; Logistics'!$I$24:$O$30,MATCH($J253,'Upper Cask Movement &amp; Logistics'!$H$24:$H$30,0),MATCH($K253,'Upper Cask Movement &amp; Logistics'!$H$24:$H$30,0)),"N/A")</f>
        <v>N/A</v>
      </c>
      <c r="M253" s="1329" t="str">
        <f>IFERROR(VLOOKUP($I253,'Upper Cask Movement &amp; Logistics'!$H$4:$I$8,2,FALSE),"N/A")</f>
        <v>N/A</v>
      </c>
      <c r="N253" s="1330" t="str">
        <f t="shared" si="9"/>
        <v>N/A</v>
      </c>
      <c r="O253" s="1331" t="s">
        <v>1269</v>
      </c>
      <c r="P253" s="1332">
        <f>IF($D253="Logistics",VLOOKUP($O253,'Upper Cask Movement &amp; Logistics'!$C$4:$D$77,2,FALSE),"N/A")</f>
        <v>2.3000000000000003</v>
      </c>
    </row>
    <row r="254" spans="2:16" x14ac:dyDescent="0.35">
      <c r="B254" s="3815"/>
      <c r="C254" s="1294" t="s">
        <v>1362</v>
      </c>
      <c r="D254" s="1294" t="s">
        <v>778</v>
      </c>
      <c r="E254" s="1292">
        <f t="shared" si="10"/>
        <v>0.69444444444444442</v>
      </c>
      <c r="F254" s="1292">
        <f>IF($D254="Trigger",VLOOKUP($C254,'Upper Cask Critical Path'!$C$135:$F$336,4,FALSE),E254+F252)</f>
        <v>258.53773683344178</v>
      </c>
      <c r="G254" s="862"/>
      <c r="H254" s="1328" t="str">
        <f>IF(D254="operation",VLOOKUP(G254,'Generic Vertical Port Tasks'!C250:D280,2,FALSE),"N/A")</f>
        <v>N/A</v>
      </c>
      <c r="I254" s="1294" t="s">
        <v>1789</v>
      </c>
      <c r="J254" s="1294" t="s">
        <v>901</v>
      </c>
      <c r="K254" s="1294" t="s">
        <v>831</v>
      </c>
      <c r="L254" s="1329">
        <f>IFERROR(INDEX('Upper Cask Movement &amp; Logistics'!$I$24:$O$30,MATCH($J254,'Upper Cask Movement &amp; Logistics'!$H$24:$H$30,0),MATCH($K254,'Upper Cask Movement &amp; Logistics'!$H$24:$H$30,0)),"N/A")</f>
        <v>50</v>
      </c>
      <c r="M254" s="1329">
        <f>IFERROR(VLOOKUP($I254,'Upper Cask Movement &amp; Logistics'!$H$4:$I$8,2,FALSE),"N/A")</f>
        <v>0.02</v>
      </c>
      <c r="N254" s="1330">
        <f t="shared" si="9"/>
        <v>0.69444444444444442</v>
      </c>
      <c r="O254" s="1331"/>
      <c r="P254" s="1332" t="str">
        <f>IF($D254="Logistics",VLOOKUP($O254,'Upper Cask Movement &amp; Logistics'!$C$4:$D$77,2,FALSE),"N/A")</f>
        <v>N/A</v>
      </c>
    </row>
    <row r="255" spans="2:16" x14ac:dyDescent="0.35">
      <c r="B255" s="3815"/>
      <c r="C255" s="1294" t="s">
        <v>1389</v>
      </c>
      <c r="D255" s="1294" t="s">
        <v>3</v>
      </c>
      <c r="E255" s="1292">
        <f t="shared" si="10"/>
        <v>0.48000000000000004</v>
      </c>
      <c r="F255" s="1292">
        <f>IF($D255="Trigger",VLOOKUP($C255,'Upper Cask Critical Path'!$C$135:$F$336,4,FALSE),E255+F254)</f>
        <v>259.0177368334418</v>
      </c>
      <c r="G255" s="862"/>
      <c r="H255" s="1328" t="str">
        <f>IF(D255="operation",VLOOKUP(G255,'Generic Vertical Port Tasks'!C250:D281,2,FALSE),"N/A")</f>
        <v>N/A</v>
      </c>
      <c r="I255" s="1294"/>
      <c r="J255" s="1294"/>
      <c r="K255" s="1294"/>
      <c r="L255" s="1329" t="str">
        <f>IFERROR(INDEX('Upper Cask Movement &amp; Logistics'!$I$24:$O$30,MATCH($J255,'Upper Cask Movement &amp; Logistics'!$H$24:$H$30,0),MATCH($K255,'Upper Cask Movement &amp; Logistics'!$H$24:$H$30,0)),"N/A")</f>
        <v>N/A</v>
      </c>
      <c r="M255" s="1329" t="str">
        <f>IFERROR(VLOOKUP($I255,'Upper Cask Movement &amp; Logistics'!$H$4:$I$8,2,FALSE),"N/A")</f>
        <v>N/A</v>
      </c>
      <c r="N255" s="1330" t="str">
        <f t="shared" si="9"/>
        <v>N/A</v>
      </c>
      <c r="O255" s="1331" t="s">
        <v>1330</v>
      </c>
      <c r="P255" s="1332">
        <f>IF($D255="Logistics",VLOOKUP($O255,'Upper Cask Movement &amp; Logistics'!$C$4:$D$77,2,FALSE),"N/A")</f>
        <v>0.48000000000000004</v>
      </c>
    </row>
    <row r="256" spans="2:16" x14ac:dyDescent="0.35">
      <c r="B256" s="3815"/>
      <c r="C256" s="1294" t="s">
        <v>1422</v>
      </c>
      <c r="D256" s="1294" t="s">
        <v>778</v>
      </c>
      <c r="E256" s="1292">
        <f t="shared" si="10"/>
        <v>2.7777777777777776E-2</v>
      </c>
      <c r="F256" s="1292">
        <f>IF($D256="Trigger",VLOOKUP($C256,'Upper Cask Critical Path'!$C$135:$F$336,4,FALSE),E256+F255)</f>
        <v>259.04551461121957</v>
      </c>
      <c r="G256" s="862"/>
      <c r="H256" s="1328" t="str">
        <f>IF(D260="operation",VLOOKUP(G256,'Generic Vertical Port Tasks'!C250:D283,2,FALSE),"N/A")</f>
        <v>N/A</v>
      </c>
      <c r="I256" s="1294" t="s">
        <v>2502</v>
      </c>
      <c r="J256" s="1294" t="s">
        <v>831</v>
      </c>
      <c r="K256" s="1294" t="s">
        <v>858</v>
      </c>
      <c r="L256" s="1329">
        <f>IFERROR(INDEX('Upper Cask Movement &amp; Logistics'!$I$24:$O$30,MATCH($J256,'Upper Cask Movement &amp; Logistics'!$H$24:$H$30,0),MATCH($K256,'Upper Cask Movement &amp; Logistics'!$H$24:$H$30,0)),"N/A")</f>
        <v>20</v>
      </c>
      <c r="M256" s="1329">
        <f>IFERROR(VLOOKUP($I256,'Upper Cask Movement &amp; Logistics'!$H$4:$I$8,2,FALSE),"N/A")</f>
        <v>0.2</v>
      </c>
      <c r="N256" s="1330">
        <f t="shared" si="9"/>
        <v>2.7777777777777776E-2</v>
      </c>
      <c r="O256" s="1331"/>
      <c r="P256" s="1332" t="str">
        <f>IF($D260="Logistics",VLOOKUP($O256,'Upper Cask Movement &amp; Logistics'!$C$4:$D$77,2,FALSE),"N/A")</f>
        <v>N/A</v>
      </c>
    </row>
    <row r="257" spans="2:16" x14ac:dyDescent="0.35">
      <c r="B257" s="3815"/>
      <c r="C257" s="1294" t="s">
        <v>1336</v>
      </c>
      <c r="D257" s="1294" t="s">
        <v>3</v>
      </c>
      <c r="E257" s="1292">
        <f t="shared" si="10"/>
        <v>0</v>
      </c>
      <c r="F257" s="1292">
        <f>IF($D257="Trigger",VLOOKUP($C257,'Upper Cask Critical Path'!$C$135:$F$336,4,FALSE),E257+F256)</f>
        <v>259.04551461121957</v>
      </c>
      <c r="G257" s="862"/>
      <c r="H257" s="1328" t="str">
        <f>IF(D261="operation",VLOOKUP(G257,'Generic Vertical Port Tasks'!C250:D284,2,FALSE),"N/A")</f>
        <v>N/A</v>
      </c>
      <c r="I257" s="1294"/>
      <c r="J257" s="1294"/>
      <c r="K257" s="1294"/>
      <c r="L257" s="1329" t="str">
        <f>IFERROR(INDEX('Upper Cask Movement &amp; Logistics'!$I$24:$O$30,MATCH($J257,'Upper Cask Movement &amp; Logistics'!$H$24:$H$30,0),MATCH($K257,'Upper Cask Movement &amp; Logistics'!$H$24:$H$30,0)),"N/A")</f>
        <v>N/A</v>
      </c>
      <c r="M257" s="1329" t="str">
        <f>IFERROR(VLOOKUP($I257,'Upper Cask Movement &amp; Logistics'!$H$4:$I$8,2,FALSE),"N/A")</f>
        <v>N/A</v>
      </c>
      <c r="N257" s="1330" t="str">
        <f t="shared" si="9"/>
        <v>N/A</v>
      </c>
      <c r="O257" s="1331" t="s">
        <v>1331</v>
      </c>
      <c r="P257" s="1332" t="str">
        <f>IF($D261="Logistics",VLOOKUP($O257,'Upper Cask Movement &amp; Logistics'!$C$4:$D$77,2,FALSE),"N/A")</f>
        <v>N/A</v>
      </c>
    </row>
    <row r="258" spans="2:16" x14ac:dyDescent="0.35">
      <c r="B258" s="3815"/>
      <c r="C258" s="1294" t="s">
        <v>1366</v>
      </c>
      <c r="D258" s="1294" t="s">
        <v>778</v>
      </c>
      <c r="E258" s="1292">
        <f t="shared" si="10"/>
        <v>0.69444444444444442</v>
      </c>
      <c r="F258" s="1292">
        <f>IF($D258="Trigger",VLOOKUP($C258,'Upper Cask Critical Path'!$C$135:$F$336,4,FALSE),E258+F257)</f>
        <v>259.73995905566403</v>
      </c>
      <c r="G258" s="862"/>
      <c r="H258" s="1328" t="str">
        <f>IF(D263="operation",VLOOKUP(G258,'Generic Vertical Port Tasks'!C250:D285,2,FALSE),"N/A")</f>
        <v>N/A</v>
      </c>
      <c r="I258" s="1294" t="s">
        <v>1789</v>
      </c>
      <c r="J258" s="1294" t="s">
        <v>858</v>
      </c>
      <c r="K258" s="1294" t="s">
        <v>901</v>
      </c>
      <c r="L258" s="1329">
        <f>IFERROR(INDEX('Upper Cask Movement &amp; Logistics'!$I$24:$O$30,MATCH($J258,'Upper Cask Movement &amp; Logistics'!$H$24:$H$30,0),MATCH($K258,'Upper Cask Movement &amp; Logistics'!$H$24:$H$30,0)),"N/A")</f>
        <v>50</v>
      </c>
      <c r="M258" s="1329">
        <f>IFERROR(VLOOKUP($I258,'Upper Cask Movement &amp; Logistics'!$H$4:$I$8,2,FALSE),"N/A")</f>
        <v>0.02</v>
      </c>
      <c r="N258" s="1330">
        <f t="shared" si="9"/>
        <v>0.69444444444444442</v>
      </c>
      <c r="O258" s="1331"/>
      <c r="P258" s="1332" t="str">
        <f>IF($D263="Logistics",VLOOKUP($O258,'Upper Cask Movement &amp; Logistics'!$C$4:$D$77,2,FALSE),"N/A")</f>
        <v>N/A</v>
      </c>
    </row>
    <row r="259" spans="2:16" x14ac:dyDescent="0.35">
      <c r="B259" s="3815"/>
      <c r="C259" s="1294" t="s">
        <v>1353</v>
      </c>
      <c r="D259" s="1294" t="s">
        <v>3</v>
      </c>
      <c r="E259" s="1292">
        <f t="shared" si="10"/>
        <v>1.4000000000000001</v>
      </c>
      <c r="F259" s="1292">
        <f>IF($D259="Trigger",VLOOKUP($C259,'Upper Cask Critical Path'!$C$135:$F$336,4,FALSE),E259+F258)</f>
        <v>261.13995905566401</v>
      </c>
      <c r="G259" s="862"/>
      <c r="H259" s="1328" t="str">
        <f>IF(D259="operation",VLOOKUP(G259,'Generic Vertical Port Tasks'!C252:D286,2,FALSE),"N/A")</f>
        <v>N/A</v>
      </c>
      <c r="I259" s="1294"/>
      <c r="J259" s="1294"/>
      <c r="K259" s="1294"/>
      <c r="L259" s="1329" t="str">
        <f>IFERROR(INDEX('Upper Cask Movement &amp; Logistics'!$I$24:$O$30,MATCH($J259,'Upper Cask Movement &amp; Logistics'!$H$24:$H$30,0),MATCH($K259,'Upper Cask Movement &amp; Logistics'!$H$24:$H$30,0)),"N/A")</f>
        <v>N/A</v>
      </c>
      <c r="M259" s="1329" t="str">
        <f>IFERROR(VLOOKUP($I259,'Upper Cask Movement &amp; Logistics'!$H$4:$I$8,2,FALSE),"N/A")</f>
        <v>N/A</v>
      </c>
      <c r="N259" s="1330" t="str">
        <f t="shared" si="9"/>
        <v>N/A</v>
      </c>
      <c r="O259" s="1331" t="s">
        <v>1277</v>
      </c>
      <c r="P259" s="1332">
        <f>IF($D259="Logistics",VLOOKUP($O259,'Upper Cask Movement &amp; Logistics'!$C$4:$D$77,2,FALSE),"N/A")</f>
        <v>1.4000000000000001</v>
      </c>
    </row>
    <row r="260" spans="2:16" ht="13.3" thickBot="1" x14ac:dyDescent="0.4">
      <c r="B260" s="3816"/>
      <c r="C260" s="1340" t="str">
        <f>B252</f>
        <v>Equipment Cask 2 stored;  Equipment Cask 1 collected; Equipment Cask 1 Docked</v>
      </c>
      <c r="D260" s="1340" t="s">
        <v>11</v>
      </c>
      <c r="E260" s="1295">
        <f t="shared" si="10"/>
        <v>0</v>
      </c>
      <c r="F260" s="1295">
        <f>IF($D260="Trigger",VLOOKUP($C260,'Upper Cask Critical Path'!$C$135:$F$336,4,FALSE),E260+F259)</f>
        <v>261.13995905566401</v>
      </c>
      <c r="G260" s="839"/>
      <c r="H260" s="1341" t="str">
        <f>IF(D260="operation",VLOOKUP(G260,'Generic Vertical Port Tasks'!C252:D287,2,FALSE),"N/A")</f>
        <v>N/A</v>
      </c>
      <c r="I260" s="1340"/>
      <c r="J260" s="1340"/>
      <c r="K260" s="1340"/>
      <c r="L260" s="1342" t="str">
        <f>IFERROR(INDEX('Upper Cask Movement &amp; Logistics'!$I$24:$O$30,MATCH($J260,'Upper Cask Movement &amp; Logistics'!$H$24:$H$30,0),MATCH($K260,'Upper Cask Movement &amp; Logistics'!$H$24:$H$30,0)),"N/A")</f>
        <v>N/A</v>
      </c>
      <c r="M260" s="1342" t="str">
        <f>IFERROR(VLOOKUP($I260,'Upper Cask Movement &amp; Logistics'!$H$4:$I$8,2,FALSE),"N/A")</f>
        <v>N/A</v>
      </c>
      <c r="N260" s="1343" t="str">
        <f t="shared" si="9"/>
        <v>N/A</v>
      </c>
      <c r="O260" s="1344"/>
      <c r="P260" s="1345" t="str">
        <f>IF($D260="Logistics",VLOOKUP($O260,'Upper Cask Movement &amp; Logistics'!$C$4:$D$77,2,FALSE),"N/A")</f>
        <v>N/A</v>
      </c>
    </row>
    <row r="261" spans="2:16" x14ac:dyDescent="0.35">
      <c r="B261" s="3975" t="s">
        <v>1316</v>
      </c>
      <c r="C261" s="1333" t="str">
        <f>'Upper Cask Critical Path'!C216</f>
        <v>Store Shield Plug &amp; Fixations Equip. in Equipment Cask 1</v>
      </c>
      <c r="D261" s="1333" t="s">
        <v>907</v>
      </c>
      <c r="E261" s="1303">
        <f t="shared" si="10"/>
        <v>0</v>
      </c>
      <c r="F261" s="1303">
        <f>IF($D261="Trigger",VLOOKUP($C261,'Upper Cask Critical Path'!$C$135:$F$336,4,FALSE),E261+F260)</f>
        <v>266.19495905566401</v>
      </c>
      <c r="G261" s="1304"/>
      <c r="H261" s="1305" t="str">
        <f>IF(D261="operation",VLOOKUP(G261,'Generic Vertical Port Tasks'!C253:D289,2,FALSE),"N/A")</f>
        <v>N/A</v>
      </c>
      <c r="I261" s="1333"/>
      <c r="J261" s="1333"/>
      <c r="K261" s="1333"/>
      <c r="L261" s="1334" t="str">
        <f>IFERROR(INDEX('Upper Cask Movement &amp; Logistics'!$I$24:$O$30,MATCH($J261,'Upper Cask Movement &amp; Logistics'!$H$24:$H$30,0),MATCH($K261,'Upper Cask Movement &amp; Logistics'!$H$24:$H$30,0)),"N/A")</f>
        <v>N/A</v>
      </c>
      <c r="M261" s="1334" t="str">
        <f>IFERROR(VLOOKUP($I261,'Upper Cask Movement &amp; Logistics'!$H$4:$I$8,2,FALSE),"N/A")</f>
        <v>N/A</v>
      </c>
      <c r="N261" s="1335" t="str">
        <f t="shared" si="9"/>
        <v>N/A</v>
      </c>
      <c r="O261" s="1336"/>
      <c r="P261" s="1382" t="str">
        <f>IF($D261="Logistics",VLOOKUP($O261,'Upper Cask Movement &amp; Logistics'!$C$4:$D$77,2,FALSE),"N/A")</f>
        <v>N/A</v>
      </c>
    </row>
    <row r="262" spans="2:16" x14ac:dyDescent="0.35">
      <c r="B262" s="3976"/>
      <c r="C262" s="1240" t="s">
        <v>1423</v>
      </c>
      <c r="D262" s="1240" t="s">
        <v>3</v>
      </c>
      <c r="E262" s="1244">
        <f t="shared" si="10"/>
        <v>2.3000000000000003</v>
      </c>
      <c r="F262" s="1244">
        <f>IF($D262="Trigger",VLOOKUP($C262,'Upper Cask Critical Path'!$C$135:$F$336,4,FALSE),E262+F260)</f>
        <v>263.43995905566402</v>
      </c>
      <c r="G262" s="1309"/>
      <c r="H262" s="1310" t="str">
        <f>IF(D262="operation",VLOOKUP(G262,'Generic Vertical Port Tasks'!C252:D287,2,FALSE),"N/A")</f>
        <v>N/A</v>
      </c>
      <c r="I262" s="1243"/>
      <c r="J262" s="1243"/>
      <c r="K262" s="1243"/>
      <c r="L262" s="1245" t="str">
        <f>IFERROR(INDEX('Upper Cask Movement &amp; Logistics'!$I$24:$O$30,MATCH($J262,'Upper Cask Movement &amp; Logistics'!$H$24:$H$30,0),MATCH($K262,'Upper Cask Movement &amp; Logistics'!$H$24:$H$30,0)),"N/A")</f>
        <v>N/A</v>
      </c>
      <c r="M262" s="1245" t="str">
        <f>IFERROR(VLOOKUP($I262,'Upper Cask Movement &amp; Logistics'!$H$4:$I$8,2,FALSE),"N/A")</f>
        <v>N/A</v>
      </c>
      <c r="N262" s="1311" t="str">
        <f>IF(D262="Movement",IFERROR((L262/M262)/(60*60),"Error"),"N/A")</f>
        <v>N/A</v>
      </c>
      <c r="O262" s="1312" t="s">
        <v>1269</v>
      </c>
      <c r="P262" s="1383">
        <f>IF($D262="Logistics",VLOOKUP($O262,'Upper Cask Movement &amp; Logistics'!$C$4:$D$77,2,FALSE),"N/A")</f>
        <v>2.3000000000000003</v>
      </c>
    </row>
    <row r="263" spans="2:16" x14ac:dyDescent="0.35">
      <c r="B263" s="3976"/>
      <c r="C263" s="1243" t="s">
        <v>1362</v>
      </c>
      <c r="D263" s="1243" t="s">
        <v>778</v>
      </c>
      <c r="E263" s="1244">
        <f t="shared" si="10"/>
        <v>0.23148148148148148</v>
      </c>
      <c r="F263" s="1244">
        <f>IF($D263="Trigger",VLOOKUP($C263,'Upper Cask Critical Path'!$C$135:$F$336,4,FALSE),E263+F261)</f>
        <v>266.42644053714548</v>
      </c>
      <c r="G263" s="1309"/>
      <c r="H263" s="1310" t="str">
        <f>IF(D263="operation",VLOOKUP(G263,'Generic Vertical Port Tasks'!C252:D288,2,FALSE),"N/A")</f>
        <v>N/A</v>
      </c>
      <c r="I263" s="1243" t="s">
        <v>2501</v>
      </c>
      <c r="J263" s="1243" t="s">
        <v>901</v>
      </c>
      <c r="K263" s="1243" t="s">
        <v>831</v>
      </c>
      <c r="L263" s="1245">
        <f>IFERROR(INDEX('Upper Cask Movement &amp; Logistics'!$I$24:$O$30,MATCH($J263,'Upper Cask Movement &amp; Logistics'!$H$24:$H$30,0),MATCH($K263,'Upper Cask Movement &amp; Logistics'!$H$24:$H$30,0)),"N/A")</f>
        <v>50</v>
      </c>
      <c r="M263" s="1245">
        <f>IFERROR(VLOOKUP($I263,'Upper Cask Movement &amp; Logistics'!$H$4:$I$8,2,FALSE),"N/A")</f>
        <v>0.06</v>
      </c>
      <c r="N263" s="1311">
        <f t="shared" si="9"/>
        <v>0.23148148148148148</v>
      </c>
      <c r="O263" s="1312"/>
      <c r="P263" s="1383" t="str">
        <f>IF($D263="Logistics",VLOOKUP($O263,'Upper Cask Movement &amp; Logistics'!$C$4:$D$77,2,FALSE),"N/A")</f>
        <v>N/A</v>
      </c>
    </row>
    <row r="264" spans="2:16" x14ac:dyDescent="0.35">
      <c r="B264" s="3976"/>
      <c r="C264" s="1243" t="s">
        <v>1351</v>
      </c>
      <c r="D264" s="1243" t="s">
        <v>3</v>
      </c>
      <c r="E264" s="1244">
        <f t="shared" ref="E264:E278" si="11">MAX($P264,$N264,$H264)</f>
        <v>0.48000000000000004</v>
      </c>
      <c r="F264" s="1244">
        <f>IF($D264="Trigger",VLOOKUP($C264,'Upper Cask Critical Path'!$C$135:$F$336,4,FALSE),E264+F263)</f>
        <v>266.9064405371455</v>
      </c>
      <c r="G264" s="1309"/>
      <c r="H264" s="1310" t="str">
        <f>IF(D264="operation",VLOOKUP(G264,'Generic Vertical Port Tasks'!C252:D289,2,FALSE),"N/A")</f>
        <v>N/A</v>
      </c>
      <c r="I264" s="1243"/>
      <c r="J264" s="1243"/>
      <c r="K264" s="1243"/>
      <c r="L264" s="1245" t="str">
        <f>IFERROR(INDEX('Upper Cask Movement &amp; Logistics'!$I$24:$O$30,MATCH($J264,'Upper Cask Movement &amp; Logistics'!$H$24:$H$30,0),MATCH($K264,'Upper Cask Movement &amp; Logistics'!$H$24:$H$30,0)),"N/A")</f>
        <v>N/A</v>
      </c>
      <c r="M264" s="1245" t="str">
        <f>IFERROR(VLOOKUP($I264,'Upper Cask Movement &amp; Logistics'!$H$4:$I$8,2,FALSE),"N/A")</f>
        <v>N/A</v>
      </c>
      <c r="N264" s="1311" t="str">
        <f t="shared" si="9"/>
        <v>N/A</v>
      </c>
      <c r="O264" s="1312" t="s">
        <v>1330</v>
      </c>
      <c r="P264" s="1383">
        <f>IF($D264="Logistics",VLOOKUP($O264,'Upper Cask Movement &amp; Logistics'!$C$4:$D$77,2,FALSE),"N/A")</f>
        <v>0.48000000000000004</v>
      </c>
    </row>
    <row r="265" spans="2:16" x14ac:dyDescent="0.35">
      <c r="B265" s="3976"/>
      <c r="C265" s="1243" t="s">
        <v>1422</v>
      </c>
      <c r="D265" s="1243" t="s">
        <v>778</v>
      </c>
      <c r="E265" s="1244">
        <f t="shared" si="11"/>
        <v>2.7777777777777776E-2</v>
      </c>
      <c r="F265" s="1244">
        <f>IF($D265="Trigger",VLOOKUP($C265,'Upper Cask Critical Path'!$C$135:$F$336,4,FALSE),E265+F264)</f>
        <v>266.93421831492327</v>
      </c>
      <c r="G265" s="1309"/>
      <c r="H265" s="1310" t="str">
        <f>IF(D269="operation",VLOOKUP(G265,'Generic Vertical Port Tasks'!C252:D291,2,FALSE),"N/A")</f>
        <v>N/A</v>
      </c>
      <c r="I265" s="1243" t="s">
        <v>2502</v>
      </c>
      <c r="J265" s="1243" t="s">
        <v>831</v>
      </c>
      <c r="K265" s="1243" t="s">
        <v>858</v>
      </c>
      <c r="L265" s="1245">
        <f>IFERROR(INDEX('Upper Cask Movement &amp; Logistics'!$I$24:$O$30,MATCH($J265,'Upper Cask Movement &amp; Logistics'!$H$24:$H$30,0),MATCH($K265,'Upper Cask Movement &amp; Logistics'!$H$24:$H$30,0)),"N/A")</f>
        <v>20</v>
      </c>
      <c r="M265" s="1245">
        <f>IFERROR(VLOOKUP($I265,'Upper Cask Movement &amp; Logistics'!$H$4:$I$8,2,FALSE),"N/A")</f>
        <v>0.2</v>
      </c>
      <c r="N265" s="1311">
        <f t="shared" si="9"/>
        <v>2.7777777777777776E-2</v>
      </c>
      <c r="O265" s="1312"/>
      <c r="P265" s="1383" t="str">
        <f>IF($D265="Logistics",VLOOKUP($O265,'Upper Cask Movement &amp; Logistics'!$C$4:$D$77,2,FALSE),"N/A")</f>
        <v>N/A</v>
      </c>
    </row>
    <row r="266" spans="2:16" x14ac:dyDescent="0.35">
      <c r="B266" s="3976"/>
      <c r="C266" s="1243" t="s">
        <v>1347</v>
      </c>
      <c r="D266" s="1243" t="s">
        <v>3</v>
      </c>
      <c r="E266" s="1244">
        <f t="shared" si="11"/>
        <v>0.48000000000000004</v>
      </c>
      <c r="F266" s="1244">
        <f>IF($D266="Trigger",VLOOKUP($C266,'Upper Cask Critical Path'!$C$135:$F$336,4,FALSE),E266+F265)</f>
        <v>267.41421831492329</v>
      </c>
      <c r="G266" s="1309"/>
      <c r="H266" s="1310" t="str">
        <f>IF(D270="operation",VLOOKUP(G266,'Generic Vertical Port Tasks'!C252:D292,2,FALSE),"N/A")</f>
        <v>N/A</v>
      </c>
      <c r="I266" s="1243"/>
      <c r="J266" s="1243"/>
      <c r="K266" s="1243"/>
      <c r="L266" s="1245" t="str">
        <f>IFERROR(INDEX('Upper Cask Movement &amp; Logistics'!$I$24:$O$30,MATCH($J266,'Upper Cask Movement &amp; Logistics'!$H$24:$H$30,0),MATCH($K266,'Upper Cask Movement &amp; Logistics'!$H$24:$H$30,0)),"N/A")</f>
        <v>N/A</v>
      </c>
      <c r="M266" s="1245" t="str">
        <f>IFERROR(VLOOKUP($I266,'Upper Cask Movement &amp; Logistics'!$H$4:$I$8,2,FALSE),"N/A")</f>
        <v>N/A</v>
      </c>
      <c r="N266" s="1311" t="str">
        <f t="shared" si="9"/>
        <v>N/A</v>
      </c>
      <c r="O266" s="1312" t="s">
        <v>1331</v>
      </c>
      <c r="P266" s="1383">
        <f>IF($D266="Logistics",VLOOKUP($O266,'Upper Cask Movement &amp; Logistics'!$C$4:$D$77,2,FALSE),"N/A")</f>
        <v>0.48000000000000004</v>
      </c>
    </row>
    <row r="267" spans="2:16" x14ac:dyDescent="0.35">
      <c r="B267" s="3976"/>
      <c r="C267" s="1243" t="s">
        <v>1366</v>
      </c>
      <c r="D267" s="1243" t="s">
        <v>778</v>
      </c>
      <c r="E267" s="1244">
        <f t="shared" si="11"/>
        <v>0.69444444444444442</v>
      </c>
      <c r="F267" s="1244">
        <f>IF($D267="Trigger",VLOOKUP($C267,'Upper Cask Critical Path'!$C$135:$F$336,4,FALSE),E267+F266)</f>
        <v>268.10866275936775</v>
      </c>
      <c r="G267" s="1309"/>
      <c r="H267" s="1310" t="str">
        <f>IF(D271="operation",VLOOKUP(G267,'Generic Vertical Port Tasks'!C252:D293,2,FALSE),"N/A")</f>
        <v>N/A</v>
      </c>
      <c r="I267" s="1243" t="s">
        <v>1789</v>
      </c>
      <c r="J267" s="1243" t="s">
        <v>858</v>
      </c>
      <c r="K267" s="1243" t="s">
        <v>901</v>
      </c>
      <c r="L267" s="1245">
        <f>IFERROR(INDEX('Upper Cask Movement &amp; Logistics'!$I$24:$O$30,MATCH($J267,'Upper Cask Movement &amp; Logistics'!$H$24:$H$30,0),MATCH($K267,'Upper Cask Movement &amp; Logistics'!$H$24:$H$30,0)),"N/A")</f>
        <v>50</v>
      </c>
      <c r="M267" s="1245">
        <f>IFERROR(VLOOKUP($I267,'Upper Cask Movement &amp; Logistics'!$H$4:$I$8,2,FALSE),"N/A")</f>
        <v>0.02</v>
      </c>
      <c r="N267" s="1311">
        <f t="shared" si="9"/>
        <v>0.69444444444444442</v>
      </c>
      <c r="O267" s="1312"/>
      <c r="P267" s="1383" t="str">
        <f>IF($D267="Logistics",VLOOKUP($O267,'Upper Cask Movement &amp; Logistics'!$C$4:$D$77,2,FALSE),"N/A")</f>
        <v>N/A</v>
      </c>
    </row>
    <row r="268" spans="2:16" x14ac:dyDescent="0.35">
      <c r="B268" s="3976"/>
      <c r="C268" s="1243" t="s">
        <v>1353</v>
      </c>
      <c r="D268" s="1243" t="s">
        <v>3</v>
      </c>
      <c r="E268" s="1244">
        <f t="shared" si="11"/>
        <v>1.4000000000000001</v>
      </c>
      <c r="F268" s="1244">
        <f>IF($D268="Trigger",VLOOKUP($C268,'Upper Cask Critical Path'!$C$135:$F$336,4,FALSE),E268+F267)</f>
        <v>269.50866275936772</v>
      </c>
      <c r="G268" s="1309"/>
      <c r="H268" s="1310" t="str">
        <f>IF(D268="operation",VLOOKUP(G268,'Generic Vertical Port Tasks'!C253:D294,2,FALSE),"N/A")</f>
        <v>N/A</v>
      </c>
      <c r="I268" s="1243"/>
      <c r="J268" s="1243"/>
      <c r="K268" s="1243"/>
      <c r="L268" s="1245" t="str">
        <f>IFERROR(INDEX('Upper Cask Movement &amp; Logistics'!$I$24:$O$30,MATCH($J268,'Upper Cask Movement &amp; Logistics'!$H$24:$H$30,0),MATCH($K268,'Upper Cask Movement &amp; Logistics'!$H$24:$H$30,0)),"N/A")</f>
        <v>N/A</v>
      </c>
      <c r="M268" s="1245" t="str">
        <f>IFERROR(VLOOKUP($I268,'Upper Cask Movement &amp; Logistics'!$H$4:$I$8,2,FALSE),"N/A")</f>
        <v>N/A</v>
      </c>
      <c r="N268" s="1311" t="str">
        <f t="shared" si="9"/>
        <v>N/A</v>
      </c>
      <c r="O268" s="1312" t="s">
        <v>1277</v>
      </c>
      <c r="P268" s="1383">
        <f>IF($D268="Logistics",VLOOKUP($O268,'Upper Cask Movement &amp; Logistics'!$C$4:$D$77,2,FALSE),"N/A")</f>
        <v>1.4000000000000001</v>
      </c>
    </row>
    <row r="269" spans="2:16" ht="13.3" thickBot="1" x14ac:dyDescent="0.4">
      <c r="B269" s="3977"/>
      <c r="C269" s="1314" t="str">
        <f>B261</f>
        <v>Hardware Cask 3 stored; Hardware Cask 2 Collected; Hardware Cask 2 Docked</v>
      </c>
      <c r="D269" s="1314" t="s">
        <v>11</v>
      </c>
      <c r="E269" s="1316">
        <f t="shared" si="11"/>
        <v>0</v>
      </c>
      <c r="F269" s="1316">
        <f>IF($D269="Trigger",VLOOKUP($C269,'Upper Cask Critical Path'!$C$135:$F$336,4,FALSE),E269+F268)</f>
        <v>269.50866275936772</v>
      </c>
      <c r="G269" s="1317"/>
      <c r="H269" s="1318" t="str">
        <f>IF(D269="operation",VLOOKUP(G269,'Generic Vertical Port Tasks'!C253:D295,2,FALSE),"N/A")</f>
        <v>N/A</v>
      </c>
      <c r="I269" s="1314"/>
      <c r="J269" s="1314"/>
      <c r="K269" s="1314"/>
      <c r="L269" s="1319" t="str">
        <f>IFERROR(INDEX('Upper Cask Movement &amp; Logistics'!$I$24:$O$30,MATCH($J269,'Upper Cask Movement &amp; Logistics'!$H$24:$H$30,0),MATCH($K269,'Upper Cask Movement &amp; Logistics'!$H$24:$H$30,0)),"N/A")</f>
        <v>N/A</v>
      </c>
      <c r="M269" s="1319" t="str">
        <f>IFERROR(VLOOKUP($I269,'Upper Cask Movement &amp; Logistics'!$H$4:$I$8,2,FALSE),"N/A")</f>
        <v>N/A</v>
      </c>
      <c r="N269" s="1320" t="str">
        <f t="shared" si="9"/>
        <v>N/A</v>
      </c>
      <c r="O269" s="1321"/>
      <c r="P269" s="1384" t="str">
        <f>IF($D269="Logistics",VLOOKUP($O269,'Upper Cask Movement &amp; Logistics'!$C$4:$D$77,2,FALSE),"N/A")</f>
        <v>N/A</v>
      </c>
    </row>
    <row r="270" spans="2:16" x14ac:dyDescent="0.35">
      <c r="B270" s="3814" t="s">
        <v>1321</v>
      </c>
      <c r="C270" s="1324" t="str">
        <f>'Upper Cask Critical Path'!C228</f>
        <v>Connect Port Closure Plate using Multifunction Manipulator</v>
      </c>
      <c r="D270" s="1324" t="s">
        <v>907</v>
      </c>
      <c r="E270" s="1291">
        <f t="shared" si="11"/>
        <v>0</v>
      </c>
      <c r="F270" s="1291">
        <f>IF($D270="Trigger",VLOOKUP($C270,'Upper Cask Critical Path'!$C$135:$F$336,4,FALSE),E270+F269)</f>
        <v>314.02718127788626</v>
      </c>
      <c r="G270" s="825"/>
      <c r="H270" s="1323" t="str">
        <f>IF(D270="operation",VLOOKUP(G270,'Generic Vertical Port Tasks'!C262:D298,2,FALSE),"N/A")</f>
        <v>N/A</v>
      </c>
      <c r="I270" s="1324"/>
      <c r="J270" s="1324"/>
      <c r="K270" s="1324"/>
      <c r="L270" s="1325" t="str">
        <f>IFERROR(INDEX('Upper Cask Movement &amp; Logistics'!$I$24:$O$30,MATCH($J270,'Upper Cask Movement &amp; Logistics'!$H$24:$H$30,0),MATCH($K270,'Upper Cask Movement &amp; Logistics'!$H$24:$H$30,0)),"N/A")</f>
        <v>N/A</v>
      </c>
      <c r="M270" s="1325" t="str">
        <f>IFERROR(VLOOKUP($I270,'Upper Cask Movement &amp; Logistics'!$H$4:$I$8,2,FALSE),"N/A")</f>
        <v>N/A</v>
      </c>
      <c r="N270" s="1326" t="str">
        <f t="shared" si="9"/>
        <v>N/A</v>
      </c>
      <c r="O270" s="1327"/>
      <c r="P270" s="824" t="str">
        <f>IF($D270="Logistics",VLOOKUP($O270,'Upper Cask Movement &amp; Logistics'!$C$4:$D$77,2,FALSE),"N/A")</f>
        <v>N/A</v>
      </c>
    </row>
    <row r="271" spans="2:16" x14ac:dyDescent="0.35">
      <c r="B271" s="3815"/>
      <c r="C271" s="1362" t="s">
        <v>1421</v>
      </c>
      <c r="D271" s="1362" t="s">
        <v>3</v>
      </c>
      <c r="E271" s="1292">
        <f t="shared" si="11"/>
        <v>2.3000000000000003</v>
      </c>
      <c r="F271" s="1292">
        <f>IF($D271="Trigger",VLOOKUP($C271,'Upper Cask Critical Path'!$C$135:$F$336,4,FALSE),E271+F269)</f>
        <v>271.80866275936773</v>
      </c>
      <c r="G271" s="862"/>
      <c r="H271" s="1328" t="str">
        <f>IF(D271="operation",VLOOKUP(G271,'Generic Vertical Port Tasks'!C253:D296,2,FALSE),"N/A")</f>
        <v>N/A</v>
      </c>
      <c r="I271" s="1294"/>
      <c r="J271" s="1294"/>
      <c r="K271" s="1294"/>
      <c r="L271" s="1329" t="str">
        <f>IFERROR(INDEX('Upper Cask Movement &amp; Logistics'!$I$24:$O$30,MATCH($J271,'Upper Cask Movement &amp; Logistics'!$H$24:$H$30,0),MATCH($K271,'Upper Cask Movement &amp; Logistics'!$H$24:$H$30,0)),"N/A")</f>
        <v>N/A</v>
      </c>
      <c r="M271" s="1329" t="str">
        <f>IFERROR(VLOOKUP($I271,'Upper Cask Movement &amp; Logistics'!$H$4:$I$8,2,FALSE),"N/A")</f>
        <v>N/A</v>
      </c>
      <c r="N271" s="1330" t="str">
        <f t="shared" si="9"/>
        <v>N/A</v>
      </c>
      <c r="O271" s="1331" t="s">
        <v>1269</v>
      </c>
      <c r="P271" s="1332">
        <f>IF($D271="Logistics",VLOOKUP($O271,'Upper Cask Movement &amp; Logistics'!$C$4:$D$77,2,FALSE),"N/A")</f>
        <v>2.3000000000000003</v>
      </c>
    </row>
    <row r="272" spans="2:16" x14ac:dyDescent="0.35">
      <c r="B272" s="3815"/>
      <c r="C272" s="1294" t="s">
        <v>1362</v>
      </c>
      <c r="D272" s="1294" t="s">
        <v>778</v>
      </c>
      <c r="E272" s="1292">
        <f t="shared" si="11"/>
        <v>0.23148148148148148</v>
      </c>
      <c r="F272" s="1292">
        <f>IF($D272="Trigger",VLOOKUP($C272,'Upper Cask Critical Path'!$C$135:$F$336,4,FALSE),E272+F270)</f>
        <v>314.25866275936772</v>
      </c>
      <c r="G272" s="862"/>
      <c r="H272" s="1328" t="str">
        <f>IF(D272="operation",VLOOKUP(G272,'Generic Vertical Port Tasks'!C254:D297,2,FALSE),"N/A")</f>
        <v>N/A</v>
      </c>
      <c r="I272" s="1294" t="s">
        <v>2501</v>
      </c>
      <c r="J272" s="1294" t="s">
        <v>901</v>
      </c>
      <c r="K272" s="1294" t="s">
        <v>831</v>
      </c>
      <c r="L272" s="1329">
        <f>IFERROR(INDEX('Upper Cask Movement &amp; Logistics'!$I$24:$O$30,MATCH($J272,'Upper Cask Movement &amp; Logistics'!$H$24:$H$30,0),MATCH($K272,'Upper Cask Movement &amp; Logistics'!$H$24:$H$30,0)),"N/A")</f>
        <v>50</v>
      </c>
      <c r="M272" s="1329">
        <f>IFERROR(VLOOKUP($I272,'Upper Cask Movement &amp; Logistics'!$H$4:$I$8,2,FALSE),"N/A")</f>
        <v>0.06</v>
      </c>
      <c r="N272" s="1330">
        <f t="shared" si="9"/>
        <v>0.23148148148148148</v>
      </c>
      <c r="O272" s="1331"/>
      <c r="P272" s="1332" t="str">
        <f>IF($D272="Logistics",VLOOKUP($O272,'Upper Cask Movement &amp; Logistics'!$C$4:$D$77,2,FALSE),"N/A")</f>
        <v>N/A</v>
      </c>
    </row>
    <row r="273" spans="2:16" x14ac:dyDescent="0.35">
      <c r="B273" s="3815"/>
      <c r="C273" s="1294" t="s">
        <v>1351</v>
      </c>
      <c r="D273" s="1294" t="s">
        <v>3</v>
      </c>
      <c r="E273" s="1292">
        <f t="shared" si="11"/>
        <v>0.48000000000000004</v>
      </c>
      <c r="F273" s="1292">
        <f>IF($D273="Trigger",VLOOKUP($C273,'Upper Cask Critical Path'!$C$135:$F$336,4,FALSE),E273+F272)</f>
        <v>314.73866275936774</v>
      </c>
      <c r="G273" s="862"/>
      <c r="H273" s="1328" t="str">
        <f>IF(D273="operation",VLOOKUP(G273,'Generic Vertical Port Tasks'!C254:D298,2,FALSE),"N/A")</f>
        <v>N/A</v>
      </c>
      <c r="I273" s="1294"/>
      <c r="J273" s="1294"/>
      <c r="K273" s="1294"/>
      <c r="L273" s="1329" t="str">
        <f>IFERROR(INDEX('Upper Cask Movement &amp; Logistics'!$I$24:$O$30,MATCH($J273,'Upper Cask Movement &amp; Logistics'!$H$24:$H$30,0),MATCH($K273,'Upper Cask Movement &amp; Logistics'!$H$24:$H$30,0)),"N/A")</f>
        <v>N/A</v>
      </c>
      <c r="M273" s="1329" t="str">
        <f>IFERROR(VLOOKUP($I273,'Upper Cask Movement &amp; Logistics'!$H$4:$I$8,2,FALSE),"N/A")</f>
        <v>N/A</v>
      </c>
      <c r="N273" s="1330" t="str">
        <f t="shared" si="9"/>
        <v>N/A</v>
      </c>
      <c r="O273" s="1331" t="s">
        <v>1330</v>
      </c>
      <c r="P273" s="1332">
        <f>IF($D273="Logistics",VLOOKUP($O273,'Upper Cask Movement &amp; Logistics'!$C$4:$D$77,2,FALSE),"N/A")</f>
        <v>0.48000000000000004</v>
      </c>
    </row>
    <row r="274" spans="2:16" x14ac:dyDescent="0.35">
      <c r="B274" s="3815"/>
      <c r="C274" s="1294" t="s">
        <v>1422</v>
      </c>
      <c r="D274" s="1294" t="s">
        <v>778</v>
      </c>
      <c r="E274" s="1292">
        <f t="shared" si="11"/>
        <v>2.7777777777777776E-2</v>
      </c>
      <c r="F274" s="1292">
        <f>IF($D274="Trigger",VLOOKUP($C274,'Upper Cask Critical Path'!$C$135:$F$336,4,FALSE),E274+F273)</f>
        <v>314.76644053714551</v>
      </c>
      <c r="G274" s="862"/>
      <c r="H274" s="1328" t="str">
        <f>IF(D278="operation",VLOOKUP(G274,'Generic Vertical Port Tasks'!C254:D300,2,FALSE),"N/A")</f>
        <v>N/A</v>
      </c>
      <c r="I274" s="1294" t="s">
        <v>2502</v>
      </c>
      <c r="J274" s="1294" t="s">
        <v>831</v>
      </c>
      <c r="K274" s="1294" t="s">
        <v>858</v>
      </c>
      <c r="L274" s="1329">
        <f>IFERROR(INDEX('Upper Cask Movement &amp; Logistics'!$I$24:$O$30,MATCH($J274,'Upper Cask Movement &amp; Logistics'!$H$24:$H$30,0),MATCH($K274,'Upper Cask Movement &amp; Logistics'!$H$24:$H$30,0)),"N/A")</f>
        <v>20</v>
      </c>
      <c r="M274" s="1329">
        <f>IFERROR(VLOOKUP($I274,'Upper Cask Movement &amp; Logistics'!$H$4:$I$8,2,FALSE),"N/A")</f>
        <v>0.2</v>
      </c>
      <c r="N274" s="1330">
        <f>IF(D274="Movement",IFERROR((L274/M274)/(60*60),"Error"),"N/A")</f>
        <v>2.7777777777777776E-2</v>
      </c>
      <c r="O274" s="1331"/>
      <c r="P274" s="1332" t="str">
        <f>IF($D278="Logistics",VLOOKUP($O274,'Upper Cask Movement &amp; Logistics'!$C$4:$D$77,2,FALSE),"N/A")</f>
        <v>N/A</v>
      </c>
    </row>
    <row r="275" spans="2:16" x14ac:dyDescent="0.35">
      <c r="B275" s="3815"/>
      <c r="C275" s="1294" t="s">
        <v>1336</v>
      </c>
      <c r="D275" s="1294" t="s">
        <v>3</v>
      </c>
      <c r="E275" s="1292">
        <f t="shared" si="11"/>
        <v>0</v>
      </c>
      <c r="F275" s="1292">
        <f>IF($D275="Trigger",VLOOKUP($C275,'Upper Cask Critical Path'!$C$135:$F$336,4,FALSE),E275+F274)</f>
        <v>314.76644053714551</v>
      </c>
      <c r="G275" s="862"/>
      <c r="H275" s="1328" t="str">
        <f>IF(D279="operation",VLOOKUP(G275,'Generic Vertical Port Tasks'!C255:D301,2,FALSE),"N/A")</f>
        <v>N/A</v>
      </c>
      <c r="I275" s="1294"/>
      <c r="J275" s="1294"/>
      <c r="K275" s="1294"/>
      <c r="L275" s="1329" t="str">
        <f>IFERROR(INDEX('Upper Cask Movement &amp; Logistics'!$I$24:$O$30,MATCH($J275,'Upper Cask Movement &amp; Logistics'!$H$24:$H$30,0),MATCH($K275,'Upper Cask Movement &amp; Logistics'!$H$24:$H$30,0)),"N/A")</f>
        <v>N/A</v>
      </c>
      <c r="M275" s="1329" t="str">
        <f>IFERROR(VLOOKUP($I275,'Upper Cask Movement &amp; Logistics'!$H$4:$I$8,2,FALSE),"N/A")</f>
        <v>N/A</v>
      </c>
      <c r="N275" s="1330" t="str">
        <f>IF(D275="Movement",IFERROR((L275/M275)/(60*60),"Error"),"N/A")</f>
        <v>N/A</v>
      </c>
      <c r="O275" s="1331" t="s">
        <v>1331</v>
      </c>
      <c r="P275" s="1332" t="str">
        <f>IF($D279="Logistics",VLOOKUP($O275,'Upper Cask Movement &amp; Logistics'!$C$4:$D$77,2,FALSE),"N/A")</f>
        <v>N/A</v>
      </c>
    </row>
    <row r="276" spans="2:16" x14ac:dyDescent="0.35">
      <c r="B276" s="3815"/>
      <c r="C276" s="1294" t="s">
        <v>1366</v>
      </c>
      <c r="D276" s="1294" t="s">
        <v>778</v>
      </c>
      <c r="E276" s="1292">
        <f t="shared" si="11"/>
        <v>0.69444444444444442</v>
      </c>
      <c r="F276" s="1292">
        <f>IF($D276="Trigger",VLOOKUP($C276,'Upper Cask Critical Path'!$C$135:$F$336,4,FALSE),E276+F275)</f>
        <v>315.46088498158997</v>
      </c>
      <c r="G276" s="862"/>
      <c r="H276" s="1328" t="str">
        <f>IF(D280="operation",VLOOKUP(G276,'Generic Vertical Port Tasks'!C256:D302,2,FALSE),"N/A")</f>
        <v>N/A</v>
      </c>
      <c r="I276" s="1294" t="s">
        <v>1789</v>
      </c>
      <c r="J276" s="1294" t="s">
        <v>858</v>
      </c>
      <c r="K276" s="1294" t="s">
        <v>901</v>
      </c>
      <c r="L276" s="1329">
        <f>IFERROR(INDEX('Upper Cask Movement &amp; Logistics'!$I$24:$O$30,MATCH($J276,'Upper Cask Movement &amp; Logistics'!$H$24:$H$30,0),MATCH($K276,'Upper Cask Movement &amp; Logistics'!$H$24:$H$30,0)),"N/A")</f>
        <v>50</v>
      </c>
      <c r="M276" s="1329">
        <f>IFERROR(VLOOKUP($I276,'Upper Cask Movement &amp; Logistics'!$H$4:$I$8,2,FALSE),"N/A")</f>
        <v>0.02</v>
      </c>
      <c r="N276" s="1330">
        <f>IF(D276="Movement",IFERROR((L276/M276)/(60*60),"Error"),"N/A")</f>
        <v>0.69444444444444442</v>
      </c>
      <c r="O276" s="1331"/>
      <c r="P276" s="1332" t="str">
        <f>IF($D280="Logistics",VLOOKUP($O276,'Upper Cask Movement &amp; Logistics'!$C$4:$D$77,2,FALSE),"N/A")</f>
        <v>N/A</v>
      </c>
    </row>
    <row r="277" spans="2:16" x14ac:dyDescent="0.35">
      <c r="B277" s="3815"/>
      <c r="C277" s="1294" t="s">
        <v>1353</v>
      </c>
      <c r="D277" s="1294" t="s">
        <v>3</v>
      </c>
      <c r="E277" s="1292">
        <f t="shared" si="11"/>
        <v>1.4000000000000001</v>
      </c>
      <c r="F277" s="1292">
        <f>IF($D277="Trigger",VLOOKUP($C277,'Upper Cask Critical Path'!$C$135:$F$336,4,FALSE),E277+F276)</f>
        <v>316.86088498158995</v>
      </c>
      <c r="G277" s="862"/>
      <c r="H277" s="1328" t="str">
        <f>IF(D277="operation",VLOOKUP(G277,'Generic Vertical Port Tasks'!C261:D303,2,FALSE),"N/A")</f>
        <v>N/A</v>
      </c>
      <c r="I277" s="1294"/>
      <c r="J277" s="1294"/>
      <c r="K277" s="1294"/>
      <c r="L277" s="1329" t="str">
        <f>IFERROR(INDEX('Upper Cask Movement &amp; Logistics'!$I$24:$O$30,MATCH($J277,'Upper Cask Movement &amp; Logistics'!$H$24:$H$30,0),MATCH($K277,'Upper Cask Movement &amp; Logistics'!$H$24:$H$30,0)),"N/A")</f>
        <v>N/A</v>
      </c>
      <c r="M277" s="1329" t="str">
        <f>IFERROR(VLOOKUP($I277,'Upper Cask Movement &amp; Logistics'!$H$4:$I$8,2,FALSE),"N/A")</f>
        <v>N/A</v>
      </c>
      <c r="N277" s="1330" t="str">
        <f>IF(D277="Movement",IFERROR((L277/M277)/(60*60),"Error"),"N/A")</f>
        <v>N/A</v>
      </c>
      <c r="O277" s="1331" t="s">
        <v>1277</v>
      </c>
      <c r="P277" s="1332">
        <f>IF($D277="Logistics",VLOOKUP($O277,'Upper Cask Movement &amp; Logistics'!$C$4:$D$77,2,FALSE),"N/A")</f>
        <v>1.4000000000000001</v>
      </c>
    </row>
    <row r="278" spans="2:16" ht="13.3" thickBot="1" x14ac:dyDescent="0.4">
      <c r="B278" s="3816"/>
      <c r="C278" s="1340" t="str">
        <f>B270</f>
        <v xml:space="preserve">Hardware Cask 2 Stored; Hardware Cask 1 Collected; Hardware Cask 1 Docked </v>
      </c>
      <c r="D278" s="1340" t="s">
        <v>11</v>
      </c>
      <c r="E278" s="1295">
        <f t="shared" si="11"/>
        <v>0</v>
      </c>
      <c r="F278" s="1295">
        <f>IF($D278="Trigger",VLOOKUP($C278,'Upper Cask Critical Path'!$C$135:$F$336,4,FALSE),E278+F277)</f>
        <v>316.86088498158995</v>
      </c>
      <c r="G278" s="839"/>
      <c r="H278" s="1341" t="str">
        <f>IF(D278="operation",VLOOKUP(G278,'Generic Vertical Port Tasks'!C262:D304,2,FALSE),"N/A")</f>
        <v>N/A</v>
      </c>
      <c r="I278" s="1340"/>
      <c r="J278" s="1340"/>
      <c r="K278" s="1340"/>
      <c r="L278" s="1342" t="str">
        <f>IFERROR(INDEX('Upper Cask Movement &amp; Logistics'!$I$24:$O$30,MATCH($J278,'Upper Cask Movement &amp; Logistics'!$H$24:$H$30,0),MATCH($K278,'Upper Cask Movement &amp; Logistics'!$H$24:$H$30,0)),"N/A")</f>
        <v>N/A</v>
      </c>
      <c r="M278" s="1342" t="str">
        <f>IFERROR(VLOOKUP($I278,'Upper Cask Movement &amp; Logistics'!$H$4:$I$8,2,FALSE),"N/A")</f>
        <v>N/A</v>
      </c>
      <c r="N278" s="1343" t="str">
        <f>IF(D278="Movement",IFERROR((L278/M278)/(60*60),"Error"),"N/A")</f>
        <v>N/A</v>
      </c>
      <c r="O278" s="1344"/>
      <c r="P278" s="1345" t="str">
        <f>IF($D278="Logistics",VLOOKUP($O278,'Upper Cask Movement &amp; Logistics'!$C$4:$D$77,2,FALSE),"N/A")</f>
        <v>N/A</v>
      </c>
    </row>
  </sheetData>
  <autoFilter ref="B3:P156"/>
  <customSheetViews>
    <customSheetView guid="{9C0AA20B-B2A2-4A2C-B279-4A5988F4E71A}" showAutoFilter="1" hiddenColumns="1" state="hidden">
      <selection activeCell="U23" sqref="U23"/>
      <pageMargins left="0.7" right="0.7" top="0.75" bottom="0.75" header="0.3" footer="0.3"/>
      <autoFilter ref="B3:P135"/>
    </customSheetView>
  </customSheetViews>
  <mergeCells count="41">
    <mergeCell ref="B270:B278"/>
    <mergeCell ref="B189:B195"/>
    <mergeCell ref="B196:B202"/>
    <mergeCell ref="B203:B214"/>
    <mergeCell ref="B215:B221"/>
    <mergeCell ref="B222:B228"/>
    <mergeCell ref="B229:B235"/>
    <mergeCell ref="B236:B242"/>
    <mergeCell ref="B243:B251"/>
    <mergeCell ref="B252:B260"/>
    <mergeCell ref="B261:B269"/>
    <mergeCell ref="B182:B188"/>
    <mergeCell ref="B113:B115"/>
    <mergeCell ref="B116:B118"/>
    <mergeCell ref="B119:B121"/>
    <mergeCell ref="B122:B128"/>
    <mergeCell ref="B129:B135"/>
    <mergeCell ref="B136:B142"/>
    <mergeCell ref="B143:B149"/>
    <mergeCell ref="B150:B156"/>
    <mergeCell ref="B161:B167"/>
    <mergeCell ref="B168:B174"/>
    <mergeCell ref="B175:B181"/>
    <mergeCell ref="B110:B112"/>
    <mergeCell ref="B24:B34"/>
    <mergeCell ref="B35:B45"/>
    <mergeCell ref="B46:B54"/>
    <mergeCell ref="B55:B61"/>
    <mergeCell ref="B62:B68"/>
    <mergeCell ref="B69:B75"/>
    <mergeCell ref="B76:B82"/>
    <mergeCell ref="B83:B93"/>
    <mergeCell ref="B94:B98"/>
    <mergeCell ref="B99:B106"/>
    <mergeCell ref="B107:B109"/>
    <mergeCell ref="B13:B23"/>
    <mergeCell ref="G2:H2"/>
    <mergeCell ref="I2:N2"/>
    <mergeCell ref="O2:P2"/>
    <mergeCell ref="B4:B6"/>
    <mergeCell ref="B7:B12"/>
  </mergeCells>
  <conditionalFormatting sqref="D1:D1048576">
    <cfRule type="cellIs" dxfId="507" priority="120" stopIfTrue="1" operator="equal">
      <formula>"Operation"</formula>
    </cfRule>
  </conditionalFormatting>
  <conditionalFormatting sqref="C1:D1048576">
    <cfRule type="cellIs" dxfId="506" priority="119" stopIfTrue="1" operator="equal">
      <formula>"Total"</formula>
    </cfRule>
    <cfRule type="expression" dxfId="505" priority="121" stopIfTrue="1">
      <formula>$D1="Trigger"</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B1:P81"/>
  <sheetViews>
    <sheetView workbookViewId="0">
      <selection activeCell="U23" sqref="U23"/>
    </sheetView>
  </sheetViews>
  <sheetFormatPr defaultColWidth="9.15234375" defaultRowHeight="12.9" x14ac:dyDescent="0.35"/>
  <cols>
    <col min="1" max="1" width="9.15234375" style="89"/>
    <col min="2" max="2" width="33.15234375" style="89" bestFit="1" customWidth="1"/>
    <col min="3" max="3" width="32" style="89" customWidth="1"/>
    <col min="4" max="4" width="9.15234375" style="89"/>
    <col min="5" max="7" width="9.53515625" style="89" customWidth="1"/>
    <col min="8" max="8" width="23.15234375" style="89" bestFit="1" customWidth="1"/>
    <col min="9" max="9" width="22.69140625" style="89" bestFit="1" customWidth="1"/>
    <col min="10" max="10" width="18.15234375" style="89" customWidth="1"/>
    <col min="11" max="11" width="15.15234375" style="89" bestFit="1" customWidth="1"/>
    <col min="12" max="13" width="13.3046875" style="89" bestFit="1" customWidth="1"/>
    <col min="14" max="14" width="12.53515625" style="89" bestFit="1" customWidth="1"/>
    <col min="15" max="15" width="17.3828125" style="89" bestFit="1" customWidth="1"/>
    <col min="16" max="16" width="14.84375" style="89" bestFit="1" customWidth="1"/>
    <col min="17" max="16384" width="9.15234375" style="89"/>
  </cols>
  <sheetData>
    <row r="1" spans="2:9" ht="13.3" thickBot="1" x14ac:dyDescent="0.4"/>
    <row r="2" spans="2:9" ht="13.3" thickBot="1" x14ac:dyDescent="0.4">
      <c r="B2" s="935" t="s">
        <v>1000</v>
      </c>
      <c r="C2" s="936"/>
      <c r="D2" s="1385"/>
      <c r="H2" s="3780" t="s">
        <v>1001</v>
      </c>
      <c r="I2" s="3782"/>
    </row>
    <row r="3" spans="2:9" ht="13.3" thickBot="1" x14ac:dyDescent="0.4">
      <c r="B3" s="1386" t="s">
        <v>781</v>
      </c>
      <c r="C3" s="97" t="s">
        <v>1002</v>
      </c>
      <c r="D3" s="98" t="s">
        <v>2</v>
      </c>
      <c r="H3" s="1386" t="s">
        <v>786</v>
      </c>
      <c r="I3" s="98" t="s">
        <v>790</v>
      </c>
    </row>
    <row r="4" spans="2:9" ht="13.3" thickBot="1" x14ac:dyDescent="0.4">
      <c r="B4" s="1387" t="s">
        <v>1208</v>
      </c>
      <c r="C4" s="1388" t="str">
        <f>B4</f>
        <v>Deploy Equipment from Store</v>
      </c>
      <c r="D4" s="1389">
        <v>0.5</v>
      </c>
      <c r="H4" s="91" t="s">
        <v>857</v>
      </c>
      <c r="I4" s="99">
        <f>loaded_crane_spd</f>
        <v>0.02</v>
      </c>
    </row>
    <row r="5" spans="2:9" x14ac:dyDescent="0.35">
      <c r="B5" s="3978" t="s">
        <v>1424</v>
      </c>
      <c r="C5" s="1390" t="s">
        <v>1004</v>
      </c>
      <c r="D5" s="99">
        <v>0.28000000000000003</v>
      </c>
      <c r="H5" s="92" t="s">
        <v>798</v>
      </c>
      <c r="I5" s="100">
        <f>unloaded_crane_spd</f>
        <v>0.2</v>
      </c>
    </row>
    <row r="6" spans="2:9" ht="15" customHeight="1" x14ac:dyDescent="0.35">
      <c r="B6" s="3979"/>
      <c r="C6" s="101" t="s">
        <v>1425</v>
      </c>
      <c r="D6" s="1391">
        <v>0.2</v>
      </c>
      <c r="H6" s="2427" t="s">
        <v>2500</v>
      </c>
      <c r="I6" s="100">
        <f>empty_cask_transporter_spd</f>
        <v>0.06</v>
      </c>
    </row>
    <row r="7" spans="2:9" ht="15.75" customHeight="1" thickBot="1" x14ac:dyDescent="0.4">
      <c r="B7" s="3979"/>
      <c r="C7" s="1392" t="s">
        <v>1426</v>
      </c>
      <c r="D7" s="100">
        <v>0.2</v>
      </c>
      <c r="H7" s="92" t="s">
        <v>1789</v>
      </c>
      <c r="I7" s="100">
        <f>loaded_cask_transporter_spd</f>
        <v>0.02</v>
      </c>
    </row>
    <row r="8" spans="2:9" ht="15.75" customHeight="1" thickBot="1" x14ac:dyDescent="0.4">
      <c r="B8" s="3980"/>
      <c r="C8" s="1394" t="str">
        <f>B5</f>
        <v>Collect Bioshield / Equipment Platform</v>
      </c>
      <c r="D8" s="1389">
        <f>SUM(D5:D7)</f>
        <v>0.68</v>
      </c>
      <c r="H8" s="93" t="s">
        <v>2508</v>
      </c>
      <c r="I8" s="1393">
        <f>unloaded_cask_transporter_spd</f>
        <v>0.2</v>
      </c>
    </row>
    <row r="9" spans="2:9" x14ac:dyDescent="0.35">
      <c r="B9" s="3978" t="s">
        <v>1331</v>
      </c>
      <c r="C9" s="1390" t="s">
        <v>1004</v>
      </c>
      <c r="D9" s="99">
        <v>0.28000000000000003</v>
      </c>
    </row>
    <row r="10" spans="2:9" ht="15.75" customHeight="1" thickBot="1" x14ac:dyDescent="0.4">
      <c r="B10" s="3979"/>
      <c r="C10" s="101" t="s">
        <v>1427</v>
      </c>
      <c r="D10" s="1391">
        <v>0.2</v>
      </c>
    </row>
    <row r="11" spans="2:9" ht="15.75" customHeight="1" thickBot="1" x14ac:dyDescent="0.4">
      <c r="B11" s="3980"/>
      <c r="C11" s="1394" t="str">
        <f>B9</f>
        <v>Collect Cask</v>
      </c>
      <c r="D11" s="1389">
        <f>SUM(D9:D10)</f>
        <v>0.48000000000000004</v>
      </c>
    </row>
    <row r="12" spans="2:9" x14ac:dyDescent="0.35">
      <c r="B12" s="3978" t="s">
        <v>1330</v>
      </c>
      <c r="C12" s="1390" t="s">
        <v>1004</v>
      </c>
      <c r="D12" s="99">
        <v>0.28000000000000003</v>
      </c>
    </row>
    <row r="13" spans="2:9" ht="15.75" customHeight="1" thickBot="1" x14ac:dyDescent="0.4">
      <c r="B13" s="3979"/>
      <c r="C13" s="101" t="s">
        <v>1428</v>
      </c>
      <c r="D13" s="1391">
        <v>0.2</v>
      </c>
    </row>
    <row r="14" spans="2:9" ht="15.75" customHeight="1" thickBot="1" x14ac:dyDescent="0.4">
      <c r="B14" s="3980"/>
      <c r="C14" s="1394" t="str">
        <f>B12</f>
        <v>Store Cask</v>
      </c>
      <c r="D14" s="1389">
        <f>SUM(D12:D13)</f>
        <v>0.48000000000000004</v>
      </c>
    </row>
    <row r="15" spans="2:9" x14ac:dyDescent="0.35">
      <c r="B15" s="3975" t="s">
        <v>1218</v>
      </c>
      <c r="C15" s="80" t="s">
        <v>1429</v>
      </c>
      <c r="D15" s="99">
        <v>0.2</v>
      </c>
    </row>
    <row r="16" spans="2:9" ht="15" customHeight="1" x14ac:dyDescent="0.35">
      <c r="B16" s="3976"/>
      <c r="C16" s="102" t="s">
        <v>264</v>
      </c>
      <c r="D16" s="1391">
        <v>0.3</v>
      </c>
    </row>
    <row r="17" spans="2:16" ht="15" customHeight="1" x14ac:dyDescent="0.35">
      <c r="B17" s="3976"/>
      <c r="C17" s="102" t="s">
        <v>265</v>
      </c>
      <c r="D17" s="1391">
        <v>0.3</v>
      </c>
    </row>
    <row r="18" spans="2:16" ht="15" customHeight="1" x14ac:dyDescent="0.35">
      <c r="B18" s="3976"/>
      <c r="C18" s="102" t="s">
        <v>1430</v>
      </c>
      <c r="D18" s="1391">
        <v>0.5</v>
      </c>
    </row>
    <row r="19" spans="2:16" ht="15" customHeight="1" x14ac:dyDescent="0.35">
      <c r="B19" s="3976"/>
      <c r="C19" s="102" t="s">
        <v>1431</v>
      </c>
      <c r="D19" s="1391">
        <v>0.1</v>
      </c>
    </row>
    <row r="20" spans="2:16" ht="15" customHeight="1" x14ac:dyDescent="0.35">
      <c r="B20" s="3976"/>
      <c r="C20" s="102" t="s">
        <v>1432</v>
      </c>
      <c r="D20" s="1391">
        <v>1</v>
      </c>
    </row>
    <row r="21" spans="2:16" ht="15.75" customHeight="1" thickBot="1" x14ac:dyDescent="0.4">
      <c r="B21" s="3976"/>
      <c r="C21" s="102" t="s">
        <v>1433</v>
      </c>
      <c r="D21" s="1391">
        <v>1</v>
      </c>
    </row>
    <row r="22" spans="2:16" ht="15.75" customHeight="1" thickBot="1" x14ac:dyDescent="0.4">
      <c r="B22" s="3976"/>
      <c r="C22" s="83" t="s">
        <v>1434</v>
      </c>
      <c r="D22" s="100">
        <v>0.5</v>
      </c>
      <c r="G22" s="1395"/>
      <c r="H22" s="3780" t="s">
        <v>1019</v>
      </c>
      <c r="I22" s="3781"/>
      <c r="J22" s="3781"/>
      <c r="K22" s="3781"/>
      <c r="L22" s="3781"/>
      <c r="M22" s="3781"/>
      <c r="N22" s="3781"/>
      <c r="O22" s="3782"/>
    </row>
    <row r="23" spans="2:16" ht="39.75" customHeight="1" thickBot="1" x14ac:dyDescent="0.4">
      <c r="B23" s="3977"/>
      <c r="C23" s="1388" t="str">
        <f>B15</f>
        <v>Dock Maintenance Cask</v>
      </c>
      <c r="D23" s="1389">
        <f>SUM(D15:D22)</f>
        <v>3.9000000000000004</v>
      </c>
      <c r="H23" s="1396" t="s">
        <v>1435</v>
      </c>
      <c r="I23" s="20" t="str">
        <f>H24</f>
        <v>Equipment Stillage</v>
      </c>
      <c r="J23" s="20" t="str">
        <f>H25</f>
        <v>Vertical Port</v>
      </c>
      <c r="K23" s="20" t="str">
        <f>H26</f>
        <v>Hardware Stillage</v>
      </c>
      <c r="L23" s="20" t="str">
        <f>H27</f>
        <v>AMF Equipment Issue</v>
      </c>
      <c r="M23" s="20" t="str">
        <f>H28</f>
        <v>AMF Equipment Receipt</v>
      </c>
      <c r="N23" s="1397" t="str">
        <f>H29</f>
        <v>AMF Hardware Receipt</v>
      </c>
      <c r="O23" s="80" t="s">
        <v>858</v>
      </c>
      <c r="P23" s="99" t="s">
        <v>1436</v>
      </c>
    </row>
    <row r="24" spans="2:16" x14ac:dyDescent="0.35">
      <c r="B24" s="3975" t="s">
        <v>1224</v>
      </c>
      <c r="C24" s="80" t="s">
        <v>1437</v>
      </c>
      <c r="D24" s="99">
        <v>0.2</v>
      </c>
      <c r="H24" s="92" t="s">
        <v>816</v>
      </c>
      <c r="I24" s="1398"/>
      <c r="J24" s="1399">
        <f>I25</f>
        <v>5</v>
      </c>
      <c r="K24" s="1399">
        <f>I26</f>
        <v>5</v>
      </c>
      <c r="L24" s="1399">
        <f>I27</f>
        <v>50</v>
      </c>
      <c r="M24" s="1399">
        <f>I28</f>
        <v>50</v>
      </c>
      <c r="N24" s="1399">
        <f>I29</f>
        <v>50</v>
      </c>
      <c r="O24" s="1399">
        <f>I30</f>
        <v>50</v>
      </c>
      <c r="P24" s="1400">
        <f>I31</f>
        <v>25</v>
      </c>
    </row>
    <row r="25" spans="2:16" ht="15" customHeight="1" x14ac:dyDescent="0.35">
      <c r="B25" s="3976"/>
      <c r="C25" s="102" t="s">
        <v>264</v>
      </c>
      <c r="D25" s="1391">
        <v>0.3</v>
      </c>
      <c r="H25" s="92" t="s">
        <v>452</v>
      </c>
      <c r="I25" s="1401">
        <v>5</v>
      </c>
      <c r="J25" s="1398"/>
      <c r="K25" s="1399">
        <f>J26</f>
        <v>5</v>
      </c>
      <c r="L25" s="1399">
        <f>J27</f>
        <v>50</v>
      </c>
      <c r="M25" s="1399">
        <f>J28</f>
        <v>50</v>
      </c>
      <c r="N25" s="1399">
        <f>J29</f>
        <v>50</v>
      </c>
      <c r="O25" s="1399">
        <f>J31</f>
        <v>30</v>
      </c>
      <c r="P25" s="1402">
        <f>J31</f>
        <v>30</v>
      </c>
    </row>
    <row r="26" spans="2:16" ht="15" customHeight="1" x14ac:dyDescent="0.35">
      <c r="B26" s="3976"/>
      <c r="C26" s="102" t="s">
        <v>265</v>
      </c>
      <c r="D26" s="1391">
        <v>0.3</v>
      </c>
      <c r="H26" s="92" t="s">
        <v>901</v>
      </c>
      <c r="I26" s="1401">
        <v>5</v>
      </c>
      <c r="J26" s="1401">
        <v>5</v>
      </c>
      <c r="K26" s="1398"/>
      <c r="L26" s="1399">
        <f>K27</f>
        <v>50</v>
      </c>
      <c r="M26" s="1399">
        <f>K28</f>
        <v>50</v>
      </c>
      <c r="N26" s="1399">
        <f>K29</f>
        <v>50</v>
      </c>
      <c r="O26" s="1399">
        <f>K31</f>
        <v>25</v>
      </c>
      <c r="P26" s="1402">
        <f>K31</f>
        <v>25</v>
      </c>
    </row>
    <row r="27" spans="2:16" ht="15" customHeight="1" x14ac:dyDescent="0.35">
      <c r="B27" s="3976"/>
      <c r="C27" s="102" t="s">
        <v>1430</v>
      </c>
      <c r="D27" s="1391">
        <v>0.5</v>
      </c>
      <c r="H27" s="92" t="s">
        <v>799</v>
      </c>
      <c r="I27" s="1401">
        <v>50</v>
      </c>
      <c r="J27" s="1401">
        <v>50</v>
      </c>
      <c r="K27" s="1401">
        <v>50</v>
      </c>
      <c r="L27" s="1398"/>
      <c r="M27" s="1399">
        <f>L28</f>
        <v>20</v>
      </c>
      <c r="N27" s="1399">
        <f>L29</f>
        <v>20</v>
      </c>
      <c r="O27" s="1399">
        <f>L31</f>
        <v>20</v>
      </c>
      <c r="P27" s="1402">
        <f>L31</f>
        <v>20</v>
      </c>
    </row>
    <row r="28" spans="2:16" ht="15" customHeight="1" x14ac:dyDescent="0.35">
      <c r="B28" s="3976"/>
      <c r="C28" s="102" t="s">
        <v>1431</v>
      </c>
      <c r="D28" s="1391">
        <v>0.1</v>
      </c>
      <c r="H28" s="92" t="s">
        <v>914</v>
      </c>
      <c r="I28" s="1401">
        <v>50</v>
      </c>
      <c r="J28" s="1401">
        <v>50</v>
      </c>
      <c r="K28" s="1401">
        <v>50</v>
      </c>
      <c r="L28" s="1401">
        <v>20</v>
      </c>
      <c r="M28" s="1398"/>
      <c r="N28" s="1399">
        <f>M29</f>
        <v>20</v>
      </c>
      <c r="O28" s="1399">
        <f>M31</f>
        <v>20</v>
      </c>
      <c r="P28" s="1402">
        <f>M31</f>
        <v>20</v>
      </c>
    </row>
    <row r="29" spans="2:16" ht="15" customHeight="1" x14ac:dyDescent="0.35">
      <c r="B29" s="3976"/>
      <c r="C29" s="102" t="s">
        <v>1438</v>
      </c>
      <c r="D29" s="1391">
        <v>0.19</v>
      </c>
      <c r="H29" s="92" t="s">
        <v>831</v>
      </c>
      <c r="I29" s="1401">
        <v>50</v>
      </c>
      <c r="J29" s="1401">
        <v>50</v>
      </c>
      <c r="K29" s="1401">
        <v>50</v>
      </c>
      <c r="L29" s="1401">
        <v>20</v>
      </c>
      <c r="M29" s="1401">
        <v>20</v>
      </c>
      <c r="N29" s="1398"/>
      <c r="O29" s="1399">
        <f>N31</f>
        <v>20</v>
      </c>
      <c r="P29" s="1402">
        <f>N31</f>
        <v>20</v>
      </c>
    </row>
    <row r="30" spans="2:16" ht="15.75" customHeight="1" thickBot="1" x14ac:dyDescent="0.4">
      <c r="B30" s="3976"/>
      <c r="C30" s="102" t="s">
        <v>1439</v>
      </c>
      <c r="D30" s="1391">
        <v>0.05</v>
      </c>
      <c r="H30" s="1403" t="s">
        <v>858</v>
      </c>
      <c r="I30" s="1401">
        <v>50</v>
      </c>
      <c r="J30" s="1401">
        <v>50</v>
      </c>
      <c r="K30" s="1401">
        <v>50</v>
      </c>
      <c r="L30" s="1401">
        <v>20</v>
      </c>
      <c r="M30" s="1401">
        <v>20</v>
      </c>
      <c r="N30" s="1401">
        <v>10</v>
      </c>
      <c r="O30" s="1404"/>
      <c r="P30" s="1402">
        <f>O31</f>
        <v>50</v>
      </c>
    </row>
    <row r="31" spans="2:16" ht="15.75" customHeight="1" thickBot="1" x14ac:dyDescent="0.4">
      <c r="B31" s="3977"/>
      <c r="C31" s="1388" t="str">
        <f>B24</f>
        <v>Dock Equipment Cask</v>
      </c>
      <c r="D31" s="1389">
        <f>SUM(D24:D30)</f>
        <v>1.6400000000000001</v>
      </c>
      <c r="H31" s="93" t="s">
        <v>1436</v>
      </c>
      <c r="I31" s="1405">
        <v>25</v>
      </c>
      <c r="J31" s="1405">
        <v>30</v>
      </c>
      <c r="K31" s="1405">
        <v>25</v>
      </c>
      <c r="L31" s="1405">
        <v>20</v>
      </c>
      <c r="M31" s="1405">
        <v>20</v>
      </c>
      <c r="N31" s="1405">
        <v>20</v>
      </c>
      <c r="O31" s="1405">
        <v>50</v>
      </c>
      <c r="P31" s="1404"/>
    </row>
    <row r="32" spans="2:16" x14ac:dyDescent="0.35">
      <c r="B32" s="3975" t="s">
        <v>1260</v>
      </c>
      <c r="C32" s="80" t="s">
        <v>1440</v>
      </c>
      <c r="D32" s="99">
        <v>0.05</v>
      </c>
    </row>
    <row r="33" spans="2:10" ht="15" customHeight="1" x14ac:dyDescent="0.35">
      <c r="B33" s="3976"/>
      <c r="C33" s="102" t="s">
        <v>1441</v>
      </c>
      <c r="D33" s="1391">
        <v>0.19</v>
      </c>
    </row>
    <row r="34" spans="2:10" ht="15" customHeight="1" x14ac:dyDescent="0.35">
      <c r="B34" s="3976"/>
      <c r="C34" s="102" t="s">
        <v>1442</v>
      </c>
      <c r="D34" s="1391">
        <v>0.5</v>
      </c>
    </row>
    <row r="35" spans="2:10" ht="15" customHeight="1" x14ac:dyDescent="0.35">
      <c r="B35" s="3976"/>
      <c r="C35" s="102" t="s">
        <v>1443</v>
      </c>
      <c r="D35" s="1391">
        <v>0.3</v>
      </c>
    </row>
    <row r="36" spans="2:10" ht="15.75" customHeight="1" thickBot="1" x14ac:dyDescent="0.4">
      <c r="B36" s="3976"/>
      <c r="C36" s="102" t="s">
        <v>1444</v>
      </c>
      <c r="D36" s="1391">
        <v>0.3</v>
      </c>
    </row>
    <row r="37" spans="2:10" ht="15.75" customHeight="1" thickBot="1" x14ac:dyDescent="0.4">
      <c r="B37" s="3976"/>
      <c r="C37" s="102" t="s">
        <v>1018</v>
      </c>
      <c r="D37" s="1391">
        <v>0.1</v>
      </c>
      <c r="G37" s="3981" t="s">
        <v>1445</v>
      </c>
      <c r="H37" s="3982"/>
      <c r="I37" s="3982"/>
      <c r="J37" s="3983"/>
    </row>
    <row r="38" spans="2:10" ht="15" customHeight="1" x14ac:dyDescent="0.35">
      <c r="B38" s="3976"/>
      <c r="C38" s="102" t="s">
        <v>1446</v>
      </c>
      <c r="D38" s="1391">
        <v>1</v>
      </c>
      <c r="G38" s="1406" t="s">
        <v>30</v>
      </c>
      <c r="H38" s="1017" t="s">
        <v>29</v>
      </c>
      <c r="I38" s="1017" t="s">
        <v>12</v>
      </c>
      <c r="J38" s="1407" t="s">
        <v>1447</v>
      </c>
    </row>
    <row r="39" spans="2:10" ht="15.75" customHeight="1" thickBot="1" x14ac:dyDescent="0.4">
      <c r="B39" s="3976"/>
      <c r="C39" s="83" t="s">
        <v>1448</v>
      </c>
      <c r="D39" s="100">
        <v>0.1</v>
      </c>
      <c r="G39" s="1406" t="s">
        <v>31</v>
      </c>
      <c r="H39" s="1017" t="s">
        <v>1449</v>
      </c>
      <c r="I39" s="1017" t="s">
        <v>1450</v>
      </c>
      <c r="J39" s="1407" t="s">
        <v>1451</v>
      </c>
    </row>
    <row r="40" spans="2:10" ht="15.75" customHeight="1" thickBot="1" x14ac:dyDescent="0.4">
      <c r="B40" s="3977"/>
      <c r="C40" s="1388" t="str">
        <f>B32</f>
        <v>Un-Dock Equipment Cask</v>
      </c>
      <c r="D40" s="1389">
        <f>SUM(D32:D39)</f>
        <v>2.5400000000000005</v>
      </c>
      <c r="G40" s="1408" t="s">
        <v>32</v>
      </c>
      <c r="H40" s="1409" t="s">
        <v>1205</v>
      </c>
      <c r="I40" s="1409"/>
      <c r="J40" s="1410"/>
    </row>
    <row r="41" spans="2:10" x14ac:dyDescent="0.35">
      <c r="B41" s="3975" t="s">
        <v>1277</v>
      </c>
      <c r="C41" s="80" t="s">
        <v>1437</v>
      </c>
      <c r="D41" s="99">
        <v>0.2</v>
      </c>
    </row>
    <row r="42" spans="2:10" ht="15" customHeight="1" x14ac:dyDescent="0.35">
      <c r="B42" s="3976"/>
      <c r="C42" s="102" t="s">
        <v>264</v>
      </c>
      <c r="D42" s="1391">
        <v>0.3</v>
      </c>
    </row>
    <row r="43" spans="2:10" ht="15" customHeight="1" x14ac:dyDescent="0.35">
      <c r="B43" s="3976"/>
      <c r="C43" s="102" t="s">
        <v>265</v>
      </c>
      <c r="D43" s="1391">
        <v>0.3</v>
      </c>
    </row>
    <row r="44" spans="2:10" ht="15" customHeight="1" x14ac:dyDescent="0.35">
      <c r="B44" s="3976"/>
      <c r="C44" s="102" t="s">
        <v>1430</v>
      </c>
      <c r="D44" s="1391">
        <v>0.5</v>
      </c>
    </row>
    <row r="45" spans="2:10" ht="15.75" customHeight="1" thickBot="1" x14ac:dyDescent="0.4">
      <c r="B45" s="3976"/>
      <c r="C45" s="102" t="s">
        <v>1431</v>
      </c>
      <c r="D45" s="1391">
        <v>0.1</v>
      </c>
    </row>
    <row r="46" spans="2:10" ht="15.75" customHeight="1" thickBot="1" x14ac:dyDescent="0.4">
      <c r="B46" s="3977"/>
      <c r="C46" s="1388" t="str">
        <f>B41</f>
        <v>Dock Hardware Cask</v>
      </c>
      <c r="D46" s="1389">
        <f>SUM(D41:D45)</f>
        <v>1.4000000000000001</v>
      </c>
    </row>
    <row r="47" spans="2:10" x14ac:dyDescent="0.35">
      <c r="B47" s="3975" t="s">
        <v>1269</v>
      </c>
      <c r="C47" s="102" t="s">
        <v>1442</v>
      </c>
      <c r="D47" s="1391">
        <v>0.5</v>
      </c>
    </row>
    <row r="48" spans="2:10" ht="15" customHeight="1" x14ac:dyDescent="0.35">
      <c r="B48" s="3976"/>
      <c r="C48" s="102" t="s">
        <v>1443</v>
      </c>
      <c r="D48" s="1391">
        <v>0.3</v>
      </c>
    </row>
    <row r="49" spans="2:4" ht="15" customHeight="1" x14ac:dyDescent="0.35">
      <c r="B49" s="3976"/>
      <c r="C49" s="102" t="s">
        <v>1444</v>
      </c>
      <c r="D49" s="1391">
        <v>0.3</v>
      </c>
    </row>
    <row r="50" spans="2:4" ht="15" customHeight="1" x14ac:dyDescent="0.35">
      <c r="B50" s="3976"/>
      <c r="C50" s="102" t="s">
        <v>1018</v>
      </c>
      <c r="D50" s="1391">
        <v>0.1</v>
      </c>
    </row>
    <row r="51" spans="2:4" ht="15" customHeight="1" x14ac:dyDescent="0.35">
      <c r="B51" s="3976"/>
      <c r="C51" s="102" t="s">
        <v>1446</v>
      </c>
      <c r="D51" s="1391">
        <v>1</v>
      </c>
    </row>
    <row r="52" spans="2:4" ht="15.75" customHeight="1" thickBot="1" x14ac:dyDescent="0.4">
      <c r="B52" s="3976"/>
      <c r="C52" s="83" t="s">
        <v>1448</v>
      </c>
      <c r="D52" s="100">
        <v>0.1</v>
      </c>
    </row>
    <row r="53" spans="2:4" ht="15.75" customHeight="1" thickBot="1" x14ac:dyDescent="0.4">
      <c r="B53" s="3977"/>
      <c r="C53" s="1388" t="str">
        <f>B47</f>
        <v>Un-Dock Hardware Cask</v>
      </c>
      <c r="D53" s="1389">
        <f>SUM(D47:D52)</f>
        <v>2.3000000000000003</v>
      </c>
    </row>
    <row r="54" spans="2:4" x14ac:dyDescent="0.35">
      <c r="B54" s="3975" t="s">
        <v>1452</v>
      </c>
      <c r="C54" s="80" t="s">
        <v>1440</v>
      </c>
      <c r="D54" s="99">
        <v>0.05</v>
      </c>
    </row>
    <row r="55" spans="2:4" ht="15" customHeight="1" x14ac:dyDescent="0.35">
      <c r="B55" s="3976"/>
      <c r="C55" s="102" t="s">
        <v>1441</v>
      </c>
      <c r="D55" s="1391">
        <v>0.19</v>
      </c>
    </row>
    <row r="56" spans="2:4" ht="15" customHeight="1" x14ac:dyDescent="0.35">
      <c r="B56" s="3976"/>
      <c r="C56" s="102" t="s">
        <v>1442</v>
      </c>
      <c r="D56" s="1391">
        <v>0.5</v>
      </c>
    </row>
    <row r="57" spans="2:4" ht="15" customHeight="1" x14ac:dyDescent="0.35">
      <c r="B57" s="3976"/>
      <c r="C57" s="102" t="s">
        <v>1443</v>
      </c>
      <c r="D57" s="1391">
        <v>0.3</v>
      </c>
    </row>
    <row r="58" spans="2:4" ht="15" customHeight="1" x14ac:dyDescent="0.35">
      <c r="B58" s="3976"/>
      <c r="C58" s="102" t="s">
        <v>1444</v>
      </c>
      <c r="D58" s="1391">
        <v>0.3</v>
      </c>
    </row>
    <row r="59" spans="2:4" ht="15" customHeight="1" x14ac:dyDescent="0.35">
      <c r="B59" s="3976"/>
      <c r="C59" s="102" t="s">
        <v>1018</v>
      </c>
      <c r="D59" s="1391">
        <v>0.1</v>
      </c>
    </row>
    <row r="60" spans="2:4" ht="15" customHeight="1" x14ac:dyDescent="0.35">
      <c r="B60" s="3976"/>
      <c r="C60" s="102" t="s">
        <v>1446</v>
      </c>
      <c r="D60" s="1391">
        <v>1</v>
      </c>
    </row>
    <row r="61" spans="2:4" ht="15.75" customHeight="1" thickBot="1" x14ac:dyDescent="0.4">
      <c r="B61" s="3976"/>
      <c r="C61" s="83" t="s">
        <v>1448</v>
      </c>
      <c r="D61" s="100">
        <v>0.1</v>
      </c>
    </row>
    <row r="62" spans="2:4" ht="15.75" customHeight="1" thickBot="1" x14ac:dyDescent="0.4">
      <c r="B62" s="3977"/>
      <c r="C62" s="1388" t="str">
        <f>B54</f>
        <v>Un-dock Maintenance Cask</v>
      </c>
      <c r="D62" s="1389">
        <f>SUM(D54:D61)</f>
        <v>2.5400000000000005</v>
      </c>
    </row>
    <row r="63" spans="2:4" x14ac:dyDescent="0.35">
      <c r="B63" s="3975" t="s">
        <v>1226</v>
      </c>
      <c r="C63" s="80" t="s">
        <v>1453</v>
      </c>
      <c r="D63" s="99">
        <v>0.28000000000000003</v>
      </c>
    </row>
    <row r="64" spans="2:4" x14ac:dyDescent="0.35">
      <c r="B64" s="3976"/>
      <c r="C64" s="102" t="s">
        <v>1454</v>
      </c>
      <c r="D64" s="1391">
        <v>0.1</v>
      </c>
    </row>
    <row r="65" spans="2:4" ht="13.3" thickBot="1" x14ac:dyDescent="0.4">
      <c r="B65" s="3976"/>
      <c r="C65" s="83"/>
      <c r="D65" s="100"/>
    </row>
    <row r="66" spans="2:4" ht="13.3" thickBot="1" x14ac:dyDescent="0.4">
      <c r="B66" s="3977"/>
      <c r="C66" s="1388" t="str">
        <f>B63</f>
        <v>Deploy Tool From Equipment Cask</v>
      </c>
      <c r="D66" s="1389">
        <f>SUM(D63:D65)</f>
        <v>0.38</v>
      </c>
    </row>
    <row r="67" spans="2:4" x14ac:dyDescent="0.35">
      <c r="B67" s="3975" t="s">
        <v>1213</v>
      </c>
      <c r="C67" s="1390" t="s">
        <v>1004</v>
      </c>
      <c r="D67" s="99">
        <v>0.28000000000000003</v>
      </c>
    </row>
    <row r="68" spans="2:4" x14ac:dyDescent="0.35">
      <c r="B68" s="3976"/>
      <c r="C68" s="101" t="s">
        <v>1005</v>
      </c>
      <c r="D68" s="1391">
        <v>0.2</v>
      </c>
    </row>
    <row r="69" spans="2:4" ht="13.3" thickBot="1" x14ac:dyDescent="0.4">
      <c r="B69" s="3976"/>
      <c r="C69" s="1392" t="s">
        <v>1021</v>
      </c>
      <c r="D69" s="100">
        <v>0.2</v>
      </c>
    </row>
    <row r="70" spans="2:4" ht="13.3" thickBot="1" x14ac:dyDescent="0.4">
      <c r="B70" s="3977"/>
      <c r="C70" s="1394" t="str">
        <f>B67</f>
        <v>Store Hardware in Storage Location</v>
      </c>
      <c r="D70" s="1389">
        <f>SUM(D67:D69)</f>
        <v>0.68</v>
      </c>
    </row>
    <row r="71" spans="2:4" x14ac:dyDescent="0.35">
      <c r="B71" s="3975" t="s">
        <v>1230</v>
      </c>
      <c r="C71" s="80" t="s">
        <v>1455</v>
      </c>
      <c r="D71" s="99">
        <v>0.28000000000000003</v>
      </c>
    </row>
    <row r="72" spans="2:4" ht="13.3" thickBot="1" x14ac:dyDescent="0.4">
      <c r="B72" s="3976"/>
      <c r="C72" s="102" t="s">
        <v>1456</v>
      </c>
      <c r="D72" s="1391">
        <v>0.1</v>
      </c>
    </row>
    <row r="73" spans="2:4" ht="13.3" thickBot="1" x14ac:dyDescent="0.4">
      <c r="B73" s="3977"/>
      <c r="C73" s="1388" t="str">
        <f>B71</f>
        <v>Store Tool In Equipment Cask</v>
      </c>
      <c r="D73" s="1389">
        <f>SUM(D71:D72)</f>
        <v>0.38</v>
      </c>
    </row>
    <row r="74" spans="2:4" x14ac:dyDescent="0.35">
      <c r="B74" s="3975" t="s">
        <v>1228</v>
      </c>
      <c r="C74" s="80" t="s">
        <v>1457</v>
      </c>
      <c r="D74" s="99">
        <v>0.23</v>
      </c>
    </row>
    <row r="75" spans="2:4" x14ac:dyDescent="0.35">
      <c r="B75" s="3976"/>
      <c r="C75" s="102" t="s">
        <v>1458</v>
      </c>
      <c r="D75" s="1411">
        <v>0.2</v>
      </c>
    </row>
    <row r="76" spans="2:4" ht="13.3" thickBot="1" x14ac:dyDescent="0.4">
      <c r="B76" s="3976"/>
      <c r="C76" s="83" t="s">
        <v>1459</v>
      </c>
      <c r="D76" s="103">
        <v>0.2</v>
      </c>
    </row>
    <row r="77" spans="2:4" ht="13.3" thickBot="1" x14ac:dyDescent="0.4">
      <c r="B77" s="3977"/>
      <c r="C77" s="1388" t="str">
        <f>B74</f>
        <v>Store Hardware in Hardware Cask</v>
      </c>
      <c r="D77" s="1389">
        <f>SUM(D74:D76)</f>
        <v>0.63000000000000012</v>
      </c>
    </row>
    <row r="78" spans="2:4" x14ac:dyDescent="0.35">
      <c r="B78" s="3975" t="s">
        <v>1279</v>
      </c>
      <c r="C78" s="80" t="s">
        <v>1457</v>
      </c>
      <c r="D78" s="99">
        <v>0.2</v>
      </c>
    </row>
    <row r="79" spans="2:4" x14ac:dyDescent="0.35">
      <c r="B79" s="3976"/>
      <c r="C79" s="102" t="s">
        <v>266</v>
      </c>
      <c r="D79" s="1411">
        <v>0.2</v>
      </c>
    </row>
    <row r="80" spans="2:4" ht="13.3" thickBot="1" x14ac:dyDescent="0.4">
      <c r="B80" s="3976"/>
      <c r="C80" s="83" t="s">
        <v>1460</v>
      </c>
      <c r="D80" s="103">
        <v>0.2</v>
      </c>
    </row>
    <row r="81" spans="2:4" ht="13.3" thickBot="1" x14ac:dyDescent="0.4">
      <c r="B81" s="3977"/>
      <c r="C81" s="1388" t="str">
        <f>B78</f>
        <v>Export Hardware from Hardware Cask</v>
      </c>
      <c r="D81" s="1389">
        <f>SUM(D78:D80)</f>
        <v>0.60000000000000009</v>
      </c>
    </row>
  </sheetData>
  <customSheetViews>
    <customSheetView guid="{9C0AA20B-B2A2-4A2C-B279-4A5988F4E71A}" state="hidden">
      <selection activeCell="U23" sqref="U23"/>
      <pageMargins left="0.7" right="0.7" top="0.75" bottom="0.75" header="0.3" footer="0.3"/>
    </customSheetView>
  </customSheetViews>
  <mergeCells count="17">
    <mergeCell ref="B63:B66"/>
    <mergeCell ref="B67:B70"/>
    <mergeCell ref="B71:B73"/>
    <mergeCell ref="B74:B77"/>
    <mergeCell ref="B78:B81"/>
    <mergeCell ref="B54:B62"/>
    <mergeCell ref="H2:I2"/>
    <mergeCell ref="B5:B8"/>
    <mergeCell ref="B9:B11"/>
    <mergeCell ref="B12:B14"/>
    <mergeCell ref="B15:B23"/>
    <mergeCell ref="H22:O22"/>
    <mergeCell ref="B24:B31"/>
    <mergeCell ref="B32:B40"/>
    <mergeCell ref="G37:J37"/>
    <mergeCell ref="B41:B46"/>
    <mergeCell ref="B47:B5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sheetPr>
  <dimension ref="A1:AH564"/>
  <sheetViews>
    <sheetView workbookViewId="0">
      <selection activeCell="U23" sqref="U23"/>
    </sheetView>
  </sheetViews>
  <sheetFormatPr defaultRowHeight="14.6" outlineLevelRow="3" outlineLevelCol="1" x14ac:dyDescent="0.4"/>
  <cols>
    <col min="1" max="1" width="4.69140625" customWidth="1"/>
    <col min="2" max="2" width="5.69140625" customWidth="1"/>
    <col min="3" max="3" width="5.69140625" style="8" customWidth="1"/>
    <col min="4" max="4" width="49.69140625" bestFit="1" customWidth="1"/>
    <col min="5" max="5" width="48.15234375" customWidth="1"/>
    <col min="6" max="6" width="12.69140625" style="688" customWidth="1"/>
    <col min="7" max="7" width="12.69140625" customWidth="1"/>
    <col min="8" max="8" width="16.15234375" customWidth="1"/>
    <col min="9" max="9" width="37.84375" style="89" customWidth="1" outlineLevel="1"/>
    <col min="10" max="10" width="12.69140625" style="177" customWidth="1"/>
    <col min="11" max="11" width="26.15234375" hidden="1" customWidth="1" outlineLevel="1"/>
    <col min="12" max="12" width="23.15234375" hidden="1" customWidth="1" outlineLevel="1"/>
    <col min="13" max="13" width="19.15234375" style="689" hidden="1" customWidth="1" outlineLevel="1"/>
    <col min="14" max="15" width="12.69140625" hidden="1" customWidth="1" outlineLevel="1"/>
    <col min="16" max="16" width="12.69140625" customWidth="1" collapsed="1"/>
    <col min="17" max="17" width="45.53515625" hidden="1" customWidth="1" outlineLevel="1"/>
    <col min="18" max="18" width="23.69140625" customWidth="1" collapsed="1"/>
    <col min="19" max="19" width="63.69140625" style="89" customWidth="1" outlineLevel="1"/>
    <col min="20" max="20" width="13.3828125" style="177" customWidth="1"/>
    <col min="21" max="21" width="12.69140625" customWidth="1"/>
    <col min="22" max="22" width="12.69140625" style="8" customWidth="1"/>
    <col min="23" max="23" width="12.69140625" customWidth="1"/>
    <col min="24" max="25" width="12.69140625" style="177" customWidth="1"/>
    <col min="26" max="26" width="12.69140625" style="290" customWidth="1"/>
    <col min="27" max="27" width="12.69140625" style="177" customWidth="1"/>
    <col min="28" max="28" width="12.69140625" style="8" customWidth="1"/>
    <col min="29"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2:29" s="687" customFormat="1" ht="24.9" x14ac:dyDescent="0.55000000000000004">
      <c r="B1" s="686" t="s">
        <v>1030</v>
      </c>
      <c r="C1" s="686"/>
      <c r="D1" s="686"/>
      <c r="E1" s="79"/>
      <c r="F1" s="79"/>
      <c r="G1" s="79"/>
      <c r="H1" s="79"/>
      <c r="I1" s="79"/>
      <c r="J1" s="79"/>
      <c r="K1" s="79"/>
      <c r="L1" s="79"/>
      <c r="M1" s="79"/>
      <c r="N1" s="79"/>
      <c r="O1" s="79"/>
      <c r="P1" s="79"/>
      <c r="Q1" s="79"/>
      <c r="R1" s="79"/>
      <c r="S1" s="79"/>
      <c r="T1" s="79"/>
      <c r="U1" s="79"/>
      <c r="V1" s="286"/>
      <c r="W1" s="79"/>
      <c r="X1" s="79"/>
      <c r="Y1" s="79"/>
      <c r="Z1" s="6"/>
      <c r="AA1" s="79"/>
      <c r="AB1" s="286"/>
      <c r="AC1" s="79"/>
    </row>
    <row r="2" spans="2:29" ht="15" thickBot="1" x14ac:dyDescent="0.45"/>
    <row r="3" spans="2:29" ht="20.6" thickBot="1" x14ac:dyDescent="0.55000000000000004">
      <c r="B3" s="690" t="s">
        <v>1031</v>
      </c>
      <c r="C3" s="691"/>
      <c r="D3" s="691"/>
      <c r="E3" s="692"/>
      <c r="F3" s="692"/>
      <c r="G3" s="692"/>
      <c r="H3" s="692"/>
      <c r="I3" s="692"/>
      <c r="J3" s="692"/>
      <c r="K3" s="692"/>
      <c r="L3" s="692"/>
      <c r="M3" s="692"/>
      <c r="N3" s="692"/>
      <c r="O3" s="692"/>
      <c r="P3" s="692"/>
      <c r="Q3" s="693"/>
      <c r="R3" s="690" t="s">
        <v>1050</v>
      </c>
      <c r="S3" s="2974"/>
      <c r="U3" s="290"/>
      <c r="V3" s="273"/>
      <c r="W3" s="290"/>
      <c r="X3" s="696"/>
      <c r="Y3" s="696"/>
      <c r="Z3" s="696"/>
      <c r="AC3" s="697"/>
    </row>
    <row r="4" spans="2:29" ht="20.149999999999999" x14ac:dyDescent="0.5">
      <c r="B4" s="698" t="s">
        <v>1033</v>
      </c>
      <c r="C4" s="699"/>
      <c r="D4" s="698"/>
      <c r="E4" s="700"/>
      <c r="F4" s="701"/>
      <c r="G4" s="700"/>
      <c r="H4" s="700"/>
      <c r="I4" s="702"/>
      <c r="J4" s="700"/>
      <c r="K4" s="700"/>
      <c r="L4" s="700"/>
      <c r="M4" s="703"/>
      <c r="N4" s="700"/>
      <c r="O4" s="700"/>
      <c r="P4" s="700"/>
      <c r="Q4" s="700"/>
      <c r="T4" s="290"/>
      <c r="X4" s="290"/>
      <c r="Y4" s="290"/>
      <c r="AA4" s="696"/>
      <c r="AC4" s="697"/>
    </row>
    <row r="5" spans="2:29" x14ac:dyDescent="0.4">
      <c r="B5" s="704" t="s">
        <v>1034</v>
      </c>
      <c r="C5" s="704"/>
      <c r="D5" s="704"/>
    </row>
    <row r="6" spans="2:29" x14ac:dyDescent="0.4">
      <c r="B6" s="704" t="s">
        <v>1035</v>
      </c>
      <c r="C6" s="704"/>
      <c r="D6" s="704"/>
    </row>
    <row r="7" spans="2:29" x14ac:dyDescent="0.4">
      <c r="B7" s="704" t="s">
        <v>1036</v>
      </c>
      <c r="C7" s="704"/>
      <c r="D7" s="704"/>
      <c r="P7" s="7"/>
      <c r="Q7" s="7"/>
      <c r="R7" s="7"/>
    </row>
    <row r="8" spans="2:29" x14ac:dyDescent="0.4">
      <c r="B8" s="704" t="s">
        <v>1037</v>
      </c>
      <c r="C8" s="704"/>
      <c r="D8" s="704"/>
      <c r="M8" s="19"/>
      <c r="N8" s="705"/>
      <c r="O8" s="705"/>
      <c r="P8" s="700"/>
      <c r="Q8" s="700"/>
      <c r="R8" s="700"/>
    </row>
    <row r="9" spans="2:29" x14ac:dyDescent="0.4">
      <c r="B9" s="704" t="s">
        <v>1038</v>
      </c>
      <c r="C9" s="704"/>
      <c r="D9" s="704"/>
      <c r="M9" s="19"/>
      <c r="N9" s="706"/>
      <c r="O9" s="706"/>
      <c r="P9" s="706"/>
      <c r="Q9" s="706"/>
      <c r="R9" s="706"/>
    </row>
    <row r="10" spans="2:29" x14ac:dyDescent="0.4">
      <c r="B10" s="704" t="s">
        <v>1039</v>
      </c>
      <c r="C10" s="704"/>
      <c r="D10" s="704"/>
      <c r="M10" s="707"/>
      <c r="N10" s="290"/>
      <c r="O10" s="290"/>
      <c r="P10" s="290"/>
      <c r="Q10" s="290"/>
      <c r="R10" s="290"/>
    </row>
    <row r="11" spans="2:29" x14ac:dyDescent="0.4">
      <c r="B11" s="704" t="s">
        <v>1040</v>
      </c>
      <c r="C11" s="704"/>
      <c r="D11" s="704"/>
      <c r="M11" s="707"/>
      <c r="N11" s="290"/>
      <c r="O11" s="290"/>
      <c r="P11" s="290"/>
      <c r="Q11" s="290"/>
      <c r="R11" s="290"/>
    </row>
    <row r="12" spans="2:29" x14ac:dyDescent="0.4">
      <c r="B12" s="704" t="s">
        <v>2687</v>
      </c>
      <c r="C12" s="704"/>
      <c r="D12" s="704"/>
      <c r="M12" s="707"/>
      <c r="N12" s="290"/>
      <c r="O12" s="290"/>
      <c r="P12" s="290"/>
      <c r="Q12" s="290"/>
      <c r="R12" s="290"/>
    </row>
    <row r="13" spans="2:29" ht="20.149999999999999" x14ac:dyDescent="0.5">
      <c r="B13" s="698" t="s">
        <v>1041</v>
      </c>
      <c r="C13" s="699"/>
      <c r="D13" s="698"/>
      <c r="M13" s="707"/>
      <c r="N13" s="290"/>
      <c r="O13" s="290"/>
      <c r="P13" s="290"/>
      <c r="Q13" s="290"/>
      <c r="R13" s="290"/>
    </row>
    <row r="14" spans="2:29" x14ac:dyDescent="0.4">
      <c r="B14" s="704" t="s">
        <v>2512</v>
      </c>
      <c r="C14" s="704"/>
      <c r="D14" s="704"/>
      <c r="M14" s="707"/>
      <c r="N14" s="290"/>
      <c r="O14" s="290"/>
      <c r="P14" s="290"/>
      <c r="Q14" s="290"/>
      <c r="R14" s="290"/>
    </row>
    <row r="15" spans="2:29" x14ac:dyDescent="0.4">
      <c r="B15" s="704" t="s">
        <v>1043</v>
      </c>
      <c r="C15" s="704"/>
      <c r="D15" s="704"/>
      <c r="M15" s="707"/>
      <c r="N15" s="290"/>
      <c r="O15" s="290"/>
      <c r="P15" s="290"/>
      <c r="Q15" s="290"/>
      <c r="R15" s="290"/>
    </row>
    <row r="16" spans="2:29" x14ac:dyDescent="0.4">
      <c r="B16" s="704" t="s">
        <v>1036</v>
      </c>
      <c r="C16" s="704"/>
      <c r="D16" s="704"/>
      <c r="M16" s="707"/>
      <c r="N16" s="7"/>
      <c r="O16" s="7"/>
      <c r="P16" s="7"/>
      <c r="Q16" s="7"/>
      <c r="R16" s="7"/>
    </row>
    <row r="17" spans="2:27" x14ac:dyDescent="0.4">
      <c r="B17" s="704" t="s">
        <v>1037</v>
      </c>
      <c r="C17" s="704"/>
      <c r="D17" s="704"/>
      <c r="M17" s="707"/>
      <c r="N17" s="7"/>
      <c r="O17" s="7"/>
      <c r="P17" s="7"/>
      <c r="Q17" s="7"/>
      <c r="R17" s="7"/>
    </row>
    <row r="18" spans="2:27" x14ac:dyDescent="0.4">
      <c r="B18" s="704"/>
      <c r="C18" s="704"/>
      <c r="M18" s="707"/>
      <c r="N18" s="7"/>
      <c r="O18" s="7"/>
      <c r="P18" s="7"/>
      <c r="Q18" s="7"/>
      <c r="R18" s="7"/>
      <c r="S18" s="708"/>
      <c r="T18" s="290"/>
      <c r="U18" s="273"/>
      <c r="V18" s="273"/>
      <c r="W18" s="273"/>
      <c r="X18" s="290"/>
      <c r="Y18" s="290"/>
    </row>
    <row r="19" spans="2:27" ht="15" thickBot="1" x14ac:dyDescent="0.45">
      <c r="M19" s="707"/>
      <c r="N19" s="7"/>
      <c r="O19" s="7"/>
      <c r="T19" s="700"/>
    </row>
    <row r="20" spans="2:27" ht="15.9" thickBot="1" x14ac:dyDescent="0.45">
      <c r="D20" s="710"/>
      <c r="E20" s="1491" t="s">
        <v>23</v>
      </c>
      <c r="F20" s="3987" t="s">
        <v>1044</v>
      </c>
      <c r="G20" s="3988"/>
      <c r="H20" s="3988"/>
      <c r="I20" s="3988"/>
      <c r="J20" s="3988"/>
      <c r="M20" s="707"/>
      <c r="N20" s="7"/>
      <c r="O20" s="7"/>
    </row>
    <row r="21" spans="2:27" ht="15" thickBot="1" x14ac:dyDescent="0.45">
      <c r="D21" s="1491" t="s">
        <v>1045</v>
      </c>
      <c r="E21" s="715">
        <v>1</v>
      </c>
      <c r="F21" s="719">
        <v>1</v>
      </c>
      <c r="G21" s="719">
        <v>2</v>
      </c>
      <c r="H21" s="719">
        <v>3</v>
      </c>
      <c r="I21" s="719">
        <v>4</v>
      </c>
      <c r="J21" s="715">
        <v>6</v>
      </c>
      <c r="M21" s="707"/>
      <c r="N21" s="7"/>
      <c r="O21" s="7"/>
    </row>
    <row r="22" spans="2:27" ht="15" thickBot="1" x14ac:dyDescent="0.45">
      <c r="D22" s="721" t="s">
        <v>2513</v>
      </c>
      <c r="E22" s="720" t="s">
        <v>1047</v>
      </c>
      <c r="F22" s="1492" t="str">
        <f>ROUNDUP(Tokamak_Segmts/F21,0) &amp; " Ports"</f>
        <v>16 Ports</v>
      </c>
      <c r="G22" s="1492" t="str">
        <f>ROUNDUP(Tokamak_Segmts/G21,0) &amp; " Ports"</f>
        <v>8 Ports</v>
      </c>
      <c r="H22" s="1492" t="str">
        <f>ROUNDUP(Tokamak_Segmts/H21,0) &amp; " Ports"</f>
        <v>6 Ports</v>
      </c>
      <c r="I22" s="1492" t="str">
        <f>ROUNDUP(Tokamak_Segmts/I21,0) &amp; " Ports"</f>
        <v>4 Ports</v>
      </c>
      <c r="J22" s="1492" t="str">
        <f>ROUNDUP(Tokamak_Segmts/J21,0) &amp; " Ports"</f>
        <v>3 Ports</v>
      </c>
      <c r="M22" s="707"/>
      <c r="N22" s="7"/>
      <c r="O22" s="7"/>
    </row>
    <row r="23" spans="2:27" x14ac:dyDescent="0.4">
      <c r="D23" s="1493" t="s">
        <v>1048</v>
      </c>
      <c r="E23" s="724">
        <f t="shared" ref="E23:J26" si="0">T36+T182+T308+T414+T506</f>
        <v>225.83328864887031</v>
      </c>
      <c r="F23" s="727">
        <f t="shared" si="0"/>
        <v>2937.9569693235562</v>
      </c>
      <c r="G23" s="727">
        <f t="shared" si="0"/>
        <v>1468.9784846617781</v>
      </c>
      <c r="H23" s="727">
        <f t="shared" si="0"/>
        <v>1101.7338634963337</v>
      </c>
      <c r="I23" s="727">
        <f t="shared" si="0"/>
        <v>734.48924233088906</v>
      </c>
      <c r="J23" s="724">
        <f t="shared" si="0"/>
        <v>550.86693174816685</v>
      </c>
      <c r="M23" s="707"/>
      <c r="N23" s="7"/>
      <c r="O23" s="7"/>
    </row>
    <row r="24" spans="2:27" x14ac:dyDescent="0.4">
      <c r="D24" s="1494" t="s">
        <v>2658</v>
      </c>
      <c r="E24" s="728">
        <f t="shared" si="0"/>
        <v>42.681669379564823</v>
      </c>
      <c r="F24" s="731">
        <f t="shared" si="0"/>
        <v>530.1748653354399</v>
      </c>
      <c r="G24" s="731">
        <f t="shared" si="0"/>
        <v>265.08743266771995</v>
      </c>
      <c r="H24" s="731">
        <f t="shared" si="0"/>
        <v>198.81557450078992</v>
      </c>
      <c r="I24" s="731">
        <f t="shared" si="0"/>
        <v>132.54371633385998</v>
      </c>
      <c r="J24" s="728">
        <f t="shared" si="0"/>
        <v>99.407787250394961</v>
      </c>
      <c r="M24" s="707"/>
      <c r="N24" s="7"/>
      <c r="O24" s="7"/>
    </row>
    <row r="25" spans="2:27" ht="15" thickBot="1" x14ac:dyDescent="0.45">
      <c r="D25" s="1495" t="s">
        <v>2662</v>
      </c>
      <c r="E25" s="732">
        <f t="shared" si="0"/>
        <v>46.863599968567286</v>
      </c>
      <c r="F25" s="735">
        <f t="shared" si="0"/>
        <v>484.7052347452551</v>
      </c>
      <c r="G25" s="735">
        <f t="shared" si="0"/>
        <v>242.35261737262755</v>
      </c>
      <c r="H25" s="735">
        <f t="shared" si="0"/>
        <v>181.76446302947068</v>
      </c>
      <c r="I25" s="735">
        <f t="shared" si="0"/>
        <v>121.17630868631377</v>
      </c>
      <c r="J25" s="732">
        <f t="shared" si="0"/>
        <v>90.882231514735338</v>
      </c>
      <c r="M25" s="707"/>
      <c r="N25" s="7"/>
      <c r="O25" s="7"/>
    </row>
    <row r="26" spans="2:27" ht="15" thickBot="1" x14ac:dyDescent="0.45">
      <c r="D26" s="1496" t="s">
        <v>2664</v>
      </c>
      <c r="E26" s="736">
        <f t="shared" si="0"/>
        <v>315.37855799700219</v>
      </c>
      <c r="F26" s="739">
        <f t="shared" si="0"/>
        <v>3952.8370694042483</v>
      </c>
      <c r="G26" s="739">
        <f t="shared" si="0"/>
        <v>1976.4185347021241</v>
      </c>
      <c r="H26" s="739">
        <f t="shared" si="0"/>
        <v>1482.3139010265932</v>
      </c>
      <c r="I26" s="739">
        <f t="shared" si="0"/>
        <v>988.20926735106207</v>
      </c>
      <c r="J26" s="736">
        <f t="shared" si="0"/>
        <v>741.15695051329658</v>
      </c>
      <c r="M26" s="707"/>
      <c r="N26" s="7"/>
      <c r="O26" s="7"/>
    </row>
    <row r="27" spans="2:27" x14ac:dyDescent="0.4">
      <c r="X27" s="273"/>
      <c r="Y27" s="273"/>
      <c r="Z27" s="273"/>
    </row>
    <row r="28" spans="2:27" ht="20.149999999999999" x14ac:dyDescent="0.5">
      <c r="B28" s="698" t="s">
        <v>1051</v>
      </c>
      <c r="F28" s="741"/>
    </row>
    <row r="30" spans="2:27" ht="15.45" x14ac:dyDescent="0.4">
      <c r="B30" s="742"/>
      <c r="C30" s="743"/>
      <c r="D30" s="743"/>
      <c r="E30" s="744" t="s">
        <v>2514</v>
      </c>
      <c r="F30" s="745"/>
      <c r="G30" s="745"/>
      <c r="H30" s="745"/>
      <c r="I30" s="745"/>
      <c r="J30" s="745"/>
      <c r="K30" s="745"/>
      <c r="L30" s="745"/>
      <c r="M30" s="745"/>
      <c r="N30" s="745"/>
      <c r="O30" s="745"/>
      <c r="P30" s="745"/>
      <c r="Q30" s="745"/>
      <c r="R30" s="745"/>
      <c r="S30" s="745"/>
      <c r="T30" s="745"/>
      <c r="U30" s="745"/>
      <c r="V30" s="745"/>
      <c r="W30" s="745"/>
      <c r="X30" s="745"/>
      <c r="Y30" s="745"/>
      <c r="Z30" s="745"/>
      <c r="AA30" s="746"/>
    </row>
    <row r="31" spans="2:27" ht="15" hidden="1" outlineLevel="1" thickBot="1" x14ac:dyDescent="0.45">
      <c r="B31" s="747"/>
      <c r="C31" s="704"/>
      <c r="D31" s="704"/>
      <c r="E31" s="748" t="s">
        <v>1053</v>
      </c>
      <c r="F31" s="749"/>
      <c r="G31" s="704"/>
      <c r="H31" s="704"/>
      <c r="I31" s="704"/>
      <c r="J31" s="750"/>
      <c r="K31" s="704"/>
      <c r="L31" s="704"/>
      <c r="M31" s="704"/>
      <c r="N31" s="704"/>
      <c r="O31" s="704"/>
      <c r="P31" s="704"/>
      <c r="Q31" s="704"/>
      <c r="R31" s="704"/>
      <c r="S31" s="704"/>
      <c r="T31" s="750"/>
      <c r="U31" s="704"/>
      <c r="V31" s="704"/>
      <c r="W31" s="704"/>
      <c r="X31" s="750"/>
      <c r="Y31" s="750"/>
      <c r="Z31" s="750"/>
      <c r="AA31" s="751"/>
    </row>
    <row r="32" spans="2:27" hidden="1" outlineLevel="1" x14ac:dyDescent="0.4">
      <c r="B32" s="747"/>
      <c r="C32" s="704"/>
      <c r="D32" s="704"/>
      <c r="E32" s="704" t="s">
        <v>1034</v>
      </c>
      <c r="F32" s="749"/>
      <c r="G32" s="704"/>
      <c r="H32" s="704"/>
      <c r="I32" s="704"/>
      <c r="J32" s="750"/>
      <c r="K32" s="704"/>
      <c r="L32" s="704"/>
      <c r="M32" s="704"/>
      <c r="N32" s="704"/>
      <c r="O32" s="704"/>
      <c r="P32" s="704"/>
      <c r="Q32" s="704"/>
      <c r="R32" s="704"/>
      <c r="S32" s="2281"/>
      <c r="T32" s="3584" t="s">
        <v>23</v>
      </c>
      <c r="U32" s="3989" t="s">
        <v>1054</v>
      </c>
      <c r="V32" s="3990"/>
      <c r="W32" s="3990"/>
      <c r="X32" s="3990"/>
      <c r="Y32" s="3991"/>
      <c r="Z32" s="781"/>
      <c r="AA32" s="752"/>
    </row>
    <row r="33" spans="2:34" hidden="1" outlineLevel="1" x14ac:dyDescent="0.4">
      <c r="B33" s="747"/>
      <c r="C33" s="704"/>
      <c r="D33" s="704"/>
      <c r="E33" s="704" t="s">
        <v>1035</v>
      </c>
      <c r="F33" s="749"/>
      <c r="G33" s="704"/>
      <c r="H33" s="704"/>
      <c r="I33" s="704"/>
      <c r="J33" s="750"/>
      <c r="K33" s="704"/>
      <c r="L33" s="704"/>
      <c r="M33" s="704"/>
      <c r="N33" s="704"/>
      <c r="O33" s="704"/>
      <c r="P33" s="704"/>
      <c r="Q33" s="704"/>
      <c r="R33" s="704"/>
      <c r="S33" s="3590" t="s">
        <v>1055</v>
      </c>
      <c r="T33" s="3585">
        <v>1</v>
      </c>
      <c r="U33" s="1497">
        <v>1</v>
      </c>
      <c r="V33" s="1497">
        <v>2</v>
      </c>
      <c r="W33" s="754">
        <v>3</v>
      </c>
      <c r="X33" s="754">
        <v>4</v>
      </c>
      <c r="Y33" s="753">
        <v>6</v>
      </c>
      <c r="Z33" s="2996"/>
      <c r="AA33" s="752"/>
    </row>
    <row r="34" spans="2:34" hidden="1" outlineLevel="1" x14ac:dyDescent="0.4">
      <c r="B34" s="747"/>
      <c r="C34" s="704"/>
      <c r="D34" s="704"/>
      <c r="E34" s="704" t="s">
        <v>1036</v>
      </c>
      <c r="F34" s="749"/>
      <c r="G34" s="704"/>
      <c r="H34" s="704"/>
      <c r="I34" s="704"/>
      <c r="J34" s="750"/>
      <c r="K34" s="704"/>
      <c r="L34" s="704"/>
      <c r="M34" s="704"/>
      <c r="N34" s="704"/>
      <c r="O34" s="704"/>
      <c r="P34" s="704"/>
      <c r="Q34" s="704"/>
      <c r="R34" s="704"/>
      <c r="S34" s="3589" t="s">
        <v>2665</v>
      </c>
      <c r="T34" s="273">
        <f>Connect_vertical_pipework</f>
        <v>24.022732551873563</v>
      </c>
      <c r="U34" s="1498">
        <f>Connect_vertical_pipework*ROUNDUP(Tokamak_Segmts/U33,0)</f>
        <v>384.36372082997701</v>
      </c>
      <c r="V34" s="1498">
        <f>Connect_vertical_pipework*ROUNDUP(Tokamak_Segmts/V33,0)</f>
        <v>192.18186041498851</v>
      </c>
      <c r="W34" s="756">
        <f>Connect_vertical_pipework*ROUNDUP(Tokamak_Segmts/W33,0)</f>
        <v>144.13639531124139</v>
      </c>
      <c r="X34" s="756">
        <f>Connect_vertical_pipework*ROUNDUP(Tokamak_Segmts/X33,0)</f>
        <v>96.090930207494253</v>
      </c>
      <c r="Y34" s="755">
        <f>Connect_vertical_pipework*ROUNDUP(Tokamak_Segmts/Y33,0)</f>
        <v>72.068197655620693</v>
      </c>
      <c r="Z34" s="273"/>
      <c r="AA34" s="752"/>
    </row>
    <row r="35" spans="2:34" ht="15" hidden="1" outlineLevel="1" thickBot="1" x14ac:dyDescent="0.45">
      <c r="B35" s="747"/>
      <c r="C35" s="704"/>
      <c r="D35" s="704"/>
      <c r="E35" s="704" t="s">
        <v>1037</v>
      </c>
      <c r="F35" s="749"/>
      <c r="G35" s="704"/>
      <c r="H35" s="704"/>
      <c r="I35" s="704"/>
      <c r="J35" s="750"/>
      <c r="K35" s="704"/>
      <c r="L35" s="704"/>
      <c r="M35" s="704"/>
      <c r="N35" s="704"/>
      <c r="O35" s="704"/>
      <c r="P35" s="704"/>
      <c r="Q35" s="704"/>
      <c r="R35" s="704"/>
      <c r="S35" s="3141" t="s">
        <v>2693</v>
      </c>
      <c r="T35" s="3586">
        <f>T$34*$F$38</f>
        <v>0.2642500580706092</v>
      </c>
      <c r="U35" s="1499">
        <f t="shared" ref="U35:Y35" si="1">U$34*$F$38</f>
        <v>4.2280009291297471</v>
      </c>
      <c r="V35" s="1499">
        <f t="shared" si="1"/>
        <v>2.1140004645648736</v>
      </c>
      <c r="W35" s="761">
        <f t="shared" si="1"/>
        <v>1.5855003484236552</v>
      </c>
      <c r="X35" s="761">
        <f t="shared" si="1"/>
        <v>1.0570002322824368</v>
      </c>
      <c r="Y35" s="760">
        <f t="shared" si="1"/>
        <v>0.79275017421182759</v>
      </c>
      <c r="Z35" s="273"/>
      <c r="AA35" s="752"/>
    </row>
    <row r="36" spans="2:34" hidden="1" outlineLevel="1" x14ac:dyDescent="0.4">
      <c r="B36" s="747"/>
      <c r="C36" s="704"/>
      <c r="D36" s="704"/>
      <c r="E36" s="704" t="s">
        <v>1038</v>
      </c>
      <c r="F36" s="749"/>
      <c r="G36" s="704"/>
      <c r="H36" s="704"/>
      <c r="I36" s="704"/>
      <c r="J36" s="750"/>
      <c r="K36" s="704"/>
      <c r="L36" s="704"/>
      <c r="M36" s="704"/>
      <c r="N36" s="704"/>
      <c r="O36" s="704"/>
      <c r="P36" s="704"/>
      <c r="Q36" s="704"/>
      <c r="R36" s="704"/>
      <c r="S36" s="91" t="s">
        <v>1048</v>
      </c>
      <c r="T36" s="1063">
        <f t="shared" ref="T36:Y36" si="2">T35*(SUMIF($F$46:$F$171,"Operation",$G$46:$G$171))</f>
        <v>68.296283788980858</v>
      </c>
      <c r="U36" s="1500">
        <f t="shared" si="2"/>
        <v>1092.7405406236937</v>
      </c>
      <c r="V36" s="3661">
        <f t="shared" si="2"/>
        <v>546.37027031184687</v>
      </c>
      <c r="W36" s="768">
        <f t="shared" si="2"/>
        <v>409.77770273388512</v>
      </c>
      <c r="X36" s="768">
        <f t="shared" si="2"/>
        <v>273.18513515592343</v>
      </c>
      <c r="Y36" s="1062">
        <f t="shared" si="2"/>
        <v>204.88885136694256</v>
      </c>
      <c r="Z36" s="273"/>
      <c r="AA36" s="752"/>
    </row>
    <row r="37" spans="2:34" hidden="1" outlineLevel="1" x14ac:dyDescent="0.4">
      <c r="B37" s="747"/>
      <c r="C37" s="704"/>
      <c r="D37" s="704"/>
      <c r="E37" s="704"/>
      <c r="F37" s="749"/>
      <c r="G37" s="704"/>
      <c r="H37" s="704"/>
      <c r="I37" s="704"/>
      <c r="J37" s="750"/>
      <c r="K37" s="704"/>
      <c r="L37" s="704"/>
      <c r="M37" s="704"/>
      <c r="N37" s="704"/>
      <c r="O37" s="704"/>
      <c r="P37" s="704"/>
      <c r="Q37" s="704"/>
      <c r="R37" s="704"/>
      <c r="S37" s="92" t="s">
        <v>2658</v>
      </c>
      <c r="T37" s="1065">
        <f t="shared" ref="T37:Y37" si="3">T35*(SUMIF($F$46:$F$171,"Movement",$G$46:$G$171)+(SUMIF($F$46:$F$171,"Logistics",$G$46:$G$171)))</f>
        <v>11.516017530717168</v>
      </c>
      <c r="U37" s="1502">
        <f t="shared" si="3"/>
        <v>184.25628049147468</v>
      </c>
      <c r="V37" s="3662">
        <f t="shared" si="3"/>
        <v>92.128140245737342</v>
      </c>
      <c r="W37" s="769">
        <f t="shared" si="3"/>
        <v>69.096105184302999</v>
      </c>
      <c r="X37" s="769">
        <f t="shared" si="3"/>
        <v>46.064070122868671</v>
      </c>
      <c r="Y37" s="1064">
        <f t="shared" si="3"/>
        <v>34.5480525921515</v>
      </c>
      <c r="Z37" s="273"/>
      <c r="AA37" s="752"/>
    </row>
    <row r="38" spans="2:34" ht="15" hidden="1" outlineLevel="1" thickBot="1" x14ac:dyDescent="0.45">
      <c r="B38" s="747"/>
      <c r="C38" s="704"/>
      <c r="D38" s="704"/>
      <c r="E38" s="748" t="s">
        <v>1056</v>
      </c>
      <c r="F38" s="709">
        <f>SUM(F39:F40)</f>
        <v>1.0999999999999999E-2</v>
      </c>
      <c r="G38" s="709"/>
      <c r="H38" s="709"/>
      <c r="I38" s="709"/>
      <c r="J38" s="758"/>
      <c r="K38" s="759"/>
      <c r="L38" s="759"/>
      <c r="M38" s="759"/>
      <c r="N38" s="759"/>
      <c r="O38" s="759"/>
      <c r="P38" s="759"/>
      <c r="Q38" s="704"/>
      <c r="R38" s="704"/>
      <c r="S38" s="93" t="s">
        <v>2662</v>
      </c>
      <c r="T38" s="1067">
        <f t="shared" ref="T38:Y38" si="4">T35*(-SUMIF($U$46:$U$171,"&lt;0"))</f>
        <v>8.2188842194878671</v>
      </c>
      <c r="U38" s="1110">
        <f t="shared" si="4"/>
        <v>131.50214751180587</v>
      </c>
      <c r="V38" s="3663">
        <f t="shared" si="4"/>
        <v>65.751073755902937</v>
      </c>
      <c r="W38" s="770">
        <f t="shared" si="4"/>
        <v>49.313305316927206</v>
      </c>
      <c r="X38" s="770">
        <f t="shared" si="4"/>
        <v>32.875536877951468</v>
      </c>
      <c r="Y38" s="1066">
        <f t="shared" si="4"/>
        <v>24.656652658463603</v>
      </c>
      <c r="Z38" s="273"/>
      <c r="AA38" s="752"/>
    </row>
    <row r="39" spans="2:34" ht="15" hidden="1" outlineLevel="1" thickBot="1" x14ac:dyDescent="0.45">
      <c r="B39" s="762"/>
      <c r="C39" s="5"/>
      <c r="D39" s="5"/>
      <c r="E39" s="5" t="s">
        <v>1057</v>
      </c>
      <c r="F39" s="763">
        <f>Weld_Failure_Rate</f>
        <v>1E-3</v>
      </c>
      <c r="G39" s="763"/>
      <c r="H39" s="763"/>
      <c r="I39" s="765"/>
      <c r="J39" s="273"/>
      <c r="K39" s="763"/>
      <c r="L39" s="763"/>
      <c r="M39" s="766"/>
      <c r="N39" s="763"/>
      <c r="O39" s="763"/>
      <c r="P39" s="763"/>
      <c r="Q39" s="767"/>
      <c r="R39" s="5"/>
      <c r="S39" s="2973" t="s">
        <v>2667</v>
      </c>
      <c r="T39" s="2975">
        <f t="shared" ref="T39:Y39" si="5">T35*$H$172</f>
        <v>88.031185539185827</v>
      </c>
      <c r="U39" s="694">
        <f t="shared" si="5"/>
        <v>1408.4989686269732</v>
      </c>
      <c r="V39" s="3664">
        <f t="shared" si="5"/>
        <v>704.24948431348662</v>
      </c>
      <c r="W39" s="694">
        <f t="shared" si="5"/>
        <v>528.18711323511502</v>
      </c>
      <c r="X39" s="694">
        <f t="shared" si="5"/>
        <v>352.12474215674331</v>
      </c>
      <c r="Y39" s="2974">
        <f t="shared" si="5"/>
        <v>264.09355661755751</v>
      </c>
      <c r="AA39" s="752"/>
    </row>
    <row r="40" spans="2:34" hidden="1" outlineLevel="1" x14ac:dyDescent="0.4">
      <c r="B40" s="762"/>
      <c r="C40" s="5"/>
      <c r="D40" s="5"/>
      <c r="E40" s="5" t="s">
        <v>1058</v>
      </c>
      <c r="F40" s="763">
        <f>SJS_welder_failure</f>
        <v>0.01</v>
      </c>
      <c r="G40" s="763"/>
      <c r="H40" s="763"/>
      <c r="I40" s="765"/>
      <c r="J40" s="273"/>
      <c r="K40" s="763"/>
      <c r="L40" s="763"/>
      <c r="M40" s="766"/>
      <c r="N40" s="763"/>
      <c r="O40" s="763"/>
      <c r="P40" s="763"/>
      <c r="Q40" s="767"/>
      <c r="R40" s="5"/>
      <c r="AA40" s="752"/>
    </row>
    <row r="41" spans="2:34" hidden="1" outlineLevel="1" x14ac:dyDescent="0.4">
      <c r="B41" s="762"/>
      <c r="C41" s="5"/>
      <c r="D41" s="5"/>
      <c r="E41" s="708" t="s">
        <v>1059</v>
      </c>
      <c r="F41" s="709">
        <f>F38*(1-(1-F38)^(Vertical_port_pipes_per_blanket))</f>
        <v>7.0632541484487834E-4</v>
      </c>
      <c r="G41" s="709"/>
      <c r="H41" s="709"/>
      <c r="I41" s="709"/>
      <c r="J41" s="758"/>
      <c r="K41" s="709"/>
      <c r="L41" s="709"/>
      <c r="M41" s="709"/>
      <c r="N41" s="709"/>
      <c r="O41" s="709"/>
      <c r="P41" s="709"/>
      <c r="Q41" s="767"/>
      <c r="R41" s="5"/>
      <c r="AA41" s="752"/>
    </row>
    <row r="42" spans="2:34" hidden="1" outlineLevel="1" x14ac:dyDescent="0.4">
      <c r="B42" s="762"/>
      <c r="C42" s="5"/>
      <c r="D42" s="5"/>
      <c r="E42" s="708"/>
      <c r="F42" s="757"/>
      <c r="G42" s="709"/>
      <c r="H42" s="709"/>
      <c r="I42" s="709"/>
      <c r="J42" s="758"/>
      <c r="K42" s="709"/>
      <c r="L42" s="709"/>
      <c r="M42" s="709"/>
      <c r="N42" s="709"/>
      <c r="O42" s="709"/>
      <c r="P42" s="709"/>
      <c r="Q42" s="767"/>
      <c r="R42" s="5"/>
      <c r="Z42" s="273"/>
      <c r="AA42" s="752"/>
    </row>
    <row r="43" spans="2:34" ht="15.75" hidden="1" customHeight="1" outlineLevel="1" thickBot="1" x14ac:dyDescent="0.45">
      <c r="B43" s="762"/>
      <c r="C43" s="5"/>
      <c r="D43" s="5"/>
      <c r="E43" s="708"/>
      <c r="F43" s="757"/>
      <c r="G43" s="709"/>
      <c r="H43" s="709"/>
      <c r="I43" s="709"/>
      <c r="J43" s="758"/>
      <c r="K43" s="709"/>
      <c r="L43" s="709"/>
      <c r="M43" s="709"/>
      <c r="N43" s="709"/>
      <c r="O43" s="709"/>
      <c r="P43" s="709"/>
      <c r="Q43" s="767"/>
      <c r="R43" s="5"/>
      <c r="S43" s="90"/>
      <c r="T43" s="273"/>
      <c r="U43" s="5"/>
      <c r="V43" s="5"/>
      <c r="W43" s="5"/>
      <c r="X43" s="273"/>
      <c r="Y43" s="273"/>
      <c r="Z43" s="273"/>
      <c r="AA43" s="752"/>
    </row>
    <row r="44" spans="2:34" ht="15.75" hidden="1" customHeight="1" outlineLevel="2" thickBot="1" x14ac:dyDescent="0.45">
      <c r="B44" s="762"/>
      <c r="C44" s="5"/>
      <c r="D44" s="5"/>
      <c r="E44" s="708"/>
      <c r="F44" s="771"/>
      <c r="G44" s="5"/>
      <c r="H44" s="772"/>
      <c r="I44" s="773" t="s">
        <v>18</v>
      </c>
      <c r="J44" s="774"/>
      <c r="K44" s="775" t="s">
        <v>778</v>
      </c>
      <c r="L44" s="776"/>
      <c r="M44" s="776"/>
      <c r="N44" s="776"/>
      <c r="O44" s="776"/>
      <c r="P44" s="777"/>
      <c r="Q44" s="776" t="s">
        <v>3</v>
      </c>
      <c r="R44" s="777"/>
      <c r="S44" s="778" t="s">
        <v>779</v>
      </c>
      <c r="T44" s="779"/>
      <c r="U44" s="779"/>
      <c r="V44" s="780"/>
      <c r="X44" s="781"/>
      <c r="Y44" s="781"/>
      <c r="Z44" s="781"/>
      <c r="AA44" s="752"/>
      <c r="AE44" s="8"/>
    </row>
    <row r="45" spans="2:34" ht="30.75" hidden="1" customHeight="1" outlineLevel="2" thickBot="1" x14ac:dyDescent="0.45">
      <c r="B45" s="762"/>
      <c r="C45" s="5"/>
      <c r="D45" s="782" t="s">
        <v>780</v>
      </c>
      <c r="E45" s="783" t="s">
        <v>1060</v>
      </c>
      <c r="F45" s="785" t="s">
        <v>782</v>
      </c>
      <c r="G45" s="786" t="s">
        <v>783</v>
      </c>
      <c r="H45" s="787" t="s">
        <v>784</v>
      </c>
      <c r="I45" s="788" t="s">
        <v>785</v>
      </c>
      <c r="J45" s="789" t="s">
        <v>783</v>
      </c>
      <c r="K45" s="788" t="s">
        <v>786</v>
      </c>
      <c r="L45" s="784" t="s">
        <v>787</v>
      </c>
      <c r="M45" s="784" t="s">
        <v>788</v>
      </c>
      <c r="N45" s="784" t="s">
        <v>789</v>
      </c>
      <c r="O45" s="784" t="s">
        <v>790</v>
      </c>
      <c r="P45" s="790" t="s">
        <v>783</v>
      </c>
      <c r="Q45" s="791" t="s">
        <v>785</v>
      </c>
      <c r="R45" s="792" t="s">
        <v>783</v>
      </c>
      <c r="S45" s="793" t="s">
        <v>781</v>
      </c>
      <c r="T45" s="794" t="s">
        <v>791</v>
      </c>
      <c r="U45" s="789" t="s">
        <v>792</v>
      </c>
      <c r="V45" s="795"/>
      <c r="X45" s="796"/>
      <c r="Y45" s="796"/>
      <c r="Z45" s="796"/>
      <c r="AA45" s="752"/>
      <c r="AE45" s="8"/>
    </row>
    <row r="46" spans="2:34" ht="15" hidden="1" customHeight="1" outlineLevel="2" x14ac:dyDescent="0.4">
      <c r="B46" s="762"/>
      <c r="C46" s="5"/>
      <c r="D46" s="3886" t="s">
        <v>1062</v>
      </c>
      <c r="E46" s="797" t="s">
        <v>1063</v>
      </c>
      <c r="F46" s="799" t="s">
        <v>251</v>
      </c>
      <c r="G46" s="456">
        <f>MAX($R46,$P46,$J46)</f>
        <v>0</v>
      </c>
      <c r="H46" s="800">
        <f>G46</f>
        <v>0</v>
      </c>
      <c r="I46" s="566" t="s">
        <v>557</v>
      </c>
      <c r="J46" s="621">
        <v>0</v>
      </c>
      <c r="K46" s="568"/>
      <c r="L46" s="566"/>
      <c r="M46" s="801"/>
      <c r="N46" s="802" t="str">
        <f>IFERROR(INDEX('Upper Cask Movement &amp; Logistics'!$I$23:$O$29,MATCH($L46,'Upper Cask Movement &amp; Logistics'!$H$23:$H$29,0),MATCH($M46,'Upper Cask Movement &amp; Logistics'!$H$23:$H$29,0)),"N/A")</f>
        <v>N/A</v>
      </c>
      <c r="O46" s="570" t="str">
        <f>IFERROR(VLOOKUP($K46,'Upper Cask Movement &amp; Logistics'!$H$4:$I$8,2,FALSE),"N/A")</f>
        <v>N/A</v>
      </c>
      <c r="P46" s="800" t="str">
        <f t="shared" ref="P46:P109" si="6">IF(F46="Movement",IFERROR((N46/O46)/(60*60),"Error"),"N/A")</f>
        <v>N/A</v>
      </c>
      <c r="Q46" s="803"/>
      <c r="R46" s="802" t="str">
        <f>IF($F46="Logistics",VLOOKUP($Q46,'Upper Cask Movement &amp; Logistics'!$C$4:$D$209,2,FALSE),"N/A")</f>
        <v>N/A</v>
      </c>
      <c r="S46" s="568"/>
      <c r="T46" s="804" t="str">
        <f>IFERROR(VLOOKUP($S46,'Upper Cask Recovery Logistics'!$C$29:$F$200,4,FALSE),"N/A")</f>
        <v>N/A</v>
      </c>
      <c r="U46" s="805" t="str">
        <f>IFERROR(H46-G46-T46,"N/A")</f>
        <v>N/A</v>
      </c>
      <c r="V46" s="806"/>
      <c r="X46" s="796"/>
      <c r="Y46" s="796"/>
      <c r="Z46" s="796"/>
      <c r="AA46" s="752"/>
      <c r="AE46" s="8"/>
    </row>
    <row r="47" spans="2:34" ht="15.75" hidden="1" customHeight="1" outlineLevel="2" thickBot="1" x14ac:dyDescent="0.45">
      <c r="B47" s="762"/>
      <c r="C47" s="5"/>
      <c r="D47" s="3887"/>
      <c r="E47" s="807" t="s">
        <v>1064</v>
      </c>
      <c r="F47" s="809" t="s">
        <v>251</v>
      </c>
      <c r="G47" s="471">
        <f>MAX($R47,$P47,$J47)</f>
        <v>1.0499155317167692</v>
      </c>
      <c r="H47" s="810">
        <f t="shared" ref="H47:H110" si="7">IF(U47&lt;0,G47+H46+(-U47),G47+H46)</f>
        <v>1.0499155317167692</v>
      </c>
      <c r="I47" s="584" t="s">
        <v>2491</v>
      </c>
      <c r="J47" s="811">
        <f>IF($F47="operation",VLOOKUP($I47,'Generic Vertical Port Tasks'!$C$4:$D$189,2,FALSE),"N/A")</f>
        <v>1.0499155317167692</v>
      </c>
      <c r="K47" s="586"/>
      <c r="L47" s="584"/>
      <c r="M47" s="812"/>
      <c r="N47" s="813" t="str">
        <f>IFERROR(INDEX('Upper Cask Movement &amp; Logistics'!$I$23:$O$29,MATCH($L47,'Upper Cask Movement &amp; Logistics'!$H$23:$H$29,0),MATCH($M47,'Upper Cask Movement &amp; Logistics'!$H$23:$H$29,0)),"N/A")</f>
        <v>N/A</v>
      </c>
      <c r="O47" s="814" t="str">
        <f>IFERROR(VLOOKUP($K47,'Upper Cask Movement &amp; Logistics'!$H$4:$I$8,2,FALSE),"N/A")</f>
        <v>N/A</v>
      </c>
      <c r="P47" s="810" t="str">
        <f t="shared" si="6"/>
        <v>N/A</v>
      </c>
      <c r="Q47" s="815"/>
      <c r="R47" s="813" t="str">
        <f>IF($F47="Logistics",VLOOKUP($Q47,'Upper Cask Movement &amp; Logistics'!$C$4:$D$209,2,FALSE),"N/A")</f>
        <v>N/A</v>
      </c>
      <c r="S47" s="586"/>
      <c r="T47" s="816" t="str">
        <f>IFERROR(VLOOKUP($S47,'Upper Cask Recovery Logistics'!$C$29:$F$203,4,FALSE),"N/A")</f>
        <v>N/A</v>
      </c>
      <c r="U47" s="817" t="str">
        <f t="shared" ref="U47:U110" si="8">IFERROR(H46-T47,"N/A")</f>
        <v>N/A</v>
      </c>
      <c r="V47" s="806"/>
      <c r="X47" s="273"/>
      <c r="Y47" s="273"/>
      <c r="Z47" s="273"/>
      <c r="AA47" s="752"/>
      <c r="AB47" s="5"/>
      <c r="AC47" s="7"/>
      <c r="AD47" s="7"/>
      <c r="AE47" s="7"/>
      <c r="AF47" s="7"/>
      <c r="AG47" s="7"/>
      <c r="AH47" s="7"/>
    </row>
    <row r="48" spans="2:34" ht="25.5" hidden="1" customHeight="1" outlineLevel="2" x14ac:dyDescent="0.4">
      <c r="B48" s="762"/>
      <c r="C48" s="5"/>
      <c r="D48" s="3984" t="s">
        <v>825</v>
      </c>
      <c r="E48" s="1333" t="s">
        <v>1517</v>
      </c>
      <c r="F48" s="1333" t="s">
        <v>3</v>
      </c>
      <c r="G48" s="1303">
        <f>MAX($R48,$P48,$J48)</f>
        <v>0.38</v>
      </c>
      <c r="H48" s="1303">
        <f t="shared" si="7"/>
        <v>1.4299155317167691</v>
      </c>
      <c r="I48" s="1333"/>
      <c r="J48" s="1303" t="str">
        <f>IF($F48="operation",VLOOKUP($I48,'Generic Vertical Port Tasks'!$C$4:$D$189,2,FALSE),"N/A")</f>
        <v>N/A</v>
      </c>
      <c r="K48" s="1333"/>
      <c r="L48" s="1333"/>
      <c r="M48" s="1333"/>
      <c r="N48" s="1334" t="str">
        <f>IFERROR(INDEX('Upper Cask Movement &amp; Logistics'!$I$24:$O$30,MATCH($J48,'Upper Cask Movement &amp; Logistics'!$H$24:$H$30,0),MATCH($K48,'Upper Cask Movement &amp; Logistics'!$H$24:$H$30,0)),"N/A")</f>
        <v>N/A</v>
      </c>
      <c r="O48" s="1334" t="str">
        <f>IFERROR(VLOOKUP($I48,'Upper Cask Movement &amp; Logistics'!$H$4:$I$8,2,FALSE),"N/A")</f>
        <v>N/A</v>
      </c>
      <c r="P48" s="1303" t="str">
        <f t="shared" si="6"/>
        <v>N/A</v>
      </c>
      <c r="Q48" s="1504" t="s">
        <v>1226</v>
      </c>
      <c r="R48" s="1303">
        <f>IF($F48="Logistics",VLOOKUP($Q48,'Upper Cask Movement &amp; Logistics'!$C$4:$D$209,2,FALSE),"N/A")</f>
        <v>0.38</v>
      </c>
      <c r="S48" s="1505"/>
      <c r="T48" s="1303" t="str">
        <f>IFERROR(VLOOKUP($S48,'Upper Cask Recovery Logistics'!$C$29:$F$203,4,FALSE),"N/A")</f>
        <v>N/A</v>
      </c>
      <c r="U48" s="1506" t="str">
        <f t="shared" si="8"/>
        <v>N/A</v>
      </c>
      <c r="V48" s="1510"/>
      <c r="X48" s="273"/>
      <c r="Y48" s="273"/>
      <c r="Z48" s="273"/>
      <c r="AA48" s="752"/>
      <c r="AB48" s="5"/>
      <c r="AC48" s="7"/>
      <c r="AD48" s="7"/>
      <c r="AE48" s="7"/>
      <c r="AF48" s="7"/>
      <c r="AG48" s="7"/>
      <c r="AH48" s="7"/>
    </row>
    <row r="49" spans="2:34" ht="15.75" hidden="1" customHeight="1" outlineLevel="2" x14ac:dyDescent="0.4">
      <c r="B49" s="762"/>
      <c r="C49" s="5"/>
      <c r="D49" s="3985"/>
      <c r="E49" s="1243" t="s">
        <v>123</v>
      </c>
      <c r="F49" s="1243" t="s">
        <v>251</v>
      </c>
      <c r="G49" s="1244">
        <f t="shared" ref="G49:G112" si="9">MAX($R49,$P49,$J49)</f>
        <v>0.72499999999999998</v>
      </c>
      <c r="H49" s="1244">
        <f t="shared" si="7"/>
        <v>2.1549155317167692</v>
      </c>
      <c r="I49" s="1243" t="s">
        <v>253</v>
      </c>
      <c r="J49" s="1244">
        <f>IF($F49="operation",VLOOKUP($I49,'Generic Vertical Port Tasks'!$C$4:$D$189,2,FALSE),"N/A")</f>
        <v>0.72499999999999998</v>
      </c>
      <c r="K49" s="1243"/>
      <c r="L49" s="1243"/>
      <c r="M49" s="1243"/>
      <c r="N49" s="1245" t="str">
        <f>IFERROR(INDEX('Upper Cask Movement &amp; Logistics'!$I$24:$O$30,MATCH($J49,'Upper Cask Movement &amp; Logistics'!$H$24:$H$30,0),MATCH($K49,'Upper Cask Movement &amp; Logistics'!$H$24:$H$30,0)),"N/A")</f>
        <v>N/A</v>
      </c>
      <c r="O49" s="1245" t="str">
        <f>IFERROR(VLOOKUP($I49,'Upper Cask Movement &amp; Logistics'!$H$4:$I$8,2,FALSE),"N/A")</f>
        <v>N/A</v>
      </c>
      <c r="P49" s="1244" t="str">
        <f t="shared" si="6"/>
        <v>N/A</v>
      </c>
      <c r="Q49" s="1246"/>
      <c r="R49" s="1244" t="str">
        <f>IF($F49="Logistics",VLOOKUP($Q49,'Upper Cask Movement &amp; Logistics'!$C$4:$D$209,2,FALSE),"N/A")</f>
        <v>N/A</v>
      </c>
      <c r="S49" s="1247"/>
      <c r="T49" s="1244" t="str">
        <f>IFERROR(VLOOKUP($S49,'Upper Cask Recovery Logistics'!$C$29:$F$203,4,FALSE),"N/A")</f>
        <v>N/A</v>
      </c>
      <c r="U49" s="1248" t="str">
        <f t="shared" si="8"/>
        <v>N/A</v>
      </c>
      <c r="V49" s="1510"/>
      <c r="X49" s="273"/>
      <c r="Y49" s="273"/>
      <c r="Z49" s="273"/>
      <c r="AA49" s="752"/>
      <c r="AB49" s="5"/>
      <c r="AC49" s="7"/>
      <c r="AD49" s="7"/>
      <c r="AE49" s="7"/>
      <c r="AF49" s="7"/>
      <c r="AG49" s="7"/>
      <c r="AH49" s="7"/>
    </row>
    <row r="50" spans="2:34" ht="15" hidden="1" customHeight="1" outlineLevel="2" x14ac:dyDescent="0.4">
      <c r="B50" s="762"/>
      <c r="C50" s="5"/>
      <c r="D50" s="3985"/>
      <c r="E50" s="1243" t="s">
        <v>1250</v>
      </c>
      <c r="F50" s="1243" t="s">
        <v>3</v>
      </c>
      <c r="G50" s="1244">
        <f t="shared" si="9"/>
        <v>0.63000000000000012</v>
      </c>
      <c r="H50" s="1244">
        <f t="shared" si="7"/>
        <v>4.2300000000000004</v>
      </c>
      <c r="I50" s="1243"/>
      <c r="J50" s="1244" t="str">
        <f>IF($F50="operation",VLOOKUP($I50,'Generic Vertical Port Tasks'!$C$4:$D$189,2,FALSE),"N/A")</f>
        <v>N/A</v>
      </c>
      <c r="K50" s="1243"/>
      <c r="L50" s="1243"/>
      <c r="M50" s="1243"/>
      <c r="N50" s="1245" t="str">
        <f>IFERROR(INDEX('Upper Cask Movement &amp; Logistics'!$I$24:$O$30,MATCH($J50,'Upper Cask Movement &amp; Logistics'!$H$24:$H$30,0),MATCH($K50,'Upper Cask Movement &amp; Logistics'!$H$24:$H$30,0)),"N/A")</f>
        <v>N/A</v>
      </c>
      <c r="O50" s="1245" t="str">
        <f>IFERROR(VLOOKUP($I50,'Upper Cask Movement &amp; Logistics'!$H$4:$I$8,2,FALSE),"N/A")</f>
        <v>N/A</v>
      </c>
      <c r="P50" s="1244" t="str">
        <f t="shared" si="6"/>
        <v>N/A</v>
      </c>
      <c r="Q50" s="1246" t="s">
        <v>1228</v>
      </c>
      <c r="R50" s="1244">
        <f>IF($F50="Logistics",VLOOKUP($Q50,'Upper Cask Movement &amp; Logistics'!$C$4:$D$209,2,FALSE),"N/A")</f>
        <v>0.63000000000000012</v>
      </c>
      <c r="S50" s="1247" t="s">
        <v>1354</v>
      </c>
      <c r="T50" s="1244">
        <f>IFERROR(VLOOKUP($S50,'Upper Cask Recovery Logistics'!$C$29:$F$203,4,FALSE),"N/A")</f>
        <v>3.6000000000000005</v>
      </c>
      <c r="U50" s="1248">
        <f t="shared" si="8"/>
        <v>-1.4450844682832313</v>
      </c>
      <c r="V50" s="1510"/>
      <c r="X50" s="273"/>
      <c r="Y50" s="273"/>
      <c r="Z50" s="273"/>
      <c r="AA50" s="752"/>
      <c r="AB50" s="290"/>
      <c r="AC50" s="290"/>
      <c r="AD50" s="290"/>
      <c r="AE50" s="7"/>
      <c r="AF50" s="7"/>
      <c r="AG50" s="7"/>
      <c r="AH50" s="7"/>
    </row>
    <row r="51" spans="2:34" ht="15" hidden="1" customHeight="1" outlineLevel="2" thickBot="1" x14ac:dyDescent="0.45">
      <c r="B51" s="762"/>
      <c r="C51" s="5"/>
      <c r="D51" s="3986"/>
      <c r="E51" s="1314" t="s">
        <v>1251</v>
      </c>
      <c r="F51" s="1314" t="s">
        <v>3</v>
      </c>
      <c r="G51" s="1316">
        <f t="shared" si="9"/>
        <v>0.38</v>
      </c>
      <c r="H51" s="1316">
        <f t="shared" si="7"/>
        <v>4.6100000000000003</v>
      </c>
      <c r="I51" s="1314"/>
      <c r="J51" s="1316" t="str">
        <f>IF($F51="operation",VLOOKUP($I51,'Generic Vertical Port Tasks'!$C$4:$D$189,2,FALSE),"N/A")</f>
        <v>N/A</v>
      </c>
      <c r="K51" s="1314"/>
      <c r="L51" s="1314"/>
      <c r="M51" s="1314"/>
      <c r="N51" s="1319" t="str">
        <f>IFERROR(INDEX('Upper Cask Movement &amp; Logistics'!$I$24:$O$30,MATCH($J51,'Upper Cask Movement &amp; Logistics'!$H$24:$H$30,0),MATCH($K51,'Upper Cask Movement &amp; Logistics'!$H$24:$H$30,0)),"N/A")</f>
        <v>N/A</v>
      </c>
      <c r="O51" s="1319" t="str">
        <f>IFERROR(VLOOKUP($I51,'Upper Cask Movement &amp; Logistics'!$H$4:$I$8,2,FALSE),"N/A")</f>
        <v>N/A</v>
      </c>
      <c r="P51" s="1316" t="str">
        <f t="shared" si="6"/>
        <v>N/A</v>
      </c>
      <c r="Q51" s="1507" t="s">
        <v>1230</v>
      </c>
      <c r="R51" s="1316">
        <f>IF($F51="Logistics",VLOOKUP($Q51,'Upper Cask Movement &amp; Logistics'!$C$4:$D$209,2,FALSE),"N/A")</f>
        <v>0.38</v>
      </c>
      <c r="S51" s="1508"/>
      <c r="T51" s="1316" t="str">
        <f>IFERROR(VLOOKUP($S51,'Upper Cask Recovery Logistics'!$C$29:$F$203,4,FALSE),"N/A")</f>
        <v>N/A</v>
      </c>
      <c r="U51" s="1509" t="str">
        <f t="shared" si="8"/>
        <v>N/A</v>
      </c>
      <c r="V51" s="1510"/>
      <c r="X51" s="273"/>
      <c r="Y51" s="273"/>
      <c r="Z51" s="273"/>
      <c r="AA51" s="752"/>
      <c r="AB51" s="290"/>
      <c r="AC51" s="290"/>
      <c r="AD51" s="290"/>
      <c r="AE51" s="7"/>
      <c r="AF51" s="7"/>
      <c r="AG51" s="7"/>
      <c r="AH51" s="7"/>
    </row>
    <row r="52" spans="2:34" ht="15" hidden="1" customHeight="1" outlineLevel="2" x14ac:dyDescent="0.4">
      <c r="B52" s="762"/>
      <c r="C52" s="5"/>
      <c r="D52" s="3992" t="s">
        <v>827</v>
      </c>
      <c r="E52" s="596" t="s">
        <v>1252</v>
      </c>
      <c r="F52" s="596" t="s">
        <v>3</v>
      </c>
      <c r="G52" s="593">
        <f t="shared" si="9"/>
        <v>0.38</v>
      </c>
      <c r="H52" s="593">
        <f t="shared" si="7"/>
        <v>4.99</v>
      </c>
      <c r="I52" s="596"/>
      <c r="J52" s="593" t="str">
        <f>IF($F52="operation",VLOOKUP($I52,'Generic Vertical Port Tasks'!$C$4:$D$189,2,FALSE),"N/A")</f>
        <v>N/A</v>
      </c>
      <c r="K52" s="596"/>
      <c r="L52" s="596"/>
      <c r="M52" s="596"/>
      <c r="N52" s="597" t="str">
        <f>IFERROR(INDEX('Upper Cask Movement &amp; Logistics'!$I$24:$O$30,MATCH($J52,'Upper Cask Movement &amp; Logistics'!$H$24:$H$30,0),MATCH($K52,'Upper Cask Movement &amp; Logistics'!$H$24:$H$30,0)),"N/A")</f>
        <v>N/A</v>
      </c>
      <c r="O52" s="597" t="str">
        <f>IFERROR(VLOOKUP($I52,'Upper Cask Movement &amp; Logistics'!$H$4:$I$8,2,FALSE),"N/A")</f>
        <v>N/A</v>
      </c>
      <c r="P52" s="593" t="str">
        <f t="shared" si="6"/>
        <v>N/A</v>
      </c>
      <c r="Q52" s="1253" t="s">
        <v>1226</v>
      </c>
      <c r="R52" s="593">
        <f>IF($F52="Logistics",VLOOKUP($Q52,'Upper Cask Movement &amp; Logistics'!$C$4:$D$209,2,FALSE),"N/A")</f>
        <v>0.38</v>
      </c>
      <c r="S52" s="1254"/>
      <c r="T52" s="593" t="str">
        <f>IFERROR(VLOOKUP($S52,'Upper Cask Recovery Logistics'!$C$29:$F$203,4,FALSE),"N/A")</f>
        <v>N/A</v>
      </c>
      <c r="U52" s="1255" t="str">
        <f t="shared" si="8"/>
        <v>N/A</v>
      </c>
      <c r="V52" s="1510"/>
      <c r="X52" s="273"/>
      <c r="Y52" s="273"/>
      <c r="Z52" s="273"/>
      <c r="AA52" s="752"/>
      <c r="AB52" s="290"/>
      <c r="AC52" s="290"/>
      <c r="AD52" s="290"/>
      <c r="AE52" s="7"/>
      <c r="AF52" s="7"/>
      <c r="AG52" s="7"/>
      <c r="AH52" s="7"/>
    </row>
    <row r="53" spans="2:34" ht="15.75" hidden="1" customHeight="1" outlineLevel="2" x14ac:dyDescent="0.4">
      <c r="B53" s="762"/>
      <c r="C53" s="5"/>
      <c r="D53" s="3993"/>
      <c r="E53" s="601" t="s">
        <v>19</v>
      </c>
      <c r="F53" s="601" t="s">
        <v>251</v>
      </c>
      <c r="G53" s="602">
        <f t="shared" si="9"/>
        <v>6.83</v>
      </c>
      <c r="H53" s="602">
        <f t="shared" si="7"/>
        <v>11.82</v>
      </c>
      <c r="I53" s="601" t="s">
        <v>252</v>
      </c>
      <c r="J53" s="602">
        <f>IF($F53="operation",VLOOKUP($I53,'Generic Vertical Port Tasks'!$C$4:$D$189,2,FALSE),"N/A")</f>
        <v>6.83</v>
      </c>
      <c r="K53" s="601"/>
      <c r="L53" s="601"/>
      <c r="M53" s="601"/>
      <c r="N53" s="605" t="str">
        <f>IFERROR(INDEX('Upper Cask Movement &amp; Logistics'!$I$24:$O$30,MATCH($J53,'Upper Cask Movement &amp; Logistics'!$H$24:$H$30,0),MATCH($K53,'Upper Cask Movement &amp; Logistics'!$H$24:$H$30,0)),"N/A")</f>
        <v>N/A</v>
      </c>
      <c r="O53" s="605" t="str">
        <f>IFERROR(VLOOKUP($I53,'Upper Cask Movement &amp; Logistics'!$H$4:$I$8,2,FALSE),"N/A")</f>
        <v>N/A</v>
      </c>
      <c r="P53" s="602" t="str">
        <f t="shared" si="6"/>
        <v>N/A</v>
      </c>
      <c r="Q53" s="1234"/>
      <c r="R53" s="602" t="str">
        <f>IF($F53="Logistics",VLOOKUP($Q53,'Upper Cask Movement &amp; Logistics'!$C$4:$D$209,2,FALSE),"N/A")</f>
        <v>N/A</v>
      </c>
      <c r="S53" s="1235"/>
      <c r="T53" s="602" t="str">
        <f>IFERROR(VLOOKUP($S53,'Upper Cask Recovery Logistics'!$C$29:$F$203,4,FALSE),"N/A")</f>
        <v>N/A</v>
      </c>
      <c r="U53" s="1236" t="str">
        <f t="shared" si="8"/>
        <v>N/A</v>
      </c>
      <c r="V53" s="1510"/>
      <c r="X53" s="273"/>
      <c r="Y53" s="273"/>
      <c r="Z53" s="273"/>
      <c r="AA53" s="752"/>
      <c r="AB53" s="290"/>
      <c r="AC53" s="290"/>
      <c r="AD53" s="290"/>
      <c r="AE53" s="7"/>
      <c r="AF53" s="7"/>
      <c r="AG53" s="7"/>
      <c r="AH53" s="7"/>
    </row>
    <row r="54" spans="2:34" ht="15" hidden="1" customHeight="1" outlineLevel="2" x14ac:dyDescent="0.4">
      <c r="B54" s="762"/>
      <c r="C54" s="5"/>
      <c r="D54" s="3993"/>
      <c r="E54" s="601" t="s">
        <v>1246</v>
      </c>
      <c r="F54" s="601" t="s">
        <v>3</v>
      </c>
      <c r="G54" s="602">
        <f t="shared" si="9"/>
        <v>0.38</v>
      </c>
      <c r="H54" s="602">
        <f t="shared" si="7"/>
        <v>12.200000000000001</v>
      </c>
      <c r="I54" s="601"/>
      <c r="J54" s="602" t="str">
        <f>IF($F54="operation",VLOOKUP($I54,'Generic Vertical Port Tasks'!$C$4:$D$189,2,FALSE),"N/A")</f>
        <v>N/A</v>
      </c>
      <c r="K54" s="601"/>
      <c r="L54" s="601"/>
      <c r="M54" s="601"/>
      <c r="N54" s="605" t="str">
        <f>IFERROR(INDEX('Upper Cask Movement &amp; Logistics'!$I$24:$O$30,MATCH($J54,'Upper Cask Movement &amp; Logistics'!$H$24:$H$30,0),MATCH($K54,'Upper Cask Movement &amp; Logistics'!$H$24:$H$30,0)),"N/A")</f>
        <v>N/A</v>
      </c>
      <c r="O54" s="605" t="str">
        <f>IFERROR(VLOOKUP($I54,'Upper Cask Movement &amp; Logistics'!$H$4:$I$8,2,FALSE),"N/A")</f>
        <v>N/A</v>
      </c>
      <c r="P54" s="602" t="str">
        <f t="shared" si="6"/>
        <v>N/A</v>
      </c>
      <c r="Q54" s="1234" t="s">
        <v>1230</v>
      </c>
      <c r="R54" s="602">
        <f>IF($F54="Logistics",VLOOKUP($Q54,'Upper Cask Movement &amp; Logistics'!$C$4:$D$209,2,FALSE),"N/A")</f>
        <v>0.38</v>
      </c>
      <c r="S54" s="1235"/>
      <c r="T54" s="602" t="str">
        <f>IFERROR(VLOOKUP($S54,'Upper Cask Recovery Logistics'!$C$29:$F$203,4,FALSE),"N/A")</f>
        <v>N/A</v>
      </c>
      <c r="U54" s="1236" t="str">
        <f t="shared" si="8"/>
        <v>N/A</v>
      </c>
      <c r="V54" s="1510"/>
      <c r="X54" s="273"/>
      <c r="Y54" s="273"/>
      <c r="Z54" s="273"/>
      <c r="AA54" s="752"/>
      <c r="AB54" s="290"/>
      <c r="AC54" s="290"/>
      <c r="AD54" s="290"/>
      <c r="AE54" s="7"/>
      <c r="AF54" s="7"/>
      <c r="AG54" s="7"/>
      <c r="AH54" s="7"/>
    </row>
    <row r="55" spans="2:34" ht="15.75" hidden="1" customHeight="1" outlineLevel="2" x14ac:dyDescent="0.4">
      <c r="B55" s="762"/>
      <c r="C55" s="5"/>
      <c r="D55" s="3993"/>
      <c r="E55" s="601" t="s">
        <v>1247</v>
      </c>
      <c r="F55" s="601" t="s">
        <v>3</v>
      </c>
      <c r="G55" s="602">
        <f t="shared" si="9"/>
        <v>0.38</v>
      </c>
      <c r="H55" s="602">
        <f t="shared" si="7"/>
        <v>12.580000000000002</v>
      </c>
      <c r="I55" s="601"/>
      <c r="J55" s="602" t="str">
        <f>IF($F55="operation",VLOOKUP($I55,'Generic Vertical Port Tasks'!$C$4:$D$189,2,FALSE),"N/A")</f>
        <v>N/A</v>
      </c>
      <c r="K55" s="601"/>
      <c r="L55" s="601"/>
      <c r="M55" s="601"/>
      <c r="N55" s="605" t="str">
        <f>IFERROR(INDEX('Upper Cask Movement &amp; Logistics'!$I$24:$O$30,MATCH($J55,'Upper Cask Movement &amp; Logistics'!$H$24:$H$30,0),MATCH($K55,'Upper Cask Movement &amp; Logistics'!$H$24:$H$30,0)),"N/A")</f>
        <v>N/A</v>
      </c>
      <c r="O55" s="605" t="str">
        <f>IFERROR(VLOOKUP($I55,'Upper Cask Movement &amp; Logistics'!$H$4:$I$8,2,FALSE),"N/A")</f>
        <v>N/A</v>
      </c>
      <c r="P55" s="602" t="str">
        <f t="shared" si="6"/>
        <v>N/A</v>
      </c>
      <c r="Q55" s="1234" t="s">
        <v>1226</v>
      </c>
      <c r="R55" s="602">
        <f>IF($F55="Logistics",VLOOKUP($Q55,'Upper Cask Movement &amp; Logistics'!$C$4:$D$209,2,FALSE),"N/A")</f>
        <v>0.38</v>
      </c>
      <c r="S55" s="1235"/>
      <c r="T55" s="602" t="str">
        <f>IFERROR(VLOOKUP($S55,'Upper Cask Recovery Logistics'!$C$29:$F$203,4,FALSE),"N/A")</f>
        <v>N/A</v>
      </c>
      <c r="U55" s="1236" t="str">
        <f t="shared" si="8"/>
        <v>N/A</v>
      </c>
      <c r="V55" s="1510"/>
      <c r="X55" s="273"/>
      <c r="Y55" s="273"/>
      <c r="Z55" s="273"/>
      <c r="AA55" s="752"/>
      <c r="AB55" s="5"/>
      <c r="AC55" s="7"/>
      <c r="AD55" s="7"/>
      <c r="AE55" s="7"/>
      <c r="AF55" s="7"/>
      <c r="AG55" s="7"/>
      <c r="AH55" s="7"/>
    </row>
    <row r="56" spans="2:34" ht="15" hidden="1" customHeight="1" outlineLevel="2" x14ac:dyDescent="0.4">
      <c r="B56" s="762"/>
      <c r="C56" s="5"/>
      <c r="D56" s="3993"/>
      <c r="E56" s="601" t="s">
        <v>150</v>
      </c>
      <c r="F56" s="601" t="s">
        <v>251</v>
      </c>
      <c r="G56" s="602">
        <f t="shared" si="9"/>
        <v>1.0499155317167692</v>
      </c>
      <c r="H56" s="602">
        <f t="shared" si="7"/>
        <v>13.629915531716771</v>
      </c>
      <c r="I56" s="601" t="s">
        <v>2491</v>
      </c>
      <c r="J56" s="602">
        <f>IF($F56="operation",VLOOKUP($I56,'Generic Vertical Port Tasks'!$C$4:$D$189,2,FALSE),"N/A")</f>
        <v>1.0499155317167692</v>
      </c>
      <c r="K56" s="601"/>
      <c r="L56" s="601"/>
      <c r="M56" s="601"/>
      <c r="N56" s="605" t="str">
        <f>IFERROR(INDEX('Upper Cask Movement &amp; Logistics'!$I$24:$O$30,MATCH($J56,'Upper Cask Movement &amp; Logistics'!$H$24:$H$30,0),MATCH($K56,'Upper Cask Movement &amp; Logistics'!$H$24:$H$30,0)),"N/A")</f>
        <v>N/A</v>
      </c>
      <c r="O56" s="605" t="str">
        <f>IFERROR(VLOOKUP($I56,'Upper Cask Movement &amp; Logistics'!$H$4:$I$8,2,FALSE),"N/A")</f>
        <v>N/A</v>
      </c>
      <c r="P56" s="602" t="str">
        <f t="shared" si="6"/>
        <v>N/A</v>
      </c>
      <c r="Q56" s="1234"/>
      <c r="R56" s="602" t="str">
        <f>IF($F56="Logistics",VLOOKUP($Q56,'Upper Cask Movement &amp; Logistics'!$C$4:$D$209,2,FALSE),"N/A")</f>
        <v>N/A</v>
      </c>
      <c r="S56" s="1235"/>
      <c r="T56" s="602" t="str">
        <f>IFERROR(VLOOKUP($S56,'Upper Cask Recovery Logistics'!$C$29:$F$203,4,FALSE),"N/A")</f>
        <v>N/A</v>
      </c>
      <c r="U56" s="1236" t="str">
        <f t="shared" si="8"/>
        <v>N/A</v>
      </c>
      <c r="V56" s="1510"/>
      <c r="X56" s="273"/>
      <c r="Y56" s="273"/>
      <c r="Z56" s="273"/>
      <c r="AA56" s="752"/>
      <c r="AB56" s="5"/>
      <c r="AC56" s="7"/>
      <c r="AD56" s="7"/>
      <c r="AE56" s="7"/>
      <c r="AF56" s="7"/>
      <c r="AG56" s="7"/>
      <c r="AH56" s="7"/>
    </row>
    <row r="57" spans="2:34" ht="15" hidden="1" customHeight="1" outlineLevel="2" thickBot="1" x14ac:dyDescent="0.45">
      <c r="B57" s="762"/>
      <c r="C57" s="5"/>
      <c r="D57" s="3994"/>
      <c r="E57" s="609" t="s">
        <v>1248</v>
      </c>
      <c r="F57" s="609" t="s">
        <v>3</v>
      </c>
      <c r="G57" s="610">
        <f t="shared" si="9"/>
        <v>0.38</v>
      </c>
      <c r="H57" s="610">
        <f t="shared" si="7"/>
        <v>14.009915531716771</v>
      </c>
      <c r="I57" s="609"/>
      <c r="J57" s="610" t="str">
        <f>IF($F57="operation",VLOOKUP($I57,'Generic Vertical Port Tasks'!$C$4:$D$189,2,FALSE),"N/A")</f>
        <v>N/A</v>
      </c>
      <c r="K57" s="609"/>
      <c r="L57" s="609"/>
      <c r="M57" s="609"/>
      <c r="N57" s="613" t="str">
        <f>IFERROR(INDEX('Upper Cask Movement &amp; Logistics'!$I$24:$O$30,MATCH($J57,'Upper Cask Movement &amp; Logistics'!$H$24:$H$30,0),MATCH($K57,'Upper Cask Movement &amp; Logistics'!$H$24:$H$30,0)),"N/A")</f>
        <v>N/A</v>
      </c>
      <c r="O57" s="613" t="str">
        <f>IFERROR(VLOOKUP($I57,'Upper Cask Movement &amp; Logistics'!$H$4:$I$8,2,FALSE),"N/A")</f>
        <v>N/A</v>
      </c>
      <c r="P57" s="610" t="str">
        <f t="shared" si="6"/>
        <v>N/A</v>
      </c>
      <c r="Q57" s="1237" t="s">
        <v>1230</v>
      </c>
      <c r="R57" s="610">
        <f>IF($F57="Logistics",VLOOKUP($Q57,'Upper Cask Movement &amp; Logistics'!$C$4:$D$209,2,FALSE),"N/A")</f>
        <v>0.38</v>
      </c>
      <c r="S57" s="1238"/>
      <c r="T57" s="610" t="str">
        <f>IFERROR(VLOOKUP($S57,'Upper Cask Recovery Logistics'!$C$29:$F$203,4,FALSE),"N/A")</f>
        <v>N/A</v>
      </c>
      <c r="U57" s="1239" t="str">
        <f t="shared" si="8"/>
        <v>N/A</v>
      </c>
      <c r="V57" s="1510"/>
      <c r="X57" s="273"/>
      <c r="Y57" s="273"/>
      <c r="Z57" s="273"/>
      <c r="AA57" s="752"/>
      <c r="AB57" s="5"/>
      <c r="AC57" s="7"/>
      <c r="AD57" s="7"/>
      <c r="AE57" s="7"/>
      <c r="AF57" s="7"/>
      <c r="AG57" s="7"/>
      <c r="AH57" s="7"/>
    </row>
    <row r="58" spans="2:34" ht="15" hidden="1" customHeight="1" outlineLevel="2" x14ac:dyDescent="0.4">
      <c r="B58" s="762"/>
      <c r="C58" s="5"/>
      <c r="D58" s="3984" t="s">
        <v>830</v>
      </c>
      <c r="E58" s="1333" t="s">
        <v>1517</v>
      </c>
      <c r="F58" s="1333" t="s">
        <v>3</v>
      </c>
      <c r="G58" s="1303">
        <f t="shared" si="9"/>
        <v>0.38</v>
      </c>
      <c r="H58" s="1303">
        <f t="shared" si="7"/>
        <v>14.389915531716772</v>
      </c>
      <c r="I58" s="1333"/>
      <c r="J58" s="1303" t="str">
        <f>IF($F58="operation",VLOOKUP($I58,'Generic Vertical Port Tasks'!$C$4:$D$189,2,FALSE),"N/A")</f>
        <v>N/A</v>
      </c>
      <c r="K58" s="1333"/>
      <c r="L58" s="1333"/>
      <c r="M58" s="1333"/>
      <c r="N58" s="1334" t="str">
        <f>IFERROR(INDEX('Upper Cask Movement &amp; Logistics'!$I$24:$O$30,MATCH($J58,'Upper Cask Movement &amp; Logistics'!$H$24:$H$30,0),MATCH($K58,'Upper Cask Movement &amp; Logistics'!$H$24:$H$30,0)),"N/A")</f>
        <v>N/A</v>
      </c>
      <c r="O58" s="1334" t="str">
        <f>IFERROR(VLOOKUP($I58,'Upper Cask Movement &amp; Logistics'!$H$4:$I$8,2,FALSE),"N/A")</f>
        <v>N/A</v>
      </c>
      <c r="P58" s="1303" t="str">
        <f t="shared" si="6"/>
        <v>N/A</v>
      </c>
      <c r="Q58" s="1504" t="s">
        <v>1226</v>
      </c>
      <c r="R58" s="1303">
        <f>IF($F58="Logistics",VLOOKUP($Q58,'Upper Cask Movement &amp; Logistics'!$C$4:$D$209,2,FALSE),"N/A")</f>
        <v>0.38</v>
      </c>
      <c r="S58" s="1505"/>
      <c r="T58" s="1303" t="str">
        <f>IFERROR(VLOOKUP($S58,'Upper Cask Recovery Logistics'!$C$29:$F$203,4,FALSE),"N/A")</f>
        <v>N/A</v>
      </c>
      <c r="U58" s="1506" t="str">
        <f t="shared" si="8"/>
        <v>N/A</v>
      </c>
      <c r="V58" s="1510"/>
      <c r="X58" s="273"/>
      <c r="Y58" s="273"/>
      <c r="Z58" s="273"/>
      <c r="AA58" s="752"/>
      <c r="AB58" s="5"/>
      <c r="AC58" s="7"/>
      <c r="AD58" s="7"/>
      <c r="AE58" s="7"/>
      <c r="AF58" s="7"/>
      <c r="AG58" s="7"/>
      <c r="AH58" s="7"/>
    </row>
    <row r="59" spans="2:34" ht="15.75" hidden="1" customHeight="1" outlineLevel="2" x14ac:dyDescent="0.4">
      <c r="B59" s="762"/>
      <c r="C59" s="5"/>
      <c r="D59" s="3985"/>
      <c r="E59" s="1243" t="s">
        <v>125</v>
      </c>
      <c r="F59" s="1243" t="s">
        <v>251</v>
      </c>
      <c r="G59" s="1244">
        <f t="shared" si="9"/>
        <v>0.72499999999999998</v>
      </c>
      <c r="H59" s="1244">
        <f t="shared" si="7"/>
        <v>15.114915531716772</v>
      </c>
      <c r="I59" s="1243" t="s">
        <v>253</v>
      </c>
      <c r="J59" s="1244">
        <f>IF($F59="operation",VLOOKUP($I59,'Generic Vertical Port Tasks'!$C$4:$D$189,2,FALSE),"N/A")</f>
        <v>0.72499999999999998</v>
      </c>
      <c r="K59" s="1243"/>
      <c r="L59" s="1243"/>
      <c r="M59" s="1243"/>
      <c r="N59" s="1245" t="str">
        <f>IFERROR(INDEX('Upper Cask Movement &amp; Logistics'!$I$24:$O$30,MATCH($J59,'Upper Cask Movement &amp; Logistics'!$H$24:$H$30,0),MATCH($K59,'Upper Cask Movement &amp; Logistics'!$H$24:$H$30,0)),"N/A")</f>
        <v>N/A</v>
      </c>
      <c r="O59" s="1245" t="str">
        <f>IFERROR(VLOOKUP($I59,'Upper Cask Movement &amp; Logistics'!$H$4:$I$8,2,FALSE),"N/A")</f>
        <v>N/A</v>
      </c>
      <c r="P59" s="1244" t="str">
        <f t="shared" si="6"/>
        <v>N/A</v>
      </c>
      <c r="Q59" s="1246"/>
      <c r="R59" s="1244" t="str">
        <f>IF($F59="Logistics",VLOOKUP($Q59,'Upper Cask Movement &amp; Logistics'!$C$4:$D$209,2,FALSE),"N/A")</f>
        <v>N/A</v>
      </c>
      <c r="S59" s="1247"/>
      <c r="T59" s="1244" t="str">
        <f>IFERROR(VLOOKUP($S59,'Upper Cask Recovery Logistics'!$C$29:$F$203,4,FALSE),"N/A")</f>
        <v>N/A</v>
      </c>
      <c r="U59" s="1248" t="str">
        <f t="shared" si="8"/>
        <v>N/A</v>
      </c>
      <c r="V59" s="1510"/>
      <c r="X59" s="273"/>
      <c r="Y59" s="273"/>
      <c r="Z59" s="273"/>
      <c r="AA59" s="752"/>
      <c r="AB59" s="5"/>
      <c r="AC59" s="7"/>
      <c r="AD59" s="7"/>
      <c r="AE59" s="7"/>
      <c r="AF59" s="7"/>
      <c r="AG59" s="7"/>
      <c r="AH59" s="7"/>
    </row>
    <row r="60" spans="2:34" ht="15" hidden="1" customHeight="1" outlineLevel="2" x14ac:dyDescent="0.4">
      <c r="B60" s="762"/>
      <c r="C60" s="5"/>
      <c r="D60" s="3985"/>
      <c r="E60" s="1243" t="s">
        <v>1254</v>
      </c>
      <c r="F60" s="1243" t="s">
        <v>3</v>
      </c>
      <c r="G60" s="1244">
        <f t="shared" si="9"/>
        <v>0.63000000000000012</v>
      </c>
      <c r="H60" s="1244">
        <f t="shared" si="7"/>
        <v>15.744915531716773</v>
      </c>
      <c r="I60" s="1243"/>
      <c r="J60" s="1244" t="str">
        <f>IF($F60="operation",VLOOKUP($I60,'Generic Vertical Port Tasks'!$C$4:$D$189,2,FALSE),"N/A")</f>
        <v>N/A</v>
      </c>
      <c r="K60" s="1243"/>
      <c r="L60" s="1243"/>
      <c r="M60" s="1243"/>
      <c r="N60" s="1245" t="str">
        <f>IFERROR(INDEX('Upper Cask Movement &amp; Logistics'!$I$24:$O$30,MATCH($J60,'Upper Cask Movement &amp; Logistics'!$H$24:$H$30,0),MATCH($K60,'Upper Cask Movement &amp; Logistics'!$H$24:$H$30,0)),"N/A")</f>
        <v>N/A</v>
      </c>
      <c r="O60" s="1245" t="str">
        <f>IFERROR(VLOOKUP($I60,'Upper Cask Movement &amp; Logistics'!$H$4:$I$8,2,FALSE),"N/A")</f>
        <v>N/A</v>
      </c>
      <c r="P60" s="1244" t="str">
        <f t="shared" si="6"/>
        <v>N/A</v>
      </c>
      <c r="Q60" s="1246" t="s">
        <v>1228</v>
      </c>
      <c r="R60" s="1244">
        <f>IF($F60="Logistics",VLOOKUP($Q60,'Upper Cask Movement &amp; Logistics'!$C$4:$D$209,2,FALSE),"N/A")</f>
        <v>0.63000000000000012</v>
      </c>
      <c r="S60" s="1247" t="s">
        <v>1368</v>
      </c>
      <c r="T60" s="1244">
        <f>IFERROR(VLOOKUP($S60,'Upper Cask Recovery Logistics'!$C$29:$F$203,4,FALSE),"N/A")</f>
        <v>7.4608414576426965</v>
      </c>
      <c r="U60" s="1248">
        <f t="shared" si="8"/>
        <v>7.6540740740740754</v>
      </c>
      <c r="V60" s="1510"/>
      <c r="X60" s="273"/>
      <c r="Y60" s="273"/>
      <c r="Z60" s="273"/>
      <c r="AA60" s="752"/>
      <c r="AB60" s="5"/>
      <c r="AC60" s="7"/>
      <c r="AD60" s="7"/>
      <c r="AE60" s="7"/>
      <c r="AF60" s="7"/>
      <c r="AG60" s="7"/>
      <c r="AH60" s="7"/>
    </row>
    <row r="61" spans="2:34" ht="15.75" hidden="1" customHeight="1" outlineLevel="2" thickBot="1" x14ac:dyDescent="0.45">
      <c r="B61" s="762"/>
      <c r="C61" s="5"/>
      <c r="D61" s="3986"/>
      <c r="E61" s="1314" t="s">
        <v>1251</v>
      </c>
      <c r="F61" s="1314" t="s">
        <v>3</v>
      </c>
      <c r="G61" s="1316">
        <f t="shared" si="9"/>
        <v>0.38</v>
      </c>
      <c r="H61" s="1316">
        <f t="shared" si="7"/>
        <v>16.124915531716773</v>
      </c>
      <c r="I61" s="1314"/>
      <c r="J61" s="1316" t="str">
        <f>IF($F61="operation",VLOOKUP($I61,'Generic Vertical Port Tasks'!$C$4:$D$189,2,FALSE),"N/A")</f>
        <v>N/A</v>
      </c>
      <c r="K61" s="1314"/>
      <c r="L61" s="1314"/>
      <c r="M61" s="1314"/>
      <c r="N61" s="1319" t="str">
        <f>IFERROR(INDEX('Upper Cask Movement &amp; Logistics'!$I$24:$O$30,MATCH($J61,'Upper Cask Movement &amp; Logistics'!$H$24:$H$30,0),MATCH($K61,'Upper Cask Movement &amp; Logistics'!$H$24:$H$30,0)),"N/A")</f>
        <v>N/A</v>
      </c>
      <c r="O61" s="1319" t="str">
        <f>IFERROR(VLOOKUP($I61,'Upper Cask Movement &amp; Logistics'!$H$4:$I$8,2,FALSE),"N/A")</f>
        <v>N/A</v>
      </c>
      <c r="P61" s="1316" t="str">
        <f t="shared" si="6"/>
        <v>N/A</v>
      </c>
      <c r="Q61" s="1507" t="s">
        <v>1230</v>
      </c>
      <c r="R61" s="1316">
        <f>IF($F61="Logistics",VLOOKUP($Q61,'Upper Cask Movement &amp; Logistics'!$C$4:$D$209,2,FALSE),"N/A")</f>
        <v>0.38</v>
      </c>
      <c r="S61" s="1508"/>
      <c r="T61" s="1316" t="str">
        <f>IFERROR(VLOOKUP($S61,'Upper Cask Recovery Logistics'!$C$29:$F$203,4,FALSE),"N/A")</f>
        <v>N/A</v>
      </c>
      <c r="U61" s="1509" t="str">
        <f t="shared" si="8"/>
        <v>N/A</v>
      </c>
      <c r="V61" s="1510"/>
      <c r="X61" s="273"/>
      <c r="Y61" s="273"/>
      <c r="Z61" s="273"/>
      <c r="AA61" s="752"/>
      <c r="AB61" s="5"/>
      <c r="AC61" s="7"/>
      <c r="AD61" s="7"/>
      <c r="AE61" s="7"/>
      <c r="AF61" s="7"/>
      <c r="AG61" s="7"/>
      <c r="AH61" s="7"/>
    </row>
    <row r="62" spans="2:34" ht="15" hidden="1" customHeight="1" outlineLevel="2" x14ac:dyDescent="0.4">
      <c r="B62" s="762"/>
      <c r="C62" s="5"/>
      <c r="D62" s="3992" t="s">
        <v>832</v>
      </c>
      <c r="E62" s="596" t="s">
        <v>1252</v>
      </c>
      <c r="F62" s="596" t="s">
        <v>3</v>
      </c>
      <c r="G62" s="593">
        <f t="shared" si="9"/>
        <v>0.38</v>
      </c>
      <c r="H62" s="593">
        <f t="shared" si="7"/>
        <v>16.504915531716772</v>
      </c>
      <c r="I62" s="596"/>
      <c r="J62" s="593" t="str">
        <f>IF($F62="operation",VLOOKUP($I62,'Generic Vertical Port Tasks'!$C$4:$D$189,2,FALSE),"N/A")</f>
        <v>N/A</v>
      </c>
      <c r="K62" s="596"/>
      <c r="L62" s="596"/>
      <c r="M62" s="596"/>
      <c r="N62" s="597" t="str">
        <f>IFERROR(INDEX('Upper Cask Movement &amp; Logistics'!$I$24:$O$30,MATCH($J62,'Upper Cask Movement &amp; Logistics'!$H$24:$H$30,0),MATCH($K62,'Upper Cask Movement &amp; Logistics'!$H$24:$H$30,0)),"N/A")</f>
        <v>N/A</v>
      </c>
      <c r="O62" s="597" t="str">
        <f>IFERROR(VLOOKUP($I62,'Upper Cask Movement &amp; Logistics'!$H$4:$I$8,2,FALSE),"N/A")</f>
        <v>N/A</v>
      </c>
      <c r="P62" s="593" t="str">
        <f t="shared" si="6"/>
        <v>N/A</v>
      </c>
      <c r="Q62" s="1253" t="s">
        <v>1226</v>
      </c>
      <c r="R62" s="593">
        <f>IF($F62="Logistics",VLOOKUP($Q62,'Upper Cask Movement &amp; Logistics'!$C$4:$D$209,2,FALSE),"N/A")</f>
        <v>0.38</v>
      </c>
      <c r="S62" s="1254"/>
      <c r="T62" s="593" t="str">
        <f>IFERROR(VLOOKUP($S62,'Upper Cask Recovery Logistics'!$C$29:$F$203,4,FALSE),"N/A")</f>
        <v>N/A</v>
      </c>
      <c r="U62" s="1255" t="str">
        <f t="shared" si="8"/>
        <v>N/A</v>
      </c>
      <c r="V62" s="1510"/>
      <c r="X62" s="273"/>
      <c r="Y62" s="273"/>
      <c r="Z62" s="273"/>
      <c r="AA62" s="752"/>
      <c r="AB62" s="5"/>
      <c r="AC62" s="7"/>
      <c r="AD62" s="7"/>
      <c r="AE62" s="7"/>
      <c r="AF62" s="7"/>
      <c r="AG62" s="7"/>
      <c r="AH62" s="7"/>
    </row>
    <row r="63" spans="2:34" ht="15" hidden="1" customHeight="1" outlineLevel="2" x14ac:dyDescent="0.4">
      <c r="B63" s="762"/>
      <c r="C63" s="5"/>
      <c r="D63" s="3993"/>
      <c r="E63" s="601" t="s">
        <v>20</v>
      </c>
      <c r="F63" s="601" t="s">
        <v>251</v>
      </c>
      <c r="G63" s="602">
        <f t="shared" si="9"/>
        <v>6.83</v>
      </c>
      <c r="H63" s="602">
        <f t="shared" si="7"/>
        <v>23.334915531716774</v>
      </c>
      <c r="I63" s="601" t="s">
        <v>252</v>
      </c>
      <c r="J63" s="602">
        <f>IF($F63="operation",VLOOKUP($I63,'Generic Vertical Port Tasks'!$C$4:$D$189,2,FALSE),"N/A")</f>
        <v>6.83</v>
      </c>
      <c r="K63" s="601"/>
      <c r="L63" s="601"/>
      <c r="M63" s="601"/>
      <c r="N63" s="605" t="str">
        <f>IFERROR(INDEX('Upper Cask Movement &amp; Logistics'!$I$24:$O$30,MATCH($J63,'Upper Cask Movement &amp; Logistics'!$H$24:$H$30,0),MATCH($K63,'Upper Cask Movement &amp; Logistics'!$H$24:$H$30,0)),"N/A")</f>
        <v>N/A</v>
      </c>
      <c r="O63" s="605" t="str">
        <f>IFERROR(VLOOKUP($I63,'Upper Cask Movement &amp; Logistics'!$H$4:$I$8,2,FALSE),"N/A")</f>
        <v>N/A</v>
      </c>
      <c r="P63" s="602" t="str">
        <f t="shared" si="6"/>
        <v>N/A</v>
      </c>
      <c r="Q63" s="1234"/>
      <c r="R63" s="602" t="str">
        <f>IF($F63="Logistics",VLOOKUP($Q63,'Upper Cask Movement &amp; Logistics'!$C$4:$D$209,2,FALSE),"N/A")</f>
        <v>N/A</v>
      </c>
      <c r="S63" s="1235"/>
      <c r="T63" s="602" t="str">
        <f>IFERROR(VLOOKUP($S63,'Upper Cask Recovery Logistics'!$C$29:$F$203,4,FALSE),"N/A")</f>
        <v>N/A</v>
      </c>
      <c r="U63" s="1236" t="str">
        <f t="shared" si="8"/>
        <v>N/A</v>
      </c>
      <c r="V63" s="1510"/>
      <c r="X63" s="273"/>
      <c r="Y63" s="273"/>
      <c r="Z63" s="273"/>
      <c r="AA63" s="752"/>
      <c r="AB63" s="290"/>
      <c r="AC63" s="290"/>
      <c r="AD63" s="290"/>
      <c r="AE63" s="7"/>
      <c r="AF63" s="7"/>
      <c r="AG63" s="7"/>
      <c r="AH63" s="7"/>
    </row>
    <row r="64" spans="2:34" ht="15" hidden="1" customHeight="1" outlineLevel="2" x14ac:dyDescent="0.4">
      <c r="B64" s="762"/>
      <c r="C64" s="5"/>
      <c r="D64" s="3993"/>
      <c r="E64" s="601" t="s">
        <v>1246</v>
      </c>
      <c r="F64" s="601" t="s">
        <v>3</v>
      </c>
      <c r="G64" s="602">
        <f t="shared" si="9"/>
        <v>0.38</v>
      </c>
      <c r="H64" s="602">
        <f t="shared" si="7"/>
        <v>23.714915531716773</v>
      </c>
      <c r="I64" s="601"/>
      <c r="J64" s="602" t="str">
        <f>IF($F64="operation",VLOOKUP($I64,'Generic Vertical Port Tasks'!$C$4:$D$189,2,FALSE),"N/A")</f>
        <v>N/A</v>
      </c>
      <c r="K64" s="601"/>
      <c r="L64" s="601"/>
      <c r="M64" s="601"/>
      <c r="N64" s="605" t="str">
        <f>IFERROR(INDEX('Upper Cask Movement &amp; Logistics'!$I$24:$O$30,MATCH($J64,'Upper Cask Movement &amp; Logistics'!$H$24:$H$30,0),MATCH($K64,'Upper Cask Movement &amp; Logistics'!$H$24:$H$30,0)),"N/A")</f>
        <v>N/A</v>
      </c>
      <c r="O64" s="605" t="str">
        <f>IFERROR(VLOOKUP($I64,'Upper Cask Movement &amp; Logistics'!$H$4:$I$8,2,FALSE),"N/A")</f>
        <v>N/A</v>
      </c>
      <c r="P64" s="602" t="str">
        <f t="shared" si="6"/>
        <v>N/A</v>
      </c>
      <c r="Q64" s="1234" t="s">
        <v>1230</v>
      </c>
      <c r="R64" s="602">
        <f>IF($F64="Logistics",VLOOKUP($Q64,'Upper Cask Movement &amp; Logistics'!$C$4:$D$209,2,FALSE),"N/A")</f>
        <v>0.38</v>
      </c>
      <c r="S64" s="1235"/>
      <c r="T64" s="602" t="str">
        <f>IFERROR(VLOOKUP($S64,'Upper Cask Recovery Logistics'!$C$29:$F$203,4,FALSE),"N/A")</f>
        <v>N/A</v>
      </c>
      <c r="U64" s="1236" t="str">
        <f t="shared" si="8"/>
        <v>N/A</v>
      </c>
      <c r="V64" s="1510"/>
      <c r="X64" s="273"/>
      <c r="Y64" s="273"/>
      <c r="Z64" s="273"/>
      <c r="AA64" s="752"/>
      <c r="AB64" s="290"/>
      <c r="AC64" s="290"/>
      <c r="AD64" s="290"/>
      <c r="AE64" s="7"/>
      <c r="AF64" s="7"/>
      <c r="AG64" s="7"/>
      <c r="AH64" s="7"/>
    </row>
    <row r="65" spans="2:34" ht="15.75" hidden="1" customHeight="1" outlineLevel="2" x14ac:dyDescent="0.4">
      <c r="B65" s="762"/>
      <c r="C65" s="5"/>
      <c r="D65" s="3993"/>
      <c r="E65" s="601" t="s">
        <v>1247</v>
      </c>
      <c r="F65" s="601" t="s">
        <v>3</v>
      </c>
      <c r="G65" s="602">
        <f t="shared" si="9"/>
        <v>0.38</v>
      </c>
      <c r="H65" s="602">
        <f t="shared" si="7"/>
        <v>24.094915531716772</v>
      </c>
      <c r="I65" s="601"/>
      <c r="J65" s="602" t="str">
        <f>IF($F65="operation",VLOOKUP($I65,'Generic Vertical Port Tasks'!$C$4:$D$189,2,FALSE),"N/A")</f>
        <v>N/A</v>
      </c>
      <c r="K65" s="601"/>
      <c r="L65" s="601"/>
      <c r="M65" s="601"/>
      <c r="N65" s="605" t="str">
        <f>IFERROR(INDEX('Upper Cask Movement &amp; Logistics'!$I$24:$O$30,MATCH($J65,'Upper Cask Movement &amp; Logistics'!$H$24:$H$30,0),MATCH($K65,'Upper Cask Movement &amp; Logistics'!$H$24:$H$30,0)),"N/A")</f>
        <v>N/A</v>
      </c>
      <c r="O65" s="605" t="str">
        <f>IFERROR(VLOOKUP($I65,'Upper Cask Movement &amp; Logistics'!$H$4:$I$8,2,FALSE),"N/A")</f>
        <v>N/A</v>
      </c>
      <c r="P65" s="602" t="str">
        <f t="shared" si="6"/>
        <v>N/A</v>
      </c>
      <c r="Q65" s="1234" t="s">
        <v>1226</v>
      </c>
      <c r="R65" s="602">
        <f>IF($F65="Logistics",VLOOKUP($Q65,'Upper Cask Movement &amp; Logistics'!$C$4:$D$209,2,FALSE),"N/A")</f>
        <v>0.38</v>
      </c>
      <c r="S65" s="1235"/>
      <c r="T65" s="602" t="str">
        <f>IFERROR(VLOOKUP($S65,'Upper Cask Recovery Logistics'!$C$29:$F$203,4,FALSE),"N/A")</f>
        <v>N/A</v>
      </c>
      <c r="U65" s="1236" t="str">
        <f t="shared" si="8"/>
        <v>N/A</v>
      </c>
      <c r="V65" s="1510"/>
      <c r="X65" s="273"/>
      <c r="Y65" s="273"/>
      <c r="Z65" s="273"/>
      <c r="AA65" s="752"/>
      <c r="AB65" s="290"/>
      <c r="AC65" s="290"/>
      <c r="AD65" s="290"/>
      <c r="AE65" s="7"/>
      <c r="AF65" s="7"/>
      <c r="AG65" s="7"/>
      <c r="AH65" s="7"/>
    </row>
    <row r="66" spans="2:34" ht="15" hidden="1" customHeight="1" outlineLevel="2" x14ac:dyDescent="0.4">
      <c r="B66" s="762"/>
      <c r="C66" s="5"/>
      <c r="D66" s="3993"/>
      <c r="E66" s="601" t="s">
        <v>151</v>
      </c>
      <c r="F66" s="601" t="s">
        <v>251</v>
      </c>
      <c r="G66" s="602">
        <f t="shared" si="9"/>
        <v>1.0499155317167692</v>
      </c>
      <c r="H66" s="602">
        <f t="shared" si="7"/>
        <v>25.144831063433543</v>
      </c>
      <c r="I66" s="601" t="s">
        <v>2491</v>
      </c>
      <c r="J66" s="602">
        <f>IF($F66="operation",VLOOKUP($I66,'Generic Vertical Port Tasks'!$C$4:$D$189,2,FALSE),"N/A")</f>
        <v>1.0499155317167692</v>
      </c>
      <c r="K66" s="601"/>
      <c r="L66" s="601"/>
      <c r="M66" s="601"/>
      <c r="N66" s="605" t="str">
        <f>IFERROR(INDEX('Upper Cask Movement &amp; Logistics'!$I$24:$O$30,MATCH($J66,'Upper Cask Movement &amp; Logistics'!$H$24:$H$30,0),MATCH($K66,'Upper Cask Movement &amp; Logistics'!$H$24:$H$30,0)),"N/A")</f>
        <v>N/A</v>
      </c>
      <c r="O66" s="605" t="str">
        <f>IFERROR(VLOOKUP($I66,'Upper Cask Movement &amp; Logistics'!$H$4:$I$8,2,FALSE),"N/A")</f>
        <v>N/A</v>
      </c>
      <c r="P66" s="602" t="str">
        <f t="shared" si="6"/>
        <v>N/A</v>
      </c>
      <c r="Q66" s="1234"/>
      <c r="R66" s="602" t="str">
        <f>IF($F66="Logistics",VLOOKUP($Q66,'Upper Cask Movement &amp; Logistics'!$C$4:$D$209,2,FALSE),"N/A")</f>
        <v>N/A</v>
      </c>
      <c r="S66" s="1235"/>
      <c r="T66" s="602" t="str">
        <f>IFERROR(VLOOKUP($S66,'Upper Cask Recovery Logistics'!$C$29:$F$203,4,FALSE),"N/A")</f>
        <v>N/A</v>
      </c>
      <c r="U66" s="1236" t="str">
        <f t="shared" si="8"/>
        <v>N/A</v>
      </c>
      <c r="V66" s="1510"/>
      <c r="X66" s="273"/>
      <c r="Y66" s="273"/>
      <c r="Z66" s="273"/>
      <c r="AA66" s="752"/>
      <c r="AB66" s="290"/>
      <c r="AC66" s="290"/>
      <c r="AD66" s="290"/>
      <c r="AE66" s="7"/>
      <c r="AF66" s="7"/>
      <c r="AG66" s="7"/>
      <c r="AH66" s="7"/>
    </row>
    <row r="67" spans="2:34" ht="15.75" hidden="1" customHeight="1" outlineLevel="2" thickBot="1" x14ac:dyDescent="0.45">
      <c r="B67" s="762"/>
      <c r="C67" s="5"/>
      <c r="D67" s="3994"/>
      <c r="E67" s="609" t="s">
        <v>1248</v>
      </c>
      <c r="F67" s="609" t="s">
        <v>3</v>
      </c>
      <c r="G67" s="610">
        <f t="shared" si="9"/>
        <v>0.38</v>
      </c>
      <c r="H67" s="610">
        <f t="shared" si="7"/>
        <v>25.524831063433542</v>
      </c>
      <c r="I67" s="609"/>
      <c r="J67" s="610" t="str">
        <f>IF($F67="operation",VLOOKUP($I67,'Generic Vertical Port Tasks'!$C$4:$D$189,2,FALSE),"N/A")</f>
        <v>N/A</v>
      </c>
      <c r="K67" s="609"/>
      <c r="L67" s="609"/>
      <c r="M67" s="609"/>
      <c r="N67" s="613" t="str">
        <f>IFERROR(INDEX('Upper Cask Movement &amp; Logistics'!$I$24:$O$30,MATCH($J67,'Upper Cask Movement &amp; Logistics'!$H$24:$H$30,0),MATCH($K67,'Upper Cask Movement &amp; Logistics'!$H$24:$H$30,0)),"N/A")</f>
        <v>N/A</v>
      </c>
      <c r="O67" s="613" t="str">
        <f>IFERROR(VLOOKUP($I67,'Upper Cask Movement &amp; Logistics'!$H$4:$I$8,2,FALSE),"N/A")</f>
        <v>N/A</v>
      </c>
      <c r="P67" s="610" t="str">
        <f t="shared" si="6"/>
        <v>N/A</v>
      </c>
      <c r="Q67" s="1237" t="s">
        <v>1230</v>
      </c>
      <c r="R67" s="610">
        <f>IF($F67="Logistics",VLOOKUP($Q67,'Upper Cask Movement &amp; Logistics'!$C$4:$D$209,2,FALSE),"N/A")</f>
        <v>0.38</v>
      </c>
      <c r="S67" s="1238"/>
      <c r="T67" s="610" t="str">
        <f>IFERROR(VLOOKUP($S67,'Upper Cask Recovery Logistics'!$C$29:$F$203,4,FALSE),"N/A")</f>
        <v>N/A</v>
      </c>
      <c r="U67" s="1239" t="str">
        <f t="shared" si="8"/>
        <v>N/A</v>
      </c>
      <c r="V67" s="1510"/>
      <c r="X67" s="273"/>
      <c r="Y67" s="273"/>
      <c r="Z67" s="273"/>
      <c r="AA67" s="752"/>
      <c r="AB67" s="290"/>
      <c r="AC67" s="290"/>
      <c r="AD67" s="290"/>
      <c r="AE67" s="7"/>
      <c r="AF67" s="7"/>
      <c r="AG67" s="7"/>
      <c r="AH67" s="7"/>
    </row>
    <row r="68" spans="2:34" ht="15" hidden="1" customHeight="1" outlineLevel="2" x14ac:dyDescent="0.4">
      <c r="B68" s="762"/>
      <c r="C68" s="5"/>
      <c r="D68" s="3984" t="s">
        <v>835</v>
      </c>
      <c r="E68" s="1333" t="s">
        <v>1517</v>
      </c>
      <c r="F68" s="1333" t="s">
        <v>3</v>
      </c>
      <c r="G68" s="1303">
        <f t="shared" si="9"/>
        <v>0.38</v>
      </c>
      <c r="H68" s="1303">
        <f t="shared" si="7"/>
        <v>25.904831063433541</v>
      </c>
      <c r="I68" s="1333"/>
      <c r="J68" s="1303" t="str">
        <f>IF($F68="operation",VLOOKUP($I68,'Generic Vertical Port Tasks'!$C$4:$D$189,2,FALSE),"N/A")</f>
        <v>N/A</v>
      </c>
      <c r="K68" s="1333"/>
      <c r="L68" s="1333"/>
      <c r="M68" s="1333"/>
      <c r="N68" s="1334" t="str">
        <f>IFERROR(INDEX('Upper Cask Movement &amp; Logistics'!$I$24:$O$30,MATCH($J68,'Upper Cask Movement &amp; Logistics'!$H$24:$H$30,0),MATCH($K68,'Upper Cask Movement &amp; Logistics'!$H$24:$H$30,0)),"N/A")</f>
        <v>N/A</v>
      </c>
      <c r="O68" s="1334" t="str">
        <f>IFERROR(VLOOKUP($I68,'Upper Cask Movement &amp; Logistics'!$H$4:$I$8,2,FALSE),"N/A")</f>
        <v>N/A</v>
      </c>
      <c r="P68" s="1303" t="str">
        <f t="shared" si="6"/>
        <v>N/A</v>
      </c>
      <c r="Q68" s="1504" t="s">
        <v>1226</v>
      </c>
      <c r="R68" s="1303">
        <f>IF($F68="Logistics",VLOOKUP($Q68,'Upper Cask Movement &amp; Logistics'!$C$4:$D$209,2,FALSE),"N/A")</f>
        <v>0.38</v>
      </c>
      <c r="S68" s="1505"/>
      <c r="T68" s="1303" t="str">
        <f>IFERROR(VLOOKUP($S68,'Upper Cask Recovery Logistics'!$C$29:$F$203,4,FALSE),"N/A")</f>
        <v>N/A</v>
      </c>
      <c r="U68" s="1506" t="str">
        <f t="shared" si="8"/>
        <v>N/A</v>
      </c>
      <c r="V68" s="1510"/>
      <c r="X68" s="273"/>
      <c r="Y68" s="273"/>
      <c r="Z68" s="273"/>
      <c r="AA68" s="752"/>
      <c r="AB68" s="290"/>
      <c r="AC68" s="290"/>
      <c r="AD68" s="290"/>
      <c r="AE68" s="7"/>
      <c r="AF68" s="7"/>
      <c r="AG68" s="7"/>
      <c r="AH68" s="7"/>
    </row>
    <row r="69" spans="2:34" ht="15" hidden="1" customHeight="1" outlineLevel="2" x14ac:dyDescent="0.4">
      <c r="B69" s="762"/>
      <c r="C69" s="5"/>
      <c r="D69" s="3985"/>
      <c r="E69" s="1243" t="s">
        <v>127</v>
      </c>
      <c r="F69" s="1243" t="s">
        <v>251</v>
      </c>
      <c r="G69" s="1244">
        <f t="shared" si="9"/>
        <v>0.72499999999999998</v>
      </c>
      <c r="H69" s="1244">
        <f t="shared" si="7"/>
        <v>26.629831063433542</v>
      </c>
      <c r="I69" s="1243" t="s">
        <v>253</v>
      </c>
      <c r="J69" s="1244">
        <f>IF($F69="operation",VLOOKUP($I69,'Generic Vertical Port Tasks'!$C$4:$D$189,2,FALSE),"N/A")</f>
        <v>0.72499999999999998</v>
      </c>
      <c r="K69" s="1243"/>
      <c r="L69" s="1243"/>
      <c r="M69" s="1243"/>
      <c r="N69" s="1245" t="str">
        <f>IFERROR(INDEX('Upper Cask Movement &amp; Logistics'!$I$24:$O$30,MATCH($J69,'Upper Cask Movement &amp; Logistics'!$H$24:$H$30,0),MATCH($K69,'Upper Cask Movement &amp; Logistics'!$H$24:$H$30,0)),"N/A")</f>
        <v>N/A</v>
      </c>
      <c r="O69" s="1245" t="str">
        <f>IFERROR(VLOOKUP($I69,'Upper Cask Movement &amp; Logistics'!$H$4:$I$8,2,FALSE),"N/A")</f>
        <v>N/A</v>
      </c>
      <c r="P69" s="1244" t="str">
        <f t="shared" si="6"/>
        <v>N/A</v>
      </c>
      <c r="Q69" s="1246"/>
      <c r="R69" s="1244" t="str">
        <f>IF($F69="Logistics",VLOOKUP($Q69,'Upper Cask Movement &amp; Logistics'!$C$4:$D$209,2,FALSE),"N/A")</f>
        <v>N/A</v>
      </c>
      <c r="S69" s="1247"/>
      <c r="T69" s="1244" t="str">
        <f>IFERROR(VLOOKUP($S69,'Upper Cask Recovery Logistics'!$C$29:$F$203,4,FALSE),"N/A")</f>
        <v>N/A</v>
      </c>
      <c r="U69" s="1248" t="str">
        <f t="shared" si="8"/>
        <v>N/A</v>
      </c>
      <c r="V69" s="1510"/>
      <c r="X69" s="273"/>
      <c r="Y69" s="273"/>
      <c r="Z69" s="273"/>
      <c r="AA69" s="752"/>
      <c r="AB69" s="290"/>
      <c r="AC69" s="290"/>
      <c r="AD69" s="290"/>
      <c r="AE69" s="7"/>
      <c r="AF69" s="7"/>
      <c r="AG69" s="7"/>
      <c r="AH69" s="7"/>
    </row>
    <row r="70" spans="2:34" ht="15" hidden="1" customHeight="1" outlineLevel="2" x14ac:dyDescent="0.4">
      <c r="B70" s="762"/>
      <c r="C70" s="5"/>
      <c r="D70" s="3985"/>
      <c r="E70" s="1243" t="s">
        <v>1256</v>
      </c>
      <c r="F70" s="1243" t="s">
        <v>3</v>
      </c>
      <c r="G70" s="1244">
        <f t="shared" si="9"/>
        <v>0.63000000000000012</v>
      </c>
      <c r="H70" s="1244">
        <f t="shared" si="7"/>
        <v>27.259831063433541</v>
      </c>
      <c r="I70" s="1243"/>
      <c r="J70" s="1244" t="str">
        <f>IF($F70="operation",VLOOKUP($I70,'Generic Vertical Port Tasks'!$C$4:$D$189,2,FALSE),"N/A")</f>
        <v>N/A</v>
      </c>
      <c r="K70" s="1243"/>
      <c r="L70" s="1243"/>
      <c r="M70" s="1243"/>
      <c r="N70" s="1245" t="str">
        <f>IFERROR(INDEX('Upper Cask Movement &amp; Logistics'!$I$24:$O$30,MATCH($J70,'Upper Cask Movement &amp; Logistics'!$H$24:$H$30,0),MATCH($K70,'Upper Cask Movement &amp; Logistics'!$H$24:$H$30,0)),"N/A")</f>
        <v>N/A</v>
      </c>
      <c r="O70" s="1245" t="str">
        <f>IFERROR(VLOOKUP($I70,'Upper Cask Movement &amp; Logistics'!$H$4:$I$8,2,FALSE),"N/A")</f>
        <v>N/A</v>
      </c>
      <c r="P70" s="1244" t="str">
        <f t="shared" si="6"/>
        <v>N/A</v>
      </c>
      <c r="Q70" s="1246" t="s">
        <v>1228</v>
      </c>
      <c r="R70" s="1244">
        <f>IF($F70="Logistics",VLOOKUP($Q70,'Upper Cask Movement &amp; Logistics'!$C$4:$D$209,2,FALSE),"N/A")</f>
        <v>0.63000000000000012</v>
      </c>
      <c r="S70" s="1247" t="s">
        <v>1372</v>
      </c>
      <c r="T70" s="1244">
        <f>IFERROR(VLOOKUP($S70,'Upper Cask Recovery Logistics'!$C$29:$F$203,4,FALSE),"N/A")</f>
        <v>20.420841457642695</v>
      </c>
      <c r="U70" s="1248">
        <f t="shared" si="8"/>
        <v>6.2089896057908476</v>
      </c>
      <c r="V70" s="1510"/>
      <c r="X70" s="273"/>
      <c r="Y70" s="273"/>
      <c r="Z70" s="273"/>
      <c r="AA70" s="752"/>
      <c r="AB70" s="290"/>
      <c r="AC70" s="290"/>
      <c r="AD70" s="290"/>
      <c r="AE70" s="7"/>
      <c r="AF70" s="7"/>
      <c r="AG70" s="7"/>
      <c r="AH70" s="7"/>
    </row>
    <row r="71" spans="2:34" ht="15.75" hidden="1" customHeight="1" outlineLevel="2" thickBot="1" x14ac:dyDescent="0.45">
      <c r="B71" s="762"/>
      <c r="C71" s="5"/>
      <c r="D71" s="3986"/>
      <c r="E71" s="1314" t="s">
        <v>1251</v>
      </c>
      <c r="F71" s="1314" t="s">
        <v>3</v>
      </c>
      <c r="G71" s="1316">
        <f t="shared" si="9"/>
        <v>0.38</v>
      </c>
      <c r="H71" s="1316">
        <f t="shared" si="7"/>
        <v>27.63983106343354</v>
      </c>
      <c r="I71" s="1314"/>
      <c r="J71" s="1316" t="str">
        <f>IF($F71="operation",VLOOKUP($I71,'Generic Vertical Port Tasks'!$C$4:$D$189,2,FALSE),"N/A")</f>
        <v>N/A</v>
      </c>
      <c r="K71" s="1314"/>
      <c r="L71" s="1314"/>
      <c r="M71" s="1314"/>
      <c r="N71" s="1319" t="str">
        <f>IFERROR(INDEX('Upper Cask Movement &amp; Logistics'!$I$24:$O$30,MATCH($J71,'Upper Cask Movement &amp; Logistics'!$H$24:$H$30,0),MATCH($K71,'Upper Cask Movement &amp; Logistics'!$H$24:$H$30,0)),"N/A")</f>
        <v>N/A</v>
      </c>
      <c r="O71" s="1319" t="str">
        <f>IFERROR(VLOOKUP($I71,'Upper Cask Movement &amp; Logistics'!$H$4:$I$8,2,FALSE),"N/A")</f>
        <v>N/A</v>
      </c>
      <c r="P71" s="1316" t="str">
        <f t="shared" si="6"/>
        <v>N/A</v>
      </c>
      <c r="Q71" s="1507" t="s">
        <v>1230</v>
      </c>
      <c r="R71" s="1316">
        <f>IF($F71="Logistics",VLOOKUP($Q71,'Upper Cask Movement &amp; Logistics'!$C$4:$D$209,2,FALSE),"N/A")</f>
        <v>0.38</v>
      </c>
      <c r="S71" s="1508"/>
      <c r="T71" s="1316" t="str">
        <f>IFERROR(VLOOKUP($S71,'Upper Cask Recovery Logistics'!$C$29:$F$203,4,FALSE),"N/A")</f>
        <v>N/A</v>
      </c>
      <c r="U71" s="1509" t="str">
        <f t="shared" si="8"/>
        <v>N/A</v>
      </c>
      <c r="V71" s="1510"/>
      <c r="X71" s="273"/>
      <c r="Y71" s="273"/>
      <c r="Z71" s="273"/>
      <c r="AA71" s="752"/>
      <c r="AB71" s="290"/>
      <c r="AC71" s="290"/>
      <c r="AD71" s="290"/>
      <c r="AE71" s="7"/>
      <c r="AF71" s="7"/>
      <c r="AG71" s="7"/>
      <c r="AH71" s="7"/>
    </row>
    <row r="72" spans="2:34" ht="15" hidden="1" customHeight="1" outlineLevel="2" x14ac:dyDescent="0.4">
      <c r="B72" s="762"/>
      <c r="C72" s="5"/>
      <c r="D72" s="3992" t="s">
        <v>836</v>
      </c>
      <c r="E72" s="596" t="s">
        <v>1252</v>
      </c>
      <c r="F72" s="596" t="s">
        <v>3</v>
      </c>
      <c r="G72" s="593">
        <f t="shared" si="9"/>
        <v>0.38</v>
      </c>
      <c r="H72" s="593">
        <f t="shared" si="7"/>
        <v>28.019831063433539</v>
      </c>
      <c r="I72" s="596"/>
      <c r="J72" s="593" t="str">
        <f>IF($F72="operation",VLOOKUP($I72,'Generic Vertical Port Tasks'!$C$4:$D$189,2,FALSE),"N/A")</f>
        <v>N/A</v>
      </c>
      <c r="K72" s="596"/>
      <c r="L72" s="596"/>
      <c r="M72" s="596"/>
      <c r="N72" s="597" t="str">
        <f>IFERROR(INDEX('Upper Cask Movement &amp; Logistics'!$I$24:$O$30,MATCH($J72,'Upper Cask Movement &amp; Logistics'!$H$24:$H$30,0),MATCH($K72,'Upper Cask Movement &amp; Logistics'!$H$24:$H$30,0)),"N/A")</f>
        <v>N/A</v>
      </c>
      <c r="O72" s="597" t="str">
        <f>IFERROR(VLOOKUP($I72,'Upper Cask Movement &amp; Logistics'!$H$4:$I$8,2,FALSE),"N/A")</f>
        <v>N/A</v>
      </c>
      <c r="P72" s="593" t="str">
        <f t="shared" si="6"/>
        <v>N/A</v>
      </c>
      <c r="Q72" s="1253" t="s">
        <v>1226</v>
      </c>
      <c r="R72" s="593">
        <f>IF($F72="Logistics",VLOOKUP($Q72,'Upper Cask Movement &amp; Logistics'!$C$4:$D$209,2,FALSE),"N/A")</f>
        <v>0.38</v>
      </c>
      <c r="S72" s="1254"/>
      <c r="T72" s="593" t="str">
        <f>IFERROR(VLOOKUP($S72,'Upper Cask Recovery Logistics'!$C$29:$F$203,4,FALSE),"N/A")</f>
        <v>N/A</v>
      </c>
      <c r="U72" s="1255" t="str">
        <f t="shared" si="8"/>
        <v>N/A</v>
      </c>
      <c r="V72" s="1510"/>
      <c r="X72" s="273"/>
      <c r="Y72" s="273"/>
      <c r="Z72" s="273"/>
      <c r="AA72" s="752"/>
      <c r="AB72" s="290"/>
      <c r="AC72" s="290"/>
      <c r="AD72" s="290"/>
      <c r="AE72" s="7"/>
      <c r="AF72" s="7"/>
      <c r="AG72" s="7"/>
      <c r="AH72" s="7"/>
    </row>
    <row r="73" spans="2:34" ht="15.75" hidden="1" customHeight="1" outlineLevel="2" x14ac:dyDescent="0.4">
      <c r="B73" s="762"/>
      <c r="C73" s="5"/>
      <c r="D73" s="3993"/>
      <c r="E73" s="601" t="s">
        <v>21</v>
      </c>
      <c r="F73" s="601" t="s">
        <v>251</v>
      </c>
      <c r="G73" s="602">
        <f t="shared" si="9"/>
        <v>6.83</v>
      </c>
      <c r="H73" s="602">
        <f t="shared" si="7"/>
        <v>34.849831063433541</v>
      </c>
      <c r="I73" s="601" t="s">
        <v>252</v>
      </c>
      <c r="J73" s="602">
        <f>IF($F73="operation",VLOOKUP($I73,'Generic Vertical Port Tasks'!$C$4:$D$189,2,FALSE),"N/A")</f>
        <v>6.83</v>
      </c>
      <c r="K73" s="601"/>
      <c r="L73" s="601"/>
      <c r="M73" s="601"/>
      <c r="N73" s="605" t="str">
        <f>IFERROR(INDEX('Upper Cask Movement &amp; Logistics'!$I$24:$O$30,MATCH($J73,'Upper Cask Movement &amp; Logistics'!$H$24:$H$30,0),MATCH($K73,'Upper Cask Movement &amp; Logistics'!$H$24:$H$30,0)),"N/A")</f>
        <v>N/A</v>
      </c>
      <c r="O73" s="605" t="str">
        <f>IFERROR(VLOOKUP($I73,'Upper Cask Movement &amp; Logistics'!$H$4:$I$8,2,FALSE),"N/A")</f>
        <v>N/A</v>
      </c>
      <c r="P73" s="602" t="str">
        <f t="shared" si="6"/>
        <v>N/A</v>
      </c>
      <c r="Q73" s="1234"/>
      <c r="R73" s="602" t="str">
        <f>IF($F73="Logistics",VLOOKUP($Q73,'Upper Cask Movement &amp; Logistics'!$C$4:$D$209,2,FALSE),"N/A")</f>
        <v>N/A</v>
      </c>
      <c r="S73" s="1235"/>
      <c r="T73" s="602" t="str">
        <f>IFERROR(VLOOKUP($S73,'Upper Cask Recovery Logistics'!$C$29:$F$203,4,FALSE),"N/A")</f>
        <v>N/A</v>
      </c>
      <c r="U73" s="1236" t="str">
        <f t="shared" si="8"/>
        <v>N/A</v>
      </c>
      <c r="V73" s="1510"/>
      <c r="X73" s="273"/>
      <c r="Y73" s="273"/>
      <c r="Z73" s="273"/>
      <c r="AA73" s="752"/>
      <c r="AB73" s="290"/>
      <c r="AC73" s="290"/>
      <c r="AD73" s="290"/>
      <c r="AE73" s="7"/>
      <c r="AF73" s="7"/>
      <c r="AG73" s="7"/>
      <c r="AH73" s="7"/>
    </row>
    <row r="74" spans="2:34" ht="15" hidden="1" customHeight="1" outlineLevel="2" x14ac:dyDescent="0.4">
      <c r="B74" s="762"/>
      <c r="C74" s="5"/>
      <c r="D74" s="3993"/>
      <c r="E74" s="601" t="s">
        <v>1246</v>
      </c>
      <c r="F74" s="601" t="s">
        <v>3</v>
      </c>
      <c r="G74" s="602">
        <f t="shared" si="9"/>
        <v>0.38</v>
      </c>
      <c r="H74" s="602">
        <f t="shared" si="7"/>
        <v>35.229831063433544</v>
      </c>
      <c r="I74" s="601"/>
      <c r="J74" s="602" t="str">
        <f>IF($F74="operation",VLOOKUP($I74,'Generic Vertical Port Tasks'!$C$4:$D$189,2,FALSE),"N/A")</f>
        <v>N/A</v>
      </c>
      <c r="K74" s="601"/>
      <c r="L74" s="601"/>
      <c r="M74" s="601"/>
      <c r="N74" s="605" t="str">
        <f>IFERROR(INDEX('Upper Cask Movement &amp; Logistics'!$I$24:$O$30,MATCH($J74,'Upper Cask Movement &amp; Logistics'!$H$24:$H$30,0),MATCH($K74,'Upper Cask Movement &amp; Logistics'!$H$24:$H$30,0)),"N/A")</f>
        <v>N/A</v>
      </c>
      <c r="O74" s="605" t="str">
        <f>IFERROR(VLOOKUP($I74,'Upper Cask Movement &amp; Logistics'!$H$4:$I$8,2,FALSE),"N/A")</f>
        <v>N/A</v>
      </c>
      <c r="P74" s="602" t="str">
        <f t="shared" si="6"/>
        <v>N/A</v>
      </c>
      <c r="Q74" s="1234" t="s">
        <v>1230</v>
      </c>
      <c r="R74" s="602">
        <f>IF($F74="Logistics",VLOOKUP($Q74,'Upper Cask Movement &amp; Logistics'!$C$4:$D$209,2,FALSE),"N/A")</f>
        <v>0.38</v>
      </c>
      <c r="S74" s="1235"/>
      <c r="T74" s="602" t="str">
        <f>IFERROR(VLOOKUP($S74,'Upper Cask Recovery Logistics'!$C$29:$F$203,4,FALSE),"N/A")</f>
        <v>N/A</v>
      </c>
      <c r="U74" s="1236" t="str">
        <f t="shared" si="8"/>
        <v>N/A</v>
      </c>
      <c r="V74" s="1510"/>
      <c r="X74" s="273"/>
      <c r="Y74" s="273"/>
      <c r="Z74" s="273"/>
      <c r="AA74" s="752"/>
      <c r="AB74" s="290"/>
      <c r="AC74" s="290"/>
      <c r="AD74" s="290"/>
      <c r="AE74" s="7"/>
      <c r="AF74" s="7"/>
      <c r="AG74" s="7"/>
      <c r="AH74" s="7"/>
    </row>
    <row r="75" spans="2:34" ht="15.75" hidden="1" customHeight="1" outlineLevel="2" x14ac:dyDescent="0.4">
      <c r="B75" s="762"/>
      <c r="C75" s="5"/>
      <c r="D75" s="3993"/>
      <c r="E75" s="601" t="s">
        <v>1247</v>
      </c>
      <c r="F75" s="601" t="s">
        <v>3</v>
      </c>
      <c r="G75" s="602">
        <f t="shared" si="9"/>
        <v>0.38</v>
      </c>
      <c r="H75" s="602">
        <f t="shared" si="7"/>
        <v>35.609831063433546</v>
      </c>
      <c r="I75" s="601"/>
      <c r="J75" s="602" t="str">
        <f>IF($F75="operation",VLOOKUP($I75,'Generic Vertical Port Tasks'!$C$4:$D$189,2,FALSE),"N/A")</f>
        <v>N/A</v>
      </c>
      <c r="K75" s="601"/>
      <c r="L75" s="601"/>
      <c r="M75" s="601"/>
      <c r="N75" s="605" t="str">
        <f>IFERROR(INDEX('Upper Cask Movement &amp; Logistics'!$I$24:$O$30,MATCH($J75,'Upper Cask Movement &amp; Logistics'!$H$24:$H$30,0),MATCH($K75,'Upper Cask Movement &amp; Logistics'!$H$24:$H$30,0)),"N/A")</f>
        <v>N/A</v>
      </c>
      <c r="O75" s="605" t="str">
        <f>IFERROR(VLOOKUP($I75,'Upper Cask Movement &amp; Logistics'!$H$4:$I$8,2,FALSE),"N/A")</f>
        <v>N/A</v>
      </c>
      <c r="P75" s="602" t="str">
        <f t="shared" si="6"/>
        <v>N/A</v>
      </c>
      <c r="Q75" s="1234" t="s">
        <v>1226</v>
      </c>
      <c r="R75" s="602">
        <f>IF($F75="Logistics",VLOOKUP($Q75,'Upper Cask Movement &amp; Logistics'!$C$4:$D$209,2,FALSE),"N/A")</f>
        <v>0.38</v>
      </c>
      <c r="S75" s="1235"/>
      <c r="T75" s="602" t="str">
        <f>IFERROR(VLOOKUP($S75,'Upper Cask Recovery Logistics'!$C$29:$F$203,4,FALSE),"N/A")</f>
        <v>N/A</v>
      </c>
      <c r="U75" s="1236" t="str">
        <f t="shared" si="8"/>
        <v>N/A</v>
      </c>
      <c r="V75" s="1510"/>
      <c r="X75" s="273"/>
      <c r="Y75" s="273"/>
      <c r="Z75" s="273"/>
      <c r="AA75" s="752"/>
      <c r="AB75" s="5"/>
      <c r="AC75" s="7"/>
      <c r="AD75" s="7"/>
      <c r="AE75" s="7"/>
      <c r="AF75" s="7"/>
      <c r="AG75" s="7"/>
      <c r="AH75" s="7"/>
    </row>
    <row r="76" spans="2:34" ht="25.5" hidden="1" customHeight="1" outlineLevel="2" x14ac:dyDescent="0.4">
      <c r="B76" s="762"/>
      <c r="C76" s="5"/>
      <c r="D76" s="3993"/>
      <c r="E76" s="601" t="s">
        <v>152</v>
      </c>
      <c r="F76" s="601" t="s">
        <v>251</v>
      </c>
      <c r="G76" s="602">
        <f t="shared" si="9"/>
        <v>1.0499155317167692</v>
      </c>
      <c r="H76" s="602">
        <f t="shared" si="7"/>
        <v>36.659746595150317</v>
      </c>
      <c r="I76" s="601" t="s">
        <v>2491</v>
      </c>
      <c r="J76" s="602">
        <f>IF($F76="operation",VLOOKUP($I76,'Generic Vertical Port Tasks'!$C$4:$D$189,2,FALSE),"N/A")</f>
        <v>1.0499155317167692</v>
      </c>
      <c r="K76" s="601"/>
      <c r="L76" s="601"/>
      <c r="M76" s="601"/>
      <c r="N76" s="605" t="str">
        <f>IFERROR(INDEX('Upper Cask Movement &amp; Logistics'!$I$24:$O$30,MATCH($J76,'Upper Cask Movement &amp; Logistics'!$H$24:$H$30,0),MATCH($K76,'Upper Cask Movement &amp; Logistics'!$H$24:$H$30,0)),"N/A")</f>
        <v>N/A</v>
      </c>
      <c r="O76" s="605" t="str">
        <f>IFERROR(VLOOKUP($I76,'Upper Cask Movement &amp; Logistics'!$H$4:$I$8,2,FALSE),"N/A")</f>
        <v>N/A</v>
      </c>
      <c r="P76" s="602" t="str">
        <f t="shared" si="6"/>
        <v>N/A</v>
      </c>
      <c r="Q76" s="1234"/>
      <c r="R76" s="602" t="str">
        <f>IF($F76="Logistics",VLOOKUP($Q76,'Upper Cask Movement &amp; Logistics'!$C$4:$D$209,2,FALSE),"N/A")</f>
        <v>N/A</v>
      </c>
      <c r="S76" s="1235"/>
      <c r="T76" s="602" t="str">
        <f>IFERROR(VLOOKUP($S76,'Upper Cask Recovery Logistics'!$C$29:$F$203,4,FALSE),"N/A")</f>
        <v>N/A</v>
      </c>
      <c r="U76" s="1236" t="str">
        <f t="shared" si="8"/>
        <v>N/A</v>
      </c>
      <c r="V76" s="1510"/>
      <c r="X76" s="273"/>
      <c r="Y76" s="273"/>
      <c r="Z76" s="273"/>
      <c r="AA76" s="752"/>
      <c r="AB76" s="5"/>
      <c r="AC76" s="7"/>
      <c r="AD76" s="7"/>
      <c r="AE76" s="7"/>
      <c r="AF76" s="7"/>
      <c r="AG76" s="7"/>
      <c r="AH76" s="7"/>
    </row>
    <row r="77" spans="2:34" ht="15" hidden="1" customHeight="1" outlineLevel="2" thickBot="1" x14ac:dyDescent="0.45">
      <c r="B77" s="762"/>
      <c r="C77" s="5"/>
      <c r="D77" s="3994"/>
      <c r="E77" s="609" t="s">
        <v>1248</v>
      </c>
      <c r="F77" s="609" t="s">
        <v>3</v>
      </c>
      <c r="G77" s="610">
        <f t="shared" si="9"/>
        <v>0.38</v>
      </c>
      <c r="H77" s="610">
        <f t="shared" si="7"/>
        <v>37.039746595150319</v>
      </c>
      <c r="I77" s="609"/>
      <c r="J77" s="610" t="str">
        <f>IF($F77="operation",VLOOKUP($I77,'Generic Vertical Port Tasks'!$C$4:$D$189,2,FALSE),"N/A")</f>
        <v>N/A</v>
      </c>
      <c r="K77" s="609"/>
      <c r="L77" s="609"/>
      <c r="M77" s="609"/>
      <c r="N77" s="613" t="str">
        <f>IFERROR(INDEX('Upper Cask Movement &amp; Logistics'!$I$24:$O$30,MATCH($J77,'Upper Cask Movement &amp; Logistics'!$H$24:$H$30,0),MATCH($K77,'Upper Cask Movement &amp; Logistics'!$H$24:$H$30,0)),"N/A")</f>
        <v>N/A</v>
      </c>
      <c r="O77" s="613" t="str">
        <f>IFERROR(VLOOKUP($I77,'Upper Cask Movement &amp; Logistics'!$H$4:$I$8,2,FALSE),"N/A")</f>
        <v>N/A</v>
      </c>
      <c r="P77" s="610" t="str">
        <f t="shared" si="6"/>
        <v>N/A</v>
      </c>
      <c r="Q77" s="1237" t="s">
        <v>1230</v>
      </c>
      <c r="R77" s="610">
        <f>IF($F77="Logistics",VLOOKUP($Q77,'Upper Cask Movement &amp; Logistics'!$C$4:$D$209,2,FALSE),"N/A")</f>
        <v>0.38</v>
      </c>
      <c r="S77" s="1238"/>
      <c r="T77" s="610" t="str">
        <f>IFERROR(VLOOKUP($S77,'Upper Cask Recovery Logistics'!$C$29:$F$203,4,FALSE),"N/A")</f>
        <v>N/A</v>
      </c>
      <c r="U77" s="1239" t="str">
        <f t="shared" si="8"/>
        <v>N/A</v>
      </c>
      <c r="V77" s="1510"/>
      <c r="X77" s="273"/>
      <c r="Y77" s="273"/>
      <c r="Z77" s="273"/>
      <c r="AA77" s="752"/>
      <c r="AB77" s="5"/>
      <c r="AC77" s="7"/>
      <c r="AD77" s="7"/>
      <c r="AE77" s="7"/>
      <c r="AF77" s="7"/>
      <c r="AG77" s="7"/>
      <c r="AH77" s="7"/>
    </row>
    <row r="78" spans="2:34" ht="15" hidden="1" customHeight="1" outlineLevel="2" x14ac:dyDescent="0.4">
      <c r="B78" s="762"/>
      <c r="C78" s="5"/>
      <c r="D78" s="3984" t="s">
        <v>839</v>
      </c>
      <c r="E78" s="1333" t="s">
        <v>1517</v>
      </c>
      <c r="F78" s="1333" t="s">
        <v>3</v>
      </c>
      <c r="G78" s="1303">
        <f t="shared" si="9"/>
        <v>0.38</v>
      </c>
      <c r="H78" s="1303">
        <f t="shared" si="7"/>
        <v>37.419746595150322</v>
      </c>
      <c r="I78" s="1333"/>
      <c r="J78" s="1303" t="str">
        <f>IF($F78="operation",VLOOKUP($I78,'Generic Vertical Port Tasks'!$C$4:$D$189,2,FALSE),"N/A")</f>
        <v>N/A</v>
      </c>
      <c r="K78" s="1333"/>
      <c r="L78" s="1333"/>
      <c r="M78" s="1333"/>
      <c r="N78" s="1334" t="str">
        <f>IFERROR(INDEX('Upper Cask Movement &amp; Logistics'!$I$24:$O$30,MATCH($J78,'Upper Cask Movement &amp; Logistics'!$H$24:$H$30,0),MATCH($K78,'Upper Cask Movement &amp; Logistics'!$H$24:$H$30,0)),"N/A")</f>
        <v>N/A</v>
      </c>
      <c r="O78" s="1334" t="str">
        <f>IFERROR(VLOOKUP($I78,'Upper Cask Movement &amp; Logistics'!$H$4:$I$8,2,FALSE),"N/A")</f>
        <v>N/A</v>
      </c>
      <c r="P78" s="1303" t="str">
        <f t="shared" si="6"/>
        <v>N/A</v>
      </c>
      <c r="Q78" s="1504" t="s">
        <v>1226</v>
      </c>
      <c r="R78" s="1303">
        <f>IF($F78="Logistics",VLOOKUP($Q78,'Upper Cask Movement &amp; Logistics'!$C$4:$D$209,2,FALSE),"N/A")</f>
        <v>0.38</v>
      </c>
      <c r="S78" s="1505"/>
      <c r="T78" s="1303" t="str">
        <f>IFERROR(VLOOKUP($S78,'Upper Cask Recovery Logistics'!$C$29:$F$203,4,FALSE),"N/A")</f>
        <v>N/A</v>
      </c>
      <c r="U78" s="1506" t="str">
        <f t="shared" si="8"/>
        <v>N/A</v>
      </c>
      <c r="V78" s="1510"/>
      <c r="X78" s="273"/>
      <c r="Y78" s="273"/>
      <c r="Z78" s="273"/>
      <c r="AA78" s="752"/>
      <c r="AB78" s="5"/>
      <c r="AC78" s="7"/>
      <c r="AD78" s="7"/>
      <c r="AE78" s="7"/>
      <c r="AF78" s="7"/>
      <c r="AG78" s="7"/>
      <c r="AH78" s="7"/>
    </row>
    <row r="79" spans="2:34" ht="15" hidden="1" customHeight="1" outlineLevel="2" x14ac:dyDescent="0.4">
      <c r="B79" s="762"/>
      <c r="C79" s="5"/>
      <c r="D79" s="3985"/>
      <c r="E79" s="1243" t="s">
        <v>129</v>
      </c>
      <c r="F79" s="1243" t="s">
        <v>251</v>
      </c>
      <c r="G79" s="1244">
        <f t="shared" si="9"/>
        <v>0.72499999999999998</v>
      </c>
      <c r="H79" s="1244">
        <f t="shared" si="7"/>
        <v>38.144746595150323</v>
      </c>
      <c r="I79" s="1243" t="s">
        <v>253</v>
      </c>
      <c r="J79" s="1244">
        <f>IF($F79="operation",VLOOKUP($I79,'Generic Vertical Port Tasks'!$C$4:$D$189,2,FALSE),"N/A")</f>
        <v>0.72499999999999998</v>
      </c>
      <c r="K79" s="1243"/>
      <c r="L79" s="1243"/>
      <c r="M79" s="1243"/>
      <c r="N79" s="1245" t="str">
        <f>IFERROR(INDEX('Upper Cask Movement &amp; Logistics'!$I$24:$O$30,MATCH($J79,'Upper Cask Movement &amp; Logistics'!$H$24:$H$30,0),MATCH($K79,'Upper Cask Movement &amp; Logistics'!$H$24:$H$30,0)),"N/A")</f>
        <v>N/A</v>
      </c>
      <c r="O79" s="1245" t="str">
        <f>IFERROR(VLOOKUP($I79,'Upper Cask Movement &amp; Logistics'!$H$4:$I$8,2,FALSE),"N/A")</f>
        <v>N/A</v>
      </c>
      <c r="P79" s="1244" t="str">
        <f t="shared" si="6"/>
        <v>N/A</v>
      </c>
      <c r="Q79" s="1246"/>
      <c r="R79" s="1244" t="str">
        <f>IF($F79="Logistics",VLOOKUP($Q79,'Upper Cask Movement &amp; Logistics'!$C$4:$D$209,2,FALSE),"N/A")</f>
        <v>N/A</v>
      </c>
      <c r="S79" s="1247"/>
      <c r="T79" s="1244" t="str">
        <f>IFERROR(VLOOKUP($S79,'Upper Cask Recovery Logistics'!$C$29:$F$203,4,FALSE),"N/A")</f>
        <v>N/A</v>
      </c>
      <c r="U79" s="1248" t="str">
        <f t="shared" si="8"/>
        <v>N/A</v>
      </c>
      <c r="V79" s="1510"/>
      <c r="X79" s="273"/>
      <c r="Y79" s="273"/>
      <c r="Z79" s="273"/>
      <c r="AA79" s="752"/>
      <c r="AB79" s="5"/>
      <c r="AC79" s="7"/>
      <c r="AD79" s="7"/>
      <c r="AE79" s="7"/>
      <c r="AF79" s="7"/>
      <c r="AG79" s="7"/>
      <c r="AH79" s="7"/>
    </row>
    <row r="80" spans="2:34" ht="15" hidden="1" customHeight="1" outlineLevel="2" x14ac:dyDescent="0.4">
      <c r="B80" s="762"/>
      <c r="C80" s="5"/>
      <c r="D80" s="3985"/>
      <c r="E80" s="1243" t="s">
        <v>1257</v>
      </c>
      <c r="F80" s="1243" t="s">
        <v>3</v>
      </c>
      <c r="G80" s="1244">
        <f t="shared" si="9"/>
        <v>0.63000000000000012</v>
      </c>
      <c r="H80" s="1244">
        <f t="shared" si="7"/>
        <v>38.774746595150326</v>
      </c>
      <c r="I80" s="1243"/>
      <c r="J80" s="1244" t="str">
        <f>IF($F80="operation",VLOOKUP($I80,'Generic Vertical Port Tasks'!$C$4:$D$189,2,FALSE),"N/A")</f>
        <v>N/A</v>
      </c>
      <c r="K80" s="1243"/>
      <c r="L80" s="1243"/>
      <c r="M80" s="1243"/>
      <c r="N80" s="1245" t="str">
        <f>IFERROR(INDEX('Upper Cask Movement &amp; Logistics'!$I$24:$O$30,MATCH($J80,'Upper Cask Movement &amp; Logistics'!$H$24:$H$30,0),MATCH($K80,'Upper Cask Movement &amp; Logistics'!$H$24:$H$30,0)),"N/A")</f>
        <v>N/A</v>
      </c>
      <c r="O80" s="1245" t="str">
        <f>IFERROR(VLOOKUP($I80,'Upper Cask Movement &amp; Logistics'!$H$4:$I$8,2,FALSE),"N/A")</f>
        <v>N/A</v>
      </c>
      <c r="P80" s="1244" t="str">
        <f t="shared" si="6"/>
        <v>N/A</v>
      </c>
      <c r="Q80" s="1246" t="s">
        <v>1228</v>
      </c>
      <c r="R80" s="1244">
        <f>IF($F80="Logistics",VLOOKUP($Q80,'Upper Cask Movement &amp; Logistics'!$C$4:$D$209,2,FALSE),"N/A")</f>
        <v>0.63000000000000012</v>
      </c>
      <c r="S80" s="1247" t="s">
        <v>1374</v>
      </c>
      <c r="T80" s="1244">
        <f>IFERROR(VLOOKUP($S80,'Upper Cask Recovery Logistics'!$C$29:$F$203,4,FALSE),"N/A")</f>
        <v>31.935756989359465</v>
      </c>
      <c r="U80" s="1248">
        <f t="shared" si="8"/>
        <v>6.2089896057908582</v>
      </c>
      <c r="V80" s="1510"/>
      <c r="X80" s="273"/>
      <c r="Y80" s="273"/>
      <c r="Z80" s="273"/>
      <c r="AA80" s="752"/>
      <c r="AB80" s="5"/>
      <c r="AC80" s="7"/>
      <c r="AD80" s="7"/>
      <c r="AE80" s="7"/>
      <c r="AF80" s="7"/>
      <c r="AG80" s="7"/>
      <c r="AH80" s="7"/>
    </row>
    <row r="81" spans="2:34" ht="15" hidden="1" customHeight="1" outlineLevel="2" thickBot="1" x14ac:dyDescent="0.45">
      <c r="B81" s="762"/>
      <c r="C81" s="5"/>
      <c r="D81" s="3986"/>
      <c r="E81" s="1314" t="s">
        <v>1251</v>
      </c>
      <c r="F81" s="1314" t="s">
        <v>3</v>
      </c>
      <c r="G81" s="1316">
        <f t="shared" si="9"/>
        <v>0.38</v>
      </c>
      <c r="H81" s="1316">
        <f t="shared" si="7"/>
        <v>39.154746595150328</v>
      </c>
      <c r="I81" s="1314"/>
      <c r="J81" s="1316" t="str">
        <f>IF($F81="operation",VLOOKUP($I81,'Generic Vertical Port Tasks'!$C$4:$D$189,2,FALSE),"N/A")</f>
        <v>N/A</v>
      </c>
      <c r="K81" s="1314"/>
      <c r="L81" s="1314"/>
      <c r="M81" s="1314"/>
      <c r="N81" s="1319" t="str">
        <f>IFERROR(INDEX('Upper Cask Movement &amp; Logistics'!$I$24:$O$30,MATCH($J81,'Upper Cask Movement &amp; Logistics'!$H$24:$H$30,0),MATCH($K81,'Upper Cask Movement &amp; Logistics'!$H$24:$H$30,0)),"N/A")</f>
        <v>N/A</v>
      </c>
      <c r="O81" s="1319" t="str">
        <f>IFERROR(VLOOKUP($I81,'Upper Cask Movement &amp; Logistics'!$H$4:$I$8,2,FALSE),"N/A")</f>
        <v>N/A</v>
      </c>
      <c r="P81" s="1316" t="str">
        <f t="shared" si="6"/>
        <v>N/A</v>
      </c>
      <c r="Q81" s="1507" t="s">
        <v>1230</v>
      </c>
      <c r="R81" s="1316">
        <f>IF($F81="Logistics",VLOOKUP($Q81,'Upper Cask Movement &amp; Logistics'!$C$4:$D$209,2,FALSE),"N/A")</f>
        <v>0.38</v>
      </c>
      <c r="S81" s="1508"/>
      <c r="T81" s="1316" t="str">
        <f>IFERROR(VLOOKUP($S81,'Upper Cask Recovery Logistics'!$C$29:$F$203,4,FALSE),"N/A")</f>
        <v>N/A</v>
      </c>
      <c r="U81" s="1509" t="str">
        <f t="shared" si="8"/>
        <v>N/A</v>
      </c>
      <c r="V81" s="1510"/>
      <c r="X81" s="273"/>
      <c r="Y81" s="273"/>
      <c r="Z81" s="273"/>
      <c r="AA81" s="752"/>
      <c r="AB81" s="5"/>
      <c r="AC81" s="7"/>
      <c r="AD81" s="7"/>
      <c r="AE81" s="7"/>
      <c r="AF81" s="7"/>
      <c r="AG81" s="7"/>
      <c r="AH81" s="7"/>
    </row>
    <row r="82" spans="2:34" ht="15" hidden="1" customHeight="1" outlineLevel="2" x14ac:dyDescent="0.4">
      <c r="B82" s="762"/>
      <c r="C82" s="5"/>
      <c r="D82" s="3992" t="s">
        <v>840</v>
      </c>
      <c r="E82" s="596" t="s">
        <v>1252</v>
      </c>
      <c r="F82" s="596" t="s">
        <v>3</v>
      </c>
      <c r="G82" s="593">
        <f t="shared" si="9"/>
        <v>0.38</v>
      </c>
      <c r="H82" s="593">
        <f t="shared" si="7"/>
        <v>39.534746595150331</v>
      </c>
      <c r="I82" s="596"/>
      <c r="J82" s="593" t="str">
        <f>IF($F82="operation",VLOOKUP($I82,'Generic Vertical Port Tasks'!$C$4:$D$189,2,FALSE),"N/A")</f>
        <v>N/A</v>
      </c>
      <c r="K82" s="596"/>
      <c r="L82" s="596"/>
      <c r="M82" s="596"/>
      <c r="N82" s="597" t="str">
        <f>IFERROR(INDEX('Upper Cask Movement &amp; Logistics'!$I$24:$O$30,MATCH($J82,'Upper Cask Movement &amp; Logistics'!$H$24:$H$30,0),MATCH($K82,'Upper Cask Movement &amp; Logistics'!$H$24:$H$30,0)),"N/A")</f>
        <v>N/A</v>
      </c>
      <c r="O82" s="597" t="str">
        <f>IFERROR(VLOOKUP($I82,'Upper Cask Movement &amp; Logistics'!$H$4:$I$8,2,FALSE),"N/A")</f>
        <v>N/A</v>
      </c>
      <c r="P82" s="593" t="str">
        <f t="shared" si="6"/>
        <v>N/A</v>
      </c>
      <c r="Q82" s="1253" t="s">
        <v>1226</v>
      </c>
      <c r="R82" s="593">
        <f>IF($F82="Logistics",VLOOKUP($Q82,'Upper Cask Movement &amp; Logistics'!$C$4:$D$209,2,FALSE),"N/A")</f>
        <v>0.38</v>
      </c>
      <c r="S82" s="1254"/>
      <c r="T82" s="593" t="str">
        <f>IFERROR(VLOOKUP($S82,'Upper Cask Recovery Logistics'!$C$29:$F$203,4,FALSE),"N/A")</f>
        <v>N/A</v>
      </c>
      <c r="U82" s="1255" t="str">
        <f t="shared" si="8"/>
        <v>N/A</v>
      </c>
      <c r="V82" s="1510"/>
      <c r="X82" s="273"/>
      <c r="Y82" s="273"/>
      <c r="Z82" s="273"/>
      <c r="AA82" s="752"/>
      <c r="AB82" s="5"/>
      <c r="AC82" s="7"/>
      <c r="AD82" s="7"/>
      <c r="AE82" s="7"/>
      <c r="AF82" s="7"/>
      <c r="AG82" s="7"/>
      <c r="AH82" s="7"/>
    </row>
    <row r="83" spans="2:34" ht="15.75" hidden="1" customHeight="1" outlineLevel="2" x14ac:dyDescent="0.4">
      <c r="B83" s="762"/>
      <c r="C83" s="5"/>
      <c r="D83" s="3993"/>
      <c r="E83" s="601" t="s">
        <v>22</v>
      </c>
      <c r="F83" s="601" t="s">
        <v>251</v>
      </c>
      <c r="G83" s="602">
        <f t="shared" si="9"/>
        <v>6.83</v>
      </c>
      <c r="H83" s="602">
        <f t="shared" si="7"/>
        <v>46.364746595150329</v>
      </c>
      <c r="I83" s="601" t="s">
        <v>252</v>
      </c>
      <c r="J83" s="602">
        <f>IF($F83="operation",VLOOKUP($I83,'Generic Vertical Port Tasks'!$C$4:$D$189,2,FALSE),"N/A")</f>
        <v>6.83</v>
      </c>
      <c r="K83" s="601"/>
      <c r="L83" s="601"/>
      <c r="M83" s="601"/>
      <c r="N83" s="605" t="str">
        <f>IFERROR(INDEX('Upper Cask Movement &amp; Logistics'!$I$24:$O$30,MATCH($J83,'Upper Cask Movement &amp; Logistics'!$H$24:$H$30,0),MATCH($K83,'Upper Cask Movement &amp; Logistics'!$H$24:$H$30,0)),"N/A")</f>
        <v>N/A</v>
      </c>
      <c r="O83" s="605" t="str">
        <f>IFERROR(VLOOKUP($I83,'Upper Cask Movement &amp; Logistics'!$H$4:$I$8,2,FALSE),"N/A")</f>
        <v>N/A</v>
      </c>
      <c r="P83" s="602" t="str">
        <f t="shared" si="6"/>
        <v>N/A</v>
      </c>
      <c r="Q83" s="1234"/>
      <c r="R83" s="602" t="str">
        <f>IF($F83="Logistics",VLOOKUP($Q83,'Upper Cask Movement &amp; Logistics'!$C$4:$D$209,2,FALSE),"N/A")</f>
        <v>N/A</v>
      </c>
      <c r="S83" s="1235"/>
      <c r="T83" s="602" t="str">
        <f>IFERROR(VLOOKUP($S83,'Upper Cask Recovery Logistics'!$C$29:$F$203,4,FALSE),"N/A")</f>
        <v>N/A</v>
      </c>
      <c r="U83" s="1236" t="str">
        <f t="shared" si="8"/>
        <v>N/A</v>
      </c>
      <c r="V83" s="1510"/>
      <c r="X83" s="273"/>
      <c r="Y83" s="273"/>
      <c r="Z83" s="273"/>
      <c r="AA83" s="752"/>
      <c r="AB83" s="5"/>
      <c r="AC83" s="7"/>
      <c r="AD83" s="7"/>
      <c r="AE83" s="7"/>
      <c r="AF83" s="7"/>
      <c r="AG83" s="7"/>
      <c r="AH83" s="7"/>
    </row>
    <row r="84" spans="2:34" ht="15" hidden="1" customHeight="1" outlineLevel="2" x14ac:dyDescent="0.4">
      <c r="B84" s="762"/>
      <c r="C84" s="5"/>
      <c r="D84" s="3993"/>
      <c r="E84" s="601" t="s">
        <v>1246</v>
      </c>
      <c r="F84" s="601" t="s">
        <v>3</v>
      </c>
      <c r="G84" s="602">
        <f t="shared" si="9"/>
        <v>0.38</v>
      </c>
      <c r="H84" s="602">
        <f t="shared" si="7"/>
        <v>46.744746595150332</v>
      </c>
      <c r="I84" s="601"/>
      <c r="J84" s="602" t="str">
        <f>IF($F84="operation",VLOOKUP($I84,'Generic Vertical Port Tasks'!$C$4:$D$189,2,FALSE),"N/A")</f>
        <v>N/A</v>
      </c>
      <c r="K84" s="601"/>
      <c r="L84" s="601"/>
      <c r="M84" s="601"/>
      <c r="N84" s="605" t="str">
        <f>IFERROR(INDEX('Upper Cask Movement &amp; Logistics'!$I$24:$O$30,MATCH($J84,'Upper Cask Movement &amp; Logistics'!$H$24:$H$30,0),MATCH($K84,'Upper Cask Movement &amp; Logistics'!$H$24:$H$30,0)),"N/A")</f>
        <v>N/A</v>
      </c>
      <c r="O84" s="605" t="str">
        <f>IFERROR(VLOOKUP($I84,'Upper Cask Movement &amp; Logistics'!$H$4:$I$8,2,FALSE),"N/A")</f>
        <v>N/A</v>
      </c>
      <c r="P84" s="602" t="str">
        <f t="shared" si="6"/>
        <v>N/A</v>
      </c>
      <c r="Q84" s="1234" t="s">
        <v>1230</v>
      </c>
      <c r="R84" s="602">
        <f>IF($F84="Logistics",VLOOKUP($Q84,'Upper Cask Movement &amp; Logistics'!$C$4:$D$209,2,FALSE),"N/A")</f>
        <v>0.38</v>
      </c>
      <c r="S84" s="1235"/>
      <c r="T84" s="602" t="str">
        <f>IFERROR(VLOOKUP($S84,'Upper Cask Recovery Logistics'!$C$29:$F$203,4,FALSE),"N/A")</f>
        <v>N/A</v>
      </c>
      <c r="U84" s="1236" t="str">
        <f t="shared" si="8"/>
        <v>N/A</v>
      </c>
      <c r="V84" s="1510"/>
      <c r="X84" s="273"/>
      <c r="Y84" s="273"/>
      <c r="Z84" s="273"/>
      <c r="AA84" s="752"/>
      <c r="AB84" s="5"/>
      <c r="AC84" s="7"/>
      <c r="AD84" s="7"/>
      <c r="AE84" s="7"/>
      <c r="AF84" s="7"/>
      <c r="AG84" s="7"/>
      <c r="AH84" s="7"/>
    </row>
    <row r="85" spans="2:34" ht="15" hidden="1" customHeight="1" outlineLevel="2" x14ac:dyDescent="0.4">
      <c r="B85" s="762"/>
      <c r="C85" s="5"/>
      <c r="D85" s="3993"/>
      <c r="E85" s="601" t="s">
        <v>1247</v>
      </c>
      <c r="F85" s="601" t="s">
        <v>3</v>
      </c>
      <c r="G85" s="602">
        <f t="shared" si="9"/>
        <v>0.38</v>
      </c>
      <c r="H85" s="602">
        <f t="shared" si="7"/>
        <v>47.124746595150334</v>
      </c>
      <c r="I85" s="601"/>
      <c r="J85" s="602" t="str">
        <f>IF($F85="operation",VLOOKUP($I85,'Generic Vertical Port Tasks'!$C$4:$D$189,2,FALSE),"N/A")</f>
        <v>N/A</v>
      </c>
      <c r="K85" s="601"/>
      <c r="L85" s="601"/>
      <c r="M85" s="601"/>
      <c r="N85" s="605" t="str">
        <f>IFERROR(INDEX('Upper Cask Movement &amp; Logistics'!$I$24:$O$30,MATCH($J85,'Upper Cask Movement &amp; Logistics'!$H$24:$H$30,0),MATCH($K85,'Upper Cask Movement &amp; Logistics'!$H$24:$H$30,0)),"N/A")</f>
        <v>N/A</v>
      </c>
      <c r="O85" s="605" t="str">
        <f>IFERROR(VLOOKUP($I85,'Upper Cask Movement &amp; Logistics'!$H$4:$I$8,2,FALSE),"N/A")</f>
        <v>N/A</v>
      </c>
      <c r="P85" s="602" t="str">
        <f t="shared" si="6"/>
        <v>N/A</v>
      </c>
      <c r="Q85" s="1234" t="s">
        <v>1226</v>
      </c>
      <c r="R85" s="602">
        <f>IF($F85="Logistics",VLOOKUP($Q85,'Upper Cask Movement &amp; Logistics'!$C$4:$D$209,2,FALSE),"N/A")</f>
        <v>0.38</v>
      </c>
      <c r="S85" s="1235"/>
      <c r="T85" s="602" t="str">
        <f>IFERROR(VLOOKUP($S85,'Upper Cask Recovery Logistics'!$C$29:$F$203,4,FALSE),"N/A")</f>
        <v>N/A</v>
      </c>
      <c r="U85" s="1236" t="str">
        <f t="shared" si="8"/>
        <v>N/A</v>
      </c>
      <c r="V85" s="1510"/>
      <c r="X85" s="273"/>
      <c r="Y85" s="273"/>
      <c r="Z85" s="273"/>
      <c r="AA85" s="752"/>
      <c r="AB85" s="5"/>
      <c r="AC85" s="7"/>
      <c r="AD85" s="7"/>
      <c r="AE85" s="7"/>
      <c r="AF85" s="7"/>
      <c r="AG85" s="7"/>
      <c r="AH85" s="7"/>
    </row>
    <row r="86" spans="2:34" ht="15" hidden="1" customHeight="1" outlineLevel="2" x14ac:dyDescent="0.4">
      <c r="B86" s="762"/>
      <c r="C86" s="5"/>
      <c r="D86" s="3993"/>
      <c r="E86" s="601" t="s">
        <v>153</v>
      </c>
      <c r="F86" s="601" t="s">
        <v>251</v>
      </c>
      <c r="G86" s="602">
        <f t="shared" si="9"/>
        <v>1.0499155317167692</v>
      </c>
      <c r="H86" s="602">
        <f t="shared" si="7"/>
        <v>48.174662126867105</v>
      </c>
      <c r="I86" s="601" t="s">
        <v>2491</v>
      </c>
      <c r="J86" s="602">
        <f>IF($F86="operation",VLOOKUP($I86,'Generic Vertical Port Tasks'!$C$4:$D$189,2,FALSE),"N/A")</f>
        <v>1.0499155317167692</v>
      </c>
      <c r="K86" s="601"/>
      <c r="L86" s="601"/>
      <c r="M86" s="601"/>
      <c r="N86" s="605" t="str">
        <f>IFERROR(INDEX('Upper Cask Movement &amp; Logistics'!$I$24:$O$30,MATCH($J86,'Upper Cask Movement &amp; Logistics'!$H$24:$H$30,0),MATCH($K86,'Upper Cask Movement &amp; Logistics'!$H$24:$H$30,0)),"N/A")</f>
        <v>N/A</v>
      </c>
      <c r="O86" s="605" t="str">
        <f>IFERROR(VLOOKUP($I86,'Upper Cask Movement &amp; Logistics'!$H$4:$I$8,2,FALSE),"N/A")</f>
        <v>N/A</v>
      </c>
      <c r="P86" s="602" t="str">
        <f t="shared" si="6"/>
        <v>N/A</v>
      </c>
      <c r="Q86" s="1234"/>
      <c r="R86" s="602" t="str">
        <f>IF($F86="Logistics",VLOOKUP($Q86,'Upper Cask Movement &amp; Logistics'!$C$4:$D$209,2,FALSE),"N/A")</f>
        <v>N/A</v>
      </c>
      <c r="S86" s="1235"/>
      <c r="T86" s="602" t="str">
        <f>IFERROR(VLOOKUP($S86,'Upper Cask Recovery Logistics'!$C$29:$F$203,4,FALSE),"N/A")</f>
        <v>N/A</v>
      </c>
      <c r="U86" s="1236" t="str">
        <f t="shared" si="8"/>
        <v>N/A</v>
      </c>
      <c r="V86" s="1510"/>
      <c r="X86" s="273"/>
      <c r="Y86" s="273"/>
      <c r="Z86" s="273"/>
      <c r="AA86" s="752"/>
      <c r="AB86" s="5"/>
      <c r="AC86" s="7"/>
      <c r="AD86" s="7"/>
      <c r="AE86" s="7"/>
      <c r="AF86" s="7"/>
      <c r="AG86" s="7"/>
      <c r="AH86" s="7"/>
    </row>
    <row r="87" spans="2:34" ht="15" hidden="1" customHeight="1" outlineLevel="2" thickBot="1" x14ac:dyDescent="0.45">
      <c r="B87" s="762"/>
      <c r="C87" s="5"/>
      <c r="D87" s="3994"/>
      <c r="E87" s="609" t="s">
        <v>1248</v>
      </c>
      <c r="F87" s="609" t="s">
        <v>3</v>
      </c>
      <c r="G87" s="610">
        <f t="shared" si="9"/>
        <v>0.38</v>
      </c>
      <c r="H87" s="610">
        <f t="shared" si="7"/>
        <v>48.554662126867107</v>
      </c>
      <c r="I87" s="609"/>
      <c r="J87" s="610" t="str">
        <f>IF($F87="operation",VLOOKUP($I87,'Generic Vertical Port Tasks'!$C$4:$D$189,2,FALSE),"N/A")</f>
        <v>N/A</v>
      </c>
      <c r="K87" s="609"/>
      <c r="L87" s="609"/>
      <c r="M87" s="609"/>
      <c r="N87" s="613" t="str">
        <f>IFERROR(INDEX('Upper Cask Movement &amp; Logistics'!$I$24:$O$30,MATCH($J87,'Upper Cask Movement &amp; Logistics'!$H$24:$H$30,0),MATCH($K87,'Upper Cask Movement &amp; Logistics'!$H$24:$H$30,0)),"N/A")</f>
        <v>N/A</v>
      </c>
      <c r="O87" s="613" t="str">
        <f>IFERROR(VLOOKUP($I87,'Upper Cask Movement &amp; Logistics'!$H$4:$I$8,2,FALSE),"N/A")</f>
        <v>N/A</v>
      </c>
      <c r="P87" s="610" t="str">
        <f t="shared" si="6"/>
        <v>N/A</v>
      </c>
      <c r="Q87" s="1237" t="s">
        <v>1230</v>
      </c>
      <c r="R87" s="610">
        <f>IF($F87="Logistics",VLOOKUP($Q87,'Upper Cask Movement &amp; Logistics'!$C$4:$D$209,2,FALSE),"N/A")</f>
        <v>0.38</v>
      </c>
      <c r="S87" s="1238"/>
      <c r="T87" s="610" t="str">
        <f>IFERROR(VLOOKUP($S87,'Upper Cask Recovery Logistics'!$C$29:$F$203,4,FALSE),"N/A")</f>
        <v>N/A</v>
      </c>
      <c r="U87" s="1239" t="str">
        <f t="shared" si="8"/>
        <v>N/A</v>
      </c>
      <c r="V87" s="1510"/>
      <c r="X87" s="273"/>
      <c r="Y87" s="273"/>
      <c r="Z87" s="273"/>
      <c r="AA87" s="752"/>
      <c r="AB87" s="5"/>
      <c r="AC87" s="7"/>
      <c r="AD87" s="7"/>
      <c r="AE87" s="7"/>
      <c r="AF87" s="7"/>
      <c r="AG87" s="7"/>
      <c r="AH87" s="7"/>
    </row>
    <row r="88" spans="2:34" ht="15" hidden="1" customHeight="1" outlineLevel="2" x14ac:dyDescent="0.4">
      <c r="B88" s="762"/>
      <c r="C88" s="5"/>
      <c r="D88" s="3984" t="s">
        <v>843</v>
      </c>
      <c r="E88" s="1333" t="s">
        <v>1517</v>
      </c>
      <c r="F88" s="1333" t="s">
        <v>3</v>
      </c>
      <c r="G88" s="1303">
        <f t="shared" si="9"/>
        <v>0.38</v>
      </c>
      <c r="H88" s="1303">
        <f t="shared" si="7"/>
        <v>48.93466212686711</v>
      </c>
      <c r="I88" s="1333"/>
      <c r="J88" s="1303" t="str">
        <f>IF($F88="operation",VLOOKUP($I88,'Generic Vertical Port Tasks'!$C$4:$D$189,2,FALSE),"N/A")</f>
        <v>N/A</v>
      </c>
      <c r="K88" s="1333"/>
      <c r="L88" s="1333"/>
      <c r="M88" s="1333"/>
      <c r="N88" s="1334" t="str">
        <f>IFERROR(INDEX('Upper Cask Movement &amp; Logistics'!$I$24:$O$30,MATCH($J88,'Upper Cask Movement &amp; Logistics'!$H$24:$H$30,0),MATCH($K88,'Upper Cask Movement &amp; Logistics'!$H$24:$H$30,0)),"N/A")</f>
        <v>N/A</v>
      </c>
      <c r="O88" s="1334" t="str">
        <f>IFERROR(VLOOKUP($I88,'Upper Cask Movement &amp; Logistics'!$H$4:$I$8,2,FALSE),"N/A")</f>
        <v>N/A</v>
      </c>
      <c r="P88" s="1303" t="str">
        <f t="shared" si="6"/>
        <v>N/A</v>
      </c>
      <c r="Q88" s="1504" t="s">
        <v>1226</v>
      </c>
      <c r="R88" s="1303">
        <f>IF($F88="Logistics",VLOOKUP($Q88,'Upper Cask Movement &amp; Logistics'!$C$4:$D$209,2,FALSE),"N/A")</f>
        <v>0.38</v>
      </c>
      <c r="S88" s="1505"/>
      <c r="T88" s="1303" t="str">
        <f>IFERROR(VLOOKUP($S88,'Upper Cask Recovery Logistics'!$C$29:$F$203,4,FALSE),"N/A")</f>
        <v>N/A</v>
      </c>
      <c r="U88" s="1506" t="str">
        <f t="shared" si="8"/>
        <v>N/A</v>
      </c>
      <c r="V88" s="1510"/>
      <c r="X88" s="273"/>
      <c r="Y88" s="273"/>
      <c r="Z88" s="273"/>
      <c r="AA88" s="752"/>
      <c r="AB88" s="5"/>
      <c r="AC88" s="7"/>
      <c r="AD88" s="7"/>
      <c r="AE88" s="7"/>
      <c r="AF88" s="7"/>
      <c r="AG88" s="7"/>
      <c r="AH88" s="7"/>
    </row>
    <row r="89" spans="2:34" ht="15" hidden="1" customHeight="1" outlineLevel="2" x14ac:dyDescent="0.4">
      <c r="B89" s="762"/>
      <c r="C89" s="5"/>
      <c r="D89" s="3985"/>
      <c r="E89" s="1243" t="s">
        <v>131</v>
      </c>
      <c r="F89" s="1243" t="s">
        <v>251</v>
      </c>
      <c r="G89" s="1244">
        <f t="shared" si="9"/>
        <v>0.72499999999999998</v>
      </c>
      <c r="H89" s="1244">
        <f t="shared" si="7"/>
        <v>49.659662126867111</v>
      </c>
      <c r="I89" s="1243" t="s">
        <v>253</v>
      </c>
      <c r="J89" s="1244">
        <f>IF($F89="operation",VLOOKUP($I89,'Generic Vertical Port Tasks'!$C$4:$D$189,2,FALSE),"N/A")</f>
        <v>0.72499999999999998</v>
      </c>
      <c r="K89" s="1243"/>
      <c r="L89" s="1243"/>
      <c r="M89" s="1243"/>
      <c r="N89" s="1245" t="str">
        <f>IFERROR(INDEX('Upper Cask Movement &amp; Logistics'!$I$24:$O$30,MATCH($J89,'Upper Cask Movement &amp; Logistics'!$H$24:$H$30,0),MATCH($K89,'Upper Cask Movement &amp; Logistics'!$H$24:$H$30,0)),"N/A")</f>
        <v>N/A</v>
      </c>
      <c r="O89" s="1245" t="str">
        <f>IFERROR(VLOOKUP($I89,'Upper Cask Movement &amp; Logistics'!$H$4:$I$8,2,FALSE),"N/A")</f>
        <v>N/A</v>
      </c>
      <c r="P89" s="1244" t="str">
        <f t="shared" si="6"/>
        <v>N/A</v>
      </c>
      <c r="Q89" s="1246"/>
      <c r="R89" s="1244" t="str">
        <f>IF($F89="Logistics",VLOOKUP($Q89,'Upper Cask Movement &amp; Logistics'!$C$4:$D$209,2,FALSE),"N/A")</f>
        <v>N/A</v>
      </c>
      <c r="S89" s="1247"/>
      <c r="T89" s="1244" t="str">
        <f>IFERROR(VLOOKUP($S89,'Upper Cask Recovery Logistics'!$C$29:$F$203,4,FALSE),"N/A")</f>
        <v>N/A</v>
      </c>
      <c r="U89" s="1248" t="str">
        <f t="shared" si="8"/>
        <v>N/A</v>
      </c>
      <c r="V89" s="1510"/>
      <c r="X89" s="273"/>
      <c r="Y89" s="273"/>
      <c r="Z89" s="273"/>
      <c r="AA89" s="752"/>
      <c r="AB89" s="5"/>
      <c r="AC89" s="7"/>
      <c r="AD89" s="7"/>
      <c r="AE89" s="7"/>
      <c r="AF89" s="7"/>
      <c r="AG89" s="7"/>
      <c r="AH89" s="7"/>
    </row>
    <row r="90" spans="2:34" ht="15" hidden="1" customHeight="1" outlineLevel="2" x14ac:dyDescent="0.4">
      <c r="B90" s="762"/>
      <c r="C90" s="5"/>
      <c r="D90" s="3985"/>
      <c r="E90" s="1243" t="s">
        <v>1258</v>
      </c>
      <c r="F90" s="1243" t="s">
        <v>3</v>
      </c>
      <c r="G90" s="1244">
        <f t="shared" si="9"/>
        <v>0.63000000000000012</v>
      </c>
      <c r="H90" s="1244">
        <f t="shared" si="7"/>
        <v>50.289662126867114</v>
      </c>
      <c r="I90" s="1243"/>
      <c r="J90" s="1244" t="str">
        <f>IF($F90="operation",VLOOKUP($I90,'Generic Vertical Port Tasks'!$C$4:$D$189,2,FALSE),"N/A")</f>
        <v>N/A</v>
      </c>
      <c r="K90" s="1243"/>
      <c r="L90" s="1243"/>
      <c r="M90" s="1243"/>
      <c r="N90" s="1245" t="str">
        <f>IFERROR(INDEX('Upper Cask Movement &amp; Logistics'!$I$24:$O$30,MATCH($J90,'Upper Cask Movement &amp; Logistics'!$H$24:$H$30,0),MATCH($K90,'Upper Cask Movement &amp; Logistics'!$H$24:$H$30,0)),"N/A")</f>
        <v>N/A</v>
      </c>
      <c r="O90" s="1245" t="str">
        <f>IFERROR(VLOOKUP($I90,'Upper Cask Movement &amp; Logistics'!$H$4:$I$8,2,FALSE),"N/A")</f>
        <v>N/A</v>
      </c>
      <c r="P90" s="1244" t="str">
        <f t="shared" si="6"/>
        <v>N/A</v>
      </c>
      <c r="Q90" s="1246" t="s">
        <v>1228</v>
      </c>
      <c r="R90" s="1244">
        <f>IF($F90="Logistics",VLOOKUP($Q90,'Upper Cask Movement &amp; Logistics'!$C$4:$D$209,2,FALSE),"N/A")</f>
        <v>0.63000000000000012</v>
      </c>
      <c r="S90" s="1247" t="s">
        <v>1376</v>
      </c>
      <c r="T90" s="1244">
        <f>IFERROR(VLOOKUP($S90,'Upper Cask Recovery Logistics'!$C$29:$F$203,4,FALSE),"N/A")</f>
        <v>43.450672521076243</v>
      </c>
      <c r="U90" s="1248">
        <f t="shared" si="8"/>
        <v>6.2089896057908689</v>
      </c>
      <c r="V90" s="1510"/>
      <c r="X90" s="273"/>
      <c r="Y90" s="273"/>
      <c r="Z90" s="273"/>
      <c r="AA90" s="752"/>
      <c r="AB90" s="5"/>
      <c r="AC90" s="7"/>
      <c r="AD90" s="7"/>
      <c r="AE90" s="7"/>
      <c r="AF90" s="7"/>
      <c r="AG90" s="7"/>
      <c r="AH90" s="7"/>
    </row>
    <row r="91" spans="2:34" ht="15" hidden="1" customHeight="1" outlineLevel="2" x14ac:dyDescent="0.4">
      <c r="B91" s="762"/>
      <c r="C91" s="5"/>
      <c r="D91" s="3985"/>
      <c r="E91" s="1243" t="s">
        <v>1251</v>
      </c>
      <c r="F91" s="1243" t="s">
        <v>3</v>
      </c>
      <c r="G91" s="1244">
        <f t="shared" si="9"/>
        <v>0.38</v>
      </c>
      <c r="H91" s="1244">
        <f t="shared" si="7"/>
        <v>50.669662126867117</v>
      </c>
      <c r="I91" s="1243"/>
      <c r="J91" s="1244" t="str">
        <f>IF($F91="operation",VLOOKUP($I91,'Generic Vertical Port Tasks'!$C$4:$D$189,2,FALSE),"N/A")</f>
        <v>N/A</v>
      </c>
      <c r="K91" s="1243"/>
      <c r="L91" s="1243"/>
      <c r="M91" s="1243"/>
      <c r="N91" s="1245" t="str">
        <f>IFERROR(INDEX('Upper Cask Movement &amp; Logistics'!$I$24:$O$30,MATCH($J91,'Upper Cask Movement &amp; Logistics'!$H$24:$H$30,0),MATCH($K91,'Upper Cask Movement &amp; Logistics'!$H$24:$H$30,0)),"N/A")</f>
        <v>N/A</v>
      </c>
      <c r="O91" s="1245" t="str">
        <f>IFERROR(VLOOKUP($I91,'Upper Cask Movement &amp; Logistics'!$H$4:$I$8,2,FALSE),"N/A")</f>
        <v>N/A</v>
      </c>
      <c r="P91" s="1244" t="str">
        <f t="shared" si="6"/>
        <v>N/A</v>
      </c>
      <c r="Q91" s="1246" t="s">
        <v>1230</v>
      </c>
      <c r="R91" s="1244">
        <f>IF($F91="Logistics",VLOOKUP($Q91,'Upper Cask Movement &amp; Logistics'!$C$4:$D$209,2,FALSE),"N/A")</f>
        <v>0.38</v>
      </c>
      <c r="S91" s="1247"/>
      <c r="T91" s="1244" t="str">
        <f>IFERROR(VLOOKUP($S91,'Upper Cask Recovery Logistics'!$C$29:$F$203,4,FALSE),"N/A")</f>
        <v>N/A</v>
      </c>
      <c r="U91" s="1248" t="str">
        <f t="shared" si="8"/>
        <v>N/A</v>
      </c>
      <c r="V91" s="1510"/>
      <c r="X91" s="273"/>
      <c r="Y91" s="273"/>
      <c r="Z91" s="273"/>
      <c r="AA91" s="752"/>
      <c r="AB91" s="5"/>
      <c r="AC91" s="7"/>
      <c r="AD91" s="7"/>
      <c r="AE91" s="7"/>
      <c r="AF91" s="7"/>
      <c r="AG91" s="7"/>
      <c r="AH91" s="7"/>
    </row>
    <row r="92" spans="2:34" ht="15" hidden="1" customHeight="1" outlineLevel="2" thickBot="1" x14ac:dyDescent="0.45">
      <c r="B92" s="762"/>
      <c r="C92" s="5"/>
      <c r="D92" s="3986"/>
      <c r="E92" s="1314" t="s">
        <v>1259</v>
      </c>
      <c r="F92" s="1314" t="s">
        <v>3</v>
      </c>
      <c r="G92" s="1316">
        <f t="shared" si="9"/>
        <v>2.5400000000000005</v>
      </c>
      <c r="H92" s="1316">
        <f t="shared" si="7"/>
        <v>53.209662126867116</v>
      </c>
      <c r="I92" s="1314"/>
      <c r="J92" s="1316" t="str">
        <f>IF($F92="operation",VLOOKUP($I92,'Generic Vertical Port Tasks'!$C$4:$D$189,2,FALSE),"N/A")</f>
        <v>N/A</v>
      </c>
      <c r="K92" s="1314"/>
      <c r="L92" s="1314"/>
      <c r="M92" s="1314"/>
      <c r="N92" s="1319" t="str">
        <f>IFERROR(INDEX('Upper Cask Movement &amp; Logistics'!$I$24:$O$30,MATCH($J92,'Upper Cask Movement &amp; Logistics'!$H$24:$H$30,0),MATCH($K92,'Upper Cask Movement &amp; Logistics'!$H$24:$H$30,0)),"N/A")</f>
        <v>N/A</v>
      </c>
      <c r="O92" s="1319" t="str">
        <f>IFERROR(VLOOKUP($I92,'Upper Cask Movement &amp; Logistics'!$H$4:$I$8,2,FALSE),"N/A")</f>
        <v>N/A</v>
      </c>
      <c r="P92" s="1316" t="str">
        <f t="shared" si="6"/>
        <v>N/A</v>
      </c>
      <c r="Q92" s="1507" t="s">
        <v>1260</v>
      </c>
      <c r="R92" s="1316">
        <f>IF($F92="Logistics",VLOOKUP($Q92,'Upper Cask Movement &amp; Logistics'!$C$4:$D$209,2,FALSE),"N/A")</f>
        <v>2.5400000000000005</v>
      </c>
      <c r="S92" s="1508"/>
      <c r="T92" s="1316" t="str">
        <f>IFERROR(VLOOKUP($S92,'Upper Cask Recovery Logistics'!$C$29:$F$203,4,FALSE),"N/A")</f>
        <v>N/A</v>
      </c>
      <c r="U92" s="1509" t="str">
        <f t="shared" si="8"/>
        <v>N/A</v>
      </c>
      <c r="V92" s="1510"/>
      <c r="X92" s="273"/>
      <c r="Y92" s="273"/>
      <c r="Z92" s="273"/>
      <c r="AA92" s="752"/>
      <c r="AB92" s="5"/>
      <c r="AC92" s="7"/>
      <c r="AD92" s="7"/>
      <c r="AE92" s="7"/>
      <c r="AF92" s="7"/>
      <c r="AG92" s="7"/>
      <c r="AH92" s="7"/>
    </row>
    <row r="93" spans="2:34" ht="15.75" hidden="1" customHeight="1" outlineLevel="2" x14ac:dyDescent="0.4">
      <c r="B93" s="762"/>
      <c r="C93" s="5"/>
      <c r="D93" s="3820" t="s">
        <v>13</v>
      </c>
      <c r="E93" s="1256" t="s">
        <v>1261</v>
      </c>
      <c r="F93" s="596" t="s">
        <v>3</v>
      </c>
      <c r="G93" s="593">
        <f t="shared" si="9"/>
        <v>1.6400000000000001</v>
      </c>
      <c r="H93" s="593">
        <f t="shared" si="7"/>
        <v>54.849662126867116</v>
      </c>
      <c r="I93" s="596"/>
      <c r="J93" s="593" t="str">
        <f>IF($F93="operation",VLOOKUP($I93,'Generic Vertical Port Tasks'!$C$4:$D$189,2,FALSE),"N/A")</f>
        <v>N/A</v>
      </c>
      <c r="K93" s="596"/>
      <c r="L93" s="596"/>
      <c r="M93" s="596"/>
      <c r="N93" s="597" t="str">
        <f>IFERROR(INDEX('Upper Cask Movement &amp; Logistics'!$I$24:$O$30,MATCH($J93,'Upper Cask Movement &amp; Logistics'!$H$24:$H$30,0),MATCH($K93,'Upper Cask Movement &amp; Logistics'!$H$24:$H$30,0)),"N/A")</f>
        <v>N/A</v>
      </c>
      <c r="O93" s="597" t="str">
        <f>IFERROR(VLOOKUP($I93,'Upper Cask Movement &amp; Logistics'!$H$4:$I$8,2,FALSE),"N/A")</f>
        <v>N/A</v>
      </c>
      <c r="P93" s="593" t="str">
        <f t="shared" si="6"/>
        <v>N/A</v>
      </c>
      <c r="Q93" s="1253" t="s">
        <v>1224</v>
      </c>
      <c r="R93" s="593">
        <f>IF($F93="Logistics",VLOOKUP($Q93,'Upper Cask Movement &amp; Logistics'!$C$4:$D$209,2,FALSE),"N/A")</f>
        <v>1.6400000000000001</v>
      </c>
      <c r="S93" s="1254" t="s">
        <v>1384</v>
      </c>
      <c r="T93" s="593">
        <f>IFERROR(VLOOKUP($S93,'Upper Cask Recovery Logistics'!$C$29:$F$203,4,FALSE),"N/A")</f>
        <v>6.2844444444444454</v>
      </c>
      <c r="U93" s="1255">
        <f t="shared" si="8"/>
        <v>46.925217682422669</v>
      </c>
      <c r="V93" s="1510"/>
      <c r="X93" s="273"/>
      <c r="Y93" s="273"/>
      <c r="Z93" s="273"/>
      <c r="AA93" s="752"/>
      <c r="AB93" s="5"/>
      <c r="AC93" s="7"/>
      <c r="AD93" s="7"/>
      <c r="AE93" s="7"/>
      <c r="AF93" s="7"/>
      <c r="AG93" s="7"/>
      <c r="AH93" s="7"/>
    </row>
    <row r="94" spans="2:34" ht="25.5" hidden="1" customHeight="1" outlineLevel="2" x14ac:dyDescent="0.4">
      <c r="B94" s="762"/>
      <c r="C94" s="5"/>
      <c r="D94" s="3821"/>
      <c r="E94" s="1257" t="s">
        <v>1262</v>
      </c>
      <c r="F94" s="601" t="s">
        <v>3</v>
      </c>
      <c r="G94" s="602">
        <f t="shared" si="9"/>
        <v>0.38</v>
      </c>
      <c r="H94" s="602">
        <f t="shared" si="7"/>
        <v>55.229662126867119</v>
      </c>
      <c r="I94" s="601"/>
      <c r="J94" s="602" t="str">
        <f>IF($F94="operation",VLOOKUP($I94,'Generic Vertical Port Tasks'!$C$4:$D$189,2,FALSE),"N/A")</f>
        <v>N/A</v>
      </c>
      <c r="K94" s="601"/>
      <c r="L94" s="601"/>
      <c r="M94" s="601"/>
      <c r="N94" s="605" t="str">
        <f>IFERROR(INDEX('Upper Cask Movement &amp; Logistics'!$I$24:$O$30,MATCH($J94,'Upper Cask Movement &amp; Logistics'!$H$24:$H$30,0),MATCH($K94,'Upper Cask Movement &amp; Logistics'!$H$24:$H$30,0)),"N/A")</f>
        <v>N/A</v>
      </c>
      <c r="O94" s="605" t="str">
        <f>IFERROR(VLOOKUP($I94,'Upper Cask Movement &amp; Logistics'!$H$4:$I$8,2,FALSE),"N/A")</f>
        <v>N/A</v>
      </c>
      <c r="P94" s="602" t="str">
        <f t="shared" si="6"/>
        <v>N/A</v>
      </c>
      <c r="Q94" s="1234" t="s">
        <v>1226</v>
      </c>
      <c r="R94" s="602">
        <f>IF($F94="Logistics",VLOOKUP($Q94,'Upper Cask Movement &amp; Logistics'!$C$4:$D$209,2,FALSE),"N/A")</f>
        <v>0.38</v>
      </c>
      <c r="S94" s="1235"/>
      <c r="T94" s="602" t="str">
        <f>IFERROR(VLOOKUP($S94,'Upper Cask Recovery Logistics'!$C$29:$F$203,4,FALSE),"N/A")</f>
        <v>N/A</v>
      </c>
      <c r="U94" s="1236" t="str">
        <f t="shared" si="8"/>
        <v>N/A</v>
      </c>
      <c r="V94" s="1510"/>
      <c r="X94" s="273"/>
      <c r="Y94" s="273"/>
      <c r="Z94" s="273"/>
      <c r="AA94" s="752"/>
    </row>
    <row r="95" spans="2:34" s="82" customFormat="1" ht="15.75" hidden="1" customHeight="1" outlineLevel="2" x14ac:dyDescent="0.4">
      <c r="B95" s="762"/>
      <c r="C95" s="5"/>
      <c r="D95" s="3821"/>
      <c r="E95" s="1257" t="s">
        <v>122</v>
      </c>
      <c r="F95" s="601" t="s">
        <v>251</v>
      </c>
      <c r="G95" s="602">
        <f t="shared" si="9"/>
        <v>5.74</v>
      </c>
      <c r="H95" s="602">
        <f t="shared" si="7"/>
        <v>60.969662126867121</v>
      </c>
      <c r="I95" s="601" t="s">
        <v>254</v>
      </c>
      <c r="J95" s="602">
        <f>IF($F95="operation",VLOOKUP($I95,'Generic Vertical Port Tasks'!$C$4:$D$189,2,FALSE),"N/A")</f>
        <v>5.74</v>
      </c>
      <c r="K95" s="601"/>
      <c r="L95" s="601"/>
      <c r="M95" s="601"/>
      <c r="N95" s="605" t="str">
        <f>IFERROR(INDEX('Upper Cask Movement &amp; Logistics'!$I$24:$O$30,MATCH($J95,'Upper Cask Movement &amp; Logistics'!$H$24:$H$30,0),MATCH($K95,'Upper Cask Movement &amp; Logistics'!$H$24:$H$30,0)),"N/A")</f>
        <v>N/A</v>
      </c>
      <c r="O95" s="605" t="str">
        <f>IFERROR(VLOOKUP($I95,'Upper Cask Movement &amp; Logistics'!$H$4:$I$8,2,FALSE),"N/A")</f>
        <v>N/A</v>
      </c>
      <c r="P95" s="602" t="str">
        <f t="shared" si="6"/>
        <v>N/A</v>
      </c>
      <c r="Q95" s="1234"/>
      <c r="R95" s="602" t="str">
        <f>IF($F95="Logistics",VLOOKUP($Q95,'Upper Cask Movement &amp; Logistics'!$C$4:$D$209,2,FALSE),"N/A")</f>
        <v>N/A</v>
      </c>
      <c r="S95" s="1235" t="s">
        <v>1518</v>
      </c>
      <c r="T95" s="602">
        <f>IFERROR(VLOOKUP($S95,'Upper Cask Recovery Logistics'!$C$29:$F$203,4,FALSE),"N/A")</f>
        <v>12.602967059728389</v>
      </c>
      <c r="U95" s="1236">
        <f t="shared" si="8"/>
        <v>42.626695067138726</v>
      </c>
      <c r="V95" s="1510"/>
      <c r="X95" s="5"/>
      <c r="Y95" s="5"/>
      <c r="Z95" s="5"/>
      <c r="AA95" s="889"/>
      <c r="AB95" s="890"/>
    </row>
    <row r="96" spans="2:34" s="82" customFormat="1" ht="15" hidden="1" customHeight="1" outlineLevel="2" x14ac:dyDescent="0.4">
      <c r="B96" s="762"/>
      <c r="C96" s="5"/>
      <c r="D96" s="3821"/>
      <c r="E96" s="1257" t="s">
        <v>1263</v>
      </c>
      <c r="F96" s="601" t="s">
        <v>3</v>
      </c>
      <c r="G96" s="602">
        <f t="shared" si="9"/>
        <v>0.63000000000000012</v>
      </c>
      <c r="H96" s="602">
        <f t="shared" si="7"/>
        <v>61.599662126867123</v>
      </c>
      <c r="I96" s="601"/>
      <c r="J96" s="602" t="str">
        <f>IF($F96="operation",VLOOKUP($I96,'Generic Vertical Port Tasks'!$C$4:$D$189,2,FALSE),"N/A")</f>
        <v>N/A</v>
      </c>
      <c r="K96" s="601"/>
      <c r="L96" s="601"/>
      <c r="M96" s="601"/>
      <c r="N96" s="605" t="str">
        <f>IFERROR(INDEX('Upper Cask Movement &amp; Logistics'!$I$24:$O$30,MATCH($J96,'Upper Cask Movement &amp; Logistics'!$H$24:$H$30,0),MATCH($K96,'Upper Cask Movement &amp; Logistics'!$H$24:$H$30,0)),"N/A")</f>
        <v>N/A</v>
      </c>
      <c r="O96" s="605" t="str">
        <f>IFERROR(VLOOKUP($I96,'Upper Cask Movement &amp; Logistics'!$H$4:$I$8,2,FALSE),"N/A")</f>
        <v>N/A</v>
      </c>
      <c r="P96" s="602" t="str">
        <f t="shared" si="6"/>
        <v>N/A</v>
      </c>
      <c r="Q96" s="1234" t="s">
        <v>1228</v>
      </c>
      <c r="R96" s="602">
        <f>IF($F96="Logistics",VLOOKUP($Q96,'Upper Cask Movement &amp; Logistics'!$C$4:$D$209,2,FALSE),"N/A")</f>
        <v>0.63000000000000012</v>
      </c>
      <c r="S96" s="1235" t="s">
        <v>1379</v>
      </c>
      <c r="T96" s="602">
        <f>IFERROR(VLOOKUP($S96,'Upper Cask Recovery Logistics'!$C$29:$F$203,4,FALSE),"N/A")</f>
        <v>56.50892138612636</v>
      </c>
      <c r="U96" s="1236">
        <f t="shared" si="8"/>
        <v>4.4607407407407607</v>
      </c>
      <c r="V96" s="1510"/>
      <c r="X96" s="5"/>
      <c r="Y96" s="5"/>
      <c r="Z96" s="5"/>
      <c r="AA96" s="889"/>
      <c r="AB96" s="890"/>
    </row>
    <row r="97" spans="2:28" s="82" customFormat="1" ht="15" hidden="1" customHeight="1" outlineLevel="2" x14ac:dyDescent="0.4">
      <c r="B97" s="762"/>
      <c r="C97" s="5"/>
      <c r="D97" s="3821"/>
      <c r="E97" s="1257" t="s">
        <v>1262</v>
      </c>
      <c r="F97" s="601" t="s">
        <v>3</v>
      </c>
      <c r="G97" s="602">
        <f t="shared" si="9"/>
        <v>0.5</v>
      </c>
      <c r="H97" s="602">
        <f t="shared" si="7"/>
        <v>62.099662126867123</v>
      </c>
      <c r="I97" s="601"/>
      <c r="J97" s="602" t="str">
        <f>IF($F97="operation",VLOOKUP($I97,'Generic Vertical Port Tasks'!$C$4:$D$189,2,FALSE),"N/A")</f>
        <v>N/A</v>
      </c>
      <c r="K97" s="601"/>
      <c r="L97" s="601"/>
      <c r="M97" s="601"/>
      <c r="N97" s="605" t="str">
        <f>IFERROR(INDEX('Upper Cask Movement &amp; Logistics'!$I$24:$O$30,MATCH($J97,'Upper Cask Movement &amp; Logistics'!$H$24:$H$30,0),MATCH($K97,'Upper Cask Movement &amp; Logistics'!$H$24:$H$30,0)),"N/A")</f>
        <v>N/A</v>
      </c>
      <c r="O97" s="605" t="str">
        <f>IFERROR(VLOOKUP($I97,'Upper Cask Movement &amp; Logistics'!$H$4:$I$8,2,FALSE),"N/A")</f>
        <v>N/A</v>
      </c>
      <c r="P97" s="602" t="str">
        <f t="shared" si="6"/>
        <v>N/A</v>
      </c>
      <c r="Q97" s="1234" t="s">
        <v>1208</v>
      </c>
      <c r="R97" s="602">
        <f>IF($F97="Logistics",VLOOKUP($Q97,'Upper Cask Movement &amp; Logistics'!$C$4:$D$209,2,FALSE),"N/A")</f>
        <v>0.5</v>
      </c>
      <c r="S97" s="1235"/>
      <c r="T97" s="602" t="str">
        <f>IFERROR(VLOOKUP($S97,'Upper Cask Recovery Logistics'!$C$29:$F$203,4,FALSE),"N/A")</f>
        <v>N/A</v>
      </c>
      <c r="U97" s="1236" t="str">
        <f t="shared" si="8"/>
        <v>N/A</v>
      </c>
      <c r="V97" s="1510"/>
      <c r="X97" s="5"/>
      <c r="Y97" s="5"/>
      <c r="Z97" s="5"/>
      <c r="AA97" s="889"/>
      <c r="AB97" s="890"/>
    </row>
    <row r="98" spans="2:28" s="82" customFormat="1" ht="15" hidden="1" customHeight="1" outlineLevel="2" x14ac:dyDescent="0.4">
      <c r="B98" s="762"/>
      <c r="C98" s="5"/>
      <c r="D98" s="3821"/>
      <c r="E98" s="1257" t="s">
        <v>135</v>
      </c>
      <c r="F98" s="601" t="s">
        <v>251</v>
      </c>
      <c r="G98" s="602">
        <f t="shared" si="9"/>
        <v>5.74</v>
      </c>
      <c r="H98" s="602">
        <f t="shared" si="7"/>
        <v>67.839662126867125</v>
      </c>
      <c r="I98" s="601" t="s">
        <v>254</v>
      </c>
      <c r="J98" s="602">
        <f>IF($F98="operation",VLOOKUP($I98,'Generic Vertical Port Tasks'!$C$4:$D$189,2,FALSE),"N/A")</f>
        <v>5.74</v>
      </c>
      <c r="K98" s="601"/>
      <c r="L98" s="601"/>
      <c r="M98" s="601"/>
      <c r="N98" s="605" t="str">
        <f>IFERROR(INDEX('Upper Cask Movement &amp; Logistics'!$I$24:$O$30,MATCH($J98,'Upper Cask Movement &amp; Logistics'!$H$24:$H$30,0),MATCH($K98,'Upper Cask Movement &amp; Logistics'!$H$24:$H$30,0)),"N/A")</f>
        <v>N/A</v>
      </c>
      <c r="O98" s="605" t="str">
        <f>IFERROR(VLOOKUP($I98,'Upper Cask Movement &amp; Logistics'!$H$4:$I$8,2,FALSE),"N/A")</f>
        <v>N/A</v>
      </c>
      <c r="P98" s="602" t="str">
        <f t="shared" si="6"/>
        <v>N/A</v>
      </c>
      <c r="Q98" s="1234"/>
      <c r="R98" s="602" t="str">
        <f>IF($F98="Logistics",VLOOKUP($Q98,'Upper Cask Movement &amp; Logistics'!$C$4:$D$209,2,FALSE),"N/A")</f>
        <v>N/A</v>
      </c>
      <c r="S98" s="1235"/>
      <c r="T98" s="602" t="str">
        <f>IFERROR(VLOOKUP($S98,'Upper Cask Recovery Logistics'!$C$29:$F$203,4,FALSE),"N/A")</f>
        <v>N/A</v>
      </c>
      <c r="U98" s="1236" t="str">
        <f t="shared" si="8"/>
        <v>N/A</v>
      </c>
      <c r="V98" s="1510"/>
      <c r="X98" s="5"/>
      <c r="Y98" s="5"/>
      <c r="Z98" s="5"/>
      <c r="AA98" s="889"/>
      <c r="AB98" s="890"/>
    </row>
    <row r="99" spans="2:28" s="82" customFormat="1" ht="15.75" hidden="1" customHeight="1" outlineLevel="2" x14ac:dyDescent="0.4">
      <c r="B99" s="762"/>
      <c r="C99" s="5"/>
      <c r="D99" s="3821"/>
      <c r="E99" s="1257" t="s">
        <v>1264</v>
      </c>
      <c r="F99" s="601" t="s">
        <v>3</v>
      </c>
      <c r="G99" s="602">
        <f t="shared" si="9"/>
        <v>0.63000000000000012</v>
      </c>
      <c r="H99" s="602">
        <f t="shared" si="7"/>
        <v>68.469662126867121</v>
      </c>
      <c r="I99" s="601"/>
      <c r="J99" s="602" t="str">
        <f>IF($F99="operation",VLOOKUP($I99,'Generic Vertical Port Tasks'!$C$4:$D$189,2,FALSE),"N/A")</f>
        <v>N/A</v>
      </c>
      <c r="K99" s="601"/>
      <c r="L99" s="601"/>
      <c r="M99" s="601"/>
      <c r="N99" s="605" t="str">
        <f>IFERROR(INDEX('Upper Cask Movement &amp; Logistics'!$I$24:$O$30,MATCH($J99,'Upper Cask Movement &amp; Logistics'!$H$24:$H$30,0),MATCH($K99,'Upper Cask Movement &amp; Logistics'!$H$24:$H$30,0)),"N/A")</f>
        <v>N/A</v>
      </c>
      <c r="O99" s="605" t="str">
        <f>IFERROR(VLOOKUP($I99,'Upper Cask Movement &amp; Logistics'!$H$4:$I$8,2,FALSE),"N/A")</f>
        <v>N/A</v>
      </c>
      <c r="P99" s="602" t="str">
        <f t="shared" si="6"/>
        <v>N/A</v>
      </c>
      <c r="Q99" s="1234" t="s">
        <v>1228</v>
      </c>
      <c r="R99" s="602">
        <f>IF($F99="Logistics",VLOOKUP($Q99,'Upper Cask Movement &amp; Logistics'!$C$4:$D$209,2,FALSE),"N/A")</f>
        <v>0.63000000000000012</v>
      </c>
      <c r="S99" s="1235" t="s">
        <v>1388</v>
      </c>
      <c r="T99" s="602">
        <f>IFERROR(VLOOKUP($S99,'Upper Cask Recovery Logistics'!$C$29:$F$203,4,FALSE),"N/A")</f>
        <v>8.3866666666666685</v>
      </c>
      <c r="U99" s="1236">
        <f t="shared" si="8"/>
        <v>59.452995460200455</v>
      </c>
      <c r="V99" s="1510"/>
      <c r="X99" s="5"/>
      <c r="Y99" s="5"/>
      <c r="Z99" s="5"/>
      <c r="AA99" s="889"/>
      <c r="AB99" s="890"/>
    </row>
    <row r="100" spans="2:28" s="82" customFormat="1" ht="15" hidden="1" customHeight="1" outlineLevel="2" x14ac:dyDescent="0.4">
      <c r="B100" s="762"/>
      <c r="C100" s="5"/>
      <c r="D100" s="3821"/>
      <c r="E100" s="1257" t="s">
        <v>1262</v>
      </c>
      <c r="F100" s="601" t="s">
        <v>3</v>
      </c>
      <c r="G100" s="602">
        <f t="shared" si="9"/>
        <v>0.5</v>
      </c>
      <c r="H100" s="602">
        <f t="shared" si="7"/>
        <v>68.969662126867121</v>
      </c>
      <c r="I100" s="601"/>
      <c r="J100" s="602" t="str">
        <f>IF($F100="operation",VLOOKUP($I100,'Generic Vertical Port Tasks'!$C$4:$D$189,2,FALSE),"N/A")</f>
        <v>N/A</v>
      </c>
      <c r="K100" s="601"/>
      <c r="L100" s="601"/>
      <c r="M100" s="601"/>
      <c r="N100" s="605" t="str">
        <f>IFERROR(INDEX('Upper Cask Movement &amp; Logistics'!$I$24:$O$30,MATCH($J100,'Upper Cask Movement &amp; Logistics'!$H$24:$H$30,0),MATCH($K100,'Upper Cask Movement &amp; Logistics'!$H$24:$H$30,0)),"N/A")</f>
        <v>N/A</v>
      </c>
      <c r="O100" s="605" t="str">
        <f>IFERROR(VLOOKUP($I100,'Upper Cask Movement &amp; Logistics'!$H$4:$I$8,2,FALSE),"N/A")</f>
        <v>N/A</v>
      </c>
      <c r="P100" s="602" t="str">
        <f t="shared" si="6"/>
        <v>N/A</v>
      </c>
      <c r="Q100" s="1234" t="s">
        <v>1208</v>
      </c>
      <c r="R100" s="602">
        <f>IF($F100="Logistics",VLOOKUP($Q100,'Upper Cask Movement &amp; Logistics'!$C$4:$D$209,2,FALSE),"N/A")</f>
        <v>0.5</v>
      </c>
      <c r="S100" s="1235"/>
      <c r="T100" s="602" t="str">
        <f>IFERROR(VLOOKUP($S100,'Upper Cask Recovery Logistics'!$C$29:$F$203,4,FALSE),"N/A")</f>
        <v>N/A</v>
      </c>
      <c r="U100" s="1236" t="str">
        <f t="shared" si="8"/>
        <v>N/A</v>
      </c>
      <c r="V100" s="1510"/>
      <c r="X100" s="5"/>
      <c r="Y100" s="5"/>
      <c r="Z100" s="5"/>
      <c r="AA100" s="889"/>
      <c r="AB100" s="890"/>
    </row>
    <row r="101" spans="2:28" s="82" customFormat="1" ht="15.75" hidden="1" customHeight="1" outlineLevel="2" x14ac:dyDescent="0.4">
      <c r="B101" s="762"/>
      <c r="C101" s="5"/>
      <c r="D101" s="3821"/>
      <c r="E101" s="1257" t="s">
        <v>136</v>
      </c>
      <c r="F101" s="601" t="s">
        <v>251</v>
      </c>
      <c r="G101" s="602">
        <f t="shared" si="9"/>
        <v>5.74</v>
      </c>
      <c r="H101" s="602">
        <f t="shared" si="7"/>
        <v>74.709662126867116</v>
      </c>
      <c r="I101" s="601" t="s">
        <v>254</v>
      </c>
      <c r="J101" s="602">
        <f>IF($F101="operation",VLOOKUP($I101,'Generic Vertical Port Tasks'!$C$4:$D$189,2,FALSE),"N/A")</f>
        <v>5.74</v>
      </c>
      <c r="K101" s="601"/>
      <c r="L101" s="601"/>
      <c r="M101" s="601"/>
      <c r="N101" s="605" t="str">
        <f>IFERROR(INDEX('Upper Cask Movement &amp; Logistics'!$I$24:$O$30,MATCH($J101,'Upper Cask Movement &amp; Logistics'!$H$24:$H$30,0),MATCH($K101,'Upper Cask Movement &amp; Logistics'!$H$24:$H$30,0)),"N/A")</f>
        <v>N/A</v>
      </c>
      <c r="O101" s="605" t="str">
        <f>IFERROR(VLOOKUP($I101,'Upper Cask Movement &amp; Logistics'!$H$4:$I$8,2,FALSE),"N/A")</f>
        <v>N/A</v>
      </c>
      <c r="P101" s="602" t="str">
        <f t="shared" si="6"/>
        <v>N/A</v>
      </c>
      <c r="Q101" s="1234"/>
      <c r="R101" s="602" t="str">
        <f>IF($F101="Logistics",VLOOKUP($Q101,'Upper Cask Movement &amp; Logistics'!$C$4:$D$209,2,FALSE),"N/A")</f>
        <v>N/A</v>
      </c>
      <c r="S101" s="1235"/>
      <c r="T101" s="602" t="str">
        <f>IFERROR(VLOOKUP($S101,'Upper Cask Recovery Logistics'!$C$29:$F$203,4,FALSE),"N/A")</f>
        <v>N/A</v>
      </c>
      <c r="U101" s="1236" t="str">
        <f t="shared" si="8"/>
        <v>N/A</v>
      </c>
      <c r="V101" s="1510"/>
      <c r="X101" s="5"/>
      <c r="Y101" s="5"/>
      <c r="Z101" s="5"/>
      <c r="AA101" s="889"/>
      <c r="AB101" s="890"/>
    </row>
    <row r="102" spans="2:28" s="82" customFormat="1" ht="15" hidden="1" customHeight="1" outlineLevel="2" x14ac:dyDescent="0.4">
      <c r="B102" s="762"/>
      <c r="C102" s="5"/>
      <c r="D102" s="3821"/>
      <c r="E102" s="1257" t="s">
        <v>1265</v>
      </c>
      <c r="F102" s="601" t="s">
        <v>3</v>
      </c>
      <c r="G102" s="602">
        <f t="shared" si="9"/>
        <v>0.63000000000000012</v>
      </c>
      <c r="H102" s="602">
        <f t="shared" si="7"/>
        <v>75.339662126867111</v>
      </c>
      <c r="I102" s="601"/>
      <c r="J102" s="602" t="str">
        <f>IF($F102="operation",VLOOKUP($I102,'Generic Vertical Port Tasks'!$C$4:$D$189,2,FALSE),"N/A")</f>
        <v>N/A</v>
      </c>
      <c r="K102" s="601"/>
      <c r="L102" s="601"/>
      <c r="M102" s="601"/>
      <c r="N102" s="605" t="str">
        <f>IFERROR(INDEX('Upper Cask Movement &amp; Logistics'!$I$24:$O$30,MATCH($J102,'Upper Cask Movement &amp; Logistics'!$H$24:$H$30,0),MATCH($K102,'Upper Cask Movement &amp; Logistics'!$H$24:$H$30,0)),"N/A")</f>
        <v>N/A</v>
      </c>
      <c r="O102" s="605" t="str">
        <f>IFERROR(VLOOKUP($I102,'Upper Cask Movement &amp; Logistics'!$H$4:$I$8,2,FALSE),"N/A")</f>
        <v>N/A</v>
      </c>
      <c r="P102" s="602" t="str">
        <f t="shared" si="6"/>
        <v>N/A</v>
      </c>
      <c r="Q102" s="1234" t="s">
        <v>1228</v>
      </c>
      <c r="R102" s="602">
        <f>IF($F102="Logistics",VLOOKUP($Q102,'Upper Cask Movement &amp; Logistics'!$C$4:$D$209,2,FALSE),"N/A")</f>
        <v>0.63000000000000012</v>
      </c>
      <c r="S102" s="1235" t="s">
        <v>1392</v>
      </c>
      <c r="T102" s="602">
        <f>IFERROR(VLOOKUP($S102,'Upper Cask Recovery Logistics'!$C$29:$F$203,4,FALSE),"N/A")</f>
        <v>66.905588052793064</v>
      </c>
      <c r="U102" s="1236">
        <f t="shared" si="8"/>
        <v>7.8040740740740517</v>
      </c>
      <c r="V102" s="1510"/>
      <c r="X102" s="5"/>
      <c r="Y102" s="5"/>
      <c r="Z102" s="5"/>
      <c r="AA102" s="889"/>
      <c r="AB102" s="890"/>
    </row>
    <row r="103" spans="2:28" s="82" customFormat="1" ht="15" hidden="1" customHeight="1" outlineLevel="2" x14ac:dyDescent="0.4">
      <c r="B103" s="762"/>
      <c r="C103" s="5"/>
      <c r="D103" s="3821"/>
      <c r="E103" s="1257" t="s">
        <v>1262</v>
      </c>
      <c r="F103" s="601" t="s">
        <v>3</v>
      </c>
      <c r="G103" s="602">
        <f t="shared" si="9"/>
        <v>0.5</v>
      </c>
      <c r="H103" s="602">
        <f t="shared" si="7"/>
        <v>75.839662126867111</v>
      </c>
      <c r="I103" s="601"/>
      <c r="J103" s="602" t="str">
        <f>IF($F103="operation",VLOOKUP($I103,'Generic Vertical Port Tasks'!$C$4:$D$189,2,FALSE),"N/A")</f>
        <v>N/A</v>
      </c>
      <c r="K103" s="601"/>
      <c r="L103" s="601"/>
      <c r="M103" s="601"/>
      <c r="N103" s="605" t="str">
        <f>IFERROR(INDEX('Upper Cask Movement &amp; Logistics'!$I$24:$O$30,MATCH($J103,'Upper Cask Movement &amp; Logistics'!$H$24:$H$30,0),MATCH($K103,'Upper Cask Movement &amp; Logistics'!$H$24:$H$30,0)),"N/A")</f>
        <v>N/A</v>
      </c>
      <c r="O103" s="605" t="str">
        <f>IFERROR(VLOOKUP($I103,'Upper Cask Movement &amp; Logistics'!$H$4:$I$8,2,FALSE),"N/A")</f>
        <v>N/A</v>
      </c>
      <c r="P103" s="602" t="str">
        <f t="shared" si="6"/>
        <v>N/A</v>
      </c>
      <c r="Q103" s="1234" t="s">
        <v>1208</v>
      </c>
      <c r="R103" s="602">
        <f>IF($F103="Logistics",VLOOKUP($Q103,'Upper Cask Movement &amp; Logistics'!$C$4:$D$209,2,FALSE),"N/A")</f>
        <v>0.5</v>
      </c>
      <c r="S103" s="1235"/>
      <c r="T103" s="602" t="str">
        <f>IFERROR(VLOOKUP($S103,'Upper Cask Recovery Logistics'!$C$29:$F$203,4,FALSE),"N/A")</f>
        <v>N/A</v>
      </c>
      <c r="U103" s="1236" t="str">
        <f t="shared" si="8"/>
        <v>N/A</v>
      </c>
      <c r="V103" s="1510"/>
      <c r="X103" s="5"/>
      <c r="Y103" s="5"/>
      <c r="Z103" s="5"/>
      <c r="AA103" s="889"/>
      <c r="AB103" s="890"/>
    </row>
    <row r="104" spans="2:28" s="82" customFormat="1" ht="15" hidden="1" customHeight="1" outlineLevel="2" x14ac:dyDescent="0.4">
      <c r="B104" s="762"/>
      <c r="C104" s="5"/>
      <c r="D104" s="3821"/>
      <c r="E104" s="1257" t="s">
        <v>138</v>
      </c>
      <c r="F104" s="601" t="s">
        <v>251</v>
      </c>
      <c r="G104" s="602">
        <f t="shared" si="9"/>
        <v>5.74</v>
      </c>
      <c r="H104" s="602">
        <f t="shared" si="7"/>
        <v>81.579662126867106</v>
      </c>
      <c r="I104" s="601" t="s">
        <v>254</v>
      </c>
      <c r="J104" s="602">
        <f>IF($F104="operation",VLOOKUP($I104,'Generic Vertical Port Tasks'!$C$4:$D$189,2,FALSE),"N/A")</f>
        <v>5.74</v>
      </c>
      <c r="K104" s="601"/>
      <c r="L104" s="601"/>
      <c r="M104" s="601"/>
      <c r="N104" s="605" t="str">
        <f>IFERROR(INDEX('Upper Cask Movement &amp; Logistics'!$I$24:$O$30,MATCH($J104,'Upper Cask Movement &amp; Logistics'!$H$24:$H$30,0),MATCH($K104,'Upper Cask Movement &amp; Logistics'!$H$24:$H$30,0)),"N/A")</f>
        <v>N/A</v>
      </c>
      <c r="O104" s="605" t="str">
        <f>IFERROR(VLOOKUP($I104,'Upper Cask Movement &amp; Logistics'!$H$4:$I$8,2,FALSE),"N/A")</f>
        <v>N/A</v>
      </c>
      <c r="P104" s="602" t="str">
        <f t="shared" si="6"/>
        <v>N/A</v>
      </c>
      <c r="Q104" s="1234"/>
      <c r="R104" s="602" t="str">
        <f>IF($F104="Logistics",VLOOKUP($Q104,'Upper Cask Movement &amp; Logistics'!$C$4:$D$209,2,FALSE),"N/A")</f>
        <v>N/A</v>
      </c>
      <c r="S104" s="1235"/>
      <c r="T104" s="602" t="str">
        <f>IFERROR(VLOOKUP($S104,'Upper Cask Recovery Logistics'!$C$29:$F$203,4,FALSE),"N/A")</f>
        <v>N/A</v>
      </c>
      <c r="U104" s="1236" t="str">
        <f t="shared" si="8"/>
        <v>N/A</v>
      </c>
      <c r="V104" s="1510"/>
      <c r="X104" s="5"/>
      <c r="Y104" s="5"/>
      <c r="Z104" s="5"/>
      <c r="AA104" s="889"/>
      <c r="AB104" s="890"/>
    </row>
    <row r="105" spans="2:28" s="82" customFormat="1" ht="15.75" hidden="1" customHeight="1" outlineLevel="2" x14ac:dyDescent="0.4">
      <c r="B105" s="762"/>
      <c r="C105" s="5"/>
      <c r="D105" s="3821"/>
      <c r="E105" s="1257" t="s">
        <v>1266</v>
      </c>
      <c r="F105" s="601" t="s">
        <v>3</v>
      </c>
      <c r="G105" s="602">
        <f t="shared" si="9"/>
        <v>0.63000000000000012</v>
      </c>
      <c r="H105" s="602">
        <f t="shared" si="7"/>
        <v>82.209662126867102</v>
      </c>
      <c r="I105" s="601"/>
      <c r="J105" s="602" t="str">
        <f>IF($F105="operation",VLOOKUP($I105,'Generic Vertical Port Tasks'!$C$4:$D$189,2,FALSE),"N/A")</f>
        <v>N/A</v>
      </c>
      <c r="K105" s="601"/>
      <c r="L105" s="601"/>
      <c r="M105" s="601"/>
      <c r="N105" s="605" t="str">
        <f>IFERROR(INDEX('Upper Cask Movement &amp; Logistics'!$I$24:$O$30,MATCH($J105,'Upper Cask Movement &amp; Logistics'!$H$24:$H$30,0),MATCH($K105,'Upper Cask Movement &amp; Logistics'!$H$24:$H$30,0)),"N/A")</f>
        <v>N/A</v>
      </c>
      <c r="O105" s="605" t="str">
        <f>IFERROR(VLOOKUP($I105,'Upper Cask Movement &amp; Logistics'!$H$4:$I$8,2,FALSE),"N/A")</f>
        <v>N/A</v>
      </c>
      <c r="P105" s="602" t="str">
        <f t="shared" si="6"/>
        <v>N/A</v>
      </c>
      <c r="Q105" s="1234" t="s">
        <v>1228</v>
      </c>
      <c r="R105" s="602">
        <f>IF($F105="Logistics",VLOOKUP($Q105,'Upper Cask Movement &amp; Logistics'!$C$4:$D$209,2,FALSE),"N/A")</f>
        <v>0.63000000000000012</v>
      </c>
      <c r="S105" s="1235" t="s">
        <v>1394</v>
      </c>
      <c r="T105" s="602">
        <f>IFERROR(VLOOKUP($S105,'Upper Cask Recovery Logistics'!$C$29:$F$203,4,FALSE),"N/A")</f>
        <v>73.775588052793054</v>
      </c>
      <c r="U105" s="1236">
        <f t="shared" si="8"/>
        <v>7.8040740740740517</v>
      </c>
      <c r="V105" s="1510"/>
      <c r="X105" s="5"/>
      <c r="Y105" s="5"/>
      <c r="Z105" s="5"/>
      <c r="AA105" s="889"/>
      <c r="AB105" s="890"/>
    </row>
    <row r="106" spans="2:28" ht="15" hidden="1" customHeight="1" outlineLevel="2" x14ac:dyDescent="0.4">
      <c r="B106" s="762"/>
      <c r="C106" s="5"/>
      <c r="D106" s="3821"/>
      <c r="E106" s="1257" t="s">
        <v>1262</v>
      </c>
      <c r="F106" s="601" t="s">
        <v>3</v>
      </c>
      <c r="G106" s="602">
        <f t="shared" si="9"/>
        <v>0.5</v>
      </c>
      <c r="H106" s="602">
        <f t="shared" si="7"/>
        <v>82.709662126867102</v>
      </c>
      <c r="I106" s="601"/>
      <c r="J106" s="602" t="str">
        <f>IF($F106="operation",VLOOKUP($I106,'Generic Vertical Port Tasks'!$C$4:$D$189,2,FALSE),"N/A")</f>
        <v>N/A</v>
      </c>
      <c r="K106" s="601"/>
      <c r="L106" s="601"/>
      <c r="M106" s="601"/>
      <c r="N106" s="605" t="str">
        <f>IFERROR(INDEX('Upper Cask Movement &amp; Logistics'!$I$24:$O$30,MATCH($J106,'Upper Cask Movement &amp; Logistics'!$H$24:$H$30,0),MATCH($K106,'Upper Cask Movement &amp; Logistics'!$H$24:$H$30,0)),"N/A")</f>
        <v>N/A</v>
      </c>
      <c r="O106" s="605" t="str">
        <f>IFERROR(VLOOKUP($I106,'Upper Cask Movement &amp; Logistics'!$H$4:$I$8,2,FALSE),"N/A")</f>
        <v>N/A</v>
      </c>
      <c r="P106" s="602" t="str">
        <f t="shared" si="6"/>
        <v>N/A</v>
      </c>
      <c r="Q106" s="1234" t="s">
        <v>1208</v>
      </c>
      <c r="R106" s="602">
        <f>IF($F106="Logistics",VLOOKUP($Q106,'Upper Cask Movement &amp; Logistics'!$C$4:$D$209,2,FALSE),"N/A")</f>
        <v>0.5</v>
      </c>
      <c r="S106" s="1235"/>
      <c r="T106" s="602" t="str">
        <f>IFERROR(VLOOKUP($S106,'Upper Cask Recovery Logistics'!$C$29:$F$203,4,FALSE),"N/A")</f>
        <v>N/A</v>
      </c>
      <c r="U106" s="1236" t="str">
        <f t="shared" si="8"/>
        <v>N/A</v>
      </c>
      <c r="V106" s="1510"/>
      <c r="X106" s="273"/>
      <c r="Y106" s="273"/>
      <c r="Z106" s="273"/>
      <c r="AA106" s="752"/>
    </row>
    <row r="107" spans="2:28" ht="15.75" hidden="1" customHeight="1" outlineLevel="2" x14ac:dyDescent="0.4">
      <c r="B107" s="762"/>
      <c r="C107" s="5"/>
      <c r="D107" s="3821"/>
      <c r="E107" s="1257" t="s">
        <v>140</v>
      </c>
      <c r="F107" s="601" t="s">
        <v>251</v>
      </c>
      <c r="G107" s="602">
        <f t="shared" si="9"/>
        <v>5.74</v>
      </c>
      <c r="H107" s="602">
        <f t="shared" si="7"/>
        <v>88.449662126867096</v>
      </c>
      <c r="I107" s="601" t="s">
        <v>254</v>
      </c>
      <c r="J107" s="602">
        <f>IF($F107="operation",VLOOKUP($I107,'Generic Vertical Port Tasks'!$C$4:$D$189,2,FALSE),"N/A")</f>
        <v>5.74</v>
      </c>
      <c r="K107" s="601"/>
      <c r="L107" s="601"/>
      <c r="M107" s="601"/>
      <c r="N107" s="605" t="str">
        <f>IFERROR(INDEX('Upper Cask Movement &amp; Logistics'!$I$24:$O$30,MATCH($J107,'Upper Cask Movement &amp; Logistics'!$H$24:$H$30,0),MATCH($K107,'Upper Cask Movement &amp; Logistics'!$H$24:$H$30,0)),"N/A")</f>
        <v>N/A</v>
      </c>
      <c r="O107" s="605" t="str">
        <f>IFERROR(VLOOKUP($I107,'Upper Cask Movement &amp; Logistics'!$H$4:$I$8,2,FALSE),"N/A")</f>
        <v>N/A</v>
      </c>
      <c r="P107" s="602" t="str">
        <f t="shared" si="6"/>
        <v>N/A</v>
      </c>
      <c r="Q107" s="1234"/>
      <c r="R107" s="602" t="str">
        <f>IF($F107="Logistics",VLOOKUP($Q107,'Upper Cask Movement &amp; Logistics'!$C$4:$D$209,2,FALSE),"N/A")</f>
        <v>N/A</v>
      </c>
      <c r="S107" s="1235"/>
      <c r="T107" s="602" t="str">
        <f>IFERROR(VLOOKUP($S107,'Upper Cask Recovery Logistics'!$C$29:$F$203,4,FALSE),"N/A")</f>
        <v>N/A</v>
      </c>
      <c r="U107" s="1236" t="str">
        <f t="shared" si="8"/>
        <v>N/A</v>
      </c>
      <c r="V107" s="1510"/>
      <c r="X107" s="273"/>
      <c r="Y107" s="273"/>
      <c r="Z107" s="273"/>
      <c r="AA107" s="752"/>
    </row>
    <row r="108" spans="2:28" ht="15" hidden="1" customHeight="1" outlineLevel="2" x14ac:dyDescent="0.4">
      <c r="B108" s="762"/>
      <c r="C108" s="5"/>
      <c r="D108" s="3821"/>
      <c r="E108" s="1257" t="s">
        <v>1267</v>
      </c>
      <c r="F108" s="601" t="s">
        <v>3</v>
      </c>
      <c r="G108" s="602">
        <f t="shared" si="9"/>
        <v>0.63000000000000012</v>
      </c>
      <c r="H108" s="602">
        <f t="shared" si="7"/>
        <v>89.079662126867092</v>
      </c>
      <c r="I108" s="601"/>
      <c r="J108" s="602" t="str">
        <f>IF($F108="operation",VLOOKUP($I108,'Generic Vertical Port Tasks'!$C$4:$D$189,2,FALSE),"N/A")</f>
        <v>N/A</v>
      </c>
      <c r="K108" s="601"/>
      <c r="L108" s="601"/>
      <c r="M108" s="601"/>
      <c r="N108" s="605" t="str">
        <f>IFERROR(INDEX('Upper Cask Movement &amp; Logistics'!$I$24:$O$30,MATCH($J108,'Upper Cask Movement &amp; Logistics'!$H$24:$H$30,0),MATCH($K108,'Upper Cask Movement &amp; Logistics'!$H$24:$H$30,0)),"N/A")</f>
        <v>N/A</v>
      </c>
      <c r="O108" s="605" t="str">
        <f>IFERROR(VLOOKUP($I108,'Upper Cask Movement &amp; Logistics'!$H$4:$I$8,2,FALSE),"N/A")</f>
        <v>N/A</v>
      </c>
      <c r="P108" s="602" t="str">
        <f t="shared" si="6"/>
        <v>N/A</v>
      </c>
      <c r="Q108" s="1234" t="s">
        <v>1228</v>
      </c>
      <c r="R108" s="602">
        <f>IF($F108="Logistics",VLOOKUP($Q108,'Upper Cask Movement &amp; Logistics'!$C$4:$D$209,2,FALSE),"N/A")</f>
        <v>0.63000000000000012</v>
      </c>
      <c r="S108" s="1235" t="s">
        <v>1397</v>
      </c>
      <c r="T108" s="602">
        <f>IFERROR(VLOOKUP($S108,'Upper Cask Recovery Logistics'!$C$29:$F$203,4,FALSE),"N/A")</f>
        <v>80.645588052793045</v>
      </c>
      <c r="U108" s="1236">
        <f t="shared" si="8"/>
        <v>7.8040740740740517</v>
      </c>
      <c r="V108" s="1510"/>
      <c r="X108" s="273"/>
      <c r="Y108" s="273"/>
      <c r="Z108" s="273"/>
      <c r="AA108" s="752"/>
    </row>
    <row r="109" spans="2:28" ht="15" hidden="1" customHeight="1" outlineLevel="2" thickBot="1" x14ac:dyDescent="0.45">
      <c r="B109" s="762"/>
      <c r="C109" s="5"/>
      <c r="D109" s="3822"/>
      <c r="E109" s="1258" t="s">
        <v>1268</v>
      </c>
      <c r="F109" s="609" t="s">
        <v>3</v>
      </c>
      <c r="G109" s="610">
        <f t="shared" si="9"/>
        <v>2.3000000000000003</v>
      </c>
      <c r="H109" s="610">
        <f t="shared" si="7"/>
        <v>91.379662126867089</v>
      </c>
      <c r="I109" s="609"/>
      <c r="J109" s="610" t="str">
        <f>IF($F109="operation",VLOOKUP($I109,'Generic Vertical Port Tasks'!$C$4:$D$189,2,FALSE),"N/A")</f>
        <v>N/A</v>
      </c>
      <c r="K109" s="609"/>
      <c r="L109" s="609"/>
      <c r="M109" s="609"/>
      <c r="N109" s="613" t="str">
        <f>IFERROR(INDEX('Upper Cask Movement &amp; Logistics'!$I$24:$O$30,MATCH($J109,'Upper Cask Movement &amp; Logistics'!$H$24:$H$30,0),MATCH($K109,'Upper Cask Movement &amp; Logistics'!$H$24:$H$30,0)),"N/A")</f>
        <v>N/A</v>
      </c>
      <c r="O109" s="613" t="str">
        <f>IFERROR(VLOOKUP($I109,'Upper Cask Movement &amp; Logistics'!$H$4:$I$8,2,FALSE),"N/A")</f>
        <v>N/A</v>
      </c>
      <c r="P109" s="610" t="str">
        <f t="shared" si="6"/>
        <v>N/A</v>
      </c>
      <c r="Q109" s="1237" t="s">
        <v>1269</v>
      </c>
      <c r="R109" s="610">
        <f>IF($F109="Logistics",VLOOKUP($Q109,'Upper Cask Movement &amp; Logistics'!$C$4:$D$209,2,FALSE),"N/A")</f>
        <v>2.3000000000000003</v>
      </c>
      <c r="S109" s="1238"/>
      <c r="T109" s="610" t="str">
        <f>IFERROR(VLOOKUP($S109,'Upper Cask Recovery Logistics'!$C$29:$F$203,4,FALSE),"N/A")</f>
        <v>N/A</v>
      </c>
      <c r="U109" s="1239" t="str">
        <f t="shared" si="8"/>
        <v>N/A</v>
      </c>
      <c r="V109" s="1510"/>
      <c r="X109" s="273"/>
      <c r="Y109" s="273"/>
      <c r="Z109" s="273"/>
      <c r="AA109" s="752"/>
    </row>
    <row r="110" spans="2:28" ht="15" hidden="1" customHeight="1" outlineLevel="2" x14ac:dyDescent="0.4">
      <c r="B110" s="762"/>
      <c r="C110" s="5"/>
      <c r="D110" s="3787" t="s">
        <v>39</v>
      </c>
      <c r="E110" s="1270" t="s">
        <v>1278</v>
      </c>
      <c r="F110" s="617" t="s">
        <v>3</v>
      </c>
      <c r="G110" s="567">
        <f t="shared" si="9"/>
        <v>0.60000000000000009</v>
      </c>
      <c r="H110" s="567">
        <f t="shared" si="7"/>
        <v>91.979662126867083</v>
      </c>
      <c r="I110" s="617"/>
      <c r="J110" s="567" t="str">
        <f>IF($F110="operation",VLOOKUP($I110,'Generic Vertical Port Tasks'!$C$4:$D$189,2,FALSE),"N/A")</f>
        <v>N/A</v>
      </c>
      <c r="K110" s="617"/>
      <c r="L110" s="617"/>
      <c r="M110" s="617"/>
      <c r="N110" s="618" t="str">
        <f>IFERROR(INDEX('Upper Cask Movement &amp; Logistics'!$I$24:$O$30,MATCH($J110,'Upper Cask Movement &amp; Logistics'!$H$24:$H$30,0),MATCH($K110,'Upper Cask Movement &amp; Logistics'!$H$24:$H$30,0)),"N/A")</f>
        <v>N/A</v>
      </c>
      <c r="O110" s="618" t="str">
        <f>IFERROR(VLOOKUP($I110,'Upper Cask Movement &amp; Logistics'!$H$4:$I$8,2,FALSE),"N/A")</f>
        <v>N/A</v>
      </c>
      <c r="P110" s="567" t="str">
        <f t="shared" ref="P110:P168" si="10">IF(F110="Movement",IFERROR((N110/O110)/(60*60),"Error"),"N/A")</f>
        <v>N/A</v>
      </c>
      <c r="Q110" s="1271" t="s">
        <v>1279</v>
      </c>
      <c r="R110" s="567">
        <f>IF($F110="Logistics",VLOOKUP($Q110,'Upper Cask Movement &amp; Logistics'!$C$4:$D$209,2,FALSE),"N/A")</f>
        <v>0.60000000000000009</v>
      </c>
      <c r="S110" s="1272"/>
      <c r="T110" s="567" t="str">
        <f>IFERROR(VLOOKUP($S110,'Upper Cask Recovery Logistics'!$C$29:$F$203,4,FALSE),"N/A")</f>
        <v>N/A</v>
      </c>
      <c r="U110" s="1273" t="str">
        <f t="shared" si="8"/>
        <v>N/A</v>
      </c>
      <c r="V110" s="1510"/>
      <c r="X110" s="273"/>
      <c r="Y110" s="273"/>
      <c r="Z110" s="273"/>
      <c r="AA110" s="752"/>
    </row>
    <row r="111" spans="2:28" ht="15" hidden="1" customHeight="1" outlineLevel="2" x14ac:dyDescent="0.4">
      <c r="B111" s="762"/>
      <c r="C111" s="5"/>
      <c r="D111" s="3786"/>
      <c r="E111" s="1281" t="s">
        <v>1262</v>
      </c>
      <c r="F111" s="572" t="s">
        <v>3</v>
      </c>
      <c r="G111" s="574">
        <f t="shared" si="9"/>
        <v>0.38</v>
      </c>
      <c r="H111" s="574">
        <f t="shared" ref="H111:H171" si="11">IF(U111&lt;0,G111+H110+(-U111),G111+H110)</f>
        <v>92.359662126867079</v>
      </c>
      <c r="I111" s="572"/>
      <c r="J111" s="574" t="str">
        <f>IF($F111="operation",VLOOKUP($I111,'Generic Vertical Port Tasks'!$C$4:$D$189,2,FALSE),"N/A")</f>
        <v>N/A</v>
      </c>
      <c r="K111" s="572"/>
      <c r="L111" s="572"/>
      <c r="M111" s="572"/>
      <c r="N111" s="577" t="str">
        <f>IFERROR(INDEX('Upper Cask Movement &amp; Logistics'!$I$24:$O$30,MATCH($J111,'Upper Cask Movement &amp; Logistics'!$H$24:$H$30,0),MATCH($K111,'Upper Cask Movement &amp; Logistics'!$H$24:$H$30,0)),"N/A")</f>
        <v>N/A</v>
      </c>
      <c r="O111" s="577" t="str">
        <f>IFERROR(VLOOKUP($I111,'Upper Cask Movement &amp; Logistics'!$H$4:$I$8,2,FALSE),"N/A")</f>
        <v>N/A</v>
      </c>
      <c r="P111" s="574" t="str">
        <f t="shared" si="10"/>
        <v>N/A</v>
      </c>
      <c r="Q111" s="1282" t="s">
        <v>1226</v>
      </c>
      <c r="R111" s="574">
        <f>IF($F111="Logistics",VLOOKUP($Q111,'Upper Cask Movement &amp; Logistics'!$C$4:$D$209,2,FALSE),"N/A")</f>
        <v>0.38</v>
      </c>
      <c r="S111" s="1283"/>
      <c r="T111" s="574" t="str">
        <f>IFERROR(VLOOKUP($S111,'Upper Cask Recovery Logistics'!$C$29:$F$203,4,FALSE),"N/A")</f>
        <v>N/A</v>
      </c>
      <c r="U111" s="1284" t="str">
        <f t="shared" ref="U111:U154" si="12">IFERROR(H110-T111,"N/A")</f>
        <v>N/A</v>
      </c>
      <c r="V111" s="1510"/>
      <c r="X111" s="273"/>
      <c r="Y111" s="273"/>
      <c r="Z111" s="273"/>
      <c r="AA111" s="752"/>
    </row>
    <row r="112" spans="2:28" ht="15" hidden="1" customHeight="1" outlineLevel="2" x14ac:dyDescent="0.4">
      <c r="B112" s="762"/>
      <c r="C112" s="5"/>
      <c r="D112" s="3786"/>
      <c r="E112" s="1281" t="s">
        <v>141</v>
      </c>
      <c r="F112" s="572" t="s">
        <v>251</v>
      </c>
      <c r="G112" s="574">
        <f t="shared" si="9"/>
        <v>4.33</v>
      </c>
      <c r="H112" s="574">
        <f t="shared" si="11"/>
        <v>101.44984731205227</v>
      </c>
      <c r="I112" s="572" t="s">
        <v>256</v>
      </c>
      <c r="J112" s="574">
        <f>IF($F112="operation",VLOOKUP($I112,'Generic Vertical Port Tasks'!$C$4:$D$189,2,FALSE),"N/A")</f>
        <v>4.33</v>
      </c>
      <c r="K112" s="572"/>
      <c r="L112" s="572"/>
      <c r="M112" s="572"/>
      <c r="N112" s="577" t="str">
        <f>IFERROR(INDEX('Upper Cask Movement &amp; Logistics'!$I$24:$O$30,MATCH($J112,'Upper Cask Movement &amp; Logistics'!$H$24:$H$30,0),MATCH($K112,'Upper Cask Movement &amp; Logistics'!$H$24:$H$30,0)),"N/A")</f>
        <v>N/A</v>
      </c>
      <c r="O112" s="577" t="str">
        <f>IFERROR(VLOOKUP($I112,'Upper Cask Movement &amp; Logistics'!$H$4:$I$8,2,FALSE),"N/A")</f>
        <v>N/A</v>
      </c>
      <c r="P112" s="574" t="str">
        <f t="shared" si="10"/>
        <v>N/A</v>
      </c>
      <c r="Q112" s="1282"/>
      <c r="R112" s="574" t="str">
        <f>IF($F112="Logistics",VLOOKUP($Q112,'Upper Cask Movement &amp; Logistics'!$C$4:$D$209,2,FALSE),"N/A")</f>
        <v>N/A</v>
      </c>
      <c r="S112" s="1283" t="s">
        <v>1280</v>
      </c>
      <c r="T112" s="574">
        <f>IFERROR(VLOOKUP($S112,'Upper Cask Recovery Logistics'!$C$29:$F$203,4,FALSE),"N/A")</f>
        <v>97.119847312052272</v>
      </c>
      <c r="U112" s="1284">
        <f>IFERROR(H111-T112,"N/A")</f>
        <v>-4.7601851851851933</v>
      </c>
      <c r="V112" s="1510"/>
      <c r="X112" s="273"/>
      <c r="Y112" s="273"/>
      <c r="Z112" s="273"/>
      <c r="AA112" s="752"/>
    </row>
    <row r="113" spans="2:27" ht="15" hidden="1" customHeight="1" outlineLevel="2" x14ac:dyDescent="0.4">
      <c r="B113" s="762"/>
      <c r="C113" s="5"/>
      <c r="D113" s="3786"/>
      <c r="E113" s="1274" t="s">
        <v>1281</v>
      </c>
      <c r="F113" s="1275" t="s">
        <v>3</v>
      </c>
      <c r="G113" s="1276">
        <f t="shared" ref="G113:G171" si="13">MAX($R113,$P113,$J113)</f>
        <v>0.60000000000000009</v>
      </c>
      <c r="H113" s="574">
        <f t="shared" si="11"/>
        <v>102.04984731205226</v>
      </c>
      <c r="I113" s="1275"/>
      <c r="J113" s="574" t="str">
        <f>IF($F113="operation",VLOOKUP($I113,'Generic Vertical Port Tasks'!$C$4:$D$189,2,FALSE),"N/A")</f>
        <v>N/A</v>
      </c>
      <c r="K113" s="572"/>
      <c r="L113" s="572"/>
      <c r="M113" s="572"/>
      <c r="N113" s="577" t="str">
        <f>IFERROR(INDEX('Upper Cask Movement &amp; Logistics'!$I$24:$O$30,MATCH($J113,'Upper Cask Movement &amp; Logistics'!$H$24:$H$30,0),MATCH($K113,'Upper Cask Movement &amp; Logistics'!$H$24:$H$30,0)),"N/A")</f>
        <v>N/A</v>
      </c>
      <c r="O113" s="577" t="str">
        <f>IFERROR(VLOOKUP($I113,'Upper Cask Movement &amp; Logistics'!$H$4:$I$8,2,FALSE),"N/A")</f>
        <v>N/A</v>
      </c>
      <c r="P113" s="574" t="str">
        <f t="shared" si="10"/>
        <v>N/A</v>
      </c>
      <c r="Q113" s="1278" t="s">
        <v>1279</v>
      </c>
      <c r="R113" s="574">
        <f>IF($F113="Logistics",VLOOKUP($Q113,'Upper Cask Movement &amp; Logistics'!$C$4:$D$209,2,FALSE),"N/A")</f>
        <v>0.60000000000000009</v>
      </c>
      <c r="S113" s="1283"/>
      <c r="T113" s="574" t="str">
        <f>IFERROR(VLOOKUP($S113,'Upper Cask Recovery Logistics'!$C$29:$F$203,4,FALSE),"N/A")</f>
        <v>N/A</v>
      </c>
      <c r="U113" s="1284" t="str">
        <f t="shared" si="12"/>
        <v>N/A</v>
      </c>
      <c r="V113" s="1510"/>
      <c r="X113" s="273"/>
      <c r="Y113" s="273"/>
      <c r="Z113" s="273"/>
      <c r="AA113" s="752"/>
    </row>
    <row r="114" spans="2:27" ht="15" hidden="1" customHeight="1" outlineLevel="2" x14ac:dyDescent="0.4">
      <c r="B114" s="762"/>
      <c r="C114" s="5"/>
      <c r="D114" s="3786"/>
      <c r="E114" s="1281" t="s">
        <v>1262</v>
      </c>
      <c r="F114" s="572" t="s">
        <v>3</v>
      </c>
      <c r="G114" s="574">
        <f t="shared" si="13"/>
        <v>0.38</v>
      </c>
      <c r="H114" s="574">
        <f t="shared" si="11"/>
        <v>102.42984731205226</v>
      </c>
      <c r="I114" s="572"/>
      <c r="J114" s="574" t="str">
        <f>IF($F114="operation",VLOOKUP($I114,'Generic Vertical Port Tasks'!$C$4:$D$189,2,FALSE),"N/A")</f>
        <v>N/A</v>
      </c>
      <c r="K114" s="572"/>
      <c r="L114" s="572"/>
      <c r="M114" s="572"/>
      <c r="N114" s="577" t="str">
        <f>IFERROR(INDEX('Upper Cask Movement &amp; Logistics'!$I$24:$O$30,MATCH($J114,'Upper Cask Movement &amp; Logistics'!$H$24:$H$30,0),MATCH($K114,'Upper Cask Movement &amp; Logistics'!$H$24:$H$30,0)),"N/A")</f>
        <v>N/A</v>
      </c>
      <c r="O114" s="577" t="str">
        <f>IFERROR(VLOOKUP($I114,'Upper Cask Movement &amp; Logistics'!$H$4:$I$8,2,FALSE),"N/A")</f>
        <v>N/A</v>
      </c>
      <c r="P114" s="574" t="str">
        <f t="shared" si="10"/>
        <v>N/A</v>
      </c>
      <c r="Q114" s="1282" t="s">
        <v>1226</v>
      </c>
      <c r="R114" s="574">
        <f>IF($F114="Logistics",VLOOKUP($Q114,'Upper Cask Movement &amp; Logistics'!$C$4:$D$209,2,FALSE),"N/A")</f>
        <v>0.38</v>
      </c>
      <c r="S114" s="1283"/>
      <c r="T114" s="574" t="str">
        <f>IFERROR(VLOOKUP($S114,'Upper Cask Recovery Logistics'!$C$29:$F$203,4,FALSE),"N/A")</f>
        <v>N/A</v>
      </c>
      <c r="U114" s="1284" t="str">
        <f t="shared" si="12"/>
        <v>N/A</v>
      </c>
      <c r="V114" s="1510"/>
      <c r="X114" s="273"/>
      <c r="Y114" s="273"/>
      <c r="Z114" s="273"/>
      <c r="AA114" s="752"/>
    </row>
    <row r="115" spans="2:27" ht="15" hidden="1" customHeight="1" outlineLevel="2" x14ac:dyDescent="0.4">
      <c r="B115" s="762"/>
      <c r="C115" s="5"/>
      <c r="D115" s="3786"/>
      <c r="E115" s="1281" t="s">
        <v>139</v>
      </c>
      <c r="F115" s="572" t="s">
        <v>251</v>
      </c>
      <c r="G115" s="574">
        <f t="shared" si="13"/>
        <v>4.33</v>
      </c>
      <c r="H115" s="574">
        <f t="shared" si="11"/>
        <v>111.52003249723745</v>
      </c>
      <c r="I115" s="572" t="s">
        <v>256</v>
      </c>
      <c r="J115" s="574">
        <f>IF($F115="operation",VLOOKUP($I115,'Generic Vertical Port Tasks'!$C$4:$D$189,2,FALSE),"N/A")</f>
        <v>4.33</v>
      </c>
      <c r="K115" s="572"/>
      <c r="L115" s="572"/>
      <c r="M115" s="572"/>
      <c r="N115" s="577" t="str">
        <f>IFERROR(INDEX('Upper Cask Movement &amp; Logistics'!$I$24:$O$30,MATCH($J115,'Upper Cask Movement &amp; Logistics'!$H$24:$H$30,0),MATCH($K115,'Upper Cask Movement &amp; Logistics'!$H$24:$H$30,0)),"N/A")</f>
        <v>N/A</v>
      </c>
      <c r="O115" s="577" t="str">
        <f>IFERROR(VLOOKUP($I115,'Upper Cask Movement &amp; Logistics'!$H$4:$I$8,2,FALSE),"N/A")</f>
        <v>N/A</v>
      </c>
      <c r="P115" s="574" t="str">
        <f t="shared" si="10"/>
        <v>N/A</v>
      </c>
      <c r="Q115" s="1282"/>
      <c r="R115" s="574" t="str">
        <f>IF($F115="Logistics",VLOOKUP($Q115,'Upper Cask Movement &amp; Logistics'!$C$4:$D$209,2,FALSE),"N/A")</f>
        <v>N/A</v>
      </c>
      <c r="S115" s="1283" t="s">
        <v>1282</v>
      </c>
      <c r="T115" s="574">
        <f>IFERROR(VLOOKUP($S115,'Upper Cask Recovery Logistics'!$C$29:$F$203,4,FALSE),"N/A")</f>
        <v>107.19003249723745</v>
      </c>
      <c r="U115" s="1284">
        <f t="shared" si="12"/>
        <v>-4.7601851851851933</v>
      </c>
      <c r="V115" s="1510"/>
      <c r="X115" s="273"/>
      <c r="Y115" s="273"/>
      <c r="Z115" s="273"/>
      <c r="AA115" s="752"/>
    </row>
    <row r="116" spans="2:27" ht="15" hidden="1" customHeight="1" outlineLevel="2" x14ac:dyDescent="0.4">
      <c r="B116" s="762"/>
      <c r="C116" s="5"/>
      <c r="D116" s="3786"/>
      <c r="E116" s="1274" t="s">
        <v>1283</v>
      </c>
      <c r="F116" s="1275" t="s">
        <v>3</v>
      </c>
      <c r="G116" s="1276">
        <f t="shared" si="13"/>
        <v>0.60000000000000009</v>
      </c>
      <c r="H116" s="574">
        <f t="shared" si="11"/>
        <v>112.12003249723745</v>
      </c>
      <c r="I116" s="1275"/>
      <c r="J116" s="574" t="str">
        <f>IF($F116="operation",VLOOKUP($I116,'Generic Vertical Port Tasks'!$C$4:$D$189,2,FALSE),"N/A")</f>
        <v>N/A</v>
      </c>
      <c r="K116" s="572"/>
      <c r="L116" s="572"/>
      <c r="M116" s="572"/>
      <c r="N116" s="577" t="str">
        <f>IFERROR(INDEX('Upper Cask Movement &amp; Logistics'!$I$24:$O$30,MATCH($J116,'Upper Cask Movement &amp; Logistics'!$H$24:$H$30,0),MATCH($K116,'Upper Cask Movement &amp; Logistics'!$H$24:$H$30,0)),"N/A")</f>
        <v>N/A</v>
      </c>
      <c r="O116" s="577" t="str">
        <f>IFERROR(VLOOKUP($I116,'Upper Cask Movement &amp; Logistics'!$H$4:$I$8,2,FALSE),"N/A")</f>
        <v>N/A</v>
      </c>
      <c r="P116" s="574" t="str">
        <f t="shared" si="10"/>
        <v>N/A</v>
      </c>
      <c r="Q116" s="1278" t="s">
        <v>1279</v>
      </c>
      <c r="R116" s="574">
        <f>IF($F116="Logistics",VLOOKUP($Q116,'Upper Cask Movement &amp; Logistics'!$C$4:$D$209,2,FALSE),"N/A")</f>
        <v>0.60000000000000009</v>
      </c>
      <c r="S116" s="1283"/>
      <c r="T116" s="574" t="str">
        <f>IFERROR(VLOOKUP($S116,'Upper Cask Recovery Logistics'!$C$29:$F$203,4,FALSE),"N/A")</f>
        <v>N/A</v>
      </c>
      <c r="U116" s="1284" t="str">
        <f t="shared" si="12"/>
        <v>N/A</v>
      </c>
      <c r="V116" s="1510"/>
      <c r="X116" s="273"/>
      <c r="Y116" s="273"/>
      <c r="Z116" s="273"/>
      <c r="AA116" s="752"/>
    </row>
    <row r="117" spans="2:27" ht="15" hidden="1" customHeight="1" outlineLevel="2" x14ac:dyDescent="0.4">
      <c r="B117" s="762"/>
      <c r="C117" s="5"/>
      <c r="D117" s="3786"/>
      <c r="E117" s="1281" t="s">
        <v>1262</v>
      </c>
      <c r="F117" s="572" t="s">
        <v>3</v>
      </c>
      <c r="G117" s="574">
        <f t="shared" si="13"/>
        <v>0.38</v>
      </c>
      <c r="H117" s="574">
        <f t="shared" si="11"/>
        <v>112.50003249723744</v>
      </c>
      <c r="I117" s="572"/>
      <c r="J117" s="574" t="str">
        <f>IF($F117="operation",VLOOKUP($I117,'Generic Vertical Port Tasks'!$C$4:$D$189,2,FALSE),"N/A")</f>
        <v>N/A</v>
      </c>
      <c r="K117" s="572"/>
      <c r="L117" s="572"/>
      <c r="M117" s="572"/>
      <c r="N117" s="577" t="str">
        <f>IFERROR(INDEX('Upper Cask Movement &amp; Logistics'!$I$24:$O$30,MATCH($J117,'Upper Cask Movement &amp; Logistics'!$H$24:$H$30,0),MATCH($K117,'Upper Cask Movement &amp; Logistics'!$H$24:$H$30,0)),"N/A")</f>
        <v>N/A</v>
      </c>
      <c r="O117" s="577" t="str">
        <f>IFERROR(VLOOKUP($I117,'Upper Cask Movement &amp; Logistics'!$H$4:$I$8,2,FALSE),"N/A")</f>
        <v>N/A</v>
      </c>
      <c r="P117" s="574" t="str">
        <f t="shared" si="10"/>
        <v>N/A</v>
      </c>
      <c r="Q117" s="1282" t="s">
        <v>1226</v>
      </c>
      <c r="R117" s="574">
        <f>IF($F117="Logistics",VLOOKUP($Q117,'Upper Cask Movement &amp; Logistics'!$C$4:$D$209,2,FALSE),"N/A")</f>
        <v>0.38</v>
      </c>
      <c r="S117" s="1283"/>
      <c r="T117" s="574" t="str">
        <f>IFERROR(VLOOKUP($S117,'Upper Cask Recovery Logistics'!$C$29:$F$203,4,FALSE),"N/A")</f>
        <v>N/A</v>
      </c>
      <c r="U117" s="1284" t="str">
        <f t="shared" si="12"/>
        <v>N/A</v>
      </c>
      <c r="V117" s="1510"/>
      <c r="X117" s="273"/>
      <c r="Y117" s="273"/>
      <c r="Z117" s="273"/>
      <c r="AA117" s="752"/>
    </row>
    <row r="118" spans="2:27" ht="15" hidden="1" customHeight="1" outlineLevel="2" x14ac:dyDescent="0.4">
      <c r="B118" s="762"/>
      <c r="C118" s="5"/>
      <c r="D118" s="3786"/>
      <c r="E118" s="1281" t="s">
        <v>137</v>
      </c>
      <c r="F118" s="572" t="s">
        <v>251</v>
      </c>
      <c r="G118" s="574">
        <f t="shared" si="13"/>
        <v>4.33</v>
      </c>
      <c r="H118" s="574">
        <f t="shared" si="11"/>
        <v>121.59021768242263</v>
      </c>
      <c r="I118" s="572" t="s">
        <v>256</v>
      </c>
      <c r="J118" s="574">
        <f>IF($F118="operation",VLOOKUP($I118,'Generic Vertical Port Tasks'!$C$4:$D$189,2,FALSE),"N/A")</f>
        <v>4.33</v>
      </c>
      <c r="K118" s="572"/>
      <c r="L118" s="572"/>
      <c r="M118" s="572"/>
      <c r="N118" s="577" t="str">
        <f>IFERROR(INDEX('Upper Cask Movement &amp; Logistics'!$I$24:$O$30,MATCH($J118,'Upper Cask Movement &amp; Logistics'!$H$24:$H$30,0),MATCH($K118,'Upper Cask Movement &amp; Logistics'!$H$24:$H$30,0)),"N/A")</f>
        <v>N/A</v>
      </c>
      <c r="O118" s="577" t="str">
        <f>IFERROR(VLOOKUP($I118,'Upper Cask Movement &amp; Logistics'!$H$4:$I$8,2,FALSE),"N/A")</f>
        <v>N/A</v>
      </c>
      <c r="P118" s="574" t="str">
        <f t="shared" si="10"/>
        <v>N/A</v>
      </c>
      <c r="Q118" s="1282"/>
      <c r="R118" s="574" t="str">
        <f>IF($F118="Logistics",VLOOKUP($Q118,'Upper Cask Movement &amp; Logistics'!$C$4:$D$209,2,FALSE),"N/A")</f>
        <v>N/A</v>
      </c>
      <c r="S118" s="1283" t="s">
        <v>1284</v>
      </c>
      <c r="T118" s="574">
        <f>IFERROR(VLOOKUP($S118,'Upper Cask Recovery Logistics'!$C$29:$F$203,4,FALSE),"N/A")</f>
        <v>117.26021768242263</v>
      </c>
      <c r="U118" s="1284">
        <f t="shared" si="12"/>
        <v>-4.7601851851851933</v>
      </c>
      <c r="V118" s="1510"/>
      <c r="X118" s="273"/>
      <c r="Y118" s="273"/>
      <c r="Z118" s="273"/>
      <c r="AA118" s="752"/>
    </row>
    <row r="119" spans="2:27" ht="15" hidden="1" customHeight="1" outlineLevel="2" x14ac:dyDescent="0.4">
      <c r="B119" s="762"/>
      <c r="C119" s="5"/>
      <c r="D119" s="3786"/>
      <c r="E119" s="1274" t="s">
        <v>1285</v>
      </c>
      <c r="F119" s="1275" t="s">
        <v>3</v>
      </c>
      <c r="G119" s="1276">
        <f t="shared" si="13"/>
        <v>0.60000000000000009</v>
      </c>
      <c r="H119" s="574">
        <f t="shared" si="11"/>
        <v>122.19021768242263</v>
      </c>
      <c r="I119" s="1275"/>
      <c r="J119" s="574" t="str">
        <f>IF($F119="operation",VLOOKUP($I119,'Generic Vertical Port Tasks'!$C$4:$D$189,2,FALSE),"N/A")</f>
        <v>N/A</v>
      </c>
      <c r="K119" s="572"/>
      <c r="L119" s="572"/>
      <c r="M119" s="572"/>
      <c r="N119" s="577" t="str">
        <f>IFERROR(INDEX('Upper Cask Movement &amp; Logistics'!$I$24:$O$30,MATCH($J119,'Upper Cask Movement &amp; Logistics'!$H$24:$H$30,0),MATCH($K119,'Upper Cask Movement &amp; Logistics'!$H$24:$H$30,0)),"N/A")</f>
        <v>N/A</v>
      </c>
      <c r="O119" s="577" t="str">
        <f>IFERROR(VLOOKUP($I119,'Upper Cask Movement &amp; Logistics'!$H$4:$I$8,2,FALSE),"N/A")</f>
        <v>N/A</v>
      </c>
      <c r="P119" s="574" t="str">
        <f t="shared" si="10"/>
        <v>N/A</v>
      </c>
      <c r="Q119" s="1278" t="s">
        <v>1279</v>
      </c>
      <c r="R119" s="574">
        <f>IF($F119="Logistics",VLOOKUP($Q119,'Upper Cask Movement &amp; Logistics'!$C$4:$D$209,2,FALSE),"N/A")</f>
        <v>0.60000000000000009</v>
      </c>
      <c r="S119" s="1283"/>
      <c r="T119" s="574" t="str">
        <f>IFERROR(VLOOKUP($S119,'Upper Cask Recovery Logistics'!$C$29:$F$203,4,FALSE),"N/A")</f>
        <v>N/A</v>
      </c>
      <c r="U119" s="1284" t="str">
        <f t="shared" si="12"/>
        <v>N/A</v>
      </c>
      <c r="V119" s="1510"/>
      <c r="X119" s="273"/>
      <c r="Y119" s="273"/>
      <c r="Z119" s="273"/>
      <c r="AA119" s="752"/>
    </row>
    <row r="120" spans="2:27" ht="15" hidden="1" customHeight="1" outlineLevel="2" x14ac:dyDescent="0.4">
      <c r="B120" s="762"/>
      <c r="C120" s="5"/>
      <c r="D120" s="3786"/>
      <c r="E120" s="1281" t="s">
        <v>1262</v>
      </c>
      <c r="F120" s="572" t="s">
        <v>3</v>
      </c>
      <c r="G120" s="574">
        <f t="shared" si="13"/>
        <v>0.38</v>
      </c>
      <c r="H120" s="574">
        <f t="shared" si="11"/>
        <v>122.57021768242262</v>
      </c>
      <c r="I120" s="572"/>
      <c r="J120" s="574" t="str">
        <f>IF($F120="operation",VLOOKUP($I120,'Generic Vertical Port Tasks'!$C$4:$D$189,2,FALSE),"N/A")</f>
        <v>N/A</v>
      </c>
      <c r="K120" s="572"/>
      <c r="L120" s="572"/>
      <c r="M120" s="572"/>
      <c r="N120" s="577" t="str">
        <f>IFERROR(INDEX('Upper Cask Movement &amp; Logistics'!$I$24:$O$30,MATCH($J120,'Upper Cask Movement &amp; Logistics'!$H$24:$H$30,0),MATCH($K120,'Upper Cask Movement &amp; Logistics'!$H$24:$H$30,0)),"N/A")</f>
        <v>N/A</v>
      </c>
      <c r="O120" s="577" t="str">
        <f>IFERROR(VLOOKUP($I120,'Upper Cask Movement &amp; Logistics'!$H$4:$I$8,2,FALSE),"N/A")</f>
        <v>N/A</v>
      </c>
      <c r="P120" s="574" t="str">
        <f t="shared" si="10"/>
        <v>N/A</v>
      </c>
      <c r="Q120" s="1282" t="s">
        <v>1226</v>
      </c>
      <c r="R120" s="574">
        <f>IF($F120="Logistics",VLOOKUP($Q120,'Upper Cask Movement &amp; Logistics'!$C$4:$D$209,2,FALSE),"N/A")</f>
        <v>0.38</v>
      </c>
      <c r="S120" s="1283"/>
      <c r="T120" s="574" t="str">
        <f>IFERROR(VLOOKUP($S120,'Upper Cask Recovery Logistics'!$C$29:$F$203,4,FALSE),"N/A")</f>
        <v>N/A</v>
      </c>
      <c r="U120" s="1284" t="str">
        <f t="shared" si="12"/>
        <v>N/A</v>
      </c>
      <c r="V120" s="1510"/>
      <c r="X120" s="273"/>
      <c r="Y120" s="273"/>
      <c r="Z120" s="273"/>
      <c r="AA120" s="752"/>
    </row>
    <row r="121" spans="2:27" ht="15" hidden="1" customHeight="1" outlineLevel="2" x14ac:dyDescent="0.4">
      <c r="B121" s="762"/>
      <c r="C121" s="5"/>
      <c r="D121" s="3786"/>
      <c r="E121" s="1281" t="s">
        <v>133</v>
      </c>
      <c r="F121" s="572" t="s">
        <v>251</v>
      </c>
      <c r="G121" s="574">
        <f t="shared" si="13"/>
        <v>4.33</v>
      </c>
      <c r="H121" s="574">
        <f t="shared" si="11"/>
        <v>131.66040286760781</v>
      </c>
      <c r="I121" s="572" t="s">
        <v>256</v>
      </c>
      <c r="J121" s="574">
        <f>IF($F121="operation",VLOOKUP($I121,'Generic Vertical Port Tasks'!$C$4:$D$189,2,FALSE),"N/A")</f>
        <v>4.33</v>
      </c>
      <c r="K121" s="572"/>
      <c r="L121" s="572"/>
      <c r="M121" s="572"/>
      <c r="N121" s="577" t="str">
        <f>IFERROR(INDEX('Upper Cask Movement &amp; Logistics'!$I$24:$O$30,MATCH($J121,'Upper Cask Movement &amp; Logistics'!$H$24:$H$30,0),MATCH($K121,'Upper Cask Movement &amp; Logistics'!$H$24:$H$30,0)),"N/A")</f>
        <v>N/A</v>
      </c>
      <c r="O121" s="577" t="str">
        <f>IFERROR(VLOOKUP($I121,'Upper Cask Movement &amp; Logistics'!$H$4:$I$8,2,FALSE),"N/A")</f>
        <v>N/A</v>
      </c>
      <c r="P121" s="574" t="str">
        <f t="shared" si="10"/>
        <v>N/A</v>
      </c>
      <c r="Q121" s="1282"/>
      <c r="R121" s="574" t="str">
        <f>IF($F121="Logistics",VLOOKUP($Q121,'Upper Cask Movement &amp; Logistics'!$C$4:$D$209,2,FALSE),"N/A")</f>
        <v>N/A</v>
      </c>
      <c r="S121" s="1283" t="s">
        <v>1286</v>
      </c>
      <c r="T121" s="574">
        <f>IFERROR(VLOOKUP($S121,'Upper Cask Recovery Logistics'!$C$29:$F$203,4,FALSE),"N/A")</f>
        <v>127.33040286760782</v>
      </c>
      <c r="U121" s="1284">
        <f t="shared" si="12"/>
        <v>-4.7601851851851933</v>
      </c>
      <c r="V121" s="1510"/>
      <c r="X121" s="273"/>
      <c r="Y121" s="273"/>
      <c r="Z121" s="273"/>
      <c r="AA121" s="752"/>
    </row>
    <row r="122" spans="2:27" ht="15" hidden="1" customHeight="1" outlineLevel="2" x14ac:dyDescent="0.4">
      <c r="B122" s="762"/>
      <c r="C122" s="5"/>
      <c r="D122" s="3786"/>
      <c r="E122" s="1274" t="s">
        <v>1287</v>
      </c>
      <c r="F122" s="1275" t="s">
        <v>3</v>
      </c>
      <c r="G122" s="1276">
        <f t="shared" si="13"/>
        <v>0.60000000000000009</v>
      </c>
      <c r="H122" s="574">
        <f t="shared" si="11"/>
        <v>132.26040286760781</v>
      </c>
      <c r="I122" s="1275"/>
      <c r="J122" s="574" t="str">
        <f>IF($F122="operation",VLOOKUP($I122,'Generic Vertical Port Tasks'!$C$4:$D$189,2,FALSE),"N/A")</f>
        <v>N/A</v>
      </c>
      <c r="K122" s="572"/>
      <c r="L122" s="572"/>
      <c r="M122" s="572"/>
      <c r="N122" s="577" t="str">
        <f>IFERROR(INDEX('Upper Cask Movement &amp; Logistics'!$I$24:$O$30,MATCH($J122,'Upper Cask Movement &amp; Logistics'!$H$24:$H$30,0),MATCH($K122,'Upper Cask Movement &amp; Logistics'!$H$24:$H$30,0)),"N/A")</f>
        <v>N/A</v>
      </c>
      <c r="O122" s="577" t="str">
        <f>IFERROR(VLOOKUP($I122,'Upper Cask Movement &amp; Logistics'!$H$4:$I$8,2,FALSE),"N/A")</f>
        <v>N/A</v>
      </c>
      <c r="P122" s="574" t="str">
        <f t="shared" si="10"/>
        <v>N/A</v>
      </c>
      <c r="Q122" s="1278" t="s">
        <v>1279</v>
      </c>
      <c r="R122" s="574">
        <f>IF($F122="Logistics",VLOOKUP($Q122,'Upper Cask Movement &amp; Logistics'!$C$4:$D$209,2,FALSE),"N/A")</f>
        <v>0.60000000000000009</v>
      </c>
      <c r="S122" s="1283"/>
      <c r="T122" s="574" t="str">
        <f>IFERROR(VLOOKUP($S122,'Upper Cask Recovery Logistics'!$C$29:$F$203,4,FALSE),"N/A")</f>
        <v>N/A</v>
      </c>
      <c r="U122" s="1284" t="str">
        <f t="shared" si="12"/>
        <v>N/A</v>
      </c>
      <c r="V122" s="1510"/>
      <c r="X122" s="273"/>
      <c r="Y122" s="273"/>
      <c r="Z122" s="273"/>
      <c r="AA122" s="752"/>
    </row>
    <row r="123" spans="2:27" ht="15" hidden="1" customHeight="1" outlineLevel="2" x14ac:dyDescent="0.4">
      <c r="B123" s="762"/>
      <c r="C123" s="5"/>
      <c r="D123" s="3786"/>
      <c r="E123" s="1281" t="s">
        <v>1262</v>
      </c>
      <c r="F123" s="572" t="s">
        <v>3</v>
      </c>
      <c r="G123" s="574">
        <f t="shared" si="13"/>
        <v>0.38</v>
      </c>
      <c r="H123" s="574">
        <f t="shared" si="11"/>
        <v>132.6404028676078</v>
      </c>
      <c r="I123" s="572"/>
      <c r="J123" s="574" t="str">
        <f>IF($F123="operation",VLOOKUP($I123,'Generic Vertical Port Tasks'!$C$4:$D$189,2,FALSE),"N/A")</f>
        <v>N/A</v>
      </c>
      <c r="K123" s="572"/>
      <c r="L123" s="572"/>
      <c r="M123" s="572"/>
      <c r="N123" s="577" t="str">
        <f>IFERROR(INDEX('Upper Cask Movement &amp; Logistics'!$I$24:$O$30,MATCH($J123,'Upper Cask Movement &amp; Logistics'!$H$24:$H$30,0),MATCH($K123,'Upper Cask Movement &amp; Logistics'!$H$24:$H$30,0)),"N/A")</f>
        <v>N/A</v>
      </c>
      <c r="O123" s="577" t="str">
        <f>IFERROR(VLOOKUP($I123,'Upper Cask Movement &amp; Logistics'!$H$4:$I$8,2,FALSE),"N/A")</f>
        <v>N/A</v>
      </c>
      <c r="P123" s="574" t="str">
        <f t="shared" si="10"/>
        <v>N/A</v>
      </c>
      <c r="Q123" s="1282" t="s">
        <v>1226</v>
      </c>
      <c r="R123" s="574">
        <f>IF($F123="Logistics",VLOOKUP($Q123,'Upper Cask Movement &amp; Logistics'!$C$4:$D$209,2,FALSE),"N/A")</f>
        <v>0.38</v>
      </c>
      <c r="S123" s="1283"/>
      <c r="T123" s="574" t="str">
        <f>IFERROR(VLOOKUP($S123,'Upper Cask Recovery Logistics'!$C$29:$F$203,4,FALSE),"N/A")</f>
        <v>N/A</v>
      </c>
      <c r="U123" s="1284" t="str">
        <f t="shared" si="12"/>
        <v>N/A</v>
      </c>
      <c r="V123" s="1510"/>
      <c r="X123" s="273"/>
      <c r="Y123" s="273"/>
      <c r="Z123" s="273"/>
      <c r="AA123" s="752"/>
    </row>
    <row r="124" spans="2:27" ht="15" hidden="1" customHeight="1" outlineLevel="2" thickBot="1" x14ac:dyDescent="0.45">
      <c r="B124" s="762"/>
      <c r="C124" s="5"/>
      <c r="D124" s="3788"/>
      <c r="E124" s="583" t="s">
        <v>134</v>
      </c>
      <c r="F124" s="583" t="s">
        <v>251</v>
      </c>
      <c r="G124" s="585">
        <f t="shared" si="13"/>
        <v>4.33</v>
      </c>
      <c r="H124" s="585">
        <f t="shared" si="11"/>
        <v>141.73058805279302</v>
      </c>
      <c r="I124" s="583" t="s">
        <v>256</v>
      </c>
      <c r="J124" s="585">
        <f>IF($F124="operation",VLOOKUP($I124,'Generic Vertical Port Tasks'!$C$4:$D$189,2,FALSE),"N/A")</f>
        <v>4.33</v>
      </c>
      <c r="K124" s="583"/>
      <c r="L124" s="583"/>
      <c r="M124" s="583"/>
      <c r="N124" s="588" t="str">
        <f>IFERROR(INDEX('Upper Cask Movement &amp; Logistics'!$I$24:$O$30,MATCH($J124,'Upper Cask Movement &amp; Logistics'!$H$24:$H$30,0),MATCH($K124,'Upper Cask Movement &amp; Logistics'!$H$24:$H$30,0)),"N/A")</f>
        <v>N/A</v>
      </c>
      <c r="O124" s="588" t="str">
        <f>IFERROR(VLOOKUP($I124,'Upper Cask Movement &amp; Logistics'!$H$4:$I$8,2,FALSE),"N/A")</f>
        <v>N/A</v>
      </c>
      <c r="P124" s="585" t="str">
        <f t="shared" si="10"/>
        <v>N/A</v>
      </c>
      <c r="Q124" s="1285"/>
      <c r="R124" s="585" t="str">
        <f>IF($F124="Logistics",VLOOKUP($Q124,'Upper Cask Movement &amp; Logistics'!$C$4:$D$209,2,FALSE),"N/A")</f>
        <v>N/A</v>
      </c>
      <c r="S124" s="1286" t="s">
        <v>1288</v>
      </c>
      <c r="T124" s="574">
        <f>IFERROR(VLOOKUP($S124,'Upper Cask Recovery Logistics'!$C$29:$F$203,4,FALSE),"N/A")</f>
        <v>137.40058805279301</v>
      </c>
      <c r="U124" s="1287">
        <f t="shared" si="12"/>
        <v>-4.7601851851852075</v>
      </c>
      <c r="V124" s="1510"/>
      <c r="X124" s="273"/>
      <c r="Y124" s="273"/>
      <c r="Z124" s="273"/>
      <c r="AA124" s="752"/>
    </row>
    <row r="125" spans="2:27" ht="15" hidden="1" customHeight="1" outlineLevel="2" x14ac:dyDescent="0.4">
      <c r="B125" s="762"/>
      <c r="C125" s="5"/>
      <c r="D125" s="3992" t="s">
        <v>117</v>
      </c>
      <c r="E125" s="596" t="s">
        <v>1519</v>
      </c>
      <c r="F125" s="596" t="s">
        <v>3</v>
      </c>
      <c r="G125" s="593">
        <f t="shared" si="13"/>
        <v>0.60000000000000009</v>
      </c>
      <c r="H125" s="593">
        <f t="shared" si="11"/>
        <v>148.18725471945973</v>
      </c>
      <c r="I125" s="596"/>
      <c r="J125" s="593" t="str">
        <f>IF($F125="operation",VLOOKUP($I125,'Generic Vertical Port Tasks'!$C$4:$D$189,2,FALSE),"N/A")</f>
        <v>N/A</v>
      </c>
      <c r="K125" s="596"/>
      <c r="L125" s="596"/>
      <c r="M125" s="596"/>
      <c r="N125" s="597" t="str">
        <f>IFERROR(INDEX('Upper Cask Movement &amp; Logistics'!$I$24:$O$30,MATCH($J125,'Upper Cask Movement &amp; Logistics'!$H$24:$H$30,0),MATCH($K125,'Upper Cask Movement &amp; Logistics'!$H$24:$H$30,0)),"N/A")</f>
        <v>N/A</v>
      </c>
      <c r="O125" s="597" t="str">
        <f>IFERROR(VLOOKUP($I125,'Upper Cask Movement &amp; Logistics'!$H$4:$I$8,2,FALSE),"N/A")</f>
        <v>N/A</v>
      </c>
      <c r="P125" s="593" t="str">
        <f t="shared" si="10"/>
        <v>N/A</v>
      </c>
      <c r="Q125" s="1253" t="s">
        <v>1279</v>
      </c>
      <c r="R125" s="593">
        <f>IF($F125="Logistics",VLOOKUP($Q125,'Upper Cask Movement &amp; Logistics'!$C$4:$D$209,2,FALSE),"N/A")</f>
        <v>0.60000000000000009</v>
      </c>
      <c r="S125" s="1254" t="s">
        <v>1295</v>
      </c>
      <c r="T125" s="593">
        <f>IFERROR(VLOOKUP($S125,'Upper Cask Recovery Logistics'!$C$29:$F$203,4,FALSE),"N/A")</f>
        <v>147.58725471945974</v>
      </c>
      <c r="U125" s="1255">
        <f t="shared" si="12"/>
        <v>-5.8566666666667118</v>
      </c>
      <c r="V125" s="1510"/>
      <c r="X125" s="273"/>
      <c r="Y125" s="273"/>
      <c r="Z125" s="273"/>
      <c r="AA125" s="752"/>
    </row>
    <row r="126" spans="2:27" ht="15" hidden="1" customHeight="1" outlineLevel="2" x14ac:dyDescent="0.4">
      <c r="B126" s="762"/>
      <c r="C126" s="5"/>
      <c r="D126" s="3993"/>
      <c r="E126" s="601" t="s">
        <v>1517</v>
      </c>
      <c r="F126" s="601" t="s">
        <v>3</v>
      </c>
      <c r="G126" s="602">
        <f t="shared" si="13"/>
        <v>0.38</v>
      </c>
      <c r="H126" s="602">
        <f t="shared" si="11"/>
        <v>148.56725471945973</v>
      </c>
      <c r="I126" s="601"/>
      <c r="J126" s="602" t="str">
        <f>IF($F126="operation",VLOOKUP($I126,'Generic Vertical Port Tasks'!$C$4:$D$189,2,FALSE),"N/A")</f>
        <v>N/A</v>
      </c>
      <c r="K126" s="601"/>
      <c r="L126" s="601"/>
      <c r="M126" s="601"/>
      <c r="N126" s="605" t="str">
        <f>IFERROR(INDEX('Upper Cask Movement &amp; Logistics'!$I$24:$O$30,MATCH($J126,'Upper Cask Movement &amp; Logistics'!$H$24:$H$30,0),MATCH($K126,'Upper Cask Movement &amp; Logistics'!$H$24:$H$30,0)),"N/A")</f>
        <v>N/A</v>
      </c>
      <c r="O126" s="605" t="str">
        <f>IFERROR(VLOOKUP($I126,'Upper Cask Movement &amp; Logistics'!$H$4:$I$8,2,FALSE),"N/A")</f>
        <v>N/A</v>
      </c>
      <c r="P126" s="602" t="str">
        <f t="shared" si="10"/>
        <v>N/A</v>
      </c>
      <c r="Q126" s="1288" t="s">
        <v>1226</v>
      </c>
      <c r="R126" s="602">
        <f>IF($F126="Logistics",VLOOKUP($Q126,'Upper Cask Movement &amp; Logistics'!$C$4:$D$209,2,FALSE),"N/A")</f>
        <v>0.38</v>
      </c>
      <c r="S126" s="1235"/>
      <c r="T126" s="602" t="str">
        <f>IFERROR(VLOOKUP($S126,'Upper Cask Recovery Logistics'!$C$29:$F$203,4,FALSE),"N/A")</f>
        <v>N/A</v>
      </c>
      <c r="U126" s="1236" t="str">
        <f t="shared" si="12"/>
        <v>N/A</v>
      </c>
      <c r="V126" s="1510"/>
      <c r="X126" s="273"/>
      <c r="Y126" s="273"/>
      <c r="Z126" s="273"/>
      <c r="AA126" s="752"/>
    </row>
    <row r="127" spans="2:27" ht="15" hidden="1" customHeight="1" outlineLevel="2" x14ac:dyDescent="0.4">
      <c r="B127" s="762"/>
      <c r="C127" s="5"/>
      <c r="D127" s="3993"/>
      <c r="E127" s="601" t="s">
        <v>117</v>
      </c>
      <c r="F127" s="601" t="s">
        <v>251</v>
      </c>
      <c r="G127" s="602">
        <f t="shared" si="13"/>
        <v>4.0949999999999998</v>
      </c>
      <c r="H127" s="602">
        <f t="shared" si="11"/>
        <v>152.66225471945972</v>
      </c>
      <c r="I127" s="601" t="s">
        <v>35</v>
      </c>
      <c r="J127" s="602">
        <f>IF($F127="operation",VLOOKUP($I127,'Generic Vertical Port Tasks'!$C$4:$D$189,2,FALSE),"N/A")</f>
        <v>4.0949999999999998</v>
      </c>
      <c r="K127" s="601"/>
      <c r="L127" s="601"/>
      <c r="M127" s="601"/>
      <c r="N127" s="605" t="str">
        <f>IFERROR(INDEX('Upper Cask Movement &amp; Logistics'!$I$24:$O$30,MATCH($J127,'Upper Cask Movement &amp; Logistics'!$H$24:$H$30,0),MATCH($K127,'Upper Cask Movement &amp; Logistics'!$H$24:$H$30,0)),"N/A")</f>
        <v>N/A</v>
      </c>
      <c r="O127" s="605" t="str">
        <f>IFERROR(VLOOKUP($I127,'Upper Cask Movement &amp; Logistics'!$H$4:$I$8,2,FALSE),"N/A")</f>
        <v>N/A</v>
      </c>
      <c r="P127" s="602" t="str">
        <f t="shared" si="10"/>
        <v>N/A</v>
      </c>
      <c r="Q127" s="1234"/>
      <c r="R127" s="602" t="str">
        <f>IF($F127="Logistics",VLOOKUP($Q127,'Upper Cask Movement &amp; Logistics'!$C$4:$D$209,2,FALSE),"N/A")</f>
        <v>N/A</v>
      </c>
      <c r="S127" s="1235"/>
      <c r="T127" s="602" t="str">
        <f>IFERROR(VLOOKUP($S127,'Upper Cask Recovery Logistics'!$C$29:$F$203,4,FALSE),"N/A")</f>
        <v>N/A</v>
      </c>
      <c r="U127" s="1236" t="str">
        <f t="shared" si="12"/>
        <v>N/A</v>
      </c>
      <c r="V127" s="1510"/>
      <c r="X127" s="273"/>
      <c r="Y127" s="273"/>
      <c r="Z127" s="273"/>
      <c r="AA127" s="752"/>
    </row>
    <row r="128" spans="2:27" ht="15" hidden="1" customHeight="1" outlineLevel="2" thickBot="1" x14ac:dyDescent="0.45">
      <c r="B128" s="762"/>
      <c r="C128" s="5"/>
      <c r="D128" s="3994"/>
      <c r="E128" s="609" t="s">
        <v>1251</v>
      </c>
      <c r="F128" s="1511" t="s">
        <v>3</v>
      </c>
      <c r="G128" s="610">
        <f t="shared" si="13"/>
        <v>0.38</v>
      </c>
      <c r="H128" s="610">
        <f t="shared" si="11"/>
        <v>153.04225471945972</v>
      </c>
      <c r="I128" s="609"/>
      <c r="J128" s="610" t="str">
        <f>IF($F128="operation",VLOOKUP($I128,'Generic Vertical Port Tasks'!$C$4:$D$189,2,FALSE),"N/A")</f>
        <v>N/A</v>
      </c>
      <c r="K128" s="609"/>
      <c r="L128" s="609"/>
      <c r="M128" s="609"/>
      <c r="N128" s="613" t="str">
        <f>IFERROR(INDEX('Upper Cask Movement &amp; Logistics'!$I$24:$O$30,MATCH($J128,'Upper Cask Movement &amp; Logistics'!$H$24:$H$30,0),MATCH($K128,'Upper Cask Movement &amp; Logistics'!$H$24:$H$30,0)),"N/A")</f>
        <v>N/A</v>
      </c>
      <c r="O128" s="613" t="str">
        <f>IFERROR(VLOOKUP($I128,'Upper Cask Movement &amp; Logistics'!$H$4:$I$8,2,FALSE),"N/A")</f>
        <v>N/A</v>
      </c>
      <c r="P128" s="610" t="str">
        <f t="shared" si="10"/>
        <v>N/A</v>
      </c>
      <c r="Q128" s="1237" t="s">
        <v>1230</v>
      </c>
      <c r="R128" s="610">
        <f>IF($F128="Logistics",VLOOKUP($Q128,'Upper Cask Movement &amp; Logistics'!$C$4:$D$209,2,FALSE),"N/A")</f>
        <v>0.38</v>
      </c>
      <c r="S128" s="1238"/>
      <c r="T128" s="610" t="str">
        <f>IFERROR(VLOOKUP($S128,'Upper Cask Recovery Logistics'!$C$29:$F$203,4,FALSE),"N/A")</f>
        <v>N/A</v>
      </c>
      <c r="U128" s="1239" t="str">
        <f t="shared" si="12"/>
        <v>N/A</v>
      </c>
      <c r="V128" s="1510"/>
      <c r="X128" s="273"/>
      <c r="Y128" s="273"/>
      <c r="Z128" s="273"/>
      <c r="AA128" s="752"/>
    </row>
    <row r="129" spans="2:27" ht="15" hidden="1" customHeight="1" outlineLevel="2" x14ac:dyDescent="0.4">
      <c r="B129" s="762"/>
      <c r="C129" s="5"/>
      <c r="D129" s="3998" t="s">
        <v>1086</v>
      </c>
      <c r="E129" s="1275" t="s">
        <v>1299</v>
      </c>
      <c r="F129" s="1275" t="s">
        <v>3</v>
      </c>
      <c r="G129" s="1276">
        <f t="shared" si="13"/>
        <v>0.38</v>
      </c>
      <c r="H129" s="1276">
        <f t="shared" si="11"/>
        <v>153.42225471945972</v>
      </c>
      <c r="I129" s="1275"/>
      <c r="J129" s="1276" t="str">
        <f>IF($F129="operation",VLOOKUP($I129,'Generic Vertical Port Tasks'!$C$4:$D$189,2,FALSE),"N/A")</f>
        <v>N/A</v>
      </c>
      <c r="K129" s="1275"/>
      <c r="L129" s="1275"/>
      <c r="M129" s="1275"/>
      <c r="N129" s="1277" t="str">
        <f>IFERROR(INDEX('Upper Cask Movement &amp; Logistics'!$I$24:$O$30,MATCH($J129,'Upper Cask Movement &amp; Logistics'!$H$24:$H$30,0),MATCH($K129,'Upper Cask Movement &amp; Logistics'!$H$24:$H$30,0)),"N/A")</f>
        <v>N/A</v>
      </c>
      <c r="O129" s="1277" t="str">
        <f>IFERROR(VLOOKUP($I129,'Upper Cask Movement &amp; Logistics'!$H$4:$I$8,2,FALSE),"N/A")</f>
        <v>N/A</v>
      </c>
      <c r="P129" s="1276" t="str">
        <f t="shared" si="10"/>
        <v>N/A</v>
      </c>
      <c r="Q129" s="1278" t="s">
        <v>1226</v>
      </c>
      <c r="R129" s="1276">
        <f>IF($F129="Logistics",VLOOKUP($Q129,'Upper Cask Movement &amp; Logistics'!$C$4:$D$209,2,FALSE),"N/A")</f>
        <v>0.38</v>
      </c>
      <c r="S129" s="1279"/>
      <c r="T129" s="1276" t="str">
        <f>IFERROR(VLOOKUP($S129,'Upper Cask Recovery Logistics'!$C$29:$F$203,4,FALSE),"N/A")</f>
        <v>N/A</v>
      </c>
      <c r="U129" s="1280" t="str">
        <f t="shared" si="12"/>
        <v>N/A</v>
      </c>
      <c r="V129" s="1510"/>
      <c r="X129" s="273"/>
      <c r="Y129" s="273"/>
      <c r="Z129" s="273"/>
      <c r="AA129" s="752"/>
    </row>
    <row r="130" spans="2:27" ht="15" hidden="1" customHeight="1" outlineLevel="2" x14ac:dyDescent="0.4">
      <c r="B130" s="762"/>
      <c r="C130" s="5"/>
      <c r="D130" s="3996"/>
      <c r="E130" s="572" t="s">
        <v>132</v>
      </c>
      <c r="F130" s="572" t="s">
        <v>251</v>
      </c>
      <c r="G130" s="574">
        <f t="shared" si="13"/>
        <v>24.022732551873563</v>
      </c>
      <c r="H130" s="574">
        <f t="shared" si="11"/>
        <v>177.44498727133328</v>
      </c>
      <c r="I130" s="572" t="s">
        <v>2492</v>
      </c>
      <c r="J130" s="574">
        <f>IF($F130="operation",VLOOKUP($I130,'Generic Vertical Port Tasks'!$C$4:$D$189,2,FALSE),"N/A")</f>
        <v>24.022732551873563</v>
      </c>
      <c r="K130" s="572"/>
      <c r="L130" s="572"/>
      <c r="M130" s="572"/>
      <c r="N130" s="577" t="str">
        <f>IFERROR(INDEX('Upper Cask Movement &amp; Logistics'!$I$24:$O$30,MATCH($J130,'Upper Cask Movement &amp; Logistics'!$H$24:$H$30,0),MATCH($K130,'Upper Cask Movement &amp; Logistics'!$H$24:$H$30,0)),"N/A")</f>
        <v>N/A</v>
      </c>
      <c r="O130" s="577" t="str">
        <f>IFERROR(VLOOKUP($I130,'Upper Cask Movement &amp; Logistics'!$H$4:$I$8,2,FALSE),"N/A")</f>
        <v>N/A</v>
      </c>
      <c r="P130" s="574" t="str">
        <f t="shared" si="10"/>
        <v>N/A</v>
      </c>
      <c r="Q130" s="1282"/>
      <c r="R130" s="574" t="str">
        <f>IF($F130="Logistics",VLOOKUP($Q130,'Upper Cask Movement &amp; Logistics'!$C$4:$D$209,2,FALSE),"N/A")</f>
        <v>N/A</v>
      </c>
      <c r="S130" s="1283"/>
      <c r="T130" s="574" t="str">
        <f>IFERROR(VLOOKUP($S130,'Upper Cask Recovery Logistics'!$C$29:$F$203,4,FALSE),"N/A")</f>
        <v>N/A</v>
      </c>
      <c r="U130" s="1284" t="str">
        <f t="shared" si="12"/>
        <v>N/A</v>
      </c>
      <c r="V130" s="1510"/>
      <c r="X130" s="273"/>
      <c r="Y130" s="273"/>
      <c r="Z130" s="273"/>
      <c r="AA130" s="752"/>
    </row>
    <row r="131" spans="2:27" ht="15" hidden="1" customHeight="1" outlineLevel="2" x14ac:dyDescent="0.4">
      <c r="B131" s="762"/>
      <c r="C131" s="5"/>
      <c r="D131" s="3996"/>
      <c r="E131" s="572" t="s">
        <v>1248</v>
      </c>
      <c r="F131" s="572" t="s">
        <v>3</v>
      </c>
      <c r="G131" s="574">
        <f t="shared" si="13"/>
        <v>0.38</v>
      </c>
      <c r="H131" s="574">
        <f t="shared" si="11"/>
        <v>177.82498727133327</v>
      </c>
      <c r="I131" s="572"/>
      <c r="J131" s="574" t="str">
        <f>IF($F131="operation",VLOOKUP($I131,'Generic Vertical Port Tasks'!$C$4:$D$189,2,FALSE),"N/A")</f>
        <v>N/A</v>
      </c>
      <c r="K131" s="572"/>
      <c r="L131" s="572"/>
      <c r="M131" s="572"/>
      <c r="N131" s="577" t="str">
        <f>IFERROR(INDEX('Upper Cask Movement &amp; Logistics'!$I$24:$O$30,MATCH($J131,'Upper Cask Movement &amp; Logistics'!$H$24:$H$30,0),MATCH($K131,'Upper Cask Movement &amp; Logistics'!$H$24:$H$30,0)),"N/A")</f>
        <v>N/A</v>
      </c>
      <c r="O131" s="577" t="str">
        <f>IFERROR(VLOOKUP($I131,'Upper Cask Movement &amp; Logistics'!$H$4:$I$8,2,FALSE),"N/A")</f>
        <v>N/A</v>
      </c>
      <c r="P131" s="574" t="str">
        <f t="shared" si="10"/>
        <v>N/A</v>
      </c>
      <c r="Q131" s="1282" t="s">
        <v>1230</v>
      </c>
      <c r="R131" s="574">
        <f>IF($F131="Logistics",VLOOKUP($Q131,'Upper Cask Movement &amp; Logistics'!$C$4:$D$209,2,FALSE),"N/A")</f>
        <v>0.38</v>
      </c>
      <c r="S131" s="1283" t="s">
        <v>1087</v>
      </c>
      <c r="T131" s="574" t="str">
        <f>IFERROR(VLOOKUP($S131,'Upper Cask Recovery Logistics'!$C$29:$F$203,4,FALSE),"N/A")</f>
        <v>N/A</v>
      </c>
      <c r="U131" s="1284" t="str">
        <f t="shared" si="12"/>
        <v>N/A</v>
      </c>
      <c r="V131" s="1510"/>
      <c r="X131" s="273"/>
      <c r="Y131" s="273"/>
      <c r="Z131" s="273"/>
      <c r="AA131" s="752"/>
    </row>
    <row r="132" spans="2:27" ht="15" hidden="1" customHeight="1" outlineLevel="2" x14ac:dyDescent="0.4">
      <c r="B132" s="762"/>
      <c r="C132" s="5"/>
      <c r="D132" s="3996"/>
      <c r="E132" s="572" t="s">
        <v>1252</v>
      </c>
      <c r="F132" s="572" t="s">
        <v>3</v>
      </c>
      <c r="G132" s="574">
        <f t="shared" si="13"/>
        <v>0.38</v>
      </c>
      <c r="H132" s="574">
        <f t="shared" si="11"/>
        <v>178.20498727133327</v>
      </c>
      <c r="I132" s="572"/>
      <c r="J132" s="574" t="str">
        <f>IF($F132="operation",VLOOKUP($I132,'Generic Vertical Port Tasks'!$C$4:$D$189,2,FALSE),"N/A")</f>
        <v>N/A</v>
      </c>
      <c r="K132" s="572"/>
      <c r="L132" s="572"/>
      <c r="M132" s="572"/>
      <c r="N132" s="577" t="str">
        <f>IFERROR(INDEX('Upper Cask Movement &amp; Logistics'!$I$24:$O$30,MATCH($J132,'Upper Cask Movement &amp; Logistics'!$H$24:$H$30,0),MATCH($K132,'Upper Cask Movement &amp; Logistics'!$H$24:$H$30,0)),"N/A")</f>
        <v>N/A</v>
      </c>
      <c r="O132" s="577" t="str">
        <f>IFERROR(VLOOKUP($I132,'Upper Cask Movement &amp; Logistics'!$H$4:$I$8,2,FALSE),"N/A")</f>
        <v>N/A</v>
      </c>
      <c r="P132" s="574" t="str">
        <f t="shared" si="10"/>
        <v>N/A</v>
      </c>
      <c r="Q132" s="1282" t="s">
        <v>1226</v>
      </c>
      <c r="R132" s="574">
        <f>IF($F132="Logistics",VLOOKUP($Q132,'Upper Cask Movement &amp; Logistics'!$C$4:$D$209,2,FALSE),"N/A")</f>
        <v>0.38</v>
      </c>
      <c r="S132" s="1283"/>
      <c r="T132" s="574" t="str">
        <f>IFERROR(VLOOKUP($S132,'Upper Cask Recovery Logistics'!$C$29:$F$203,4,FALSE),"N/A")</f>
        <v>N/A</v>
      </c>
      <c r="U132" s="1284" t="str">
        <f t="shared" si="12"/>
        <v>N/A</v>
      </c>
      <c r="V132" s="1510"/>
      <c r="X132" s="273"/>
      <c r="Y132" s="273"/>
      <c r="Z132" s="273"/>
      <c r="AA132" s="752"/>
    </row>
    <row r="133" spans="2:27" ht="15" hidden="1" customHeight="1" outlineLevel="2" x14ac:dyDescent="0.4">
      <c r="B133" s="762"/>
      <c r="C133" s="5"/>
      <c r="D133" s="3996"/>
      <c r="E133" s="572" t="s">
        <v>47</v>
      </c>
      <c r="F133" s="572" t="s">
        <v>251</v>
      </c>
      <c r="G133" s="574">
        <f t="shared" si="13"/>
        <v>7.83</v>
      </c>
      <c r="H133" s="574">
        <f t="shared" si="11"/>
        <v>186.03498727133328</v>
      </c>
      <c r="I133" s="572" t="s">
        <v>257</v>
      </c>
      <c r="J133" s="574">
        <f>IF($F133="operation",VLOOKUP($I133,'Generic Vertical Port Tasks'!$C$4:$D$189,2,FALSE),"N/A")</f>
        <v>7.83</v>
      </c>
      <c r="K133" s="572"/>
      <c r="L133" s="572"/>
      <c r="M133" s="572"/>
      <c r="N133" s="577" t="str">
        <f>IFERROR(INDEX('Upper Cask Movement &amp; Logistics'!$I$24:$O$30,MATCH($J133,'Upper Cask Movement &amp; Logistics'!$H$24:$H$30,0),MATCH($K133,'Upper Cask Movement &amp; Logistics'!$H$24:$H$30,0)),"N/A")</f>
        <v>N/A</v>
      </c>
      <c r="O133" s="577" t="str">
        <f>IFERROR(VLOOKUP($I133,'Upper Cask Movement &amp; Logistics'!$H$4:$I$8,2,FALSE),"N/A")</f>
        <v>N/A</v>
      </c>
      <c r="P133" s="574" t="str">
        <f t="shared" si="10"/>
        <v>N/A</v>
      </c>
      <c r="Q133" s="1282"/>
      <c r="R133" s="574" t="str">
        <f>IF($F133="Logistics",VLOOKUP($Q133,'Upper Cask Movement &amp; Logistics'!$C$4:$D$209,2,FALSE),"N/A")</f>
        <v>N/A</v>
      </c>
      <c r="S133" s="1283"/>
      <c r="T133" s="574" t="str">
        <f>IFERROR(VLOOKUP($S133,'Upper Cask Recovery Logistics'!$C$29:$F$203,4,FALSE),"N/A")</f>
        <v>N/A</v>
      </c>
      <c r="U133" s="1284" t="str">
        <f t="shared" si="12"/>
        <v>N/A</v>
      </c>
      <c r="V133" s="1510"/>
      <c r="X133" s="273"/>
      <c r="Y133" s="273"/>
      <c r="Z133" s="273"/>
      <c r="AA133" s="752"/>
    </row>
    <row r="134" spans="2:27" ht="15" hidden="1" customHeight="1" outlineLevel="2" thickBot="1" x14ac:dyDescent="0.45">
      <c r="B134" s="762"/>
      <c r="C134" s="5"/>
      <c r="D134" s="3997"/>
      <c r="E134" s="583" t="s">
        <v>1246</v>
      </c>
      <c r="F134" s="583" t="s">
        <v>3</v>
      </c>
      <c r="G134" s="585">
        <f t="shared" si="13"/>
        <v>0.38</v>
      </c>
      <c r="H134" s="585">
        <f t="shared" si="11"/>
        <v>186.41498727133327</v>
      </c>
      <c r="I134" s="583"/>
      <c r="J134" s="585" t="str">
        <f>IF($F134="operation",VLOOKUP($I134,'Generic Vertical Port Tasks'!$C$4:$D$189,2,FALSE),"N/A")</f>
        <v>N/A</v>
      </c>
      <c r="K134" s="583"/>
      <c r="L134" s="583"/>
      <c r="M134" s="583"/>
      <c r="N134" s="588" t="str">
        <f>IFERROR(INDEX('Upper Cask Movement &amp; Logistics'!$I$24:$O$30,MATCH($J134,'Upper Cask Movement &amp; Logistics'!$H$24:$H$30,0),MATCH($K134,'Upper Cask Movement &amp; Logistics'!$H$24:$H$30,0)),"N/A")</f>
        <v>N/A</v>
      </c>
      <c r="O134" s="588" t="str">
        <f>IFERROR(VLOOKUP($I134,'Upper Cask Movement &amp; Logistics'!$H$4:$I$8,2,FALSE),"N/A")</f>
        <v>N/A</v>
      </c>
      <c r="P134" s="585" t="str">
        <f t="shared" si="10"/>
        <v>N/A</v>
      </c>
      <c r="Q134" s="1285" t="s">
        <v>1230</v>
      </c>
      <c r="R134" s="585">
        <f>IF($F134="Logistics",VLOOKUP($Q134,'Upper Cask Movement &amp; Logistics'!$C$4:$D$209,2,FALSE),"N/A")</f>
        <v>0.38</v>
      </c>
      <c r="S134" s="1286"/>
      <c r="T134" s="585" t="str">
        <f>IFERROR(VLOOKUP($S134,'Upper Cask Recovery Logistics'!$C$29:$F$203,4,FALSE),"N/A")</f>
        <v>N/A</v>
      </c>
      <c r="U134" s="1287" t="str">
        <f t="shared" si="12"/>
        <v>N/A</v>
      </c>
      <c r="V134" s="1510"/>
      <c r="X134" s="273"/>
      <c r="Y134" s="273"/>
      <c r="Z134" s="273"/>
      <c r="AA134" s="752"/>
    </row>
    <row r="135" spans="2:27" ht="15" hidden="1" customHeight="1" outlineLevel="2" x14ac:dyDescent="0.4">
      <c r="B135" s="762"/>
      <c r="C135" s="5"/>
      <c r="D135" s="3992" t="s">
        <v>118</v>
      </c>
      <c r="E135" s="596" t="s">
        <v>1300</v>
      </c>
      <c r="F135" s="596" t="s">
        <v>3</v>
      </c>
      <c r="G135" s="593">
        <f t="shared" si="13"/>
        <v>0.60000000000000009</v>
      </c>
      <c r="H135" s="593">
        <f t="shared" si="11"/>
        <v>187.01498727133327</v>
      </c>
      <c r="I135" s="596"/>
      <c r="J135" s="593" t="str">
        <f>IF($F135="operation",VLOOKUP($I135,'Generic Vertical Port Tasks'!$C$4:$D$189,2,FALSE),"N/A")</f>
        <v>N/A</v>
      </c>
      <c r="K135" s="596"/>
      <c r="L135" s="596"/>
      <c r="M135" s="596"/>
      <c r="N135" s="597" t="str">
        <f>IFERROR(INDEX('Upper Cask Movement &amp; Logistics'!$I$24:$O$30,MATCH($J135,'Upper Cask Movement &amp; Logistics'!$H$24:$H$30,0),MATCH($K135,'Upper Cask Movement &amp; Logistics'!$H$24:$H$30,0)),"N/A")</f>
        <v>N/A</v>
      </c>
      <c r="O135" s="597" t="str">
        <f>IFERROR(VLOOKUP($I135,'Upper Cask Movement &amp; Logistics'!$H$4:$I$8,2,FALSE),"N/A")</f>
        <v>N/A</v>
      </c>
      <c r="P135" s="593" t="str">
        <f t="shared" si="10"/>
        <v>N/A</v>
      </c>
      <c r="Q135" s="1253" t="s">
        <v>1279</v>
      </c>
      <c r="R135" s="593">
        <f>IF($F135="Logistics",VLOOKUP($Q135,'Upper Cask Movement &amp; Logistics'!$C$4:$D$209,2,FALSE),"N/A")</f>
        <v>0.60000000000000009</v>
      </c>
      <c r="S135" s="1254" t="s">
        <v>1414</v>
      </c>
      <c r="T135" s="593">
        <f>IFERROR(VLOOKUP($S135,'Upper Cask Recovery Logistics'!$C$29:$F$203,4,FALSE),"N/A")</f>
        <v>157.9681806453857</v>
      </c>
      <c r="U135" s="1255">
        <f t="shared" si="12"/>
        <v>28.446806625947573</v>
      </c>
      <c r="V135" s="1510"/>
      <c r="X135" s="273"/>
      <c r="Y135" s="273"/>
      <c r="Z135" s="273"/>
      <c r="AA135" s="752"/>
    </row>
    <row r="136" spans="2:27" ht="15" hidden="1" customHeight="1" outlineLevel="2" x14ac:dyDescent="0.4">
      <c r="B136" s="762"/>
      <c r="C136" s="5"/>
      <c r="D136" s="3993"/>
      <c r="E136" s="601" t="s">
        <v>1517</v>
      </c>
      <c r="F136" s="601" t="s">
        <v>3</v>
      </c>
      <c r="G136" s="602">
        <f t="shared" si="13"/>
        <v>0.38</v>
      </c>
      <c r="H136" s="602">
        <f t="shared" si="11"/>
        <v>187.39498727133326</v>
      </c>
      <c r="I136" s="601"/>
      <c r="J136" s="602" t="str">
        <f>IF($F136="operation",VLOOKUP($I136,'Generic Vertical Port Tasks'!$C$4:$D$189,2,FALSE),"N/A")</f>
        <v>N/A</v>
      </c>
      <c r="K136" s="601"/>
      <c r="L136" s="601"/>
      <c r="M136" s="601"/>
      <c r="N136" s="605" t="str">
        <f>IFERROR(INDEX('Upper Cask Movement &amp; Logistics'!$I$24:$O$30,MATCH($J136,'Upper Cask Movement &amp; Logistics'!$H$24:$H$30,0),MATCH($K136,'Upper Cask Movement &amp; Logistics'!$H$24:$H$30,0)),"N/A")</f>
        <v>N/A</v>
      </c>
      <c r="O136" s="605" t="str">
        <f>IFERROR(VLOOKUP($I136,'Upper Cask Movement &amp; Logistics'!$H$4:$I$8,2,FALSE),"N/A")</f>
        <v>N/A</v>
      </c>
      <c r="P136" s="602" t="str">
        <f t="shared" si="10"/>
        <v>N/A</v>
      </c>
      <c r="Q136" s="1288" t="s">
        <v>1226</v>
      </c>
      <c r="R136" s="602">
        <f>IF($F136="Logistics",VLOOKUP($Q136,'Upper Cask Movement &amp; Logistics'!$C$4:$D$209,2,FALSE),"N/A")</f>
        <v>0.38</v>
      </c>
      <c r="S136" s="1235"/>
      <c r="T136" s="602" t="str">
        <f>IFERROR(VLOOKUP($S136,'Upper Cask Recovery Logistics'!$C$29:$F$203,4,FALSE),"N/A")</f>
        <v>N/A</v>
      </c>
      <c r="U136" s="1236" t="str">
        <f t="shared" si="12"/>
        <v>N/A</v>
      </c>
      <c r="V136" s="1510"/>
      <c r="X136" s="273"/>
      <c r="Y136" s="273"/>
      <c r="Z136" s="273"/>
      <c r="AA136" s="752"/>
    </row>
    <row r="137" spans="2:27" ht="15" hidden="1" customHeight="1" outlineLevel="2" x14ac:dyDescent="0.4">
      <c r="B137" s="762"/>
      <c r="C137" s="5"/>
      <c r="D137" s="3993"/>
      <c r="E137" s="601" t="s">
        <v>118</v>
      </c>
      <c r="F137" s="601" t="s">
        <v>251</v>
      </c>
      <c r="G137" s="602">
        <f t="shared" si="13"/>
        <v>4.0949999999999998</v>
      </c>
      <c r="H137" s="602">
        <f t="shared" si="11"/>
        <v>191.48998727133326</v>
      </c>
      <c r="I137" s="601" t="s">
        <v>35</v>
      </c>
      <c r="J137" s="602">
        <f>IF($F137="operation",VLOOKUP($I137,'Generic Vertical Port Tasks'!$C$4:$D$189,2,FALSE),"N/A")</f>
        <v>4.0949999999999998</v>
      </c>
      <c r="K137" s="601"/>
      <c r="L137" s="601"/>
      <c r="M137" s="601"/>
      <c r="N137" s="605" t="str">
        <f>IFERROR(INDEX('Upper Cask Movement &amp; Logistics'!$I$24:$O$30,MATCH($J137,'Upper Cask Movement &amp; Logistics'!$H$24:$H$30,0),MATCH($K137,'Upper Cask Movement &amp; Logistics'!$H$24:$H$30,0)),"N/A")</f>
        <v>N/A</v>
      </c>
      <c r="O137" s="605" t="str">
        <f>IFERROR(VLOOKUP($I137,'Upper Cask Movement &amp; Logistics'!$H$4:$I$8,2,FALSE),"N/A")</f>
        <v>N/A</v>
      </c>
      <c r="P137" s="602" t="str">
        <f t="shared" si="10"/>
        <v>N/A</v>
      </c>
      <c r="Q137" s="1234"/>
      <c r="R137" s="602" t="str">
        <f>IF($F137="Logistics",VLOOKUP($Q137,'Upper Cask Movement &amp; Logistics'!$C$4:$D$209,2,FALSE),"N/A")</f>
        <v>N/A</v>
      </c>
      <c r="S137" s="1235"/>
      <c r="T137" s="602" t="str">
        <f>IFERROR(VLOOKUP($S137,'Upper Cask Recovery Logistics'!$C$29:$F$203,4,FALSE),"N/A")</f>
        <v>N/A</v>
      </c>
      <c r="U137" s="1236" t="str">
        <f t="shared" si="12"/>
        <v>N/A</v>
      </c>
      <c r="V137" s="1510"/>
      <c r="X137" s="273"/>
      <c r="Y137" s="273"/>
      <c r="Z137" s="273"/>
      <c r="AA137" s="752"/>
    </row>
    <row r="138" spans="2:27" ht="15" hidden="1" customHeight="1" outlineLevel="2" thickBot="1" x14ac:dyDescent="0.45">
      <c r="B138" s="762"/>
      <c r="C138" s="5"/>
      <c r="D138" s="3993"/>
      <c r="E138" s="601" t="s">
        <v>1251</v>
      </c>
      <c r="F138" s="636" t="s">
        <v>3</v>
      </c>
      <c r="G138" s="602">
        <f t="shared" si="13"/>
        <v>0.38</v>
      </c>
      <c r="H138" s="602">
        <f t="shared" si="11"/>
        <v>191.86998727133326</v>
      </c>
      <c r="I138" s="601"/>
      <c r="J138" s="602" t="str">
        <f>IF($F138="operation",VLOOKUP($I138,'Generic Vertical Port Tasks'!$C$4:$D$189,2,FALSE),"N/A")</f>
        <v>N/A</v>
      </c>
      <c r="K138" s="601"/>
      <c r="L138" s="601"/>
      <c r="M138" s="601"/>
      <c r="N138" s="605" t="str">
        <f>IFERROR(INDEX('Upper Cask Movement &amp; Logistics'!$I$24:$O$30,MATCH($J138,'Upper Cask Movement &amp; Logistics'!$H$24:$H$30,0),MATCH($K138,'Upper Cask Movement &amp; Logistics'!$H$24:$H$30,0)),"N/A")</f>
        <v>N/A</v>
      </c>
      <c r="O138" s="605" t="str">
        <f>IFERROR(VLOOKUP($I138,'Upper Cask Movement &amp; Logistics'!$H$4:$I$8,2,FALSE),"N/A")</f>
        <v>N/A</v>
      </c>
      <c r="P138" s="602" t="str">
        <f t="shared" si="10"/>
        <v>N/A</v>
      </c>
      <c r="Q138" s="1234" t="s">
        <v>1230</v>
      </c>
      <c r="R138" s="602">
        <f>IF($F138="Logistics",VLOOKUP($Q138,'Upper Cask Movement &amp; Logistics'!$C$4:$D$209,2,FALSE),"N/A")</f>
        <v>0.38</v>
      </c>
      <c r="S138" s="1235"/>
      <c r="T138" s="602" t="str">
        <f>IFERROR(VLOOKUP($S138,'Upper Cask Recovery Logistics'!$C$29:$F$203,4,FALSE),"N/A")</f>
        <v>N/A</v>
      </c>
      <c r="U138" s="1236" t="str">
        <f t="shared" si="12"/>
        <v>N/A</v>
      </c>
      <c r="V138" s="1510"/>
      <c r="X138" s="273"/>
      <c r="Y138" s="273"/>
      <c r="Z138" s="273"/>
      <c r="AA138" s="752"/>
    </row>
    <row r="139" spans="2:27" ht="15" hidden="1" customHeight="1" outlineLevel="2" x14ac:dyDescent="0.4">
      <c r="B139" s="762"/>
      <c r="C139" s="5"/>
      <c r="D139" s="3995" t="s">
        <v>1089</v>
      </c>
      <c r="E139" s="617" t="s">
        <v>1299</v>
      </c>
      <c r="F139" s="617" t="s">
        <v>3</v>
      </c>
      <c r="G139" s="567">
        <f t="shared" si="13"/>
        <v>0.38</v>
      </c>
      <c r="H139" s="574">
        <f t="shared" si="11"/>
        <v>192.24998727133325</v>
      </c>
      <c r="I139" s="617"/>
      <c r="J139" s="567" t="str">
        <f>IF($F139="operation",VLOOKUP($I139,'Generic Vertical Port Tasks'!$C$4:$D$189,2,FALSE),"N/A")</f>
        <v>N/A</v>
      </c>
      <c r="K139" s="617"/>
      <c r="L139" s="617"/>
      <c r="M139" s="617"/>
      <c r="N139" s="618" t="str">
        <f>IFERROR(INDEX('Upper Cask Movement &amp; Logistics'!$I$24:$O$30,MATCH($J139,'Upper Cask Movement &amp; Logistics'!$H$24:$H$30,0),MATCH($K139,'Upper Cask Movement &amp; Logistics'!$H$24:$H$30,0)),"N/A")</f>
        <v>N/A</v>
      </c>
      <c r="O139" s="618" t="str">
        <f>IFERROR(VLOOKUP($I139,'Upper Cask Movement &amp; Logistics'!$H$4:$I$8,2,FALSE),"N/A")</f>
        <v>N/A</v>
      </c>
      <c r="P139" s="567" t="str">
        <f t="shared" si="10"/>
        <v>N/A</v>
      </c>
      <c r="Q139" s="1271" t="s">
        <v>1226</v>
      </c>
      <c r="R139" s="567">
        <f>IF($F139="Logistics",VLOOKUP($Q139,'Upper Cask Movement &amp; Logistics'!$C$4:$D$209,2,FALSE),"N/A")</f>
        <v>0.38</v>
      </c>
      <c r="S139" s="1272"/>
      <c r="T139" s="567" t="str">
        <f>IFERROR(VLOOKUP($S139,'Upper Cask Recovery Logistics'!$C$29:$F$203,4,FALSE),"N/A")</f>
        <v>N/A</v>
      </c>
      <c r="U139" s="1273" t="str">
        <f t="shared" si="12"/>
        <v>N/A</v>
      </c>
      <c r="V139" s="1510"/>
      <c r="X139" s="273"/>
      <c r="Y139" s="273"/>
      <c r="Z139" s="273"/>
      <c r="AA139" s="752"/>
    </row>
    <row r="140" spans="2:27" ht="15" hidden="1" customHeight="1" outlineLevel="2" x14ac:dyDescent="0.4">
      <c r="B140" s="762"/>
      <c r="C140" s="5"/>
      <c r="D140" s="3996"/>
      <c r="E140" s="572" t="s">
        <v>130</v>
      </c>
      <c r="F140" s="572" t="s">
        <v>251</v>
      </c>
      <c r="G140" s="574">
        <f t="shared" si="13"/>
        <v>24.022732551873563</v>
      </c>
      <c r="H140" s="574">
        <f t="shared" si="11"/>
        <v>216.27271982320681</v>
      </c>
      <c r="I140" s="572" t="s">
        <v>2492</v>
      </c>
      <c r="J140" s="574">
        <f>IF($F140="operation",VLOOKUP($I140,'Generic Vertical Port Tasks'!$C$4:$D$189,2,FALSE),"N/A")</f>
        <v>24.022732551873563</v>
      </c>
      <c r="K140" s="572"/>
      <c r="L140" s="572"/>
      <c r="M140" s="572"/>
      <c r="N140" s="577" t="str">
        <f>IFERROR(INDEX('Upper Cask Movement &amp; Logistics'!$I$24:$O$30,MATCH($J140,'Upper Cask Movement &amp; Logistics'!$H$24:$H$30,0),MATCH($K140,'Upper Cask Movement &amp; Logistics'!$H$24:$H$30,0)),"N/A")</f>
        <v>N/A</v>
      </c>
      <c r="O140" s="577" t="str">
        <f>IFERROR(VLOOKUP($I140,'Upper Cask Movement &amp; Logistics'!$H$4:$I$8,2,FALSE),"N/A")</f>
        <v>N/A</v>
      </c>
      <c r="P140" s="574" t="str">
        <f t="shared" si="10"/>
        <v>N/A</v>
      </c>
      <c r="Q140" s="1282"/>
      <c r="R140" s="574" t="str">
        <f>IF($F140="Logistics",VLOOKUP($Q140,'Upper Cask Movement &amp; Logistics'!$C$4:$D$209,2,FALSE),"N/A")</f>
        <v>N/A</v>
      </c>
      <c r="S140" s="1283"/>
      <c r="T140" s="574" t="str">
        <f>IFERROR(VLOOKUP($S140,'Upper Cask Recovery Logistics'!$C$29:$F$203,4,FALSE),"N/A")</f>
        <v>N/A</v>
      </c>
      <c r="U140" s="1284" t="str">
        <f t="shared" si="12"/>
        <v>N/A</v>
      </c>
      <c r="V140" s="1510"/>
      <c r="X140" s="273"/>
      <c r="Y140" s="273"/>
      <c r="Z140" s="273"/>
      <c r="AA140" s="752"/>
    </row>
    <row r="141" spans="2:27" ht="15" hidden="1" customHeight="1" outlineLevel="2" x14ac:dyDescent="0.4">
      <c r="B141" s="762"/>
      <c r="C141" s="5"/>
      <c r="D141" s="3996"/>
      <c r="E141" s="572" t="s">
        <v>1248</v>
      </c>
      <c r="F141" s="572" t="s">
        <v>3</v>
      </c>
      <c r="G141" s="574">
        <f t="shared" si="13"/>
        <v>0.38</v>
      </c>
      <c r="H141" s="574">
        <f t="shared" si="11"/>
        <v>216.65271982320681</v>
      </c>
      <c r="I141" s="572"/>
      <c r="J141" s="574" t="str">
        <f>IF($F141="operation",VLOOKUP($I141,'Generic Vertical Port Tasks'!$C$4:$D$189,2,FALSE),"N/A")</f>
        <v>N/A</v>
      </c>
      <c r="K141" s="572"/>
      <c r="L141" s="572"/>
      <c r="M141" s="572"/>
      <c r="N141" s="577" t="str">
        <f>IFERROR(INDEX('Upper Cask Movement &amp; Logistics'!$I$24:$O$30,MATCH($J141,'Upper Cask Movement &amp; Logistics'!$H$24:$H$30,0),MATCH($K141,'Upper Cask Movement &amp; Logistics'!$H$24:$H$30,0)),"N/A")</f>
        <v>N/A</v>
      </c>
      <c r="O141" s="577" t="str">
        <f>IFERROR(VLOOKUP($I141,'Upper Cask Movement &amp; Logistics'!$H$4:$I$8,2,FALSE),"N/A")</f>
        <v>N/A</v>
      </c>
      <c r="P141" s="574" t="str">
        <f t="shared" si="10"/>
        <v>N/A</v>
      </c>
      <c r="Q141" s="1282" t="s">
        <v>1230</v>
      </c>
      <c r="R141" s="574">
        <f>IF($F141="Logistics",VLOOKUP($Q141,'Upper Cask Movement &amp; Logistics'!$C$4:$D$209,2,FALSE),"N/A")</f>
        <v>0.38</v>
      </c>
      <c r="S141" s="1283" t="s">
        <v>1090</v>
      </c>
      <c r="T141" s="574" t="str">
        <f>IFERROR(VLOOKUP($S141,'Upper Cask Recovery Logistics'!$C$29:$F$203,4,FALSE),"N/A")</f>
        <v>N/A</v>
      </c>
      <c r="U141" s="1284" t="str">
        <f t="shared" si="12"/>
        <v>N/A</v>
      </c>
      <c r="V141" s="1510"/>
      <c r="X141" s="273"/>
      <c r="Y141" s="273"/>
      <c r="Z141" s="273"/>
      <c r="AA141" s="752"/>
    </row>
    <row r="142" spans="2:27" ht="15" hidden="1" customHeight="1" outlineLevel="2" x14ac:dyDescent="0.4">
      <c r="B142" s="762"/>
      <c r="C142" s="5"/>
      <c r="D142" s="3996"/>
      <c r="E142" s="572" t="s">
        <v>1252</v>
      </c>
      <c r="F142" s="572" t="s">
        <v>3</v>
      </c>
      <c r="G142" s="574">
        <f t="shared" si="13"/>
        <v>0.38</v>
      </c>
      <c r="H142" s="574">
        <f t="shared" si="11"/>
        <v>217.0327198232068</v>
      </c>
      <c r="I142" s="572"/>
      <c r="J142" s="574" t="str">
        <f>IF($F142="operation",VLOOKUP($I142,'Generic Vertical Port Tasks'!$C$4:$D$189,2,FALSE),"N/A")</f>
        <v>N/A</v>
      </c>
      <c r="K142" s="572"/>
      <c r="L142" s="572"/>
      <c r="M142" s="572"/>
      <c r="N142" s="577" t="str">
        <f>IFERROR(INDEX('Upper Cask Movement &amp; Logistics'!$I$24:$O$30,MATCH($J142,'Upper Cask Movement &amp; Logistics'!$H$24:$H$30,0),MATCH($K142,'Upper Cask Movement &amp; Logistics'!$H$24:$H$30,0)),"N/A")</f>
        <v>N/A</v>
      </c>
      <c r="O142" s="577" t="str">
        <f>IFERROR(VLOOKUP($I142,'Upper Cask Movement &amp; Logistics'!$H$4:$I$8,2,FALSE),"N/A")</f>
        <v>N/A</v>
      </c>
      <c r="P142" s="574" t="str">
        <f t="shared" si="10"/>
        <v>N/A</v>
      </c>
      <c r="Q142" s="1282" t="s">
        <v>1226</v>
      </c>
      <c r="R142" s="574">
        <f>IF($F142="Logistics",VLOOKUP($Q142,'Upper Cask Movement &amp; Logistics'!$C$4:$D$209,2,FALSE),"N/A")</f>
        <v>0.38</v>
      </c>
      <c r="S142" s="1283"/>
      <c r="T142" s="574" t="str">
        <f>IFERROR(VLOOKUP($S142,'Upper Cask Recovery Logistics'!$C$29:$F$203,4,FALSE),"N/A")</f>
        <v>N/A</v>
      </c>
      <c r="U142" s="1284" t="str">
        <f t="shared" si="12"/>
        <v>N/A</v>
      </c>
      <c r="V142" s="1510"/>
      <c r="X142" s="273"/>
      <c r="Y142" s="273"/>
      <c r="Z142" s="273"/>
      <c r="AA142" s="752"/>
    </row>
    <row r="143" spans="2:27" ht="15" hidden="1" customHeight="1" outlineLevel="2" x14ac:dyDescent="0.4">
      <c r="B143" s="762"/>
      <c r="C143" s="5"/>
      <c r="D143" s="3996"/>
      <c r="E143" s="572" t="s">
        <v>42</v>
      </c>
      <c r="F143" s="572" t="s">
        <v>251</v>
      </c>
      <c r="G143" s="574">
        <f t="shared" si="13"/>
        <v>7.83</v>
      </c>
      <c r="H143" s="574">
        <f t="shared" si="11"/>
        <v>224.86271982320682</v>
      </c>
      <c r="I143" s="572" t="s">
        <v>257</v>
      </c>
      <c r="J143" s="574">
        <f>IF($F143="operation",VLOOKUP($I143,'Generic Vertical Port Tasks'!$C$4:$D$189,2,FALSE),"N/A")</f>
        <v>7.83</v>
      </c>
      <c r="K143" s="572"/>
      <c r="L143" s="572"/>
      <c r="M143" s="572"/>
      <c r="N143" s="577" t="str">
        <f>IFERROR(INDEX('Upper Cask Movement &amp; Logistics'!$I$24:$O$30,MATCH($J143,'Upper Cask Movement &amp; Logistics'!$H$24:$H$30,0),MATCH($K143,'Upper Cask Movement &amp; Logistics'!$H$24:$H$30,0)),"N/A")</f>
        <v>N/A</v>
      </c>
      <c r="O143" s="577" t="str">
        <f>IFERROR(VLOOKUP($I143,'Upper Cask Movement &amp; Logistics'!$H$4:$I$8,2,FALSE),"N/A")</f>
        <v>N/A</v>
      </c>
      <c r="P143" s="574" t="str">
        <f t="shared" si="10"/>
        <v>N/A</v>
      </c>
      <c r="Q143" s="1282"/>
      <c r="R143" s="574" t="str">
        <f>IF($F143="Logistics",VLOOKUP($Q143,'Upper Cask Movement &amp; Logistics'!$C$4:$D$209,2,FALSE),"N/A")</f>
        <v>N/A</v>
      </c>
      <c r="S143" s="1283"/>
      <c r="T143" s="574" t="str">
        <f>IFERROR(VLOOKUP($S143,'Upper Cask Recovery Logistics'!$C$29:$F$203,4,FALSE),"N/A")</f>
        <v>N/A</v>
      </c>
      <c r="U143" s="1284" t="str">
        <f t="shared" si="12"/>
        <v>N/A</v>
      </c>
      <c r="V143" s="1510"/>
      <c r="X143" s="273"/>
      <c r="Y143" s="273"/>
      <c r="Z143" s="273"/>
      <c r="AA143" s="752"/>
    </row>
    <row r="144" spans="2:27" ht="15" hidden="1" customHeight="1" outlineLevel="2" thickBot="1" x14ac:dyDescent="0.45">
      <c r="B144" s="762"/>
      <c r="C144" s="5"/>
      <c r="D144" s="3997"/>
      <c r="E144" s="583" t="s">
        <v>1246</v>
      </c>
      <c r="F144" s="583" t="s">
        <v>3</v>
      </c>
      <c r="G144" s="585">
        <f t="shared" si="13"/>
        <v>0.38</v>
      </c>
      <c r="H144" s="574">
        <f t="shared" si="11"/>
        <v>225.24271982320681</v>
      </c>
      <c r="I144" s="583"/>
      <c r="J144" s="585" t="str">
        <f>IF($F144="operation",VLOOKUP($I144,'Generic Vertical Port Tasks'!$C$4:$D$189,2,FALSE),"N/A")</f>
        <v>N/A</v>
      </c>
      <c r="K144" s="583"/>
      <c r="L144" s="583"/>
      <c r="M144" s="583"/>
      <c r="N144" s="588" t="str">
        <f>IFERROR(INDEX('Upper Cask Movement &amp; Logistics'!$I$24:$O$30,MATCH($J144,'Upper Cask Movement &amp; Logistics'!$H$24:$H$30,0),MATCH($K144,'Upper Cask Movement &amp; Logistics'!$H$24:$H$30,0)),"N/A")</f>
        <v>N/A</v>
      </c>
      <c r="O144" s="588" t="str">
        <f>IFERROR(VLOOKUP($I144,'Upper Cask Movement &amp; Logistics'!$H$4:$I$8,2,FALSE),"N/A")</f>
        <v>N/A</v>
      </c>
      <c r="P144" s="585" t="str">
        <f t="shared" si="10"/>
        <v>N/A</v>
      </c>
      <c r="Q144" s="1285" t="s">
        <v>1230</v>
      </c>
      <c r="R144" s="585">
        <f>IF($F144="Logistics",VLOOKUP($Q144,'Upper Cask Movement &amp; Logistics'!$C$4:$D$209,2,FALSE),"N/A")</f>
        <v>0.38</v>
      </c>
      <c r="S144" s="1286"/>
      <c r="T144" s="585" t="str">
        <f>IFERROR(VLOOKUP($S144,'Upper Cask Recovery Logistics'!$C$29:$F$203,4,FALSE),"N/A")</f>
        <v>N/A</v>
      </c>
      <c r="U144" s="1287" t="str">
        <f t="shared" si="12"/>
        <v>N/A</v>
      </c>
      <c r="V144" s="1510"/>
      <c r="X144" s="273"/>
      <c r="Y144" s="273"/>
      <c r="Z144" s="273"/>
      <c r="AA144" s="752"/>
    </row>
    <row r="145" spans="2:27" ht="15" hidden="1" customHeight="1" outlineLevel="2" x14ac:dyDescent="0.4">
      <c r="B145" s="762"/>
      <c r="C145" s="5"/>
      <c r="D145" s="3992" t="s">
        <v>119</v>
      </c>
      <c r="E145" s="596" t="s">
        <v>1303</v>
      </c>
      <c r="F145" s="596" t="s">
        <v>3</v>
      </c>
      <c r="G145" s="593">
        <f t="shared" si="13"/>
        <v>0.60000000000000009</v>
      </c>
      <c r="H145" s="602">
        <f t="shared" si="11"/>
        <v>225.84271982320681</v>
      </c>
      <c r="I145" s="596"/>
      <c r="J145" s="593" t="str">
        <f>IF($F145="operation",VLOOKUP($I145,'Generic Vertical Port Tasks'!$C$4:$D$189,2,FALSE),"N/A")</f>
        <v>N/A</v>
      </c>
      <c r="K145" s="596"/>
      <c r="L145" s="596"/>
      <c r="M145" s="596"/>
      <c r="N145" s="597" t="str">
        <f>IFERROR(INDEX('Upper Cask Movement &amp; Logistics'!$I$24:$O$30,MATCH($J145,'Upper Cask Movement &amp; Logistics'!$H$24:$H$30,0),MATCH($K145,'Upper Cask Movement &amp; Logistics'!$H$24:$H$30,0)),"N/A")</f>
        <v>N/A</v>
      </c>
      <c r="O145" s="597" t="str">
        <f>IFERROR(VLOOKUP($I145,'Upper Cask Movement &amp; Logistics'!$H$4:$I$8,2,FALSE),"N/A")</f>
        <v>N/A</v>
      </c>
      <c r="P145" s="593" t="str">
        <f t="shared" si="10"/>
        <v>N/A</v>
      </c>
      <c r="Q145" s="1253" t="s">
        <v>1279</v>
      </c>
      <c r="R145" s="593">
        <f>IF($F145="Logistics",VLOOKUP($Q145,'Upper Cask Movement &amp; Logistics'!$C$4:$D$209,2,FALSE),"N/A")</f>
        <v>0.60000000000000009</v>
      </c>
      <c r="S145" s="1254" t="s">
        <v>1416</v>
      </c>
      <c r="T145" s="593">
        <f>IFERROR(VLOOKUP($S145,'Upper Cask Recovery Logistics'!$C$29:$F$203,4,FALSE),"N/A")</f>
        <v>196.79591319725924</v>
      </c>
      <c r="U145" s="1255">
        <f t="shared" si="12"/>
        <v>28.446806625947573</v>
      </c>
      <c r="V145" s="1510"/>
      <c r="X145" s="273"/>
      <c r="Y145" s="273"/>
      <c r="Z145" s="273"/>
      <c r="AA145" s="752"/>
    </row>
    <row r="146" spans="2:27" ht="15" hidden="1" customHeight="1" outlineLevel="2" x14ac:dyDescent="0.4">
      <c r="B146" s="762"/>
      <c r="C146" s="5"/>
      <c r="D146" s="3993"/>
      <c r="E146" s="601" t="s">
        <v>1517</v>
      </c>
      <c r="F146" s="601" t="s">
        <v>3</v>
      </c>
      <c r="G146" s="602">
        <f t="shared" si="13"/>
        <v>0.38</v>
      </c>
      <c r="H146" s="602">
        <f t="shared" si="11"/>
        <v>226.2227198232068</v>
      </c>
      <c r="I146" s="601"/>
      <c r="J146" s="602" t="str">
        <f>IF($F146="operation",VLOOKUP($I146,'Generic Vertical Port Tasks'!$C$4:$D$189,2,FALSE),"N/A")</f>
        <v>N/A</v>
      </c>
      <c r="K146" s="601"/>
      <c r="L146" s="601"/>
      <c r="M146" s="601"/>
      <c r="N146" s="605" t="str">
        <f>IFERROR(INDEX('Upper Cask Movement &amp; Logistics'!$I$24:$O$30,MATCH($J146,'Upper Cask Movement &amp; Logistics'!$H$24:$H$30,0),MATCH($K146,'Upper Cask Movement &amp; Logistics'!$H$24:$H$30,0)),"N/A")</f>
        <v>N/A</v>
      </c>
      <c r="O146" s="605" t="str">
        <f>IFERROR(VLOOKUP($I146,'Upper Cask Movement &amp; Logistics'!$H$4:$I$8,2,FALSE),"N/A")</f>
        <v>N/A</v>
      </c>
      <c r="P146" s="602" t="str">
        <f t="shared" si="10"/>
        <v>N/A</v>
      </c>
      <c r="Q146" s="1288" t="s">
        <v>1226</v>
      </c>
      <c r="R146" s="602">
        <f>IF($F146="Logistics",VLOOKUP($Q146,'Upper Cask Movement &amp; Logistics'!$C$4:$D$209,2,FALSE),"N/A")</f>
        <v>0.38</v>
      </c>
      <c r="S146" s="1235"/>
      <c r="T146" s="602" t="str">
        <f>IFERROR(VLOOKUP($S146,'Upper Cask Recovery Logistics'!$C$29:$F$203,4,FALSE),"N/A")</f>
        <v>N/A</v>
      </c>
      <c r="U146" s="1236" t="str">
        <f t="shared" si="12"/>
        <v>N/A</v>
      </c>
      <c r="V146" s="1510"/>
      <c r="X146" s="273"/>
      <c r="Y146" s="273"/>
      <c r="Z146" s="273"/>
      <c r="AA146" s="752"/>
    </row>
    <row r="147" spans="2:27" ht="15" hidden="1" customHeight="1" outlineLevel="2" x14ac:dyDescent="0.4">
      <c r="B147" s="762"/>
      <c r="C147" s="5"/>
      <c r="D147" s="3993"/>
      <c r="E147" s="601" t="s">
        <v>119</v>
      </c>
      <c r="F147" s="601" t="s">
        <v>251</v>
      </c>
      <c r="G147" s="602">
        <f t="shared" si="13"/>
        <v>4.0949999999999998</v>
      </c>
      <c r="H147" s="602">
        <f t="shared" si="11"/>
        <v>230.3177198232068</v>
      </c>
      <c r="I147" s="601" t="s">
        <v>35</v>
      </c>
      <c r="J147" s="602">
        <f>IF($F147="operation",VLOOKUP($I147,'Generic Vertical Port Tasks'!$C$4:$D$189,2,FALSE),"N/A")</f>
        <v>4.0949999999999998</v>
      </c>
      <c r="K147" s="601"/>
      <c r="L147" s="601"/>
      <c r="M147" s="601"/>
      <c r="N147" s="605" t="str">
        <f>IFERROR(INDEX('Upper Cask Movement &amp; Logistics'!$I$24:$O$30,MATCH($J147,'Upper Cask Movement &amp; Logistics'!$H$24:$H$30,0),MATCH($K147,'Upper Cask Movement &amp; Logistics'!$H$24:$H$30,0)),"N/A")</f>
        <v>N/A</v>
      </c>
      <c r="O147" s="605" t="str">
        <f>IFERROR(VLOOKUP($I147,'Upper Cask Movement &amp; Logistics'!$H$4:$I$8,2,FALSE),"N/A")</f>
        <v>N/A</v>
      </c>
      <c r="P147" s="602" t="str">
        <f t="shared" si="10"/>
        <v>N/A</v>
      </c>
      <c r="Q147" s="1234"/>
      <c r="R147" s="602" t="str">
        <f>IF($F147="Logistics",VLOOKUP($Q147,'Upper Cask Movement &amp; Logistics'!$C$4:$D$209,2,FALSE),"N/A")</f>
        <v>N/A</v>
      </c>
      <c r="S147" s="1235"/>
      <c r="T147" s="602" t="str">
        <f>IFERROR(VLOOKUP($S147,'Upper Cask Recovery Logistics'!$C$29:$F$203,4,FALSE),"N/A")</f>
        <v>N/A</v>
      </c>
      <c r="U147" s="1236" t="str">
        <f t="shared" si="12"/>
        <v>N/A</v>
      </c>
      <c r="V147" s="1510"/>
      <c r="X147" s="273"/>
      <c r="Y147" s="273"/>
      <c r="Z147" s="273"/>
      <c r="AA147" s="752"/>
    </row>
    <row r="148" spans="2:27" ht="15" hidden="1" customHeight="1" outlineLevel="2" thickBot="1" x14ac:dyDescent="0.45">
      <c r="B148" s="762"/>
      <c r="C148" s="5"/>
      <c r="D148" s="3993"/>
      <c r="E148" s="601" t="s">
        <v>1251</v>
      </c>
      <c r="F148" s="636" t="s">
        <v>3</v>
      </c>
      <c r="G148" s="602">
        <f t="shared" si="13"/>
        <v>0.38</v>
      </c>
      <c r="H148" s="602">
        <f t="shared" si="11"/>
        <v>230.6977198232068</v>
      </c>
      <c r="I148" s="601"/>
      <c r="J148" s="602" t="str">
        <f>IF($F148="operation",VLOOKUP($I148,'Generic Vertical Port Tasks'!$C$4:$D$189,2,FALSE),"N/A")</f>
        <v>N/A</v>
      </c>
      <c r="K148" s="601"/>
      <c r="L148" s="601"/>
      <c r="M148" s="601"/>
      <c r="N148" s="605" t="str">
        <f>IFERROR(INDEX('Upper Cask Movement &amp; Logistics'!$I$24:$O$30,MATCH($J148,'Upper Cask Movement &amp; Logistics'!$H$24:$H$30,0),MATCH($K148,'Upper Cask Movement &amp; Logistics'!$H$24:$H$30,0)),"N/A")</f>
        <v>N/A</v>
      </c>
      <c r="O148" s="605" t="str">
        <f>IFERROR(VLOOKUP($I148,'Upper Cask Movement &amp; Logistics'!$H$4:$I$8,2,FALSE),"N/A")</f>
        <v>N/A</v>
      </c>
      <c r="P148" s="602" t="str">
        <f t="shared" si="10"/>
        <v>N/A</v>
      </c>
      <c r="Q148" s="1234" t="s">
        <v>1230</v>
      </c>
      <c r="R148" s="602">
        <f>IF($F148="Logistics",VLOOKUP($Q148,'Upper Cask Movement &amp; Logistics'!$C$4:$D$209,2,FALSE),"N/A")</f>
        <v>0.38</v>
      </c>
      <c r="S148" s="1235"/>
      <c r="T148" s="602" t="str">
        <f>IFERROR(VLOOKUP($S148,'Upper Cask Recovery Logistics'!$C$29:$F$203,4,FALSE),"N/A")</f>
        <v>N/A</v>
      </c>
      <c r="U148" s="1236" t="str">
        <f t="shared" si="12"/>
        <v>N/A</v>
      </c>
      <c r="V148" s="1510"/>
      <c r="X148" s="273"/>
      <c r="Y148" s="273"/>
      <c r="Z148" s="273"/>
      <c r="AA148" s="752"/>
    </row>
    <row r="149" spans="2:27" ht="15" hidden="1" customHeight="1" outlineLevel="2" x14ac:dyDescent="0.4">
      <c r="B149" s="762"/>
      <c r="C149" s="5"/>
      <c r="D149" s="3787" t="s">
        <v>1092</v>
      </c>
      <c r="E149" s="617" t="s">
        <v>1299</v>
      </c>
      <c r="F149" s="617" t="s">
        <v>3</v>
      </c>
      <c r="G149" s="567">
        <f t="shared" si="13"/>
        <v>0.38</v>
      </c>
      <c r="H149" s="574">
        <f t="shared" si="11"/>
        <v>231.07771982320679</v>
      </c>
      <c r="I149" s="617"/>
      <c r="J149" s="567" t="str">
        <f>IF($F149="operation",VLOOKUP($I149,'Generic Vertical Port Tasks'!$C$4:$D$189,2,FALSE),"N/A")</f>
        <v>N/A</v>
      </c>
      <c r="K149" s="617"/>
      <c r="L149" s="617"/>
      <c r="M149" s="617"/>
      <c r="N149" s="618" t="str">
        <f>IFERROR(INDEX('Upper Cask Movement &amp; Logistics'!$I$24:$O$30,MATCH($J149,'Upper Cask Movement &amp; Logistics'!$H$24:$H$30,0),MATCH($K149,'Upper Cask Movement &amp; Logistics'!$H$24:$H$30,0)),"N/A")</f>
        <v>N/A</v>
      </c>
      <c r="O149" s="618" t="str">
        <f>IFERROR(VLOOKUP($I149,'Upper Cask Movement &amp; Logistics'!$H$4:$I$8,2,FALSE),"N/A")</f>
        <v>N/A</v>
      </c>
      <c r="P149" s="567" t="str">
        <f t="shared" si="10"/>
        <v>N/A</v>
      </c>
      <c r="Q149" s="1271" t="s">
        <v>1226</v>
      </c>
      <c r="R149" s="567">
        <f>IF($F149="Logistics",VLOOKUP($Q149,'Upper Cask Movement &amp; Logistics'!$C$4:$D$209,2,FALSE),"N/A")</f>
        <v>0.38</v>
      </c>
      <c r="S149" s="1272"/>
      <c r="T149" s="567" t="str">
        <f>IFERROR(VLOOKUP($S149,'Upper Cask Recovery Logistics'!$C$29:$F$203,4,FALSE),"N/A")</f>
        <v>N/A</v>
      </c>
      <c r="U149" s="1273" t="str">
        <f t="shared" si="12"/>
        <v>N/A</v>
      </c>
      <c r="V149" s="1510"/>
      <c r="X149" s="273"/>
      <c r="Y149" s="273"/>
      <c r="Z149" s="273"/>
      <c r="AA149" s="752"/>
    </row>
    <row r="150" spans="2:27" ht="15" hidden="1" customHeight="1" outlineLevel="2" x14ac:dyDescent="0.4">
      <c r="B150" s="762"/>
      <c r="C150" s="5"/>
      <c r="D150" s="3786"/>
      <c r="E150" s="572" t="s">
        <v>128</v>
      </c>
      <c r="F150" s="572" t="s">
        <v>251</v>
      </c>
      <c r="G150" s="574">
        <f t="shared" si="13"/>
        <v>24.022732551873563</v>
      </c>
      <c r="H150" s="574">
        <f t="shared" si="11"/>
        <v>255.10045237508035</v>
      </c>
      <c r="I150" s="572" t="s">
        <v>2492</v>
      </c>
      <c r="J150" s="574">
        <f>IF($F150="operation",VLOOKUP($I150,'Generic Vertical Port Tasks'!$C$4:$D$189,2,FALSE),"N/A")</f>
        <v>24.022732551873563</v>
      </c>
      <c r="K150" s="572"/>
      <c r="L150" s="572"/>
      <c r="M150" s="572"/>
      <c r="N150" s="577" t="str">
        <f>IFERROR(INDEX('Upper Cask Movement &amp; Logistics'!$I$24:$O$30,MATCH($J150,'Upper Cask Movement &amp; Logistics'!$H$24:$H$30,0),MATCH($K150,'Upper Cask Movement &amp; Logistics'!$H$24:$H$30,0)),"N/A")</f>
        <v>N/A</v>
      </c>
      <c r="O150" s="577" t="str">
        <f>IFERROR(VLOOKUP($I150,'Upper Cask Movement &amp; Logistics'!$H$4:$I$8,2,FALSE),"N/A")</f>
        <v>N/A</v>
      </c>
      <c r="P150" s="574" t="str">
        <f t="shared" si="10"/>
        <v>N/A</v>
      </c>
      <c r="Q150" s="1282"/>
      <c r="R150" s="574" t="str">
        <f>IF($F150="Logistics",VLOOKUP($Q150,'Upper Cask Movement &amp; Logistics'!$C$4:$D$209,2,FALSE),"N/A")</f>
        <v>N/A</v>
      </c>
      <c r="S150" s="1283"/>
      <c r="T150" s="574" t="str">
        <f>IFERROR(VLOOKUP($S150,'Upper Cask Recovery Logistics'!$C$29:$F$203,4,FALSE),"N/A")</f>
        <v>N/A</v>
      </c>
      <c r="U150" s="1284" t="str">
        <f t="shared" si="12"/>
        <v>N/A</v>
      </c>
      <c r="V150" s="1510"/>
      <c r="X150" s="273"/>
      <c r="Y150" s="273"/>
      <c r="Z150" s="273"/>
      <c r="AA150" s="752"/>
    </row>
    <row r="151" spans="2:27" ht="15" hidden="1" customHeight="1" outlineLevel="2" x14ac:dyDescent="0.4">
      <c r="B151" s="762"/>
      <c r="C151" s="5"/>
      <c r="D151" s="3786"/>
      <c r="E151" s="572" t="s">
        <v>1248</v>
      </c>
      <c r="F151" s="572" t="s">
        <v>3</v>
      </c>
      <c r="G151" s="574">
        <f t="shared" si="13"/>
        <v>0.38</v>
      </c>
      <c r="H151" s="574">
        <f t="shared" si="11"/>
        <v>255.48045237508035</v>
      </c>
      <c r="I151" s="572"/>
      <c r="J151" s="574" t="str">
        <f>IF($F151="operation",VLOOKUP($I151,'Generic Vertical Port Tasks'!$C$4:$D$189,2,FALSE),"N/A")</f>
        <v>N/A</v>
      </c>
      <c r="K151" s="572"/>
      <c r="L151" s="572"/>
      <c r="M151" s="572"/>
      <c r="N151" s="577" t="str">
        <f>IFERROR(INDEX('Upper Cask Movement &amp; Logistics'!$I$24:$O$30,MATCH($J151,'Upper Cask Movement &amp; Logistics'!$H$24:$H$30,0),MATCH($K151,'Upper Cask Movement &amp; Logistics'!$H$24:$H$30,0)),"N/A")</f>
        <v>N/A</v>
      </c>
      <c r="O151" s="577" t="str">
        <f>IFERROR(VLOOKUP($I151,'Upper Cask Movement &amp; Logistics'!$H$4:$I$8,2,FALSE),"N/A")</f>
        <v>N/A</v>
      </c>
      <c r="P151" s="574" t="str">
        <f t="shared" si="10"/>
        <v>N/A</v>
      </c>
      <c r="Q151" s="1282" t="s">
        <v>1230</v>
      </c>
      <c r="R151" s="574">
        <f>IF($F151="Logistics",VLOOKUP($Q151,'Upper Cask Movement &amp; Logistics'!$C$4:$D$209,2,FALSE),"N/A")</f>
        <v>0.38</v>
      </c>
      <c r="S151" s="1283" t="s">
        <v>1093</v>
      </c>
      <c r="T151" s="574" t="str">
        <f>IFERROR(VLOOKUP($S151,'Upper Cask Recovery Logistics'!$C$29:$F$203,4,FALSE),"N/A")</f>
        <v>N/A</v>
      </c>
      <c r="U151" s="1284" t="str">
        <f t="shared" si="12"/>
        <v>N/A</v>
      </c>
      <c r="V151" s="1510"/>
      <c r="X151" s="273"/>
      <c r="Y151" s="273"/>
      <c r="Z151" s="273"/>
      <c r="AA151" s="752"/>
    </row>
    <row r="152" spans="2:27" ht="15" hidden="1" customHeight="1" outlineLevel="2" x14ac:dyDescent="0.4">
      <c r="B152" s="762"/>
      <c r="C152" s="5"/>
      <c r="D152" s="3786"/>
      <c r="E152" s="572" t="s">
        <v>1252</v>
      </c>
      <c r="F152" s="572" t="s">
        <v>3</v>
      </c>
      <c r="G152" s="574">
        <f t="shared" si="13"/>
        <v>0.38</v>
      </c>
      <c r="H152" s="574">
        <f t="shared" si="11"/>
        <v>255.86045237508034</v>
      </c>
      <c r="I152" s="572"/>
      <c r="J152" s="574" t="str">
        <f>IF($F152="operation",VLOOKUP($I152,'Generic Vertical Port Tasks'!$C$4:$D$189,2,FALSE),"N/A")</f>
        <v>N/A</v>
      </c>
      <c r="K152" s="572"/>
      <c r="L152" s="572"/>
      <c r="M152" s="572"/>
      <c r="N152" s="577" t="str">
        <f>IFERROR(INDEX('Upper Cask Movement &amp; Logistics'!$I$24:$O$30,MATCH($J152,'Upper Cask Movement &amp; Logistics'!$H$24:$H$30,0),MATCH($K152,'Upper Cask Movement &amp; Logistics'!$H$24:$H$30,0)),"N/A")</f>
        <v>N/A</v>
      </c>
      <c r="O152" s="577" t="str">
        <f>IFERROR(VLOOKUP($I152,'Upper Cask Movement &amp; Logistics'!$H$4:$I$8,2,FALSE),"N/A")</f>
        <v>N/A</v>
      </c>
      <c r="P152" s="574" t="str">
        <f>IF(F152="Movement",IFERROR((N152/O152)/(60*60),"Error"),"N/A")</f>
        <v>N/A</v>
      </c>
      <c r="Q152" s="1282" t="s">
        <v>1226</v>
      </c>
      <c r="R152" s="574">
        <f>IF($F152="Logistics",VLOOKUP($Q152,'Upper Cask Movement &amp; Logistics'!$C$4:$D$209,2,FALSE),"N/A")</f>
        <v>0.38</v>
      </c>
      <c r="S152" s="1283"/>
      <c r="T152" s="574" t="str">
        <f>IFERROR(VLOOKUP($S152,'Upper Cask Recovery Logistics'!$C$29:$F$203,4,FALSE),"N/A")</f>
        <v>N/A</v>
      </c>
      <c r="U152" s="1284" t="str">
        <f t="shared" si="12"/>
        <v>N/A</v>
      </c>
      <c r="V152" s="1510"/>
      <c r="X152" s="273"/>
      <c r="Y152" s="273"/>
      <c r="Z152" s="273"/>
      <c r="AA152" s="752"/>
    </row>
    <row r="153" spans="2:27" ht="15" hidden="1" customHeight="1" outlineLevel="2" x14ac:dyDescent="0.4">
      <c r="B153" s="762"/>
      <c r="C153" s="5"/>
      <c r="D153" s="3786"/>
      <c r="E153" s="572" t="s">
        <v>42</v>
      </c>
      <c r="F153" s="572" t="s">
        <v>251</v>
      </c>
      <c r="G153" s="574">
        <f t="shared" si="13"/>
        <v>7.83</v>
      </c>
      <c r="H153" s="574">
        <f t="shared" si="11"/>
        <v>263.69045237508033</v>
      </c>
      <c r="I153" s="572" t="s">
        <v>257</v>
      </c>
      <c r="J153" s="574">
        <f>IF($F153="operation",VLOOKUP($I153,'Generic Vertical Port Tasks'!$C$4:$D$189,2,FALSE),"N/A")</f>
        <v>7.83</v>
      </c>
      <c r="K153" s="572"/>
      <c r="L153" s="572"/>
      <c r="M153" s="572"/>
      <c r="N153" s="577" t="str">
        <f>IFERROR(INDEX('Upper Cask Movement &amp; Logistics'!$I$24:$O$30,MATCH($J153,'Upper Cask Movement &amp; Logistics'!$H$24:$H$30,0),MATCH($K153,'Upper Cask Movement &amp; Logistics'!$H$24:$H$30,0)),"N/A")</f>
        <v>N/A</v>
      </c>
      <c r="O153" s="577" t="str">
        <f>IFERROR(VLOOKUP($I153,'Upper Cask Movement &amp; Logistics'!$H$4:$I$8,2,FALSE),"N/A")</f>
        <v>N/A</v>
      </c>
      <c r="P153" s="574" t="str">
        <f>IF(F153="Movement",IFERROR((N153/O153)/(60*60),"Error"),"N/A")</f>
        <v>N/A</v>
      </c>
      <c r="Q153" s="1282"/>
      <c r="R153" s="574" t="str">
        <f>IF($F153="Logistics",VLOOKUP($Q153,'Upper Cask Movement &amp; Logistics'!$C$4:$D$209,2,FALSE),"N/A")</f>
        <v>N/A</v>
      </c>
      <c r="S153" s="1283"/>
      <c r="T153" s="574" t="str">
        <f>IFERROR(VLOOKUP($S153,'Upper Cask Recovery Logistics'!$C$29:$F$203,4,FALSE),"N/A")</f>
        <v>N/A</v>
      </c>
      <c r="U153" s="1284" t="str">
        <f t="shared" si="12"/>
        <v>N/A</v>
      </c>
      <c r="V153" s="1510"/>
      <c r="X153" s="273"/>
      <c r="Y153" s="273"/>
      <c r="Z153" s="273"/>
      <c r="AA153" s="752"/>
    </row>
    <row r="154" spans="2:27" ht="15" hidden="1" customHeight="1" outlineLevel="2" thickBot="1" x14ac:dyDescent="0.45">
      <c r="B154" s="762"/>
      <c r="C154" s="5"/>
      <c r="D154" s="3788"/>
      <c r="E154" s="583" t="s">
        <v>1246</v>
      </c>
      <c r="F154" s="583" t="s">
        <v>3</v>
      </c>
      <c r="G154" s="585">
        <f t="shared" si="13"/>
        <v>0.38</v>
      </c>
      <c r="H154" s="574">
        <f t="shared" si="11"/>
        <v>264.07045237508032</v>
      </c>
      <c r="I154" s="583"/>
      <c r="J154" s="585" t="str">
        <f>IF($F154="operation",VLOOKUP($I154,'Generic Vertical Port Tasks'!$C$4:$D$189,2,FALSE),"N/A")</f>
        <v>N/A</v>
      </c>
      <c r="K154" s="583"/>
      <c r="L154" s="583"/>
      <c r="M154" s="583"/>
      <c r="N154" s="588" t="str">
        <f>IFERROR(INDEX('Upper Cask Movement &amp; Logistics'!$I$24:$O$30,MATCH($J154,'Upper Cask Movement &amp; Logistics'!$H$24:$H$30,0),MATCH($K154,'Upper Cask Movement &amp; Logistics'!$H$24:$H$30,0)),"N/A")</f>
        <v>N/A</v>
      </c>
      <c r="O154" s="588" t="str">
        <f>IFERROR(VLOOKUP($I154,'Upper Cask Movement &amp; Logistics'!$H$4:$I$8,2,FALSE),"N/A")</f>
        <v>N/A</v>
      </c>
      <c r="P154" s="585" t="str">
        <f>IF(F154="Movement",IFERROR((N154/O154)/(60*60),"Error"),"N/A")</f>
        <v>N/A</v>
      </c>
      <c r="Q154" s="1285" t="s">
        <v>1230</v>
      </c>
      <c r="R154" s="585">
        <f>IF($F154="Logistics",VLOOKUP($Q154,'Upper Cask Movement &amp; Logistics'!$C$4:$D$209,2,FALSE),"N/A")</f>
        <v>0.38</v>
      </c>
      <c r="S154" s="1286"/>
      <c r="T154" s="585" t="str">
        <f>IFERROR(VLOOKUP($S154,'Upper Cask Recovery Logistics'!$C$29:$F$203,4,FALSE),"N/A")</f>
        <v>N/A</v>
      </c>
      <c r="U154" s="1287" t="str">
        <f t="shared" si="12"/>
        <v>N/A</v>
      </c>
      <c r="V154" s="1510"/>
      <c r="X154" s="273"/>
      <c r="Y154" s="273"/>
      <c r="Z154" s="273"/>
      <c r="AA154" s="752"/>
    </row>
    <row r="155" spans="2:27" ht="15" hidden="1" customHeight="1" outlineLevel="2" x14ac:dyDescent="0.4">
      <c r="B155" s="762"/>
      <c r="C155" s="5"/>
      <c r="D155" s="3992" t="s">
        <v>120</v>
      </c>
      <c r="E155" s="596" t="s">
        <v>1305</v>
      </c>
      <c r="F155" s="596" t="s">
        <v>3</v>
      </c>
      <c r="G155" s="593">
        <f t="shared" si="13"/>
        <v>0.60000000000000009</v>
      </c>
      <c r="H155" s="602">
        <f t="shared" si="11"/>
        <v>264.67045237508034</v>
      </c>
      <c r="I155" s="596"/>
      <c r="J155" s="593" t="str">
        <f>IF($F155="operation",VLOOKUP($I155,'Generic Vertical Port Tasks'!$C$4:$D$189,2,FALSE),"N/A")</f>
        <v>N/A</v>
      </c>
      <c r="K155" s="596"/>
      <c r="L155" s="596"/>
      <c r="M155" s="596"/>
      <c r="N155" s="597" t="str">
        <f>IFERROR(INDEX('Upper Cask Movement &amp; Logistics'!$I$24:$O$30,MATCH($J155,'Upper Cask Movement &amp; Logistics'!$H$24:$H$30,0),MATCH($K155,'Upper Cask Movement &amp; Logistics'!$H$24:$H$30,0)),"N/A")</f>
        <v>N/A</v>
      </c>
      <c r="O155" s="597" t="str">
        <f>IFERROR(VLOOKUP($I155,'Upper Cask Movement &amp; Logistics'!$H$4:$I$8,2,FALSE),"N/A")</f>
        <v>N/A</v>
      </c>
      <c r="P155" s="593" t="str">
        <f t="shared" si="10"/>
        <v>N/A</v>
      </c>
      <c r="Q155" s="1253" t="s">
        <v>1279</v>
      </c>
      <c r="R155" s="593">
        <f>IF($F155="Logistics",VLOOKUP($Q155,'Upper Cask Movement &amp; Logistics'!$C$4:$D$209,2,FALSE),"N/A")</f>
        <v>0.60000000000000009</v>
      </c>
      <c r="S155" s="1254" t="s">
        <v>1417</v>
      </c>
      <c r="T155" s="593">
        <f>IFERROR(VLOOKUP($S155,'Upper Cask Recovery Logistics'!$C$29:$F$203,4,FALSE),"N/A")</f>
        <v>235.62364574913278</v>
      </c>
      <c r="U155" s="1255">
        <f>IFERROR(H154-T155,"N/A")</f>
        <v>28.446806625947545</v>
      </c>
      <c r="V155" s="1510"/>
      <c r="X155" s="273"/>
      <c r="Y155" s="273"/>
      <c r="Z155" s="273"/>
      <c r="AA155" s="752"/>
    </row>
    <row r="156" spans="2:27" ht="15" hidden="1" customHeight="1" outlineLevel="2" x14ac:dyDescent="0.4">
      <c r="B156" s="762"/>
      <c r="C156" s="5"/>
      <c r="D156" s="3993"/>
      <c r="E156" s="601" t="s">
        <v>1517</v>
      </c>
      <c r="F156" s="601" t="s">
        <v>3</v>
      </c>
      <c r="G156" s="602">
        <f t="shared" si="13"/>
        <v>0.38</v>
      </c>
      <c r="H156" s="602">
        <f t="shared" si="11"/>
        <v>265.05045237508034</v>
      </c>
      <c r="I156" s="601"/>
      <c r="J156" s="602" t="str">
        <f>IF($F156="operation",VLOOKUP($I156,'Generic Vertical Port Tasks'!$C$4:$D$189,2,FALSE),"N/A")</f>
        <v>N/A</v>
      </c>
      <c r="K156" s="601"/>
      <c r="L156" s="601"/>
      <c r="M156" s="601"/>
      <c r="N156" s="605" t="str">
        <f>IFERROR(INDEX('Upper Cask Movement &amp; Logistics'!$I$24:$O$30,MATCH($J156,'Upper Cask Movement &amp; Logistics'!$H$24:$H$30,0),MATCH($K156,'Upper Cask Movement &amp; Logistics'!$H$24:$H$30,0)),"N/A")</f>
        <v>N/A</v>
      </c>
      <c r="O156" s="605" t="str">
        <f>IFERROR(VLOOKUP($I156,'Upper Cask Movement &amp; Logistics'!$H$4:$I$8,2,FALSE),"N/A")</f>
        <v>N/A</v>
      </c>
      <c r="P156" s="602" t="str">
        <f t="shared" si="10"/>
        <v>N/A</v>
      </c>
      <c r="Q156" s="1288" t="s">
        <v>1226</v>
      </c>
      <c r="R156" s="602">
        <f>IF($F156="Logistics",VLOOKUP($Q156,'Upper Cask Movement &amp; Logistics'!$C$4:$D$209,2,FALSE),"N/A")</f>
        <v>0.38</v>
      </c>
      <c r="S156" s="1235"/>
      <c r="T156" s="602" t="str">
        <f>IFERROR(VLOOKUP($S156,'Upper Cask Recovery Logistics'!$C$29:$F$203,4,FALSE),"N/A")</f>
        <v>N/A</v>
      </c>
      <c r="U156" s="1236" t="str">
        <f t="shared" ref="U156:U171" si="14">IFERROR(H155-T156,"N/A")</f>
        <v>N/A</v>
      </c>
      <c r="V156" s="1510"/>
      <c r="X156" s="273"/>
      <c r="Y156" s="273"/>
      <c r="Z156" s="273"/>
      <c r="AA156" s="752"/>
    </row>
    <row r="157" spans="2:27" ht="15" hidden="1" customHeight="1" outlineLevel="2" x14ac:dyDescent="0.4">
      <c r="B157" s="762"/>
      <c r="C157" s="5"/>
      <c r="D157" s="3993"/>
      <c r="E157" s="601" t="s">
        <v>120</v>
      </c>
      <c r="F157" s="601" t="s">
        <v>251</v>
      </c>
      <c r="G157" s="602">
        <f t="shared" si="13"/>
        <v>4.0949999999999998</v>
      </c>
      <c r="H157" s="602">
        <f t="shared" si="11"/>
        <v>269.14545237508037</v>
      </c>
      <c r="I157" s="601" t="s">
        <v>35</v>
      </c>
      <c r="J157" s="602">
        <f>IF($F157="operation",VLOOKUP($I157,'Generic Vertical Port Tasks'!$C$4:$D$189,2,FALSE),"N/A")</f>
        <v>4.0949999999999998</v>
      </c>
      <c r="K157" s="601"/>
      <c r="L157" s="601"/>
      <c r="M157" s="601"/>
      <c r="N157" s="605" t="str">
        <f>IFERROR(INDEX('Upper Cask Movement &amp; Logistics'!$I$24:$O$30,MATCH($J157,'Upper Cask Movement &amp; Logistics'!$H$24:$H$30,0),MATCH($K157,'Upper Cask Movement &amp; Logistics'!$H$24:$H$30,0)),"N/A")</f>
        <v>N/A</v>
      </c>
      <c r="O157" s="605" t="str">
        <f>IFERROR(VLOOKUP($I157,'Upper Cask Movement &amp; Logistics'!$H$4:$I$8,2,FALSE),"N/A")</f>
        <v>N/A</v>
      </c>
      <c r="P157" s="602" t="str">
        <f t="shared" si="10"/>
        <v>N/A</v>
      </c>
      <c r="Q157" s="1234"/>
      <c r="R157" s="602" t="str">
        <f>IF($F157="Logistics",VLOOKUP($Q157,'Upper Cask Movement &amp; Logistics'!$C$4:$D$209,2,FALSE),"N/A")</f>
        <v>N/A</v>
      </c>
      <c r="S157" s="1235"/>
      <c r="T157" s="602" t="str">
        <f>IFERROR(VLOOKUP($S157,'Upper Cask Recovery Logistics'!$C$29:$F$203,4,FALSE),"N/A")</f>
        <v>N/A</v>
      </c>
      <c r="U157" s="1236" t="str">
        <f t="shared" si="14"/>
        <v>N/A</v>
      </c>
      <c r="V157" s="1510"/>
      <c r="X157" s="273"/>
      <c r="Y157" s="273"/>
      <c r="Z157" s="273"/>
      <c r="AA157" s="752"/>
    </row>
    <row r="158" spans="2:27" ht="15" hidden="1" customHeight="1" outlineLevel="2" thickBot="1" x14ac:dyDescent="0.45">
      <c r="B158" s="762"/>
      <c r="C158" s="5"/>
      <c r="D158" s="3993"/>
      <c r="E158" s="601" t="s">
        <v>1251</v>
      </c>
      <c r="F158" s="636" t="s">
        <v>3</v>
      </c>
      <c r="G158" s="602">
        <f t="shared" si="13"/>
        <v>0.38</v>
      </c>
      <c r="H158" s="602">
        <f t="shared" si="11"/>
        <v>269.52545237508036</v>
      </c>
      <c r="I158" s="601"/>
      <c r="J158" s="602" t="str">
        <f>IF($F158="operation",VLOOKUP($I158,'Generic Vertical Port Tasks'!$C$4:$D$189,2,FALSE),"N/A")</f>
        <v>N/A</v>
      </c>
      <c r="K158" s="601"/>
      <c r="L158" s="601"/>
      <c r="M158" s="601"/>
      <c r="N158" s="605" t="str">
        <f>IFERROR(INDEX('Upper Cask Movement &amp; Logistics'!$I$24:$O$30,MATCH($J158,'Upper Cask Movement &amp; Logistics'!$H$24:$H$30,0),MATCH($K158,'Upper Cask Movement &amp; Logistics'!$H$24:$H$30,0)),"N/A")</f>
        <v>N/A</v>
      </c>
      <c r="O158" s="605" t="str">
        <f>IFERROR(VLOOKUP($I158,'Upper Cask Movement &amp; Logistics'!$H$4:$I$8,2,FALSE),"N/A")</f>
        <v>N/A</v>
      </c>
      <c r="P158" s="602" t="str">
        <f t="shared" si="10"/>
        <v>N/A</v>
      </c>
      <c r="Q158" s="1234" t="s">
        <v>1230</v>
      </c>
      <c r="R158" s="602">
        <f>IF($F158="Logistics",VLOOKUP($Q158,'Upper Cask Movement &amp; Logistics'!$C$4:$D$209,2,FALSE),"N/A")</f>
        <v>0.38</v>
      </c>
      <c r="S158" s="1235"/>
      <c r="T158" s="602" t="str">
        <f>IFERROR(VLOOKUP($S158,'Upper Cask Recovery Logistics'!$C$29:$F$203,4,FALSE),"N/A")</f>
        <v>N/A</v>
      </c>
      <c r="U158" s="1236" t="str">
        <f t="shared" si="14"/>
        <v>N/A</v>
      </c>
      <c r="V158" s="1510"/>
      <c r="X158" s="273"/>
      <c r="Y158" s="273"/>
      <c r="Z158" s="273"/>
      <c r="AA158" s="752"/>
    </row>
    <row r="159" spans="2:27" ht="15" hidden="1" customHeight="1" outlineLevel="2" x14ac:dyDescent="0.4">
      <c r="B159" s="762"/>
      <c r="C159" s="5"/>
      <c r="D159" s="3995" t="s">
        <v>1095</v>
      </c>
      <c r="E159" s="617" t="s">
        <v>1299</v>
      </c>
      <c r="F159" s="617" t="s">
        <v>3</v>
      </c>
      <c r="G159" s="567">
        <f t="shared" si="13"/>
        <v>0.38</v>
      </c>
      <c r="H159" s="574">
        <f t="shared" si="11"/>
        <v>269.90545237508036</v>
      </c>
      <c r="I159" s="617"/>
      <c r="J159" s="567" t="str">
        <f>IF($F159="operation",VLOOKUP($I159,'Generic Vertical Port Tasks'!$C$4:$D$189,2,FALSE),"N/A")</f>
        <v>N/A</v>
      </c>
      <c r="K159" s="617"/>
      <c r="L159" s="617"/>
      <c r="M159" s="617"/>
      <c r="N159" s="618" t="str">
        <f>IFERROR(INDEX('Upper Cask Movement &amp; Logistics'!$I$24:$O$30,MATCH($J159,'Upper Cask Movement &amp; Logistics'!$H$24:$H$30,0),MATCH($K159,'Upper Cask Movement &amp; Logistics'!$H$24:$H$30,0)),"N/A")</f>
        <v>N/A</v>
      </c>
      <c r="O159" s="618" t="str">
        <f>IFERROR(VLOOKUP($I159,'Upper Cask Movement &amp; Logistics'!$H$4:$I$8,2,FALSE),"N/A")</f>
        <v>N/A</v>
      </c>
      <c r="P159" s="567" t="str">
        <f t="shared" si="10"/>
        <v>N/A</v>
      </c>
      <c r="Q159" s="1271" t="s">
        <v>1226</v>
      </c>
      <c r="R159" s="567">
        <f>IF($F159="Logistics",VLOOKUP($Q159,'Upper Cask Movement &amp; Logistics'!$C$4:$D$209,2,FALSE),"N/A")</f>
        <v>0.38</v>
      </c>
      <c r="S159" s="1272"/>
      <c r="T159" s="567" t="str">
        <f>IFERROR(VLOOKUP($S159,'Upper Cask Recovery Logistics'!$C$29:$F$203,4,FALSE),"N/A")</f>
        <v>N/A</v>
      </c>
      <c r="U159" s="1273" t="str">
        <f t="shared" si="14"/>
        <v>N/A</v>
      </c>
      <c r="V159" s="1510"/>
      <c r="X159" s="273"/>
      <c r="Y159" s="273"/>
      <c r="Z159" s="273"/>
      <c r="AA159" s="752"/>
    </row>
    <row r="160" spans="2:27" ht="15" hidden="1" customHeight="1" outlineLevel="2" x14ac:dyDescent="0.4">
      <c r="B160" s="762"/>
      <c r="C160" s="5"/>
      <c r="D160" s="3996"/>
      <c r="E160" s="572" t="s">
        <v>126</v>
      </c>
      <c r="F160" s="572" t="s">
        <v>251</v>
      </c>
      <c r="G160" s="574">
        <f t="shared" si="13"/>
        <v>24.022732551873563</v>
      </c>
      <c r="H160" s="574">
        <f t="shared" si="11"/>
        <v>293.92818492695392</v>
      </c>
      <c r="I160" s="572" t="s">
        <v>2492</v>
      </c>
      <c r="J160" s="574">
        <f>IF($F160="operation",VLOOKUP($I160,'Generic Vertical Port Tasks'!$C$4:$D$189,2,FALSE),"N/A")</f>
        <v>24.022732551873563</v>
      </c>
      <c r="K160" s="572"/>
      <c r="L160" s="572"/>
      <c r="M160" s="572"/>
      <c r="N160" s="577" t="str">
        <f>IFERROR(INDEX('Upper Cask Movement &amp; Logistics'!$I$24:$O$30,MATCH($J160,'Upper Cask Movement &amp; Logistics'!$H$24:$H$30,0),MATCH($K160,'Upper Cask Movement &amp; Logistics'!$H$24:$H$30,0)),"N/A")</f>
        <v>N/A</v>
      </c>
      <c r="O160" s="577" t="str">
        <f>IFERROR(VLOOKUP($I160,'Upper Cask Movement &amp; Logistics'!$H$4:$I$8,2,FALSE),"N/A")</f>
        <v>N/A</v>
      </c>
      <c r="P160" s="574" t="str">
        <f t="shared" si="10"/>
        <v>N/A</v>
      </c>
      <c r="Q160" s="1282"/>
      <c r="R160" s="574" t="str">
        <f>IF($F160="Logistics",VLOOKUP($Q160,'Upper Cask Movement &amp; Logistics'!$C$4:$D$209,2,FALSE),"N/A")</f>
        <v>N/A</v>
      </c>
      <c r="S160" s="1283"/>
      <c r="T160" s="574" t="str">
        <f>IFERROR(VLOOKUP($S160,'Upper Cask Recovery Logistics'!$C$29:$F$203,4,FALSE),"N/A")</f>
        <v>N/A</v>
      </c>
      <c r="U160" s="1284" t="str">
        <f t="shared" si="14"/>
        <v>N/A</v>
      </c>
      <c r="V160" s="1510"/>
      <c r="X160" s="273"/>
      <c r="Y160" s="273"/>
      <c r="Z160" s="273"/>
      <c r="AA160" s="752"/>
    </row>
    <row r="161" spans="1:27" ht="15" hidden="1" customHeight="1" outlineLevel="2" x14ac:dyDescent="0.4">
      <c r="B161" s="762"/>
      <c r="C161" s="5"/>
      <c r="D161" s="3996"/>
      <c r="E161" s="572" t="s">
        <v>1248</v>
      </c>
      <c r="F161" s="572" t="s">
        <v>3</v>
      </c>
      <c r="G161" s="574">
        <f t="shared" si="13"/>
        <v>0.38</v>
      </c>
      <c r="H161" s="574">
        <f t="shared" si="11"/>
        <v>294.30818492695391</v>
      </c>
      <c r="I161" s="572"/>
      <c r="J161" s="574" t="str">
        <f>IF($F161="operation",VLOOKUP($I161,'Generic Vertical Port Tasks'!$C$4:$D$189,2,FALSE),"N/A")</f>
        <v>N/A</v>
      </c>
      <c r="K161" s="572"/>
      <c r="L161" s="572"/>
      <c r="M161" s="572"/>
      <c r="N161" s="577" t="str">
        <f>IFERROR(INDEX('Upper Cask Movement &amp; Logistics'!$I$24:$O$30,MATCH($J161,'Upper Cask Movement &amp; Logistics'!$H$24:$H$30,0),MATCH($K161,'Upper Cask Movement &amp; Logistics'!$H$24:$H$30,0)),"N/A")</f>
        <v>N/A</v>
      </c>
      <c r="O161" s="577" t="str">
        <f>IFERROR(VLOOKUP($I161,'Upper Cask Movement &amp; Logistics'!$H$4:$I$8,2,FALSE),"N/A")</f>
        <v>N/A</v>
      </c>
      <c r="P161" s="574" t="str">
        <f t="shared" si="10"/>
        <v>N/A</v>
      </c>
      <c r="Q161" s="1282" t="s">
        <v>1230</v>
      </c>
      <c r="R161" s="574">
        <f>IF($F161="Logistics",VLOOKUP($Q161,'Upper Cask Movement &amp; Logistics'!$C$4:$D$209,2,FALSE),"N/A")</f>
        <v>0.38</v>
      </c>
      <c r="S161" s="1283" t="s">
        <v>1096</v>
      </c>
      <c r="T161" s="574" t="str">
        <f>IFERROR(VLOOKUP($S161,'Upper Cask Recovery Logistics'!$C$29:$F$203,4,FALSE),"N/A")</f>
        <v>N/A</v>
      </c>
      <c r="U161" s="1284" t="str">
        <f t="shared" si="14"/>
        <v>N/A</v>
      </c>
      <c r="V161" s="1510"/>
      <c r="X161" s="273"/>
      <c r="Y161" s="273"/>
      <c r="Z161" s="273"/>
      <c r="AA161" s="752"/>
    </row>
    <row r="162" spans="1:27" ht="15" hidden="1" customHeight="1" outlineLevel="2" x14ac:dyDescent="0.4">
      <c r="B162" s="762"/>
      <c r="C162" s="5"/>
      <c r="D162" s="3996"/>
      <c r="E162" s="572" t="s">
        <v>1252</v>
      </c>
      <c r="F162" s="572" t="s">
        <v>3</v>
      </c>
      <c r="G162" s="574">
        <f t="shared" si="13"/>
        <v>0.38</v>
      </c>
      <c r="H162" s="574">
        <f t="shared" si="11"/>
        <v>294.68818492695391</v>
      </c>
      <c r="I162" s="572"/>
      <c r="J162" s="574" t="str">
        <f>IF($F162="operation",VLOOKUP($I162,'Generic Vertical Port Tasks'!$C$4:$D$189,2,FALSE),"N/A")</f>
        <v>N/A</v>
      </c>
      <c r="K162" s="572"/>
      <c r="L162" s="572"/>
      <c r="M162" s="572"/>
      <c r="N162" s="577" t="str">
        <f>IFERROR(INDEX('Upper Cask Movement &amp; Logistics'!$I$24:$O$30,MATCH($J162,'Upper Cask Movement &amp; Logistics'!$H$24:$H$30,0),MATCH($K162,'Upper Cask Movement &amp; Logistics'!$H$24:$H$30,0)),"N/A")</f>
        <v>N/A</v>
      </c>
      <c r="O162" s="577" t="str">
        <f>IFERROR(VLOOKUP($I162,'Upper Cask Movement &amp; Logistics'!$H$4:$I$8,2,FALSE),"N/A")</f>
        <v>N/A</v>
      </c>
      <c r="P162" s="574" t="str">
        <f t="shared" si="10"/>
        <v>N/A</v>
      </c>
      <c r="Q162" s="1282" t="s">
        <v>1226</v>
      </c>
      <c r="R162" s="574">
        <f>IF($F162="Logistics",VLOOKUP($Q162,'Upper Cask Movement &amp; Logistics'!$C$4:$D$209,2,FALSE),"N/A")</f>
        <v>0.38</v>
      </c>
      <c r="S162" s="1283"/>
      <c r="T162" s="574" t="str">
        <f>IFERROR(VLOOKUP($S162,'Upper Cask Recovery Logistics'!$C$29:$F$203,4,FALSE),"N/A")</f>
        <v>N/A</v>
      </c>
      <c r="U162" s="1284" t="str">
        <f t="shared" si="14"/>
        <v>N/A</v>
      </c>
      <c r="V162" s="1510"/>
      <c r="X162" s="273"/>
      <c r="Y162" s="273"/>
      <c r="Z162" s="273"/>
      <c r="AA162" s="752"/>
    </row>
    <row r="163" spans="1:27" ht="15" hidden="1" customHeight="1" outlineLevel="2" x14ac:dyDescent="0.4">
      <c r="B163" s="762"/>
      <c r="C163" s="5"/>
      <c r="D163" s="3996"/>
      <c r="E163" s="572" t="s">
        <v>41</v>
      </c>
      <c r="F163" s="572" t="s">
        <v>251</v>
      </c>
      <c r="G163" s="574">
        <f t="shared" si="13"/>
        <v>7.83</v>
      </c>
      <c r="H163" s="574">
        <f t="shared" si="11"/>
        <v>302.51818492695389</v>
      </c>
      <c r="I163" s="572" t="s">
        <v>257</v>
      </c>
      <c r="J163" s="574">
        <f>IF($F163="operation",VLOOKUP($I163,'Generic Vertical Port Tasks'!$C$4:$D$189,2,FALSE),"N/A")</f>
        <v>7.83</v>
      </c>
      <c r="K163" s="572"/>
      <c r="L163" s="572"/>
      <c r="M163" s="572"/>
      <c r="N163" s="577" t="str">
        <f>IFERROR(INDEX('Upper Cask Movement &amp; Logistics'!$I$24:$O$30,MATCH($J163,'Upper Cask Movement &amp; Logistics'!$H$24:$H$30,0),MATCH($K163,'Upper Cask Movement &amp; Logistics'!$H$24:$H$30,0)),"N/A")</f>
        <v>N/A</v>
      </c>
      <c r="O163" s="577" t="str">
        <f>IFERROR(VLOOKUP($I163,'Upper Cask Movement &amp; Logistics'!$H$4:$I$8,2,FALSE),"N/A")</f>
        <v>N/A</v>
      </c>
      <c r="P163" s="574" t="str">
        <f t="shared" si="10"/>
        <v>N/A</v>
      </c>
      <c r="Q163" s="1282"/>
      <c r="R163" s="574" t="str">
        <f>IF($F163="Logistics",VLOOKUP($Q163,'Upper Cask Movement &amp; Logistics'!$C$4:$D$209,2,FALSE),"N/A")</f>
        <v>N/A</v>
      </c>
      <c r="S163" s="1283"/>
      <c r="T163" s="574" t="str">
        <f>IFERROR(VLOOKUP($S163,'Upper Cask Recovery Logistics'!$C$29:$F$203,4,FALSE),"N/A")</f>
        <v>N/A</v>
      </c>
      <c r="U163" s="1284" t="str">
        <f t="shared" si="14"/>
        <v>N/A</v>
      </c>
      <c r="V163" s="1510"/>
      <c r="X163" s="273"/>
      <c r="Y163" s="273"/>
      <c r="Z163" s="273"/>
      <c r="AA163" s="752"/>
    </row>
    <row r="164" spans="1:27" ht="15" hidden="1" customHeight="1" outlineLevel="2" thickBot="1" x14ac:dyDescent="0.45">
      <c r="B164" s="762"/>
      <c r="C164" s="5"/>
      <c r="D164" s="3997"/>
      <c r="E164" s="583" t="s">
        <v>1246</v>
      </c>
      <c r="F164" s="583" t="s">
        <v>3</v>
      </c>
      <c r="G164" s="585">
        <f t="shared" si="13"/>
        <v>0.38</v>
      </c>
      <c r="H164" s="574">
        <f t="shared" si="11"/>
        <v>302.89818492695389</v>
      </c>
      <c r="I164" s="583"/>
      <c r="J164" s="585" t="str">
        <f>IF($F164="operation",VLOOKUP($I164,'Generic Vertical Port Tasks'!$C$4:$D$189,2,FALSE),"N/A")</f>
        <v>N/A</v>
      </c>
      <c r="K164" s="583"/>
      <c r="L164" s="583"/>
      <c r="M164" s="583"/>
      <c r="N164" s="588" t="str">
        <f>IFERROR(INDEX('Upper Cask Movement &amp; Logistics'!$I$24:$O$30,MATCH($J164,'Upper Cask Movement &amp; Logistics'!$H$24:$H$30,0),MATCH($K164,'Upper Cask Movement &amp; Logistics'!$H$24:$H$30,0)),"N/A")</f>
        <v>N/A</v>
      </c>
      <c r="O164" s="588" t="str">
        <f>IFERROR(VLOOKUP($I164,'Upper Cask Movement &amp; Logistics'!$H$4:$I$8,2,FALSE),"N/A")</f>
        <v>N/A</v>
      </c>
      <c r="P164" s="585" t="str">
        <f t="shared" si="10"/>
        <v>N/A</v>
      </c>
      <c r="Q164" s="1285" t="s">
        <v>1230</v>
      </c>
      <c r="R164" s="585">
        <f>IF($F164="Logistics",VLOOKUP($Q164,'Upper Cask Movement &amp; Logistics'!$C$4:$D$209,2,FALSE),"N/A")</f>
        <v>0.38</v>
      </c>
      <c r="S164" s="1286"/>
      <c r="T164" s="585" t="str">
        <f>IFERROR(VLOOKUP($S164,'Upper Cask Recovery Logistics'!$C$29:$F$203,4,FALSE),"N/A")</f>
        <v>N/A</v>
      </c>
      <c r="U164" s="1287" t="str">
        <f t="shared" si="14"/>
        <v>N/A</v>
      </c>
      <c r="V164" s="1510"/>
      <c r="X164" s="273"/>
      <c r="Y164" s="273"/>
      <c r="Z164" s="273"/>
      <c r="AA164" s="752"/>
    </row>
    <row r="165" spans="1:27" ht="15" hidden="1" customHeight="1" outlineLevel="2" x14ac:dyDescent="0.4">
      <c r="B165" s="762"/>
      <c r="C165" s="5"/>
      <c r="D165" s="3992" t="s">
        <v>121</v>
      </c>
      <c r="E165" s="596" t="s">
        <v>1307</v>
      </c>
      <c r="F165" s="596" t="s">
        <v>3</v>
      </c>
      <c r="G165" s="593">
        <f t="shared" si="13"/>
        <v>0.60000000000000009</v>
      </c>
      <c r="H165" s="602">
        <f t="shared" si="11"/>
        <v>303.49818492695391</v>
      </c>
      <c r="I165" s="596"/>
      <c r="J165" s="593" t="str">
        <f>IF($F165="operation",VLOOKUP($I165,'Generic Vertical Port Tasks'!$C$4:$D$189,2,FALSE),"N/A")</f>
        <v>N/A</v>
      </c>
      <c r="K165" s="596"/>
      <c r="L165" s="596"/>
      <c r="M165" s="596"/>
      <c r="N165" s="597" t="str">
        <f>IFERROR(INDEX('Upper Cask Movement &amp; Logistics'!$I$24:$O$30,MATCH($J165,'Upper Cask Movement &amp; Logistics'!$H$24:$H$30,0),MATCH($K165,'Upper Cask Movement &amp; Logistics'!$H$24:$H$30,0)),"N/A")</f>
        <v>N/A</v>
      </c>
      <c r="O165" s="597" t="str">
        <f>IFERROR(VLOOKUP($I165,'Upper Cask Movement &amp; Logistics'!$H$4:$I$8,2,FALSE),"N/A")</f>
        <v>N/A</v>
      </c>
      <c r="P165" s="593" t="str">
        <f t="shared" si="10"/>
        <v>N/A</v>
      </c>
      <c r="Q165" s="1253" t="s">
        <v>1279</v>
      </c>
      <c r="R165" s="593">
        <f>IF($F165="Logistics",VLOOKUP($Q165,'Upper Cask Movement &amp; Logistics'!$C$4:$D$209,2,FALSE),"N/A")</f>
        <v>0.60000000000000009</v>
      </c>
      <c r="S165" s="1254" t="s">
        <v>1418</v>
      </c>
      <c r="T165" s="593">
        <f>IFERROR(VLOOKUP($S165,'Upper Cask Recovery Logistics'!$C$29:$F$203,4,FALSE),"N/A")</f>
        <v>274.45137830100629</v>
      </c>
      <c r="U165" s="1255">
        <f t="shared" si="14"/>
        <v>28.446806625947602</v>
      </c>
      <c r="V165" s="1510"/>
      <c r="X165" s="273"/>
      <c r="Y165" s="273"/>
      <c r="Z165" s="273"/>
      <c r="AA165" s="752"/>
    </row>
    <row r="166" spans="1:27" ht="15" hidden="1" customHeight="1" outlineLevel="2" x14ac:dyDescent="0.4">
      <c r="B166" s="762"/>
      <c r="C166" s="5"/>
      <c r="D166" s="3993"/>
      <c r="E166" s="601" t="s">
        <v>1517</v>
      </c>
      <c r="F166" s="601" t="s">
        <v>3</v>
      </c>
      <c r="G166" s="602">
        <f t="shared" si="13"/>
        <v>0.38</v>
      </c>
      <c r="H166" s="602">
        <f t="shared" si="11"/>
        <v>303.87818492695391</v>
      </c>
      <c r="I166" s="601"/>
      <c r="J166" s="602" t="str">
        <f>IF($F166="operation",VLOOKUP($I166,'Generic Vertical Port Tasks'!$C$4:$D$189,2,FALSE),"N/A")</f>
        <v>N/A</v>
      </c>
      <c r="K166" s="601"/>
      <c r="L166" s="601"/>
      <c r="M166" s="601"/>
      <c r="N166" s="605" t="str">
        <f>IFERROR(INDEX('Upper Cask Movement &amp; Logistics'!$I$24:$O$30,MATCH($J166,'Upper Cask Movement &amp; Logistics'!$H$24:$H$30,0),MATCH($K166,'Upper Cask Movement &amp; Logistics'!$H$24:$H$30,0)),"N/A")</f>
        <v>N/A</v>
      </c>
      <c r="O166" s="605" t="str">
        <f>IFERROR(VLOOKUP($I166,'Upper Cask Movement &amp; Logistics'!$H$4:$I$8,2,FALSE),"N/A")</f>
        <v>N/A</v>
      </c>
      <c r="P166" s="602" t="str">
        <f t="shared" si="10"/>
        <v>N/A</v>
      </c>
      <c r="Q166" s="1288" t="s">
        <v>1226</v>
      </c>
      <c r="R166" s="602">
        <f>IF($F166="Logistics",VLOOKUP($Q166,'Upper Cask Movement &amp; Logistics'!$C$4:$D$209,2,FALSE),"N/A")</f>
        <v>0.38</v>
      </c>
      <c r="S166" s="1235"/>
      <c r="T166" s="602" t="str">
        <f>IFERROR(VLOOKUP($S166,'Upper Cask Recovery Logistics'!$C$29:$F$203,4,FALSE),"N/A")</f>
        <v>N/A</v>
      </c>
      <c r="U166" s="1236" t="str">
        <f t="shared" si="14"/>
        <v>N/A</v>
      </c>
      <c r="V166" s="1510"/>
      <c r="X166" s="273"/>
      <c r="Y166" s="273"/>
      <c r="Z166" s="273"/>
      <c r="AA166" s="752"/>
    </row>
    <row r="167" spans="1:27" ht="15" hidden="1" customHeight="1" outlineLevel="2" x14ac:dyDescent="0.4">
      <c r="B167" s="762"/>
      <c r="C167" s="5"/>
      <c r="D167" s="3993"/>
      <c r="E167" s="601" t="s">
        <v>121</v>
      </c>
      <c r="F167" s="601" t="s">
        <v>251</v>
      </c>
      <c r="G167" s="602">
        <f t="shared" si="13"/>
        <v>4.0949999999999998</v>
      </c>
      <c r="H167" s="602">
        <f t="shared" si="11"/>
        <v>307.97318492695393</v>
      </c>
      <c r="I167" s="601" t="s">
        <v>35</v>
      </c>
      <c r="J167" s="602">
        <f>IF($F167="operation",VLOOKUP($I167,'Generic Vertical Port Tasks'!$C$4:$D$189,2,FALSE),"N/A")</f>
        <v>4.0949999999999998</v>
      </c>
      <c r="K167" s="601"/>
      <c r="L167" s="601"/>
      <c r="M167" s="601"/>
      <c r="N167" s="605" t="str">
        <f>IFERROR(INDEX('Upper Cask Movement &amp; Logistics'!$I$24:$O$30,MATCH($J167,'Upper Cask Movement &amp; Logistics'!$H$24:$H$30,0),MATCH($K167,'Upper Cask Movement &amp; Logistics'!$H$24:$H$30,0)),"N/A")</f>
        <v>N/A</v>
      </c>
      <c r="O167" s="605" t="str">
        <f>IFERROR(VLOOKUP($I167,'Upper Cask Movement &amp; Logistics'!$H$4:$I$8,2,FALSE),"N/A")</f>
        <v>N/A</v>
      </c>
      <c r="P167" s="602" t="str">
        <f t="shared" si="10"/>
        <v>N/A</v>
      </c>
      <c r="Q167" s="1234"/>
      <c r="R167" s="602" t="str">
        <f>IF($F167="Logistics",VLOOKUP($Q167,'Upper Cask Movement &amp; Logistics'!$C$4:$D$209,2,FALSE),"N/A")</f>
        <v>N/A</v>
      </c>
      <c r="S167" s="1235"/>
      <c r="T167" s="602" t="str">
        <f>IFERROR(VLOOKUP($S167,'Upper Cask Recovery Logistics'!$C$29:$F$203,4,FALSE),"N/A")</f>
        <v>N/A</v>
      </c>
      <c r="U167" s="1236" t="str">
        <f t="shared" si="14"/>
        <v>N/A</v>
      </c>
      <c r="V167" s="1510"/>
      <c r="X167" s="273"/>
      <c r="Y167" s="273"/>
      <c r="Z167" s="273"/>
      <c r="AA167" s="752"/>
    </row>
    <row r="168" spans="1:27" ht="15" hidden="1" customHeight="1" outlineLevel="2" thickBot="1" x14ac:dyDescent="0.45">
      <c r="B168" s="762"/>
      <c r="C168" s="5"/>
      <c r="D168" s="3999"/>
      <c r="E168" s="645" t="s">
        <v>1251</v>
      </c>
      <c r="F168" s="622" t="s">
        <v>3</v>
      </c>
      <c r="G168" s="1268">
        <f t="shared" si="13"/>
        <v>0.38</v>
      </c>
      <c r="H168" s="1268">
        <f t="shared" si="11"/>
        <v>308.35318492695393</v>
      </c>
      <c r="I168" s="645"/>
      <c r="J168" s="1268" t="str">
        <f>IF($F168="operation",VLOOKUP($I168,'Generic Vertical Port Tasks'!$C$4:$D$189,2,FALSE),"N/A")</f>
        <v>N/A</v>
      </c>
      <c r="K168" s="645"/>
      <c r="L168" s="645"/>
      <c r="M168" s="645"/>
      <c r="N168" s="1251" t="str">
        <f>IFERROR(INDEX('Upper Cask Movement &amp; Logistics'!$I$24:$O$30,MATCH($J168,'Upper Cask Movement &amp; Logistics'!$H$24:$H$30,0),MATCH($K168,'Upper Cask Movement &amp; Logistics'!$H$24:$H$30,0)),"N/A")</f>
        <v>N/A</v>
      </c>
      <c r="O168" s="1251" t="str">
        <f>IFERROR(VLOOKUP($I168,'Upper Cask Movement &amp; Logistics'!$H$4:$I$8,2,FALSE),"N/A")</f>
        <v>N/A</v>
      </c>
      <c r="P168" s="1268" t="str">
        <f t="shared" si="10"/>
        <v>N/A</v>
      </c>
      <c r="Q168" s="1290" t="s">
        <v>1230</v>
      </c>
      <c r="R168" s="1268">
        <f>IF($F168="Logistics",VLOOKUP($Q168,'Upper Cask Movement &amp; Logistics'!$C$4:$D$209,2,FALSE),"N/A")</f>
        <v>0.38</v>
      </c>
      <c r="S168" s="1289"/>
      <c r="T168" s="1268" t="str">
        <f>IFERROR(VLOOKUP($S168,'Upper Cask Recovery Logistics'!$C$29:$F$203,4,FALSE),"N/A")</f>
        <v>N/A</v>
      </c>
      <c r="U168" s="1269" t="str">
        <f t="shared" si="14"/>
        <v>N/A</v>
      </c>
      <c r="V168" s="1510"/>
      <c r="X168" s="273"/>
      <c r="Y168" s="273"/>
      <c r="Z168" s="273"/>
      <c r="AA168" s="752"/>
    </row>
    <row r="169" spans="1:27" ht="15" hidden="1" customHeight="1" outlineLevel="2" x14ac:dyDescent="0.4">
      <c r="B169" s="762"/>
      <c r="C169" s="5"/>
      <c r="D169" s="3995" t="s">
        <v>1098</v>
      </c>
      <c r="E169" s="617" t="s">
        <v>1299</v>
      </c>
      <c r="F169" s="617" t="s">
        <v>3</v>
      </c>
      <c r="G169" s="567">
        <f t="shared" si="13"/>
        <v>0.38</v>
      </c>
      <c r="H169" s="567">
        <f t="shared" si="11"/>
        <v>308.73318492695392</v>
      </c>
      <c r="I169" s="617"/>
      <c r="J169" s="567" t="str">
        <f>IF($F169="operation",VLOOKUP($I169,'Generic Vertical Port Tasks'!$C$4:$D$189,2,FALSE),"N/A")</f>
        <v>N/A</v>
      </c>
      <c r="K169" s="617"/>
      <c r="L169" s="617"/>
      <c r="M169" s="617"/>
      <c r="N169" s="618" t="str">
        <f>IFERROR(INDEX('Upper Cask Movement &amp; Logistics'!$I$24:$O$30,MATCH($J169,'Upper Cask Movement &amp; Logistics'!$H$24:$H$30,0),MATCH($K169,'Upper Cask Movement &amp; Logistics'!$H$24:$H$30,0)),"N/A")</f>
        <v>N/A</v>
      </c>
      <c r="O169" s="618" t="str">
        <f>IFERROR(VLOOKUP($I169,'Upper Cask Movement &amp; Logistics'!$H$4:$I$8,2,FALSE),"N/A")</f>
        <v>N/A</v>
      </c>
      <c r="P169" s="567" t="str">
        <f>IF(F169="Movement",IFERROR((N169/O169)/(60*60),"Error"),"N/A")</f>
        <v>N/A</v>
      </c>
      <c r="Q169" s="1271" t="s">
        <v>1226</v>
      </c>
      <c r="R169" s="567">
        <f>IF($F169="Logistics",VLOOKUP($Q169,'Upper Cask Movement &amp; Logistics'!$C$4:$D$209,2,FALSE),"N/A")</f>
        <v>0.38</v>
      </c>
      <c r="S169" s="1272"/>
      <c r="T169" s="567" t="str">
        <f>IFERROR(VLOOKUP($S169,'Upper Cask Recovery Logistics'!$C$29:$F$203,4,FALSE),"N/A")</f>
        <v>N/A</v>
      </c>
      <c r="U169" s="1273" t="str">
        <f t="shared" si="14"/>
        <v>N/A</v>
      </c>
      <c r="V169" s="1510"/>
      <c r="X169" s="273"/>
      <c r="Y169" s="273"/>
      <c r="Z169" s="273"/>
      <c r="AA169" s="752"/>
    </row>
    <row r="170" spans="1:27" ht="15" hidden="1" customHeight="1" outlineLevel="2" x14ac:dyDescent="0.4">
      <c r="B170" s="762"/>
      <c r="C170" s="5"/>
      <c r="D170" s="3996"/>
      <c r="E170" s="572" t="s">
        <v>128</v>
      </c>
      <c r="F170" s="572" t="s">
        <v>251</v>
      </c>
      <c r="G170" s="574">
        <f t="shared" si="13"/>
        <v>24.022732551873563</v>
      </c>
      <c r="H170" s="574">
        <f t="shared" si="11"/>
        <v>332.75591747882748</v>
      </c>
      <c r="I170" s="572" t="s">
        <v>2492</v>
      </c>
      <c r="J170" s="574">
        <f>IF($F170="operation",VLOOKUP($I170,'Generic Vertical Port Tasks'!$C$4:$D$189,2,FALSE),"N/A")</f>
        <v>24.022732551873563</v>
      </c>
      <c r="K170" s="572"/>
      <c r="L170" s="572"/>
      <c r="M170" s="572"/>
      <c r="N170" s="577" t="str">
        <f>IFERROR(INDEX('Upper Cask Movement &amp; Logistics'!$I$24:$O$30,MATCH($J170,'Upper Cask Movement &amp; Logistics'!$H$24:$H$30,0),MATCH($K170,'Upper Cask Movement &amp; Logistics'!$H$24:$H$30,0)),"N/A")</f>
        <v>N/A</v>
      </c>
      <c r="O170" s="577" t="str">
        <f>IFERROR(VLOOKUP($I170,'Upper Cask Movement &amp; Logistics'!$H$4:$I$8,2,FALSE),"N/A")</f>
        <v>N/A</v>
      </c>
      <c r="P170" s="574" t="str">
        <f>IF(F170="Movement",IFERROR((N170/O170)/(60*60),"Error"),"N/A")</f>
        <v>N/A</v>
      </c>
      <c r="Q170" s="1282"/>
      <c r="R170" s="574" t="str">
        <f>IF($F170="Logistics",VLOOKUP($Q170,'Upper Cask Movement &amp; Logistics'!$C$4:$D$209,2,FALSE),"N/A")</f>
        <v>N/A</v>
      </c>
      <c r="S170" s="1283"/>
      <c r="T170" s="574" t="str">
        <f>IFERROR(VLOOKUP($S170,'Upper Cask Recovery Logistics'!$C$29:$F$203,4,FALSE),"N/A")</f>
        <v>N/A</v>
      </c>
      <c r="U170" s="1284" t="str">
        <f t="shared" si="14"/>
        <v>N/A</v>
      </c>
      <c r="V170" s="1510"/>
      <c r="X170" s="273"/>
      <c r="Y170" s="273"/>
      <c r="Z170" s="273"/>
      <c r="AA170" s="752"/>
    </row>
    <row r="171" spans="1:27" ht="15" hidden="1" customHeight="1" outlineLevel="2" thickBot="1" x14ac:dyDescent="0.45">
      <c r="B171" s="762"/>
      <c r="C171" s="5"/>
      <c r="D171" s="3997"/>
      <c r="E171" s="583" t="s">
        <v>1248</v>
      </c>
      <c r="F171" s="583" t="s">
        <v>3</v>
      </c>
      <c r="G171" s="585">
        <f t="shared" si="13"/>
        <v>0.38</v>
      </c>
      <c r="H171" s="585">
        <f t="shared" si="11"/>
        <v>333.13591747882748</v>
      </c>
      <c r="I171" s="583"/>
      <c r="J171" s="585" t="str">
        <f>IF($F171="operation",VLOOKUP($I171,'Generic Vertical Port Tasks'!$C$4:$D$189,2,FALSE),"N/A")</f>
        <v>N/A</v>
      </c>
      <c r="K171" s="583"/>
      <c r="L171" s="583"/>
      <c r="M171" s="583"/>
      <c r="N171" s="588" t="str">
        <f>IFERROR(INDEX('Upper Cask Movement &amp; Logistics'!$I$24:$O$30,MATCH($J171,'Upper Cask Movement &amp; Logistics'!$H$24:$H$30,0),MATCH($K171,'Upper Cask Movement &amp; Logistics'!$H$24:$H$30,0)),"N/A")</f>
        <v>N/A</v>
      </c>
      <c r="O171" s="588" t="str">
        <f>IFERROR(VLOOKUP($I171,'Upper Cask Movement &amp; Logistics'!$H$4:$I$8,2,FALSE),"N/A")</f>
        <v>N/A</v>
      </c>
      <c r="P171" s="585" t="str">
        <f>IF(F171="Movement",IFERROR((N171/O171)/(60*60),"Error"),"N/A")</f>
        <v>N/A</v>
      </c>
      <c r="Q171" s="1285" t="s">
        <v>1230</v>
      </c>
      <c r="R171" s="585">
        <f>IF($F171="Logistics",VLOOKUP($Q171,'Upper Cask Movement &amp; Logistics'!$C$4:$D$209,2,FALSE),"N/A")</f>
        <v>0.38</v>
      </c>
      <c r="S171" s="1286" t="s">
        <v>1099</v>
      </c>
      <c r="T171" s="585" t="str">
        <f>IFERROR(VLOOKUP($S171,'Upper Cask Recovery Logistics'!$C$29:$F$126,4,FALSE),"N/A")</f>
        <v>N/A</v>
      </c>
      <c r="U171" s="1287" t="str">
        <f t="shared" si="14"/>
        <v>N/A</v>
      </c>
      <c r="V171" s="1510"/>
      <c r="X171" s="273"/>
      <c r="Y171" s="273"/>
      <c r="Z171" s="273"/>
      <c r="AA171" s="752"/>
    </row>
    <row r="172" spans="1:27" hidden="1" outlineLevel="1" collapsed="1" x14ac:dyDescent="0.4">
      <c r="B172" s="762"/>
      <c r="C172" s="5"/>
      <c r="D172" s="891"/>
      <c r="E172" s="892"/>
      <c r="F172" s="1439" t="s">
        <v>11</v>
      </c>
      <c r="G172" s="1439"/>
      <c r="H172" s="894">
        <f>H171</f>
        <v>333.13591747882748</v>
      </c>
      <c r="I172" s="94"/>
      <c r="J172" s="895"/>
      <c r="K172" s="94"/>
      <c r="L172" s="94"/>
      <c r="M172" s="896"/>
      <c r="N172" s="897"/>
      <c r="O172" s="897"/>
      <c r="P172" s="894"/>
      <c r="Q172" s="94"/>
      <c r="R172" s="897"/>
      <c r="S172" s="94"/>
      <c r="T172" s="273"/>
      <c r="U172" s="895">
        <f>-SUMIF(U46:U171,"&lt;0")</f>
        <v>31.102677060875923</v>
      </c>
      <c r="V172" s="895"/>
      <c r="W172" s="895"/>
      <c r="X172" s="273"/>
      <c r="Y172" s="273"/>
      <c r="Z172" s="273"/>
      <c r="AA172" s="752"/>
    </row>
    <row r="173" spans="1:27" hidden="1" outlineLevel="1" x14ac:dyDescent="0.4">
      <c r="B173" s="762"/>
      <c r="C173" s="5"/>
      <c r="D173" s="891"/>
      <c r="E173" s="892"/>
      <c r="F173" s="898"/>
      <c r="G173" s="894"/>
      <c r="H173" s="894"/>
      <c r="I173" s="94"/>
      <c r="J173" s="895"/>
      <c r="K173" s="94"/>
      <c r="L173" s="94"/>
      <c r="M173" s="896"/>
      <c r="N173" s="897"/>
      <c r="O173" s="897"/>
      <c r="P173" s="894"/>
      <c r="Q173" s="94"/>
      <c r="R173" s="897"/>
      <c r="S173" s="94"/>
      <c r="T173" s="273"/>
      <c r="U173" s="895"/>
      <c r="V173" s="895"/>
      <c r="W173" s="895"/>
      <c r="X173" s="273"/>
      <c r="Y173" s="273"/>
      <c r="Z173" s="273"/>
      <c r="AA173" s="752"/>
    </row>
    <row r="174" spans="1:27" collapsed="1" x14ac:dyDescent="0.4">
      <c r="B174" s="899"/>
      <c r="C174" s="900"/>
      <c r="D174" s="900"/>
      <c r="E174" s="900"/>
      <c r="F174" s="901"/>
      <c r="G174" s="900"/>
      <c r="H174" s="900"/>
      <c r="I174" s="902"/>
      <c r="J174" s="903"/>
      <c r="K174" s="900"/>
      <c r="L174" s="900"/>
      <c r="M174" s="904"/>
      <c r="N174" s="900"/>
      <c r="O174" s="900"/>
      <c r="P174" s="900"/>
      <c r="Q174" s="900"/>
      <c r="R174" s="900"/>
      <c r="S174" s="902"/>
      <c r="T174" s="903"/>
      <c r="U174" s="900"/>
      <c r="V174" s="900"/>
      <c r="W174" s="900"/>
      <c r="X174" s="903"/>
      <c r="Y174" s="903"/>
      <c r="Z174" s="903"/>
      <c r="AA174" s="905"/>
    </row>
    <row r="175" spans="1:27" x14ac:dyDescent="0.4">
      <c r="A175" s="7"/>
      <c r="B175" s="5"/>
      <c r="C175" s="5"/>
      <c r="D175" s="5"/>
      <c r="E175" s="5"/>
      <c r="F175" s="771"/>
      <c r="G175" s="5"/>
      <c r="H175" s="5"/>
      <c r="I175" s="90"/>
      <c r="J175" s="273"/>
      <c r="K175" s="5"/>
      <c r="L175" s="5"/>
      <c r="M175" s="906"/>
      <c r="N175" s="5"/>
      <c r="O175" s="5"/>
      <c r="P175" s="5"/>
      <c r="Q175" s="5"/>
      <c r="R175" s="5"/>
      <c r="S175" s="90"/>
      <c r="T175" s="273"/>
      <c r="U175" s="5"/>
      <c r="V175" s="5"/>
      <c r="W175" s="5"/>
      <c r="X175" s="273"/>
      <c r="Y175" s="273"/>
      <c r="Z175" s="273"/>
      <c r="AA175" s="907"/>
    </row>
    <row r="176" spans="1:27" ht="15.45" x14ac:dyDescent="0.4">
      <c r="B176" s="908"/>
      <c r="C176" s="909"/>
      <c r="D176" s="909"/>
      <c r="E176" s="910" t="s">
        <v>2515</v>
      </c>
      <c r="F176" s="911"/>
      <c r="G176" s="911"/>
      <c r="H176" s="911"/>
      <c r="I176" s="911"/>
      <c r="J176" s="911"/>
      <c r="K176" s="911"/>
      <c r="L176" s="911"/>
      <c r="M176" s="911"/>
      <c r="N176" s="911"/>
      <c r="O176" s="911"/>
      <c r="P176" s="911"/>
      <c r="Q176" s="911"/>
      <c r="R176" s="911"/>
      <c r="S176" s="911"/>
      <c r="T176" s="911"/>
      <c r="U176" s="911"/>
      <c r="V176" s="911"/>
      <c r="W176" s="911"/>
      <c r="X176" s="911"/>
      <c r="Y176" s="911"/>
      <c r="Z176" s="911"/>
      <c r="AA176" s="912"/>
    </row>
    <row r="177" spans="2:31" ht="15" hidden="1" outlineLevel="1" thickBot="1" x14ac:dyDescent="0.45">
      <c r="B177" s="913"/>
      <c r="C177" s="704"/>
      <c r="D177" s="704"/>
      <c r="E177" s="748" t="s">
        <v>1053</v>
      </c>
      <c r="F177" s="749"/>
      <c r="G177" s="704"/>
      <c r="H177" s="704"/>
      <c r="I177" s="704"/>
      <c r="J177" s="750"/>
      <c r="K177" s="704"/>
      <c r="L177" s="704"/>
      <c r="M177" s="704"/>
      <c r="N177" s="704"/>
      <c r="O177" s="704"/>
      <c r="P177" s="704"/>
      <c r="Q177" s="704"/>
      <c r="R177" s="704"/>
      <c r="S177" s="704"/>
      <c r="T177" s="750"/>
      <c r="U177" s="704"/>
      <c r="V177" s="704"/>
      <c r="W177" s="704"/>
      <c r="X177" s="750"/>
      <c r="Y177" s="750"/>
      <c r="Z177" s="750"/>
      <c r="AA177" s="751"/>
    </row>
    <row r="178" spans="2:31" hidden="1" outlineLevel="1" x14ac:dyDescent="0.4">
      <c r="B178" s="913"/>
      <c r="C178" s="704"/>
      <c r="D178" s="704"/>
      <c r="E178" s="704" t="s">
        <v>1034</v>
      </c>
      <c r="F178" s="749"/>
      <c r="G178" s="704"/>
      <c r="H178" s="704"/>
      <c r="I178" s="704"/>
      <c r="J178" s="750"/>
      <c r="K178" s="704"/>
      <c r="L178" s="704"/>
      <c r="M178" s="704"/>
      <c r="N178" s="704"/>
      <c r="O178" s="704"/>
      <c r="P178" s="704"/>
      <c r="Q178" s="704"/>
      <c r="R178" s="704"/>
      <c r="S178" s="3587" t="s">
        <v>1101</v>
      </c>
      <c r="T178" s="3584" t="s">
        <v>23</v>
      </c>
      <c r="U178" s="3989" t="s">
        <v>1054</v>
      </c>
      <c r="V178" s="3990"/>
      <c r="W178" s="3990"/>
      <c r="X178" s="3990"/>
      <c r="Y178" s="3991"/>
      <c r="Z178" s="781"/>
      <c r="AA178" s="915"/>
    </row>
    <row r="179" spans="2:31" hidden="1" outlineLevel="1" x14ac:dyDescent="0.4">
      <c r="B179" s="913"/>
      <c r="C179" s="704"/>
      <c r="D179" s="704"/>
      <c r="E179" s="704" t="s">
        <v>1035</v>
      </c>
      <c r="F179" s="749"/>
      <c r="G179" s="704"/>
      <c r="H179" s="704"/>
      <c r="I179" s="704"/>
      <c r="J179" s="750"/>
      <c r="K179" s="704"/>
      <c r="L179" s="704"/>
      <c r="M179" s="704"/>
      <c r="N179" s="704"/>
      <c r="O179" s="704"/>
      <c r="P179" s="704"/>
      <c r="Q179" s="704"/>
      <c r="R179" s="704"/>
      <c r="S179" s="3588" t="s">
        <v>1055</v>
      </c>
      <c r="T179" s="3585">
        <v>1</v>
      </c>
      <c r="U179" s="1512">
        <v>1</v>
      </c>
      <c r="V179" s="1497">
        <v>2</v>
      </c>
      <c r="W179" s="916">
        <v>3</v>
      </c>
      <c r="X179" s="916">
        <v>4</v>
      </c>
      <c r="Y179" s="1045">
        <v>6</v>
      </c>
      <c r="Z179" s="1851"/>
      <c r="AA179" s="915"/>
    </row>
    <row r="180" spans="2:31" hidden="1" outlineLevel="1" x14ac:dyDescent="0.4">
      <c r="B180" s="913"/>
      <c r="C180" s="704"/>
      <c r="D180" s="704"/>
      <c r="E180" s="704" t="s">
        <v>1036</v>
      </c>
      <c r="F180" s="749"/>
      <c r="G180" s="704"/>
      <c r="H180" s="704"/>
      <c r="I180" s="704"/>
      <c r="J180" s="750"/>
      <c r="K180" s="704"/>
      <c r="L180" s="704"/>
      <c r="M180" s="704"/>
      <c r="N180" s="704"/>
      <c r="O180" s="704"/>
      <c r="P180" s="704"/>
      <c r="Q180" s="704"/>
      <c r="R180" s="704"/>
      <c r="S180" s="3589" t="s">
        <v>2665</v>
      </c>
      <c r="T180" s="273">
        <f>Connect_vertical_pipework</f>
        <v>24.022732551873563</v>
      </c>
      <c r="U180" s="1498">
        <f>Connect_vertical_pipework*ROUNDUP(Tokamak_Segmts/U179,0)</f>
        <v>384.36372082997701</v>
      </c>
      <c r="V180" s="1498">
        <f>Connect_vertical_pipework*ROUNDUP(Tokamak_Segmts/V179,0)</f>
        <v>192.18186041498851</v>
      </c>
      <c r="W180" s="756">
        <f>Connect_vertical_pipework*ROUNDUP(Tokamak_Segmts/W179,0)</f>
        <v>144.13639531124139</v>
      </c>
      <c r="X180" s="756">
        <f>Connect_vertical_pipework*ROUNDUP(Tokamak_Segmts/X179,0)</f>
        <v>96.090930207494253</v>
      </c>
      <c r="Y180" s="755">
        <f>Connect_vertical_pipework*ROUNDUP(Tokamak_Segmts/Y179,0)</f>
        <v>72.068197655620693</v>
      </c>
      <c r="AA180" s="915"/>
    </row>
    <row r="181" spans="2:31" ht="15" hidden="1" outlineLevel="1" thickBot="1" x14ac:dyDescent="0.45">
      <c r="B181" s="913"/>
      <c r="C181" s="704"/>
      <c r="D181" s="704"/>
      <c r="E181" s="704" t="s">
        <v>1037</v>
      </c>
      <c r="F181" s="749"/>
      <c r="G181" s="704"/>
      <c r="H181" s="704"/>
      <c r="I181" s="704"/>
      <c r="J181" s="750"/>
      <c r="K181" s="704"/>
      <c r="L181" s="704"/>
      <c r="M181" s="704"/>
      <c r="N181" s="704"/>
      <c r="O181" s="704"/>
      <c r="P181" s="704"/>
      <c r="Q181" s="704"/>
      <c r="R181" s="704"/>
      <c r="S181" s="3141" t="s">
        <v>2693</v>
      </c>
      <c r="T181" s="3586">
        <f>T$180*$F$184</f>
        <v>0.2642500580706092</v>
      </c>
      <c r="U181" s="1416">
        <f t="shared" ref="U181:Y181" si="15">U$180*$F$184</f>
        <v>4.2280009291297471</v>
      </c>
      <c r="V181" s="1499">
        <f t="shared" si="15"/>
        <v>2.1140004645648736</v>
      </c>
      <c r="W181" s="920">
        <f t="shared" si="15"/>
        <v>1.5855003484236552</v>
      </c>
      <c r="X181" s="920">
        <f t="shared" si="15"/>
        <v>1.0570002322824368</v>
      </c>
      <c r="Y181" s="1029">
        <f t="shared" si="15"/>
        <v>0.79275017421182759</v>
      </c>
      <c r="AA181" s="915"/>
    </row>
    <row r="182" spans="2:31" hidden="1" outlineLevel="1" x14ac:dyDescent="0.4">
      <c r="B182" s="913"/>
      <c r="C182" s="704"/>
      <c r="D182" s="704"/>
      <c r="E182" s="704" t="s">
        <v>1038</v>
      </c>
      <c r="F182" s="749"/>
      <c r="G182" s="704"/>
      <c r="H182" s="704"/>
      <c r="I182" s="704"/>
      <c r="J182" s="750"/>
      <c r="K182" s="704"/>
      <c r="L182" s="704"/>
      <c r="M182" s="704"/>
      <c r="N182" s="704"/>
      <c r="O182" s="704"/>
      <c r="P182" s="704"/>
      <c r="Q182" s="704"/>
      <c r="R182" s="704"/>
      <c r="S182" s="91" t="s">
        <v>1048</v>
      </c>
      <c r="T182" s="1063">
        <f t="shared" ref="T182:Y182" si="16">T181*(SUMIF($F$192:$F$297,"Operation",$G$192:$G$297))</f>
        <v>56.523243945692691</v>
      </c>
      <c r="U182" s="1500">
        <f t="shared" si="16"/>
        <v>904.37190313108306</v>
      </c>
      <c r="V182" s="3661">
        <f t="shared" si="16"/>
        <v>452.18595156554153</v>
      </c>
      <c r="W182" s="768">
        <f t="shared" si="16"/>
        <v>339.13946367415616</v>
      </c>
      <c r="X182" s="768">
        <f t="shared" si="16"/>
        <v>226.09297578277076</v>
      </c>
      <c r="Y182" s="1062">
        <f t="shared" si="16"/>
        <v>169.56973183707808</v>
      </c>
      <c r="AA182" s="915"/>
    </row>
    <row r="183" spans="2:31" hidden="1" outlineLevel="1" x14ac:dyDescent="0.4">
      <c r="B183" s="913"/>
      <c r="C183" s="704"/>
      <c r="D183" s="704"/>
      <c r="E183" s="704"/>
      <c r="F183" s="749"/>
      <c r="G183" s="704"/>
      <c r="H183" s="704"/>
      <c r="I183" s="704"/>
      <c r="J183" s="750"/>
      <c r="K183" s="704"/>
      <c r="L183" s="704"/>
      <c r="M183" s="704"/>
      <c r="N183" s="704"/>
      <c r="O183" s="704"/>
      <c r="P183" s="704"/>
      <c r="Q183" s="704"/>
      <c r="R183" s="704"/>
      <c r="S183" s="92" t="s">
        <v>2658</v>
      </c>
      <c r="T183" s="1065">
        <f t="shared" ref="T183:Y183" si="17">T181*(SUMIF($F$192:$F$297,"Movement",$G$192:$G$297)+(SUMIF($F$192:$F$297,"Logistics",$G$192:$G$297)))</f>
        <v>9.986009694488331</v>
      </c>
      <c r="U183" s="1502">
        <f t="shared" si="17"/>
        <v>159.7761551118133</v>
      </c>
      <c r="V183" s="3662">
        <f t="shared" si="17"/>
        <v>79.888077555906648</v>
      </c>
      <c r="W183" s="769">
        <f t="shared" si="17"/>
        <v>59.916058166929986</v>
      </c>
      <c r="X183" s="769">
        <f t="shared" si="17"/>
        <v>39.944038777953324</v>
      </c>
      <c r="Y183" s="1064">
        <f t="shared" si="17"/>
        <v>29.958029083464993</v>
      </c>
      <c r="AA183" s="915"/>
    </row>
    <row r="184" spans="2:31" ht="15" hidden="1" outlineLevel="1" thickBot="1" x14ac:dyDescent="0.45">
      <c r="B184" s="913"/>
      <c r="C184" s="704"/>
      <c r="D184" s="704"/>
      <c r="E184" s="748" t="s">
        <v>1056</v>
      </c>
      <c r="F184" s="709">
        <f>SUM(F185:F186)</f>
        <v>1.0999999999999999E-2</v>
      </c>
      <c r="G184" s="709"/>
      <c r="H184" s="709"/>
      <c r="I184" s="709"/>
      <c r="J184" s="919"/>
      <c r="K184" s="918"/>
      <c r="L184" s="918"/>
      <c r="M184" s="918"/>
      <c r="N184" s="918"/>
      <c r="O184" s="918"/>
      <c r="P184" s="918"/>
      <c r="Q184" s="704"/>
      <c r="R184" s="704"/>
      <c r="S184" s="93" t="s">
        <v>2662</v>
      </c>
      <c r="T184" s="1067">
        <f t="shared" ref="T184:Y184" si="18">T181*(-SUMIF($U$192:$U$297,"&lt;0"))</f>
        <v>8.2794926065075369</v>
      </c>
      <c r="U184" s="1110">
        <f t="shared" si="18"/>
        <v>132.47188170412059</v>
      </c>
      <c r="V184" s="3663">
        <f t="shared" si="18"/>
        <v>66.235940852060295</v>
      </c>
      <c r="W184" s="770">
        <f t="shared" si="18"/>
        <v>49.676955639045218</v>
      </c>
      <c r="X184" s="770">
        <f t="shared" si="18"/>
        <v>33.117970426030148</v>
      </c>
      <c r="Y184" s="1066">
        <f t="shared" si="18"/>
        <v>24.838477819522609</v>
      </c>
      <c r="AA184" s="915"/>
    </row>
    <row r="185" spans="2:31" ht="15" hidden="1" outlineLevel="1" thickBot="1" x14ac:dyDescent="0.45">
      <c r="B185" s="921"/>
      <c r="C185" s="5"/>
      <c r="D185" s="5"/>
      <c r="E185" s="7" t="s">
        <v>1057</v>
      </c>
      <c r="F185" s="763">
        <f>Weld_Failure_Rate</f>
        <v>1E-3</v>
      </c>
      <c r="G185" s="922"/>
      <c r="H185" s="922"/>
      <c r="I185" s="924"/>
      <c r="J185" s="290"/>
      <c r="K185" s="922"/>
      <c r="L185" s="922"/>
      <c r="M185" s="925"/>
      <c r="N185" s="922"/>
      <c r="O185" s="922"/>
      <c r="P185" s="922"/>
      <c r="Q185" s="706"/>
      <c r="R185" s="7"/>
      <c r="S185" s="2973" t="s">
        <v>2667</v>
      </c>
      <c r="T185" s="2975">
        <f t="shared" ref="T185:Y185" si="19">T181*$H$298</f>
        <v>74.788746246688504</v>
      </c>
      <c r="U185" s="2994">
        <f t="shared" si="19"/>
        <v>1196.6199399470161</v>
      </c>
      <c r="V185" s="3664">
        <f t="shared" si="19"/>
        <v>598.30996997350803</v>
      </c>
      <c r="W185" s="694">
        <f t="shared" si="19"/>
        <v>448.73247748013102</v>
      </c>
      <c r="X185" s="694">
        <f t="shared" si="19"/>
        <v>299.15498498675402</v>
      </c>
      <c r="Y185" s="2974">
        <f t="shared" si="19"/>
        <v>224.36623874006551</v>
      </c>
      <c r="AA185" s="915"/>
    </row>
    <row r="186" spans="2:31" hidden="1" outlineLevel="1" x14ac:dyDescent="0.4">
      <c r="B186" s="921"/>
      <c r="C186" s="5"/>
      <c r="D186" s="5"/>
      <c r="E186" s="7" t="s">
        <v>1058</v>
      </c>
      <c r="F186" s="763">
        <f>SJS_welder_failure</f>
        <v>0.01</v>
      </c>
      <c r="G186" s="922"/>
      <c r="H186" s="922"/>
      <c r="I186" s="924"/>
      <c r="J186" s="290"/>
      <c r="K186" s="922"/>
      <c r="L186" s="922"/>
      <c r="M186" s="925"/>
      <c r="N186" s="922"/>
      <c r="O186" s="922"/>
      <c r="P186" s="922"/>
      <c r="Q186" s="706"/>
      <c r="R186" s="7"/>
      <c r="AA186" s="915"/>
    </row>
    <row r="187" spans="2:31" hidden="1" outlineLevel="1" x14ac:dyDescent="0.4">
      <c r="B187" s="921"/>
      <c r="C187" s="5"/>
      <c r="D187" s="5"/>
      <c r="E187" s="926" t="s">
        <v>1059</v>
      </c>
      <c r="F187" s="709">
        <f>F184*(1-(1-F184)^(Vertical_port_pipes_per_blanket))</f>
        <v>7.0632541484487834E-4</v>
      </c>
      <c r="G187" s="927"/>
      <c r="H187" s="927"/>
      <c r="I187" s="927"/>
      <c r="J187" s="919"/>
      <c r="K187" s="927"/>
      <c r="L187" s="927"/>
      <c r="M187" s="927"/>
      <c r="N187" s="927"/>
      <c r="O187" s="927"/>
      <c r="P187" s="927"/>
      <c r="Q187" s="706"/>
      <c r="R187" s="7"/>
      <c r="AA187" s="915"/>
    </row>
    <row r="188" spans="2:31" hidden="1" outlineLevel="1" x14ac:dyDescent="0.4">
      <c r="B188" s="921"/>
      <c r="C188" s="5"/>
      <c r="D188" s="5"/>
      <c r="E188" s="926"/>
      <c r="F188" s="928"/>
      <c r="G188" s="927"/>
      <c r="H188" s="927"/>
      <c r="I188" s="927"/>
      <c r="J188" s="919"/>
      <c r="K188" s="927"/>
      <c r="L188" s="927"/>
      <c r="M188" s="927"/>
      <c r="N188" s="927"/>
      <c r="O188" s="927"/>
      <c r="P188" s="927"/>
      <c r="Q188" s="706"/>
      <c r="R188" s="7"/>
      <c r="AA188" s="915"/>
    </row>
    <row r="189" spans="2:31" ht="15" hidden="1" outlineLevel="1" thickBot="1" x14ac:dyDescent="0.45">
      <c r="B189" s="921"/>
      <c r="C189" s="5"/>
      <c r="D189" s="5"/>
      <c r="E189" s="926"/>
      <c r="F189" s="928"/>
      <c r="G189" s="927"/>
      <c r="H189" s="927"/>
      <c r="I189" s="927"/>
      <c r="J189" s="919"/>
      <c r="K189" s="927"/>
      <c r="L189" s="927"/>
      <c r="M189" s="927"/>
      <c r="N189" s="927"/>
      <c r="O189" s="927"/>
      <c r="P189" s="927"/>
      <c r="Q189" s="706"/>
      <c r="R189" s="7"/>
      <c r="S189" s="95"/>
      <c r="T189" s="290"/>
      <c r="U189" s="7"/>
      <c r="V189" s="5"/>
      <c r="W189" s="7"/>
      <c r="X189" s="290"/>
      <c r="Y189" s="290"/>
      <c r="AA189" s="915"/>
    </row>
    <row r="190" spans="2:31" ht="15.75" hidden="1" customHeight="1" outlineLevel="2" thickBot="1" x14ac:dyDescent="0.45">
      <c r="B190" s="921"/>
      <c r="C190" s="5"/>
      <c r="D190" s="5"/>
      <c r="E190" s="926"/>
      <c r="F190" s="701"/>
      <c r="G190" s="7"/>
      <c r="H190" s="929"/>
      <c r="I190" s="930" t="s">
        <v>18</v>
      </c>
      <c r="J190" s="931"/>
      <c r="K190" s="932" t="s">
        <v>778</v>
      </c>
      <c r="L190" s="933"/>
      <c r="M190" s="933"/>
      <c r="N190" s="933"/>
      <c r="O190" s="933"/>
      <c r="P190" s="934"/>
      <c r="Q190" s="933" t="s">
        <v>3</v>
      </c>
      <c r="R190" s="934"/>
      <c r="S190" s="935" t="s">
        <v>779</v>
      </c>
      <c r="T190" s="936"/>
      <c r="U190" s="936"/>
      <c r="V190" s="780"/>
      <c r="X190" s="938"/>
      <c r="Y190" s="938"/>
      <c r="Z190" s="938"/>
      <c r="AA190" s="915"/>
    </row>
    <row r="191" spans="2:31" ht="30.75" hidden="1" customHeight="1" outlineLevel="2" thickBot="1" x14ac:dyDescent="0.45">
      <c r="B191" s="921"/>
      <c r="C191" s="5"/>
      <c r="D191" s="939" t="s">
        <v>780</v>
      </c>
      <c r="E191" s="940" t="s">
        <v>1060</v>
      </c>
      <c r="F191" s="941" t="s">
        <v>782</v>
      </c>
      <c r="G191" s="942" t="s">
        <v>783</v>
      </c>
      <c r="H191" s="943" t="s">
        <v>784</v>
      </c>
      <c r="I191" s="562" t="s">
        <v>785</v>
      </c>
      <c r="J191" s="944" t="s">
        <v>783</v>
      </c>
      <c r="K191" s="562" t="s">
        <v>786</v>
      </c>
      <c r="L191" s="563" t="s">
        <v>787</v>
      </c>
      <c r="M191" s="563" t="s">
        <v>788</v>
      </c>
      <c r="N191" s="563" t="s">
        <v>789</v>
      </c>
      <c r="O191" s="563" t="s">
        <v>790</v>
      </c>
      <c r="P191" s="945" t="s">
        <v>783</v>
      </c>
      <c r="Q191" s="560" t="s">
        <v>785</v>
      </c>
      <c r="R191" s="946" t="s">
        <v>783</v>
      </c>
      <c r="S191" s="793" t="s">
        <v>781</v>
      </c>
      <c r="T191" s="794" t="s">
        <v>791</v>
      </c>
      <c r="U191" s="789" t="s">
        <v>792</v>
      </c>
      <c r="V191" s="795"/>
      <c r="X191" s="947"/>
      <c r="Y191" s="947"/>
      <c r="Z191" s="947"/>
      <c r="AA191" s="915"/>
    </row>
    <row r="192" spans="2:31" ht="15" hidden="1" customHeight="1" outlineLevel="2" x14ac:dyDescent="0.4">
      <c r="B192" s="921"/>
      <c r="C192" s="5"/>
      <c r="D192" s="3886" t="s">
        <v>1062</v>
      </c>
      <c r="E192" s="797" t="s">
        <v>1102</v>
      </c>
      <c r="F192" s="799" t="s">
        <v>251</v>
      </c>
      <c r="G192" s="456">
        <f>MAX($R192,$P192,$J192)</f>
        <v>0</v>
      </c>
      <c r="H192" s="800">
        <f>G192</f>
        <v>0</v>
      </c>
      <c r="I192" s="566" t="s">
        <v>557</v>
      </c>
      <c r="J192" s="621">
        <f>IF(F192="operation",VLOOKUP(I192,'Generic Vertical Port Tasks'!$C$4:$D197,2,FALSE),"N/A")</f>
        <v>0</v>
      </c>
      <c r="K192" s="568"/>
      <c r="L192" s="566"/>
      <c r="M192" s="801"/>
      <c r="N192" s="802" t="str">
        <f>IFERROR(INDEX('Upper Cask Movement &amp; Logistics'!$I$23:$O$29,MATCH($L192,'Upper Cask Movement &amp; Logistics'!$H$23:$H$29,0),MATCH($M192,'Upper Cask Movement &amp; Logistics'!$H$23:$H$29,0)),"N/A")</f>
        <v>N/A</v>
      </c>
      <c r="O192" s="570" t="str">
        <f>IFERROR(VLOOKUP($K192,'Upper Cask Movement &amp; Logistics'!$H$4:$I$8,2,FALSE),"N/A")</f>
        <v>N/A</v>
      </c>
      <c r="P192" s="800" t="str">
        <f t="shared" ref="P192:P294" si="20">IF(F192="Movement",IFERROR((N192/O192)/(60*60),"Error"),"N/A")</f>
        <v>N/A</v>
      </c>
      <c r="Q192" s="803"/>
      <c r="R192" s="802" t="str">
        <f>IF($F192="Logistics",VLOOKUP($Q192,'Upper Cask Movement &amp; Logistics'!$C$4:$D$32,2,FALSE),"N/A")</f>
        <v>N/A</v>
      </c>
      <c r="S192" s="568"/>
      <c r="T192" s="804" t="str">
        <f>IFERROR(VLOOKUP($S192,'Upper Cask Recovery Logistics'!$C$207:$F$366,4,FALSE),"N/A")</f>
        <v>N/A</v>
      </c>
      <c r="U192" s="621" t="str">
        <f>IFERROR(H192-G192-T192,"N/A")</f>
        <v>N/A</v>
      </c>
      <c r="V192" s="895"/>
      <c r="X192" s="947"/>
      <c r="Y192" s="947"/>
      <c r="Z192" s="947"/>
      <c r="AA192" s="915"/>
      <c r="AE192" s="8"/>
    </row>
    <row r="193" spans="2:34" ht="15.75" hidden="1" customHeight="1" outlineLevel="2" thickBot="1" x14ac:dyDescent="0.45">
      <c r="B193" s="921"/>
      <c r="C193" s="5"/>
      <c r="D193" s="3887"/>
      <c r="E193" s="807" t="s">
        <v>1103</v>
      </c>
      <c r="F193" s="809" t="s">
        <v>251</v>
      </c>
      <c r="G193" s="471">
        <f t="shared" ref="G193:G294" si="21">MAX($R193,$P193,$J193)</f>
        <v>1.0499155317167692</v>
      </c>
      <c r="H193" s="810">
        <f t="shared" ref="H193:H256" si="22">IF(U193&lt;0,G193+H192+(-U193),G193+H192)</f>
        <v>1.0499155317167692</v>
      </c>
      <c r="I193" s="584" t="s">
        <v>2491</v>
      </c>
      <c r="J193" s="811">
        <f>IF(F193="operation",VLOOKUP(I193,'Generic Vertical Port Tasks'!$C$4:$D198,2,FALSE),"N/A")</f>
        <v>1.0499155317167692</v>
      </c>
      <c r="K193" s="586"/>
      <c r="L193" s="584"/>
      <c r="M193" s="812"/>
      <c r="N193" s="813" t="str">
        <f>IFERROR(INDEX('Upper Cask Movement &amp; Logistics'!$I$23:$O$29,MATCH($L193,'Upper Cask Movement &amp; Logistics'!$H$23:$H$29,0),MATCH($M193,'Upper Cask Movement &amp; Logistics'!$H$23:$H$29,0)),"N/A")</f>
        <v>N/A</v>
      </c>
      <c r="O193" s="814" t="str">
        <f>IFERROR(VLOOKUP($K193,'Upper Cask Movement &amp; Logistics'!$H$4:$I$8,2,FALSE),"N/A")</f>
        <v>N/A</v>
      </c>
      <c r="P193" s="810" t="str">
        <f t="shared" si="20"/>
        <v>N/A</v>
      </c>
      <c r="Q193" s="815"/>
      <c r="R193" s="813" t="s">
        <v>263</v>
      </c>
      <c r="S193" s="586"/>
      <c r="T193" s="816" t="str">
        <f>IFERROR(VLOOKUP($S193,'Upper Cask Recovery Logistics'!$C$207:$F$366,4,FALSE),"N/A")</f>
        <v>N/A</v>
      </c>
      <c r="U193" s="591" t="str">
        <f t="shared" ref="U193:U256" si="23">IFERROR(H192-T193,"N/A")</f>
        <v>N/A</v>
      </c>
      <c r="V193" s="895"/>
      <c r="X193" s="290"/>
      <c r="Y193" s="290"/>
      <c r="AA193" s="915"/>
      <c r="AB193" s="5"/>
      <c r="AC193" s="7"/>
      <c r="AD193" s="7"/>
      <c r="AE193" s="7"/>
      <c r="AF193" s="7"/>
      <c r="AG193" s="7"/>
      <c r="AH193" s="7"/>
    </row>
    <row r="194" spans="2:34" ht="15" hidden="1" customHeight="1" outlineLevel="2" x14ac:dyDescent="0.4">
      <c r="B194" s="921"/>
      <c r="C194" s="5"/>
      <c r="D194" s="3984" t="s">
        <v>830</v>
      </c>
      <c r="E194" s="1333" t="s">
        <v>1517</v>
      </c>
      <c r="F194" s="1333" t="s">
        <v>3</v>
      </c>
      <c r="G194" s="1303">
        <f t="shared" si="21"/>
        <v>0.38</v>
      </c>
      <c r="H194" s="1303">
        <f t="shared" si="22"/>
        <v>1.4299155317167691</v>
      </c>
      <c r="I194" s="1333"/>
      <c r="J194" s="1303" t="str">
        <f>IF(F194="operation",VLOOKUP(I194,'Generic Vertical Port Tasks'!$C$4:$D199,2,FALSE),"N/A")</f>
        <v>N/A</v>
      </c>
      <c r="K194" s="1333"/>
      <c r="L194" s="1333"/>
      <c r="M194" s="1333"/>
      <c r="N194" s="1334" t="str">
        <f>IFERROR(INDEX('Upper Cask Movement &amp; Logistics'!$I$24:$O$30,MATCH($J194,'Upper Cask Movement &amp; Logistics'!$H$24:$H$30,0),MATCH($K194,'Upper Cask Movement &amp; Logistics'!$H$24:$H$30,0)),"N/A")</f>
        <v>N/A</v>
      </c>
      <c r="O194" s="1334" t="str">
        <f>IFERROR(VLOOKUP($I194,'Upper Cask Movement &amp; Logistics'!$H$4:$I$8,2,FALSE),"N/A")</f>
        <v>N/A</v>
      </c>
      <c r="P194" s="1303" t="str">
        <f t="shared" si="20"/>
        <v>N/A</v>
      </c>
      <c r="Q194" s="1504" t="s">
        <v>1226</v>
      </c>
      <c r="R194" s="1303">
        <f>IF($F194="Logistics",VLOOKUP($Q194,'Upper Cask Movement &amp; Logistics'!$C$4:$D$209,2,FALSE),"N/A")</f>
        <v>0.38</v>
      </c>
      <c r="S194" s="1505"/>
      <c r="T194" s="1303" t="str">
        <f>IFERROR(VLOOKUP($S194,'Upper Cask Recovery Logistics'!$C$207:$F$366,4,FALSE),"N/A")</f>
        <v>N/A</v>
      </c>
      <c r="U194" s="1506" t="str">
        <f t="shared" si="23"/>
        <v>N/A</v>
      </c>
      <c r="V194" s="1510"/>
      <c r="X194" s="273"/>
      <c r="Y194" s="273"/>
      <c r="Z194" s="273"/>
      <c r="AA194" s="752"/>
      <c r="AB194" s="5"/>
      <c r="AC194" s="7"/>
      <c r="AD194" s="7"/>
      <c r="AE194" s="7"/>
      <c r="AF194" s="7"/>
      <c r="AG194" s="7"/>
      <c r="AH194" s="7"/>
    </row>
    <row r="195" spans="2:34" ht="15.75" hidden="1" customHeight="1" outlineLevel="2" x14ac:dyDescent="0.4">
      <c r="B195" s="921"/>
      <c r="C195" s="5"/>
      <c r="D195" s="3985"/>
      <c r="E195" s="1243" t="s">
        <v>125</v>
      </c>
      <c r="F195" s="1243" t="s">
        <v>251</v>
      </c>
      <c r="G195" s="1244">
        <f t="shared" si="21"/>
        <v>0.72499999999999998</v>
      </c>
      <c r="H195" s="1244">
        <f t="shared" si="22"/>
        <v>2.1549155317167692</v>
      </c>
      <c r="I195" s="1243" t="s">
        <v>253</v>
      </c>
      <c r="J195" s="1244">
        <f>IF(F195="operation",VLOOKUP(I195,'Generic Vertical Port Tasks'!$C$4:$D200,2,FALSE),"N/A")</f>
        <v>0.72499999999999998</v>
      </c>
      <c r="K195" s="1243"/>
      <c r="L195" s="1243"/>
      <c r="M195" s="1243"/>
      <c r="N195" s="1245" t="str">
        <f>IFERROR(INDEX('Upper Cask Movement &amp; Logistics'!$I$24:$O$30,MATCH($J195,'Upper Cask Movement &amp; Logistics'!$H$24:$H$30,0),MATCH($K195,'Upper Cask Movement &amp; Logistics'!$H$24:$H$30,0)),"N/A")</f>
        <v>N/A</v>
      </c>
      <c r="O195" s="1245" t="str">
        <f>IFERROR(VLOOKUP($I195,'Upper Cask Movement &amp; Logistics'!$H$4:$I$8,2,FALSE),"N/A")</f>
        <v>N/A</v>
      </c>
      <c r="P195" s="1244" t="str">
        <f t="shared" si="20"/>
        <v>N/A</v>
      </c>
      <c r="Q195" s="1246"/>
      <c r="R195" s="1244" t="str">
        <f>IF($F195="Logistics",VLOOKUP($Q195,'Upper Cask Movement &amp; Logistics'!$C$4:$D$209,2,FALSE),"N/A")</f>
        <v>N/A</v>
      </c>
      <c r="S195" s="1247"/>
      <c r="T195" s="1244" t="str">
        <f>IFERROR(VLOOKUP($S195,'Upper Cask Recovery Logistics'!$C$207:$F$366,4,FALSE),"N/A")</f>
        <v>N/A</v>
      </c>
      <c r="U195" s="1248" t="str">
        <f t="shared" si="23"/>
        <v>N/A</v>
      </c>
      <c r="V195" s="1510"/>
      <c r="X195" s="273"/>
      <c r="Y195" s="273"/>
      <c r="Z195" s="273"/>
      <c r="AA195" s="752"/>
      <c r="AB195" s="5"/>
      <c r="AC195" s="7"/>
      <c r="AD195" s="7"/>
      <c r="AE195" s="7"/>
      <c r="AF195" s="7"/>
      <c r="AG195" s="7"/>
      <c r="AH195" s="7"/>
    </row>
    <row r="196" spans="2:34" ht="15" hidden="1" customHeight="1" outlineLevel="2" x14ac:dyDescent="0.4">
      <c r="B196" s="921"/>
      <c r="C196" s="5"/>
      <c r="D196" s="3985"/>
      <c r="E196" s="1243" t="s">
        <v>1254</v>
      </c>
      <c r="F196" s="1243" t="s">
        <v>3</v>
      </c>
      <c r="G196" s="1244">
        <f t="shared" si="21"/>
        <v>0.63000000000000012</v>
      </c>
      <c r="H196" s="1244">
        <f t="shared" si="22"/>
        <v>2.7849155317167691</v>
      </c>
      <c r="I196" s="1243"/>
      <c r="J196" s="1244" t="str">
        <f>IF(F196="operation",VLOOKUP(I196,'Generic Vertical Port Tasks'!$C$4:$D201,2,FALSE),"N/A")</f>
        <v>N/A</v>
      </c>
      <c r="K196" s="1243"/>
      <c r="L196" s="1243"/>
      <c r="M196" s="1243"/>
      <c r="N196" s="1245" t="str">
        <f>IFERROR(INDEX('Upper Cask Movement &amp; Logistics'!$I$24:$O$30,MATCH($J196,'Upper Cask Movement &amp; Logistics'!$H$24:$H$30,0),MATCH($K196,'Upper Cask Movement &amp; Logistics'!$H$24:$H$30,0)),"N/A")</f>
        <v>N/A</v>
      </c>
      <c r="O196" s="1245" t="str">
        <f>IFERROR(VLOOKUP($I196,'Upper Cask Movement &amp; Logistics'!$H$4:$I$8,2,FALSE),"N/A")</f>
        <v>N/A</v>
      </c>
      <c r="P196" s="1244" t="str">
        <f t="shared" si="20"/>
        <v>N/A</v>
      </c>
      <c r="Q196" s="1246" t="s">
        <v>1228</v>
      </c>
      <c r="R196" s="1244">
        <f>IF($F196="Logistics",VLOOKUP($Q196,'Upper Cask Movement &amp; Logistics'!$C$4:$D$209,2,FALSE),"N/A")</f>
        <v>0.63000000000000012</v>
      </c>
      <c r="S196" s="1247" t="s">
        <v>1368</v>
      </c>
      <c r="T196" s="1244" t="str">
        <f>IFERROR(VLOOKUP($S196,'Upper Cask Recovery Logistics'!$C$207:$F$366,4,FALSE),"N/A")</f>
        <v>N/A</v>
      </c>
      <c r="U196" s="1248" t="str">
        <f t="shared" si="23"/>
        <v>N/A</v>
      </c>
      <c r="V196" s="1510"/>
      <c r="X196" s="273"/>
      <c r="Y196" s="273"/>
      <c r="Z196" s="273"/>
      <c r="AA196" s="752"/>
      <c r="AB196" s="5"/>
      <c r="AC196" s="7"/>
      <c r="AD196" s="7"/>
      <c r="AE196" s="7"/>
      <c r="AF196" s="7"/>
      <c r="AG196" s="7"/>
      <c r="AH196" s="7"/>
    </row>
    <row r="197" spans="2:34" ht="15.75" hidden="1" customHeight="1" outlineLevel="2" thickBot="1" x14ac:dyDescent="0.45">
      <c r="B197" s="921"/>
      <c r="C197" s="5"/>
      <c r="D197" s="3986"/>
      <c r="E197" s="1314" t="s">
        <v>1251</v>
      </c>
      <c r="F197" s="1314" t="s">
        <v>3</v>
      </c>
      <c r="G197" s="1316">
        <f t="shared" si="21"/>
        <v>0.38</v>
      </c>
      <c r="H197" s="1316">
        <f t="shared" si="22"/>
        <v>3.164915531716769</v>
      </c>
      <c r="I197" s="1314"/>
      <c r="J197" s="1316" t="str">
        <f>IF(F197="operation",VLOOKUP(I197,'Generic Vertical Port Tasks'!$C$4:$D202,2,FALSE),"N/A")</f>
        <v>N/A</v>
      </c>
      <c r="K197" s="1314"/>
      <c r="L197" s="1314"/>
      <c r="M197" s="1314"/>
      <c r="N197" s="1319" t="str">
        <f>IFERROR(INDEX('Upper Cask Movement &amp; Logistics'!$I$24:$O$30,MATCH($J197,'Upper Cask Movement &amp; Logistics'!$H$24:$H$30,0),MATCH($K197,'Upper Cask Movement &amp; Logistics'!$H$24:$H$30,0)),"N/A")</f>
        <v>N/A</v>
      </c>
      <c r="O197" s="1319" t="str">
        <f>IFERROR(VLOOKUP($I197,'Upper Cask Movement &amp; Logistics'!$H$4:$I$8,2,FALSE),"N/A")</f>
        <v>N/A</v>
      </c>
      <c r="P197" s="1316" t="str">
        <f t="shared" si="20"/>
        <v>N/A</v>
      </c>
      <c r="Q197" s="1507" t="s">
        <v>1230</v>
      </c>
      <c r="R197" s="1316">
        <f>IF($F197="Logistics",VLOOKUP($Q197,'Upper Cask Movement &amp; Logistics'!$C$4:$D$209,2,FALSE),"N/A")</f>
        <v>0.38</v>
      </c>
      <c r="S197" s="1508"/>
      <c r="T197" s="1316" t="str">
        <f>IFERROR(VLOOKUP($S197,'Upper Cask Recovery Logistics'!$C$207:$F$366,4,FALSE),"N/A")</f>
        <v>N/A</v>
      </c>
      <c r="U197" s="1509" t="str">
        <f t="shared" si="23"/>
        <v>N/A</v>
      </c>
      <c r="V197" s="1510"/>
      <c r="X197" s="273"/>
      <c r="Y197" s="273"/>
      <c r="Z197" s="273"/>
      <c r="AA197" s="752"/>
      <c r="AB197" s="5"/>
      <c r="AC197" s="7"/>
      <c r="AD197" s="7"/>
      <c r="AE197" s="7"/>
      <c r="AF197" s="7"/>
      <c r="AG197" s="7"/>
      <c r="AH197" s="7"/>
    </row>
    <row r="198" spans="2:34" ht="15" hidden="1" customHeight="1" outlineLevel="2" x14ac:dyDescent="0.4">
      <c r="B198" s="921"/>
      <c r="C198" s="5"/>
      <c r="D198" s="3992" t="s">
        <v>832</v>
      </c>
      <c r="E198" s="596" t="s">
        <v>1252</v>
      </c>
      <c r="F198" s="596" t="s">
        <v>3</v>
      </c>
      <c r="G198" s="593">
        <f t="shared" si="21"/>
        <v>0.38</v>
      </c>
      <c r="H198" s="593">
        <f t="shared" si="22"/>
        <v>3.5449155317167689</v>
      </c>
      <c r="I198" s="596"/>
      <c r="J198" s="593" t="str">
        <f>IF(F198="operation",VLOOKUP(I198,'Generic Vertical Port Tasks'!$C$4:$D203,2,FALSE),"N/A")</f>
        <v>N/A</v>
      </c>
      <c r="K198" s="596"/>
      <c r="L198" s="596"/>
      <c r="M198" s="596"/>
      <c r="N198" s="597" t="str">
        <f>IFERROR(INDEX('Upper Cask Movement &amp; Logistics'!$I$24:$O$30,MATCH($J198,'Upper Cask Movement &amp; Logistics'!$H$24:$H$30,0),MATCH($K198,'Upper Cask Movement &amp; Logistics'!$H$24:$H$30,0)),"N/A")</f>
        <v>N/A</v>
      </c>
      <c r="O198" s="597" t="str">
        <f>IFERROR(VLOOKUP($I198,'Upper Cask Movement &amp; Logistics'!$H$4:$I$8,2,FALSE),"N/A")</f>
        <v>N/A</v>
      </c>
      <c r="P198" s="593" t="str">
        <f t="shared" si="20"/>
        <v>N/A</v>
      </c>
      <c r="Q198" s="1253" t="s">
        <v>1226</v>
      </c>
      <c r="R198" s="593">
        <f>IF($F198="Logistics",VLOOKUP($Q198,'Upper Cask Movement &amp; Logistics'!$C$4:$D$209,2,FALSE),"N/A")</f>
        <v>0.38</v>
      </c>
      <c r="S198" s="1254"/>
      <c r="T198" s="593" t="str">
        <f>IFERROR(VLOOKUP($S198,'Upper Cask Recovery Logistics'!$C$207:$F$366,4,FALSE),"N/A")</f>
        <v>N/A</v>
      </c>
      <c r="U198" s="1255" t="str">
        <f t="shared" si="23"/>
        <v>N/A</v>
      </c>
      <c r="V198" s="1510"/>
      <c r="X198" s="273"/>
      <c r="Y198" s="273"/>
      <c r="Z198" s="273"/>
      <c r="AA198" s="752"/>
      <c r="AB198" s="5"/>
      <c r="AC198" s="7"/>
      <c r="AD198" s="7"/>
      <c r="AE198" s="7"/>
      <c r="AF198" s="7"/>
      <c r="AG198" s="7"/>
      <c r="AH198" s="7"/>
    </row>
    <row r="199" spans="2:34" ht="15" hidden="1" customHeight="1" outlineLevel="2" x14ac:dyDescent="0.4">
      <c r="B199" s="921"/>
      <c r="C199" s="5"/>
      <c r="D199" s="3993"/>
      <c r="E199" s="601" t="s">
        <v>20</v>
      </c>
      <c r="F199" s="601" t="s">
        <v>251</v>
      </c>
      <c r="G199" s="602">
        <f t="shared" si="21"/>
        <v>6.83</v>
      </c>
      <c r="H199" s="602">
        <f t="shared" si="22"/>
        <v>10.37491553171677</v>
      </c>
      <c r="I199" s="601" t="s">
        <v>252</v>
      </c>
      <c r="J199" s="602">
        <f>IF(F199="operation",VLOOKUP(I199,'Generic Vertical Port Tasks'!$C$4:$D204,2,FALSE),"N/A")</f>
        <v>6.83</v>
      </c>
      <c r="K199" s="601"/>
      <c r="L199" s="601"/>
      <c r="M199" s="601"/>
      <c r="N199" s="605" t="str">
        <f>IFERROR(INDEX('Upper Cask Movement &amp; Logistics'!$I$24:$O$30,MATCH($J199,'Upper Cask Movement &amp; Logistics'!$H$24:$H$30,0),MATCH($K199,'Upper Cask Movement &amp; Logistics'!$H$24:$H$30,0)),"N/A")</f>
        <v>N/A</v>
      </c>
      <c r="O199" s="605" t="str">
        <f>IFERROR(VLOOKUP($I199,'Upper Cask Movement &amp; Logistics'!$H$4:$I$8,2,FALSE),"N/A")</f>
        <v>N/A</v>
      </c>
      <c r="P199" s="602" t="str">
        <f t="shared" si="20"/>
        <v>N/A</v>
      </c>
      <c r="Q199" s="1234"/>
      <c r="R199" s="602" t="str">
        <f>IF($F199="Logistics",VLOOKUP($Q199,'Upper Cask Movement &amp; Logistics'!$C$4:$D$209,2,FALSE),"N/A")</f>
        <v>N/A</v>
      </c>
      <c r="S199" s="1235"/>
      <c r="T199" s="602" t="str">
        <f>IFERROR(VLOOKUP($S199,'Upper Cask Recovery Logistics'!$C$207:$F$366,4,FALSE),"N/A")</f>
        <v>N/A</v>
      </c>
      <c r="U199" s="1236" t="str">
        <f t="shared" si="23"/>
        <v>N/A</v>
      </c>
      <c r="V199" s="1510"/>
      <c r="X199" s="273"/>
      <c r="Y199" s="273"/>
      <c r="Z199" s="273"/>
      <c r="AA199" s="752"/>
      <c r="AB199" s="290"/>
      <c r="AC199" s="290"/>
      <c r="AD199" s="290"/>
      <c r="AE199" s="7"/>
      <c r="AF199" s="7"/>
      <c r="AG199" s="7"/>
      <c r="AH199" s="7"/>
    </row>
    <row r="200" spans="2:34" ht="15" hidden="1" customHeight="1" outlineLevel="2" x14ac:dyDescent="0.4">
      <c r="B200" s="921"/>
      <c r="C200" s="5"/>
      <c r="D200" s="3993"/>
      <c r="E200" s="601" t="s">
        <v>1246</v>
      </c>
      <c r="F200" s="601" t="s">
        <v>3</v>
      </c>
      <c r="G200" s="602">
        <f t="shared" si="21"/>
        <v>0.38</v>
      </c>
      <c r="H200" s="602">
        <f t="shared" si="22"/>
        <v>10.754915531716771</v>
      </c>
      <c r="I200" s="601"/>
      <c r="J200" s="602" t="str">
        <f>IF(F200="operation",VLOOKUP(I200,'Generic Vertical Port Tasks'!$C$4:$D205,2,FALSE),"N/A")</f>
        <v>N/A</v>
      </c>
      <c r="K200" s="601"/>
      <c r="L200" s="601"/>
      <c r="M200" s="601"/>
      <c r="N200" s="605" t="str">
        <f>IFERROR(INDEX('Upper Cask Movement &amp; Logistics'!$I$24:$O$30,MATCH($J200,'Upper Cask Movement &amp; Logistics'!$H$24:$H$30,0),MATCH($K200,'Upper Cask Movement &amp; Logistics'!$H$24:$H$30,0)),"N/A")</f>
        <v>N/A</v>
      </c>
      <c r="O200" s="605" t="str">
        <f>IFERROR(VLOOKUP($I200,'Upper Cask Movement &amp; Logistics'!$H$4:$I$8,2,FALSE),"N/A")</f>
        <v>N/A</v>
      </c>
      <c r="P200" s="602" t="str">
        <f t="shared" si="20"/>
        <v>N/A</v>
      </c>
      <c r="Q200" s="1234" t="s">
        <v>1230</v>
      </c>
      <c r="R200" s="602">
        <f>IF($F200="Logistics",VLOOKUP($Q200,'Upper Cask Movement &amp; Logistics'!$C$4:$D$209,2,FALSE),"N/A")</f>
        <v>0.38</v>
      </c>
      <c r="S200" s="1235"/>
      <c r="T200" s="602" t="str">
        <f>IFERROR(VLOOKUP($S200,'Upper Cask Recovery Logistics'!$C$207:$F$366,4,FALSE),"N/A")</f>
        <v>N/A</v>
      </c>
      <c r="U200" s="1236" t="str">
        <f t="shared" si="23"/>
        <v>N/A</v>
      </c>
      <c r="V200" s="1510"/>
      <c r="X200" s="273"/>
      <c r="Y200" s="273"/>
      <c r="Z200" s="273"/>
      <c r="AA200" s="752"/>
      <c r="AB200" s="290"/>
      <c r="AC200" s="290"/>
      <c r="AD200" s="290"/>
      <c r="AE200" s="7"/>
      <c r="AF200" s="7"/>
      <c r="AG200" s="7"/>
      <c r="AH200" s="7"/>
    </row>
    <row r="201" spans="2:34" ht="15.75" hidden="1" customHeight="1" outlineLevel="2" x14ac:dyDescent="0.4">
      <c r="B201" s="921"/>
      <c r="C201" s="5"/>
      <c r="D201" s="3993"/>
      <c r="E201" s="601" t="s">
        <v>1247</v>
      </c>
      <c r="F201" s="601" t="s">
        <v>3</v>
      </c>
      <c r="G201" s="602">
        <f t="shared" si="21"/>
        <v>0.38</v>
      </c>
      <c r="H201" s="602">
        <f t="shared" si="22"/>
        <v>11.134915531716771</v>
      </c>
      <c r="I201" s="601"/>
      <c r="J201" s="602" t="str">
        <f>IF(F201="operation",VLOOKUP(I201,'Generic Vertical Port Tasks'!$C$4:$D206,2,FALSE),"N/A")</f>
        <v>N/A</v>
      </c>
      <c r="K201" s="601"/>
      <c r="L201" s="601"/>
      <c r="M201" s="601"/>
      <c r="N201" s="605" t="str">
        <f>IFERROR(INDEX('Upper Cask Movement &amp; Logistics'!$I$24:$O$30,MATCH($J201,'Upper Cask Movement &amp; Logistics'!$H$24:$H$30,0),MATCH($K201,'Upper Cask Movement &amp; Logistics'!$H$24:$H$30,0)),"N/A")</f>
        <v>N/A</v>
      </c>
      <c r="O201" s="605" t="str">
        <f>IFERROR(VLOOKUP($I201,'Upper Cask Movement &amp; Logistics'!$H$4:$I$8,2,FALSE),"N/A")</f>
        <v>N/A</v>
      </c>
      <c r="P201" s="602" t="str">
        <f t="shared" si="20"/>
        <v>N/A</v>
      </c>
      <c r="Q201" s="1234" t="s">
        <v>1226</v>
      </c>
      <c r="R201" s="602">
        <f>IF($F201="Logistics",VLOOKUP($Q201,'Upper Cask Movement &amp; Logistics'!$C$4:$D$209,2,FALSE),"N/A")</f>
        <v>0.38</v>
      </c>
      <c r="S201" s="1235"/>
      <c r="T201" s="602" t="str">
        <f>IFERROR(VLOOKUP($S201,'Upper Cask Recovery Logistics'!$C$207:$F$366,4,FALSE),"N/A")</f>
        <v>N/A</v>
      </c>
      <c r="U201" s="1236" t="str">
        <f t="shared" si="23"/>
        <v>N/A</v>
      </c>
      <c r="V201" s="1510"/>
      <c r="X201" s="273"/>
      <c r="Y201" s="273"/>
      <c r="Z201" s="273"/>
      <c r="AA201" s="752"/>
      <c r="AB201" s="290"/>
      <c r="AC201" s="290"/>
      <c r="AD201" s="290"/>
      <c r="AE201" s="7"/>
      <c r="AF201" s="7"/>
      <c r="AG201" s="7"/>
      <c r="AH201" s="7"/>
    </row>
    <row r="202" spans="2:34" ht="15" hidden="1" customHeight="1" outlineLevel="2" x14ac:dyDescent="0.4">
      <c r="B202" s="921"/>
      <c r="C202" s="5"/>
      <c r="D202" s="3993"/>
      <c r="E202" s="601" t="s">
        <v>151</v>
      </c>
      <c r="F202" s="601" t="s">
        <v>251</v>
      </c>
      <c r="G202" s="602">
        <f t="shared" si="21"/>
        <v>1.0499155317167692</v>
      </c>
      <c r="H202" s="602">
        <f t="shared" si="22"/>
        <v>12.18483106343354</v>
      </c>
      <c r="I202" s="601" t="s">
        <v>2491</v>
      </c>
      <c r="J202" s="602">
        <f>IF(F202="operation",VLOOKUP(I202,'Generic Vertical Port Tasks'!$C$4:$D207,2,FALSE),"N/A")</f>
        <v>1.0499155317167692</v>
      </c>
      <c r="K202" s="601"/>
      <c r="L202" s="601"/>
      <c r="M202" s="601"/>
      <c r="N202" s="605" t="str">
        <f>IFERROR(INDEX('Upper Cask Movement &amp; Logistics'!$I$24:$O$30,MATCH($J202,'Upper Cask Movement &amp; Logistics'!$H$24:$H$30,0),MATCH($K202,'Upper Cask Movement &amp; Logistics'!$H$24:$H$30,0)),"N/A")</f>
        <v>N/A</v>
      </c>
      <c r="O202" s="605" t="str">
        <f>IFERROR(VLOOKUP($I202,'Upper Cask Movement &amp; Logistics'!$H$4:$I$8,2,FALSE),"N/A")</f>
        <v>N/A</v>
      </c>
      <c r="P202" s="602" t="str">
        <f t="shared" si="20"/>
        <v>N/A</v>
      </c>
      <c r="Q202" s="1234"/>
      <c r="R202" s="602" t="str">
        <f>IF($F202="Logistics",VLOOKUP($Q202,'Upper Cask Movement &amp; Logistics'!$C$4:$D$209,2,FALSE),"N/A")</f>
        <v>N/A</v>
      </c>
      <c r="S202" s="1235"/>
      <c r="T202" s="602" t="str">
        <f>IFERROR(VLOOKUP($S202,'Upper Cask Recovery Logistics'!$C$207:$F$366,4,FALSE),"N/A")</f>
        <v>N/A</v>
      </c>
      <c r="U202" s="1236" t="str">
        <f t="shared" si="23"/>
        <v>N/A</v>
      </c>
      <c r="V202" s="1510"/>
      <c r="X202" s="273"/>
      <c r="Y202" s="273"/>
      <c r="Z202" s="273"/>
      <c r="AA202" s="752"/>
      <c r="AB202" s="290"/>
      <c r="AC202" s="290"/>
      <c r="AD202" s="290"/>
      <c r="AE202" s="7"/>
      <c r="AF202" s="7"/>
      <c r="AG202" s="7"/>
      <c r="AH202" s="7"/>
    </row>
    <row r="203" spans="2:34" ht="15.75" hidden="1" customHeight="1" outlineLevel="2" thickBot="1" x14ac:dyDescent="0.45">
      <c r="B203" s="921"/>
      <c r="C203" s="5"/>
      <c r="D203" s="3994"/>
      <c r="E203" s="609" t="s">
        <v>1248</v>
      </c>
      <c r="F203" s="609" t="s">
        <v>3</v>
      </c>
      <c r="G203" s="610">
        <f t="shared" si="21"/>
        <v>0.38</v>
      </c>
      <c r="H203" s="610">
        <f t="shared" si="22"/>
        <v>12.564831063433541</v>
      </c>
      <c r="I203" s="609"/>
      <c r="J203" s="610" t="str">
        <f>IF(F203="operation",VLOOKUP(I203,'Generic Vertical Port Tasks'!$C$4:$D208,2,FALSE),"N/A")</f>
        <v>N/A</v>
      </c>
      <c r="K203" s="609"/>
      <c r="L203" s="609"/>
      <c r="M203" s="609"/>
      <c r="N203" s="613" t="str">
        <f>IFERROR(INDEX('Upper Cask Movement &amp; Logistics'!$I$24:$O$30,MATCH($J203,'Upper Cask Movement &amp; Logistics'!$H$24:$H$30,0),MATCH($K203,'Upper Cask Movement &amp; Logistics'!$H$24:$H$30,0)),"N/A")</f>
        <v>N/A</v>
      </c>
      <c r="O203" s="613" t="str">
        <f>IFERROR(VLOOKUP($I203,'Upper Cask Movement &amp; Logistics'!$H$4:$I$8,2,FALSE),"N/A")</f>
        <v>N/A</v>
      </c>
      <c r="P203" s="610" t="str">
        <f t="shared" si="20"/>
        <v>N/A</v>
      </c>
      <c r="Q203" s="1237" t="s">
        <v>1230</v>
      </c>
      <c r="R203" s="610">
        <f>IF($F203="Logistics",VLOOKUP($Q203,'Upper Cask Movement &amp; Logistics'!$C$4:$D$209,2,FALSE),"N/A")</f>
        <v>0.38</v>
      </c>
      <c r="S203" s="1238"/>
      <c r="T203" s="610" t="str">
        <f>IFERROR(VLOOKUP($S203,'Upper Cask Recovery Logistics'!$C$207:$F$366,4,FALSE),"N/A")</f>
        <v>N/A</v>
      </c>
      <c r="U203" s="1239" t="str">
        <f t="shared" si="23"/>
        <v>N/A</v>
      </c>
      <c r="V203" s="1510"/>
      <c r="X203" s="273"/>
      <c r="Y203" s="273"/>
      <c r="Z203" s="273"/>
      <c r="AA203" s="752"/>
      <c r="AB203" s="290"/>
      <c r="AC203" s="290"/>
      <c r="AD203" s="290"/>
      <c r="AE203" s="7"/>
      <c r="AF203" s="7"/>
      <c r="AG203" s="7"/>
      <c r="AH203" s="7"/>
    </row>
    <row r="204" spans="2:34" ht="15" hidden="1" customHeight="1" outlineLevel="2" x14ac:dyDescent="0.4">
      <c r="B204" s="921"/>
      <c r="C204" s="5"/>
      <c r="D204" s="3984" t="s">
        <v>835</v>
      </c>
      <c r="E204" s="1333" t="s">
        <v>1517</v>
      </c>
      <c r="F204" s="1333" t="s">
        <v>3</v>
      </c>
      <c r="G204" s="1303">
        <f t="shared" si="21"/>
        <v>0.38</v>
      </c>
      <c r="H204" s="1303">
        <f t="shared" si="22"/>
        <v>12.944831063433542</v>
      </c>
      <c r="I204" s="1333"/>
      <c r="J204" s="1303" t="str">
        <f>IF(F204="operation",VLOOKUP(I204,'Generic Vertical Port Tasks'!$C$4:$D209,2,FALSE),"N/A")</f>
        <v>N/A</v>
      </c>
      <c r="K204" s="1333"/>
      <c r="L204" s="1333"/>
      <c r="M204" s="1333"/>
      <c r="N204" s="1334" t="str">
        <f>IFERROR(INDEX('Upper Cask Movement &amp; Logistics'!$I$24:$O$30,MATCH($J204,'Upper Cask Movement &amp; Logistics'!$H$24:$H$30,0),MATCH($K204,'Upper Cask Movement &amp; Logistics'!$H$24:$H$30,0)),"N/A")</f>
        <v>N/A</v>
      </c>
      <c r="O204" s="1334" t="str">
        <f>IFERROR(VLOOKUP($I204,'Upper Cask Movement &amp; Logistics'!$H$4:$I$8,2,FALSE),"N/A")</f>
        <v>N/A</v>
      </c>
      <c r="P204" s="1303" t="str">
        <f t="shared" si="20"/>
        <v>N/A</v>
      </c>
      <c r="Q204" s="1504" t="s">
        <v>1226</v>
      </c>
      <c r="R204" s="1303">
        <f>IF($F204="Logistics",VLOOKUP($Q204,'Upper Cask Movement &amp; Logistics'!$C$4:$D$209,2,FALSE),"N/A")</f>
        <v>0.38</v>
      </c>
      <c r="S204" s="1505"/>
      <c r="T204" s="1303" t="str">
        <f>IFERROR(VLOOKUP($S204,'Upper Cask Recovery Logistics'!$C$207:$F$366,4,FALSE),"N/A")</f>
        <v>N/A</v>
      </c>
      <c r="U204" s="1506" t="str">
        <f t="shared" si="23"/>
        <v>N/A</v>
      </c>
      <c r="V204" s="1510"/>
      <c r="X204" s="273"/>
      <c r="Y204" s="273"/>
      <c r="Z204" s="273"/>
      <c r="AA204" s="752"/>
      <c r="AB204" s="290"/>
      <c r="AC204" s="290"/>
      <c r="AD204" s="290"/>
      <c r="AE204" s="7"/>
      <c r="AF204" s="7"/>
      <c r="AG204" s="7"/>
      <c r="AH204" s="7"/>
    </row>
    <row r="205" spans="2:34" ht="15" hidden="1" customHeight="1" outlineLevel="2" x14ac:dyDescent="0.4">
      <c r="B205" s="921"/>
      <c r="C205" s="5"/>
      <c r="D205" s="3985"/>
      <c r="E205" s="1243" t="s">
        <v>127</v>
      </c>
      <c r="F205" s="1243" t="s">
        <v>251</v>
      </c>
      <c r="G205" s="1244">
        <f t="shared" si="21"/>
        <v>0.72499999999999998</v>
      </c>
      <c r="H205" s="1244">
        <f t="shared" si="22"/>
        <v>13.669831063433541</v>
      </c>
      <c r="I205" s="1243" t="s">
        <v>253</v>
      </c>
      <c r="J205" s="1244">
        <f>IF(F205="operation",VLOOKUP(I205,'Generic Vertical Port Tasks'!$C$4:$D210,2,FALSE),"N/A")</f>
        <v>0.72499999999999998</v>
      </c>
      <c r="K205" s="1243"/>
      <c r="L205" s="1243"/>
      <c r="M205" s="1243"/>
      <c r="N205" s="1245" t="str">
        <f>IFERROR(INDEX('Upper Cask Movement &amp; Logistics'!$I$24:$O$30,MATCH($J205,'Upper Cask Movement &amp; Logistics'!$H$24:$H$30,0),MATCH($K205,'Upper Cask Movement &amp; Logistics'!$H$24:$H$30,0)),"N/A")</f>
        <v>N/A</v>
      </c>
      <c r="O205" s="1245" t="str">
        <f>IFERROR(VLOOKUP($I205,'Upper Cask Movement &amp; Logistics'!$H$4:$I$8,2,FALSE),"N/A")</f>
        <v>N/A</v>
      </c>
      <c r="P205" s="1244" t="str">
        <f t="shared" si="20"/>
        <v>N/A</v>
      </c>
      <c r="Q205" s="1246"/>
      <c r="R205" s="1244" t="str">
        <f>IF($F205="Logistics",VLOOKUP($Q205,'Upper Cask Movement &amp; Logistics'!$C$4:$D$209,2,FALSE),"N/A")</f>
        <v>N/A</v>
      </c>
      <c r="S205" s="1247"/>
      <c r="T205" s="1244" t="str">
        <f>IFERROR(VLOOKUP($S205,'Upper Cask Recovery Logistics'!$C$207:$F$366,4,FALSE),"N/A")</f>
        <v>N/A</v>
      </c>
      <c r="U205" s="1248" t="str">
        <f t="shared" si="23"/>
        <v>N/A</v>
      </c>
      <c r="V205" s="1510"/>
      <c r="X205" s="273"/>
      <c r="Y205" s="273"/>
      <c r="Z205" s="273"/>
      <c r="AA205" s="752"/>
      <c r="AB205" s="290"/>
      <c r="AC205" s="290"/>
      <c r="AD205" s="290"/>
      <c r="AE205" s="7"/>
      <c r="AF205" s="7"/>
      <c r="AG205" s="7"/>
      <c r="AH205" s="7"/>
    </row>
    <row r="206" spans="2:34" ht="15" hidden="1" customHeight="1" outlineLevel="2" x14ac:dyDescent="0.4">
      <c r="B206" s="921"/>
      <c r="C206" s="5"/>
      <c r="D206" s="3985"/>
      <c r="E206" s="1243" t="s">
        <v>1256</v>
      </c>
      <c r="F206" s="1243" t="s">
        <v>3</v>
      </c>
      <c r="G206" s="1244">
        <f t="shared" si="21"/>
        <v>0.63000000000000012</v>
      </c>
      <c r="H206" s="1244">
        <f t="shared" si="22"/>
        <v>14.299831063433542</v>
      </c>
      <c r="I206" s="1243"/>
      <c r="J206" s="1244" t="str">
        <f>IF(F206="operation",VLOOKUP(I206,'Generic Vertical Port Tasks'!$C$4:$D211,2,FALSE),"N/A")</f>
        <v>N/A</v>
      </c>
      <c r="K206" s="1243"/>
      <c r="L206" s="1243"/>
      <c r="M206" s="1243"/>
      <c r="N206" s="1245" t="str">
        <f>IFERROR(INDEX('Upper Cask Movement &amp; Logistics'!$I$24:$O$30,MATCH($J206,'Upper Cask Movement &amp; Logistics'!$H$24:$H$30,0),MATCH($K206,'Upper Cask Movement &amp; Logistics'!$H$24:$H$30,0)),"N/A")</f>
        <v>N/A</v>
      </c>
      <c r="O206" s="1245" t="str">
        <f>IFERROR(VLOOKUP($I206,'Upper Cask Movement &amp; Logistics'!$H$4:$I$8,2,FALSE),"N/A")</f>
        <v>N/A</v>
      </c>
      <c r="P206" s="1244" t="str">
        <f t="shared" si="20"/>
        <v>N/A</v>
      </c>
      <c r="Q206" s="1246" t="s">
        <v>1228</v>
      </c>
      <c r="R206" s="1244">
        <f>IF($F206="Logistics",VLOOKUP($Q206,'Upper Cask Movement &amp; Logistics'!$C$4:$D$209,2,FALSE),"N/A")</f>
        <v>0.63000000000000012</v>
      </c>
      <c r="S206" s="1247" t="s">
        <v>1372</v>
      </c>
      <c r="T206" s="1244">
        <f>IFERROR(VLOOKUP($S206,'Upper Cask Recovery Logistics'!$C$207:$F$366,4,FALSE),"N/A")</f>
        <v>7.4608414576426965</v>
      </c>
      <c r="U206" s="1248">
        <f t="shared" si="23"/>
        <v>6.2089896057908449</v>
      </c>
      <c r="V206" s="1510"/>
      <c r="X206" s="273"/>
      <c r="Y206" s="273"/>
      <c r="Z206" s="273"/>
      <c r="AA206" s="752"/>
      <c r="AB206" s="290"/>
      <c r="AC206" s="290"/>
      <c r="AD206" s="290"/>
      <c r="AE206" s="7"/>
      <c r="AF206" s="7"/>
      <c r="AG206" s="7"/>
      <c r="AH206" s="7"/>
    </row>
    <row r="207" spans="2:34" ht="15.75" hidden="1" customHeight="1" outlineLevel="2" thickBot="1" x14ac:dyDescent="0.45">
      <c r="B207" s="921"/>
      <c r="C207" s="5"/>
      <c r="D207" s="3986"/>
      <c r="E207" s="1314" t="s">
        <v>1251</v>
      </c>
      <c r="F207" s="1314" t="s">
        <v>3</v>
      </c>
      <c r="G207" s="1316">
        <f t="shared" si="21"/>
        <v>0.38</v>
      </c>
      <c r="H207" s="1316">
        <f t="shared" si="22"/>
        <v>14.679831063433543</v>
      </c>
      <c r="I207" s="1314"/>
      <c r="J207" s="1316" t="str">
        <f>IF(F207="operation",VLOOKUP(I207,'Generic Vertical Port Tasks'!$C$4:$D212,2,FALSE),"N/A")</f>
        <v>N/A</v>
      </c>
      <c r="K207" s="1314"/>
      <c r="L207" s="1314"/>
      <c r="M207" s="1314"/>
      <c r="N207" s="1319" t="str">
        <f>IFERROR(INDEX('Upper Cask Movement &amp; Logistics'!$I$24:$O$30,MATCH($J207,'Upper Cask Movement &amp; Logistics'!$H$24:$H$30,0),MATCH($K207,'Upper Cask Movement &amp; Logistics'!$H$24:$H$30,0)),"N/A")</f>
        <v>N/A</v>
      </c>
      <c r="O207" s="1319" t="str">
        <f>IFERROR(VLOOKUP($I207,'Upper Cask Movement &amp; Logistics'!$H$4:$I$8,2,FALSE),"N/A")</f>
        <v>N/A</v>
      </c>
      <c r="P207" s="1316" t="str">
        <f t="shared" si="20"/>
        <v>N/A</v>
      </c>
      <c r="Q207" s="1507" t="s">
        <v>1230</v>
      </c>
      <c r="R207" s="1316">
        <f>IF($F207="Logistics",VLOOKUP($Q207,'Upper Cask Movement &amp; Logistics'!$C$4:$D$209,2,FALSE),"N/A")</f>
        <v>0.38</v>
      </c>
      <c r="S207" s="1508"/>
      <c r="T207" s="1316" t="str">
        <f>IFERROR(VLOOKUP($S207,'Upper Cask Recovery Logistics'!$C$207:$F$366,4,FALSE),"N/A")</f>
        <v>N/A</v>
      </c>
      <c r="U207" s="1509" t="str">
        <f t="shared" si="23"/>
        <v>N/A</v>
      </c>
      <c r="V207" s="1510"/>
      <c r="X207" s="273"/>
      <c r="Y207" s="273"/>
      <c r="Z207" s="273"/>
      <c r="AA207" s="752"/>
      <c r="AB207" s="290"/>
      <c r="AC207" s="290"/>
      <c r="AD207" s="290"/>
      <c r="AE207" s="7"/>
      <c r="AF207" s="7"/>
      <c r="AG207" s="7"/>
      <c r="AH207" s="7"/>
    </row>
    <row r="208" spans="2:34" ht="15" hidden="1" customHeight="1" outlineLevel="2" x14ac:dyDescent="0.4">
      <c r="B208" s="921"/>
      <c r="C208" s="5"/>
      <c r="D208" s="3992" t="s">
        <v>836</v>
      </c>
      <c r="E208" s="596" t="s">
        <v>1252</v>
      </c>
      <c r="F208" s="596" t="s">
        <v>3</v>
      </c>
      <c r="G208" s="593">
        <f t="shared" si="21"/>
        <v>0.38</v>
      </c>
      <c r="H208" s="593">
        <f t="shared" si="22"/>
        <v>15.059831063433544</v>
      </c>
      <c r="I208" s="596"/>
      <c r="J208" s="593" t="str">
        <f>IF(F208="operation",VLOOKUP(I208,'Generic Vertical Port Tasks'!$C$4:$D213,2,FALSE),"N/A")</f>
        <v>N/A</v>
      </c>
      <c r="K208" s="596"/>
      <c r="L208" s="596"/>
      <c r="M208" s="596"/>
      <c r="N208" s="597" t="str">
        <f>IFERROR(INDEX('Upper Cask Movement &amp; Logistics'!$I$24:$O$30,MATCH($J208,'Upper Cask Movement &amp; Logistics'!$H$24:$H$30,0),MATCH($K208,'Upper Cask Movement &amp; Logistics'!$H$24:$H$30,0)),"N/A")</f>
        <v>N/A</v>
      </c>
      <c r="O208" s="597" t="str">
        <f>IFERROR(VLOOKUP($I208,'Upper Cask Movement &amp; Logistics'!$H$4:$I$8,2,FALSE),"N/A")</f>
        <v>N/A</v>
      </c>
      <c r="P208" s="593" t="str">
        <f t="shared" si="20"/>
        <v>N/A</v>
      </c>
      <c r="Q208" s="1253" t="s">
        <v>1226</v>
      </c>
      <c r="R208" s="593">
        <f>IF($F208="Logistics",VLOOKUP($Q208,'Upper Cask Movement &amp; Logistics'!$C$4:$D$209,2,FALSE),"N/A")</f>
        <v>0.38</v>
      </c>
      <c r="S208" s="1254"/>
      <c r="T208" s="593" t="str">
        <f>IFERROR(VLOOKUP($S208,'Upper Cask Recovery Logistics'!$C$207:$F$366,4,FALSE),"N/A")</f>
        <v>N/A</v>
      </c>
      <c r="U208" s="1255" t="str">
        <f t="shared" si="23"/>
        <v>N/A</v>
      </c>
      <c r="V208" s="1510"/>
      <c r="X208" s="273"/>
      <c r="Y208" s="273"/>
      <c r="Z208" s="273"/>
      <c r="AA208" s="752"/>
      <c r="AB208" s="290"/>
      <c r="AC208" s="290"/>
      <c r="AD208" s="290"/>
      <c r="AE208" s="7"/>
      <c r="AF208" s="7"/>
      <c r="AG208" s="7"/>
      <c r="AH208" s="7"/>
    </row>
    <row r="209" spans="2:34" ht="15.75" hidden="1" customHeight="1" outlineLevel="2" x14ac:dyDescent="0.4">
      <c r="B209" s="921"/>
      <c r="C209" s="5"/>
      <c r="D209" s="3993"/>
      <c r="E209" s="601" t="s">
        <v>21</v>
      </c>
      <c r="F209" s="601" t="s">
        <v>251</v>
      </c>
      <c r="G209" s="602">
        <f t="shared" si="21"/>
        <v>6.83</v>
      </c>
      <c r="H209" s="602">
        <f t="shared" si="22"/>
        <v>21.889831063433544</v>
      </c>
      <c r="I209" s="601" t="s">
        <v>252</v>
      </c>
      <c r="J209" s="602">
        <f>IF(F209="operation",VLOOKUP(I209,'Generic Vertical Port Tasks'!$C$4:$D214,2,FALSE),"N/A")</f>
        <v>6.83</v>
      </c>
      <c r="K209" s="601"/>
      <c r="L209" s="601"/>
      <c r="M209" s="601"/>
      <c r="N209" s="605" t="str">
        <f>IFERROR(INDEX('Upper Cask Movement &amp; Logistics'!$I$24:$O$30,MATCH($J209,'Upper Cask Movement &amp; Logistics'!$H$24:$H$30,0),MATCH($K209,'Upper Cask Movement &amp; Logistics'!$H$24:$H$30,0)),"N/A")</f>
        <v>N/A</v>
      </c>
      <c r="O209" s="605" t="str">
        <f>IFERROR(VLOOKUP($I209,'Upper Cask Movement &amp; Logistics'!$H$4:$I$8,2,FALSE),"N/A")</f>
        <v>N/A</v>
      </c>
      <c r="P209" s="602" t="str">
        <f t="shared" si="20"/>
        <v>N/A</v>
      </c>
      <c r="Q209" s="1234"/>
      <c r="R209" s="602" t="str">
        <f>IF($F209="Logistics",VLOOKUP($Q209,'Upper Cask Movement &amp; Logistics'!$C$4:$D$209,2,FALSE),"N/A")</f>
        <v>N/A</v>
      </c>
      <c r="S209" s="1235"/>
      <c r="T209" s="602" t="str">
        <f>IFERROR(VLOOKUP($S209,'Upper Cask Recovery Logistics'!$C$207:$F$366,4,FALSE),"N/A")</f>
        <v>N/A</v>
      </c>
      <c r="U209" s="1236" t="str">
        <f t="shared" si="23"/>
        <v>N/A</v>
      </c>
      <c r="V209" s="1510"/>
      <c r="X209" s="273"/>
      <c r="Y209" s="273"/>
      <c r="Z209" s="273"/>
      <c r="AA209" s="752"/>
      <c r="AB209" s="290"/>
      <c r="AC209" s="290"/>
      <c r="AD209" s="290"/>
      <c r="AE209" s="7"/>
      <c r="AF209" s="7"/>
      <c r="AG209" s="7"/>
      <c r="AH209" s="7"/>
    </row>
    <row r="210" spans="2:34" ht="15" hidden="1" customHeight="1" outlineLevel="2" x14ac:dyDescent="0.4">
      <c r="B210" s="921"/>
      <c r="C210" s="5"/>
      <c r="D210" s="3993"/>
      <c r="E210" s="601" t="s">
        <v>1246</v>
      </c>
      <c r="F210" s="601" t="s">
        <v>3</v>
      </c>
      <c r="G210" s="602">
        <f t="shared" si="21"/>
        <v>0.38</v>
      </c>
      <c r="H210" s="602">
        <f t="shared" si="22"/>
        <v>22.269831063433543</v>
      </c>
      <c r="I210" s="601"/>
      <c r="J210" s="602" t="str">
        <f>IF(F210="operation",VLOOKUP(I210,'Generic Vertical Port Tasks'!$C$4:$D215,2,FALSE),"N/A")</f>
        <v>N/A</v>
      </c>
      <c r="K210" s="601"/>
      <c r="L210" s="601"/>
      <c r="M210" s="601"/>
      <c r="N210" s="605" t="str">
        <f>IFERROR(INDEX('Upper Cask Movement &amp; Logistics'!$I$24:$O$30,MATCH($J210,'Upper Cask Movement &amp; Logistics'!$H$24:$H$30,0),MATCH($K210,'Upper Cask Movement &amp; Logistics'!$H$24:$H$30,0)),"N/A")</f>
        <v>N/A</v>
      </c>
      <c r="O210" s="605" t="str">
        <f>IFERROR(VLOOKUP($I210,'Upper Cask Movement &amp; Logistics'!$H$4:$I$8,2,FALSE),"N/A")</f>
        <v>N/A</v>
      </c>
      <c r="P210" s="602" t="str">
        <f t="shared" si="20"/>
        <v>N/A</v>
      </c>
      <c r="Q210" s="1234" t="s">
        <v>1230</v>
      </c>
      <c r="R210" s="602">
        <f>IF($F210="Logistics",VLOOKUP($Q210,'Upper Cask Movement &amp; Logistics'!$C$4:$D$209,2,FALSE),"N/A")</f>
        <v>0.38</v>
      </c>
      <c r="S210" s="1235"/>
      <c r="T210" s="602" t="str">
        <f>IFERROR(VLOOKUP($S210,'Upper Cask Recovery Logistics'!$C$207:$F$366,4,FALSE),"N/A")</f>
        <v>N/A</v>
      </c>
      <c r="U210" s="1236" t="str">
        <f t="shared" si="23"/>
        <v>N/A</v>
      </c>
      <c r="V210" s="1510"/>
      <c r="X210" s="273"/>
      <c r="Y210" s="273"/>
      <c r="Z210" s="273"/>
      <c r="AA210" s="752"/>
      <c r="AB210" s="290"/>
      <c r="AC210" s="290"/>
      <c r="AD210" s="290"/>
      <c r="AE210" s="7"/>
      <c r="AF210" s="7"/>
      <c r="AG210" s="7"/>
      <c r="AH210" s="7"/>
    </row>
    <row r="211" spans="2:34" ht="15.75" hidden="1" customHeight="1" outlineLevel="2" x14ac:dyDescent="0.4">
      <c r="B211" s="921"/>
      <c r="C211" s="5"/>
      <c r="D211" s="3993"/>
      <c r="E211" s="601" t="s">
        <v>1247</v>
      </c>
      <c r="F211" s="601" t="s">
        <v>3</v>
      </c>
      <c r="G211" s="602">
        <f t="shared" si="21"/>
        <v>0.38</v>
      </c>
      <c r="H211" s="602">
        <f t="shared" si="22"/>
        <v>22.649831063433542</v>
      </c>
      <c r="I211" s="601"/>
      <c r="J211" s="602" t="str">
        <f>IF(F211="operation",VLOOKUP(I211,'Generic Vertical Port Tasks'!$C$4:$D216,2,FALSE),"N/A")</f>
        <v>N/A</v>
      </c>
      <c r="K211" s="601"/>
      <c r="L211" s="601"/>
      <c r="M211" s="601"/>
      <c r="N211" s="605" t="str">
        <f>IFERROR(INDEX('Upper Cask Movement &amp; Logistics'!$I$24:$O$30,MATCH($J211,'Upper Cask Movement &amp; Logistics'!$H$24:$H$30,0),MATCH($K211,'Upper Cask Movement &amp; Logistics'!$H$24:$H$30,0)),"N/A")</f>
        <v>N/A</v>
      </c>
      <c r="O211" s="605" t="str">
        <f>IFERROR(VLOOKUP($I211,'Upper Cask Movement &amp; Logistics'!$H$4:$I$8,2,FALSE),"N/A")</f>
        <v>N/A</v>
      </c>
      <c r="P211" s="602" t="str">
        <f t="shared" si="20"/>
        <v>N/A</v>
      </c>
      <c r="Q211" s="1234" t="s">
        <v>1226</v>
      </c>
      <c r="R211" s="602">
        <f>IF($F211="Logistics",VLOOKUP($Q211,'Upper Cask Movement &amp; Logistics'!$C$4:$D$209,2,FALSE),"N/A")</f>
        <v>0.38</v>
      </c>
      <c r="S211" s="1235"/>
      <c r="T211" s="602" t="str">
        <f>IFERROR(VLOOKUP($S211,'Upper Cask Recovery Logistics'!$C$207:$F$366,4,FALSE),"N/A")</f>
        <v>N/A</v>
      </c>
      <c r="U211" s="1236" t="str">
        <f t="shared" si="23"/>
        <v>N/A</v>
      </c>
      <c r="V211" s="1510"/>
      <c r="X211" s="273"/>
      <c r="Y211" s="273"/>
      <c r="Z211" s="273"/>
      <c r="AA211" s="752"/>
      <c r="AB211" s="5"/>
      <c r="AC211" s="7"/>
      <c r="AD211" s="7"/>
      <c r="AE211" s="7"/>
      <c r="AF211" s="7"/>
      <c r="AG211" s="7"/>
      <c r="AH211" s="7"/>
    </row>
    <row r="212" spans="2:34" ht="25.5" hidden="1" customHeight="1" outlineLevel="2" x14ac:dyDescent="0.4">
      <c r="B212" s="921"/>
      <c r="C212" s="5"/>
      <c r="D212" s="3993"/>
      <c r="E212" s="601" t="s">
        <v>152</v>
      </c>
      <c r="F212" s="601" t="s">
        <v>251</v>
      </c>
      <c r="G212" s="602">
        <f t="shared" si="21"/>
        <v>1.0499155317167692</v>
      </c>
      <c r="H212" s="602">
        <f t="shared" si="22"/>
        <v>23.699746595150312</v>
      </c>
      <c r="I212" s="601" t="s">
        <v>2491</v>
      </c>
      <c r="J212" s="602">
        <f>IF(F212="operation",VLOOKUP(I212,'Generic Vertical Port Tasks'!$C$4:$D217,2,FALSE),"N/A")</f>
        <v>1.0499155317167692</v>
      </c>
      <c r="K212" s="601"/>
      <c r="L212" s="601"/>
      <c r="M212" s="601"/>
      <c r="N212" s="605" t="str">
        <f>IFERROR(INDEX('Upper Cask Movement &amp; Logistics'!$I$24:$O$30,MATCH($J212,'Upper Cask Movement &amp; Logistics'!$H$24:$H$30,0),MATCH($K212,'Upper Cask Movement &amp; Logistics'!$H$24:$H$30,0)),"N/A")</f>
        <v>N/A</v>
      </c>
      <c r="O212" s="605" t="str">
        <f>IFERROR(VLOOKUP($I212,'Upper Cask Movement &amp; Logistics'!$H$4:$I$8,2,FALSE),"N/A")</f>
        <v>N/A</v>
      </c>
      <c r="P212" s="602" t="str">
        <f t="shared" si="20"/>
        <v>N/A</v>
      </c>
      <c r="Q212" s="1234"/>
      <c r="R212" s="602" t="str">
        <f>IF($F212="Logistics",VLOOKUP($Q212,'Upper Cask Movement &amp; Logistics'!$C$4:$D$209,2,FALSE),"N/A")</f>
        <v>N/A</v>
      </c>
      <c r="S212" s="1235"/>
      <c r="T212" s="602" t="str">
        <f>IFERROR(VLOOKUP($S212,'Upper Cask Recovery Logistics'!$C$207:$F$366,4,FALSE),"N/A")</f>
        <v>N/A</v>
      </c>
      <c r="U212" s="1236" t="str">
        <f t="shared" si="23"/>
        <v>N/A</v>
      </c>
      <c r="V212" s="1510"/>
      <c r="X212" s="273"/>
      <c r="Y212" s="273"/>
      <c r="Z212" s="273"/>
      <c r="AA212" s="752"/>
      <c r="AB212" s="5"/>
      <c r="AC212" s="7"/>
      <c r="AD212" s="7"/>
      <c r="AE212" s="7"/>
      <c r="AF212" s="7"/>
      <c r="AG212" s="7"/>
      <c r="AH212" s="7"/>
    </row>
    <row r="213" spans="2:34" ht="15" hidden="1" customHeight="1" outlineLevel="2" thickBot="1" x14ac:dyDescent="0.45">
      <c r="B213" s="921"/>
      <c r="C213" s="5"/>
      <c r="D213" s="3994"/>
      <c r="E213" s="609" t="s">
        <v>1248</v>
      </c>
      <c r="F213" s="609" t="s">
        <v>3</v>
      </c>
      <c r="G213" s="610">
        <f t="shared" si="21"/>
        <v>0.38</v>
      </c>
      <c r="H213" s="610">
        <f t="shared" si="22"/>
        <v>24.079746595150311</v>
      </c>
      <c r="I213" s="609"/>
      <c r="J213" s="610" t="str">
        <f>IF(F213="operation",VLOOKUP(I213,'Generic Vertical Port Tasks'!$C$4:$D218,2,FALSE),"N/A")</f>
        <v>N/A</v>
      </c>
      <c r="K213" s="609"/>
      <c r="L213" s="609"/>
      <c r="M213" s="609"/>
      <c r="N213" s="613" t="str">
        <f>IFERROR(INDEX('Upper Cask Movement &amp; Logistics'!$I$24:$O$30,MATCH($J213,'Upper Cask Movement &amp; Logistics'!$H$24:$H$30,0),MATCH($K213,'Upper Cask Movement &amp; Logistics'!$H$24:$H$30,0)),"N/A")</f>
        <v>N/A</v>
      </c>
      <c r="O213" s="613" t="str">
        <f>IFERROR(VLOOKUP($I213,'Upper Cask Movement &amp; Logistics'!$H$4:$I$8,2,FALSE),"N/A")</f>
        <v>N/A</v>
      </c>
      <c r="P213" s="610" t="str">
        <f t="shared" si="20"/>
        <v>N/A</v>
      </c>
      <c r="Q213" s="1237" t="s">
        <v>1230</v>
      </c>
      <c r="R213" s="610">
        <f>IF($F213="Logistics",VLOOKUP($Q213,'Upper Cask Movement &amp; Logistics'!$C$4:$D$209,2,FALSE),"N/A")</f>
        <v>0.38</v>
      </c>
      <c r="S213" s="1238"/>
      <c r="T213" s="610" t="str">
        <f>IFERROR(VLOOKUP($S213,'Upper Cask Recovery Logistics'!$C$207:$F$366,4,FALSE),"N/A")</f>
        <v>N/A</v>
      </c>
      <c r="U213" s="1239" t="str">
        <f t="shared" si="23"/>
        <v>N/A</v>
      </c>
      <c r="V213" s="1510"/>
      <c r="X213" s="273"/>
      <c r="Y213" s="273"/>
      <c r="Z213" s="273"/>
      <c r="AA213" s="752"/>
      <c r="AB213" s="5"/>
      <c r="AC213" s="7"/>
      <c r="AD213" s="7"/>
      <c r="AE213" s="7"/>
      <c r="AF213" s="7"/>
      <c r="AG213" s="7"/>
      <c r="AH213" s="7"/>
    </row>
    <row r="214" spans="2:34" ht="15" hidden="1" customHeight="1" outlineLevel="2" x14ac:dyDescent="0.4">
      <c r="B214" s="921"/>
      <c r="C214" s="5"/>
      <c r="D214" s="3984" t="s">
        <v>839</v>
      </c>
      <c r="E214" s="1333" t="s">
        <v>1517</v>
      </c>
      <c r="F214" s="1333" t="s">
        <v>3</v>
      </c>
      <c r="G214" s="1303">
        <f t="shared" si="21"/>
        <v>0.38</v>
      </c>
      <c r="H214" s="1303">
        <f t="shared" si="22"/>
        <v>24.45974659515031</v>
      </c>
      <c r="I214" s="1333"/>
      <c r="J214" s="1303" t="str">
        <f>IF(F214="operation",VLOOKUP(I214,'Generic Vertical Port Tasks'!$C$4:$D219,2,FALSE),"N/A")</f>
        <v>N/A</v>
      </c>
      <c r="K214" s="1333"/>
      <c r="L214" s="1333"/>
      <c r="M214" s="1333"/>
      <c r="N214" s="1334" t="str">
        <f>IFERROR(INDEX('Upper Cask Movement &amp; Logistics'!$I$24:$O$30,MATCH($J214,'Upper Cask Movement &amp; Logistics'!$H$24:$H$30,0),MATCH($K214,'Upper Cask Movement &amp; Logistics'!$H$24:$H$30,0)),"N/A")</f>
        <v>N/A</v>
      </c>
      <c r="O214" s="1334" t="str">
        <f>IFERROR(VLOOKUP($I214,'Upper Cask Movement &amp; Logistics'!$H$4:$I$8,2,FALSE),"N/A")</f>
        <v>N/A</v>
      </c>
      <c r="P214" s="1303" t="str">
        <f t="shared" si="20"/>
        <v>N/A</v>
      </c>
      <c r="Q214" s="1504" t="s">
        <v>1226</v>
      </c>
      <c r="R214" s="1303">
        <f>IF($F214="Logistics",VLOOKUP($Q214,'Upper Cask Movement &amp; Logistics'!$C$4:$D$209,2,FALSE),"N/A")</f>
        <v>0.38</v>
      </c>
      <c r="S214" s="1505"/>
      <c r="T214" s="1303" t="str">
        <f>IFERROR(VLOOKUP($S214,'Upper Cask Recovery Logistics'!$C$207:$F$366,4,FALSE),"N/A")</f>
        <v>N/A</v>
      </c>
      <c r="U214" s="1506" t="str">
        <f t="shared" si="23"/>
        <v>N/A</v>
      </c>
      <c r="V214" s="1510"/>
      <c r="X214" s="273"/>
      <c r="Y214" s="273"/>
      <c r="Z214" s="273"/>
      <c r="AA214" s="752"/>
      <c r="AB214" s="5"/>
      <c r="AC214" s="7"/>
      <c r="AD214" s="7"/>
      <c r="AE214" s="7"/>
      <c r="AF214" s="7"/>
      <c r="AG214" s="7"/>
      <c r="AH214" s="7"/>
    </row>
    <row r="215" spans="2:34" ht="15" hidden="1" customHeight="1" outlineLevel="2" x14ac:dyDescent="0.4">
      <c r="B215" s="921"/>
      <c r="C215" s="5"/>
      <c r="D215" s="3985"/>
      <c r="E215" s="1243" t="s">
        <v>129</v>
      </c>
      <c r="F215" s="1243" t="s">
        <v>251</v>
      </c>
      <c r="G215" s="1244">
        <f t="shared" si="21"/>
        <v>0.72499999999999998</v>
      </c>
      <c r="H215" s="1244">
        <f t="shared" si="22"/>
        <v>25.184746595150312</v>
      </c>
      <c r="I215" s="1243" t="s">
        <v>253</v>
      </c>
      <c r="J215" s="1244">
        <f>IF(F215="operation",VLOOKUP(I215,'Generic Vertical Port Tasks'!$C$4:$D220,2,FALSE),"N/A")</f>
        <v>0.72499999999999998</v>
      </c>
      <c r="K215" s="1243"/>
      <c r="L215" s="1243"/>
      <c r="M215" s="1243"/>
      <c r="N215" s="1245" t="str">
        <f>IFERROR(INDEX('Upper Cask Movement &amp; Logistics'!$I$24:$O$30,MATCH($J215,'Upper Cask Movement &amp; Logistics'!$H$24:$H$30,0),MATCH($K215,'Upper Cask Movement &amp; Logistics'!$H$24:$H$30,0)),"N/A")</f>
        <v>N/A</v>
      </c>
      <c r="O215" s="1245" t="str">
        <f>IFERROR(VLOOKUP($I215,'Upper Cask Movement &amp; Logistics'!$H$4:$I$8,2,FALSE),"N/A")</f>
        <v>N/A</v>
      </c>
      <c r="P215" s="1244" t="str">
        <f t="shared" si="20"/>
        <v>N/A</v>
      </c>
      <c r="Q215" s="1246"/>
      <c r="R215" s="1244" t="str">
        <f>IF($F215="Logistics",VLOOKUP($Q215,'Upper Cask Movement &amp; Logistics'!$C$4:$D$209,2,FALSE),"N/A")</f>
        <v>N/A</v>
      </c>
      <c r="S215" s="1247"/>
      <c r="T215" s="1244" t="str">
        <f>IFERROR(VLOOKUP($S215,'Upper Cask Recovery Logistics'!$C$207:$F$366,4,FALSE),"N/A")</f>
        <v>N/A</v>
      </c>
      <c r="U215" s="1248" t="str">
        <f t="shared" si="23"/>
        <v>N/A</v>
      </c>
      <c r="V215" s="1510"/>
      <c r="X215" s="273"/>
      <c r="Y215" s="273"/>
      <c r="Z215" s="273"/>
      <c r="AA215" s="752"/>
      <c r="AB215" s="5"/>
      <c r="AC215" s="7"/>
      <c r="AD215" s="7"/>
      <c r="AE215" s="7"/>
      <c r="AF215" s="7"/>
      <c r="AG215" s="7"/>
      <c r="AH215" s="7"/>
    </row>
    <row r="216" spans="2:34" ht="15" hidden="1" customHeight="1" outlineLevel="2" x14ac:dyDescent="0.4">
      <c r="B216" s="921"/>
      <c r="C216" s="5"/>
      <c r="D216" s="3985"/>
      <c r="E216" s="1243" t="s">
        <v>1257</v>
      </c>
      <c r="F216" s="1243" t="s">
        <v>3</v>
      </c>
      <c r="G216" s="1244">
        <f t="shared" si="21"/>
        <v>0.63000000000000012</v>
      </c>
      <c r="H216" s="1244">
        <f t="shared" si="22"/>
        <v>25.814746595150311</v>
      </c>
      <c r="I216" s="1243"/>
      <c r="J216" s="1244" t="str">
        <f>IF(F216="operation",VLOOKUP(I216,'Generic Vertical Port Tasks'!$C$4:$D221,2,FALSE),"N/A")</f>
        <v>N/A</v>
      </c>
      <c r="K216" s="1243"/>
      <c r="L216" s="1243"/>
      <c r="M216" s="1243"/>
      <c r="N216" s="1245" t="str">
        <f>IFERROR(INDEX('Upper Cask Movement &amp; Logistics'!$I$24:$O$30,MATCH($J216,'Upper Cask Movement &amp; Logistics'!$H$24:$H$30,0),MATCH($K216,'Upper Cask Movement &amp; Logistics'!$H$24:$H$30,0)),"N/A")</f>
        <v>N/A</v>
      </c>
      <c r="O216" s="1245" t="str">
        <f>IFERROR(VLOOKUP($I216,'Upper Cask Movement &amp; Logistics'!$H$4:$I$8,2,FALSE),"N/A")</f>
        <v>N/A</v>
      </c>
      <c r="P216" s="1244" t="str">
        <f t="shared" si="20"/>
        <v>N/A</v>
      </c>
      <c r="Q216" s="1246" t="s">
        <v>1228</v>
      </c>
      <c r="R216" s="1244">
        <f>IF($F216="Logistics",VLOOKUP($Q216,'Upper Cask Movement &amp; Logistics'!$C$4:$D$209,2,FALSE),"N/A")</f>
        <v>0.63000000000000012</v>
      </c>
      <c r="S216" s="1247" t="s">
        <v>1374</v>
      </c>
      <c r="T216" s="1244">
        <f>IFERROR(VLOOKUP($S216,'Upper Cask Recovery Logistics'!$C$207:$F$366,4,FALSE),"N/A")</f>
        <v>18.975756989359464</v>
      </c>
      <c r="U216" s="1248">
        <f t="shared" si="23"/>
        <v>6.2089896057908476</v>
      </c>
      <c r="V216" s="1510"/>
      <c r="X216" s="273"/>
      <c r="Y216" s="273"/>
      <c r="Z216" s="273"/>
      <c r="AA216" s="752"/>
      <c r="AB216" s="5"/>
      <c r="AC216" s="7"/>
      <c r="AD216" s="7"/>
      <c r="AE216" s="7"/>
      <c r="AF216" s="7"/>
      <c r="AG216" s="7"/>
      <c r="AH216" s="7"/>
    </row>
    <row r="217" spans="2:34" ht="15" hidden="1" customHeight="1" outlineLevel="2" thickBot="1" x14ac:dyDescent="0.45">
      <c r="B217" s="921"/>
      <c r="C217" s="5"/>
      <c r="D217" s="3986"/>
      <c r="E217" s="1314" t="s">
        <v>1251</v>
      </c>
      <c r="F217" s="1314" t="s">
        <v>3</v>
      </c>
      <c r="G217" s="1316">
        <f t="shared" si="21"/>
        <v>0.38</v>
      </c>
      <c r="H217" s="1316">
        <f t="shared" si="22"/>
        <v>26.19474659515031</v>
      </c>
      <c r="I217" s="1314"/>
      <c r="J217" s="1316" t="str">
        <f>IF(F217="operation",VLOOKUP(I217,'Generic Vertical Port Tasks'!$C$4:$D222,2,FALSE),"N/A")</f>
        <v>N/A</v>
      </c>
      <c r="K217" s="1314"/>
      <c r="L217" s="1314"/>
      <c r="M217" s="1314"/>
      <c r="N217" s="1319" t="str">
        <f>IFERROR(INDEX('Upper Cask Movement &amp; Logistics'!$I$24:$O$30,MATCH($J217,'Upper Cask Movement &amp; Logistics'!$H$24:$H$30,0),MATCH($K217,'Upper Cask Movement &amp; Logistics'!$H$24:$H$30,0)),"N/A")</f>
        <v>N/A</v>
      </c>
      <c r="O217" s="1319" t="str">
        <f>IFERROR(VLOOKUP($I217,'Upper Cask Movement &amp; Logistics'!$H$4:$I$8,2,FALSE),"N/A")</f>
        <v>N/A</v>
      </c>
      <c r="P217" s="1316" t="str">
        <f t="shared" si="20"/>
        <v>N/A</v>
      </c>
      <c r="Q217" s="1507" t="s">
        <v>1230</v>
      </c>
      <c r="R217" s="1316">
        <f>IF($F217="Logistics",VLOOKUP($Q217,'Upper Cask Movement &amp; Logistics'!$C$4:$D$209,2,FALSE),"N/A")</f>
        <v>0.38</v>
      </c>
      <c r="S217" s="1508"/>
      <c r="T217" s="1316" t="str">
        <f>IFERROR(VLOOKUP($S217,'Upper Cask Recovery Logistics'!$C$207:$F$366,4,FALSE),"N/A")</f>
        <v>N/A</v>
      </c>
      <c r="U217" s="1509" t="str">
        <f t="shared" si="23"/>
        <v>N/A</v>
      </c>
      <c r="V217" s="1510"/>
      <c r="X217" s="273"/>
      <c r="Y217" s="273"/>
      <c r="Z217" s="273"/>
      <c r="AA217" s="752"/>
      <c r="AB217" s="5"/>
      <c r="AC217" s="7"/>
      <c r="AD217" s="7"/>
      <c r="AE217" s="7"/>
      <c r="AF217" s="7"/>
      <c r="AG217" s="7"/>
      <c r="AH217" s="7"/>
    </row>
    <row r="218" spans="2:34" ht="15" hidden="1" customHeight="1" outlineLevel="2" x14ac:dyDescent="0.4">
      <c r="B218" s="921"/>
      <c r="C218" s="5"/>
      <c r="D218" s="3992" t="s">
        <v>840</v>
      </c>
      <c r="E218" s="596" t="s">
        <v>1252</v>
      </c>
      <c r="F218" s="596" t="s">
        <v>3</v>
      </c>
      <c r="G218" s="593">
        <f t="shared" si="21"/>
        <v>0.38</v>
      </c>
      <c r="H218" s="593">
        <f t="shared" si="22"/>
        <v>26.574746595150309</v>
      </c>
      <c r="I218" s="596"/>
      <c r="J218" s="593" t="str">
        <f>IF(F218="operation",VLOOKUP(I218,'Generic Vertical Port Tasks'!$C$4:$D223,2,FALSE),"N/A")</f>
        <v>N/A</v>
      </c>
      <c r="K218" s="596"/>
      <c r="L218" s="596"/>
      <c r="M218" s="596"/>
      <c r="N218" s="597" t="str">
        <f>IFERROR(INDEX('Upper Cask Movement &amp; Logistics'!$I$24:$O$30,MATCH($J218,'Upper Cask Movement &amp; Logistics'!$H$24:$H$30,0),MATCH($K218,'Upper Cask Movement &amp; Logistics'!$H$24:$H$30,0)),"N/A")</f>
        <v>N/A</v>
      </c>
      <c r="O218" s="597" t="str">
        <f>IFERROR(VLOOKUP($I218,'Upper Cask Movement &amp; Logistics'!$H$4:$I$8,2,FALSE),"N/A")</f>
        <v>N/A</v>
      </c>
      <c r="P218" s="593" t="str">
        <f t="shared" si="20"/>
        <v>N/A</v>
      </c>
      <c r="Q218" s="1253" t="s">
        <v>1226</v>
      </c>
      <c r="R218" s="593">
        <f>IF($F218="Logistics",VLOOKUP($Q218,'Upper Cask Movement &amp; Logistics'!$C$4:$D$209,2,FALSE),"N/A")</f>
        <v>0.38</v>
      </c>
      <c r="S218" s="1254"/>
      <c r="T218" s="593" t="str">
        <f>IFERROR(VLOOKUP($S218,'Upper Cask Recovery Logistics'!$C$207:$F$366,4,FALSE),"N/A")</f>
        <v>N/A</v>
      </c>
      <c r="U218" s="1255" t="str">
        <f t="shared" si="23"/>
        <v>N/A</v>
      </c>
      <c r="V218" s="1510"/>
      <c r="X218" s="273"/>
      <c r="Y218" s="273"/>
      <c r="Z218" s="273"/>
      <c r="AA218" s="752"/>
      <c r="AB218" s="5"/>
      <c r="AC218" s="7"/>
      <c r="AD218" s="7"/>
      <c r="AE218" s="7"/>
      <c r="AF218" s="7"/>
      <c r="AG218" s="7"/>
      <c r="AH218" s="7"/>
    </row>
    <row r="219" spans="2:34" ht="15.75" hidden="1" customHeight="1" outlineLevel="2" x14ac:dyDescent="0.4">
      <c r="B219" s="921"/>
      <c r="C219" s="5"/>
      <c r="D219" s="3993"/>
      <c r="E219" s="601" t="s">
        <v>22</v>
      </c>
      <c r="F219" s="601" t="s">
        <v>251</v>
      </c>
      <c r="G219" s="602">
        <f t="shared" si="21"/>
        <v>6.83</v>
      </c>
      <c r="H219" s="602">
        <f t="shared" si="22"/>
        <v>33.404746595150307</v>
      </c>
      <c r="I219" s="601" t="s">
        <v>252</v>
      </c>
      <c r="J219" s="602">
        <f>IF(F219="operation",VLOOKUP(I219,'Generic Vertical Port Tasks'!$C$4:$D224,2,FALSE),"N/A")</f>
        <v>6.83</v>
      </c>
      <c r="K219" s="601"/>
      <c r="L219" s="601"/>
      <c r="M219" s="601"/>
      <c r="N219" s="605" t="str">
        <f>IFERROR(INDEX('Upper Cask Movement &amp; Logistics'!$I$24:$O$30,MATCH($J219,'Upper Cask Movement &amp; Logistics'!$H$24:$H$30,0),MATCH($K219,'Upper Cask Movement &amp; Logistics'!$H$24:$H$30,0)),"N/A")</f>
        <v>N/A</v>
      </c>
      <c r="O219" s="605" t="str">
        <f>IFERROR(VLOOKUP($I219,'Upper Cask Movement &amp; Logistics'!$H$4:$I$8,2,FALSE),"N/A")</f>
        <v>N/A</v>
      </c>
      <c r="P219" s="602" t="str">
        <f t="shared" si="20"/>
        <v>N/A</v>
      </c>
      <c r="Q219" s="1234"/>
      <c r="R219" s="602" t="str">
        <f>IF($F219="Logistics",VLOOKUP($Q219,'Upper Cask Movement &amp; Logistics'!$C$4:$D$209,2,FALSE),"N/A")</f>
        <v>N/A</v>
      </c>
      <c r="S219" s="1235"/>
      <c r="T219" s="602" t="str">
        <f>IFERROR(VLOOKUP($S219,'Upper Cask Recovery Logistics'!$C$207:$F$366,4,FALSE),"N/A")</f>
        <v>N/A</v>
      </c>
      <c r="U219" s="1236" t="str">
        <f t="shared" si="23"/>
        <v>N/A</v>
      </c>
      <c r="V219" s="1510"/>
      <c r="X219" s="273"/>
      <c r="Y219" s="273"/>
      <c r="Z219" s="273"/>
      <c r="AA219" s="752"/>
      <c r="AB219" s="5"/>
      <c r="AC219" s="7"/>
      <c r="AD219" s="7"/>
      <c r="AE219" s="7"/>
      <c r="AF219" s="7"/>
      <c r="AG219" s="7"/>
      <c r="AH219" s="7"/>
    </row>
    <row r="220" spans="2:34" ht="15" hidden="1" customHeight="1" outlineLevel="2" x14ac:dyDescent="0.4">
      <c r="B220" s="921"/>
      <c r="C220" s="5"/>
      <c r="D220" s="3993"/>
      <c r="E220" s="601" t="s">
        <v>1246</v>
      </c>
      <c r="F220" s="601" t="s">
        <v>3</v>
      </c>
      <c r="G220" s="602">
        <f t="shared" si="21"/>
        <v>0.38</v>
      </c>
      <c r="H220" s="602">
        <f t="shared" si="22"/>
        <v>33.78474659515031</v>
      </c>
      <c r="I220" s="601"/>
      <c r="J220" s="602" t="str">
        <f>IF(F220="operation",VLOOKUP(I220,'Generic Vertical Port Tasks'!$C$4:$D225,2,FALSE),"N/A")</f>
        <v>N/A</v>
      </c>
      <c r="K220" s="601"/>
      <c r="L220" s="601"/>
      <c r="M220" s="601"/>
      <c r="N220" s="605" t="str">
        <f>IFERROR(INDEX('Upper Cask Movement &amp; Logistics'!$I$24:$O$30,MATCH($J220,'Upper Cask Movement &amp; Logistics'!$H$24:$H$30,0),MATCH($K220,'Upper Cask Movement &amp; Logistics'!$H$24:$H$30,0)),"N/A")</f>
        <v>N/A</v>
      </c>
      <c r="O220" s="605" t="str">
        <f>IFERROR(VLOOKUP($I220,'Upper Cask Movement &amp; Logistics'!$H$4:$I$8,2,FALSE),"N/A")</f>
        <v>N/A</v>
      </c>
      <c r="P220" s="602" t="str">
        <f t="shared" si="20"/>
        <v>N/A</v>
      </c>
      <c r="Q220" s="1234" t="s">
        <v>1230</v>
      </c>
      <c r="R220" s="602">
        <f>IF($F220="Logistics",VLOOKUP($Q220,'Upper Cask Movement &amp; Logistics'!$C$4:$D$209,2,FALSE),"N/A")</f>
        <v>0.38</v>
      </c>
      <c r="S220" s="1235"/>
      <c r="T220" s="602" t="str">
        <f>IFERROR(VLOOKUP($S220,'Upper Cask Recovery Logistics'!$C$207:$F$366,4,FALSE),"N/A")</f>
        <v>N/A</v>
      </c>
      <c r="U220" s="1236" t="str">
        <f t="shared" si="23"/>
        <v>N/A</v>
      </c>
      <c r="V220" s="1510"/>
      <c r="X220" s="273"/>
      <c r="Y220" s="273"/>
      <c r="Z220" s="273"/>
      <c r="AA220" s="752"/>
      <c r="AB220" s="5"/>
      <c r="AC220" s="7"/>
      <c r="AD220" s="7"/>
      <c r="AE220" s="7"/>
      <c r="AF220" s="7"/>
      <c r="AG220" s="7"/>
      <c r="AH220" s="7"/>
    </row>
    <row r="221" spans="2:34" ht="15" hidden="1" customHeight="1" outlineLevel="2" x14ac:dyDescent="0.4">
      <c r="B221" s="921"/>
      <c r="C221" s="5"/>
      <c r="D221" s="3993"/>
      <c r="E221" s="601" t="s">
        <v>1247</v>
      </c>
      <c r="F221" s="601" t="s">
        <v>3</v>
      </c>
      <c r="G221" s="602">
        <f t="shared" si="21"/>
        <v>0.38</v>
      </c>
      <c r="H221" s="602">
        <f t="shared" si="22"/>
        <v>34.164746595150312</v>
      </c>
      <c r="I221" s="601"/>
      <c r="J221" s="602" t="str">
        <f>IF(F221="operation",VLOOKUP(I221,'Generic Vertical Port Tasks'!$C$4:$D226,2,FALSE),"N/A")</f>
        <v>N/A</v>
      </c>
      <c r="K221" s="601"/>
      <c r="L221" s="601"/>
      <c r="M221" s="601"/>
      <c r="N221" s="605" t="str">
        <f>IFERROR(INDEX('Upper Cask Movement &amp; Logistics'!$I$24:$O$30,MATCH($J221,'Upper Cask Movement &amp; Logistics'!$H$24:$H$30,0),MATCH($K221,'Upper Cask Movement &amp; Logistics'!$H$24:$H$30,0)),"N/A")</f>
        <v>N/A</v>
      </c>
      <c r="O221" s="605" t="str">
        <f>IFERROR(VLOOKUP($I221,'Upper Cask Movement &amp; Logistics'!$H$4:$I$8,2,FALSE),"N/A")</f>
        <v>N/A</v>
      </c>
      <c r="P221" s="602" t="str">
        <f t="shared" si="20"/>
        <v>N/A</v>
      </c>
      <c r="Q221" s="1234" t="s">
        <v>1226</v>
      </c>
      <c r="R221" s="602">
        <f>IF($F221="Logistics",VLOOKUP($Q221,'Upper Cask Movement &amp; Logistics'!$C$4:$D$209,2,FALSE),"N/A")</f>
        <v>0.38</v>
      </c>
      <c r="S221" s="1235"/>
      <c r="T221" s="602" t="str">
        <f>IFERROR(VLOOKUP($S221,'Upper Cask Recovery Logistics'!$C$207:$F$366,4,FALSE),"N/A")</f>
        <v>N/A</v>
      </c>
      <c r="U221" s="1236" t="str">
        <f t="shared" si="23"/>
        <v>N/A</v>
      </c>
      <c r="V221" s="1510"/>
      <c r="X221" s="273"/>
      <c r="Y221" s="273"/>
      <c r="Z221" s="273"/>
      <c r="AA221" s="752"/>
      <c r="AB221" s="5"/>
      <c r="AC221" s="7"/>
      <c r="AD221" s="7"/>
      <c r="AE221" s="7"/>
      <c r="AF221" s="7"/>
      <c r="AG221" s="7"/>
      <c r="AH221" s="7"/>
    </row>
    <row r="222" spans="2:34" ht="15" hidden="1" customHeight="1" outlineLevel="2" x14ac:dyDescent="0.4">
      <c r="B222" s="921"/>
      <c r="C222" s="5"/>
      <c r="D222" s="3993"/>
      <c r="E222" s="601" t="s">
        <v>153</v>
      </c>
      <c r="F222" s="601" t="s">
        <v>251</v>
      </c>
      <c r="G222" s="602">
        <f t="shared" si="21"/>
        <v>1.0499155317167692</v>
      </c>
      <c r="H222" s="602">
        <f t="shared" si="22"/>
        <v>35.214662126867083</v>
      </c>
      <c r="I222" s="601" t="s">
        <v>2491</v>
      </c>
      <c r="J222" s="602">
        <f>IF(F222="operation",VLOOKUP(I222,'Generic Vertical Port Tasks'!$C$4:$D227,2,FALSE),"N/A")</f>
        <v>1.0499155317167692</v>
      </c>
      <c r="K222" s="601"/>
      <c r="L222" s="601"/>
      <c r="M222" s="601"/>
      <c r="N222" s="605" t="str">
        <f>IFERROR(INDEX('Upper Cask Movement &amp; Logistics'!$I$24:$O$30,MATCH($J222,'Upper Cask Movement &amp; Logistics'!$H$24:$H$30,0),MATCH($K222,'Upper Cask Movement &amp; Logistics'!$H$24:$H$30,0)),"N/A")</f>
        <v>N/A</v>
      </c>
      <c r="O222" s="605" t="str">
        <f>IFERROR(VLOOKUP($I222,'Upper Cask Movement &amp; Logistics'!$H$4:$I$8,2,FALSE),"N/A")</f>
        <v>N/A</v>
      </c>
      <c r="P222" s="602" t="str">
        <f t="shared" si="20"/>
        <v>N/A</v>
      </c>
      <c r="Q222" s="1234"/>
      <c r="R222" s="602" t="str">
        <f>IF($F222="Logistics",VLOOKUP($Q222,'Upper Cask Movement &amp; Logistics'!$C$4:$D$209,2,FALSE),"N/A")</f>
        <v>N/A</v>
      </c>
      <c r="S222" s="1235"/>
      <c r="T222" s="602" t="str">
        <f>IFERROR(VLOOKUP($S222,'Upper Cask Recovery Logistics'!$C$207:$F$366,4,FALSE),"N/A")</f>
        <v>N/A</v>
      </c>
      <c r="U222" s="1236" t="str">
        <f t="shared" si="23"/>
        <v>N/A</v>
      </c>
      <c r="V222" s="1510"/>
      <c r="X222" s="273"/>
      <c r="Y222" s="273"/>
      <c r="Z222" s="273"/>
      <c r="AA222" s="752"/>
      <c r="AB222" s="5"/>
      <c r="AC222" s="7"/>
      <c r="AD222" s="7"/>
      <c r="AE222" s="7"/>
      <c r="AF222" s="7"/>
      <c r="AG222" s="7"/>
      <c r="AH222" s="7"/>
    </row>
    <row r="223" spans="2:34" ht="15" hidden="1" customHeight="1" outlineLevel="2" thickBot="1" x14ac:dyDescent="0.45">
      <c r="B223" s="921"/>
      <c r="C223" s="5"/>
      <c r="D223" s="3994"/>
      <c r="E223" s="609" t="s">
        <v>1248</v>
      </c>
      <c r="F223" s="609" t="s">
        <v>3</v>
      </c>
      <c r="G223" s="610">
        <f t="shared" si="21"/>
        <v>0.38</v>
      </c>
      <c r="H223" s="610">
        <f t="shared" si="22"/>
        <v>35.594662126867085</v>
      </c>
      <c r="I223" s="609"/>
      <c r="J223" s="610" t="str">
        <f>IF(F223="operation",VLOOKUP(I223,'Generic Vertical Port Tasks'!$C$4:$D228,2,FALSE),"N/A")</f>
        <v>N/A</v>
      </c>
      <c r="K223" s="609"/>
      <c r="L223" s="609"/>
      <c r="M223" s="609"/>
      <c r="N223" s="613" t="str">
        <f>IFERROR(INDEX('Upper Cask Movement &amp; Logistics'!$I$24:$O$30,MATCH($J223,'Upper Cask Movement &amp; Logistics'!$H$24:$H$30,0),MATCH($K223,'Upper Cask Movement &amp; Logistics'!$H$24:$H$30,0)),"N/A")</f>
        <v>N/A</v>
      </c>
      <c r="O223" s="613" t="str">
        <f>IFERROR(VLOOKUP($I223,'Upper Cask Movement &amp; Logistics'!$H$4:$I$8,2,FALSE),"N/A")</f>
        <v>N/A</v>
      </c>
      <c r="P223" s="610" t="str">
        <f t="shared" si="20"/>
        <v>N/A</v>
      </c>
      <c r="Q223" s="1237" t="s">
        <v>1230</v>
      </c>
      <c r="R223" s="610">
        <f>IF($F223="Logistics",VLOOKUP($Q223,'Upper Cask Movement &amp; Logistics'!$C$4:$D$209,2,FALSE),"N/A")</f>
        <v>0.38</v>
      </c>
      <c r="S223" s="1238"/>
      <c r="T223" s="610" t="str">
        <f>IFERROR(VLOOKUP($S223,'Upper Cask Recovery Logistics'!$C$207:$F$366,4,FALSE),"N/A")</f>
        <v>N/A</v>
      </c>
      <c r="U223" s="1239" t="str">
        <f t="shared" si="23"/>
        <v>N/A</v>
      </c>
      <c r="V223" s="1510"/>
      <c r="X223" s="273"/>
      <c r="Y223" s="273"/>
      <c r="Z223" s="273"/>
      <c r="AA223" s="752"/>
      <c r="AB223" s="5"/>
      <c r="AC223" s="7"/>
      <c r="AD223" s="7"/>
      <c r="AE223" s="7"/>
      <c r="AF223" s="7"/>
      <c r="AG223" s="7"/>
      <c r="AH223" s="7"/>
    </row>
    <row r="224" spans="2:34" ht="15" hidden="1" customHeight="1" outlineLevel="2" x14ac:dyDescent="0.4">
      <c r="B224" s="921"/>
      <c r="C224" s="5"/>
      <c r="D224" s="3984" t="s">
        <v>843</v>
      </c>
      <c r="E224" s="1333" t="s">
        <v>1517</v>
      </c>
      <c r="F224" s="1333" t="s">
        <v>3</v>
      </c>
      <c r="G224" s="1303">
        <f t="shared" si="21"/>
        <v>0.38</v>
      </c>
      <c r="H224" s="1303">
        <f t="shared" si="22"/>
        <v>35.974662126867088</v>
      </c>
      <c r="I224" s="1333"/>
      <c r="J224" s="1303" t="str">
        <f>IF(F224="operation",VLOOKUP(I224,'Generic Vertical Port Tasks'!$C$4:$D229,2,FALSE),"N/A")</f>
        <v>N/A</v>
      </c>
      <c r="K224" s="1333"/>
      <c r="L224" s="1333"/>
      <c r="M224" s="1333"/>
      <c r="N224" s="1334" t="str">
        <f>IFERROR(INDEX('Upper Cask Movement &amp; Logistics'!$I$24:$O$30,MATCH($J224,'Upper Cask Movement &amp; Logistics'!$H$24:$H$30,0),MATCH($K224,'Upper Cask Movement &amp; Logistics'!$H$24:$H$30,0)),"N/A")</f>
        <v>N/A</v>
      </c>
      <c r="O224" s="1334" t="str">
        <f>IFERROR(VLOOKUP($I224,'Upper Cask Movement &amp; Logistics'!$H$4:$I$8,2,FALSE),"N/A")</f>
        <v>N/A</v>
      </c>
      <c r="P224" s="1303" t="str">
        <f t="shared" si="20"/>
        <v>N/A</v>
      </c>
      <c r="Q224" s="1504" t="s">
        <v>1226</v>
      </c>
      <c r="R224" s="1303">
        <f>IF($F224="Logistics",VLOOKUP($Q224,'Upper Cask Movement &amp; Logistics'!$C$4:$D$209,2,FALSE),"N/A")</f>
        <v>0.38</v>
      </c>
      <c r="S224" s="1505"/>
      <c r="T224" s="1303" t="str">
        <f>IFERROR(VLOOKUP($S224,'Upper Cask Recovery Logistics'!$C$207:$F$366,4,FALSE),"N/A")</f>
        <v>N/A</v>
      </c>
      <c r="U224" s="1506" t="str">
        <f t="shared" si="23"/>
        <v>N/A</v>
      </c>
      <c r="V224" s="1510"/>
      <c r="X224" s="273"/>
      <c r="Y224" s="273"/>
      <c r="Z224" s="273"/>
      <c r="AA224" s="752"/>
      <c r="AB224" s="5"/>
      <c r="AC224" s="7"/>
      <c r="AD224" s="7"/>
      <c r="AE224" s="7"/>
      <c r="AF224" s="7"/>
      <c r="AG224" s="7"/>
      <c r="AH224" s="7"/>
    </row>
    <row r="225" spans="2:34" ht="15" hidden="1" customHeight="1" outlineLevel="2" x14ac:dyDescent="0.4">
      <c r="B225" s="921"/>
      <c r="C225" s="5"/>
      <c r="D225" s="3985"/>
      <c r="E225" s="1243" t="s">
        <v>131</v>
      </c>
      <c r="F225" s="1243" t="s">
        <v>251</v>
      </c>
      <c r="G225" s="1244">
        <f t="shared" si="21"/>
        <v>0.72499999999999998</v>
      </c>
      <c r="H225" s="1244">
        <f t="shared" si="22"/>
        <v>36.699662126867089</v>
      </c>
      <c r="I225" s="1243" t="s">
        <v>253</v>
      </c>
      <c r="J225" s="1244">
        <f>IF(F225="operation",VLOOKUP(I225,'Generic Vertical Port Tasks'!$C$4:$D230,2,FALSE),"N/A")</f>
        <v>0.72499999999999998</v>
      </c>
      <c r="K225" s="1243"/>
      <c r="L225" s="1243"/>
      <c r="M225" s="1243"/>
      <c r="N225" s="1245" t="str">
        <f>IFERROR(INDEX('Upper Cask Movement &amp; Logistics'!$I$24:$O$30,MATCH($J225,'Upper Cask Movement &amp; Logistics'!$H$24:$H$30,0),MATCH($K225,'Upper Cask Movement &amp; Logistics'!$H$24:$H$30,0)),"N/A")</f>
        <v>N/A</v>
      </c>
      <c r="O225" s="1245" t="str">
        <f>IFERROR(VLOOKUP($I225,'Upper Cask Movement &amp; Logistics'!$H$4:$I$8,2,FALSE),"N/A")</f>
        <v>N/A</v>
      </c>
      <c r="P225" s="1244" t="str">
        <f t="shared" si="20"/>
        <v>N/A</v>
      </c>
      <c r="Q225" s="1246"/>
      <c r="R225" s="1244" t="str">
        <f>IF($F225="Logistics",VLOOKUP($Q225,'Upper Cask Movement &amp; Logistics'!$C$4:$D$209,2,FALSE),"N/A")</f>
        <v>N/A</v>
      </c>
      <c r="S225" s="1247"/>
      <c r="T225" s="1244" t="str">
        <f>IFERROR(VLOOKUP($S225,'Upper Cask Recovery Logistics'!$C$207:$F$366,4,FALSE),"N/A")</f>
        <v>N/A</v>
      </c>
      <c r="U225" s="1248" t="str">
        <f t="shared" si="23"/>
        <v>N/A</v>
      </c>
      <c r="V225" s="1510"/>
      <c r="X225" s="273"/>
      <c r="Y225" s="273"/>
      <c r="Z225" s="273"/>
      <c r="AA225" s="752"/>
      <c r="AB225" s="5"/>
      <c r="AC225" s="7"/>
      <c r="AD225" s="7"/>
      <c r="AE225" s="7"/>
      <c r="AF225" s="7"/>
      <c r="AG225" s="7"/>
      <c r="AH225" s="7"/>
    </row>
    <row r="226" spans="2:34" ht="15" hidden="1" customHeight="1" outlineLevel="2" x14ac:dyDescent="0.4">
      <c r="B226" s="921"/>
      <c r="C226" s="5"/>
      <c r="D226" s="3985"/>
      <c r="E226" s="1243" t="s">
        <v>1258</v>
      </c>
      <c r="F226" s="1243" t="s">
        <v>3</v>
      </c>
      <c r="G226" s="1244">
        <f t="shared" si="21"/>
        <v>0.63000000000000012</v>
      </c>
      <c r="H226" s="1244">
        <f t="shared" si="22"/>
        <v>37.329662126867092</v>
      </c>
      <c r="I226" s="1243"/>
      <c r="J226" s="1244" t="str">
        <f>IF(F226="operation",VLOOKUP(I226,'Generic Vertical Port Tasks'!$C$4:$D231,2,FALSE),"N/A")</f>
        <v>N/A</v>
      </c>
      <c r="K226" s="1243"/>
      <c r="L226" s="1243"/>
      <c r="M226" s="1243"/>
      <c r="N226" s="1245" t="str">
        <f>IFERROR(INDEX('Upper Cask Movement &amp; Logistics'!$I$24:$O$30,MATCH($J226,'Upper Cask Movement &amp; Logistics'!$H$24:$H$30,0),MATCH($K226,'Upper Cask Movement &amp; Logistics'!$H$24:$H$30,0)),"N/A")</f>
        <v>N/A</v>
      </c>
      <c r="O226" s="1245" t="str">
        <f>IFERROR(VLOOKUP($I226,'Upper Cask Movement &amp; Logistics'!$H$4:$I$8,2,FALSE),"N/A")</f>
        <v>N/A</v>
      </c>
      <c r="P226" s="1244" t="str">
        <f t="shared" si="20"/>
        <v>N/A</v>
      </c>
      <c r="Q226" s="1246" t="s">
        <v>1228</v>
      </c>
      <c r="R226" s="1244">
        <f>IF($F226="Logistics",VLOOKUP($Q226,'Upper Cask Movement &amp; Logistics'!$C$4:$D$209,2,FALSE),"N/A")</f>
        <v>0.63000000000000012</v>
      </c>
      <c r="S226" s="1247" t="s">
        <v>1376</v>
      </c>
      <c r="T226" s="1244">
        <f>IFERROR(VLOOKUP($S226,'Upper Cask Recovery Logistics'!$C$207:$F$366,4,FALSE),"N/A")</f>
        <v>30.490672521076235</v>
      </c>
      <c r="U226" s="1248">
        <f t="shared" si="23"/>
        <v>6.2089896057908547</v>
      </c>
      <c r="V226" s="1510"/>
      <c r="X226" s="273"/>
      <c r="Y226" s="273"/>
      <c r="Z226" s="273"/>
      <c r="AA226" s="752"/>
      <c r="AB226" s="5"/>
      <c r="AC226" s="7"/>
      <c r="AD226" s="7"/>
      <c r="AE226" s="7"/>
      <c r="AF226" s="7"/>
      <c r="AG226" s="7"/>
      <c r="AH226" s="7"/>
    </row>
    <row r="227" spans="2:34" ht="15" hidden="1" customHeight="1" outlineLevel="2" x14ac:dyDescent="0.4">
      <c r="B227" s="921"/>
      <c r="C227" s="5"/>
      <c r="D227" s="3985"/>
      <c r="E227" s="1243" t="s">
        <v>1251</v>
      </c>
      <c r="F227" s="1243" t="s">
        <v>3</v>
      </c>
      <c r="G227" s="1244">
        <f t="shared" si="21"/>
        <v>0.38</v>
      </c>
      <c r="H227" s="1244">
        <f t="shared" si="22"/>
        <v>37.709662126867094</v>
      </c>
      <c r="I227" s="1243"/>
      <c r="J227" s="1244" t="str">
        <f>IF(F227="operation",VLOOKUP(I227,'Generic Vertical Port Tasks'!$C$4:$D232,2,FALSE),"N/A")</f>
        <v>N/A</v>
      </c>
      <c r="K227" s="1243"/>
      <c r="L227" s="1243"/>
      <c r="M227" s="1243"/>
      <c r="N227" s="1245" t="str">
        <f>IFERROR(INDEX('Upper Cask Movement &amp; Logistics'!$I$24:$O$30,MATCH($J227,'Upper Cask Movement &amp; Logistics'!$H$24:$H$30,0),MATCH($K227,'Upper Cask Movement &amp; Logistics'!$H$24:$H$30,0)),"N/A")</f>
        <v>N/A</v>
      </c>
      <c r="O227" s="1245" t="str">
        <f>IFERROR(VLOOKUP($I227,'Upper Cask Movement &amp; Logistics'!$H$4:$I$8,2,FALSE),"N/A")</f>
        <v>N/A</v>
      </c>
      <c r="P227" s="1244" t="str">
        <f t="shared" si="20"/>
        <v>N/A</v>
      </c>
      <c r="Q227" s="1246" t="s">
        <v>1230</v>
      </c>
      <c r="R227" s="1244">
        <f>IF($F227="Logistics",VLOOKUP($Q227,'Upper Cask Movement &amp; Logistics'!$C$4:$D$209,2,FALSE),"N/A")</f>
        <v>0.38</v>
      </c>
      <c r="S227" s="1247"/>
      <c r="T227" s="1244" t="str">
        <f>IFERROR(VLOOKUP($S227,'Upper Cask Recovery Logistics'!$C$207:$F$366,4,FALSE),"N/A")</f>
        <v>N/A</v>
      </c>
      <c r="U227" s="1248" t="str">
        <f t="shared" si="23"/>
        <v>N/A</v>
      </c>
      <c r="V227" s="1510"/>
      <c r="X227" s="273"/>
      <c r="Y227" s="273"/>
      <c r="Z227" s="273"/>
      <c r="AA227" s="752"/>
      <c r="AB227" s="5"/>
      <c r="AC227" s="7"/>
      <c r="AD227" s="7"/>
      <c r="AE227" s="7"/>
      <c r="AF227" s="7"/>
      <c r="AG227" s="7"/>
      <c r="AH227" s="7"/>
    </row>
    <row r="228" spans="2:34" ht="15" hidden="1" customHeight="1" outlineLevel="2" thickBot="1" x14ac:dyDescent="0.45">
      <c r="B228" s="921"/>
      <c r="C228" s="5"/>
      <c r="D228" s="3986"/>
      <c r="E228" s="1314" t="s">
        <v>1259</v>
      </c>
      <c r="F228" s="1314" t="s">
        <v>3</v>
      </c>
      <c r="G228" s="1316">
        <f t="shared" si="21"/>
        <v>2.5400000000000005</v>
      </c>
      <c r="H228" s="1316">
        <f t="shared" si="22"/>
        <v>40.249662126867094</v>
      </c>
      <c r="I228" s="1314"/>
      <c r="J228" s="1316" t="str">
        <f>IF(F228="operation",VLOOKUP(I228,'Generic Vertical Port Tasks'!$C$4:$D233,2,FALSE),"N/A")</f>
        <v>N/A</v>
      </c>
      <c r="K228" s="1314"/>
      <c r="L228" s="1314"/>
      <c r="M228" s="1314"/>
      <c r="N228" s="1319" t="str">
        <f>IFERROR(INDEX('Upper Cask Movement &amp; Logistics'!$I$24:$O$30,MATCH($J228,'Upper Cask Movement &amp; Logistics'!$H$24:$H$30,0),MATCH($K228,'Upper Cask Movement &amp; Logistics'!$H$24:$H$30,0)),"N/A")</f>
        <v>N/A</v>
      </c>
      <c r="O228" s="1319" t="str">
        <f>IFERROR(VLOOKUP($I228,'Upper Cask Movement &amp; Logistics'!$H$4:$I$8,2,FALSE),"N/A")</f>
        <v>N/A</v>
      </c>
      <c r="P228" s="1316" t="str">
        <f t="shared" si="20"/>
        <v>N/A</v>
      </c>
      <c r="Q228" s="1507" t="s">
        <v>1260</v>
      </c>
      <c r="R228" s="1316">
        <f>IF($F228="Logistics",VLOOKUP($Q228,'Upper Cask Movement &amp; Logistics'!$C$4:$D$209,2,FALSE),"N/A")</f>
        <v>2.5400000000000005</v>
      </c>
      <c r="S228" s="1508"/>
      <c r="T228" s="1316" t="str">
        <f>IFERROR(VLOOKUP($S228,'Upper Cask Recovery Logistics'!$C$207:$F$366,4,FALSE),"N/A")</f>
        <v>N/A</v>
      </c>
      <c r="U228" s="1509" t="str">
        <f t="shared" si="23"/>
        <v>N/A</v>
      </c>
      <c r="V228" s="1510"/>
      <c r="X228" s="273"/>
      <c r="Y228" s="273"/>
      <c r="Z228" s="273"/>
      <c r="AA228" s="752"/>
      <c r="AB228" s="5"/>
      <c r="AC228" s="7"/>
      <c r="AD228" s="7"/>
      <c r="AE228" s="7"/>
      <c r="AF228" s="7"/>
      <c r="AG228" s="7"/>
      <c r="AH228" s="7"/>
    </row>
    <row r="229" spans="2:34" ht="15.75" hidden="1" customHeight="1" outlineLevel="2" x14ac:dyDescent="0.4">
      <c r="B229" s="921"/>
      <c r="C229" s="5"/>
      <c r="D229" s="3820" t="s">
        <v>13</v>
      </c>
      <c r="E229" s="1256" t="s">
        <v>1261</v>
      </c>
      <c r="F229" s="596" t="s">
        <v>3</v>
      </c>
      <c r="G229" s="593">
        <f t="shared" si="21"/>
        <v>1.6400000000000001</v>
      </c>
      <c r="H229" s="593">
        <f t="shared" si="22"/>
        <v>43.564106571311534</v>
      </c>
      <c r="I229" s="596"/>
      <c r="J229" s="593" t="str">
        <f>IF(F229="operation",VLOOKUP(I229,'Generic Vertical Port Tasks'!$C$4:$D234,2,FALSE),"N/A")</f>
        <v>N/A</v>
      </c>
      <c r="K229" s="596"/>
      <c r="L229" s="596"/>
      <c r="M229" s="596"/>
      <c r="N229" s="597" t="str">
        <f>IFERROR(INDEX('Upper Cask Movement &amp; Logistics'!$I$24:$O$30,MATCH($J229,'Upper Cask Movement &amp; Logistics'!$H$24:$H$30,0),MATCH($K229,'Upper Cask Movement &amp; Logistics'!$H$24:$H$30,0)),"N/A")</f>
        <v>N/A</v>
      </c>
      <c r="O229" s="597" t="str">
        <f>IFERROR(VLOOKUP($I229,'Upper Cask Movement &amp; Logistics'!$H$4:$I$8,2,FALSE),"N/A")</f>
        <v>N/A</v>
      </c>
      <c r="P229" s="593" t="str">
        <f t="shared" si="20"/>
        <v>N/A</v>
      </c>
      <c r="Q229" s="1253" t="s">
        <v>1224</v>
      </c>
      <c r="R229" s="593">
        <f>IF($F229="Logistics",VLOOKUP($Q229,'Upper Cask Movement &amp; Logistics'!$C$4:$D$209,2,FALSE),"N/A")</f>
        <v>1.6400000000000001</v>
      </c>
      <c r="S229" s="1254" t="s">
        <v>1384</v>
      </c>
      <c r="T229" s="593">
        <f>IFERROR(VLOOKUP($S229,'Upper Cask Recovery Logistics'!$C$207:$F$366,4,FALSE),"N/A")</f>
        <v>41.924106571311533</v>
      </c>
      <c r="U229" s="1255">
        <f t="shared" si="23"/>
        <v>-1.6744444444444397</v>
      </c>
      <c r="V229" s="1510"/>
      <c r="X229" s="273"/>
      <c r="Y229" s="273"/>
      <c r="Z229" s="273"/>
      <c r="AA229" s="752"/>
      <c r="AB229" s="5"/>
      <c r="AC229" s="7"/>
      <c r="AD229" s="7"/>
      <c r="AE229" s="7"/>
      <c r="AF229" s="7"/>
      <c r="AG229" s="7"/>
      <c r="AH229" s="7"/>
    </row>
    <row r="230" spans="2:34" ht="25.5" hidden="1" customHeight="1" outlineLevel="2" x14ac:dyDescent="0.4">
      <c r="B230" s="921"/>
      <c r="C230" s="5"/>
      <c r="D230" s="3821"/>
      <c r="E230" s="1257" t="s">
        <v>1262</v>
      </c>
      <c r="F230" s="601" t="s">
        <v>3</v>
      </c>
      <c r="G230" s="602">
        <f t="shared" si="21"/>
        <v>0.38</v>
      </c>
      <c r="H230" s="602">
        <f t="shared" si="22"/>
        <v>43.944106571311536</v>
      </c>
      <c r="I230" s="601"/>
      <c r="J230" s="602" t="str">
        <f>IF(F230="operation",VLOOKUP(I230,'Generic Vertical Port Tasks'!$C$4:$D235,2,FALSE),"N/A")</f>
        <v>N/A</v>
      </c>
      <c r="K230" s="601"/>
      <c r="L230" s="601"/>
      <c r="M230" s="601"/>
      <c r="N230" s="605" t="str">
        <f>IFERROR(INDEX('Upper Cask Movement &amp; Logistics'!$I$24:$O$30,MATCH($J230,'Upper Cask Movement &amp; Logistics'!$H$24:$H$30,0),MATCH($K230,'Upper Cask Movement &amp; Logistics'!$H$24:$H$30,0)),"N/A")</f>
        <v>N/A</v>
      </c>
      <c r="O230" s="605" t="str">
        <f>IFERROR(VLOOKUP($I230,'Upper Cask Movement &amp; Logistics'!$H$4:$I$8,2,FALSE),"N/A")</f>
        <v>N/A</v>
      </c>
      <c r="P230" s="602" t="str">
        <f t="shared" si="20"/>
        <v>N/A</v>
      </c>
      <c r="Q230" s="1234" t="s">
        <v>1226</v>
      </c>
      <c r="R230" s="602">
        <f>IF($F230="Logistics",VLOOKUP($Q230,'Upper Cask Movement &amp; Logistics'!$C$4:$D$209,2,FALSE),"N/A")</f>
        <v>0.38</v>
      </c>
      <c r="S230" s="1235"/>
      <c r="T230" s="602" t="str">
        <f>IFERROR(VLOOKUP($S230,'Upper Cask Recovery Logistics'!$C$207:$F$366,4,FALSE),"N/A")</f>
        <v>N/A</v>
      </c>
      <c r="U230" s="1236" t="str">
        <f t="shared" si="23"/>
        <v>N/A</v>
      </c>
      <c r="V230" s="1510"/>
      <c r="X230" s="273"/>
      <c r="Y230" s="273"/>
      <c r="Z230" s="273"/>
      <c r="AA230" s="752"/>
    </row>
    <row r="231" spans="2:34" s="82" customFormat="1" ht="15.75" hidden="1" customHeight="1" outlineLevel="2" x14ac:dyDescent="0.4">
      <c r="B231" s="921"/>
      <c r="C231" s="5"/>
      <c r="D231" s="3821"/>
      <c r="E231" s="1257" t="s">
        <v>122</v>
      </c>
      <c r="F231" s="601" t="s">
        <v>251</v>
      </c>
      <c r="G231" s="602">
        <f t="shared" si="21"/>
        <v>5.74</v>
      </c>
      <c r="H231" s="602">
        <f t="shared" si="22"/>
        <v>49.684106571311538</v>
      </c>
      <c r="I231" s="601" t="s">
        <v>254</v>
      </c>
      <c r="J231" s="602">
        <f>IF(F231="operation",VLOOKUP(I231,'Generic Vertical Port Tasks'!$C$4:$D236,2,FALSE),"N/A")</f>
        <v>5.74</v>
      </c>
      <c r="K231" s="601"/>
      <c r="L231" s="601"/>
      <c r="M231" s="601"/>
      <c r="N231" s="605" t="str">
        <f>IFERROR(INDEX('Upper Cask Movement &amp; Logistics'!$I$24:$O$30,MATCH($J231,'Upper Cask Movement &amp; Logistics'!$H$24:$H$30,0),MATCH($K231,'Upper Cask Movement &amp; Logistics'!$H$24:$H$30,0)),"N/A")</f>
        <v>N/A</v>
      </c>
      <c r="O231" s="605" t="str">
        <f>IFERROR(VLOOKUP($I231,'Upper Cask Movement &amp; Logistics'!$H$4:$I$8,2,FALSE),"N/A")</f>
        <v>N/A</v>
      </c>
      <c r="P231" s="602" t="str">
        <f t="shared" si="20"/>
        <v>N/A</v>
      </c>
      <c r="Q231" s="1234"/>
      <c r="R231" s="602" t="str">
        <f>IF($F231="Logistics",VLOOKUP($Q231,'Upper Cask Movement &amp; Logistics'!$C$4:$D$209,2,FALSE),"N/A")</f>
        <v>N/A</v>
      </c>
      <c r="S231" s="1235"/>
      <c r="T231" s="602" t="str">
        <f>IFERROR(VLOOKUP($S231,'Upper Cask Recovery Logistics'!$C$207:$F$366,4,FALSE),"N/A")</f>
        <v>N/A</v>
      </c>
      <c r="U231" s="1236" t="str">
        <f t="shared" si="23"/>
        <v>N/A</v>
      </c>
      <c r="V231" s="1510"/>
      <c r="X231" s="5"/>
      <c r="Y231" s="5"/>
      <c r="Z231" s="5"/>
      <c r="AA231" s="889"/>
      <c r="AB231" s="890"/>
    </row>
    <row r="232" spans="2:34" s="82" customFormat="1" ht="15" hidden="1" customHeight="1" outlineLevel="2" x14ac:dyDescent="0.4">
      <c r="B232" s="921"/>
      <c r="C232" s="5"/>
      <c r="D232" s="3821"/>
      <c r="E232" s="1257" t="s">
        <v>1263</v>
      </c>
      <c r="F232" s="601" t="s">
        <v>3</v>
      </c>
      <c r="G232" s="602">
        <f t="shared" si="21"/>
        <v>0.63000000000000012</v>
      </c>
      <c r="H232" s="602">
        <f t="shared" si="22"/>
        <v>50.314106571311541</v>
      </c>
      <c r="I232" s="601"/>
      <c r="J232" s="602" t="str">
        <f>IF(F232="operation",VLOOKUP(I232,'Generic Vertical Port Tasks'!$C$4:$D237,2,FALSE),"N/A")</f>
        <v>N/A</v>
      </c>
      <c r="K232" s="601"/>
      <c r="L232" s="601"/>
      <c r="M232" s="601"/>
      <c r="N232" s="605" t="str">
        <f>IFERROR(INDEX('Upper Cask Movement &amp; Logistics'!$I$24:$O$30,MATCH($J232,'Upper Cask Movement &amp; Logistics'!$H$24:$H$30,0),MATCH($K232,'Upper Cask Movement &amp; Logistics'!$H$24:$H$30,0)),"N/A")</f>
        <v>N/A</v>
      </c>
      <c r="O232" s="605" t="str">
        <f>IFERROR(VLOOKUP($I232,'Upper Cask Movement &amp; Logistics'!$H$4:$I$8,2,FALSE),"N/A")</f>
        <v>N/A</v>
      </c>
      <c r="P232" s="602" t="str">
        <f t="shared" si="20"/>
        <v>N/A</v>
      </c>
      <c r="Q232" s="1234" t="s">
        <v>1228</v>
      </c>
      <c r="R232" s="602">
        <f>IF($F232="Logistics",VLOOKUP($Q232,'Upper Cask Movement &amp; Logistics'!$C$4:$D$209,2,FALSE),"N/A")</f>
        <v>0.63000000000000012</v>
      </c>
      <c r="S232" s="1235" t="s">
        <v>1379</v>
      </c>
      <c r="T232" s="602">
        <f>IFERROR(VLOOKUP($S232,'Upper Cask Recovery Logistics'!$C$207:$F$366,4,FALSE),"N/A")</f>
        <v>43.548921386126338</v>
      </c>
      <c r="U232" s="1236">
        <f t="shared" si="23"/>
        <v>6.1351851851852004</v>
      </c>
      <c r="V232" s="1510"/>
      <c r="X232" s="5"/>
      <c r="Y232" s="5"/>
      <c r="Z232" s="5"/>
      <c r="AA232" s="889"/>
      <c r="AB232" s="890"/>
    </row>
    <row r="233" spans="2:34" s="82" customFormat="1" ht="15" hidden="1" customHeight="1" outlineLevel="2" x14ac:dyDescent="0.4">
      <c r="B233" s="921"/>
      <c r="C233" s="5"/>
      <c r="D233" s="3821"/>
      <c r="E233" s="1257" t="s">
        <v>1262</v>
      </c>
      <c r="F233" s="601" t="s">
        <v>3</v>
      </c>
      <c r="G233" s="602">
        <f t="shared" si="21"/>
        <v>0.5</v>
      </c>
      <c r="H233" s="602">
        <f t="shared" si="22"/>
        <v>50.814106571311541</v>
      </c>
      <c r="I233" s="601"/>
      <c r="J233" s="602" t="str">
        <f>IF(F233="operation",VLOOKUP(I233,'Generic Vertical Port Tasks'!$C$4:$D238,2,FALSE),"N/A")</f>
        <v>N/A</v>
      </c>
      <c r="K233" s="601"/>
      <c r="L233" s="601"/>
      <c r="M233" s="601"/>
      <c r="N233" s="605" t="str">
        <f>IFERROR(INDEX('Upper Cask Movement &amp; Logistics'!$I$24:$O$30,MATCH($J233,'Upper Cask Movement &amp; Logistics'!$H$24:$H$30,0),MATCH($K233,'Upper Cask Movement &amp; Logistics'!$H$24:$H$30,0)),"N/A")</f>
        <v>N/A</v>
      </c>
      <c r="O233" s="605" t="str">
        <f>IFERROR(VLOOKUP($I233,'Upper Cask Movement &amp; Logistics'!$H$4:$I$8,2,FALSE),"N/A")</f>
        <v>N/A</v>
      </c>
      <c r="P233" s="602" t="str">
        <f t="shared" si="20"/>
        <v>N/A</v>
      </c>
      <c r="Q233" s="1234" t="s">
        <v>1208</v>
      </c>
      <c r="R233" s="602">
        <f>IF($F233="Logistics",VLOOKUP($Q233,'Upper Cask Movement &amp; Logistics'!$C$4:$D$209,2,FALSE),"N/A")</f>
        <v>0.5</v>
      </c>
      <c r="S233" s="1235"/>
      <c r="T233" s="602" t="str">
        <f>IFERROR(VLOOKUP($S233,'Upper Cask Recovery Logistics'!$C$207:$F$366,4,FALSE),"N/A")</f>
        <v>N/A</v>
      </c>
      <c r="U233" s="1236" t="str">
        <f t="shared" si="23"/>
        <v>N/A</v>
      </c>
      <c r="V233" s="1510"/>
      <c r="X233" s="5"/>
      <c r="Y233" s="5"/>
      <c r="Z233" s="5"/>
      <c r="AA233" s="889"/>
      <c r="AB233" s="890"/>
    </row>
    <row r="234" spans="2:34" s="82" customFormat="1" ht="15" hidden="1" customHeight="1" outlineLevel="2" x14ac:dyDescent="0.4">
      <c r="B234" s="921"/>
      <c r="C234" s="5"/>
      <c r="D234" s="3821"/>
      <c r="E234" s="1257" t="s">
        <v>135</v>
      </c>
      <c r="F234" s="601" t="s">
        <v>251</v>
      </c>
      <c r="G234" s="602">
        <f t="shared" si="21"/>
        <v>5.74</v>
      </c>
      <c r="H234" s="602">
        <f t="shared" si="22"/>
        <v>56.554106571311543</v>
      </c>
      <c r="I234" s="601" t="s">
        <v>254</v>
      </c>
      <c r="J234" s="602">
        <f>IF(F234="operation",VLOOKUP(I234,'Generic Vertical Port Tasks'!$C$4:$D239,2,FALSE),"N/A")</f>
        <v>5.74</v>
      </c>
      <c r="K234" s="601"/>
      <c r="L234" s="601"/>
      <c r="M234" s="601"/>
      <c r="N234" s="605" t="str">
        <f>IFERROR(INDEX('Upper Cask Movement &amp; Logistics'!$I$24:$O$30,MATCH($J234,'Upper Cask Movement &amp; Logistics'!$H$24:$H$30,0),MATCH($K234,'Upper Cask Movement &amp; Logistics'!$H$24:$H$30,0)),"N/A")</f>
        <v>N/A</v>
      </c>
      <c r="O234" s="605" t="str">
        <f>IFERROR(VLOOKUP($I234,'Upper Cask Movement &amp; Logistics'!$H$4:$I$8,2,FALSE),"N/A")</f>
        <v>N/A</v>
      </c>
      <c r="P234" s="602" t="str">
        <f t="shared" si="20"/>
        <v>N/A</v>
      </c>
      <c r="Q234" s="1234"/>
      <c r="R234" s="602" t="str">
        <f>IF($F234="Logistics",VLOOKUP($Q234,'Upper Cask Movement &amp; Logistics'!$C$4:$D$209,2,FALSE),"N/A")</f>
        <v>N/A</v>
      </c>
      <c r="S234" s="1235"/>
      <c r="T234" s="602" t="str">
        <f>IFERROR(VLOOKUP($S234,'Upper Cask Recovery Logistics'!$C$207:$F$366,4,FALSE),"N/A")</f>
        <v>N/A</v>
      </c>
      <c r="U234" s="1236" t="str">
        <f t="shared" si="23"/>
        <v>N/A</v>
      </c>
      <c r="V234" s="1510"/>
      <c r="X234" s="5"/>
      <c r="Y234" s="5"/>
      <c r="Z234" s="5"/>
      <c r="AA234" s="889"/>
      <c r="AB234" s="890"/>
    </row>
    <row r="235" spans="2:34" s="82" customFormat="1" ht="15.75" hidden="1" customHeight="1" outlineLevel="2" x14ac:dyDescent="0.4">
      <c r="B235" s="921"/>
      <c r="C235" s="5"/>
      <c r="D235" s="3821"/>
      <c r="E235" s="1257" t="s">
        <v>1264</v>
      </c>
      <c r="F235" s="601" t="s">
        <v>3</v>
      </c>
      <c r="G235" s="602">
        <f t="shared" si="21"/>
        <v>0.63000000000000012</v>
      </c>
      <c r="H235" s="602">
        <f t="shared" si="22"/>
        <v>57.184106571311546</v>
      </c>
      <c r="I235" s="601"/>
      <c r="J235" s="602" t="str">
        <f>IF(F235="operation",VLOOKUP(I235,'Generic Vertical Port Tasks'!$C$4:$D240,2,FALSE),"N/A")</f>
        <v>N/A</v>
      </c>
      <c r="K235" s="601"/>
      <c r="L235" s="601"/>
      <c r="M235" s="601"/>
      <c r="N235" s="605" t="str">
        <f>IFERROR(INDEX('Upper Cask Movement &amp; Logistics'!$I$24:$O$30,MATCH($J235,'Upper Cask Movement &amp; Logistics'!$H$24:$H$30,0),MATCH($K235,'Upper Cask Movement &amp; Logistics'!$H$24:$H$30,0)),"N/A")</f>
        <v>N/A</v>
      </c>
      <c r="O235" s="605" t="str">
        <f>IFERROR(VLOOKUP($I235,'Upper Cask Movement &amp; Logistics'!$H$4:$I$8,2,FALSE),"N/A")</f>
        <v>N/A</v>
      </c>
      <c r="P235" s="602" t="str">
        <f t="shared" si="20"/>
        <v>N/A</v>
      </c>
      <c r="Q235" s="1234" t="s">
        <v>1228</v>
      </c>
      <c r="R235" s="602">
        <f>IF($F235="Logistics",VLOOKUP($Q235,'Upper Cask Movement &amp; Logistics'!$C$4:$D$209,2,FALSE),"N/A")</f>
        <v>0.63000000000000012</v>
      </c>
      <c r="S235" s="1235" t="s">
        <v>1388</v>
      </c>
      <c r="T235" s="602">
        <f>IFERROR(VLOOKUP($S235,'Upper Cask Recovery Logistics'!$C$207:$F$366,4,FALSE),"N/A")</f>
        <v>44.02632879353375</v>
      </c>
      <c r="U235" s="1236">
        <f t="shared" si="23"/>
        <v>12.527777777777793</v>
      </c>
      <c r="V235" s="1510"/>
      <c r="X235" s="5"/>
      <c r="Y235" s="5"/>
      <c r="Z235" s="5"/>
      <c r="AA235" s="889"/>
      <c r="AB235" s="890"/>
    </row>
    <row r="236" spans="2:34" s="82" customFormat="1" ht="15" hidden="1" customHeight="1" outlineLevel="2" x14ac:dyDescent="0.4">
      <c r="B236" s="921"/>
      <c r="C236" s="5"/>
      <c r="D236" s="3821"/>
      <c r="E236" s="1257" t="s">
        <v>1262</v>
      </c>
      <c r="F236" s="601" t="s">
        <v>3</v>
      </c>
      <c r="G236" s="602">
        <f t="shared" si="21"/>
        <v>0.5</v>
      </c>
      <c r="H236" s="602">
        <f t="shared" si="22"/>
        <v>57.684106571311546</v>
      </c>
      <c r="I236" s="601"/>
      <c r="J236" s="602" t="str">
        <f>IF(F236="operation",VLOOKUP(I236,'Generic Vertical Port Tasks'!$C$4:$D241,2,FALSE),"N/A")</f>
        <v>N/A</v>
      </c>
      <c r="K236" s="601"/>
      <c r="L236" s="601"/>
      <c r="M236" s="601"/>
      <c r="N236" s="605" t="str">
        <f>IFERROR(INDEX('Upper Cask Movement &amp; Logistics'!$I$24:$O$30,MATCH($J236,'Upper Cask Movement &amp; Logistics'!$H$24:$H$30,0),MATCH($K236,'Upper Cask Movement &amp; Logistics'!$H$24:$H$30,0)),"N/A")</f>
        <v>N/A</v>
      </c>
      <c r="O236" s="605" t="str">
        <f>IFERROR(VLOOKUP($I236,'Upper Cask Movement &amp; Logistics'!$H$4:$I$8,2,FALSE),"N/A")</f>
        <v>N/A</v>
      </c>
      <c r="P236" s="602" t="str">
        <f t="shared" si="20"/>
        <v>N/A</v>
      </c>
      <c r="Q236" s="1234" t="s">
        <v>1208</v>
      </c>
      <c r="R236" s="602">
        <f>IF($F236="Logistics",VLOOKUP($Q236,'Upper Cask Movement &amp; Logistics'!$C$4:$D$209,2,FALSE),"N/A")</f>
        <v>0.5</v>
      </c>
      <c r="S236" s="1235"/>
      <c r="T236" s="602" t="str">
        <f>IFERROR(VLOOKUP($S236,'Upper Cask Recovery Logistics'!$C$207:$F$366,4,FALSE),"N/A")</f>
        <v>N/A</v>
      </c>
      <c r="U236" s="1236" t="str">
        <f t="shared" si="23"/>
        <v>N/A</v>
      </c>
      <c r="V236" s="1510"/>
      <c r="X236" s="5"/>
      <c r="Y236" s="5"/>
      <c r="Z236" s="5"/>
      <c r="AA236" s="889"/>
      <c r="AB236" s="890"/>
    </row>
    <row r="237" spans="2:34" s="82" customFormat="1" ht="15.75" hidden="1" customHeight="1" outlineLevel="2" x14ac:dyDescent="0.4">
      <c r="B237" s="921"/>
      <c r="C237" s="5"/>
      <c r="D237" s="3821"/>
      <c r="E237" s="1257" t="s">
        <v>136</v>
      </c>
      <c r="F237" s="601" t="s">
        <v>251</v>
      </c>
      <c r="G237" s="602">
        <f t="shared" si="21"/>
        <v>5.74</v>
      </c>
      <c r="H237" s="602">
        <f t="shared" si="22"/>
        <v>63.424106571311547</v>
      </c>
      <c r="I237" s="601" t="s">
        <v>254</v>
      </c>
      <c r="J237" s="602">
        <f>IF(F237="operation",VLOOKUP(I237,'Generic Vertical Port Tasks'!$C$4:$D242,2,FALSE),"N/A")</f>
        <v>5.74</v>
      </c>
      <c r="K237" s="601"/>
      <c r="L237" s="601"/>
      <c r="M237" s="601"/>
      <c r="N237" s="605" t="str">
        <f>IFERROR(INDEX('Upper Cask Movement &amp; Logistics'!$I$24:$O$30,MATCH($J237,'Upper Cask Movement &amp; Logistics'!$H$24:$H$30,0),MATCH($K237,'Upper Cask Movement &amp; Logistics'!$H$24:$H$30,0)),"N/A")</f>
        <v>N/A</v>
      </c>
      <c r="O237" s="605" t="str">
        <f>IFERROR(VLOOKUP($I237,'Upper Cask Movement &amp; Logistics'!$H$4:$I$8,2,FALSE),"N/A")</f>
        <v>N/A</v>
      </c>
      <c r="P237" s="602" t="str">
        <f t="shared" si="20"/>
        <v>N/A</v>
      </c>
      <c r="Q237" s="1234"/>
      <c r="R237" s="602" t="str">
        <f>IF($F237="Logistics",VLOOKUP($Q237,'Upper Cask Movement &amp; Logistics'!$C$4:$D$209,2,FALSE),"N/A")</f>
        <v>N/A</v>
      </c>
      <c r="S237" s="1235"/>
      <c r="T237" s="602" t="str">
        <f>IFERROR(VLOOKUP($S237,'Upper Cask Recovery Logistics'!$C$207:$F$366,4,FALSE),"N/A")</f>
        <v>N/A</v>
      </c>
      <c r="U237" s="1236" t="str">
        <f t="shared" si="23"/>
        <v>N/A</v>
      </c>
      <c r="V237" s="1510"/>
      <c r="X237" s="5"/>
      <c r="Y237" s="5"/>
      <c r="Z237" s="5"/>
      <c r="AA237" s="889"/>
      <c r="AB237" s="890"/>
    </row>
    <row r="238" spans="2:34" s="82" customFormat="1" ht="15" hidden="1" customHeight="1" outlineLevel="2" x14ac:dyDescent="0.4">
      <c r="B238" s="921"/>
      <c r="C238" s="5"/>
      <c r="D238" s="3821"/>
      <c r="E238" s="1257" t="s">
        <v>1265</v>
      </c>
      <c r="F238" s="601" t="s">
        <v>3</v>
      </c>
      <c r="G238" s="602">
        <f t="shared" si="21"/>
        <v>0.63000000000000012</v>
      </c>
      <c r="H238" s="602">
        <f t="shared" si="22"/>
        <v>64.05410657131155</v>
      </c>
      <c r="I238" s="601"/>
      <c r="J238" s="602" t="str">
        <f>IF(F238="operation",VLOOKUP(I238,'Generic Vertical Port Tasks'!$C$4:$D243,2,FALSE),"N/A")</f>
        <v>N/A</v>
      </c>
      <c r="K238" s="601"/>
      <c r="L238" s="601"/>
      <c r="M238" s="601"/>
      <c r="N238" s="605" t="str">
        <f>IFERROR(INDEX('Upper Cask Movement &amp; Logistics'!$I$24:$O$30,MATCH($J238,'Upper Cask Movement &amp; Logistics'!$H$24:$H$30,0),MATCH($K238,'Upper Cask Movement &amp; Logistics'!$H$24:$H$30,0)),"N/A")</f>
        <v>N/A</v>
      </c>
      <c r="O238" s="605" t="str">
        <f>IFERROR(VLOOKUP($I238,'Upper Cask Movement &amp; Logistics'!$H$4:$I$8,2,FALSE),"N/A")</f>
        <v>N/A</v>
      </c>
      <c r="P238" s="602" t="str">
        <f t="shared" si="20"/>
        <v>N/A</v>
      </c>
      <c r="Q238" s="1234" t="s">
        <v>1228</v>
      </c>
      <c r="R238" s="602">
        <f>IF($F238="Logistics",VLOOKUP($Q238,'Upper Cask Movement &amp; Logistics'!$C$4:$D$209,2,FALSE),"N/A")</f>
        <v>0.63000000000000012</v>
      </c>
      <c r="S238" s="1235" t="s">
        <v>1392</v>
      </c>
      <c r="T238" s="602">
        <f>IFERROR(VLOOKUP($S238,'Upper Cask Recovery Logistics'!$C$207:$F$366,4,FALSE),"N/A")</f>
        <v>55.62003249723746</v>
      </c>
      <c r="U238" s="1236">
        <f t="shared" si="23"/>
        <v>7.8040740740740873</v>
      </c>
      <c r="V238" s="1510"/>
      <c r="X238" s="5"/>
      <c r="Y238" s="5"/>
      <c r="Z238" s="5"/>
      <c r="AA238" s="889"/>
      <c r="AB238" s="890"/>
    </row>
    <row r="239" spans="2:34" s="82" customFormat="1" ht="15" hidden="1" customHeight="1" outlineLevel="2" x14ac:dyDescent="0.4">
      <c r="B239" s="921"/>
      <c r="C239" s="5"/>
      <c r="D239" s="3821"/>
      <c r="E239" s="1257" t="s">
        <v>1262</v>
      </c>
      <c r="F239" s="601" t="s">
        <v>3</v>
      </c>
      <c r="G239" s="602">
        <f t="shared" si="21"/>
        <v>0.5</v>
      </c>
      <c r="H239" s="602">
        <f t="shared" si="22"/>
        <v>64.55410657131155</v>
      </c>
      <c r="I239" s="601"/>
      <c r="J239" s="602" t="str">
        <f>IF(F239="operation",VLOOKUP(I239,'Generic Vertical Port Tasks'!$C$4:$D244,2,FALSE),"N/A")</f>
        <v>N/A</v>
      </c>
      <c r="K239" s="601"/>
      <c r="L239" s="601"/>
      <c r="M239" s="601"/>
      <c r="N239" s="605" t="str">
        <f>IFERROR(INDEX('Upper Cask Movement &amp; Logistics'!$I$24:$O$30,MATCH($J239,'Upper Cask Movement &amp; Logistics'!$H$24:$H$30,0),MATCH($K239,'Upper Cask Movement &amp; Logistics'!$H$24:$H$30,0)),"N/A")</f>
        <v>N/A</v>
      </c>
      <c r="O239" s="605" t="str">
        <f>IFERROR(VLOOKUP($I239,'Upper Cask Movement &amp; Logistics'!$H$4:$I$8,2,FALSE),"N/A")</f>
        <v>N/A</v>
      </c>
      <c r="P239" s="602" t="str">
        <f t="shared" si="20"/>
        <v>N/A</v>
      </c>
      <c r="Q239" s="1234" t="s">
        <v>1208</v>
      </c>
      <c r="R239" s="602">
        <f>IF($F239="Logistics",VLOOKUP($Q239,'Upper Cask Movement &amp; Logistics'!$C$4:$D$209,2,FALSE),"N/A")</f>
        <v>0.5</v>
      </c>
      <c r="S239" s="1235"/>
      <c r="T239" s="602" t="str">
        <f>IFERROR(VLOOKUP($S239,'Upper Cask Recovery Logistics'!$C$207:$F$366,4,FALSE),"N/A")</f>
        <v>N/A</v>
      </c>
      <c r="U239" s="1236" t="str">
        <f t="shared" si="23"/>
        <v>N/A</v>
      </c>
      <c r="V239" s="1510"/>
      <c r="X239" s="5"/>
      <c r="Y239" s="5"/>
      <c r="Z239" s="5"/>
      <c r="AA239" s="889"/>
      <c r="AB239" s="890"/>
    </row>
    <row r="240" spans="2:34" s="82" customFormat="1" ht="15" hidden="1" customHeight="1" outlineLevel="2" x14ac:dyDescent="0.4">
      <c r="B240" s="921"/>
      <c r="C240" s="5"/>
      <c r="D240" s="3821"/>
      <c r="E240" s="1257" t="s">
        <v>138</v>
      </c>
      <c r="F240" s="601" t="s">
        <v>251</v>
      </c>
      <c r="G240" s="602">
        <f t="shared" si="21"/>
        <v>5.74</v>
      </c>
      <c r="H240" s="602">
        <f t="shared" si="22"/>
        <v>70.294106571311545</v>
      </c>
      <c r="I240" s="601" t="s">
        <v>254</v>
      </c>
      <c r="J240" s="602">
        <f>IF(F240="operation",VLOOKUP(I240,'Generic Vertical Port Tasks'!$C$4:$D245,2,FALSE),"N/A")</f>
        <v>5.74</v>
      </c>
      <c r="K240" s="601"/>
      <c r="L240" s="601"/>
      <c r="M240" s="601"/>
      <c r="N240" s="605" t="str">
        <f>IFERROR(INDEX('Upper Cask Movement &amp; Logistics'!$I$24:$O$30,MATCH($J240,'Upper Cask Movement &amp; Logistics'!$H$24:$H$30,0),MATCH($K240,'Upper Cask Movement &amp; Logistics'!$H$24:$H$30,0)),"N/A")</f>
        <v>N/A</v>
      </c>
      <c r="O240" s="605" t="str">
        <f>IFERROR(VLOOKUP($I240,'Upper Cask Movement &amp; Logistics'!$H$4:$I$8,2,FALSE),"N/A")</f>
        <v>N/A</v>
      </c>
      <c r="P240" s="602" t="str">
        <f t="shared" si="20"/>
        <v>N/A</v>
      </c>
      <c r="Q240" s="1234"/>
      <c r="R240" s="602" t="str">
        <f>IF($F240="Logistics",VLOOKUP($Q240,'Upper Cask Movement &amp; Logistics'!$C$4:$D$209,2,FALSE),"N/A")</f>
        <v>N/A</v>
      </c>
      <c r="S240" s="1235"/>
      <c r="T240" s="602" t="str">
        <f>IFERROR(VLOOKUP($S240,'Upper Cask Recovery Logistics'!$C$207:$F$366,4,FALSE),"N/A")</f>
        <v>N/A</v>
      </c>
      <c r="U240" s="1236" t="str">
        <f t="shared" si="23"/>
        <v>N/A</v>
      </c>
      <c r="V240" s="1510"/>
      <c r="X240" s="5"/>
      <c r="Y240" s="5"/>
      <c r="Z240" s="5"/>
      <c r="AA240" s="889"/>
      <c r="AB240" s="890"/>
    </row>
    <row r="241" spans="2:28" s="82" customFormat="1" ht="15.75" hidden="1" customHeight="1" outlineLevel="2" x14ac:dyDescent="0.4">
      <c r="B241" s="921"/>
      <c r="C241" s="5"/>
      <c r="D241" s="3821"/>
      <c r="E241" s="1257" t="s">
        <v>1266</v>
      </c>
      <c r="F241" s="601" t="s">
        <v>3</v>
      </c>
      <c r="G241" s="602">
        <f t="shared" si="21"/>
        <v>0.63000000000000012</v>
      </c>
      <c r="H241" s="602">
        <f t="shared" si="22"/>
        <v>70.92410657131154</v>
      </c>
      <c r="I241" s="601"/>
      <c r="J241" s="602" t="str">
        <f>IF(F241="operation",VLOOKUP(I241,'Generic Vertical Port Tasks'!$C$4:$D245,2,FALSE),"N/A")</f>
        <v>N/A</v>
      </c>
      <c r="K241" s="601"/>
      <c r="L241" s="601"/>
      <c r="M241" s="601"/>
      <c r="N241" s="605" t="str">
        <f>IFERROR(INDEX('Upper Cask Movement &amp; Logistics'!$I$24:$O$30,MATCH($J241,'Upper Cask Movement &amp; Logistics'!$H$24:$H$30,0),MATCH($K241,'Upper Cask Movement &amp; Logistics'!$H$24:$H$30,0)),"N/A")</f>
        <v>N/A</v>
      </c>
      <c r="O241" s="605" t="str">
        <f>IFERROR(VLOOKUP($I241,'Upper Cask Movement &amp; Logistics'!$H$4:$I$8,2,FALSE),"N/A")</f>
        <v>N/A</v>
      </c>
      <c r="P241" s="602" t="str">
        <f t="shared" si="20"/>
        <v>N/A</v>
      </c>
      <c r="Q241" s="1234" t="s">
        <v>1228</v>
      </c>
      <c r="R241" s="602">
        <f>IF($F241="Logistics",VLOOKUP($Q241,'Upper Cask Movement &amp; Logistics'!$C$4:$D$209,2,FALSE),"N/A")</f>
        <v>0.63000000000000012</v>
      </c>
      <c r="S241" s="1235" t="s">
        <v>1394</v>
      </c>
      <c r="T241" s="602">
        <f>IFERROR(VLOOKUP($S241,'Upper Cask Recovery Logistics'!$C$207:$F$366,4,FALSE),"N/A")</f>
        <v>62.490032497237465</v>
      </c>
      <c r="U241" s="1236">
        <f t="shared" si="23"/>
        <v>7.8040740740740802</v>
      </c>
      <c r="V241" s="1510"/>
      <c r="X241" s="5"/>
      <c r="Y241" s="5"/>
      <c r="Z241" s="5"/>
      <c r="AA241" s="889"/>
      <c r="AB241" s="890"/>
    </row>
    <row r="242" spans="2:28" ht="15" hidden="1" customHeight="1" outlineLevel="2" x14ac:dyDescent="0.4">
      <c r="B242" s="921"/>
      <c r="C242" s="5"/>
      <c r="D242" s="3821"/>
      <c r="E242" s="1257" t="s">
        <v>1262</v>
      </c>
      <c r="F242" s="601" t="s">
        <v>3</v>
      </c>
      <c r="G242" s="602">
        <f t="shared" si="21"/>
        <v>0.5</v>
      </c>
      <c r="H242" s="602">
        <f t="shared" si="22"/>
        <v>71.42410657131154</v>
      </c>
      <c r="I242" s="601"/>
      <c r="J242" s="602" t="str">
        <f>IF(F242="operation",VLOOKUP(I242,'Generic Vertical Port Tasks'!$C$4:$D245,2,FALSE),"N/A")</f>
        <v>N/A</v>
      </c>
      <c r="K242" s="601"/>
      <c r="L242" s="601"/>
      <c r="M242" s="601"/>
      <c r="N242" s="605" t="str">
        <f>IFERROR(INDEX('Upper Cask Movement &amp; Logistics'!$I$24:$O$30,MATCH($J242,'Upper Cask Movement &amp; Logistics'!$H$24:$H$30,0),MATCH($K242,'Upper Cask Movement &amp; Logistics'!$H$24:$H$30,0)),"N/A")</f>
        <v>N/A</v>
      </c>
      <c r="O242" s="605" t="str">
        <f>IFERROR(VLOOKUP($I242,'Upper Cask Movement &amp; Logistics'!$H$4:$I$8,2,FALSE),"N/A")</f>
        <v>N/A</v>
      </c>
      <c r="P242" s="602" t="str">
        <f t="shared" si="20"/>
        <v>N/A</v>
      </c>
      <c r="Q242" s="1234" t="s">
        <v>1208</v>
      </c>
      <c r="R242" s="602">
        <f>IF($F242="Logistics",VLOOKUP($Q242,'Upper Cask Movement &amp; Logistics'!$C$4:$D$209,2,FALSE),"N/A")</f>
        <v>0.5</v>
      </c>
      <c r="S242" s="1235"/>
      <c r="T242" s="602" t="str">
        <f>IFERROR(VLOOKUP($S242,'Upper Cask Recovery Logistics'!$C$207:$F$366,4,FALSE),"N/A")</f>
        <v>N/A</v>
      </c>
      <c r="U242" s="1236" t="str">
        <f t="shared" si="23"/>
        <v>N/A</v>
      </c>
      <c r="V242" s="1510"/>
      <c r="X242" s="273"/>
      <c r="Y242" s="273"/>
      <c r="Z242" s="273"/>
      <c r="AA242" s="752"/>
    </row>
    <row r="243" spans="2:28" ht="15.75" hidden="1" customHeight="1" outlineLevel="2" x14ac:dyDescent="0.4">
      <c r="B243" s="921"/>
      <c r="C243" s="5"/>
      <c r="D243" s="3821"/>
      <c r="E243" s="1257" t="s">
        <v>140</v>
      </c>
      <c r="F243" s="601" t="s">
        <v>251</v>
      </c>
      <c r="G243" s="602">
        <f t="shared" si="21"/>
        <v>5.74</v>
      </c>
      <c r="H243" s="602">
        <f t="shared" si="22"/>
        <v>77.164106571311535</v>
      </c>
      <c r="I243" s="601" t="s">
        <v>254</v>
      </c>
      <c r="J243" s="602">
        <f>IF(F243="operation",VLOOKUP(I243,'Generic Vertical Port Tasks'!$C$4:$D245,2,FALSE),"N/A")</f>
        <v>5.74</v>
      </c>
      <c r="K243" s="601"/>
      <c r="L243" s="601"/>
      <c r="M243" s="601"/>
      <c r="N243" s="605" t="str">
        <f>IFERROR(INDEX('Upper Cask Movement &amp; Logistics'!$I$24:$O$30,MATCH($J243,'Upper Cask Movement &amp; Logistics'!$H$24:$H$30,0),MATCH($K243,'Upper Cask Movement &amp; Logistics'!$H$24:$H$30,0)),"N/A")</f>
        <v>N/A</v>
      </c>
      <c r="O243" s="605" t="str">
        <f>IFERROR(VLOOKUP($I243,'Upper Cask Movement &amp; Logistics'!$H$4:$I$8,2,FALSE),"N/A")</f>
        <v>N/A</v>
      </c>
      <c r="P243" s="602" t="str">
        <f t="shared" si="20"/>
        <v>N/A</v>
      </c>
      <c r="Q243" s="1234"/>
      <c r="R243" s="602" t="str">
        <f>IF($F243="Logistics",VLOOKUP($Q243,'Upper Cask Movement &amp; Logistics'!$C$4:$D$209,2,FALSE),"N/A")</f>
        <v>N/A</v>
      </c>
      <c r="S243" s="1235"/>
      <c r="T243" s="602" t="str">
        <f>IFERROR(VLOOKUP($S243,'Upper Cask Recovery Logistics'!$C$207:$F$366,4,FALSE),"N/A")</f>
        <v>N/A</v>
      </c>
      <c r="U243" s="1236" t="str">
        <f t="shared" si="23"/>
        <v>N/A</v>
      </c>
      <c r="V243" s="1510"/>
      <c r="X243" s="273"/>
      <c r="Y243" s="273"/>
      <c r="Z243" s="273"/>
      <c r="AA243" s="752"/>
    </row>
    <row r="244" spans="2:28" ht="15" hidden="1" customHeight="1" outlineLevel="2" x14ac:dyDescent="0.4">
      <c r="B244" s="921"/>
      <c r="C244" s="5"/>
      <c r="D244" s="3821"/>
      <c r="E244" s="1257" t="s">
        <v>1267</v>
      </c>
      <c r="F244" s="601" t="s">
        <v>3</v>
      </c>
      <c r="G244" s="602">
        <f t="shared" si="21"/>
        <v>0.63000000000000012</v>
      </c>
      <c r="H244" s="602">
        <f t="shared" si="22"/>
        <v>77.794106571311531</v>
      </c>
      <c r="I244" s="601"/>
      <c r="J244" s="602" t="str">
        <f>IF(F244="operation",VLOOKUP(I244,'Generic Vertical Port Tasks'!$C$4:$D246,2,FALSE),"N/A")</f>
        <v>N/A</v>
      </c>
      <c r="K244" s="601"/>
      <c r="L244" s="601"/>
      <c r="M244" s="601"/>
      <c r="N244" s="605" t="str">
        <f>IFERROR(INDEX('Upper Cask Movement &amp; Logistics'!$I$24:$O$30,MATCH($J244,'Upper Cask Movement &amp; Logistics'!$H$24:$H$30,0),MATCH($K244,'Upper Cask Movement &amp; Logistics'!$H$24:$H$30,0)),"N/A")</f>
        <v>N/A</v>
      </c>
      <c r="O244" s="605" t="str">
        <f>IFERROR(VLOOKUP($I244,'Upper Cask Movement &amp; Logistics'!$H$4:$I$8,2,FALSE),"N/A")</f>
        <v>N/A</v>
      </c>
      <c r="P244" s="602" t="str">
        <f t="shared" si="20"/>
        <v>N/A</v>
      </c>
      <c r="Q244" s="1234" t="s">
        <v>1228</v>
      </c>
      <c r="R244" s="602">
        <f>IF($F244="Logistics",VLOOKUP($Q244,'Upper Cask Movement &amp; Logistics'!$C$4:$D$209,2,FALSE),"N/A")</f>
        <v>0.63000000000000012</v>
      </c>
      <c r="S244" s="1235" t="s">
        <v>1397</v>
      </c>
      <c r="T244" s="602">
        <f>IFERROR(VLOOKUP($S244,'Upper Cask Recovery Logistics'!$C$207:$F$366,4,FALSE),"N/A")</f>
        <v>69.360032497237484</v>
      </c>
      <c r="U244" s="1236">
        <f t="shared" si="23"/>
        <v>7.8040740740740517</v>
      </c>
      <c r="V244" s="1510"/>
      <c r="X244" s="273"/>
      <c r="Y244" s="273"/>
      <c r="Z244" s="273"/>
      <c r="AA244" s="752"/>
    </row>
    <row r="245" spans="2:28" ht="15" hidden="1" customHeight="1" outlineLevel="2" thickBot="1" x14ac:dyDescent="0.45">
      <c r="B245" s="921"/>
      <c r="C245" s="5"/>
      <c r="D245" s="3822"/>
      <c r="E245" s="1258" t="s">
        <v>1268</v>
      </c>
      <c r="F245" s="609" t="s">
        <v>3</v>
      </c>
      <c r="G245" s="610">
        <f t="shared" si="21"/>
        <v>2.3000000000000003</v>
      </c>
      <c r="H245" s="610">
        <f t="shared" si="22"/>
        <v>80.094106571311528</v>
      </c>
      <c r="I245" s="609"/>
      <c r="J245" s="610" t="str">
        <f>IF(F245="operation",VLOOKUP(I245,'Generic Vertical Port Tasks'!$C$4:$D246,2,FALSE),"N/A")</f>
        <v>N/A</v>
      </c>
      <c r="K245" s="609"/>
      <c r="L245" s="609"/>
      <c r="M245" s="609"/>
      <c r="N245" s="613" t="str">
        <f>IFERROR(INDEX('Upper Cask Movement &amp; Logistics'!$I$24:$O$30,MATCH($J245,'Upper Cask Movement &amp; Logistics'!$H$24:$H$30,0),MATCH($K245,'Upper Cask Movement &amp; Logistics'!$H$24:$H$30,0)),"N/A")</f>
        <v>N/A</v>
      </c>
      <c r="O245" s="613" t="str">
        <f>IFERROR(VLOOKUP($I245,'Upper Cask Movement &amp; Logistics'!$H$4:$I$8,2,FALSE),"N/A")</f>
        <v>N/A</v>
      </c>
      <c r="P245" s="610" t="str">
        <f t="shared" si="20"/>
        <v>N/A</v>
      </c>
      <c r="Q245" s="1237" t="s">
        <v>1269</v>
      </c>
      <c r="R245" s="610">
        <f>IF($F245="Logistics",VLOOKUP($Q245,'Upper Cask Movement &amp; Logistics'!$C$4:$D$209,2,FALSE),"N/A")</f>
        <v>2.3000000000000003</v>
      </c>
      <c r="S245" s="1238"/>
      <c r="T245" s="610" t="str">
        <f>IFERROR(VLOOKUP($S245,'Upper Cask Recovery Logistics'!$C$207:$F$366,4,FALSE),"N/A")</f>
        <v>N/A</v>
      </c>
      <c r="U245" s="1239" t="str">
        <f t="shared" si="23"/>
        <v>N/A</v>
      </c>
      <c r="V245" s="1510"/>
      <c r="X245" s="273"/>
      <c r="Y245" s="273"/>
      <c r="Z245" s="273"/>
      <c r="AA245" s="752"/>
    </row>
    <row r="246" spans="2:28" ht="15" hidden="1" customHeight="1" outlineLevel="2" x14ac:dyDescent="0.4">
      <c r="B246" s="921"/>
      <c r="C246" s="5"/>
      <c r="D246" s="3787" t="s">
        <v>39</v>
      </c>
      <c r="E246" s="1270" t="s">
        <v>1278</v>
      </c>
      <c r="F246" s="617" t="s">
        <v>3</v>
      </c>
      <c r="G246" s="567">
        <f t="shared" si="21"/>
        <v>0.60000000000000009</v>
      </c>
      <c r="H246" s="567">
        <f t="shared" si="22"/>
        <v>80.694106571311522</v>
      </c>
      <c r="I246" s="617"/>
      <c r="J246" s="567" t="str">
        <f>IF(F246="operation",VLOOKUP(I246,'Generic Vertical Port Tasks'!$C$4:$D246,2,FALSE),"N/A")</f>
        <v>N/A</v>
      </c>
      <c r="K246" s="617"/>
      <c r="L246" s="617"/>
      <c r="M246" s="617"/>
      <c r="N246" s="618" t="str">
        <f>IFERROR(INDEX('Upper Cask Movement &amp; Logistics'!$I$24:$O$30,MATCH($J246,'Upper Cask Movement &amp; Logistics'!$H$24:$H$30,0),MATCH($K246,'Upper Cask Movement &amp; Logistics'!$H$24:$H$30,0)),"N/A")</f>
        <v>N/A</v>
      </c>
      <c r="O246" s="618" t="str">
        <f>IFERROR(VLOOKUP($I246,'Upper Cask Movement &amp; Logistics'!$H$4:$I$8,2,FALSE),"N/A")</f>
        <v>N/A</v>
      </c>
      <c r="P246" s="567" t="str">
        <f t="shared" si="20"/>
        <v>N/A</v>
      </c>
      <c r="Q246" s="1271" t="s">
        <v>1279</v>
      </c>
      <c r="R246" s="567">
        <f>IF($F246="Logistics",VLOOKUP($Q246,'Upper Cask Movement &amp; Logistics'!$C$4:$D$209,2,FALSE),"N/A")</f>
        <v>0.60000000000000009</v>
      </c>
      <c r="S246" s="1272"/>
      <c r="T246" s="567" t="str">
        <f>IFERROR(VLOOKUP($S246,'Upper Cask Recovery Logistics'!$C$207:$F$366,4,FALSE),"N/A")</f>
        <v>N/A</v>
      </c>
      <c r="U246" s="1273" t="str">
        <f t="shared" si="23"/>
        <v>N/A</v>
      </c>
      <c r="V246" s="1510"/>
      <c r="X246" s="273"/>
      <c r="Y246" s="273"/>
      <c r="Z246" s="273"/>
      <c r="AA246" s="752"/>
    </row>
    <row r="247" spans="2:28" ht="15" hidden="1" customHeight="1" outlineLevel="2" x14ac:dyDescent="0.4">
      <c r="B247" s="921"/>
      <c r="C247" s="5"/>
      <c r="D247" s="3786"/>
      <c r="E247" s="1281" t="s">
        <v>1262</v>
      </c>
      <c r="F247" s="572" t="s">
        <v>3</v>
      </c>
      <c r="G247" s="574">
        <f t="shared" si="21"/>
        <v>0.38</v>
      </c>
      <c r="H247" s="574">
        <f t="shared" si="22"/>
        <v>81.074106571311518</v>
      </c>
      <c r="I247" s="572"/>
      <c r="J247" s="574" t="str">
        <f>IF(F247="operation",VLOOKUP(I247,'Generic Vertical Port Tasks'!$C$4:$D246,2,FALSE),"N/A")</f>
        <v>N/A</v>
      </c>
      <c r="K247" s="572"/>
      <c r="L247" s="572"/>
      <c r="M247" s="572"/>
      <c r="N247" s="577" t="str">
        <f>IFERROR(INDEX('Upper Cask Movement &amp; Logistics'!$I$24:$O$30,MATCH($J247,'Upper Cask Movement &amp; Logistics'!$H$24:$H$30,0),MATCH($K247,'Upper Cask Movement &amp; Logistics'!$H$24:$H$30,0)),"N/A")</f>
        <v>N/A</v>
      </c>
      <c r="O247" s="577" t="str">
        <f>IFERROR(VLOOKUP($I247,'Upper Cask Movement &amp; Logistics'!$H$4:$I$8,2,FALSE),"N/A")</f>
        <v>N/A</v>
      </c>
      <c r="P247" s="574" t="str">
        <f t="shared" si="20"/>
        <v>N/A</v>
      </c>
      <c r="Q247" s="1282" t="s">
        <v>1226</v>
      </c>
      <c r="R247" s="574">
        <f>IF($F247="Logistics",VLOOKUP($Q247,'Upper Cask Movement &amp; Logistics'!$C$4:$D$209,2,FALSE),"N/A")</f>
        <v>0.38</v>
      </c>
      <c r="S247" s="1283"/>
      <c r="T247" s="574" t="str">
        <f>IFERROR(VLOOKUP($S247,'Upper Cask Recovery Logistics'!$C$207:$F$366,4,FALSE),"N/A")</f>
        <v>N/A</v>
      </c>
      <c r="U247" s="1284" t="str">
        <f t="shared" si="23"/>
        <v>N/A</v>
      </c>
      <c r="V247" s="1510"/>
      <c r="X247" s="273"/>
      <c r="Y247" s="273"/>
      <c r="Z247" s="273"/>
      <c r="AA247" s="752"/>
    </row>
    <row r="248" spans="2:28" ht="15" hidden="1" customHeight="1" outlineLevel="2" x14ac:dyDescent="0.4">
      <c r="B248" s="921"/>
      <c r="C248" s="5"/>
      <c r="D248" s="3786"/>
      <c r="E248" s="1281" t="s">
        <v>141</v>
      </c>
      <c r="F248" s="572" t="s">
        <v>251</v>
      </c>
      <c r="G248" s="574">
        <f t="shared" si="21"/>
        <v>4.33</v>
      </c>
      <c r="H248" s="574">
        <f t="shared" si="22"/>
        <v>90.164291756496709</v>
      </c>
      <c r="I248" s="572" t="s">
        <v>256</v>
      </c>
      <c r="J248" s="574">
        <f>IF(F248="operation",VLOOKUP(I248,'Generic Vertical Port Tasks'!$C$4:$D246,2,FALSE),"N/A")</f>
        <v>4.33</v>
      </c>
      <c r="K248" s="572"/>
      <c r="L248" s="572"/>
      <c r="M248" s="572"/>
      <c r="N248" s="577" t="str">
        <f>IFERROR(INDEX('Upper Cask Movement &amp; Logistics'!$I$24:$O$30,MATCH($J248,'Upper Cask Movement &amp; Logistics'!$H$24:$H$30,0),MATCH($K248,'Upper Cask Movement &amp; Logistics'!$H$24:$H$30,0)),"N/A")</f>
        <v>N/A</v>
      </c>
      <c r="O248" s="577" t="str">
        <f>IFERROR(VLOOKUP($I248,'Upper Cask Movement &amp; Logistics'!$H$4:$I$8,2,FALSE),"N/A")</f>
        <v>N/A</v>
      </c>
      <c r="P248" s="574" t="str">
        <f t="shared" si="20"/>
        <v>N/A</v>
      </c>
      <c r="Q248" s="1282"/>
      <c r="R248" s="574" t="str">
        <f>IF($F248="Logistics",VLOOKUP($Q248,'Upper Cask Movement &amp; Logistics'!$C$4:$D$209,2,FALSE),"N/A")</f>
        <v>N/A</v>
      </c>
      <c r="S248" s="1283" t="s">
        <v>1280</v>
      </c>
      <c r="T248" s="574">
        <f>IFERROR(VLOOKUP($S248,'Upper Cask Recovery Logistics'!$C$207:$F$366,4,FALSE),"N/A")</f>
        <v>85.834291756496711</v>
      </c>
      <c r="U248" s="1284">
        <f t="shared" si="23"/>
        <v>-4.7601851851851933</v>
      </c>
      <c r="V248" s="1510"/>
      <c r="X248" s="273"/>
      <c r="Y248" s="273"/>
      <c r="Z248" s="273"/>
      <c r="AA248" s="752"/>
    </row>
    <row r="249" spans="2:28" ht="15" hidden="1" customHeight="1" outlineLevel="2" x14ac:dyDescent="0.4">
      <c r="B249" s="921"/>
      <c r="C249" s="5"/>
      <c r="D249" s="3786"/>
      <c r="E249" s="1274" t="s">
        <v>1281</v>
      </c>
      <c r="F249" s="1275" t="s">
        <v>3</v>
      </c>
      <c r="G249" s="1276">
        <f t="shared" si="21"/>
        <v>0.60000000000000009</v>
      </c>
      <c r="H249" s="574">
        <f t="shared" si="22"/>
        <v>90.764291756496704</v>
      </c>
      <c r="I249" s="1275"/>
      <c r="J249" s="574" t="str">
        <f>IF(F249="operation",VLOOKUP(I249,'Generic Vertical Port Tasks'!$C$4:$D246,2,FALSE),"N/A")</f>
        <v>N/A</v>
      </c>
      <c r="K249" s="572"/>
      <c r="L249" s="572"/>
      <c r="M249" s="572"/>
      <c r="N249" s="577" t="str">
        <f>IFERROR(INDEX('Upper Cask Movement &amp; Logistics'!$I$24:$O$30,MATCH($J249,'Upper Cask Movement &amp; Logistics'!$H$24:$H$30,0),MATCH($K249,'Upper Cask Movement &amp; Logistics'!$H$24:$H$30,0)),"N/A")</f>
        <v>N/A</v>
      </c>
      <c r="O249" s="577" t="str">
        <f>IFERROR(VLOOKUP($I249,'Upper Cask Movement &amp; Logistics'!$H$4:$I$8,2,FALSE),"N/A")</f>
        <v>N/A</v>
      </c>
      <c r="P249" s="574" t="str">
        <f t="shared" si="20"/>
        <v>N/A</v>
      </c>
      <c r="Q249" s="1278" t="s">
        <v>1279</v>
      </c>
      <c r="R249" s="574">
        <f>IF($F249="Logistics",VLOOKUP($Q249,'Upper Cask Movement &amp; Logistics'!$C$4:$D$209,2,FALSE),"N/A")</f>
        <v>0.60000000000000009</v>
      </c>
      <c r="S249" s="1283"/>
      <c r="T249" s="574" t="str">
        <f>IFERROR(VLOOKUP($S249,'Upper Cask Recovery Logistics'!$C$207:$F$366,4,FALSE),"N/A")</f>
        <v>N/A</v>
      </c>
      <c r="U249" s="1284" t="str">
        <f t="shared" si="23"/>
        <v>N/A</v>
      </c>
      <c r="V249" s="1510"/>
      <c r="X249" s="273"/>
      <c r="Y249" s="273"/>
      <c r="Z249" s="273"/>
      <c r="AA249" s="752"/>
    </row>
    <row r="250" spans="2:28" ht="15" hidden="1" customHeight="1" outlineLevel="2" x14ac:dyDescent="0.4">
      <c r="B250" s="921"/>
      <c r="C250" s="5"/>
      <c r="D250" s="3786"/>
      <c r="E250" s="1281" t="s">
        <v>1262</v>
      </c>
      <c r="F250" s="572" t="s">
        <v>3</v>
      </c>
      <c r="G250" s="574">
        <f t="shared" si="21"/>
        <v>0.38</v>
      </c>
      <c r="H250" s="574">
        <f t="shared" si="22"/>
        <v>91.144291756496699</v>
      </c>
      <c r="I250" s="572"/>
      <c r="J250" s="574" t="str">
        <f>IF(F250="operation",VLOOKUP(I250,'Generic Vertical Port Tasks'!$C$4:$D247,2,FALSE),"N/A")</f>
        <v>N/A</v>
      </c>
      <c r="K250" s="572"/>
      <c r="L250" s="572"/>
      <c r="M250" s="572"/>
      <c r="N250" s="577" t="str">
        <f>IFERROR(INDEX('Upper Cask Movement &amp; Logistics'!$I$24:$O$30,MATCH($J250,'Upper Cask Movement &amp; Logistics'!$H$24:$H$30,0),MATCH($K250,'Upper Cask Movement &amp; Logistics'!$H$24:$H$30,0)),"N/A")</f>
        <v>N/A</v>
      </c>
      <c r="O250" s="577" t="str">
        <f>IFERROR(VLOOKUP($I250,'Upper Cask Movement &amp; Logistics'!$H$4:$I$8,2,FALSE),"N/A")</f>
        <v>N/A</v>
      </c>
      <c r="P250" s="574" t="str">
        <f t="shared" si="20"/>
        <v>N/A</v>
      </c>
      <c r="Q250" s="1282" t="s">
        <v>1226</v>
      </c>
      <c r="R250" s="574">
        <f>IF($F250="Logistics",VLOOKUP($Q250,'Upper Cask Movement &amp; Logistics'!$C$4:$D$209,2,FALSE),"N/A")</f>
        <v>0.38</v>
      </c>
      <c r="S250" s="1283"/>
      <c r="T250" s="574" t="str">
        <f>IFERROR(VLOOKUP($S250,'Upper Cask Recovery Logistics'!$C$207:$F$366,4,FALSE),"N/A")</f>
        <v>N/A</v>
      </c>
      <c r="U250" s="1284" t="str">
        <f t="shared" si="23"/>
        <v>N/A</v>
      </c>
      <c r="V250" s="1510"/>
      <c r="X250" s="273"/>
      <c r="Y250" s="273"/>
      <c r="Z250" s="273"/>
      <c r="AA250" s="752"/>
    </row>
    <row r="251" spans="2:28" ht="15" hidden="1" customHeight="1" outlineLevel="2" x14ac:dyDescent="0.4">
      <c r="B251" s="921"/>
      <c r="C251" s="5"/>
      <c r="D251" s="3786"/>
      <c r="E251" s="1281" t="s">
        <v>139</v>
      </c>
      <c r="F251" s="572" t="s">
        <v>251</v>
      </c>
      <c r="G251" s="574">
        <f t="shared" si="21"/>
        <v>4.33</v>
      </c>
      <c r="H251" s="574">
        <f t="shared" si="22"/>
        <v>100.23447694168189</v>
      </c>
      <c r="I251" s="572" t="s">
        <v>256</v>
      </c>
      <c r="J251" s="574">
        <f>IF(F251="operation",VLOOKUP(I251,'Generic Vertical Port Tasks'!$C$4:$D247,2,FALSE),"N/A")</f>
        <v>4.33</v>
      </c>
      <c r="K251" s="572"/>
      <c r="L251" s="572"/>
      <c r="M251" s="572"/>
      <c r="N251" s="577" t="str">
        <f>IFERROR(INDEX('Upper Cask Movement &amp; Logistics'!$I$24:$O$30,MATCH($J251,'Upper Cask Movement &amp; Logistics'!$H$24:$H$30,0),MATCH($K251,'Upper Cask Movement &amp; Logistics'!$H$24:$H$30,0)),"N/A")</f>
        <v>N/A</v>
      </c>
      <c r="O251" s="577" t="str">
        <f>IFERROR(VLOOKUP($I251,'Upper Cask Movement &amp; Logistics'!$H$4:$I$8,2,FALSE),"N/A")</f>
        <v>N/A</v>
      </c>
      <c r="P251" s="574" t="str">
        <f t="shared" si="20"/>
        <v>N/A</v>
      </c>
      <c r="Q251" s="1282"/>
      <c r="R251" s="574" t="str">
        <f>IF($F251="Logistics",VLOOKUP($Q251,'Upper Cask Movement &amp; Logistics'!$C$4:$D$209,2,FALSE),"N/A")</f>
        <v>N/A</v>
      </c>
      <c r="S251" s="1283" t="s">
        <v>1282</v>
      </c>
      <c r="T251" s="574">
        <f>IFERROR(VLOOKUP($S251,'Upper Cask Recovery Logistics'!$C$207:$F$366,4,FALSE),"N/A")</f>
        <v>95.904476941681892</v>
      </c>
      <c r="U251" s="1284">
        <f t="shared" si="23"/>
        <v>-4.7601851851851933</v>
      </c>
      <c r="V251" s="1510"/>
      <c r="X251" s="273"/>
      <c r="Y251" s="273"/>
      <c r="Z251" s="273"/>
      <c r="AA251" s="752"/>
    </row>
    <row r="252" spans="2:28" ht="15" hidden="1" customHeight="1" outlineLevel="2" x14ac:dyDescent="0.4">
      <c r="B252" s="921"/>
      <c r="C252" s="5"/>
      <c r="D252" s="3786"/>
      <c r="E252" s="1274" t="s">
        <v>1283</v>
      </c>
      <c r="F252" s="1275" t="s">
        <v>3</v>
      </c>
      <c r="G252" s="1276">
        <f t="shared" si="21"/>
        <v>0.60000000000000009</v>
      </c>
      <c r="H252" s="574">
        <f t="shared" si="22"/>
        <v>100.83447694168188</v>
      </c>
      <c r="I252" s="1275"/>
      <c r="J252" s="574" t="str">
        <f>IF(F252="operation",VLOOKUP(I252,'Generic Vertical Port Tasks'!$C$4:$D247,2,FALSE),"N/A")</f>
        <v>N/A</v>
      </c>
      <c r="K252" s="572"/>
      <c r="L252" s="572"/>
      <c r="M252" s="572"/>
      <c r="N252" s="577" t="str">
        <f>IFERROR(INDEX('Upper Cask Movement &amp; Logistics'!$I$24:$O$30,MATCH($J252,'Upper Cask Movement &amp; Logistics'!$H$24:$H$30,0),MATCH($K252,'Upper Cask Movement &amp; Logistics'!$H$24:$H$30,0)),"N/A")</f>
        <v>N/A</v>
      </c>
      <c r="O252" s="577" t="str">
        <f>IFERROR(VLOOKUP($I252,'Upper Cask Movement &amp; Logistics'!$H$4:$I$8,2,FALSE),"N/A")</f>
        <v>N/A</v>
      </c>
      <c r="P252" s="574" t="str">
        <f t="shared" si="20"/>
        <v>N/A</v>
      </c>
      <c r="Q252" s="1278" t="s">
        <v>1279</v>
      </c>
      <c r="R252" s="574">
        <f>IF($F252="Logistics",VLOOKUP($Q252,'Upper Cask Movement &amp; Logistics'!$C$4:$D$209,2,FALSE),"N/A")</f>
        <v>0.60000000000000009</v>
      </c>
      <c r="S252" s="1283"/>
      <c r="T252" s="574" t="str">
        <f>IFERROR(VLOOKUP($S252,'Upper Cask Recovery Logistics'!$C$207:$F$366,4,FALSE),"N/A")</f>
        <v>N/A</v>
      </c>
      <c r="U252" s="1284" t="str">
        <f t="shared" si="23"/>
        <v>N/A</v>
      </c>
      <c r="V252" s="1510"/>
      <c r="X252" s="273"/>
      <c r="Y252" s="273"/>
      <c r="Z252" s="273"/>
      <c r="AA252" s="752"/>
    </row>
    <row r="253" spans="2:28" ht="15" hidden="1" customHeight="1" outlineLevel="2" x14ac:dyDescent="0.4">
      <c r="B253" s="921"/>
      <c r="C253" s="5"/>
      <c r="D253" s="3786"/>
      <c r="E253" s="1281" t="s">
        <v>1262</v>
      </c>
      <c r="F253" s="572" t="s">
        <v>3</v>
      </c>
      <c r="G253" s="574">
        <f t="shared" si="21"/>
        <v>0.38</v>
      </c>
      <c r="H253" s="574">
        <f t="shared" si="22"/>
        <v>101.21447694168188</v>
      </c>
      <c r="I253" s="572"/>
      <c r="J253" s="574" t="str">
        <f>IF(F253="operation",VLOOKUP(I253,'Generic Vertical Port Tasks'!$C$4:$D247,2,FALSE),"N/A")</f>
        <v>N/A</v>
      </c>
      <c r="K253" s="572"/>
      <c r="L253" s="572"/>
      <c r="M253" s="572"/>
      <c r="N253" s="577" t="str">
        <f>IFERROR(INDEX('Upper Cask Movement &amp; Logistics'!$I$24:$O$30,MATCH($J253,'Upper Cask Movement &amp; Logistics'!$H$24:$H$30,0),MATCH($K253,'Upper Cask Movement &amp; Logistics'!$H$24:$H$30,0)),"N/A")</f>
        <v>N/A</v>
      </c>
      <c r="O253" s="577" t="str">
        <f>IFERROR(VLOOKUP($I253,'Upper Cask Movement &amp; Logistics'!$H$4:$I$8,2,FALSE),"N/A")</f>
        <v>N/A</v>
      </c>
      <c r="P253" s="574" t="str">
        <f t="shared" si="20"/>
        <v>N/A</v>
      </c>
      <c r="Q253" s="1282" t="s">
        <v>1226</v>
      </c>
      <c r="R253" s="574">
        <f>IF($F253="Logistics",VLOOKUP($Q253,'Upper Cask Movement &amp; Logistics'!$C$4:$D$209,2,FALSE),"N/A")</f>
        <v>0.38</v>
      </c>
      <c r="S253" s="1283"/>
      <c r="T253" s="574" t="str">
        <f>IFERROR(VLOOKUP($S253,'Upper Cask Recovery Logistics'!$C$207:$F$366,4,FALSE),"N/A")</f>
        <v>N/A</v>
      </c>
      <c r="U253" s="1284" t="str">
        <f t="shared" si="23"/>
        <v>N/A</v>
      </c>
      <c r="V253" s="1510"/>
      <c r="X253" s="273"/>
      <c r="Y253" s="273"/>
      <c r="Z253" s="273"/>
      <c r="AA253" s="752"/>
    </row>
    <row r="254" spans="2:28" ht="15" hidden="1" customHeight="1" outlineLevel="2" x14ac:dyDescent="0.4">
      <c r="B254" s="921"/>
      <c r="C254" s="5"/>
      <c r="D254" s="3786"/>
      <c r="E254" s="1281" t="s">
        <v>137</v>
      </c>
      <c r="F254" s="572" t="s">
        <v>251</v>
      </c>
      <c r="G254" s="574">
        <f t="shared" si="21"/>
        <v>4.33</v>
      </c>
      <c r="H254" s="574">
        <f t="shared" si="22"/>
        <v>110.30466212686707</v>
      </c>
      <c r="I254" s="572" t="s">
        <v>256</v>
      </c>
      <c r="J254" s="574">
        <f>IF(F254="operation",VLOOKUP(I254,'Generic Vertical Port Tasks'!$C$4:$D248,2,FALSE),"N/A")</f>
        <v>4.33</v>
      </c>
      <c r="K254" s="572"/>
      <c r="L254" s="572"/>
      <c r="M254" s="572"/>
      <c r="N254" s="577" t="str">
        <f>IFERROR(INDEX('Upper Cask Movement &amp; Logistics'!$I$24:$O$30,MATCH($J254,'Upper Cask Movement &amp; Logistics'!$H$24:$H$30,0),MATCH($K254,'Upper Cask Movement &amp; Logistics'!$H$24:$H$30,0)),"N/A")</f>
        <v>N/A</v>
      </c>
      <c r="O254" s="577" t="str">
        <f>IFERROR(VLOOKUP($I254,'Upper Cask Movement &amp; Logistics'!$H$4:$I$8,2,FALSE),"N/A")</f>
        <v>N/A</v>
      </c>
      <c r="P254" s="574" t="str">
        <f t="shared" si="20"/>
        <v>N/A</v>
      </c>
      <c r="Q254" s="1282"/>
      <c r="R254" s="574" t="str">
        <f>IF($F254="Logistics",VLOOKUP($Q254,'Upper Cask Movement &amp; Logistics'!$C$4:$D$209,2,FALSE),"N/A")</f>
        <v>N/A</v>
      </c>
      <c r="S254" s="1283" t="s">
        <v>1284</v>
      </c>
      <c r="T254" s="574">
        <f>IFERROR(VLOOKUP($S254,'Upper Cask Recovery Logistics'!$C$207:$F$366,4,FALSE),"N/A")</f>
        <v>105.97466212686707</v>
      </c>
      <c r="U254" s="1284">
        <f t="shared" si="23"/>
        <v>-4.7601851851851933</v>
      </c>
      <c r="V254" s="1510"/>
      <c r="X254" s="273"/>
      <c r="Y254" s="273"/>
      <c r="Z254" s="273"/>
      <c r="AA254" s="752"/>
    </row>
    <row r="255" spans="2:28" ht="15" hidden="1" customHeight="1" outlineLevel="2" x14ac:dyDescent="0.4">
      <c r="B255" s="921"/>
      <c r="C255" s="5"/>
      <c r="D255" s="3786"/>
      <c r="E255" s="1274" t="s">
        <v>1285</v>
      </c>
      <c r="F255" s="1275" t="s">
        <v>3</v>
      </c>
      <c r="G255" s="1276">
        <f t="shared" si="21"/>
        <v>0.60000000000000009</v>
      </c>
      <c r="H255" s="574">
        <f t="shared" si="22"/>
        <v>110.90466212686707</v>
      </c>
      <c r="I255" s="1275"/>
      <c r="J255" s="574" t="str">
        <f>IF(F255="operation",VLOOKUP(I255,'Generic Vertical Port Tasks'!$C$4:$D248,2,FALSE),"N/A")</f>
        <v>N/A</v>
      </c>
      <c r="K255" s="572"/>
      <c r="L255" s="572"/>
      <c r="M255" s="572"/>
      <c r="N255" s="577" t="str">
        <f>IFERROR(INDEX('Upper Cask Movement &amp; Logistics'!$I$24:$O$30,MATCH($J255,'Upper Cask Movement &amp; Logistics'!$H$24:$H$30,0),MATCH($K255,'Upper Cask Movement &amp; Logistics'!$H$24:$H$30,0)),"N/A")</f>
        <v>N/A</v>
      </c>
      <c r="O255" s="577" t="str">
        <f>IFERROR(VLOOKUP($I255,'Upper Cask Movement &amp; Logistics'!$H$4:$I$8,2,FALSE),"N/A")</f>
        <v>N/A</v>
      </c>
      <c r="P255" s="574" t="str">
        <f t="shared" si="20"/>
        <v>N/A</v>
      </c>
      <c r="Q255" s="1278" t="s">
        <v>1279</v>
      </c>
      <c r="R255" s="574">
        <f>IF($F255="Logistics",VLOOKUP($Q255,'Upper Cask Movement &amp; Logistics'!$C$4:$D$209,2,FALSE),"N/A")</f>
        <v>0.60000000000000009</v>
      </c>
      <c r="S255" s="1283"/>
      <c r="T255" s="574" t="str">
        <f>IFERROR(VLOOKUP($S255,'Upper Cask Recovery Logistics'!$C$207:$F$366,4,FALSE),"N/A")</f>
        <v>N/A</v>
      </c>
      <c r="U255" s="1284" t="str">
        <f t="shared" si="23"/>
        <v>N/A</v>
      </c>
      <c r="V255" s="1510"/>
      <c r="X255" s="273"/>
      <c r="Y255" s="273"/>
      <c r="Z255" s="273"/>
      <c r="AA255" s="752"/>
    </row>
    <row r="256" spans="2:28" ht="15" hidden="1" customHeight="1" outlineLevel="2" x14ac:dyDescent="0.4">
      <c r="B256" s="921"/>
      <c r="C256" s="5"/>
      <c r="D256" s="3786"/>
      <c r="E256" s="1281" t="s">
        <v>1262</v>
      </c>
      <c r="F256" s="572" t="s">
        <v>3</v>
      </c>
      <c r="G256" s="574">
        <f t="shared" si="21"/>
        <v>0.38</v>
      </c>
      <c r="H256" s="574">
        <f t="shared" si="22"/>
        <v>111.28466212686706</v>
      </c>
      <c r="I256" s="572"/>
      <c r="J256" s="574" t="str">
        <f>IF(F256="operation",VLOOKUP(I256,'Generic Vertical Port Tasks'!$C$4:$D248,2,FALSE),"N/A")</f>
        <v>N/A</v>
      </c>
      <c r="K256" s="572"/>
      <c r="L256" s="572"/>
      <c r="M256" s="572"/>
      <c r="N256" s="577" t="str">
        <f>IFERROR(INDEX('Upper Cask Movement &amp; Logistics'!$I$24:$O$30,MATCH($J256,'Upper Cask Movement &amp; Logistics'!$H$24:$H$30,0),MATCH($K256,'Upper Cask Movement &amp; Logistics'!$H$24:$H$30,0)),"N/A")</f>
        <v>N/A</v>
      </c>
      <c r="O256" s="577" t="str">
        <f>IFERROR(VLOOKUP($I256,'Upper Cask Movement &amp; Logistics'!$H$4:$I$8,2,FALSE),"N/A")</f>
        <v>N/A</v>
      </c>
      <c r="P256" s="574" t="str">
        <f t="shared" si="20"/>
        <v>N/A</v>
      </c>
      <c r="Q256" s="1282" t="s">
        <v>1226</v>
      </c>
      <c r="R256" s="574">
        <f>IF($F256="Logistics",VLOOKUP($Q256,'Upper Cask Movement &amp; Logistics'!$C$4:$D$209,2,FALSE),"N/A")</f>
        <v>0.38</v>
      </c>
      <c r="S256" s="1283"/>
      <c r="T256" s="574" t="str">
        <f>IFERROR(VLOOKUP($S256,'Upper Cask Recovery Logistics'!$C$207:$F$366,4,FALSE),"N/A")</f>
        <v>N/A</v>
      </c>
      <c r="U256" s="1284" t="str">
        <f t="shared" si="23"/>
        <v>N/A</v>
      </c>
      <c r="V256" s="1510"/>
      <c r="X256" s="273"/>
      <c r="Y256" s="273"/>
      <c r="Z256" s="273"/>
      <c r="AA256" s="752"/>
    </row>
    <row r="257" spans="2:27" ht="15" hidden="1" customHeight="1" outlineLevel="2" x14ac:dyDescent="0.4">
      <c r="B257" s="921"/>
      <c r="C257" s="5"/>
      <c r="D257" s="3786"/>
      <c r="E257" s="1281" t="s">
        <v>133</v>
      </c>
      <c r="F257" s="572" t="s">
        <v>251</v>
      </c>
      <c r="G257" s="574">
        <f t="shared" si="21"/>
        <v>4.33</v>
      </c>
      <c r="H257" s="574">
        <f t="shared" ref="H257:H296" si="24">IF(U257&lt;0,G257+H256+(-U257),G257+H256)</f>
        <v>120.37484731205225</v>
      </c>
      <c r="I257" s="572" t="s">
        <v>256</v>
      </c>
      <c r="J257" s="574">
        <f>IF(F257="operation",VLOOKUP(I257,'Generic Vertical Port Tasks'!$C$4:$D248,2,FALSE),"N/A")</f>
        <v>4.33</v>
      </c>
      <c r="K257" s="572"/>
      <c r="L257" s="572"/>
      <c r="M257" s="572"/>
      <c r="N257" s="577" t="str">
        <f>IFERROR(INDEX('Upper Cask Movement &amp; Logistics'!$I$24:$O$30,MATCH($J257,'Upper Cask Movement &amp; Logistics'!$H$24:$H$30,0),MATCH($K257,'Upper Cask Movement &amp; Logistics'!$H$24:$H$30,0)),"N/A")</f>
        <v>N/A</v>
      </c>
      <c r="O257" s="577" t="str">
        <f>IFERROR(VLOOKUP($I257,'Upper Cask Movement &amp; Logistics'!$H$4:$I$8,2,FALSE),"N/A")</f>
        <v>N/A</v>
      </c>
      <c r="P257" s="574" t="str">
        <f t="shared" si="20"/>
        <v>N/A</v>
      </c>
      <c r="Q257" s="1282"/>
      <c r="R257" s="574" t="str">
        <f>IF($F257="Logistics",VLOOKUP($Q257,'Upper Cask Movement &amp; Logistics'!$C$4:$D$209,2,FALSE),"N/A")</f>
        <v>N/A</v>
      </c>
      <c r="S257" s="1283" t="s">
        <v>1286</v>
      </c>
      <c r="T257" s="574">
        <f>IFERROR(VLOOKUP($S257,'Upper Cask Recovery Logistics'!$C$207:$F$366,4,FALSE),"N/A")</f>
        <v>116.04484731205226</v>
      </c>
      <c r="U257" s="1284">
        <f t="shared" ref="U257:U296" si="25">IFERROR(H256-T257,"N/A")</f>
        <v>-4.7601851851851933</v>
      </c>
      <c r="V257" s="1510"/>
      <c r="X257" s="273"/>
      <c r="Y257" s="273"/>
      <c r="Z257" s="273"/>
      <c r="AA257" s="752"/>
    </row>
    <row r="258" spans="2:27" ht="15" hidden="1" customHeight="1" outlineLevel="2" x14ac:dyDescent="0.4">
      <c r="B258" s="921"/>
      <c r="C258" s="5"/>
      <c r="D258" s="3786"/>
      <c r="E258" s="1274" t="s">
        <v>1287</v>
      </c>
      <c r="F258" s="1275" t="s">
        <v>3</v>
      </c>
      <c r="G258" s="1276">
        <f t="shared" si="21"/>
        <v>0.60000000000000009</v>
      </c>
      <c r="H258" s="574">
        <f t="shared" si="24"/>
        <v>120.97484731205225</v>
      </c>
      <c r="I258" s="1275"/>
      <c r="J258" s="574" t="str">
        <f>IF(F258="operation",VLOOKUP(I258,'Generic Vertical Port Tasks'!$C$4:$D248,2,FALSE),"N/A")</f>
        <v>N/A</v>
      </c>
      <c r="K258" s="572"/>
      <c r="L258" s="572"/>
      <c r="M258" s="572"/>
      <c r="N258" s="577" t="str">
        <f>IFERROR(INDEX('Upper Cask Movement &amp; Logistics'!$I$24:$O$30,MATCH($J258,'Upper Cask Movement &amp; Logistics'!$H$24:$H$30,0),MATCH($K258,'Upper Cask Movement &amp; Logistics'!$H$24:$H$30,0)),"N/A")</f>
        <v>N/A</v>
      </c>
      <c r="O258" s="577" t="str">
        <f>IFERROR(VLOOKUP($I258,'Upper Cask Movement &amp; Logistics'!$H$4:$I$8,2,FALSE),"N/A")</f>
        <v>N/A</v>
      </c>
      <c r="P258" s="574" t="str">
        <f t="shared" si="20"/>
        <v>N/A</v>
      </c>
      <c r="Q258" s="1278" t="s">
        <v>1279</v>
      </c>
      <c r="R258" s="574">
        <f>IF($F258="Logistics",VLOOKUP($Q258,'Upper Cask Movement &amp; Logistics'!$C$4:$D$209,2,FALSE),"N/A")</f>
        <v>0.60000000000000009</v>
      </c>
      <c r="S258" s="1283"/>
      <c r="T258" s="574" t="str">
        <f>IFERROR(VLOOKUP($S258,'Upper Cask Recovery Logistics'!$C$207:$F$366,4,FALSE),"N/A")</f>
        <v>N/A</v>
      </c>
      <c r="U258" s="1284" t="str">
        <f t="shared" si="25"/>
        <v>N/A</v>
      </c>
      <c r="V258" s="1510"/>
      <c r="X258" s="273"/>
      <c r="Y258" s="273"/>
      <c r="Z258" s="273"/>
      <c r="AA258" s="752"/>
    </row>
    <row r="259" spans="2:27" ht="15" hidden="1" customHeight="1" outlineLevel="2" x14ac:dyDescent="0.4">
      <c r="B259" s="921"/>
      <c r="C259" s="5"/>
      <c r="D259" s="3786"/>
      <c r="E259" s="1281" t="s">
        <v>1262</v>
      </c>
      <c r="F259" s="572" t="s">
        <v>3</v>
      </c>
      <c r="G259" s="574">
        <f t="shared" si="21"/>
        <v>0.38</v>
      </c>
      <c r="H259" s="574">
        <f t="shared" si="24"/>
        <v>121.35484731205224</v>
      </c>
      <c r="I259" s="572"/>
      <c r="J259" s="574" t="str">
        <f>IF(F259="operation",VLOOKUP(I259,'Generic Vertical Port Tasks'!$C$4:$D248,2,FALSE),"N/A")</f>
        <v>N/A</v>
      </c>
      <c r="K259" s="572"/>
      <c r="L259" s="572"/>
      <c r="M259" s="572"/>
      <c r="N259" s="577" t="str">
        <f>IFERROR(INDEX('Upper Cask Movement &amp; Logistics'!$I$24:$O$30,MATCH($J259,'Upper Cask Movement &amp; Logistics'!$H$24:$H$30,0),MATCH($K259,'Upper Cask Movement &amp; Logistics'!$H$24:$H$30,0)),"N/A")</f>
        <v>N/A</v>
      </c>
      <c r="O259" s="577" t="str">
        <f>IFERROR(VLOOKUP($I259,'Upper Cask Movement &amp; Logistics'!$H$4:$I$8,2,FALSE),"N/A")</f>
        <v>N/A</v>
      </c>
      <c r="P259" s="574" t="str">
        <f t="shared" si="20"/>
        <v>N/A</v>
      </c>
      <c r="Q259" s="1282" t="s">
        <v>1226</v>
      </c>
      <c r="R259" s="574">
        <f>IF($F259="Logistics",VLOOKUP($Q259,'Upper Cask Movement &amp; Logistics'!$C$4:$D$209,2,FALSE),"N/A")</f>
        <v>0.38</v>
      </c>
      <c r="S259" s="1283"/>
      <c r="T259" s="574" t="str">
        <f>IFERROR(VLOOKUP($S259,'Upper Cask Recovery Logistics'!$C$207:$F$366,4,FALSE),"N/A")</f>
        <v>N/A</v>
      </c>
      <c r="U259" s="1284" t="str">
        <f t="shared" si="25"/>
        <v>N/A</v>
      </c>
      <c r="V259" s="1510"/>
      <c r="X259" s="273"/>
      <c r="Y259" s="273"/>
      <c r="Z259" s="273"/>
      <c r="AA259" s="752"/>
    </row>
    <row r="260" spans="2:27" ht="15" hidden="1" customHeight="1" outlineLevel="2" thickBot="1" x14ac:dyDescent="0.45">
      <c r="B260" s="921"/>
      <c r="C260" s="5"/>
      <c r="D260" s="3788"/>
      <c r="E260" s="583" t="s">
        <v>134</v>
      </c>
      <c r="F260" s="583" t="s">
        <v>251</v>
      </c>
      <c r="G260" s="585">
        <f t="shared" si="21"/>
        <v>4.33</v>
      </c>
      <c r="H260" s="585">
        <f t="shared" si="24"/>
        <v>130.44503249723743</v>
      </c>
      <c r="I260" s="583" t="s">
        <v>256</v>
      </c>
      <c r="J260" s="585">
        <f>IF(F260="operation",VLOOKUP(I260,'Generic Vertical Port Tasks'!$C$4:$D248,2,FALSE),"N/A")</f>
        <v>4.33</v>
      </c>
      <c r="K260" s="583"/>
      <c r="L260" s="583"/>
      <c r="M260" s="583"/>
      <c r="N260" s="588" t="str">
        <f>IFERROR(INDEX('Upper Cask Movement &amp; Logistics'!$I$24:$O$30,MATCH($J260,'Upper Cask Movement &amp; Logistics'!$H$24:$H$30,0),MATCH($K260,'Upper Cask Movement &amp; Logistics'!$H$24:$H$30,0)),"N/A")</f>
        <v>N/A</v>
      </c>
      <c r="O260" s="588" t="str">
        <f>IFERROR(VLOOKUP($I260,'Upper Cask Movement &amp; Logistics'!$H$4:$I$8,2,FALSE),"N/A")</f>
        <v>N/A</v>
      </c>
      <c r="P260" s="585" t="str">
        <f t="shared" si="20"/>
        <v>N/A</v>
      </c>
      <c r="Q260" s="1285"/>
      <c r="R260" s="585" t="str">
        <f>IF($F260="Logistics",VLOOKUP($Q260,'Upper Cask Movement &amp; Logistics'!$C$4:$D$209,2,FALSE),"N/A")</f>
        <v>N/A</v>
      </c>
      <c r="S260" s="1286" t="s">
        <v>1288</v>
      </c>
      <c r="T260" s="574">
        <f>IFERROR(VLOOKUP($S260,'Upper Cask Recovery Logistics'!$C$207:$F$366,4,FALSE),"N/A")</f>
        <v>126.11503249723744</v>
      </c>
      <c r="U260" s="1287">
        <f t="shared" si="25"/>
        <v>-4.7601851851851933</v>
      </c>
      <c r="V260" s="1510"/>
      <c r="X260" s="273"/>
      <c r="Y260" s="273"/>
      <c r="Z260" s="273"/>
      <c r="AA260" s="752"/>
    </row>
    <row r="261" spans="2:27" ht="15" hidden="1" customHeight="1" outlineLevel="2" x14ac:dyDescent="0.4">
      <c r="B261" s="921"/>
      <c r="C261" s="5"/>
      <c r="D261" s="3992" t="s">
        <v>117</v>
      </c>
      <c r="E261" s="596" t="s">
        <v>1519</v>
      </c>
      <c r="F261" s="596" t="s">
        <v>3</v>
      </c>
      <c r="G261" s="593">
        <f t="shared" si="21"/>
        <v>0.60000000000000009</v>
      </c>
      <c r="H261" s="593">
        <f t="shared" si="24"/>
        <v>136.90169916390414</v>
      </c>
      <c r="I261" s="596"/>
      <c r="J261" s="593" t="str">
        <f>IF(F261="operation",VLOOKUP(I261,'Generic Vertical Port Tasks'!$C$4:$D248,2,FALSE),"N/A")</f>
        <v>N/A</v>
      </c>
      <c r="K261" s="596"/>
      <c r="L261" s="596"/>
      <c r="M261" s="596"/>
      <c r="N261" s="597" t="str">
        <f>IFERROR(INDEX('Upper Cask Movement &amp; Logistics'!$I$24:$O$30,MATCH($J261,'Upper Cask Movement &amp; Logistics'!$H$24:$H$30,0),MATCH($K261,'Upper Cask Movement &amp; Logistics'!$H$24:$H$30,0)),"N/A")</f>
        <v>N/A</v>
      </c>
      <c r="O261" s="597" t="str">
        <f>IFERROR(VLOOKUP($I261,'Upper Cask Movement &amp; Logistics'!$H$4:$I$8,2,FALSE),"N/A")</f>
        <v>N/A</v>
      </c>
      <c r="P261" s="593" t="str">
        <f t="shared" si="20"/>
        <v>N/A</v>
      </c>
      <c r="Q261" s="1253" t="s">
        <v>1279</v>
      </c>
      <c r="R261" s="593">
        <f>IF($F261="Logistics",VLOOKUP($Q261,'Upper Cask Movement &amp; Logistics'!$C$4:$D$209,2,FALSE),"N/A")</f>
        <v>0.60000000000000009</v>
      </c>
      <c r="S261" s="1254" t="s">
        <v>1295</v>
      </c>
      <c r="T261" s="593">
        <f>IFERROR(VLOOKUP($S261,'Upper Cask Recovery Logistics'!$C$207:$F$366,4,FALSE),"N/A")</f>
        <v>136.30169916390415</v>
      </c>
      <c r="U261" s="1255">
        <f t="shared" si="25"/>
        <v>-5.8566666666667118</v>
      </c>
      <c r="V261" s="1510"/>
      <c r="X261" s="273"/>
      <c r="Y261" s="273"/>
      <c r="Z261" s="273"/>
      <c r="AA261" s="752"/>
    </row>
    <row r="262" spans="2:27" ht="15" hidden="1" customHeight="1" outlineLevel="2" x14ac:dyDescent="0.4">
      <c r="B262" s="921"/>
      <c r="C262" s="5"/>
      <c r="D262" s="3993"/>
      <c r="E262" s="601" t="s">
        <v>1517</v>
      </c>
      <c r="F262" s="601" t="s">
        <v>3</v>
      </c>
      <c r="G262" s="602">
        <f t="shared" si="21"/>
        <v>0.38</v>
      </c>
      <c r="H262" s="602">
        <f t="shared" si="24"/>
        <v>137.28169916390414</v>
      </c>
      <c r="I262" s="601"/>
      <c r="J262" s="602" t="str">
        <f>IF(F262="operation",VLOOKUP(I262,'Generic Vertical Port Tasks'!$C$4:$D249,2,FALSE),"N/A")</f>
        <v>N/A</v>
      </c>
      <c r="K262" s="601"/>
      <c r="L262" s="601"/>
      <c r="M262" s="601"/>
      <c r="N262" s="605" t="str">
        <f>IFERROR(INDEX('Upper Cask Movement &amp; Logistics'!$I$24:$O$30,MATCH($J262,'Upper Cask Movement &amp; Logistics'!$H$24:$H$30,0),MATCH($K262,'Upper Cask Movement &amp; Logistics'!$H$24:$H$30,0)),"N/A")</f>
        <v>N/A</v>
      </c>
      <c r="O262" s="605" t="str">
        <f>IFERROR(VLOOKUP($I262,'Upper Cask Movement &amp; Logistics'!$H$4:$I$8,2,FALSE),"N/A")</f>
        <v>N/A</v>
      </c>
      <c r="P262" s="602" t="str">
        <f t="shared" si="20"/>
        <v>N/A</v>
      </c>
      <c r="Q262" s="1288" t="s">
        <v>1226</v>
      </c>
      <c r="R262" s="602">
        <f>IF($F262="Logistics",VLOOKUP($Q262,'Upper Cask Movement &amp; Logistics'!$C$4:$D$209,2,FALSE),"N/A")</f>
        <v>0.38</v>
      </c>
      <c r="S262" s="1235"/>
      <c r="T262" s="602" t="str">
        <f>IFERROR(VLOOKUP($S262,'Upper Cask Recovery Logistics'!$C$207:$F$366,4,FALSE),"N/A")</f>
        <v>N/A</v>
      </c>
      <c r="U262" s="1236" t="str">
        <f t="shared" si="25"/>
        <v>N/A</v>
      </c>
      <c r="V262" s="1510"/>
      <c r="X262" s="273"/>
      <c r="Y262" s="273"/>
      <c r="Z262" s="273"/>
      <c r="AA262" s="752"/>
    </row>
    <row r="263" spans="2:27" ht="15" hidden="1" customHeight="1" outlineLevel="2" x14ac:dyDescent="0.4">
      <c r="B263" s="921"/>
      <c r="C263" s="5"/>
      <c r="D263" s="3993"/>
      <c r="E263" s="601" t="s">
        <v>117</v>
      </c>
      <c r="F263" s="601" t="s">
        <v>251</v>
      </c>
      <c r="G263" s="602">
        <f t="shared" si="21"/>
        <v>4.0949999999999998</v>
      </c>
      <c r="H263" s="602">
        <f t="shared" si="24"/>
        <v>141.37669916390414</v>
      </c>
      <c r="I263" s="601" t="s">
        <v>35</v>
      </c>
      <c r="J263" s="602">
        <f>IF(F263="operation",VLOOKUP(I263,'Generic Vertical Port Tasks'!$C$4:$D249,2,FALSE),"N/A")</f>
        <v>4.0949999999999998</v>
      </c>
      <c r="K263" s="601"/>
      <c r="L263" s="601"/>
      <c r="M263" s="601"/>
      <c r="N263" s="605" t="str">
        <f>IFERROR(INDEX('Upper Cask Movement &amp; Logistics'!$I$24:$O$30,MATCH($J263,'Upper Cask Movement &amp; Logistics'!$H$24:$H$30,0),MATCH($K263,'Upper Cask Movement &amp; Logistics'!$H$24:$H$30,0)),"N/A")</f>
        <v>N/A</v>
      </c>
      <c r="O263" s="605" t="str">
        <f>IFERROR(VLOOKUP($I263,'Upper Cask Movement &amp; Logistics'!$H$4:$I$8,2,FALSE),"N/A")</f>
        <v>N/A</v>
      </c>
      <c r="P263" s="602" t="str">
        <f t="shared" si="20"/>
        <v>N/A</v>
      </c>
      <c r="Q263" s="1234"/>
      <c r="R263" s="602" t="str">
        <f>IF($F263="Logistics",VLOOKUP($Q263,'Upper Cask Movement &amp; Logistics'!$C$4:$D$209,2,FALSE),"N/A")</f>
        <v>N/A</v>
      </c>
      <c r="S263" s="1235"/>
      <c r="T263" s="602" t="str">
        <f>IFERROR(VLOOKUP($S263,'Upper Cask Recovery Logistics'!$C$207:$F$366,4,FALSE),"N/A")</f>
        <v>N/A</v>
      </c>
      <c r="U263" s="1236" t="str">
        <f t="shared" si="25"/>
        <v>N/A</v>
      </c>
      <c r="V263" s="1510"/>
      <c r="X263" s="273"/>
      <c r="Y263" s="273"/>
      <c r="Z263" s="273"/>
      <c r="AA263" s="752"/>
    </row>
    <row r="264" spans="2:27" ht="15" hidden="1" customHeight="1" outlineLevel="2" thickBot="1" x14ac:dyDescent="0.45">
      <c r="B264" s="921"/>
      <c r="C264" s="5"/>
      <c r="D264" s="3994"/>
      <c r="E264" s="609" t="s">
        <v>1251</v>
      </c>
      <c r="F264" s="1511" t="s">
        <v>3</v>
      </c>
      <c r="G264" s="610">
        <f t="shared" si="21"/>
        <v>0.38</v>
      </c>
      <c r="H264" s="610">
        <f t="shared" si="24"/>
        <v>141.75669916390413</v>
      </c>
      <c r="I264" s="609"/>
      <c r="J264" s="610" t="str">
        <f>IF(F264="operation",VLOOKUP(I264,'Generic Vertical Port Tasks'!$C$4:$D249,2,FALSE),"N/A")</f>
        <v>N/A</v>
      </c>
      <c r="K264" s="609"/>
      <c r="L264" s="609"/>
      <c r="M264" s="609"/>
      <c r="N264" s="613" t="str">
        <f>IFERROR(INDEX('Upper Cask Movement &amp; Logistics'!$I$24:$O$30,MATCH($J264,'Upper Cask Movement &amp; Logistics'!$H$24:$H$30,0),MATCH($K264,'Upper Cask Movement &amp; Logistics'!$H$24:$H$30,0)),"N/A")</f>
        <v>N/A</v>
      </c>
      <c r="O264" s="613" t="str">
        <f>IFERROR(VLOOKUP($I264,'Upper Cask Movement &amp; Logistics'!$H$4:$I$8,2,FALSE),"N/A")</f>
        <v>N/A</v>
      </c>
      <c r="P264" s="610" t="str">
        <f t="shared" si="20"/>
        <v>N/A</v>
      </c>
      <c r="Q264" s="1237" t="s">
        <v>1230</v>
      </c>
      <c r="R264" s="610">
        <f>IF($F264="Logistics",VLOOKUP($Q264,'Upper Cask Movement &amp; Logistics'!$C$4:$D$209,2,FALSE),"N/A")</f>
        <v>0.38</v>
      </c>
      <c r="S264" s="1238"/>
      <c r="T264" s="610" t="str">
        <f>IFERROR(VLOOKUP($S264,'Upper Cask Recovery Logistics'!$C$207:$F$366,4,FALSE),"N/A")</f>
        <v>N/A</v>
      </c>
      <c r="U264" s="1239" t="str">
        <f t="shared" si="25"/>
        <v>N/A</v>
      </c>
      <c r="V264" s="1510"/>
      <c r="X264" s="273"/>
      <c r="Y264" s="273"/>
      <c r="Z264" s="273"/>
      <c r="AA264" s="752"/>
    </row>
    <row r="265" spans="2:27" ht="15" hidden="1" customHeight="1" outlineLevel="2" x14ac:dyDescent="0.4">
      <c r="B265" s="921"/>
      <c r="C265" s="5"/>
      <c r="D265" s="3998" t="s">
        <v>1086</v>
      </c>
      <c r="E265" s="1275" t="s">
        <v>1299</v>
      </c>
      <c r="F265" s="1275" t="s">
        <v>3</v>
      </c>
      <c r="G265" s="1276">
        <f t="shared" si="21"/>
        <v>0.38</v>
      </c>
      <c r="H265" s="1276">
        <f t="shared" si="24"/>
        <v>142.13669916390413</v>
      </c>
      <c r="I265" s="1275"/>
      <c r="J265" s="1276" t="str">
        <f>IF(F265="operation",VLOOKUP(I265,'Generic Vertical Port Tasks'!$C$4:$D249,2,FALSE),"N/A")</f>
        <v>N/A</v>
      </c>
      <c r="K265" s="1275"/>
      <c r="L265" s="1275"/>
      <c r="M265" s="1275"/>
      <c r="N265" s="1277" t="str">
        <f>IFERROR(INDEX('Upper Cask Movement &amp; Logistics'!$I$24:$O$30,MATCH($J265,'Upper Cask Movement &amp; Logistics'!$H$24:$H$30,0),MATCH($K265,'Upper Cask Movement &amp; Logistics'!$H$24:$H$30,0)),"N/A")</f>
        <v>N/A</v>
      </c>
      <c r="O265" s="1277" t="str">
        <f>IFERROR(VLOOKUP($I265,'Upper Cask Movement &amp; Logistics'!$H$4:$I$8,2,FALSE),"N/A")</f>
        <v>N/A</v>
      </c>
      <c r="P265" s="1276" t="str">
        <f t="shared" si="20"/>
        <v>N/A</v>
      </c>
      <c r="Q265" s="1278" t="s">
        <v>1226</v>
      </c>
      <c r="R265" s="1276">
        <f>IF($F265="Logistics",VLOOKUP($Q265,'Upper Cask Movement &amp; Logistics'!$C$4:$D$209,2,FALSE),"N/A")</f>
        <v>0.38</v>
      </c>
      <c r="S265" s="1279"/>
      <c r="T265" s="1276" t="str">
        <f>IFERROR(VLOOKUP($S265,'Upper Cask Recovery Logistics'!$C$207:$F$366,4,FALSE),"N/A")</f>
        <v>N/A</v>
      </c>
      <c r="U265" s="1280" t="str">
        <f t="shared" si="25"/>
        <v>N/A</v>
      </c>
      <c r="V265" s="1510"/>
      <c r="X265" s="273"/>
      <c r="Y265" s="273"/>
      <c r="Z265" s="273"/>
      <c r="AA265" s="752"/>
    </row>
    <row r="266" spans="2:27" ht="15" hidden="1" customHeight="1" outlineLevel="2" x14ac:dyDescent="0.4">
      <c r="B266" s="921"/>
      <c r="C266" s="5"/>
      <c r="D266" s="3996"/>
      <c r="E266" s="572" t="s">
        <v>132</v>
      </c>
      <c r="F266" s="572" t="s">
        <v>251</v>
      </c>
      <c r="G266" s="574">
        <f t="shared" si="21"/>
        <v>24.022732551873563</v>
      </c>
      <c r="H266" s="574">
        <f t="shared" si="24"/>
        <v>166.15943171577769</v>
      </c>
      <c r="I266" s="572" t="s">
        <v>2492</v>
      </c>
      <c r="J266" s="574">
        <f>IF(F266="operation",VLOOKUP(I266,'Generic Vertical Port Tasks'!$C$4:$D249,2,FALSE),"N/A")</f>
        <v>24.022732551873563</v>
      </c>
      <c r="K266" s="572"/>
      <c r="L266" s="572"/>
      <c r="M266" s="572"/>
      <c r="N266" s="577" t="str">
        <f>IFERROR(INDEX('Upper Cask Movement &amp; Logistics'!$I$24:$O$30,MATCH($J266,'Upper Cask Movement &amp; Logistics'!$H$24:$H$30,0),MATCH($K266,'Upper Cask Movement &amp; Logistics'!$H$24:$H$30,0)),"N/A")</f>
        <v>N/A</v>
      </c>
      <c r="O266" s="577" t="str">
        <f>IFERROR(VLOOKUP($I266,'Upper Cask Movement &amp; Logistics'!$H$4:$I$8,2,FALSE),"N/A")</f>
        <v>N/A</v>
      </c>
      <c r="P266" s="574" t="str">
        <f t="shared" si="20"/>
        <v>N/A</v>
      </c>
      <c r="Q266" s="1282"/>
      <c r="R266" s="574" t="str">
        <f>IF($F266="Logistics",VLOOKUP($Q266,'Upper Cask Movement &amp; Logistics'!$C$4:$D$209,2,FALSE),"N/A")</f>
        <v>N/A</v>
      </c>
      <c r="S266" s="1283"/>
      <c r="T266" s="574" t="str">
        <f>IFERROR(VLOOKUP($S266,'Upper Cask Recovery Logistics'!$C$207:$F$366,4,FALSE),"N/A")</f>
        <v>N/A</v>
      </c>
      <c r="U266" s="1284" t="str">
        <f t="shared" si="25"/>
        <v>N/A</v>
      </c>
      <c r="V266" s="1510"/>
      <c r="X266" s="273"/>
      <c r="Y266" s="273"/>
      <c r="Z266" s="273"/>
      <c r="AA266" s="752"/>
    </row>
    <row r="267" spans="2:27" ht="15" hidden="1" customHeight="1" outlineLevel="2" x14ac:dyDescent="0.4">
      <c r="B267" s="921"/>
      <c r="C267" s="5"/>
      <c r="D267" s="3996"/>
      <c r="E267" s="572" t="s">
        <v>1248</v>
      </c>
      <c r="F267" s="572" t="s">
        <v>3</v>
      </c>
      <c r="G267" s="574">
        <f t="shared" si="21"/>
        <v>0.38</v>
      </c>
      <c r="H267" s="574">
        <f t="shared" si="24"/>
        <v>166.53943171577768</v>
      </c>
      <c r="I267" s="572"/>
      <c r="J267" s="574" t="str">
        <f>IF(F267="operation",VLOOKUP(I267,'Generic Vertical Port Tasks'!$C$4:$D250,2,FALSE),"N/A")</f>
        <v>N/A</v>
      </c>
      <c r="K267" s="572"/>
      <c r="L267" s="572"/>
      <c r="M267" s="572"/>
      <c r="N267" s="577" t="str">
        <f>IFERROR(INDEX('Upper Cask Movement &amp; Logistics'!$I$24:$O$30,MATCH($J267,'Upper Cask Movement &amp; Logistics'!$H$24:$H$30,0),MATCH($K267,'Upper Cask Movement &amp; Logistics'!$H$24:$H$30,0)),"N/A")</f>
        <v>N/A</v>
      </c>
      <c r="O267" s="577" t="str">
        <f>IFERROR(VLOOKUP($I267,'Upper Cask Movement &amp; Logistics'!$H$4:$I$8,2,FALSE),"N/A")</f>
        <v>N/A</v>
      </c>
      <c r="P267" s="574" t="str">
        <f t="shared" si="20"/>
        <v>N/A</v>
      </c>
      <c r="Q267" s="1282" t="s">
        <v>1230</v>
      </c>
      <c r="R267" s="574">
        <f>IF($F267="Logistics",VLOOKUP($Q267,'Upper Cask Movement &amp; Logistics'!$C$4:$D$209,2,FALSE),"N/A")</f>
        <v>0.38</v>
      </c>
      <c r="S267" s="1283" t="s">
        <v>1087</v>
      </c>
      <c r="T267" s="574" t="str">
        <f>IFERROR(VLOOKUP($S267,'Upper Cask Recovery Logistics'!$C$207:$F$366,4,FALSE),"N/A")</f>
        <v>N/A</v>
      </c>
      <c r="U267" s="1284" t="str">
        <f t="shared" si="25"/>
        <v>N/A</v>
      </c>
      <c r="V267" s="1510"/>
      <c r="X267" s="273"/>
      <c r="Y267" s="273"/>
      <c r="Z267" s="273"/>
      <c r="AA267" s="752"/>
    </row>
    <row r="268" spans="2:27" ht="15" hidden="1" customHeight="1" outlineLevel="2" x14ac:dyDescent="0.4">
      <c r="B268" s="921"/>
      <c r="C268" s="5"/>
      <c r="D268" s="3996"/>
      <c r="E268" s="572" t="s">
        <v>1252</v>
      </c>
      <c r="F268" s="572" t="s">
        <v>3</v>
      </c>
      <c r="G268" s="574">
        <f t="shared" si="21"/>
        <v>0.38</v>
      </c>
      <c r="H268" s="574">
        <f t="shared" si="24"/>
        <v>166.91943171577768</v>
      </c>
      <c r="I268" s="572"/>
      <c r="J268" s="574" t="str">
        <f>IF(F268="operation",VLOOKUP(I268,'Generic Vertical Port Tasks'!$C$4:$D250,2,FALSE),"N/A")</f>
        <v>N/A</v>
      </c>
      <c r="K268" s="572"/>
      <c r="L268" s="572"/>
      <c r="M268" s="572"/>
      <c r="N268" s="577" t="str">
        <f>IFERROR(INDEX('Upper Cask Movement &amp; Logistics'!$I$24:$O$30,MATCH($J268,'Upper Cask Movement &amp; Logistics'!$H$24:$H$30,0),MATCH($K268,'Upper Cask Movement &amp; Logistics'!$H$24:$H$30,0)),"N/A")</f>
        <v>N/A</v>
      </c>
      <c r="O268" s="577" t="str">
        <f>IFERROR(VLOOKUP($I268,'Upper Cask Movement &amp; Logistics'!$H$4:$I$8,2,FALSE),"N/A")</f>
        <v>N/A</v>
      </c>
      <c r="P268" s="574" t="str">
        <f t="shared" si="20"/>
        <v>N/A</v>
      </c>
      <c r="Q268" s="1282" t="s">
        <v>1226</v>
      </c>
      <c r="R268" s="574">
        <f>IF($F268="Logistics",VLOOKUP($Q268,'Upper Cask Movement &amp; Logistics'!$C$4:$D$209,2,FALSE),"N/A")</f>
        <v>0.38</v>
      </c>
      <c r="S268" s="1283"/>
      <c r="T268" s="574" t="str">
        <f>IFERROR(VLOOKUP($S268,'Upper Cask Recovery Logistics'!$C$207:$F$366,4,FALSE),"N/A")</f>
        <v>N/A</v>
      </c>
      <c r="U268" s="1284" t="str">
        <f t="shared" si="25"/>
        <v>N/A</v>
      </c>
      <c r="V268" s="1510"/>
      <c r="X268" s="273"/>
      <c r="Y268" s="273"/>
      <c r="Z268" s="273"/>
      <c r="AA268" s="752"/>
    </row>
    <row r="269" spans="2:27" ht="15" hidden="1" customHeight="1" outlineLevel="2" x14ac:dyDescent="0.4">
      <c r="B269" s="921"/>
      <c r="C269" s="5"/>
      <c r="D269" s="3996"/>
      <c r="E269" s="572" t="s">
        <v>47</v>
      </c>
      <c r="F269" s="572" t="s">
        <v>251</v>
      </c>
      <c r="G269" s="574">
        <f t="shared" si="21"/>
        <v>7.83</v>
      </c>
      <c r="H269" s="574">
        <f t="shared" si="24"/>
        <v>174.74943171577769</v>
      </c>
      <c r="I269" s="572" t="s">
        <v>257</v>
      </c>
      <c r="J269" s="574">
        <f>IF(F269="operation",VLOOKUP(I269,'Generic Vertical Port Tasks'!$C$4:$D250,2,FALSE),"N/A")</f>
        <v>7.83</v>
      </c>
      <c r="K269" s="572"/>
      <c r="L269" s="572"/>
      <c r="M269" s="572"/>
      <c r="N269" s="577" t="str">
        <f>IFERROR(INDEX('Upper Cask Movement &amp; Logistics'!$I$24:$O$30,MATCH($J269,'Upper Cask Movement &amp; Logistics'!$H$24:$H$30,0),MATCH($K269,'Upper Cask Movement &amp; Logistics'!$H$24:$H$30,0)),"N/A")</f>
        <v>N/A</v>
      </c>
      <c r="O269" s="577" t="str">
        <f>IFERROR(VLOOKUP($I269,'Upper Cask Movement &amp; Logistics'!$H$4:$I$8,2,FALSE),"N/A")</f>
        <v>N/A</v>
      </c>
      <c r="P269" s="574" t="str">
        <f t="shared" si="20"/>
        <v>N/A</v>
      </c>
      <c r="Q269" s="1282"/>
      <c r="R269" s="574" t="str">
        <f>IF($F269="Logistics",VLOOKUP($Q269,'Upper Cask Movement &amp; Logistics'!$C$4:$D$209,2,FALSE),"N/A")</f>
        <v>N/A</v>
      </c>
      <c r="S269" s="1283"/>
      <c r="T269" s="574" t="str">
        <f>IFERROR(VLOOKUP($S269,'Upper Cask Recovery Logistics'!$C$207:$F$366,4,FALSE),"N/A")</f>
        <v>N/A</v>
      </c>
      <c r="U269" s="1284" t="str">
        <f t="shared" si="25"/>
        <v>N/A</v>
      </c>
      <c r="V269" s="1510"/>
      <c r="X269" s="273"/>
      <c r="Y269" s="273"/>
      <c r="Z269" s="273"/>
      <c r="AA269" s="752"/>
    </row>
    <row r="270" spans="2:27" ht="15" hidden="1" customHeight="1" outlineLevel="2" thickBot="1" x14ac:dyDescent="0.45">
      <c r="B270" s="921"/>
      <c r="C270" s="5"/>
      <c r="D270" s="3997"/>
      <c r="E270" s="583" t="s">
        <v>1246</v>
      </c>
      <c r="F270" s="583" t="s">
        <v>3</v>
      </c>
      <c r="G270" s="585">
        <f t="shared" si="21"/>
        <v>0.38</v>
      </c>
      <c r="H270" s="585">
        <f t="shared" si="24"/>
        <v>175.12943171577768</v>
      </c>
      <c r="I270" s="583"/>
      <c r="J270" s="585" t="str">
        <f>IF(F270="operation",VLOOKUP(I270,'Generic Vertical Port Tasks'!$C$4:$D250,2,FALSE),"N/A")</f>
        <v>N/A</v>
      </c>
      <c r="K270" s="583"/>
      <c r="L270" s="583"/>
      <c r="M270" s="583"/>
      <c r="N270" s="588" t="str">
        <f>IFERROR(INDEX('Upper Cask Movement &amp; Logistics'!$I$24:$O$30,MATCH($J270,'Upper Cask Movement &amp; Logistics'!$H$24:$H$30,0),MATCH($K270,'Upper Cask Movement &amp; Logistics'!$H$24:$H$30,0)),"N/A")</f>
        <v>N/A</v>
      </c>
      <c r="O270" s="588" t="str">
        <f>IFERROR(VLOOKUP($I270,'Upper Cask Movement &amp; Logistics'!$H$4:$I$8,2,FALSE),"N/A")</f>
        <v>N/A</v>
      </c>
      <c r="P270" s="585" t="str">
        <f t="shared" si="20"/>
        <v>N/A</v>
      </c>
      <c r="Q270" s="1285" t="s">
        <v>1230</v>
      </c>
      <c r="R270" s="585">
        <f>IF($F270="Logistics",VLOOKUP($Q270,'Upper Cask Movement &amp; Logistics'!$C$4:$D$209,2,FALSE),"N/A")</f>
        <v>0.38</v>
      </c>
      <c r="S270" s="1286"/>
      <c r="T270" s="585" t="str">
        <f>IFERROR(VLOOKUP($S270,'Upper Cask Recovery Logistics'!$C$207:$F$366,4,FALSE),"N/A")</f>
        <v>N/A</v>
      </c>
      <c r="U270" s="1287" t="str">
        <f t="shared" si="25"/>
        <v>N/A</v>
      </c>
      <c r="V270" s="1510"/>
      <c r="X270" s="273"/>
      <c r="Y270" s="273"/>
      <c r="Z270" s="273"/>
      <c r="AA270" s="752"/>
    </row>
    <row r="271" spans="2:27" ht="15" hidden="1" customHeight="1" outlineLevel="2" x14ac:dyDescent="0.4">
      <c r="B271" s="921"/>
      <c r="C271" s="5"/>
      <c r="D271" s="3992" t="s">
        <v>118</v>
      </c>
      <c r="E271" s="596" t="s">
        <v>1300</v>
      </c>
      <c r="F271" s="596" t="s">
        <v>3</v>
      </c>
      <c r="G271" s="593">
        <f t="shared" si="21"/>
        <v>0.60000000000000009</v>
      </c>
      <c r="H271" s="593">
        <f t="shared" si="24"/>
        <v>175.72943171577768</v>
      </c>
      <c r="I271" s="596"/>
      <c r="J271" s="593" t="str">
        <f>IF(F271="operation",VLOOKUP(I271,'Generic Vertical Port Tasks'!$C$4:$D251,2,FALSE),"N/A")</f>
        <v>N/A</v>
      </c>
      <c r="K271" s="596"/>
      <c r="L271" s="596"/>
      <c r="M271" s="596"/>
      <c r="N271" s="597" t="str">
        <f>IFERROR(INDEX('Upper Cask Movement &amp; Logistics'!$I$24:$O$30,MATCH($J271,'Upper Cask Movement &amp; Logistics'!$H$24:$H$30,0),MATCH($K271,'Upper Cask Movement &amp; Logistics'!$H$24:$H$30,0)),"N/A")</f>
        <v>N/A</v>
      </c>
      <c r="O271" s="597" t="str">
        <f>IFERROR(VLOOKUP($I271,'Upper Cask Movement &amp; Logistics'!$H$4:$I$8,2,FALSE),"N/A")</f>
        <v>N/A</v>
      </c>
      <c r="P271" s="593" t="str">
        <f t="shared" si="20"/>
        <v>N/A</v>
      </c>
      <c r="Q271" s="1253" t="s">
        <v>1279</v>
      </c>
      <c r="R271" s="593">
        <f>IF($F271="Logistics",VLOOKUP($Q271,'Upper Cask Movement &amp; Logistics'!$C$4:$D$209,2,FALSE),"N/A")</f>
        <v>0.60000000000000009</v>
      </c>
      <c r="S271" s="1254" t="s">
        <v>1414</v>
      </c>
      <c r="T271" s="593">
        <f>IFERROR(VLOOKUP($S271,'Upper Cask Recovery Logistics'!$C$207:$F$366,4,FALSE),"N/A")</f>
        <v>146.68262508983011</v>
      </c>
      <c r="U271" s="1255">
        <f t="shared" si="25"/>
        <v>28.446806625947573</v>
      </c>
      <c r="V271" s="1510"/>
      <c r="X271" s="273"/>
      <c r="Y271" s="273"/>
      <c r="Z271" s="273"/>
      <c r="AA271" s="752"/>
    </row>
    <row r="272" spans="2:27" ht="15" hidden="1" customHeight="1" outlineLevel="2" x14ac:dyDescent="0.4">
      <c r="B272" s="921"/>
      <c r="C272" s="5"/>
      <c r="D272" s="3993"/>
      <c r="E272" s="601" t="s">
        <v>1517</v>
      </c>
      <c r="F272" s="601" t="s">
        <v>3</v>
      </c>
      <c r="G272" s="602">
        <f t="shared" si="21"/>
        <v>0.38</v>
      </c>
      <c r="H272" s="602">
        <f t="shared" si="24"/>
        <v>176.10943171577767</v>
      </c>
      <c r="I272" s="601"/>
      <c r="J272" s="602" t="str">
        <f>IF(F272="operation",VLOOKUP(I272,'Generic Vertical Port Tasks'!$C$4:$D251,2,FALSE),"N/A")</f>
        <v>N/A</v>
      </c>
      <c r="K272" s="601"/>
      <c r="L272" s="601"/>
      <c r="M272" s="601"/>
      <c r="N272" s="605" t="str">
        <f>IFERROR(INDEX('Upper Cask Movement &amp; Logistics'!$I$24:$O$30,MATCH($J272,'Upper Cask Movement &amp; Logistics'!$H$24:$H$30,0),MATCH($K272,'Upper Cask Movement &amp; Logistics'!$H$24:$H$30,0)),"N/A")</f>
        <v>N/A</v>
      </c>
      <c r="O272" s="605" t="str">
        <f>IFERROR(VLOOKUP($I272,'Upper Cask Movement &amp; Logistics'!$H$4:$I$8,2,FALSE),"N/A")</f>
        <v>N/A</v>
      </c>
      <c r="P272" s="602" t="str">
        <f t="shared" si="20"/>
        <v>N/A</v>
      </c>
      <c r="Q272" s="1288" t="s">
        <v>1226</v>
      </c>
      <c r="R272" s="602">
        <f>IF($F272="Logistics",VLOOKUP($Q272,'Upper Cask Movement &amp; Logistics'!$C$4:$D$209,2,FALSE),"N/A")</f>
        <v>0.38</v>
      </c>
      <c r="S272" s="1235"/>
      <c r="T272" s="602" t="str">
        <f>IFERROR(VLOOKUP($S272,'Upper Cask Recovery Logistics'!$C$207:$F$366,4,FALSE),"N/A")</f>
        <v>N/A</v>
      </c>
      <c r="U272" s="1236" t="str">
        <f t="shared" si="25"/>
        <v>N/A</v>
      </c>
      <c r="V272" s="1510"/>
      <c r="X272" s="273"/>
      <c r="Y272" s="273"/>
      <c r="Z272" s="273"/>
      <c r="AA272" s="752"/>
    </row>
    <row r="273" spans="2:27" ht="15" hidden="1" customHeight="1" outlineLevel="2" x14ac:dyDescent="0.4">
      <c r="B273" s="921"/>
      <c r="C273" s="5"/>
      <c r="D273" s="3993"/>
      <c r="E273" s="601" t="s">
        <v>118</v>
      </c>
      <c r="F273" s="601" t="s">
        <v>251</v>
      </c>
      <c r="G273" s="602">
        <f t="shared" si="21"/>
        <v>4.0949999999999998</v>
      </c>
      <c r="H273" s="602">
        <f t="shared" si="24"/>
        <v>180.20443171577767</v>
      </c>
      <c r="I273" s="601" t="s">
        <v>35</v>
      </c>
      <c r="J273" s="602">
        <f>IF(F273="operation",VLOOKUP(I273,'Generic Vertical Port Tasks'!$C$4:$D251,2,FALSE),"N/A")</f>
        <v>4.0949999999999998</v>
      </c>
      <c r="K273" s="601"/>
      <c r="L273" s="601"/>
      <c r="M273" s="601"/>
      <c r="N273" s="605" t="str">
        <f>IFERROR(INDEX('Upper Cask Movement &amp; Logistics'!$I$24:$O$30,MATCH($J273,'Upper Cask Movement &amp; Logistics'!$H$24:$H$30,0),MATCH($K273,'Upper Cask Movement &amp; Logistics'!$H$24:$H$30,0)),"N/A")</f>
        <v>N/A</v>
      </c>
      <c r="O273" s="605" t="str">
        <f>IFERROR(VLOOKUP($I273,'Upper Cask Movement &amp; Logistics'!$H$4:$I$8,2,FALSE),"N/A")</f>
        <v>N/A</v>
      </c>
      <c r="P273" s="602" t="str">
        <f t="shared" si="20"/>
        <v>N/A</v>
      </c>
      <c r="Q273" s="1234"/>
      <c r="R273" s="602" t="str">
        <f>IF($F273="Logistics",VLOOKUP($Q273,'Upper Cask Movement &amp; Logistics'!$C$4:$D$209,2,FALSE),"N/A")</f>
        <v>N/A</v>
      </c>
      <c r="S273" s="1235"/>
      <c r="T273" s="602" t="str">
        <f>IFERROR(VLOOKUP($S273,'Upper Cask Recovery Logistics'!$C$207:$F$366,4,FALSE),"N/A")</f>
        <v>N/A</v>
      </c>
      <c r="U273" s="1236" t="str">
        <f t="shared" si="25"/>
        <v>N/A</v>
      </c>
      <c r="V273" s="1510"/>
      <c r="X273" s="273"/>
      <c r="Y273" s="273"/>
      <c r="Z273" s="273"/>
      <c r="AA273" s="752"/>
    </row>
    <row r="274" spans="2:27" ht="15" hidden="1" customHeight="1" outlineLevel="2" thickBot="1" x14ac:dyDescent="0.45">
      <c r="B274" s="921"/>
      <c r="C274" s="5"/>
      <c r="D274" s="3993"/>
      <c r="E274" s="601" t="s">
        <v>1251</v>
      </c>
      <c r="F274" s="636" t="s">
        <v>3</v>
      </c>
      <c r="G274" s="602">
        <f t="shared" si="21"/>
        <v>0.38</v>
      </c>
      <c r="H274" s="602">
        <f t="shared" si="24"/>
        <v>180.58443171577767</v>
      </c>
      <c r="I274" s="601"/>
      <c r="J274" s="602" t="str">
        <f>IF(F274="operation",VLOOKUP(I274,'Generic Vertical Port Tasks'!$C$4:$D251,2,FALSE),"N/A")</f>
        <v>N/A</v>
      </c>
      <c r="K274" s="601"/>
      <c r="L274" s="601"/>
      <c r="M274" s="601"/>
      <c r="N274" s="605" t="str">
        <f>IFERROR(INDEX('Upper Cask Movement &amp; Logistics'!$I$24:$O$30,MATCH($J274,'Upper Cask Movement &amp; Logistics'!$H$24:$H$30,0),MATCH($K274,'Upper Cask Movement &amp; Logistics'!$H$24:$H$30,0)),"N/A")</f>
        <v>N/A</v>
      </c>
      <c r="O274" s="605" t="str">
        <f>IFERROR(VLOOKUP($I274,'Upper Cask Movement &amp; Logistics'!$H$4:$I$8,2,FALSE),"N/A")</f>
        <v>N/A</v>
      </c>
      <c r="P274" s="602" t="str">
        <f t="shared" si="20"/>
        <v>N/A</v>
      </c>
      <c r="Q274" s="1234" t="s">
        <v>1230</v>
      </c>
      <c r="R274" s="602">
        <f>IF($F274="Logistics",VLOOKUP($Q274,'Upper Cask Movement &amp; Logistics'!$C$4:$D$209,2,FALSE),"N/A")</f>
        <v>0.38</v>
      </c>
      <c r="S274" s="1235"/>
      <c r="T274" s="602" t="str">
        <f>IFERROR(VLOOKUP($S274,'Upper Cask Recovery Logistics'!$C$207:$F$366,4,FALSE),"N/A")</f>
        <v>N/A</v>
      </c>
      <c r="U274" s="1236" t="str">
        <f t="shared" si="25"/>
        <v>N/A</v>
      </c>
      <c r="V274" s="1510"/>
      <c r="X274" s="273"/>
      <c r="Y274" s="273"/>
      <c r="Z274" s="273"/>
      <c r="AA274" s="752"/>
    </row>
    <row r="275" spans="2:27" ht="15" hidden="1" customHeight="1" outlineLevel="2" x14ac:dyDescent="0.4">
      <c r="B275" s="921"/>
      <c r="C275" s="5"/>
      <c r="D275" s="3995" t="s">
        <v>1089</v>
      </c>
      <c r="E275" s="617" t="s">
        <v>1299</v>
      </c>
      <c r="F275" s="617" t="s">
        <v>3</v>
      </c>
      <c r="G275" s="567">
        <f t="shared" si="21"/>
        <v>0.38</v>
      </c>
      <c r="H275" s="574">
        <f t="shared" si="24"/>
        <v>180.96443171577766</v>
      </c>
      <c r="I275" s="617"/>
      <c r="J275" s="567" t="str">
        <f>IF(F275="operation",VLOOKUP(I275,'Generic Vertical Port Tasks'!$C$4:$D251,2,FALSE),"N/A")</f>
        <v>N/A</v>
      </c>
      <c r="K275" s="617"/>
      <c r="L275" s="617"/>
      <c r="M275" s="617"/>
      <c r="N275" s="618" t="str">
        <f>IFERROR(INDEX('Upper Cask Movement &amp; Logistics'!$I$24:$O$30,MATCH($J275,'Upper Cask Movement &amp; Logistics'!$H$24:$H$30,0),MATCH($K275,'Upper Cask Movement &amp; Logistics'!$H$24:$H$30,0)),"N/A")</f>
        <v>N/A</v>
      </c>
      <c r="O275" s="618" t="str">
        <f>IFERROR(VLOOKUP($I275,'Upper Cask Movement &amp; Logistics'!$H$4:$I$8,2,FALSE),"N/A")</f>
        <v>N/A</v>
      </c>
      <c r="P275" s="567" t="str">
        <f t="shared" si="20"/>
        <v>N/A</v>
      </c>
      <c r="Q275" s="1271" t="s">
        <v>1226</v>
      </c>
      <c r="R275" s="567">
        <f>IF($F275="Logistics",VLOOKUP($Q275,'Upper Cask Movement &amp; Logistics'!$C$4:$D$209,2,FALSE),"N/A")</f>
        <v>0.38</v>
      </c>
      <c r="S275" s="1272"/>
      <c r="T275" s="567" t="str">
        <f>IFERROR(VLOOKUP($S275,'Upper Cask Recovery Logistics'!$C$207:$F$366,4,FALSE),"N/A")</f>
        <v>N/A</v>
      </c>
      <c r="U275" s="1273" t="str">
        <f t="shared" si="25"/>
        <v>N/A</v>
      </c>
      <c r="V275" s="1510"/>
      <c r="X275" s="273"/>
      <c r="Y275" s="273"/>
      <c r="Z275" s="273"/>
      <c r="AA275" s="752"/>
    </row>
    <row r="276" spans="2:27" ht="15" hidden="1" customHeight="1" outlineLevel="2" x14ac:dyDescent="0.4">
      <c r="B276" s="921"/>
      <c r="C276" s="5"/>
      <c r="D276" s="3996"/>
      <c r="E276" s="572" t="s">
        <v>130</v>
      </c>
      <c r="F276" s="572" t="s">
        <v>251</v>
      </c>
      <c r="G276" s="574">
        <f t="shared" si="21"/>
        <v>24.022732551873563</v>
      </c>
      <c r="H276" s="574">
        <f t="shared" si="24"/>
        <v>204.98716426765122</v>
      </c>
      <c r="I276" s="572" t="s">
        <v>2492</v>
      </c>
      <c r="J276" s="574">
        <f>IF(F276="operation",VLOOKUP(I276,'Generic Vertical Port Tasks'!$C$4:$D252,2,FALSE),"N/A")</f>
        <v>24.022732551873563</v>
      </c>
      <c r="K276" s="572"/>
      <c r="L276" s="572"/>
      <c r="M276" s="572"/>
      <c r="N276" s="577" t="str">
        <f>IFERROR(INDEX('Upper Cask Movement &amp; Logistics'!$I$24:$O$30,MATCH($J276,'Upper Cask Movement &amp; Logistics'!$H$24:$H$30,0),MATCH($K276,'Upper Cask Movement &amp; Logistics'!$H$24:$H$30,0)),"N/A")</f>
        <v>N/A</v>
      </c>
      <c r="O276" s="577" t="str">
        <f>IFERROR(VLOOKUP($I276,'Upper Cask Movement &amp; Logistics'!$H$4:$I$8,2,FALSE),"N/A")</f>
        <v>N/A</v>
      </c>
      <c r="P276" s="574" t="str">
        <f t="shared" si="20"/>
        <v>N/A</v>
      </c>
      <c r="Q276" s="1282"/>
      <c r="R276" s="574" t="str">
        <f>IF($F276="Logistics",VLOOKUP($Q276,'Upper Cask Movement &amp; Logistics'!$C$4:$D$209,2,FALSE),"N/A")</f>
        <v>N/A</v>
      </c>
      <c r="S276" s="1283"/>
      <c r="T276" s="574" t="str">
        <f>IFERROR(VLOOKUP($S276,'Upper Cask Recovery Logistics'!$C$207:$F$366,4,FALSE),"N/A")</f>
        <v>N/A</v>
      </c>
      <c r="U276" s="1284" t="str">
        <f t="shared" si="25"/>
        <v>N/A</v>
      </c>
      <c r="V276" s="1510"/>
      <c r="X276" s="273"/>
      <c r="Y276" s="273"/>
      <c r="Z276" s="273"/>
      <c r="AA276" s="752"/>
    </row>
    <row r="277" spans="2:27" ht="15" hidden="1" customHeight="1" outlineLevel="2" x14ac:dyDescent="0.4">
      <c r="B277" s="921"/>
      <c r="C277" s="5"/>
      <c r="D277" s="3996"/>
      <c r="E277" s="572" t="s">
        <v>1248</v>
      </c>
      <c r="F277" s="572" t="s">
        <v>3</v>
      </c>
      <c r="G277" s="574">
        <f t="shared" si="21"/>
        <v>0.38</v>
      </c>
      <c r="H277" s="574">
        <f t="shared" si="24"/>
        <v>205.36716426765122</v>
      </c>
      <c r="I277" s="572"/>
      <c r="J277" s="574" t="str">
        <f>IF(F277="operation",VLOOKUP(I277,'Generic Vertical Port Tasks'!$C$4:$D252,2,FALSE),"N/A")</f>
        <v>N/A</v>
      </c>
      <c r="K277" s="572"/>
      <c r="L277" s="572"/>
      <c r="M277" s="572"/>
      <c r="N277" s="577" t="str">
        <f>IFERROR(INDEX('Upper Cask Movement &amp; Logistics'!$I$24:$O$30,MATCH($J277,'Upper Cask Movement &amp; Logistics'!$H$24:$H$30,0),MATCH($K277,'Upper Cask Movement &amp; Logistics'!$H$24:$H$30,0)),"N/A")</f>
        <v>N/A</v>
      </c>
      <c r="O277" s="577" t="str">
        <f>IFERROR(VLOOKUP($I277,'Upper Cask Movement &amp; Logistics'!$H$4:$I$8,2,FALSE),"N/A")</f>
        <v>N/A</v>
      </c>
      <c r="P277" s="574" t="str">
        <f t="shared" si="20"/>
        <v>N/A</v>
      </c>
      <c r="Q277" s="1282" t="s">
        <v>1230</v>
      </c>
      <c r="R277" s="574">
        <f>IF($F277="Logistics",VLOOKUP($Q277,'Upper Cask Movement &amp; Logistics'!$C$4:$D$209,2,FALSE),"N/A")</f>
        <v>0.38</v>
      </c>
      <c r="S277" s="1283" t="s">
        <v>1090</v>
      </c>
      <c r="T277" s="574" t="str">
        <f>IFERROR(VLOOKUP($S277,'Upper Cask Recovery Logistics'!$C$207:$F$366,4,FALSE),"N/A")</f>
        <v>N/A</v>
      </c>
      <c r="U277" s="1284" t="str">
        <f t="shared" si="25"/>
        <v>N/A</v>
      </c>
      <c r="V277" s="1510"/>
      <c r="X277" s="273"/>
      <c r="Y277" s="273"/>
      <c r="Z277" s="273"/>
      <c r="AA277" s="752"/>
    </row>
    <row r="278" spans="2:27" ht="15" hidden="1" customHeight="1" outlineLevel="2" x14ac:dyDescent="0.4">
      <c r="B278" s="921"/>
      <c r="C278" s="5"/>
      <c r="D278" s="3996"/>
      <c r="E278" s="572" t="s">
        <v>1252</v>
      </c>
      <c r="F278" s="572" t="s">
        <v>3</v>
      </c>
      <c r="G278" s="574">
        <f t="shared" si="21"/>
        <v>0.38</v>
      </c>
      <c r="H278" s="574">
        <f t="shared" si="24"/>
        <v>205.74716426765121</v>
      </c>
      <c r="I278" s="572"/>
      <c r="J278" s="574" t="str">
        <f>IF(F278="operation",VLOOKUP(I278,'Generic Vertical Port Tasks'!$C$4:$D252,2,FALSE),"N/A")</f>
        <v>N/A</v>
      </c>
      <c r="K278" s="572"/>
      <c r="L278" s="572"/>
      <c r="M278" s="572"/>
      <c r="N278" s="577" t="str">
        <f>IFERROR(INDEX('Upper Cask Movement &amp; Logistics'!$I$24:$O$30,MATCH($J278,'Upper Cask Movement &amp; Logistics'!$H$24:$H$30,0),MATCH($K278,'Upper Cask Movement &amp; Logistics'!$H$24:$H$30,0)),"N/A")</f>
        <v>N/A</v>
      </c>
      <c r="O278" s="577" t="str">
        <f>IFERROR(VLOOKUP($I278,'Upper Cask Movement &amp; Logistics'!$H$4:$I$8,2,FALSE),"N/A")</f>
        <v>N/A</v>
      </c>
      <c r="P278" s="574" t="str">
        <f t="shared" si="20"/>
        <v>N/A</v>
      </c>
      <c r="Q278" s="1282" t="s">
        <v>1226</v>
      </c>
      <c r="R278" s="574">
        <f>IF($F278="Logistics",VLOOKUP($Q278,'Upper Cask Movement &amp; Logistics'!$C$4:$D$209,2,FALSE),"N/A")</f>
        <v>0.38</v>
      </c>
      <c r="S278" s="1283"/>
      <c r="T278" s="574" t="str">
        <f>IFERROR(VLOOKUP($S278,'Upper Cask Recovery Logistics'!$C$207:$F$366,4,FALSE),"N/A")</f>
        <v>N/A</v>
      </c>
      <c r="U278" s="1284" t="str">
        <f t="shared" si="25"/>
        <v>N/A</v>
      </c>
      <c r="V278" s="1510"/>
      <c r="X278" s="273"/>
      <c r="Y278" s="273"/>
      <c r="Z278" s="273"/>
      <c r="AA278" s="752"/>
    </row>
    <row r="279" spans="2:27" ht="15" hidden="1" customHeight="1" outlineLevel="2" x14ac:dyDescent="0.4">
      <c r="B279" s="921"/>
      <c r="C279" s="5"/>
      <c r="D279" s="3996"/>
      <c r="E279" s="572" t="s">
        <v>42</v>
      </c>
      <c r="F279" s="572" t="s">
        <v>251</v>
      </c>
      <c r="G279" s="574">
        <f t="shared" si="21"/>
        <v>7.83</v>
      </c>
      <c r="H279" s="574">
        <f t="shared" si="24"/>
        <v>213.57716426765123</v>
      </c>
      <c r="I279" s="572" t="s">
        <v>257</v>
      </c>
      <c r="J279" s="574">
        <f>IF(F279="operation",VLOOKUP(I279,'Generic Vertical Port Tasks'!$C$4:$D252,2,FALSE),"N/A")</f>
        <v>7.83</v>
      </c>
      <c r="K279" s="572"/>
      <c r="L279" s="572"/>
      <c r="M279" s="572"/>
      <c r="N279" s="577" t="str">
        <f>IFERROR(INDEX('Upper Cask Movement &amp; Logistics'!$I$24:$O$30,MATCH($J279,'Upper Cask Movement &amp; Logistics'!$H$24:$H$30,0),MATCH($K279,'Upper Cask Movement &amp; Logistics'!$H$24:$H$30,0)),"N/A")</f>
        <v>N/A</v>
      </c>
      <c r="O279" s="577" t="str">
        <f>IFERROR(VLOOKUP($I279,'Upper Cask Movement &amp; Logistics'!$H$4:$I$8,2,FALSE),"N/A")</f>
        <v>N/A</v>
      </c>
      <c r="P279" s="574" t="str">
        <f t="shared" si="20"/>
        <v>N/A</v>
      </c>
      <c r="Q279" s="1282"/>
      <c r="R279" s="574" t="str">
        <f>IF($F279="Logistics",VLOOKUP($Q279,'Upper Cask Movement &amp; Logistics'!$C$4:$D$209,2,FALSE),"N/A")</f>
        <v>N/A</v>
      </c>
      <c r="S279" s="1283"/>
      <c r="T279" s="574" t="str">
        <f>IFERROR(VLOOKUP($S279,'Upper Cask Recovery Logistics'!$C$207:$F$366,4,FALSE),"N/A")</f>
        <v>N/A</v>
      </c>
      <c r="U279" s="1284" t="str">
        <f t="shared" si="25"/>
        <v>N/A</v>
      </c>
      <c r="V279" s="1510"/>
      <c r="X279" s="273"/>
      <c r="Y279" s="273"/>
      <c r="Z279" s="273"/>
      <c r="AA279" s="752"/>
    </row>
    <row r="280" spans="2:27" ht="15" hidden="1" customHeight="1" outlineLevel="2" thickBot="1" x14ac:dyDescent="0.45">
      <c r="B280" s="921"/>
      <c r="C280" s="5"/>
      <c r="D280" s="3997"/>
      <c r="E280" s="583" t="s">
        <v>1246</v>
      </c>
      <c r="F280" s="583" t="s">
        <v>3</v>
      </c>
      <c r="G280" s="585">
        <f t="shared" si="21"/>
        <v>0.38</v>
      </c>
      <c r="H280" s="574">
        <f t="shared" si="24"/>
        <v>213.95716426765122</v>
      </c>
      <c r="I280" s="583"/>
      <c r="J280" s="585" t="str">
        <f>IF(F280="operation",VLOOKUP(I280,'Generic Vertical Port Tasks'!$C$4:$D252,2,FALSE),"N/A")</f>
        <v>N/A</v>
      </c>
      <c r="K280" s="583"/>
      <c r="L280" s="583"/>
      <c r="M280" s="583"/>
      <c r="N280" s="588" t="str">
        <f>IFERROR(INDEX('Upper Cask Movement &amp; Logistics'!$I$24:$O$30,MATCH($J280,'Upper Cask Movement &amp; Logistics'!$H$24:$H$30,0),MATCH($K280,'Upper Cask Movement &amp; Logistics'!$H$24:$H$30,0)),"N/A")</f>
        <v>N/A</v>
      </c>
      <c r="O280" s="588" t="str">
        <f>IFERROR(VLOOKUP($I280,'Upper Cask Movement &amp; Logistics'!$H$4:$I$8,2,FALSE),"N/A")</f>
        <v>N/A</v>
      </c>
      <c r="P280" s="585" t="str">
        <f t="shared" si="20"/>
        <v>N/A</v>
      </c>
      <c r="Q280" s="1285" t="s">
        <v>1230</v>
      </c>
      <c r="R280" s="585">
        <f>IF($F280="Logistics",VLOOKUP($Q280,'Upper Cask Movement &amp; Logistics'!$C$4:$D$209,2,FALSE),"N/A")</f>
        <v>0.38</v>
      </c>
      <c r="S280" s="1286"/>
      <c r="T280" s="585" t="str">
        <f>IFERROR(VLOOKUP($S280,'Upper Cask Recovery Logistics'!$C$207:$F$366,4,FALSE),"N/A")</f>
        <v>N/A</v>
      </c>
      <c r="U280" s="1287" t="str">
        <f t="shared" si="25"/>
        <v>N/A</v>
      </c>
      <c r="V280" s="1510"/>
      <c r="X280" s="273"/>
      <c r="Y280" s="273"/>
      <c r="Z280" s="273"/>
      <c r="AA280" s="752"/>
    </row>
    <row r="281" spans="2:27" ht="15" hidden="1" customHeight="1" outlineLevel="2" x14ac:dyDescent="0.4">
      <c r="B281" s="921"/>
      <c r="C281" s="5"/>
      <c r="D281" s="3992" t="s">
        <v>119</v>
      </c>
      <c r="E281" s="596" t="s">
        <v>1303</v>
      </c>
      <c r="F281" s="596" t="s">
        <v>3</v>
      </c>
      <c r="G281" s="593">
        <f t="shared" si="21"/>
        <v>0.60000000000000009</v>
      </c>
      <c r="H281" s="602">
        <f t="shared" si="24"/>
        <v>214.55716426765122</v>
      </c>
      <c r="I281" s="596"/>
      <c r="J281" s="593" t="str">
        <f>IF(F281="operation",VLOOKUP(I281,'Generic Vertical Port Tasks'!$C$4:$D253,2,FALSE),"N/A")</f>
        <v>N/A</v>
      </c>
      <c r="K281" s="596"/>
      <c r="L281" s="596"/>
      <c r="M281" s="596"/>
      <c r="N281" s="597" t="str">
        <f>IFERROR(INDEX('Upper Cask Movement &amp; Logistics'!$I$24:$O$30,MATCH($J281,'Upper Cask Movement &amp; Logistics'!$H$24:$H$30,0),MATCH($K281,'Upper Cask Movement &amp; Logistics'!$H$24:$H$30,0)),"N/A")</f>
        <v>N/A</v>
      </c>
      <c r="O281" s="597" t="str">
        <f>IFERROR(VLOOKUP($I281,'Upper Cask Movement &amp; Logistics'!$H$4:$I$8,2,FALSE),"N/A")</f>
        <v>N/A</v>
      </c>
      <c r="P281" s="593" t="str">
        <f t="shared" si="20"/>
        <v>N/A</v>
      </c>
      <c r="Q281" s="1253" t="s">
        <v>1279</v>
      </c>
      <c r="R281" s="593">
        <f>IF($F281="Logistics",VLOOKUP($Q281,'Upper Cask Movement &amp; Logistics'!$C$4:$D$209,2,FALSE),"N/A")</f>
        <v>0.60000000000000009</v>
      </c>
      <c r="S281" s="1254" t="s">
        <v>1416</v>
      </c>
      <c r="T281" s="593">
        <f>IFERROR(VLOOKUP($S281,'Upper Cask Recovery Logistics'!$C$207:$F$366,4,FALSE),"N/A")</f>
        <v>185.51035764170365</v>
      </c>
      <c r="U281" s="1255">
        <f t="shared" si="25"/>
        <v>28.446806625947573</v>
      </c>
      <c r="V281" s="1510"/>
      <c r="X281" s="273"/>
      <c r="Y281" s="273"/>
      <c r="Z281" s="273"/>
      <c r="AA281" s="752"/>
    </row>
    <row r="282" spans="2:27" ht="15" hidden="1" customHeight="1" outlineLevel="2" x14ac:dyDescent="0.4">
      <c r="B282" s="921"/>
      <c r="C282" s="5"/>
      <c r="D282" s="3993"/>
      <c r="E282" s="601" t="s">
        <v>1517</v>
      </c>
      <c r="F282" s="601" t="s">
        <v>3</v>
      </c>
      <c r="G282" s="602">
        <f t="shared" si="21"/>
        <v>0.38</v>
      </c>
      <c r="H282" s="602">
        <f t="shared" si="24"/>
        <v>214.93716426765121</v>
      </c>
      <c r="I282" s="601"/>
      <c r="J282" s="602" t="str">
        <f>IF(F282="operation",VLOOKUP(I282,'Generic Vertical Port Tasks'!$C$4:$D254,2,FALSE),"N/A")</f>
        <v>N/A</v>
      </c>
      <c r="K282" s="601"/>
      <c r="L282" s="601"/>
      <c r="M282" s="601"/>
      <c r="N282" s="605" t="str">
        <f>IFERROR(INDEX('Upper Cask Movement &amp; Logistics'!$I$24:$O$30,MATCH($J282,'Upper Cask Movement &amp; Logistics'!$H$24:$H$30,0),MATCH($K282,'Upper Cask Movement &amp; Logistics'!$H$24:$H$30,0)),"N/A")</f>
        <v>N/A</v>
      </c>
      <c r="O282" s="605" t="str">
        <f>IFERROR(VLOOKUP($I282,'Upper Cask Movement &amp; Logistics'!$H$4:$I$8,2,FALSE),"N/A")</f>
        <v>N/A</v>
      </c>
      <c r="P282" s="602" t="str">
        <f t="shared" si="20"/>
        <v>N/A</v>
      </c>
      <c r="Q282" s="1288" t="s">
        <v>1226</v>
      </c>
      <c r="R282" s="602">
        <f>IF($F282="Logistics",VLOOKUP($Q282,'Upper Cask Movement &amp; Logistics'!$C$4:$D$209,2,FALSE),"N/A")</f>
        <v>0.38</v>
      </c>
      <c r="S282" s="1235"/>
      <c r="T282" s="602" t="str">
        <f>IFERROR(VLOOKUP($S282,'Upper Cask Recovery Logistics'!$C$207:$F$366,4,FALSE),"N/A")</f>
        <v>N/A</v>
      </c>
      <c r="U282" s="1236" t="str">
        <f t="shared" si="25"/>
        <v>N/A</v>
      </c>
      <c r="V282" s="1510"/>
      <c r="X282" s="273"/>
      <c r="Y282" s="273"/>
      <c r="Z282" s="273"/>
      <c r="AA282" s="752"/>
    </row>
    <row r="283" spans="2:27" ht="15" hidden="1" customHeight="1" outlineLevel="2" x14ac:dyDescent="0.4">
      <c r="B283" s="921"/>
      <c r="C283" s="5"/>
      <c r="D283" s="3993"/>
      <c r="E283" s="601" t="s">
        <v>119</v>
      </c>
      <c r="F283" s="601" t="s">
        <v>251</v>
      </c>
      <c r="G283" s="602">
        <f t="shared" si="21"/>
        <v>4.0949999999999998</v>
      </c>
      <c r="H283" s="602">
        <f t="shared" si="24"/>
        <v>219.03216426765121</v>
      </c>
      <c r="I283" s="601" t="s">
        <v>35</v>
      </c>
      <c r="J283" s="602">
        <f>IF(F283="operation",VLOOKUP(I283,'Generic Vertical Port Tasks'!$C$4:$D255,2,FALSE),"N/A")</f>
        <v>4.0949999999999998</v>
      </c>
      <c r="K283" s="601"/>
      <c r="L283" s="601"/>
      <c r="M283" s="601"/>
      <c r="N283" s="605" t="str">
        <f>IFERROR(INDEX('Upper Cask Movement &amp; Logistics'!$I$24:$O$30,MATCH($J283,'Upper Cask Movement &amp; Logistics'!$H$24:$H$30,0),MATCH($K283,'Upper Cask Movement &amp; Logistics'!$H$24:$H$30,0)),"N/A")</f>
        <v>N/A</v>
      </c>
      <c r="O283" s="605" t="str">
        <f>IFERROR(VLOOKUP($I283,'Upper Cask Movement &amp; Logistics'!$H$4:$I$8,2,FALSE),"N/A")</f>
        <v>N/A</v>
      </c>
      <c r="P283" s="602" t="str">
        <f t="shared" si="20"/>
        <v>N/A</v>
      </c>
      <c r="Q283" s="1234"/>
      <c r="R283" s="602" t="str">
        <f>IF($F283="Logistics",VLOOKUP($Q283,'Upper Cask Movement &amp; Logistics'!$C$4:$D$209,2,FALSE),"N/A")</f>
        <v>N/A</v>
      </c>
      <c r="S283" s="1235"/>
      <c r="T283" s="602" t="str">
        <f>IFERROR(VLOOKUP($S283,'Upper Cask Recovery Logistics'!$C$207:$F$366,4,FALSE),"N/A")</f>
        <v>N/A</v>
      </c>
      <c r="U283" s="1236" t="str">
        <f t="shared" si="25"/>
        <v>N/A</v>
      </c>
      <c r="V283" s="1510"/>
      <c r="X283" s="273"/>
      <c r="Y283" s="273"/>
      <c r="Z283" s="273"/>
      <c r="AA283" s="752"/>
    </row>
    <row r="284" spans="2:27" ht="15" hidden="1" customHeight="1" outlineLevel="2" thickBot="1" x14ac:dyDescent="0.45">
      <c r="B284" s="921"/>
      <c r="C284" s="5"/>
      <c r="D284" s="3993"/>
      <c r="E284" s="601" t="s">
        <v>1251</v>
      </c>
      <c r="F284" s="636" t="s">
        <v>3</v>
      </c>
      <c r="G284" s="602">
        <f t="shared" si="21"/>
        <v>0.38</v>
      </c>
      <c r="H284" s="602">
        <f t="shared" si="24"/>
        <v>219.41216426765121</v>
      </c>
      <c r="I284" s="601"/>
      <c r="J284" s="602" t="str">
        <f>IF(F284="operation",VLOOKUP(I284,'Generic Vertical Port Tasks'!$C$4:$D256,2,FALSE),"N/A")</f>
        <v>N/A</v>
      </c>
      <c r="K284" s="601"/>
      <c r="L284" s="601"/>
      <c r="M284" s="601"/>
      <c r="N284" s="605" t="str">
        <f>IFERROR(INDEX('Upper Cask Movement &amp; Logistics'!$I$24:$O$30,MATCH($J284,'Upper Cask Movement &amp; Logistics'!$H$24:$H$30,0),MATCH($K284,'Upper Cask Movement &amp; Logistics'!$H$24:$H$30,0)),"N/A")</f>
        <v>N/A</v>
      </c>
      <c r="O284" s="605" t="str">
        <f>IFERROR(VLOOKUP($I284,'Upper Cask Movement &amp; Logistics'!$H$4:$I$8,2,FALSE),"N/A")</f>
        <v>N/A</v>
      </c>
      <c r="P284" s="602" t="str">
        <f t="shared" si="20"/>
        <v>N/A</v>
      </c>
      <c r="Q284" s="1234" t="s">
        <v>1230</v>
      </c>
      <c r="R284" s="602">
        <f>IF($F284="Logistics",VLOOKUP($Q284,'Upper Cask Movement &amp; Logistics'!$C$4:$D$209,2,FALSE),"N/A")</f>
        <v>0.38</v>
      </c>
      <c r="S284" s="1235"/>
      <c r="T284" s="602" t="str">
        <f>IFERROR(VLOOKUP($S284,'Upper Cask Recovery Logistics'!$C$207:$F$366,4,FALSE),"N/A")</f>
        <v>N/A</v>
      </c>
      <c r="U284" s="1236" t="str">
        <f t="shared" si="25"/>
        <v>N/A</v>
      </c>
      <c r="V284" s="1510"/>
      <c r="X284" s="273"/>
      <c r="Y284" s="273"/>
      <c r="Z284" s="273"/>
      <c r="AA284" s="752"/>
    </row>
    <row r="285" spans="2:27" ht="15" hidden="1" customHeight="1" outlineLevel="2" x14ac:dyDescent="0.4">
      <c r="B285" s="921"/>
      <c r="C285" s="5"/>
      <c r="D285" s="3787" t="s">
        <v>1092</v>
      </c>
      <c r="E285" s="617" t="s">
        <v>1299</v>
      </c>
      <c r="F285" s="617" t="s">
        <v>3</v>
      </c>
      <c r="G285" s="567">
        <f t="shared" si="21"/>
        <v>0.38</v>
      </c>
      <c r="H285" s="574">
        <f t="shared" si="24"/>
        <v>219.7921642676512</v>
      </c>
      <c r="I285" s="617"/>
      <c r="J285" s="567" t="str">
        <f>IF(F285="operation",VLOOKUP(I285,'Generic Vertical Port Tasks'!$C$4:$D257,2,FALSE),"N/A")</f>
        <v>N/A</v>
      </c>
      <c r="K285" s="617"/>
      <c r="L285" s="617"/>
      <c r="M285" s="617"/>
      <c r="N285" s="618" t="str">
        <f>IFERROR(INDEX('Upper Cask Movement &amp; Logistics'!$I$24:$O$30,MATCH($J285,'Upper Cask Movement &amp; Logistics'!$H$24:$H$30,0),MATCH($K285,'Upper Cask Movement &amp; Logistics'!$H$24:$H$30,0)),"N/A")</f>
        <v>N/A</v>
      </c>
      <c r="O285" s="618" t="str">
        <f>IFERROR(VLOOKUP($I285,'Upper Cask Movement &amp; Logistics'!$H$4:$I$8,2,FALSE),"N/A")</f>
        <v>N/A</v>
      </c>
      <c r="P285" s="567" t="str">
        <f t="shared" si="20"/>
        <v>N/A</v>
      </c>
      <c r="Q285" s="1271" t="s">
        <v>1226</v>
      </c>
      <c r="R285" s="567">
        <f>IF($F285="Logistics",VLOOKUP($Q285,'Upper Cask Movement &amp; Logistics'!$C$4:$D$209,2,FALSE),"N/A")</f>
        <v>0.38</v>
      </c>
      <c r="S285" s="1272"/>
      <c r="T285" s="567" t="str">
        <f>IFERROR(VLOOKUP($S285,'Upper Cask Recovery Logistics'!$C$207:$F$366,4,FALSE),"N/A")</f>
        <v>N/A</v>
      </c>
      <c r="U285" s="1273" t="str">
        <f t="shared" si="25"/>
        <v>N/A</v>
      </c>
      <c r="V285" s="1510"/>
      <c r="X285" s="273"/>
      <c r="Y285" s="273"/>
      <c r="Z285" s="273"/>
      <c r="AA285" s="752"/>
    </row>
    <row r="286" spans="2:27" ht="15" hidden="1" customHeight="1" outlineLevel="2" x14ac:dyDescent="0.4">
      <c r="B286" s="921"/>
      <c r="C286" s="5"/>
      <c r="D286" s="3786"/>
      <c r="E286" s="572" t="s">
        <v>128</v>
      </c>
      <c r="F286" s="572" t="s">
        <v>251</v>
      </c>
      <c r="G286" s="574">
        <f t="shared" si="21"/>
        <v>24.022732551873563</v>
      </c>
      <c r="H286" s="574">
        <f t="shared" si="24"/>
        <v>243.81489681952476</v>
      </c>
      <c r="I286" s="572" t="s">
        <v>2492</v>
      </c>
      <c r="J286" s="574">
        <f>IF(F286="operation",VLOOKUP(I286,'Generic Vertical Port Tasks'!$C$4:$D258,2,FALSE),"N/A")</f>
        <v>24.022732551873563</v>
      </c>
      <c r="K286" s="572"/>
      <c r="L286" s="572"/>
      <c r="M286" s="572"/>
      <c r="N286" s="577" t="str">
        <f>IFERROR(INDEX('Upper Cask Movement &amp; Logistics'!$I$24:$O$30,MATCH($J286,'Upper Cask Movement &amp; Logistics'!$H$24:$H$30,0),MATCH($K286,'Upper Cask Movement &amp; Logistics'!$H$24:$H$30,0)),"N/A")</f>
        <v>N/A</v>
      </c>
      <c r="O286" s="577" t="str">
        <f>IFERROR(VLOOKUP($I286,'Upper Cask Movement &amp; Logistics'!$H$4:$I$8,2,FALSE),"N/A")</f>
        <v>N/A</v>
      </c>
      <c r="P286" s="574" t="str">
        <f t="shared" si="20"/>
        <v>N/A</v>
      </c>
      <c r="Q286" s="1282"/>
      <c r="R286" s="574" t="str">
        <f>IF($F286="Logistics",VLOOKUP($Q286,'Upper Cask Movement &amp; Logistics'!$C$4:$D$209,2,FALSE),"N/A")</f>
        <v>N/A</v>
      </c>
      <c r="S286" s="1283"/>
      <c r="T286" s="574" t="str">
        <f>IFERROR(VLOOKUP($S286,'Upper Cask Recovery Logistics'!$C$207:$F$366,4,FALSE),"N/A")</f>
        <v>N/A</v>
      </c>
      <c r="U286" s="1284" t="str">
        <f t="shared" si="25"/>
        <v>N/A</v>
      </c>
      <c r="V286" s="1510"/>
      <c r="X286" s="273"/>
      <c r="Y286" s="273"/>
      <c r="Z286" s="273"/>
      <c r="AA286" s="752"/>
    </row>
    <row r="287" spans="2:27" ht="15" hidden="1" customHeight="1" outlineLevel="2" x14ac:dyDescent="0.4">
      <c r="B287" s="921"/>
      <c r="C287" s="5"/>
      <c r="D287" s="3786"/>
      <c r="E287" s="572" t="s">
        <v>1248</v>
      </c>
      <c r="F287" s="572" t="s">
        <v>3</v>
      </c>
      <c r="G287" s="574">
        <f t="shared" si="21"/>
        <v>0.38</v>
      </c>
      <c r="H287" s="574">
        <f t="shared" si="24"/>
        <v>244.19489681952476</v>
      </c>
      <c r="I287" s="572"/>
      <c r="J287" s="574" t="str">
        <f>IF(F287="operation",VLOOKUP(I287,'Generic Vertical Port Tasks'!$C$4:$D259,2,FALSE),"N/A")</f>
        <v>N/A</v>
      </c>
      <c r="K287" s="572"/>
      <c r="L287" s="572"/>
      <c r="M287" s="572"/>
      <c r="N287" s="577" t="str">
        <f>IFERROR(INDEX('Upper Cask Movement &amp; Logistics'!$I$24:$O$30,MATCH($J287,'Upper Cask Movement &amp; Logistics'!$H$24:$H$30,0),MATCH($K287,'Upper Cask Movement &amp; Logistics'!$H$24:$H$30,0)),"N/A")</f>
        <v>N/A</v>
      </c>
      <c r="O287" s="577" t="str">
        <f>IFERROR(VLOOKUP($I287,'Upper Cask Movement &amp; Logistics'!$H$4:$I$8,2,FALSE),"N/A")</f>
        <v>N/A</v>
      </c>
      <c r="P287" s="574" t="str">
        <f t="shared" si="20"/>
        <v>N/A</v>
      </c>
      <c r="Q287" s="1282" t="s">
        <v>1230</v>
      </c>
      <c r="R287" s="574">
        <f>IF($F287="Logistics",VLOOKUP($Q287,'Upper Cask Movement &amp; Logistics'!$C$4:$D$209,2,FALSE),"N/A")</f>
        <v>0.38</v>
      </c>
      <c r="S287" s="1283" t="s">
        <v>1093</v>
      </c>
      <c r="T287" s="574" t="str">
        <f>IFERROR(VLOOKUP($S287,'Upper Cask Recovery Logistics'!$C$207:$F$366,4,FALSE),"N/A")</f>
        <v>N/A</v>
      </c>
      <c r="U287" s="1284" t="str">
        <f t="shared" si="25"/>
        <v>N/A</v>
      </c>
      <c r="V287" s="1510"/>
      <c r="X287" s="273"/>
      <c r="Y287" s="273"/>
      <c r="Z287" s="273"/>
      <c r="AA287" s="752"/>
    </row>
    <row r="288" spans="2:27" ht="15" hidden="1" customHeight="1" outlineLevel="2" x14ac:dyDescent="0.4">
      <c r="B288" s="921"/>
      <c r="C288" s="5"/>
      <c r="D288" s="3786"/>
      <c r="E288" s="572" t="s">
        <v>1252</v>
      </c>
      <c r="F288" s="572" t="s">
        <v>3</v>
      </c>
      <c r="G288" s="574">
        <f t="shared" si="21"/>
        <v>0.38</v>
      </c>
      <c r="H288" s="574">
        <f t="shared" si="24"/>
        <v>244.57489681952475</v>
      </c>
      <c r="I288" s="572"/>
      <c r="J288" s="574" t="str">
        <f>IF(F288="operation",VLOOKUP(I288,'Generic Vertical Port Tasks'!$C$4:$D260,2,FALSE),"N/A")</f>
        <v>N/A</v>
      </c>
      <c r="K288" s="572"/>
      <c r="L288" s="572"/>
      <c r="M288" s="572"/>
      <c r="N288" s="577" t="str">
        <f>IFERROR(INDEX('Upper Cask Movement &amp; Logistics'!$I$24:$O$30,MATCH($J288,'Upper Cask Movement &amp; Logistics'!$H$24:$H$30,0),MATCH($K288,'Upper Cask Movement &amp; Logistics'!$H$24:$H$30,0)),"N/A")</f>
        <v>N/A</v>
      </c>
      <c r="O288" s="577" t="str">
        <f>IFERROR(VLOOKUP($I288,'Upper Cask Movement &amp; Logistics'!$H$4:$I$8,2,FALSE),"N/A")</f>
        <v>N/A</v>
      </c>
      <c r="P288" s="574" t="str">
        <f>IF(F288="Movement",IFERROR((N288/O288)/(60*60),"Error"),"N/A")</f>
        <v>N/A</v>
      </c>
      <c r="Q288" s="1282" t="s">
        <v>1226</v>
      </c>
      <c r="R288" s="574">
        <f>IF($F288="Logistics",VLOOKUP($Q288,'Upper Cask Movement &amp; Logistics'!$C$4:$D$209,2,FALSE),"N/A")</f>
        <v>0.38</v>
      </c>
      <c r="S288" s="1283"/>
      <c r="T288" s="574" t="str">
        <f>IFERROR(VLOOKUP($S288,'Upper Cask Recovery Logistics'!$C$207:$F$366,4,FALSE),"N/A")</f>
        <v>N/A</v>
      </c>
      <c r="U288" s="1284" t="str">
        <f t="shared" si="25"/>
        <v>N/A</v>
      </c>
      <c r="V288" s="1510"/>
      <c r="X288" s="273"/>
      <c r="Y288" s="273"/>
      <c r="Z288" s="273"/>
      <c r="AA288" s="752"/>
    </row>
    <row r="289" spans="1:27" ht="15" hidden="1" customHeight="1" outlineLevel="2" x14ac:dyDescent="0.4">
      <c r="B289" s="921"/>
      <c r="C289" s="5"/>
      <c r="D289" s="3786"/>
      <c r="E289" s="572" t="s">
        <v>42</v>
      </c>
      <c r="F289" s="572" t="s">
        <v>251</v>
      </c>
      <c r="G289" s="574">
        <f t="shared" si="21"/>
        <v>7.83</v>
      </c>
      <c r="H289" s="574">
        <f t="shared" si="24"/>
        <v>252.40489681952477</v>
      </c>
      <c r="I289" s="572" t="s">
        <v>257</v>
      </c>
      <c r="J289" s="574">
        <f>IF(F289="operation",VLOOKUP(I289,'Generic Vertical Port Tasks'!$C$4:$D261,2,FALSE),"N/A")</f>
        <v>7.83</v>
      </c>
      <c r="K289" s="572"/>
      <c r="L289" s="572"/>
      <c r="M289" s="572"/>
      <c r="N289" s="577" t="str">
        <f>IFERROR(INDEX('Upper Cask Movement &amp; Logistics'!$I$24:$O$30,MATCH($J289,'Upper Cask Movement &amp; Logistics'!$H$24:$H$30,0),MATCH($K289,'Upper Cask Movement &amp; Logistics'!$H$24:$H$30,0)),"N/A")</f>
        <v>N/A</v>
      </c>
      <c r="O289" s="577" t="str">
        <f>IFERROR(VLOOKUP($I289,'Upper Cask Movement &amp; Logistics'!$H$4:$I$8,2,FALSE),"N/A")</f>
        <v>N/A</v>
      </c>
      <c r="P289" s="574" t="str">
        <f>IF(F289="Movement",IFERROR((N289/O289)/(60*60),"Error"),"N/A")</f>
        <v>N/A</v>
      </c>
      <c r="Q289" s="1282"/>
      <c r="R289" s="574" t="str">
        <f>IF($F289="Logistics",VLOOKUP($Q289,'Upper Cask Movement &amp; Logistics'!$C$4:$D$209,2,FALSE),"N/A")</f>
        <v>N/A</v>
      </c>
      <c r="S289" s="1283"/>
      <c r="T289" s="574" t="str">
        <f>IFERROR(VLOOKUP($S289,'Upper Cask Recovery Logistics'!$C$207:$F$366,4,FALSE),"N/A")</f>
        <v>N/A</v>
      </c>
      <c r="U289" s="1284" t="str">
        <f t="shared" si="25"/>
        <v>N/A</v>
      </c>
      <c r="V289" s="1510"/>
      <c r="X289" s="273"/>
      <c r="Y289" s="273"/>
      <c r="Z289" s="273"/>
      <c r="AA289" s="752"/>
    </row>
    <row r="290" spans="1:27" ht="15" hidden="1" customHeight="1" outlineLevel="2" thickBot="1" x14ac:dyDescent="0.45">
      <c r="B290" s="921"/>
      <c r="C290" s="5"/>
      <c r="D290" s="3788"/>
      <c r="E290" s="583" t="s">
        <v>1246</v>
      </c>
      <c r="F290" s="583" t="s">
        <v>3</v>
      </c>
      <c r="G290" s="585">
        <f t="shared" si="21"/>
        <v>0.38</v>
      </c>
      <c r="H290" s="574">
        <f t="shared" si="24"/>
        <v>252.78489681952476</v>
      </c>
      <c r="I290" s="583"/>
      <c r="J290" s="585" t="str">
        <f>IF(F290="operation",VLOOKUP(I290,'Generic Vertical Port Tasks'!$C$4:$D262,2,FALSE),"N/A")</f>
        <v>N/A</v>
      </c>
      <c r="K290" s="583"/>
      <c r="L290" s="583"/>
      <c r="M290" s="583"/>
      <c r="N290" s="588" t="str">
        <f>IFERROR(INDEX('Upper Cask Movement &amp; Logistics'!$I$24:$O$30,MATCH($J290,'Upper Cask Movement &amp; Logistics'!$H$24:$H$30,0),MATCH($K290,'Upper Cask Movement &amp; Logistics'!$H$24:$H$30,0)),"N/A")</f>
        <v>N/A</v>
      </c>
      <c r="O290" s="588" t="str">
        <f>IFERROR(VLOOKUP($I290,'Upper Cask Movement &amp; Logistics'!$H$4:$I$8,2,FALSE),"N/A")</f>
        <v>N/A</v>
      </c>
      <c r="P290" s="585" t="str">
        <f>IF(F290="Movement",IFERROR((N290/O290)/(60*60),"Error"),"N/A")</f>
        <v>N/A</v>
      </c>
      <c r="Q290" s="1285" t="s">
        <v>1230</v>
      </c>
      <c r="R290" s="585">
        <f>IF($F290="Logistics",VLOOKUP($Q290,'Upper Cask Movement &amp; Logistics'!$C$4:$D$209,2,FALSE),"N/A")</f>
        <v>0.38</v>
      </c>
      <c r="S290" s="1286"/>
      <c r="T290" s="585" t="str">
        <f>IFERROR(VLOOKUP($S290,'Upper Cask Recovery Logistics'!$C$207:$F$366,4,FALSE),"N/A")</f>
        <v>N/A</v>
      </c>
      <c r="U290" s="1287" t="str">
        <f t="shared" si="25"/>
        <v>N/A</v>
      </c>
      <c r="V290" s="1510"/>
      <c r="X290" s="273"/>
      <c r="Y290" s="273"/>
      <c r="Z290" s="273"/>
      <c r="AA290" s="752"/>
    </row>
    <row r="291" spans="1:27" ht="15" hidden="1" customHeight="1" outlineLevel="2" x14ac:dyDescent="0.4">
      <c r="B291" s="921"/>
      <c r="C291" s="5"/>
      <c r="D291" s="3992" t="s">
        <v>120</v>
      </c>
      <c r="E291" s="596" t="s">
        <v>1305</v>
      </c>
      <c r="F291" s="596" t="s">
        <v>3</v>
      </c>
      <c r="G291" s="593">
        <f t="shared" si="21"/>
        <v>0.60000000000000009</v>
      </c>
      <c r="H291" s="602">
        <f t="shared" si="24"/>
        <v>253.38489681952476</v>
      </c>
      <c r="I291" s="596"/>
      <c r="J291" s="593" t="str">
        <f>IF(F291="operation",VLOOKUP(I291,'Generic Vertical Port Tasks'!$C$4:$D263,2,FALSE),"N/A")</f>
        <v>N/A</v>
      </c>
      <c r="K291" s="596"/>
      <c r="L291" s="596"/>
      <c r="M291" s="596"/>
      <c r="N291" s="597" t="str">
        <f>IFERROR(INDEX('Upper Cask Movement &amp; Logistics'!$I$24:$O$30,MATCH($J291,'Upper Cask Movement &amp; Logistics'!$H$24:$H$30,0),MATCH($K291,'Upper Cask Movement &amp; Logistics'!$H$24:$H$30,0)),"N/A")</f>
        <v>N/A</v>
      </c>
      <c r="O291" s="597" t="str">
        <f>IFERROR(VLOOKUP($I291,'Upper Cask Movement &amp; Logistics'!$H$4:$I$8,2,FALSE),"N/A")</f>
        <v>N/A</v>
      </c>
      <c r="P291" s="593" t="str">
        <f t="shared" si="20"/>
        <v>N/A</v>
      </c>
      <c r="Q291" s="1253" t="s">
        <v>1279</v>
      </c>
      <c r="R291" s="593">
        <f>IF($F291="Logistics",VLOOKUP($Q291,'Upper Cask Movement &amp; Logistics'!$C$4:$D$209,2,FALSE),"N/A")</f>
        <v>0.60000000000000009</v>
      </c>
      <c r="S291" s="1254" t="s">
        <v>1417</v>
      </c>
      <c r="T291" s="593">
        <f>IFERROR(VLOOKUP($S291,'Upper Cask Recovery Logistics'!$C$207:$F$366,4,FALSE),"N/A")</f>
        <v>224.33809019357719</v>
      </c>
      <c r="U291" s="1255">
        <f t="shared" si="25"/>
        <v>28.446806625947573</v>
      </c>
      <c r="V291" s="1510"/>
      <c r="X291" s="273"/>
      <c r="Y291" s="273"/>
      <c r="Z291" s="273"/>
      <c r="AA291" s="752"/>
    </row>
    <row r="292" spans="1:27" ht="15" hidden="1" customHeight="1" outlineLevel="2" x14ac:dyDescent="0.4">
      <c r="B292" s="921"/>
      <c r="C292" s="5"/>
      <c r="D292" s="3993"/>
      <c r="E292" s="601" t="s">
        <v>1517</v>
      </c>
      <c r="F292" s="601" t="s">
        <v>3</v>
      </c>
      <c r="G292" s="602">
        <f t="shared" si="21"/>
        <v>0.38</v>
      </c>
      <c r="H292" s="602">
        <f t="shared" si="24"/>
        <v>253.76489681952475</v>
      </c>
      <c r="I292" s="601"/>
      <c r="J292" s="602" t="str">
        <f>IF(F292="operation",VLOOKUP(I292,'Generic Vertical Port Tasks'!$C$4:$D264,2,FALSE),"N/A")</f>
        <v>N/A</v>
      </c>
      <c r="K292" s="601"/>
      <c r="L292" s="601"/>
      <c r="M292" s="601"/>
      <c r="N292" s="605" t="str">
        <f>IFERROR(INDEX('Upper Cask Movement &amp; Logistics'!$I$24:$O$30,MATCH($J292,'Upper Cask Movement &amp; Logistics'!$H$24:$H$30,0),MATCH($K292,'Upper Cask Movement &amp; Logistics'!$H$24:$H$30,0)),"N/A")</f>
        <v>N/A</v>
      </c>
      <c r="O292" s="605" t="str">
        <f>IFERROR(VLOOKUP($I292,'Upper Cask Movement &amp; Logistics'!$H$4:$I$8,2,FALSE),"N/A")</f>
        <v>N/A</v>
      </c>
      <c r="P292" s="602" t="str">
        <f t="shared" si="20"/>
        <v>N/A</v>
      </c>
      <c r="Q292" s="1288" t="s">
        <v>1226</v>
      </c>
      <c r="R292" s="602">
        <f>IF($F292="Logistics",VLOOKUP($Q292,'Upper Cask Movement &amp; Logistics'!$C$4:$D$209,2,FALSE),"N/A")</f>
        <v>0.38</v>
      </c>
      <c r="S292" s="1235"/>
      <c r="T292" s="602" t="str">
        <f>IFERROR(VLOOKUP($S292,'Upper Cask Recovery Logistics'!$C$207:$F$366,4,FALSE),"N/A")</f>
        <v>N/A</v>
      </c>
      <c r="U292" s="1236" t="str">
        <f t="shared" si="25"/>
        <v>N/A</v>
      </c>
      <c r="V292" s="1510"/>
      <c r="X292" s="273"/>
      <c r="Y292" s="273"/>
      <c r="Z292" s="273"/>
      <c r="AA292" s="752"/>
    </row>
    <row r="293" spans="1:27" ht="15" hidden="1" customHeight="1" outlineLevel="2" x14ac:dyDescent="0.4">
      <c r="B293" s="921"/>
      <c r="C293" s="5"/>
      <c r="D293" s="3993"/>
      <c r="E293" s="601" t="s">
        <v>120</v>
      </c>
      <c r="F293" s="601" t="s">
        <v>251</v>
      </c>
      <c r="G293" s="602">
        <f t="shared" si="21"/>
        <v>4.0949999999999998</v>
      </c>
      <c r="H293" s="602">
        <f t="shared" si="24"/>
        <v>257.85989681952475</v>
      </c>
      <c r="I293" s="601" t="s">
        <v>35</v>
      </c>
      <c r="J293" s="602">
        <f>IF(F293="operation",VLOOKUP(I293,'Generic Vertical Port Tasks'!$C$4:$D265,2,FALSE),"N/A")</f>
        <v>4.0949999999999998</v>
      </c>
      <c r="K293" s="601"/>
      <c r="L293" s="601"/>
      <c r="M293" s="601"/>
      <c r="N293" s="605" t="str">
        <f>IFERROR(INDEX('Upper Cask Movement &amp; Logistics'!$I$24:$O$30,MATCH($J293,'Upper Cask Movement &amp; Logistics'!$H$24:$H$30,0),MATCH($K293,'Upper Cask Movement &amp; Logistics'!$H$24:$H$30,0)),"N/A")</f>
        <v>N/A</v>
      </c>
      <c r="O293" s="605" t="str">
        <f>IFERROR(VLOOKUP($I293,'Upper Cask Movement &amp; Logistics'!$H$4:$I$8,2,FALSE),"N/A")</f>
        <v>N/A</v>
      </c>
      <c r="P293" s="602" t="str">
        <f t="shared" si="20"/>
        <v>N/A</v>
      </c>
      <c r="Q293" s="1234"/>
      <c r="R293" s="602" t="str">
        <f>IF($F293="Logistics",VLOOKUP($Q293,'Upper Cask Movement &amp; Logistics'!$C$4:$D$209,2,FALSE),"N/A")</f>
        <v>N/A</v>
      </c>
      <c r="S293" s="1235"/>
      <c r="T293" s="602" t="str">
        <f>IFERROR(VLOOKUP($S293,'Upper Cask Recovery Logistics'!$C$207:$F$366,4,FALSE),"N/A")</f>
        <v>N/A</v>
      </c>
      <c r="U293" s="1236" t="str">
        <f t="shared" si="25"/>
        <v>N/A</v>
      </c>
      <c r="V293" s="1510"/>
      <c r="X293" s="273"/>
      <c r="Y293" s="273"/>
      <c r="Z293" s="273"/>
      <c r="AA293" s="752"/>
    </row>
    <row r="294" spans="1:27" ht="15" hidden="1" customHeight="1" outlineLevel="2" thickBot="1" x14ac:dyDescent="0.45">
      <c r="B294" s="921"/>
      <c r="C294" s="5"/>
      <c r="D294" s="3993"/>
      <c r="E294" s="601" t="s">
        <v>1251</v>
      </c>
      <c r="F294" s="636" t="s">
        <v>3</v>
      </c>
      <c r="G294" s="602">
        <f t="shared" si="21"/>
        <v>0.38</v>
      </c>
      <c r="H294" s="602">
        <f t="shared" si="24"/>
        <v>258.23989681952474</v>
      </c>
      <c r="I294" s="601"/>
      <c r="J294" s="602" t="str">
        <f>IF(F294="operation",VLOOKUP(I294,'Generic Vertical Port Tasks'!$C$4:$D266,2,FALSE),"N/A")</f>
        <v>N/A</v>
      </c>
      <c r="K294" s="601"/>
      <c r="L294" s="601"/>
      <c r="M294" s="601"/>
      <c r="N294" s="605" t="str">
        <f>IFERROR(INDEX('Upper Cask Movement &amp; Logistics'!$I$24:$O$30,MATCH($J294,'Upper Cask Movement &amp; Logistics'!$H$24:$H$30,0),MATCH($K294,'Upper Cask Movement &amp; Logistics'!$H$24:$H$30,0)),"N/A")</f>
        <v>N/A</v>
      </c>
      <c r="O294" s="605" t="str">
        <f>IFERROR(VLOOKUP($I294,'Upper Cask Movement &amp; Logistics'!$H$4:$I$8,2,FALSE),"N/A")</f>
        <v>N/A</v>
      </c>
      <c r="P294" s="602" t="str">
        <f t="shared" si="20"/>
        <v>N/A</v>
      </c>
      <c r="Q294" s="1234" t="s">
        <v>1230</v>
      </c>
      <c r="R294" s="602">
        <f>IF($F294="Logistics",VLOOKUP($Q294,'Upper Cask Movement &amp; Logistics'!$C$4:$D$209,2,FALSE),"N/A")</f>
        <v>0.38</v>
      </c>
      <c r="S294" s="1235"/>
      <c r="T294" s="602" t="str">
        <f>IFERROR(VLOOKUP($S294,'Upper Cask Recovery Logistics'!$C$207:$F$366,4,FALSE),"N/A")</f>
        <v>N/A</v>
      </c>
      <c r="U294" s="1236" t="str">
        <f t="shared" si="25"/>
        <v>N/A</v>
      </c>
      <c r="V294" s="1510"/>
      <c r="X294" s="273"/>
      <c r="Y294" s="273"/>
      <c r="Z294" s="273"/>
      <c r="AA294" s="752"/>
    </row>
    <row r="295" spans="1:27" ht="15" hidden="1" customHeight="1" outlineLevel="2" x14ac:dyDescent="0.4">
      <c r="B295" s="921"/>
      <c r="C295" s="5"/>
      <c r="D295" s="3995" t="s">
        <v>1095</v>
      </c>
      <c r="E295" s="617" t="s">
        <v>1299</v>
      </c>
      <c r="F295" s="617" t="s">
        <v>3</v>
      </c>
      <c r="G295" s="567">
        <f>MAX($R295,$P295,$J295)</f>
        <v>0.38</v>
      </c>
      <c r="H295" s="567">
        <f t="shared" si="24"/>
        <v>258.61989681952474</v>
      </c>
      <c r="I295" s="617"/>
      <c r="J295" s="567" t="str">
        <f>IF(F295="operation",VLOOKUP(I295,'Generic Vertical Port Tasks'!$C$4:$D267,2,FALSE),"N/A")</f>
        <v>N/A</v>
      </c>
      <c r="K295" s="617"/>
      <c r="L295" s="617"/>
      <c r="M295" s="617"/>
      <c r="N295" s="618" t="str">
        <f>IFERROR(INDEX('Upper Cask Movement &amp; Logistics'!$I$24:$O$30,MATCH($J295,'Upper Cask Movement &amp; Logistics'!$H$24:$H$30,0),MATCH($K295,'Upper Cask Movement &amp; Logistics'!$H$24:$H$30,0)),"N/A")</f>
        <v>N/A</v>
      </c>
      <c r="O295" s="618" t="str">
        <f>IFERROR(VLOOKUP($I295,'Upper Cask Movement &amp; Logistics'!$H$4:$I$8,2,FALSE),"N/A")</f>
        <v>N/A</v>
      </c>
      <c r="P295" s="567" t="str">
        <f>IF(F295="Movement",IFERROR((N295/O295)/(60*60),"Error"),"N/A")</f>
        <v>N/A</v>
      </c>
      <c r="Q295" s="1271" t="s">
        <v>1226</v>
      </c>
      <c r="R295" s="567">
        <f>IF($F295="Logistics",VLOOKUP($Q295,'Upper Cask Movement &amp; Logistics'!$C$4:$D$209,2,FALSE),"N/A")</f>
        <v>0.38</v>
      </c>
      <c r="S295" s="1272"/>
      <c r="T295" s="567" t="str">
        <f>IFERROR(VLOOKUP($S295,'Upper Cask Recovery Logistics'!$C$207:$F$366,4,FALSE),"N/A")</f>
        <v>N/A</v>
      </c>
      <c r="U295" s="1273" t="str">
        <f t="shared" si="25"/>
        <v>N/A</v>
      </c>
      <c r="V295" s="1510"/>
      <c r="X295" s="273"/>
      <c r="Y295" s="273"/>
      <c r="Z295" s="273"/>
      <c r="AA295" s="752"/>
    </row>
    <row r="296" spans="1:27" ht="15" hidden="1" customHeight="1" outlineLevel="2" x14ac:dyDescent="0.4">
      <c r="B296" s="921"/>
      <c r="C296" s="5"/>
      <c r="D296" s="3996"/>
      <c r="E296" s="572" t="s">
        <v>128</v>
      </c>
      <c r="F296" s="572" t="s">
        <v>251</v>
      </c>
      <c r="G296" s="574">
        <f>MAX($R296,$P296,$J296)</f>
        <v>24.022732551873563</v>
      </c>
      <c r="H296" s="574">
        <f t="shared" si="24"/>
        <v>282.6426293713983</v>
      </c>
      <c r="I296" s="572" t="s">
        <v>2492</v>
      </c>
      <c r="J296" s="574">
        <f>IF(F296="operation",VLOOKUP(I296,'Generic Vertical Port Tasks'!$C$4:$D268,2,FALSE),"N/A")</f>
        <v>24.022732551873563</v>
      </c>
      <c r="K296" s="572"/>
      <c r="L296" s="572"/>
      <c r="M296" s="572"/>
      <c r="N296" s="577" t="str">
        <f>IFERROR(INDEX('Upper Cask Movement &amp; Logistics'!$I$24:$O$30,MATCH($J296,'Upper Cask Movement &amp; Logistics'!$H$24:$H$30,0),MATCH($K296,'Upper Cask Movement &amp; Logistics'!$H$24:$H$30,0)),"N/A")</f>
        <v>N/A</v>
      </c>
      <c r="O296" s="577" t="str">
        <f>IFERROR(VLOOKUP($I296,'Upper Cask Movement &amp; Logistics'!$H$4:$I$8,2,FALSE),"N/A")</f>
        <v>N/A</v>
      </c>
      <c r="P296" s="574" t="str">
        <f>IF(F296="Movement",IFERROR((N296/O296)/(60*60),"Error"),"N/A")</f>
        <v>N/A</v>
      </c>
      <c r="Q296" s="1282"/>
      <c r="R296" s="574" t="str">
        <f>IF($F296="Logistics",VLOOKUP($Q296,'Upper Cask Movement &amp; Logistics'!$C$4:$D$209,2,FALSE),"N/A")</f>
        <v>N/A</v>
      </c>
      <c r="S296" s="1283"/>
      <c r="T296" s="574" t="str">
        <f>IFERROR(VLOOKUP($S296,'Upper Cask Recovery Logistics'!$C$207:$F$366,4,FALSE),"N/A")</f>
        <v>N/A</v>
      </c>
      <c r="U296" s="1284" t="str">
        <f t="shared" si="25"/>
        <v>N/A</v>
      </c>
      <c r="V296" s="1510"/>
      <c r="X296" s="273"/>
      <c r="Y296" s="273"/>
      <c r="Z296" s="273"/>
      <c r="AA296" s="752"/>
    </row>
    <row r="297" spans="1:27" ht="15" hidden="1" customHeight="1" outlineLevel="2" thickBot="1" x14ac:dyDescent="0.45">
      <c r="B297" s="921"/>
      <c r="C297" s="5"/>
      <c r="D297" s="3997"/>
      <c r="E297" s="583" t="s">
        <v>1248</v>
      </c>
      <c r="F297" s="583" t="s">
        <v>3</v>
      </c>
      <c r="G297" s="585">
        <f>MAX($R297,$P297,$J297)</f>
        <v>0.38</v>
      </c>
      <c r="H297" s="585">
        <f>IF(U297&lt;0,G297+H296+(-U297),G297+H296)</f>
        <v>283.0226293713983</v>
      </c>
      <c r="I297" s="583"/>
      <c r="J297" s="585" t="str">
        <f>IF(F297="operation",VLOOKUP(I297,'Generic Vertical Port Tasks'!$C$4:$D269,2,FALSE),"N/A")</f>
        <v>N/A</v>
      </c>
      <c r="K297" s="583"/>
      <c r="L297" s="583"/>
      <c r="M297" s="583"/>
      <c r="N297" s="588" t="str">
        <f>IFERROR(INDEX('Upper Cask Movement &amp; Logistics'!$I$24:$O$30,MATCH($J297,'Upper Cask Movement &amp; Logistics'!$H$24:$H$30,0),MATCH($K297,'Upper Cask Movement &amp; Logistics'!$H$24:$H$30,0)),"N/A")</f>
        <v>N/A</v>
      </c>
      <c r="O297" s="588" t="str">
        <f>IFERROR(VLOOKUP($I297,'Upper Cask Movement &amp; Logistics'!$H$4:$I$8,2,FALSE),"N/A")</f>
        <v>N/A</v>
      </c>
      <c r="P297" s="585" t="str">
        <f>IF(F297="Movement",IFERROR((N297/O297)/(60*60),"Error"),"N/A")</f>
        <v>N/A</v>
      </c>
      <c r="Q297" s="1285" t="s">
        <v>1230</v>
      </c>
      <c r="R297" s="585">
        <f>IF($F297="Logistics",VLOOKUP($Q297,'Upper Cask Movement &amp; Logistics'!$C$4:$D$209,2,FALSE),"N/A")</f>
        <v>0.38</v>
      </c>
      <c r="S297" s="1286" t="s">
        <v>1096</v>
      </c>
      <c r="T297" s="585" t="str">
        <f>IFERROR(VLOOKUP($S297,'Upper Cask Recovery Logistics'!$C$207:$F$366,4,FALSE),"N/A")</f>
        <v>N/A</v>
      </c>
      <c r="U297" s="1287" t="str">
        <f>IFERROR(H296-T297,"N/A")</f>
        <v>N/A</v>
      </c>
      <c r="V297" s="1510"/>
      <c r="X297" s="273"/>
      <c r="Y297" s="273"/>
      <c r="Z297" s="273"/>
      <c r="AA297" s="752"/>
    </row>
    <row r="298" spans="1:27" ht="15" hidden="1" customHeight="1" outlineLevel="1" collapsed="1" x14ac:dyDescent="0.4">
      <c r="B298" s="921"/>
      <c r="C298" s="5"/>
      <c r="D298" s="891"/>
      <c r="E298" s="892"/>
      <c r="F298" s="893" t="s">
        <v>11</v>
      </c>
      <c r="G298" s="893"/>
      <c r="H298" s="894">
        <f>H297</f>
        <v>283.0226293713983</v>
      </c>
      <c r="I298" s="94"/>
      <c r="J298" s="895"/>
      <c r="K298" s="94"/>
      <c r="L298" s="94"/>
      <c r="M298" s="896"/>
      <c r="N298" s="897"/>
      <c r="O298" s="897"/>
      <c r="P298" s="894"/>
      <c r="Q298" s="94"/>
      <c r="R298" s="897"/>
      <c r="S298" s="94"/>
      <c r="T298" s="290"/>
      <c r="U298" s="895"/>
      <c r="V298" s="895"/>
      <c r="W298" s="895"/>
      <c r="X298" s="290"/>
      <c r="Y298" s="290"/>
      <c r="AA298" s="915"/>
    </row>
    <row r="299" spans="1:27" hidden="1" outlineLevel="1" x14ac:dyDescent="0.4">
      <c r="B299" s="921"/>
      <c r="C299" s="5"/>
      <c r="D299" s="891"/>
      <c r="E299" s="892"/>
      <c r="F299" s="898"/>
      <c r="G299" s="894"/>
      <c r="H299" s="894"/>
      <c r="I299" s="94"/>
      <c r="J299" s="895"/>
      <c r="K299" s="94"/>
      <c r="L299" s="94"/>
      <c r="M299" s="896"/>
      <c r="N299" s="897"/>
      <c r="O299" s="897"/>
      <c r="P299" s="894"/>
      <c r="Q299" s="94"/>
      <c r="R299" s="897"/>
      <c r="S299" s="94"/>
      <c r="T299" s="290"/>
      <c r="U299" s="895"/>
      <c r="V299" s="895"/>
      <c r="W299" s="895"/>
      <c r="X299" s="273"/>
      <c r="Y299" s="273"/>
      <c r="Z299" s="273"/>
      <c r="AA299" s="915"/>
    </row>
    <row r="300" spans="1:27" collapsed="1" x14ac:dyDescent="0.4">
      <c r="B300" s="1007"/>
      <c r="C300" s="1008"/>
      <c r="D300" s="1008"/>
      <c r="E300" s="1008"/>
      <c r="F300" s="1009"/>
      <c r="G300" s="1008"/>
      <c r="H300" s="1008"/>
      <c r="I300" s="1010"/>
      <c r="J300" s="1011"/>
      <c r="K300" s="1008"/>
      <c r="L300" s="1008"/>
      <c r="M300" s="1012"/>
      <c r="N300" s="1008"/>
      <c r="O300" s="1008"/>
      <c r="P300" s="1008"/>
      <c r="Q300" s="1008"/>
      <c r="R300" s="1008"/>
      <c r="S300" s="1010"/>
      <c r="T300" s="1011"/>
      <c r="U300" s="1008"/>
      <c r="V300" s="1008"/>
      <c r="W300" s="1008"/>
      <c r="X300" s="1011"/>
      <c r="Y300" s="1011"/>
      <c r="Z300" s="1011"/>
      <c r="AA300" s="1013"/>
    </row>
    <row r="301" spans="1:27" x14ac:dyDescent="0.4">
      <c r="A301" s="7"/>
      <c r="B301" s="1014"/>
      <c r="C301" s="1014"/>
      <c r="D301" s="1015"/>
      <c r="E301" s="1015"/>
      <c r="F301" s="1016"/>
      <c r="G301" s="1015"/>
      <c r="H301" s="1015"/>
      <c r="I301" s="1017"/>
      <c r="J301" s="1018"/>
      <c r="K301" s="1015"/>
      <c r="L301" s="1015"/>
      <c r="M301" s="1019"/>
      <c r="N301" s="1015"/>
      <c r="O301" s="1015"/>
      <c r="P301" s="1015"/>
      <c r="Q301" s="1015"/>
      <c r="R301" s="1015"/>
      <c r="S301" s="1017"/>
      <c r="T301" s="1018"/>
      <c r="U301" s="1015"/>
      <c r="V301" s="1014"/>
      <c r="W301" s="1015"/>
      <c r="X301" s="1018"/>
      <c r="Y301" s="1018"/>
      <c r="AA301" s="1020"/>
    </row>
    <row r="302" spans="1:27" ht="15.45" x14ac:dyDescent="0.4">
      <c r="B302" s="1021"/>
      <c r="C302" s="1022"/>
      <c r="D302" s="1022"/>
      <c r="E302" s="1023" t="s">
        <v>2516</v>
      </c>
      <c r="F302" s="1024"/>
      <c r="G302" s="1024"/>
      <c r="H302" s="1024"/>
      <c r="I302" s="1024"/>
      <c r="J302" s="1024"/>
      <c r="K302" s="1024"/>
      <c r="L302" s="1024"/>
      <c r="M302" s="1024"/>
      <c r="N302" s="1024"/>
      <c r="O302" s="1024"/>
      <c r="P302" s="1024"/>
      <c r="Q302" s="1024"/>
      <c r="R302" s="1024"/>
      <c r="S302" s="1024"/>
      <c r="T302" s="1024"/>
      <c r="U302" s="1024"/>
      <c r="V302" s="1024"/>
      <c r="W302" s="1024"/>
      <c r="X302" s="1024"/>
      <c r="Y302" s="1024"/>
      <c r="Z302" s="1024"/>
      <c r="AA302" s="1025"/>
    </row>
    <row r="303" spans="1:27" ht="15" hidden="1" outlineLevel="1" thickBot="1" x14ac:dyDescent="0.45">
      <c r="B303" s="1026"/>
      <c r="C303" s="704"/>
      <c r="D303" s="704"/>
      <c r="E303" s="748" t="s">
        <v>1053</v>
      </c>
      <c r="F303" s="749"/>
      <c r="G303" s="704"/>
      <c r="H303" s="704"/>
      <c r="I303" s="704"/>
      <c r="J303" s="750"/>
      <c r="K303" s="704"/>
      <c r="L303" s="704"/>
      <c r="M303" s="704"/>
      <c r="N303" s="704"/>
      <c r="O303" s="704"/>
      <c r="P303" s="704"/>
      <c r="Q303" s="704"/>
      <c r="R303" s="704"/>
      <c r="S303" s="704"/>
      <c r="T303" s="750"/>
      <c r="U303" s="704"/>
      <c r="V303" s="704"/>
      <c r="W303" s="704"/>
      <c r="X303" s="750"/>
      <c r="Y303" s="750"/>
      <c r="Z303" s="750"/>
      <c r="AA303" s="751"/>
    </row>
    <row r="304" spans="1:27" hidden="1" outlineLevel="1" x14ac:dyDescent="0.4">
      <c r="B304" s="1026"/>
      <c r="C304" s="704"/>
      <c r="D304" s="704"/>
      <c r="E304" s="704" t="s">
        <v>1034</v>
      </c>
      <c r="F304" s="749"/>
      <c r="G304" s="704"/>
      <c r="H304" s="704"/>
      <c r="I304" s="704"/>
      <c r="J304" s="750"/>
      <c r="K304" s="704"/>
      <c r="L304" s="704"/>
      <c r="M304" s="704"/>
      <c r="N304" s="704"/>
      <c r="O304" s="704"/>
      <c r="P304" s="704"/>
      <c r="Q304" s="704"/>
      <c r="R304" s="704"/>
      <c r="S304" s="2992"/>
      <c r="T304" s="3584" t="s">
        <v>23</v>
      </c>
      <c r="U304" s="3989" t="s">
        <v>1054</v>
      </c>
      <c r="V304" s="3990"/>
      <c r="W304" s="3990"/>
      <c r="X304" s="3990"/>
      <c r="Y304" s="3991"/>
      <c r="Z304" s="781"/>
      <c r="AA304" s="915"/>
    </row>
    <row r="305" spans="2:34" hidden="1" outlineLevel="1" x14ac:dyDescent="0.4">
      <c r="B305" s="1026"/>
      <c r="C305" s="704"/>
      <c r="D305" s="704"/>
      <c r="E305" s="704" t="s">
        <v>1035</v>
      </c>
      <c r="F305" s="749"/>
      <c r="G305" s="704"/>
      <c r="H305" s="704"/>
      <c r="I305" s="704"/>
      <c r="J305" s="750"/>
      <c r="K305" s="704"/>
      <c r="L305" s="704"/>
      <c r="M305" s="704"/>
      <c r="N305" s="704"/>
      <c r="O305" s="704"/>
      <c r="P305" s="704"/>
      <c r="Q305" s="704"/>
      <c r="R305" s="704"/>
      <c r="S305" s="3588" t="s">
        <v>1055</v>
      </c>
      <c r="T305" s="3585">
        <v>1</v>
      </c>
      <c r="U305" s="1512">
        <v>1</v>
      </c>
      <c r="V305" s="3585">
        <v>2</v>
      </c>
      <c r="W305" s="916">
        <v>3</v>
      </c>
      <c r="X305" s="916">
        <v>4</v>
      </c>
      <c r="Y305" s="1045">
        <v>6</v>
      </c>
      <c r="Z305" s="1851"/>
      <c r="AA305" s="915"/>
    </row>
    <row r="306" spans="2:34" hidden="1" outlineLevel="1" x14ac:dyDescent="0.4">
      <c r="B306" s="1026"/>
      <c r="C306" s="704"/>
      <c r="D306" s="704"/>
      <c r="E306" s="704" t="s">
        <v>1036</v>
      </c>
      <c r="F306" s="749"/>
      <c r="G306" s="704"/>
      <c r="H306" s="704"/>
      <c r="I306" s="704"/>
      <c r="J306" s="750"/>
      <c r="K306" s="704"/>
      <c r="L306" s="704"/>
      <c r="M306" s="704"/>
      <c r="N306" s="704"/>
      <c r="O306" s="704"/>
      <c r="P306" s="704"/>
      <c r="Q306" s="704"/>
      <c r="R306" s="704"/>
      <c r="S306" s="3589" t="s">
        <v>2665</v>
      </c>
      <c r="T306" s="273">
        <f>Connect_vertical_pipework</f>
        <v>24.022732551873563</v>
      </c>
      <c r="U306" s="1498">
        <f>Connect_vertical_pipework*ROUNDUP(Tokamak_Segmts/U305,0)</f>
        <v>384.36372082997701</v>
      </c>
      <c r="V306" s="1498">
        <f>Connect_vertical_pipework*ROUNDUP(Tokamak_Segmts/V305,0)</f>
        <v>192.18186041498851</v>
      </c>
      <c r="W306" s="917">
        <f>Connect_vertical_pipework*ROUNDUP(Tokamak_Segmts/W305,0)</f>
        <v>144.13639531124139</v>
      </c>
      <c r="X306" s="917">
        <f>Connect_vertical_pipework*ROUNDUP(Tokamak_Segmts/X305,0)</f>
        <v>96.090930207494253</v>
      </c>
      <c r="Y306" s="1028">
        <f>Connect_vertical_pipework*ROUNDUP(Tokamak_Segmts/Y305,0)</f>
        <v>72.068197655620693</v>
      </c>
      <c r="AA306" s="915"/>
    </row>
    <row r="307" spans="2:34" ht="15" hidden="1" outlineLevel="1" thickBot="1" x14ac:dyDescent="0.45">
      <c r="B307" s="1026"/>
      <c r="C307" s="704"/>
      <c r="D307" s="704"/>
      <c r="E307" s="704" t="s">
        <v>1037</v>
      </c>
      <c r="F307" s="749"/>
      <c r="G307" s="704"/>
      <c r="H307" s="704"/>
      <c r="I307" s="704"/>
      <c r="J307" s="750"/>
      <c r="K307" s="704"/>
      <c r="L307" s="704"/>
      <c r="M307" s="704"/>
      <c r="N307" s="704"/>
      <c r="O307" s="704"/>
      <c r="P307" s="704"/>
      <c r="Q307" s="704"/>
      <c r="R307" s="704"/>
      <c r="S307" s="3141" t="s">
        <v>2693</v>
      </c>
      <c r="T307" s="3586">
        <f>T$306*$F$310</f>
        <v>0.2642500580706092</v>
      </c>
      <c r="U307" s="1416">
        <f t="shared" ref="U307:Y307" si="26">U$306*$F$310</f>
        <v>4.2280009291297471</v>
      </c>
      <c r="V307" s="1499">
        <f t="shared" si="26"/>
        <v>2.1140004645648736</v>
      </c>
      <c r="W307" s="920">
        <f t="shared" si="26"/>
        <v>1.5855003484236552</v>
      </c>
      <c r="X307" s="920">
        <f t="shared" si="26"/>
        <v>1.0570002322824368</v>
      </c>
      <c r="Y307" s="1029">
        <f t="shared" si="26"/>
        <v>0.79275017421182759</v>
      </c>
      <c r="AA307" s="915"/>
    </row>
    <row r="308" spans="2:34" hidden="1" outlineLevel="1" x14ac:dyDescent="0.4">
      <c r="B308" s="1026"/>
      <c r="C308" s="704"/>
      <c r="D308" s="704"/>
      <c r="E308" s="704" t="s">
        <v>1038</v>
      </c>
      <c r="F308" s="749"/>
      <c r="G308" s="704"/>
      <c r="H308" s="704"/>
      <c r="I308" s="704"/>
      <c r="J308" s="750"/>
      <c r="K308" s="704"/>
      <c r="L308" s="704"/>
      <c r="M308" s="704"/>
      <c r="N308" s="704"/>
      <c r="O308" s="704"/>
      <c r="P308" s="704"/>
      <c r="Q308" s="704"/>
      <c r="R308" s="704"/>
      <c r="S308" s="91" t="s">
        <v>1048</v>
      </c>
      <c r="T308" s="1063">
        <f t="shared" ref="T308:Y308" si="27">T307*(SUMIF($F$318:$F$403,"Operation",$G$318:$G$403))</f>
        <v>44.750204102404524</v>
      </c>
      <c r="U308" s="1500">
        <f t="shared" si="27"/>
        <v>716.00326563847239</v>
      </c>
      <c r="V308" s="3661">
        <f t="shared" si="27"/>
        <v>358.00163281923619</v>
      </c>
      <c r="W308" s="768">
        <f t="shared" si="27"/>
        <v>268.50122461442714</v>
      </c>
      <c r="X308" s="768">
        <f t="shared" si="27"/>
        <v>179.0008164096181</v>
      </c>
      <c r="Y308" s="1062">
        <f t="shared" si="27"/>
        <v>134.25061230721357</v>
      </c>
      <c r="AA308" s="915"/>
    </row>
    <row r="309" spans="2:34" hidden="1" outlineLevel="1" x14ac:dyDescent="0.4">
      <c r="B309" s="1026"/>
      <c r="C309" s="704"/>
      <c r="D309" s="704"/>
      <c r="E309" s="704"/>
      <c r="F309" s="749"/>
      <c r="G309" s="704"/>
      <c r="H309" s="704"/>
      <c r="I309" s="704"/>
      <c r="J309" s="750"/>
      <c r="K309" s="704"/>
      <c r="L309" s="704"/>
      <c r="M309" s="704"/>
      <c r="N309" s="704"/>
      <c r="O309" s="704"/>
      <c r="P309" s="704"/>
      <c r="Q309" s="704"/>
      <c r="R309" s="704"/>
      <c r="S309" s="92" t="s">
        <v>2658</v>
      </c>
      <c r="T309" s="1065">
        <f t="shared" ref="T309:Y309" si="28">T307*(SUMIF($F$318:$F$403,"Movement",$G$318:$G$403)+(SUMIF($F$318:$F$403,"Logistics",$G$318:$G$403)))</f>
        <v>8.4560018582594925</v>
      </c>
      <c r="U309" s="1502">
        <f t="shared" si="28"/>
        <v>135.29602973215188</v>
      </c>
      <c r="V309" s="3662">
        <f t="shared" si="28"/>
        <v>67.64801486607594</v>
      </c>
      <c r="W309" s="769">
        <f t="shared" si="28"/>
        <v>50.736011149556958</v>
      </c>
      <c r="X309" s="769">
        <f t="shared" si="28"/>
        <v>33.82400743303797</v>
      </c>
      <c r="Y309" s="1064">
        <f t="shared" si="28"/>
        <v>25.368005574778479</v>
      </c>
      <c r="AA309" s="915"/>
    </row>
    <row r="310" spans="2:34" ht="15" hidden="1" outlineLevel="1" thickBot="1" x14ac:dyDescent="0.45">
      <c r="B310" s="1026"/>
      <c r="C310" s="704"/>
      <c r="D310" s="704"/>
      <c r="E310" s="748" t="s">
        <v>1056</v>
      </c>
      <c r="F310" s="709">
        <f>SUM(F311:F312)</f>
        <v>1.0999999999999999E-2</v>
      </c>
      <c r="G310" s="709"/>
      <c r="H310" s="709"/>
      <c r="I310" s="709"/>
      <c r="J310" s="919"/>
      <c r="K310" s="918"/>
      <c r="L310" s="918"/>
      <c r="M310" s="918"/>
      <c r="N310" s="918"/>
      <c r="O310" s="918"/>
      <c r="P310" s="918"/>
      <c r="Q310" s="704"/>
      <c r="R310" s="704"/>
      <c r="S310" s="93" t="s">
        <v>2662</v>
      </c>
      <c r="T310" s="1067">
        <f t="shared" ref="T310:Y310" si="29">T307*(-SUMIF($U$318:$U$403,"&lt;0"))</f>
        <v>8.2794926065075298</v>
      </c>
      <c r="U310" s="1110">
        <f t="shared" si="29"/>
        <v>132.47188170412048</v>
      </c>
      <c r="V310" s="3663">
        <f t="shared" si="29"/>
        <v>66.235940852060239</v>
      </c>
      <c r="W310" s="770">
        <f t="shared" si="29"/>
        <v>49.676955639045183</v>
      </c>
      <c r="X310" s="770">
        <f t="shared" si="29"/>
        <v>33.117970426030119</v>
      </c>
      <c r="Y310" s="1066">
        <f t="shared" si="29"/>
        <v>24.838477819522591</v>
      </c>
      <c r="AA310" s="915"/>
    </row>
    <row r="311" spans="2:34" ht="15" hidden="1" outlineLevel="1" thickBot="1" x14ac:dyDescent="0.45">
      <c r="B311" s="1030"/>
      <c r="C311" s="5"/>
      <c r="D311" s="5"/>
      <c r="E311" s="7" t="s">
        <v>1057</v>
      </c>
      <c r="F311" s="763">
        <f>Weld_Failure_Rate</f>
        <v>1E-3</v>
      </c>
      <c r="G311" s="922"/>
      <c r="H311" s="922"/>
      <c r="I311" s="924"/>
      <c r="J311" s="290"/>
      <c r="K311" s="922"/>
      <c r="L311" s="922"/>
      <c r="M311" s="925"/>
      <c r="N311" s="922"/>
      <c r="O311" s="922"/>
      <c r="P311" s="922"/>
      <c r="Q311" s="706"/>
      <c r="R311" s="7"/>
      <c r="S311" s="2973" t="s">
        <v>2667</v>
      </c>
      <c r="T311" s="2975">
        <f t="shared" ref="T311:Y311" si="30">T307*$H$404</f>
        <v>61.485698567171518</v>
      </c>
      <c r="U311" s="2994">
        <f t="shared" si="30"/>
        <v>983.77117707474429</v>
      </c>
      <c r="V311" s="3664">
        <f t="shared" si="30"/>
        <v>491.88558853737214</v>
      </c>
      <c r="W311" s="694">
        <f t="shared" si="30"/>
        <v>368.91419140302912</v>
      </c>
      <c r="X311" s="694">
        <f t="shared" si="30"/>
        <v>245.94279426868607</v>
      </c>
      <c r="Y311" s="2974">
        <f t="shared" si="30"/>
        <v>184.45709570151456</v>
      </c>
      <c r="AA311" s="915"/>
    </row>
    <row r="312" spans="2:34" hidden="1" outlineLevel="1" x14ac:dyDescent="0.4">
      <c r="B312" s="1030"/>
      <c r="C312" s="5"/>
      <c r="D312" s="5"/>
      <c r="E312" s="7" t="s">
        <v>1058</v>
      </c>
      <c r="F312" s="763">
        <f>SJS_welder_failure</f>
        <v>0.01</v>
      </c>
      <c r="G312" s="922"/>
      <c r="H312" s="922"/>
      <c r="I312" s="924"/>
      <c r="J312" s="290"/>
      <c r="K312" s="922"/>
      <c r="L312" s="922"/>
      <c r="M312" s="925"/>
      <c r="N312" s="922"/>
      <c r="O312" s="922"/>
      <c r="P312" s="922"/>
      <c r="Q312" s="706"/>
      <c r="R312" s="7"/>
      <c r="AA312" s="915"/>
    </row>
    <row r="313" spans="2:34" hidden="1" outlineLevel="1" x14ac:dyDescent="0.4">
      <c r="B313" s="1030"/>
      <c r="C313" s="5"/>
      <c r="D313" s="5"/>
      <c r="E313" s="926" t="s">
        <v>1059</v>
      </c>
      <c r="F313" s="709">
        <f>F310*(1-(1-F310)^(Vertical_port_pipes_per_blanket))</f>
        <v>7.0632541484487834E-4</v>
      </c>
      <c r="G313" s="927"/>
      <c r="H313" s="927"/>
      <c r="I313" s="927"/>
      <c r="J313" s="919"/>
      <c r="K313" s="927"/>
      <c r="L313" s="927"/>
      <c r="M313" s="927"/>
      <c r="N313" s="927"/>
      <c r="O313" s="927"/>
      <c r="P313" s="927"/>
      <c r="Q313" s="706"/>
      <c r="R313" s="7"/>
      <c r="AA313" s="915"/>
    </row>
    <row r="314" spans="2:34" hidden="1" outlineLevel="1" x14ac:dyDescent="0.4">
      <c r="B314" s="1030"/>
      <c r="C314" s="5"/>
      <c r="D314" s="5"/>
      <c r="E314" s="926"/>
      <c r="F314" s="928"/>
      <c r="G314" s="927"/>
      <c r="H314" s="927"/>
      <c r="I314" s="927"/>
      <c r="J314" s="919"/>
      <c r="K314" s="927"/>
      <c r="L314" s="927"/>
      <c r="M314" s="927"/>
      <c r="N314" s="927"/>
      <c r="O314" s="927"/>
      <c r="P314" s="927"/>
      <c r="Q314" s="706"/>
      <c r="R314" s="7"/>
      <c r="AA314" s="915"/>
    </row>
    <row r="315" spans="2:34" ht="15.75" hidden="1" customHeight="1" outlineLevel="1" thickBot="1" x14ac:dyDescent="0.45">
      <c r="B315" s="1030"/>
      <c r="C315" s="5"/>
      <c r="D315" s="5"/>
      <c r="E315" s="926"/>
      <c r="F315" s="928"/>
      <c r="G315" s="927"/>
      <c r="H315" s="927"/>
      <c r="I315" s="927"/>
      <c r="J315" s="919"/>
      <c r="K315" s="927"/>
      <c r="L315" s="927"/>
      <c r="M315" s="927"/>
      <c r="N315" s="927"/>
      <c r="O315" s="927"/>
      <c r="P315" s="927"/>
      <c r="Q315" s="706"/>
      <c r="R315" s="7"/>
      <c r="S315" s="95"/>
      <c r="T315" s="290"/>
      <c r="U315" s="7"/>
      <c r="V315" s="5"/>
      <c r="W315" s="7"/>
      <c r="X315" s="290"/>
      <c r="Y315" s="290"/>
      <c r="AA315" s="915"/>
    </row>
    <row r="316" spans="2:34" ht="15.75" hidden="1" customHeight="1" outlineLevel="3" thickBot="1" x14ac:dyDescent="0.45">
      <c r="B316" s="1030"/>
      <c r="C316" s="5"/>
      <c r="D316" s="5"/>
      <c r="E316" s="926"/>
      <c r="F316" s="701"/>
      <c r="G316" s="7"/>
      <c r="H316" s="929"/>
      <c r="I316" s="930" t="s">
        <v>18</v>
      </c>
      <c r="J316" s="931"/>
      <c r="K316" s="932" t="s">
        <v>778</v>
      </c>
      <c r="L316" s="933"/>
      <c r="M316" s="933"/>
      <c r="N316" s="933"/>
      <c r="O316" s="933"/>
      <c r="P316" s="934"/>
      <c r="Q316" s="933" t="s">
        <v>3</v>
      </c>
      <c r="R316" s="934"/>
      <c r="S316" s="935" t="s">
        <v>779</v>
      </c>
      <c r="T316" s="7"/>
      <c r="U316" s="936"/>
      <c r="V316" s="779"/>
      <c r="W316" s="936"/>
      <c r="X316" s="938"/>
      <c r="Y316" s="938"/>
      <c r="Z316" s="938"/>
      <c r="AA316" s="915"/>
    </row>
    <row r="317" spans="2:34" ht="30.75" hidden="1" customHeight="1" outlineLevel="3" thickBot="1" x14ac:dyDescent="0.45">
      <c r="B317" s="1030"/>
      <c r="C317" s="5"/>
      <c r="D317" s="939" t="s">
        <v>780</v>
      </c>
      <c r="E317" s="940" t="s">
        <v>1060</v>
      </c>
      <c r="F317" s="941" t="s">
        <v>782</v>
      </c>
      <c r="G317" s="942" t="s">
        <v>783</v>
      </c>
      <c r="H317" s="943" t="s">
        <v>784</v>
      </c>
      <c r="I317" s="562" t="s">
        <v>785</v>
      </c>
      <c r="J317" s="944" t="s">
        <v>783</v>
      </c>
      <c r="K317" s="562" t="s">
        <v>786</v>
      </c>
      <c r="L317" s="563" t="s">
        <v>787</v>
      </c>
      <c r="M317" s="563" t="s">
        <v>788</v>
      </c>
      <c r="N317" s="563" t="s">
        <v>789</v>
      </c>
      <c r="O317" s="563" t="s">
        <v>790</v>
      </c>
      <c r="P317" s="945" t="s">
        <v>783</v>
      </c>
      <c r="Q317" s="560" t="s">
        <v>785</v>
      </c>
      <c r="R317" s="946" t="s">
        <v>783</v>
      </c>
      <c r="S317" s="793" t="s">
        <v>781</v>
      </c>
      <c r="T317" s="794" t="s">
        <v>791</v>
      </c>
      <c r="U317" s="789" t="s">
        <v>792</v>
      </c>
      <c r="V317" s="795"/>
      <c r="X317" s="947"/>
      <c r="Y317" s="947"/>
      <c r="Z317" s="947"/>
      <c r="AA317" s="915"/>
    </row>
    <row r="318" spans="2:34" ht="15" hidden="1" customHeight="1" outlineLevel="3" x14ac:dyDescent="0.4">
      <c r="B318" s="1030"/>
      <c r="C318" s="5"/>
      <c r="D318" s="3886" t="s">
        <v>1062</v>
      </c>
      <c r="E318" s="797" t="s">
        <v>1109</v>
      </c>
      <c r="F318" s="799" t="s">
        <v>251</v>
      </c>
      <c r="G318" s="456">
        <f>MAX($R318,$P318,$J318)</f>
        <v>0</v>
      </c>
      <c r="H318" s="800">
        <f>G318</f>
        <v>0</v>
      </c>
      <c r="I318" s="566" t="s">
        <v>557</v>
      </c>
      <c r="J318" s="621">
        <f>IF(F318="operation",VLOOKUP(I318,'Generic Vertical Port Tasks'!$C$4:$D$197,2,FALSE),"N/A")</f>
        <v>0</v>
      </c>
      <c r="K318" s="568"/>
      <c r="L318" s="566"/>
      <c r="M318" s="801"/>
      <c r="N318" s="802" t="str">
        <f>IFERROR(INDEX('Upper Cask Movement &amp; Logistics'!$I$23:$O$29,MATCH($L318,'Upper Cask Movement &amp; Logistics'!$H$23:$H$29,0),MATCH($M318,'Upper Cask Movement &amp; Logistics'!$H$23:$H$29,0)),"N/A")</f>
        <v>N/A</v>
      </c>
      <c r="O318" s="570" t="str">
        <f>IFERROR(VLOOKUP($K318,'Upper Cask Movement &amp; Logistics'!$H$4:$I$8,2,FALSE),"N/A")</f>
        <v>N/A</v>
      </c>
      <c r="P318" s="800" t="str">
        <f t="shared" ref="P318:P381" si="31">IF(F318="Movement",IFERROR((N318/O318)/(60*60),"Error"),"N/A")</f>
        <v>N/A</v>
      </c>
      <c r="Q318" s="803"/>
      <c r="R318" s="802" t="str">
        <f>IF($F318="Logistics",VLOOKUP($Q318,'Upper Cask Movement &amp; Logistics'!$C$4:$D$32,2,FALSE),"N/A")</f>
        <v>N/A</v>
      </c>
      <c r="S318" s="568"/>
      <c r="T318" s="804" t="str">
        <f>IFERROR(VLOOKUP($S318,'Upper Cask Recovery Logistics'!$C$369:$F$508,4,FALSE),"N/A")</f>
        <v>N/A</v>
      </c>
      <c r="U318" s="621" t="str">
        <f>IFERROR(H318-G318-T318,"N/A")</f>
        <v>N/A</v>
      </c>
      <c r="V318" s="895"/>
      <c r="X318" s="947"/>
      <c r="Y318" s="947"/>
      <c r="Z318" s="947"/>
      <c r="AA318" s="915"/>
      <c r="AE318" s="8"/>
    </row>
    <row r="319" spans="2:34" ht="15.75" hidden="1" customHeight="1" outlineLevel="3" thickBot="1" x14ac:dyDescent="0.45">
      <c r="B319" s="1030"/>
      <c r="C319" s="5"/>
      <c r="D319" s="3887"/>
      <c r="E319" s="807" t="s">
        <v>1110</v>
      </c>
      <c r="F319" s="809" t="s">
        <v>251</v>
      </c>
      <c r="G319" s="471">
        <f t="shared" ref="G319:G382" si="32">MAX($R319,$P319,$J319)</f>
        <v>1.0499155317167692</v>
      </c>
      <c r="H319" s="810">
        <f t="shared" ref="H319:H382" si="33">IF(U319&lt;0,G319+H318+(-U319),G319+H318)</f>
        <v>1.0499155317167692</v>
      </c>
      <c r="I319" s="584" t="s">
        <v>2491</v>
      </c>
      <c r="J319" s="811">
        <f>IF(F319="operation",VLOOKUP(I319,'Generic Vertical Port Tasks'!$C$4:$D$197,2,FALSE),"N/A")</f>
        <v>1.0499155317167692</v>
      </c>
      <c r="K319" s="586"/>
      <c r="L319" s="584"/>
      <c r="M319" s="812"/>
      <c r="N319" s="813" t="str">
        <f>IFERROR(INDEX('Upper Cask Movement &amp; Logistics'!$I$23:$O$29,MATCH($L319,'Upper Cask Movement &amp; Logistics'!$H$23:$H$29,0),MATCH($M319,'Upper Cask Movement &amp; Logistics'!$H$23:$H$29,0)),"N/A")</f>
        <v>N/A</v>
      </c>
      <c r="O319" s="814" t="str">
        <f>IFERROR(VLOOKUP($K319,'Upper Cask Movement &amp; Logistics'!$H$4:$I$8,2,FALSE),"N/A")</f>
        <v>N/A</v>
      </c>
      <c r="P319" s="810" t="str">
        <f t="shared" si="31"/>
        <v>N/A</v>
      </c>
      <c r="Q319" s="815"/>
      <c r="R319" s="813" t="s">
        <v>263</v>
      </c>
      <c r="S319" s="586"/>
      <c r="T319" s="816" t="str">
        <f>IFERROR(VLOOKUP($S319,'Upper Cask Recovery Logistics'!$C$369:$F$518,4,FALSE),"N/A")</f>
        <v>N/A</v>
      </c>
      <c r="U319" s="591" t="str">
        <f t="shared" ref="U319:U382" si="34">IFERROR(H318-T319,"N/A")</f>
        <v>N/A</v>
      </c>
      <c r="V319" s="895"/>
      <c r="X319" s="290"/>
      <c r="Y319" s="290"/>
      <c r="AA319" s="915"/>
      <c r="AB319" s="5"/>
      <c r="AC319" s="7"/>
      <c r="AD319" s="7"/>
      <c r="AE319" s="7"/>
      <c r="AF319" s="7"/>
      <c r="AG319" s="7"/>
      <c r="AH319" s="7"/>
    </row>
    <row r="320" spans="2:34" ht="15" hidden="1" customHeight="1" outlineLevel="3" x14ac:dyDescent="0.4">
      <c r="B320" s="1030"/>
      <c r="C320" s="5"/>
      <c r="D320" s="3984" t="s">
        <v>835</v>
      </c>
      <c r="E320" s="1333" t="s">
        <v>1517</v>
      </c>
      <c r="F320" s="1333" t="s">
        <v>3</v>
      </c>
      <c r="G320" s="1303">
        <f t="shared" si="32"/>
        <v>0.38</v>
      </c>
      <c r="H320" s="1303">
        <f t="shared" si="33"/>
        <v>1.4299155317167691</v>
      </c>
      <c r="I320" s="1333"/>
      <c r="J320" s="1303" t="str">
        <f>IF(F320="operation",VLOOKUP(I320,'Generic Vertical Port Tasks'!$C$4:$D$197,2,FALSE),"N/A")</f>
        <v>N/A</v>
      </c>
      <c r="K320" s="1333"/>
      <c r="L320" s="1333"/>
      <c r="M320" s="1333"/>
      <c r="N320" s="1334" t="str">
        <f>IFERROR(INDEX('Upper Cask Movement &amp; Logistics'!$I$24:$O$30,MATCH($J320,'Upper Cask Movement &amp; Logistics'!$H$24:$H$30,0),MATCH($K320,'Upper Cask Movement &amp; Logistics'!$H$24:$H$30,0)),"N/A")</f>
        <v>N/A</v>
      </c>
      <c r="O320" s="1334" t="str">
        <f>IFERROR(VLOOKUP($I320,'Upper Cask Movement &amp; Logistics'!$H$4:$I$8,2,FALSE),"N/A")</f>
        <v>N/A</v>
      </c>
      <c r="P320" s="1303" t="str">
        <f t="shared" si="31"/>
        <v>N/A</v>
      </c>
      <c r="Q320" s="1504" t="s">
        <v>1226</v>
      </c>
      <c r="R320" s="1303">
        <f>IF($F320="Logistics",VLOOKUP($Q320,'Upper Cask Movement &amp; Logistics'!$C$4:$D$209,2,FALSE),"N/A")</f>
        <v>0.38</v>
      </c>
      <c r="S320" s="1505"/>
      <c r="T320" s="1303" t="str">
        <f>IFERROR(VLOOKUP($S320,'Upper Cask Recovery Logistics'!$C$369:$F$518,4,FALSE),"N/A")</f>
        <v>N/A</v>
      </c>
      <c r="U320" s="1506" t="str">
        <f t="shared" si="34"/>
        <v>N/A</v>
      </c>
      <c r="V320" s="1510"/>
      <c r="X320" s="273"/>
      <c r="Y320" s="273"/>
      <c r="Z320" s="273"/>
      <c r="AA320" s="752"/>
      <c r="AB320" s="290"/>
      <c r="AC320" s="290"/>
      <c r="AD320" s="290"/>
      <c r="AE320" s="7"/>
      <c r="AF320" s="7"/>
      <c r="AG320" s="7"/>
      <c r="AH320" s="7"/>
    </row>
    <row r="321" spans="2:34" ht="15" hidden="1" customHeight="1" outlineLevel="3" x14ac:dyDescent="0.4">
      <c r="B321" s="1030"/>
      <c r="C321" s="5"/>
      <c r="D321" s="3985"/>
      <c r="E321" s="1243" t="s">
        <v>127</v>
      </c>
      <c r="F321" s="1243" t="s">
        <v>251</v>
      </c>
      <c r="G321" s="1244">
        <f t="shared" si="32"/>
        <v>0.72499999999999998</v>
      </c>
      <c r="H321" s="1244">
        <f t="shared" si="33"/>
        <v>2.1549155317167692</v>
      </c>
      <c r="I321" s="1243" t="s">
        <v>253</v>
      </c>
      <c r="J321" s="1244">
        <f>IF(F321="operation",VLOOKUP(I321,'Generic Vertical Port Tasks'!$C$4:$D$197,2,FALSE),"N/A")</f>
        <v>0.72499999999999998</v>
      </c>
      <c r="K321" s="1243"/>
      <c r="L321" s="1243"/>
      <c r="M321" s="1243"/>
      <c r="N321" s="1245" t="str">
        <f>IFERROR(INDEX('Upper Cask Movement &amp; Logistics'!$I$24:$O$30,MATCH($J321,'Upper Cask Movement &amp; Logistics'!$H$24:$H$30,0),MATCH($K321,'Upper Cask Movement &amp; Logistics'!$H$24:$H$30,0)),"N/A")</f>
        <v>N/A</v>
      </c>
      <c r="O321" s="1245" t="str">
        <f>IFERROR(VLOOKUP($I321,'Upper Cask Movement &amp; Logistics'!$H$4:$I$8,2,FALSE),"N/A")</f>
        <v>N/A</v>
      </c>
      <c r="P321" s="1244" t="str">
        <f t="shared" si="31"/>
        <v>N/A</v>
      </c>
      <c r="Q321" s="1246"/>
      <c r="R321" s="1244" t="str">
        <f>IF($F321="Logistics",VLOOKUP($Q321,'Upper Cask Movement &amp; Logistics'!$C$4:$D$209,2,FALSE),"N/A")</f>
        <v>N/A</v>
      </c>
      <c r="S321" s="1247"/>
      <c r="T321" s="1244" t="str">
        <f>IFERROR(VLOOKUP($S321,'Upper Cask Recovery Logistics'!$C$369:$F$518,4,FALSE),"N/A")</f>
        <v>N/A</v>
      </c>
      <c r="U321" s="1248" t="str">
        <f t="shared" si="34"/>
        <v>N/A</v>
      </c>
      <c r="V321" s="1510"/>
      <c r="X321" s="273"/>
      <c r="Y321" s="273"/>
      <c r="Z321" s="273"/>
      <c r="AA321" s="752"/>
      <c r="AB321" s="290"/>
      <c r="AC321" s="290"/>
      <c r="AD321" s="290"/>
      <c r="AE321" s="7"/>
      <c r="AF321" s="7"/>
      <c r="AG321" s="7"/>
      <c r="AH321" s="7"/>
    </row>
    <row r="322" spans="2:34" ht="15" hidden="1" customHeight="1" outlineLevel="3" x14ac:dyDescent="0.4">
      <c r="B322" s="1030"/>
      <c r="C322" s="5"/>
      <c r="D322" s="3985"/>
      <c r="E322" s="1243" t="s">
        <v>1256</v>
      </c>
      <c r="F322" s="1243" t="s">
        <v>3</v>
      </c>
      <c r="G322" s="1244">
        <f t="shared" si="32"/>
        <v>0.63000000000000012</v>
      </c>
      <c r="H322" s="1244">
        <f t="shared" si="33"/>
        <v>2.7849155317167691</v>
      </c>
      <c r="I322" s="1243"/>
      <c r="J322" s="1244" t="str">
        <f>IF(F322="operation",VLOOKUP(I322,'Generic Vertical Port Tasks'!$C$4:$D$197,2,FALSE),"N/A")</f>
        <v>N/A</v>
      </c>
      <c r="K322" s="1243"/>
      <c r="L322" s="1243"/>
      <c r="M322" s="1243"/>
      <c r="N322" s="1245" t="str">
        <f>IFERROR(INDEX('Upper Cask Movement &amp; Logistics'!$I$24:$O$30,MATCH($J322,'Upper Cask Movement &amp; Logistics'!$H$24:$H$30,0),MATCH($K322,'Upper Cask Movement &amp; Logistics'!$H$24:$H$30,0)),"N/A")</f>
        <v>N/A</v>
      </c>
      <c r="O322" s="1245" t="str">
        <f>IFERROR(VLOOKUP($I322,'Upper Cask Movement &amp; Logistics'!$H$4:$I$8,2,FALSE),"N/A")</f>
        <v>N/A</v>
      </c>
      <c r="P322" s="1244" t="str">
        <f t="shared" si="31"/>
        <v>N/A</v>
      </c>
      <c r="Q322" s="1246" t="s">
        <v>1228</v>
      </c>
      <c r="R322" s="1244">
        <f>IF($F322="Logistics",VLOOKUP($Q322,'Upper Cask Movement &amp; Logistics'!$C$4:$D$209,2,FALSE),"N/A")</f>
        <v>0.63000000000000012</v>
      </c>
      <c r="S322" s="1247" t="s">
        <v>1372</v>
      </c>
      <c r="T322" s="1244" t="str">
        <f>IFERROR(VLOOKUP($S322,'Upper Cask Recovery Logistics'!$C$369:$F$518,4,FALSE),"N/A")</f>
        <v>N/A</v>
      </c>
      <c r="U322" s="1248" t="str">
        <f t="shared" si="34"/>
        <v>N/A</v>
      </c>
      <c r="V322" s="1510"/>
      <c r="X322" s="273"/>
      <c r="Y322" s="273"/>
      <c r="Z322" s="273"/>
      <c r="AA322" s="752"/>
      <c r="AB322" s="290"/>
      <c r="AC322" s="290"/>
      <c r="AD322" s="290"/>
      <c r="AE322" s="7"/>
      <c r="AF322" s="7"/>
      <c r="AG322" s="7"/>
      <c r="AH322" s="7"/>
    </row>
    <row r="323" spans="2:34" ht="15.75" hidden="1" customHeight="1" outlineLevel="3" thickBot="1" x14ac:dyDescent="0.45">
      <c r="B323" s="1030"/>
      <c r="C323" s="5"/>
      <c r="D323" s="3986"/>
      <c r="E323" s="1314" t="s">
        <v>1251</v>
      </c>
      <c r="F323" s="1314" t="s">
        <v>3</v>
      </c>
      <c r="G323" s="1316">
        <f t="shared" si="32"/>
        <v>0.38</v>
      </c>
      <c r="H323" s="1316">
        <f t="shared" si="33"/>
        <v>3.164915531716769</v>
      </c>
      <c r="I323" s="1314"/>
      <c r="J323" s="1316" t="str">
        <f>IF(F323="operation",VLOOKUP(I323,'Generic Vertical Port Tasks'!$C$4:$D$197,2,FALSE),"N/A")</f>
        <v>N/A</v>
      </c>
      <c r="K323" s="1314"/>
      <c r="L323" s="1314"/>
      <c r="M323" s="1314"/>
      <c r="N323" s="1319" t="str">
        <f>IFERROR(INDEX('Upper Cask Movement &amp; Logistics'!$I$24:$O$30,MATCH($J323,'Upper Cask Movement &amp; Logistics'!$H$24:$H$30,0),MATCH($K323,'Upper Cask Movement &amp; Logistics'!$H$24:$H$30,0)),"N/A")</f>
        <v>N/A</v>
      </c>
      <c r="O323" s="1319" t="str">
        <f>IFERROR(VLOOKUP($I323,'Upper Cask Movement &amp; Logistics'!$H$4:$I$8,2,FALSE),"N/A")</f>
        <v>N/A</v>
      </c>
      <c r="P323" s="1316" t="str">
        <f t="shared" si="31"/>
        <v>N/A</v>
      </c>
      <c r="Q323" s="1507" t="s">
        <v>1230</v>
      </c>
      <c r="R323" s="1316">
        <f>IF($F323="Logistics",VLOOKUP($Q323,'Upper Cask Movement &amp; Logistics'!$C$4:$D$209,2,FALSE),"N/A")</f>
        <v>0.38</v>
      </c>
      <c r="S323" s="1508"/>
      <c r="T323" s="1316" t="str">
        <f>IFERROR(VLOOKUP($S323,'Upper Cask Recovery Logistics'!$C$369:$F$518,4,FALSE),"N/A")</f>
        <v>N/A</v>
      </c>
      <c r="U323" s="1509" t="str">
        <f t="shared" si="34"/>
        <v>N/A</v>
      </c>
      <c r="V323" s="1510"/>
      <c r="X323" s="273"/>
      <c r="Y323" s="273"/>
      <c r="Z323" s="273"/>
      <c r="AA323" s="752"/>
      <c r="AB323" s="290"/>
      <c r="AC323" s="290"/>
      <c r="AD323" s="290"/>
      <c r="AE323" s="7"/>
      <c r="AF323" s="7"/>
      <c r="AG323" s="7"/>
      <c r="AH323" s="7"/>
    </row>
    <row r="324" spans="2:34" ht="15" hidden="1" customHeight="1" outlineLevel="3" x14ac:dyDescent="0.4">
      <c r="B324" s="1030"/>
      <c r="C324" s="5"/>
      <c r="D324" s="3992" t="s">
        <v>836</v>
      </c>
      <c r="E324" s="596" t="s">
        <v>1252</v>
      </c>
      <c r="F324" s="596" t="s">
        <v>3</v>
      </c>
      <c r="G324" s="593">
        <f t="shared" si="32"/>
        <v>0.38</v>
      </c>
      <c r="H324" s="593">
        <f t="shared" si="33"/>
        <v>3.5449155317167689</v>
      </c>
      <c r="I324" s="596"/>
      <c r="J324" s="593" t="str">
        <f>IF(F324="operation",VLOOKUP(I324,'Generic Vertical Port Tasks'!$C$4:$D$197,2,FALSE),"N/A")</f>
        <v>N/A</v>
      </c>
      <c r="K324" s="596"/>
      <c r="L324" s="596"/>
      <c r="M324" s="596"/>
      <c r="N324" s="597" t="str">
        <f>IFERROR(INDEX('Upper Cask Movement &amp; Logistics'!$I$24:$O$30,MATCH($J324,'Upper Cask Movement &amp; Logistics'!$H$24:$H$30,0),MATCH($K324,'Upper Cask Movement &amp; Logistics'!$H$24:$H$30,0)),"N/A")</f>
        <v>N/A</v>
      </c>
      <c r="O324" s="597" t="str">
        <f>IFERROR(VLOOKUP($I324,'Upper Cask Movement &amp; Logistics'!$H$4:$I$8,2,FALSE),"N/A")</f>
        <v>N/A</v>
      </c>
      <c r="P324" s="593" t="str">
        <f t="shared" si="31"/>
        <v>N/A</v>
      </c>
      <c r="Q324" s="1253" t="s">
        <v>1226</v>
      </c>
      <c r="R324" s="593">
        <f>IF($F324="Logistics",VLOOKUP($Q324,'Upper Cask Movement &amp; Logistics'!$C$4:$D$209,2,FALSE),"N/A")</f>
        <v>0.38</v>
      </c>
      <c r="S324" s="1254"/>
      <c r="T324" s="593" t="str">
        <f>IFERROR(VLOOKUP($S324,'Upper Cask Recovery Logistics'!$C$369:$F$518,4,FALSE),"N/A")</f>
        <v>N/A</v>
      </c>
      <c r="U324" s="1255" t="str">
        <f t="shared" si="34"/>
        <v>N/A</v>
      </c>
      <c r="V324" s="1510"/>
      <c r="X324" s="273"/>
      <c r="Y324" s="273"/>
      <c r="Z324" s="273"/>
      <c r="AA324" s="752"/>
      <c r="AB324" s="290"/>
      <c r="AC324" s="290"/>
      <c r="AD324" s="290"/>
      <c r="AE324" s="7"/>
      <c r="AF324" s="7"/>
      <c r="AG324" s="7"/>
      <c r="AH324" s="7"/>
    </row>
    <row r="325" spans="2:34" ht="15.75" hidden="1" customHeight="1" outlineLevel="3" x14ac:dyDescent="0.4">
      <c r="B325" s="1030"/>
      <c r="C325" s="5"/>
      <c r="D325" s="3993"/>
      <c r="E325" s="601" t="s">
        <v>21</v>
      </c>
      <c r="F325" s="601" t="s">
        <v>251</v>
      </c>
      <c r="G325" s="602">
        <f t="shared" si="32"/>
        <v>6.83</v>
      </c>
      <c r="H325" s="602">
        <f t="shared" si="33"/>
        <v>10.37491553171677</v>
      </c>
      <c r="I325" s="601" t="s">
        <v>252</v>
      </c>
      <c r="J325" s="602">
        <f>IF(F325="operation",VLOOKUP(I325,'Generic Vertical Port Tasks'!$C$4:$D$197,2,FALSE),"N/A")</f>
        <v>6.83</v>
      </c>
      <c r="K325" s="601"/>
      <c r="L325" s="601"/>
      <c r="M325" s="601"/>
      <c r="N325" s="605" t="str">
        <f>IFERROR(INDEX('Upper Cask Movement &amp; Logistics'!$I$24:$O$30,MATCH($J325,'Upper Cask Movement &amp; Logistics'!$H$24:$H$30,0),MATCH($K325,'Upper Cask Movement &amp; Logistics'!$H$24:$H$30,0)),"N/A")</f>
        <v>N/A</v>
      </c>
      <c r="O325" s="605" t="str">
        <f>IFERROR(VLOOKUP($I325,'Upper Cask Movement &amp; Logistics'!$H$4:$I$8,2,FALSE),"N/A")</f>
        <v>N/A</v>
      </c>
      <c r="P325" s="602" t="str">
        <f t="shared" si="31"/>
        <v>N/A</v>
      </c>
      <c r="Q325" s="1234"/>
      <c r="R325" s="602" t="str">
        <f>IF($F325="Logistics",VLOOKUP($Q325,'Upper Cask Movement &amp; Logistics'!$C$4:$D$209,2,FALSE),"N/A")</f>
        <v>N/A</v>
      </c>
      <c r="S325" s="1235"/>
      <c r="T325" s="602" t="str">
        <f>IFERROR(VLOOKUP($S325,'Upper Cask Recovery Logistics'!$C$369:$F$518,4,FALSE),"N/A")</f>
        <v>N/A</v>
      </c>
      <c r="U325" s="1236" t="str">
        <f t="shared" si="34"/>
        <v>N/A</v>
      </c>
      <c r="V325" s="1510"/>
      <c r="X325" s="273"/>
      <c r="Y325" s="273"/>
      <c r="Z325" s="273"/>
      <c r="AA325" s="752"/>
      <c r="AB325" s="290"/>
      <c r="AC325" s="290"/>
      <c r="AD325" s="290"/>
      <c r="AE325" s="7"/>
      <c r="AF325" s="7"/>
      <c r="AG325" s="7"/>
      <c r="AH325" s="7"/>
    </row>
    <row r="326" spans="2:34" ht="15" hidden="1" customHeight="1" outlineLevel="3" x14ac:dyDescent="0.4">
      <c r="B326" s="1030"/>
      <c r="C326" s="5"/>
      <c r="D326" s="3993"/>
      <c r="E326" s="601" t="s">
        <v>1246</v>
      </c>
      <c r="F326" s="601" t="s">
        <v>3</v>
      </c>
      <c r="G326" s="602">
        <f t="shared" si="32"/>
        <v>0.38</v>
      </c>
      <c r="H326" s="602">
        <f t="shared" si="33"/>
        <v>10.754915531716771</v>
      </c>
      <c r="I326" s="601"/>
      <c r="J326" s="602" t="str">
        <f>IF(F326="operation",VLOOKUP(I326,'Generic Vertical Port Tasks'!$C$4:$D$197,2,FALSE),"N/A")</f>
        <v>N/A</v>
      </c>
      <c r="K326" s="601"/>
      <c r="L326" s="601"/>
      <c r="M326" s="601"/>
      <c r="N326" s="605" t="str">
        <f>IFERROR(INDEX('Upper Cask Movement &amp; Logistics'!$I$24:$O$30,MATCH($J326,'Upper Cask Movement &amp; Logistics'!$H$24:$H$30,0),MATCH($K326,'Upper Cask Movement &amp; Logistics'!$H$24:$H$30,0)),"N/A")</f>
        <v>N/A</v>
      </c>
      <c r="O326" s="605" t="str">
        <f>IFERROR(VLOOKUP($I326,'Upper Cask Movement &amp; Logistics'!$H$4:$I$8,2,FALSE),"N/A")</f>
        <v>N/A</v>
      </c>
      <c r="P326" s="602" t="str">
        <f t="shared" si="31"/>
        <v>N/A</v>
      </c>
      <c r="Q326" s="1234" t="s">
        <v>1230</v>
      </c>
      <c r="R326" s="602">
        <f>IF($F326="Logistics",VLOOKUP($Q326,'Upper Cask Movement &amp; Logistics'!$C$4:$D$209,2,FALSE),"N/A")</f>
        <v>0.38</v>
      </c>
      <c r="S326" s="1235"/>
      <c r="T326" s="602" t="str">
        <f>IFERROR(VLOOKUP($S326,'Upper Cask Recovery Logistics'!$C$369:$F$518,4,FALSE),"N/A")</f>
        <v>N/A</v>
      </c>
      <c r="U326" s="1236" t="str">
        <f t="shared" si="34"/>
        <v>N/A</v>
      </c>
      <c r="V326" s="1510"/>
      <c r="X326" s="273"/>
      <c r="Y326" s="273"/>
      <c r="Z326" s="273"/>
      <c r="AA326" s="752"/>
      <c r="AB326" s="290"/>
      <c r="AC326" s="290"/>
      <c r="AD326" s="290"/>
      <c r="AE326" s="7"/>
      <c r="AF326" s="7"/>
      <c r="AG326" s="7"/>
      <c r="AH326" s="7"/>
    </row>
    <row r="327" spans="2:34" ht="15.75" hidden="1" customHeight="1" outlineLevel="3" x14ac:dyDescent="0.4">
      <c r="B327" s="1030"/>
      <c r="C327" s="5"/>
      <c r="D327" s="3993"/>
      <c r="E327" s="601" t="s">
        <v>1247</v>
      </c>
      <c r="F327" s="601" t="s">
        <v>3</v>
      </c>
      <c r="G327" s="602">
        <f t="shared" si="32"/>
        <v>0.38</v>
      </c>
      <c r="H327" s="602">
        <f t="shared" si="33"/>
        <v>11.134915531716771</v>
      </c>
      <c r="I327" s="601"/>
      <c r="J327" s="602" t="str">
        <f>IF(F327="operation",VLOOKUP(I327,'Generic Vertical Port Tasks'!$C$4:$D$197,2,FALSE),"N/A")</f>
        <v>N/A</v>
      </c>
      <c r="K327" s="601"/>
      <c r="L327" s="601"/>
      <c r="M327" s="601"/>
      <c r="N327" s="605" t="str">
        <f>IFERROR(INDEX('Upper Cask Movement &amp; Logistics'!$I$24:$O$30,MATCH($J327,'Upper Cask Movement &amp; Logistics'!$H$24:$H$30,0),MATCH($K327,'Upper Cask Movement &amp; Logistics'!$H$24:$H$30,0)),"N/A")</f>
        <v>N/A</v>
      </c>
      <c r="O327" s="605" t="str">
        <f>IFERROR(VLOOKUP($I327,'Upper Cask Movement &amp; Logistics'!$H$4:$I$8,2,FALSE),"N/A")</f>
        <v>N/A</v>
      </c>
      <c r="P327" s="602" t="str">
        <f t="shared" si="31"/>
        <v>N/A</v>
      </c>
      <c r="Q327" s="1234" t="s">
        <v>1226</v>
      </c>
      <c r="R327" s="602">
        <f>IF($F327="Logistics",VLOOKUP($Q327,'Upper Cask Movement &amp; Logistics'!$C$4:$D$209,2,FALSE),"N/A")</f>
        <v>0.38</v>
      </c>
      <c r="S327" s="1235"/>
      <c r="T327" s="602" t="str">
        <f>IFERROR(VLOOKUP($S327,'Upper Cask Recovery Logistics'!$C$369:$F$518,4,FALSE),"N/A")</f>
        <v>N/A</v>
      </c>
      <c r="U327" s="1236" t="str">
        <f t="shared" si="34"/>
        <v>N/A</v>
      </c>
      <c r="V327" s="1510"/>
      <c r="X327" s="273"/>
      <c r="Y327" s="273"/>
      <c r="Z327" s="273"/>
      <c r="AA327" s="752"/>
      <c r="AB327" s="5"/>
      <c r="AC327" s="7"/>
      <c r="AD327" s="7"/>
      <c r="AE327" s="7"/>
      <c r="AF327" s="7"/>
      <c r="AG327" s="7"/>
      <c r="AH327" s="7"/>
    </row>
    <row r="328" spans="2:34" ht="25.5" hidden="1" customHeight="1" outlineLevel="3" x14ac:dyDescent="0.4">
      <c r="B328" s="1030"/>
      <c r="C328" s="5"/>
      <c r="D328" s="3993"/>
      <c r="E328" s="601" t="s">
        <v>152</v>
      </c>
      <c r="F328" s="601" t="s">
        <v>251</v>
      </c>
      <c r="G328" s="602">
        <f t="shared" si="32"/>
        <v>1.0499155317167692</v>
      </c>
      <c r="H328" s="602">
        <f t="shared" si="33"/>
        <v>12.18483106343354</v>
      </c>
      <c r="I328" s="601" t="s">
        <v>2491</v>
      </c>
      <c r="J328" s="602">
        <f>IF(F328="operation",VLOOKUP(I328,'Generic Vertical Port Tasks'!$C$4:$D$197,2,FALSE),"N/A")</f>
        <v>1.0499155317167692</v>
      </c>
      <c r="K328" s="601"/>
      <c r="L328" s="601"/>
      <c r="M328" s="601"/>
      <c r="N328" s="605" t="str">
        <f>IFERROR(INDEX('Upper Cask Movement &amp; Logistics'!$I$24:$O$30,MATCH($J328,'Upper Cask Movement &amp; Logistics'!$H$24:$H$30,0),MATCH($K328,'Upper Cask Movement &amp; Logistics'!$H$24:$H$30,0)),"N/A")</f>
        <v>N/A</v>
      </c>
      <c r="O328" s="605" t="str">
        <f>IFERROR(VLOOKUP($I328,'Upper Cask Movement &amp; Logistics'!$H$4:$I$8,2,FALSE),"N/A")</f>
        <v>N/A</v>
      </c>
      <c r="P328" s="602" t="str">
        <f t="shared" si="31"/>
        <v>N/A</v>
      </c>
      <c r="Q328" s="1234"/>
      <c r="R328" s="602" t="str">
        <f>IF($F328="Logistics",VLOOKUP($Q328,'Upper Cask Movement &amp; Logistics'!$C$4:$D$209,2,FALSE),"N/A")</f>
        <v>N/A</v>
      </c>
      <c r="S328" s="1235"/>
      <c r="T328" s="602" t="str">
        <f>IFERROR(VLOOKUP($S328,'Upper Cask Recovery Logistics'!$C$369:$F$518,4,FALSE),"N/A")</f>
        <v>N/A</v>
      </c>
      <c r="U328" s="1236" t="str">
        <f t="shared" si="34"/>
        <v>N/A</v>
      </c>
      <c r="V328" s="1510"/>
      <c r="X328" s="273"/>
      <c r="Y328" s="273"/>
      <c r="Z328" s="273"/>
      <c r="AA328" s="752"/>
      <c r="AB328" s="5"/>
      <c r="AC328" s="7"/>
      <c r="AD328" s="7"/>
      <c r="AE328" s="7"/>
      <c r="AF328" s="7"/>
      <c r="AG328" s="7"/>
      <c r="AH328" s="7"/>
    </row>
    <row r="329" spans="2:34" ht="15" hidden="1" customHeight="1" outlineLevel="3" thickBot="1" x14ac:dyDescent="0.45">
      <c r="B329" s="1030"/>
      <c r="C329" s="5"/>
      <c r="D329" s="3994"/>
      <c r="E329" s="609" t="s">
        <v>1248</v>
      </c>
      <c r="F329" s="609" t="s">
        <v>3</v>
      </c>
      <c r="G329" s="610">
        <f t="shared" si="32"/>
        <v>0.38</v>
      </c>
      <c r="H329" s="610">
        <f t="shared" si="33"/>
        <v>12.564831063433541</v>
      </c>
      <c r="I329" s="609"/>
      <c r="J329" s="610" t="str">
        <f>IF(F329="operation",VLOOKUP(I329,'Generic Vertical Port Tasks'!$C$4:$D$197,2,FALSE),"N/A")</f>
        <v>N/A</v>
      </c>
      <c r="K329" s="609"/>
      <c r="L329" s="609"/>
      <c r="M329" s="609"/>
      <c r="N329" s="613" t="str">
        <f>IFERROR(INDEX('Upper Cask Movement &amp; Logistics'!$I$24:$O$30,MATCH($J329,'Upper Cask Movement &amp; Logistics'!$H$24:$H$30,0),MATCH($K329,'Upper Cask Movement &amp; Logistics'!$H$24:$H$30,0)),"N/A")</f>
        <v>N/A</v>
      </c>
      <c r="O329" s="613" t="str">
        <f>IFERROR(VLOOKUP($I329,'Upper Cask Movement &amp; Logistics'!$H$4:$I$8,2,FALSE),"N/A")</f>
        <v>N/A</v>
      </c>
      <c r="P329" s="610" t="str">
        <f t="shared" si="31"/>
        <v>N/A</v>
      </c>
      <c r="Q329" s="1237" t="s">
        <v>1230</v>
      </c>
      <c r="R329" s="610">
        <f>IF($F329="Logistics",VLOOKUP($Q329,'Upper Cask Movement &amp; Logistics'!$C$4:$D$209,2,FALSE),"N/A")</f>
        <v>0.38</v>
      </c>
      <c r="S329" s="1238"/>
      <c r="T329" s="610" t="str">
        <f>IFERROR(VLOOKUP($S329,'Upper Cask Recovery Logistics'!$C$369:$F$518,4,FALSE),"N/A")</f>
        <v>N/A</v>
      </c>
      <c r="U329" s="1239" t="str">
        <f t="shared" si="34"/>
        <v>N/A</v>
      </c>
      <c r="V329" s="1510"/>
      <c r="X329" s="273"/>
      <c r="Y329" s="273"/>
      <c r="Z329" s="273"/>
      <c r="AA329" s="752"/>
      <c r="AB329" s="5"/>
      <c r="AC329" s="7"/>
      <c r="AD329" s="7"/>
      <c r="AE329" s="7"/>
      <c r="AF329" s="7"/>
      <c r="AG329" s="7"/>
      <c r="AH329" s="7"/>
    </row>
    <row r="330" spans="2:34" ht="15" hidden="1" customHeight="1" outlineLevel="3" x14ac:dyDescent="0.4">
      <c r="B330" s="1030"/>
      <c r="C330" s="5"/>
      <c r="D330" s="3984" t="s">
        <v>839</v>
      </c>
      <c r="E330" s="1333" t="s">
        <v>1517</v>
      </c>
      <c r="F330" s="1333" t="s">
        <v>3</v>
      </c>
      <c r="G330" s="1303">
        <f t="shared" si="32"/>
        <v>0.38</v>
      </c>
      <c r="H330" s="1303">
        <f t="shared" si="33"/>
        <v>12.944831063433542</v>
      </c>
      <c r="I330" s="1333"/>
      <c r="J330" s="1303" t="str">
        <f>IF(F330="operation",VLOOKUP(I330,'Generic Vertical Port Tasks'!$C$4:$D$197,2,FALSE),"N/A")</f>
        <v>N/A</v>
      </c>
      <c r="K330" s="1333"/>
      <c r="L330" s="1333"/>
      <c r="M330" s="1333"/>
      <c r="N330" s="1334" t="str">
        <f>IFERROR(INDEX('Upper Cask Movement &amp; Logistics'!$I$24:$O$30,MATCH($J330,'Upper Cask Movement &amp; Logistics'!$H$24:$H$30,0),MATCH($K330,'Upper Cask Movement &amp; Logistics'!$H$24:$H$30,0)),"N/A")</f>
        <v>N/A</v>
      </c>
      <c r="O330" s="1334" t="str">
        <f>IFERROR(VLOOKUP($I330,'Upper Cask Movement &amp; Logistics'!$H$4:$I$8,2,FALSE),"N/A")</f>
        <v>N/A</v>
      </c>
      <c r="P330" s="1303" t="str">
        <f t="shared" si="31"/>
        <v>N/A</v>
      </c>
      <c r="Q330" s="1504" t="s">
        <v>1226</v>
      </c>
      <c r="R330" s="1303">
        <f>IF($F330="Logistics",VLOOKUP($Q330,'Upper Cask Movement &amp; Logistics'!$C$4:$D$209,2,FALSE),"N/A")</f>
        <v>0.38</v>
      </c>
      <c r="S330" s="1505"/>
      <c r="T330" s="1303" t="str">
        <f>IFERROR(VLOOKUP($S330,'Upper Cask Recovery Logistics'!$C$369:$F$518,4,FALSE),"N/A")</f>
        <v>N/A</v>
      </c>
      <c r="U330" s="1506" t="str">
        <f t="shared" si="34"/>
        <v>N/A</v>
      </c>
      <c r="V330" s="1510"/>
      <c r="X330" s="273"/>
      <c r="Y330" s="273"/>
      <c r="Z330" s="273"/>
      <c r="AA330" s="752"/>
      <c r="AB330" s="5"/>
      <c r="AC330" s="7"/>
      <c r="AD330" s="7"/>
      <c r="AE330" s="7"/>
      <c r="AF330" s="7"/>
      <c r="AG330" s="7"/>
      <c r="AH330" s="7"/>
    </row>
    <row r="331" spans="2:34" ht="15" hidden="1" customHeight="1" outlineLevel="3" x14ac:dyDescent="0.4">
      <c r="B331" s="1030"/>
      <c r="C331" s="5"/>
      <c r="D331" s="3985"/>
      <c r="E331" s="1243" t="s">
        <v>129</v>
      </c>
      <c r="F331" s="1243" t="s">
        <v>251</v>
      </c>
      <c r="G331" s="1244">
        <f t="shared" si="32"/>
        <v>0.72499999999999998</v>
      </c>
      <c r="H331" s="1244">
        <f t="shared" si="33"/>
        <v>13.669831063433541</v>
      </c>
      <c r="I331" s="1243" t="s">
        <v>253</v>
      </c>
      <c r="J331" s="1244">
        <f>IF(F331="operation",VLOOKUP(I331,'Generic Vertical Port Tasks'!$C$4:$D$197,2,FALSE),"N/A")</f>
        <v>0.72499999999999998</v>
      </c>
      <c r="K331" s="1243"/>
      <c r="L331" s="1243"/>
      <c r="M331" s="1243"/>
      <c r="N331" s="1245" t="str">
        <f>IFERROR(INDEX('Upper Cask Movement &amp; Logistics'!$I$24:$O$30,MATCH($J331,'Upper Cask Movement &amp; Logistics'!$H$24:$H$30,0),MATCH($K331,'Upper Cask Movement &amp; Logistics'!$H$24:$H$30,0)),"N/A")</f>
        <v>N/A</v>
      </c>
      <c r="O331" s="1245" t="str">
        <f>IFERROR(VLOOKUP($I331,'Upper Cask Movement &amp; Logistics'!$H$4:$I$8,2,FALSE),"N/A")</f>
        <v>N/A</v>
      </c>
      <c r="P331" s="1244" t="str">
        <f t="shared" si="31"/>
        <v>N/A</v>
      </c>
      <c r="Q331" s="1246"/>
      <c r="R331" s="1244" t="str">
        <f>IF($F331="Logistics",VLOOKUP($Q331,'Upper Cask Movement &amp; Logistics'!$C$4:$D$209,2,FALSE),"N/A")</f>
        <v>N/A</v>
      </c>
      <c r="S331" s="1247"/>
      <c r="T331" s="1244" t="str">
        <f>IFERROR(VLOOKUP($S331,'Upper Cask Recovery Logistics'!$C$369:$F$518,4,FALSE),"N/A")</f>
        <v>N/A</v>
      </c>
      <c r="U331" s="1248" t="str">
        <f t="shared" si="34"/>
        <v>N/A</v>
      </c>
      <c r="V331" s="1510"/>
      <c r="X331" s="273"/>
      <c r="Y331" s="273"/>
      <c r="Z331" s="273"/>
      <c r="AA331" s="752"/>
      <c r="AB331" s="5"/>
      <c r="AC331" s="7"/>
      <c r="AD331" s="7"/>
      <c r="AE331" s="7"/>
      <c r="AF331" s="7"/>
      <c r="AG331" s="7"/>
      <c r="AH331" s="7"/>
    </row>
    <row r="332" spans="2:34" ht="15" hidden="1" customHeight="1" outlineLevel="3" x14ac:dyDescent="0.4">
      <c r="B332" s="1030"/>
      <c r="C332" s="5"/>
      <c r="D332" s="3985"/>
      <c r="E332" s="1243" t="s">
        <v>1257</v>
      </c>
      <c r="F332" s="1243" t="s">
        <v>3</v>
      </c>
      <c r="G332" s="1244">
        <f t="shared" si="32"/>
        <v>0.63000000000000012</v>
      </c>
      <c r="H332" s="1244">
        <f t="shared" si="33"/>
        <v>14.299831063433542</v>
      </c>
      <c r="I332" s="1243"/>
      <c r="J332" s="1244" t="str">
        <f>IF(F332="operation",VLOOKUP(I332,'Generic Vertical Port Tasks'!$C$4:$D$197,2,FALSE),"N/A")</f>
        <v>N/A</v>
      </c>
      <c r="K332" s="1243"/>
      <c r="L332" s="1243"/>
      <c r="M332" s="1243"/>
      <c r="N332" s="1245" t="str">
        <f>IFERROR(INDEX('Upper Cask Movement &amp; Logistics'!$I$24:$O$30,MATCH($J332,'Upper Cask Movement &amp; Logistics'!$H$24:$H$30,0),MATCH($K332,'Upper Cask Movement &amp; Logistics'!$H$24:$H$30,0)),"N/A")</f>
        <v>N/A</v>
      </c>
      <c r="O332" s="1245" t="str">
        <f>IFERROR(VLOOKUP($I332,'Upper Cask Movement &amp; Logistics'!$H$4:$I$8,2,FALSE),"N/A")</f>
        <v>N/A</v>
      </c>
      <c r="P332" s="1244" t="str">
        <f t="shared" si="31"/>
        <v>N/A</v>
      </c>
      <c r="Q332" s="1246" t="s">
        <v>1228</v>
      </c>
      <c r="R332" s="1244">
        <f>IF($F332="Logistics",VLOOKUP($Q332,'Upper Cask Movement &amp; Logistics'!$C$4:$D$209,2,FALSE),"N/A")</f>
        <v>0.63000000000000012</v>
      </c>
      <c r="S332" s="1247" t="s">
        <v>1374</v>
      </c>
      <c r="T332" s="1244">
        <f>IFERROR(VLOOKUP($S332,'Upper Cask Recovery Logistics'!$C$369:$F$518,4,FALSE),"N/A")</f>
        <v>7.4608414576426965</v>
      </c>
      <c r="U332" s="1248">
        <f t="shared" si="34"/>
        <v>6.2089896057908449</v>
      </c>
      <c r="V332" s="1510"/>
      <c r="X332" s="273"/>
      <c r="Y332" s="273"/>
      <c r="Z332" s="273"/>
      <c r="AA332" s="752"/>
      <c r="AB332" s="5"/>
      <c r="AC332" s="7"/>
      <c r="AD332" s="7"/>
      <c r="AE332" s="7"/>
      <c r="AF332" s="7"/>
      <c r="AG332" s="7"/>
      <c r="AH332" s="7"/>
    </row>
    <row r="333" spans="2:34" ht="15" hidden="1" customHeight="1" outlineLevel="3" thickBot="1" x14ac:dyDescent="0.45">
      <c r="B333" s="1030"/>
      <c r="C333" s="5"/>
      <c r="D333" s="3986"/>
      <c r="E333" s="1314" t="s">
        <v>1251</v>
      </c>
      <c r="F333" s="1314" t="s">
        <v>3</v>
      </c>
      <c r="G333" s="1316">
        <f t="shared" si="32"/>
        <v>0.38</v>
      </c>
      <c r="H333" s="1316">
        <f t="shared" si="33"/>
        <v>14.679831063433543</v>
      </c>
      <c r="I333" s="1314"/>
      <c r="J333" s="1316" t="str">
        <f>IF(F333="operation",VLOOKUP(I333,'Generic Vertical Port Tasks'!$C$4:$D$197,2,FALSE),"N/A")</f>
        <v>N/A</v>
      </c>
      <c r="K333" s="1314"/>
      <c r="L333" s="1314"/>
      <c r="M333" s="1314"/>
      <c r="N333" s="1319" t="str">
        <f>IFERROR(INDEX('Upper Cask Movement &amp; Logistics'!$I$24:$O$30,MATCH($J333,'Upper Cask Movement &amp; Logistics'!$H$24:$H$30,0),MATCH($K333,'Upper Cask Movement &amp; Logistics'!$H$24:$H$30,0)),"N/A")</f>
        <v>N/A</v>
      </c>
      <c r="O333" s="1319" t="str">
        <f>IFERROR(VLOOKUP($I333,'Upper Cask Movement &amp; Logistics'!$H$4:$I$8,2,FALSE),"N/A")</f>
        <v>N/A</v>
      </c>
      <c r="P333" s="1316" t="str">
        <f t="shared" si="31"/>
        <v>N/A</v>
      </c>
      <c r="Q333" s="1507" t="s">
        <v>1230</v>
      </c>
      <c r="R333" s="1316">
        <f>IF($F333="Logistics",VLOOKUP($Q333,'Upper Cask Movement &amp; Logistics'!$C$4:$D$209,2,FALSE),"N/A")</f>
        <v>0.38</v>
      </c>
      <c r="S333" s="1508"/>
      <c r="T333" s="1316" t="str">
        <f>IFERROR(VLOOKUP($S333,'Upper Cask Recovery Logistics'!$C$369:$F$518,4,FALSE),"N/A")</f>
        <v>N/A</v>
      </c>
      <c r="U333" s="1509" t="str">
        <f t="shared" si="34"/>
        <v>N/A</v>
      </c>
      <c r="V333" s="1510"/>
      <c r="X333" s="273"/>
      <c r="Y333" s="273"/>
      <c r="Z333" s="273"/>
      <c r="AA333" s="752"/>
      <c r="AB333" s="5"/>
      <c r="AC333" s="7"/>
      <c r="AD333" s="7"/>
      <c r="AE333" s="7"/>
      <c r="AF333" s="7"/>
      <c r="AG333" s="7"/>
      <c r="AH333" s="7"/>
    </row>
    <row r="334" spans="2:34" ht="15" hidden="1" customHeight="1" outlineLevel="3" x14ac:dyDescent="0.4">
      <c r="B334" s="1030"/>
      <c r="C334" s="5"/>
      <c r="D334" s="3992" t="s">
        <v>840</v>
      </c>
      <c r="E334" s="596" t="s">
        <v>1252</v>
      </c>
      <c r="F334" s="596" t="s">
        <v>3</v>
      </c>
      <c r="G334" s="593">
        <f t="shared" si="32"/>
        <v>0.38</v>
      </c>
      <c r="H334" s="593">
        <f t="shared" si="33"/>
        <v>15.059831063433544</v>
      </c>
      <c r="I334" s="596"/>
      <c r="J334" s="593" t="str">
        <f>IF(F334="operation",VLOOKUP(I334,'Generic Vertical Port Tasks'!$C$4:$D$197,2,FALSE),"N/A")</f>
        <v>N/A</v>
      </c>
      <c r="K334" s="596"/>
      <c r="L334" s="596"/>
      <c r="M334" s="596"/>
      <c r="N334" s="597" t="str">
        <f>IFERROR(INDEX('Upper Cask Movement &amp; Logistics'!$I$24:$O$30,MATCH($J334,'Upper Cask Movement &amp; Logistics'!$H$24:$H$30,0),MATCH($K334,'Upper Cask Movement &amp; Logistics'!$H$24:$H$30,0)),"N/A")</f>
        <v>N/A</v>
      </c>
      <c r="O334" s="597" t="str">
        <f>IFERROR(VLOOKUP($I334,'Upper Cask Movement &amp; Logistics'!$H$4:$I$8,2,FALSE),"N/A")</f>
        <v>N/A</v>
      </c>
      <c r="P334" s="593" t="str">
        <f t="shared" si="31"/>
        <v>N/A</v>
      </c>
      <c r="Q334" s="1253" t="s">
        <v>1226</v>
      </c>
      <c r="R334" s="593">
        <f>IF($F334="Logistics",VLOOKUP($Q334,'Upper Cask Movement &amp; Logistics'!$C$4:$D$209,2,FALSE),"N/A")</f>
        <v>0.38</v>
      </c>
      <c r="S334" s="1254"/>
      <c r="T334" s="593" t="str">
        <f>IFERROR(VLOOKUP($S334,'Upper Cask Recovery Logistics'!$C$369:$F$518,4,FALSE),"N/A")</f>
        <v>N/A</v>
      </c>
      <c r="U334" s="1255" t="str">
        <f t="shared" si="34"/>
        <v>N/A</v>
      </c>
      <c r="V334" s="1510"/>
      <c r="X334" s="273"/>
      <c r="Y334" s="273"/>
      <c r="Z334" s="273"/>
      <c r="AA334" s="752"/>
      <c r="AB334" s="5"/>
      <c r="AC334" s="7"/>
      <c r="AD334" s="7"/>
      <c r="AE334" s="7"/>
      <c r="AF334" s="7"/>
      <c r="AG334" s="7"/>
      <c r="AH334" s="7"/>
    </row>
    <row r="335" spans="2:34" ht="15.75" hidden="1" customHeight="1" outlineLevel="3" x14ac:dyDescent="0.4">
      <c r="B335" s="1030"/>
      <c r="C335" s="5"/>
      <c r="D335" s="3993"/>
      <c r="E335" s="601" t="s">
        <v>22</v>
      </c>
      <c r="F335" s="601" t="s">
        <v>251</v>
      </c>
      <c r="G335" s="602">
        <f t="shared" si="32"/>
        <v>6.83</v>
      </c>
      <c r="H335" s="602">
        <f t="shared" si="33"/>
        <v>21.889831063433544</v>
      </c>
      <c r="I335" s="601" t="s">
        <v>252</v>
      </c>
      <c r="J335" s="602">
        <f>IF(F335="operation",VLOOKUP(I335,'Generic Vertical Port Tasks'!$C$4:$D$197,2,FALSE),"N/A")</f>
        <v>6.83</v>
      </c>
      <c r="K335" s="601"/>
      <c r="L335" s="601"/>
      <c r="M335" s="601"/>
      <c r="N335" s="605" t="str">
        <f>IFERROR(INDEX('Upper Cask Movement &amp; Logistics'!$I$24:$O$30,MATCH($J335,'Upper Cask Movement &amp; Logistics'!$H$24:$H$30,0),MATCH($K335,'Upper Cask Movement &amp; Logistics'!$H$24:$H$30,0)),"N/A")</f>
        <v>N/A</v>
      </c>
      <c r="O335" s="605" t="str">
        <f>IFERROR(VLOOKUP($I335,'Upper Cask Movement &amp; Logistics'!$H$4:$I$8,2,FALSE),"N/A")</f>
        <v>N/A</v>
      </c>
      <c r="P335" s="602" t="str">
        <f t="shared" si="31"/>
        <v>N/A</v>
      </c>
      <c r="Q335" s="1234"/>
      <c r="R335" s="602" t="str">
        <f>IF($F335="Logistics",VLOOKUP($Q335,'Upper Cask Movement &amp; Logistics'!$C$4:$D$209,2,FALSE),"N/A")</f>
        <v>N/A</v>
      </c>
      <c r="S335" s="1235"/>
      <c r="T335" s="602" t="str">
        <f>IFERROR(VLOOKUP($S335,'Upper Cask Recovery Logistics'!$C$369:$F$518,4,FALSE),"N/A")</f>
        <v>N/A</v>
      </c>
      <c r="U335" s="1236" t="str">
        <f t="shared" si="34"/>
        <v>N/A</v>
      </c>
      <c r="V335" s="1510"/>
      <c r="X335" s="273"/>
      <c r="Y335" s="273"/>
      <c r="Z335" s="273"/>
      <c r="AA335" s="752"/>
      <c r="AB335" s="5"/>
      <c r="AC335" s="7"/>
      <c r="AD335" s="7"/>
      <c r="AE335" s="7"/>
      <c r="AF335" s="7"/>
      <c r="AG335" s="7"/>
      <c r="AH335" s="7"/>
    </row>
    <row r="336" spans="2:34" ht="15" hidden="1" customHeight="1" outlineLevel="3" x14ac:dyDescent="0.4">
      <c r="B336" s="1030"/>
      <c r="C336" s="5"/>
      <c r="D336" s="3993"/>
      <c r="E336" s="601" t="s">
        <v>1246</v>
      </c>
      <c r="F336" s="601" t="s">
        <v>3</v>
      </c>
      <c r="G336" s="602">
        <f t="shared" si="32"/>
        <v>0.38</v>
      </c>
      <c r="H336" s="602">
        <f t="shared" si="33"/>
        <v>22.269831063433543</v>
      </c>
      <c r="I336" s="601"/>
      <c r="J336" s="602" t="str">
        <f>IF(F336="operation",VLOOKUP(I336,'Generic Vertical Port Tasks'!$C$4:$D$197,2,FALSE),"N/A")</f>
        <v>N/A</v>
      </c>
      <c r="K336" s="601"/>
      <c r="L336" s="601"/>
      <c r="M336" s="601"/>
      <c r="N336" s="605" t="str">
        <f>IFERROR(INDEX('Upper Cask Movement &amp; Logistics'!$I$24:$O$30,MATCH($J336,'Upper Cask Movement &amp; Logistics'!$H$24:$H$30,0),MATCH($K336,'Upper Cask Movement &amp; Logistics'!$H$24:$H$30,0)),"N/A")</f>
        <v>N/A</v>
      </c>
      <c r="O336" s="605" t="str">
        <f>IFERROR(VLOOKUP($I336,'Upper Cask Movement &amp; Logistics'!$H$4:$I$8,2,FALSE),"N/A")</f>
        <v>N/A</v>
      </c>
      <c r="P336" s="602" t="str">
        <f t="shared" si="31"/>
        <v>N/A</v>
      </c>
      <c r="Q336" s="1234" t="s">
        <v>1230</v>
      </c>
      <c r="R336" s="602">
        <f>IF($F336="Logistics",VLOOKUP($Q336,'Upper Cask Movement &amp; Logistics'!$C$4:$D$209,2,FALSE),"N/A")</f>
        <v>0.38</v>
      </c>
      <c r="S336" s="1235"/>
      <c r="T336" s="602" t="str">
        <f>IFERROR(VLOOKUP($S336,'Upper Cask Recovery Logistics'!$C$369:$F$518,4,FALSE),"N/A")</f>
        <v>N/A</v>
      </c>
      <c r="U336" s="1236" t="str">
        <f t="shared" si="34"/>
        <v>N/A</v>
      </c>
      <c r="V336" s="1510"/>
      <c r="X336" s="273"/>
      <c r="Y336" s="273"/>
      <c r="Z336" s="273"/>
      <c r="AA336" s="752"/>
      <c r="AB336" s="5"/>
      <c r="AC336" s="7"/>
      <c r="AD336" s="7"/>
      <c r="AE336" s="7"/>
      <c r="AF336" s="7"/>
      <c r="AG336" s="7"/>
      <c r="AH336" s="7"/>
    </row>
    <row r="337" spans="2:34" ht="15" hidden="1" customHeight="1" outlineLevel="3" x14ac:dyDescent="0.4">
      <c r="B337" s="1030"/>
      <c r="C337" s="5"/>
      <c r="D337" s="3993"/>
      <c r="E337" s="601" t="s">
        <v>1247</v>
      </c>
      <c r="F337" s="601" t="s">
        <v>3</v>
      </c>
      <c r="G337" s="602">
        <f t="shared" si="32"/>
        <v>0.38</v>
      </c>
      <c r="H337" s="602">
        <f t="shared" si="33"/>
        <v>22.649831063433542</v>
      </c>
      <c r="I337" s="601"/>
      <c r="J337" s="602" t="str">
        <f>IF(F337="operation",VLOOKUP(I337,'Generic Vertical Port Tasks'!$C$4:$D$197,2,FALSE),"N/A")</f>
        <v>N/A</v>
      </c>
      <c r="K337" s="601"/>
      <c r="L337" s="601"/>
      <c r="M337" s="601"/>
      <c r="N337" s="605" t="str">
        <f>IFERROR(INDEX('Upper Cask Movement &amp; Logistics'!$I$24:$O$30,MATCH($J337,'Upper Cask Movement &amp; Logistics'!$H$24:$H$30,0),MATCH($K337,'Upper Cask Movement &amp; Logistics'!$H$24:$H$30,0)),"N/A")</f>
        <v>N/A</v>
      </c>
      <c r="O337" s="605" t="str">
        <f>IFERROR(VLOOKUP($I337,'Upper Cask Movement &amp; Logistics'!$H$4:$I$8,2,FALSE),"N/A")</f>
        <v>N/A</v>
      </c>
      <c r="P337" s="602" t="str">
        <f t="shared" si="31"/>
        <v>N/A</v>
      </c>
      <c r="Q337" s="1234" t="s">
        <v>1226</v>
      </c>
      <c r="R337" s="602">
        <f>IF($F337="Logistics",VLOOKUP($Q337,'Upper Cask Movement &amp; Logistics'!$C$4:$D$209,2,FALSE),"N/A")</f>
        <v>0.38</v>
      </c>
      <c r="S337" s="1235"/>
      <c r="T337" s="602" t="str">
        <f>IFERROR(VLOOKUP($S337,'Upper Cask Recovery Logistics'!$C$369:$F$518,4,FALSE),"N/A")</f>
        <v>N/A</v>
      </c>
      <c r="U337" s="1236" t="str">
        <f t="shared" si="34"/>
        <v>N/A</v>
      </c>
      <c r="V337" s="1510"/>
      <c r="X337" s="273"/>
      <c r="Y337" s="273"/>
      <c r="Z337" s="273"/>
      <c r="AA337" s="752"/>
      <c r="AB337" s="5"/>
      <c r="AC337" s="7"/>
      <c r="AD337" s="7"/>
      <c r="AE337" s="7"/>
      <c r="AF337" s="7"/>
      <c r="AG337" s="7"/>
      <c r="AH337" s="7"/>
    </row>
    <row r="338" spans="2:34" ht="15" hidden="1" customHeight="1" outlineLevel="3" x14ac:dyDescent="0.4">
      <c r="B338" s="1030"/>
      <c r="C338" s="5"/>
      <c r="D338" s="3993"/>
      <c r="E338" s="601" t="s">
        <v>153</v>
      </c>
      <c r="F338" s="601" t="s">
        <v>251</v>
      </c>
      <c r="G338" s="602">
        <f t="shared" si="32"/>
        <v>1.0499155317167692</v>
      </c>
      <c r="H338" s="602">
        <f t="shared" si="33"/>
        <v>23.699746595150312</v>
      </c>
      <c r="I338" s="601" t="s">
        <v>2491</v>
      </c>
      <c r="J338" s="602">
        <f>IF(F338="operation",VLOOKUP(I338,'Generic Vertical Port Tasks'!$C$4:$D$197,2,FALSE),"N/A")</f>
        <v>1.0499155317167692</v>
      </c>
      <c r="K338" s="601"/>
      <c r="L338" s="601"/>
      <c r="M338" s="601"/>
      <c r="N338" s="605" t="str">
        <f>IFERROR(INDEX('Upper Cask Movement &amp; Logistics'!$I$24:$O$30,MATCH($J338,'Upper Cask Movement &amp; Logistics'!$H$24:$H$30,0),MATCH($K338,'Upper Cask Movement &amp; Logistics'!$H$24:$H$30,0)),"N/A")</f>
        <v>N/A</v>
      </c>
      <c r="O338" s="605" t="str">
        <f>IFERROR(VLOOKUP($I338,'Upper Cask Movement &amp; Logistics'!$H$4:$I$8,2,FALSE),"N/A")</f>
        <v>N/A</v>
      </c>
      <c r="P338" s="602" t="str">
        <f t="shared" si="31"/>
        <v>N/A</v>
      </c>
      <c r="Q338" s="1234"/>
      <c r="R338" s="602" t="str">
        <f>IF($F338="Logistics",VLOOKUP($Q338,'Upper Cask Movement &amp; Logistics'!$C$4:$D$209,2,FALSE),"N/A")</f>
        <v>N/A</v>
      </c>
      <c r="S338" s="1235"/>
      <c r="T338" s="602" t="str">
        <f>IFERROR(VLOOKUP($S338,'Upper Cask Recovery Logistics'!$C$369:$F$518,4,FALSE),"N/A")</f>
        <v>N/A</v>
      </c>
      <c r="U338" s="1236" t="str">
        <f t="shared" si="34"/>
        <v>N/A</v>
      </c>
      <c r="V338" s="1510"/>
      <c r="X338" s="273"/>
      <c r="Y338" s="273"/>
      <c r="Z338" s="273"/>
      <c r="AA338" s="752"/>
      <c r="AB338" s="5"/>
      <c r="AC338" s="7"/>
      <c r="AD338" s="7"/>
      <c r="AE338" s="7"/>
      <c r="AF338" s="7"/>
      <c r="AG338" s="7"/>
      <c r="AH338" s="7"/>
    </row>
    <row r="339" spans="2:34" ht="15" hidden="1" customHeight="1" outlineLevel="3" thickBot="1" x14ac:dyDescent="0.45">
      <c r="B339" s="1030"/>
      <c r="C339" s="5"/>
      <c r="D339" s="3994"/>
      <c r="E339" s="609" t="s">
        <v>1248</v>
      </c>
      <c r="F339" s="609" t="s">
        <v>3</v>
      </c>
      <c r="G339" s="610">
        <f t="shared" si="32"/>
        <v>0.38</v>
      </c>
      <c r="H339" s="610">
        <f t="shared" si="33"/>
        <v>24.079746595150311</v>
      </c>
      <c r="I339" s="609"/>
      <c r="J339" s="610" t="str">
        <f>IF(F339="operation",VLOOKUP(I339,'Generic Vertical Port Tasks'!$C$4:$D$197,2,FALSE),"N/A")</f>
        <v>N/A</v>
      </c>
      <c r="K339" s="609"/>
      <c r="L339" s="609"/>
      <c r="M339" s="609"/>
      <c r="N339" s="613" t="str">
        <f>IFERROR(INDEX('Upper Cask Movement &amp; Logistics'!$I$24:$O$30,MATCH($J339,'Upper Cask Movement &amp; Logistics'!$H$24:$H$30,0),MATCH($K339,'Upper Cask Movement &amp; Logistics'!$H$24:$H$30,0)),"N/A")</f>
        <v>N/A</v>
      </c>
      <c r="O339" s="613" t="str">
        <f>IFERROR(VLOOKUP($I339,'Upper Cask Movement &amp; Logistics'!$H$4:$I$8,2,FALSE),"N/A")</f>
        <v>N/A</v>
      </c>
      <c r="P339" s="610" t="str">
        <f t="shared" si="31"/>
        <v>N/A</v>
      </c>
      <c r="Q339" s="1237" t="s">
        <v>1230</v>
      </c>
      <c r="R339" s="610">
        <f>IF($F339="Logistics",VLOOKUP($Q339,'Upper Cask Movement &amp; Logistics'!$C$4:$D$209,2,FALSE),"N/A")</f>
        <v>0.38</v>
      </c>
      <c r="S339" s="1238"/>
      <c r="T339" s="610" t="str">
        <f>IFERROR(VLOOKUP($S339,'Upper Cask Recovery Logistics'!$C$369:$F$518,4,FALSE),"N/A")</f>
        <v>N/A</v>
      </c>
      <c r="U339" s="1239" t="str">
        <f t="shared" si="34"/>
        <v>N/A</v>
      </c>
      <c r="V339" s="1510"/>
      <c r="X339" s="273"/>
      <c r="Y339" s="273"/>
      <c r="Z339" s="273"/>
      <c r="AA339" s="752"/>
      <c r="AB339" s="5"/>
      <c r="AC339" s="7"/>
      <c r="AD339" s="7"/>
      <c r="AE339" s="7"/>
      <c r="AF339" s="7"/>
      <c r="AG339" s="7"/>
      <c r="AH339" s="7"/>
    </row>
    <row r="340" spans="2:34" ht="15" hidden="1" customHeight="1" outlineLevel="3" x14ac:dyDescent="0.4">
      <c r="B340" s="1030"/>
      <c r="C340" s="5"/>
      <c r="D340" s="3984" t="s">
        <v>843</v>
      </c>
      <c r="E340" s="1333" t="s">
        <v>1517</v>
      </c>
      <c r="F340" s="1333" t="s">
        <v>3</v>
      </c>
      <c r="G340" s="1303">
        <f t="shared" si="32"/>
        <v>0.38</v>
      </c>
      <c r="H340" s="1303">
        <f t="shared" si="33"/>
        <v>24.45974659515031</v>
      </c>
      <c r="I340" s="1333"/>
      <c r="J340" s="1303" t="str">
        <f>IF(F340="operation",VLOOKUP(I340,'Generic Vertical Port Tasks'!$C$4:$D$197,2,FALSE),"N/A")</f>
        <v>N/A</v>
      </c>
      <c r="K340" s="1333"/>
      <c r="L340" s="1333"/>
      <c r="M340" s="1333"/>
      <c r="N340" s="1334" t="str">
        <f>IFERROR(INDEX('Upper Cask Movement &amp; Logistics'!$I$24:$O$30,MATCH($J340,'Upper Cask Movement &amp; Logistics'!$H$24:$H$30,0),MATCH($K340,'Upper Cask Movement &amp; Logistics'!$H$24:$H$30,0)),"N/A")</f>
        <v>N/A</v>
      </c>
      <c r="O340" s="1334" t="str">
        <f>IFERROR(VLOOKUP($I340,'Upper Cask Movement &amp; Logistics'!$H$4:$I$8,2,FALSE),"N/A")</f>
        <v>N/A</v>
      </c>
      <c r="P340" s="1303" t="str">
        <f t="shared" si="31"/>
        <v>N/A</v>
      </c>
      <c r="Q340" s="1504" t="s">
        <v>1226</v>
      </c>
      <c r="R340" s="1303">
        <f>IF($F340="Logistics",VLOOKUP($Q340,'Upper Cask Movement &amp; Logistics'!$C$4:$D$209,2,FALSE),"N/A")</f>
        <v>0.38</v>
      </c>
      <c r="S340" s="1505"/>
      <c r="T340" s="1303" t="str">
        <f>IFERROR(VLOOKUP($S340,'Upper Cask Recovery Logistics'!$C$369:$F$518,4,FALSE),"N/A")</f>
        <v>N/A</v>
      </c>
      <c r="U340" s="1506" t="str">
        <f t="shared" si="34"/>
        <v>N/A</v>
      </c>
      <c r="V340" s="1510"/>
      <c r="X340" s="273"/>
      <c r="Y340" s="273"/>
      <c r="Z340" s="273"/>
      <c r="AA340" s="752"/>
      <c r="AB340" s="5"/>
      <c r="AC340" s="7"/>
      <c r="AD340" s="7"/>
      <c r="AE340" s="7"/>
      <c r="AF340" s="7"/>
      <c r="AG340" s="7"/>
      <c r="AH340" s="7"/>
    </row>
    <row r="341" spans="2:34" ht="15" hidden="1" customHeight="1" outlineLevel="3" x14ac:dyDescent="0.4">
      <c r="B341" s="1030"/>
      <c r="C341" s="5"/>
      <c r="D341" s="3985"/>
      <c r="E341" s="1243" t="s">
        <v>131</v>
      </c>
      <c r="F341" s="1243" t="s">
        <v>251</v>
      </c>
      <c r="G341" s="1244">
        <f t="shared" si="32"/>
        <v>0.72499999999999998</v>
      </c>
      <c r="H341" s="1244">
        <f t="shared" si="33"/>
        <v>25.184746595150312</v>
      </c>
      <c r="I341" s="1243" t="s">
        <v>253</v>
      </c>
      <c r="J341" s="1244">
        <f>IF(F341="operation",VLOOKUP(I341,'Generic Vertical Port Tasks'!$C$4:$D$197,2,FALSE),"N/A")</f>
        <v>0.72499999999999998</v>
      </c>
      <c r="K341" s="1243"/>
      <c r="L341" s="1243"/>
      <c r="M341" s="1243"/>
      <c r="N341" s="1245" t="str">
        <f>IFERROR(INDEX('Upper Cask Movement &amp; Logistics'!$I$24:$O$30,MATCH($J341,'Upper Cask Movement &amp; Logistics'!$H$24:$H$30,0),MATCH($K341,'Upper Cask Movement &amp; Logistics'!$H$24:$H$30,0)),"N/A")</f>
        <v>N/A</v>
      </c>
      <c r="O341" s="1245" t="str">
        <f>IFERROR(VLOOKUP($I341,'Upper Cask Movement &amp; Logistics'!$H$4:$I$8,2,FALSE),"N/A")</f>
        <v>N/A</v>
      </c>
      <c r="P341" s="1244" t="str">
        <f t="shared" si="31"/>
        <v>N/A</v>
      </c>
      <c r="Q341" s="1246"/>
      <c r="R341" s="1244" t="str">
        <f>IF($F341="Logistics",VLOOKUP($Q341,'Upper Cask Movement &amp; Logistics'!$C$4:$D$209,2,FALSE),"N/A")</f>
        <v>N/A</v>
      </c>
      <c r="S341" s="1247"/>
      <c r="T341" s="1244" t="str">
        <f>IFERROR(VLOOKUP($S341,'Upper Cask Recovery Logistics'!$C$369:$F$518,4,FALSE),"N/A")</f>
        <v>N/A</v>
      </c>
      <c r="U341" s="1248" t="str">
        <f t="shared" si="34"/>
        <v>N/A</v>
      </c>
      <c r="V341" s="1510"/>
      <c r="X341" s="273"/>
      <c r="Y341" s="273"/>
      <c r="Z341" s="273"/>
      <c r="AA341" s="752"/>
      <c r="AB341" s="5"/>
      <c r="AC341" s="7"/>
      <c r="AD341" s="7"/>
      <c r="AE341" s="7"/>
      <c r="AF341" s="7"/>
      <c r="AG341" s="7"/>
      <c r="AH341" s="7"/>
    </row>
    <row r="342" spans="2:34" ht="15" hidden="1" customHeight="1" outlineLevel="3" x14ac:dyDescent="0.4">
      <c r="B342" s="1030"/>
      <c r="C342" s="5"/>
      <c r="D342" s="3985"/>
      <c r="E342" s="1243" t="s">
        <v>1258</v>
      </c>
      <c r="F342" s="1243" t="s">
        <v>3</v>
      </c>
      <c r="G342" s="1244">
        <f t="shared" si="32"/>
        <v>0.63000000000000012</v>
      </c>
      <c r="H342" s="1244">
        <f t="shared" si="33"/>
        <v>25.814746595150311</v>
      </c>
      <c r="I342" s="1243"/>
      <c r="J342" s="1244" t="str">
        <f>IF(F342="operation",VLOOKUP(I342,'Generic Vertical Port Tasks'!$C$4:$D$197,2,FALSE),"N/A")</f>
        <v>N/A</v>
      </c>
      <c r="K342" s="1243"/>
      <c r="L342" s="1243"/>
      <c r="M342" s="1243"/>
      <c r="N342" s="1245" t="str">
        <f>IFERROR(INDEX('Upper Cask Movement &amp; Logistics'!$I$24:$O$30,MATCH($J342,'Upper Cask Movement &amp; Logistics'!$H$24:$H$30,0),MATCH($K342,'Upper Cask Movement &amp; Logistics'!$H$24:$H$30,0)),"N/A")</f>
        <v>N/A</v>
      </c>
      <c r="O342" s="1245" t="str">
        <f>IFERROR(VLOOKUP($I342,'Upper Cask Movement &amp; Logistics'!$H$4:$I$8,2,FALSE),"N/A")</f>
        <v>N/A</v>
      </c>
      <c r="P342" s="1244" t="str">
        <f t="shared" si="31"/>
        <v>N/A</v>
      </c>
      <c r="Q342" s="1246" t="s">
        <v>1228</v>
      </c>
      <c r="R342" s="1244">
        <f>IF($F342="Logistics",VLOOKUP($Q342,'Upper Cask Movement &amp; Logistics'!$C$4:$D$209,2,FALSE),"N/A")</f>
        <v>0.63000000000000012</v>
      </c>
      <c r="S342" s="1247" t="s">
        <v>1376</v>
      </c>
      <c r="T342" s="1244">
        <f>IFERROR(VLOOKUP($S342,'Upper Cask Recovery Logistics'!$C$369:$F$518,4,FALSE),"N/A")</f>
        <v>18.975756989359464</v>
      </c>
      <c r="U342" s="1248">
        <f t="shared" si="34"/>
        <v>6.2089896057908476</v>
      </c>
      <c r="V342" s="1510"/>
      <c r="X342" s="273"/>
      <c r="Y342" s="273"/>
      <c r="Z342" s="273"/>
      <c r="AA342" s="752"/>
      <c r="AB342" s="5"/>
      <c r="AC342" s="7"/>
      <c r="AD342" s="7"/>
      <c r="AE342" s="7"/>
      <c r="AF342" s="7"/>
      <c r="AG342" s="7"/>
      <c r="AH342" s="7"/>
    </row>
    <row r="343" spans="2:34" ht="15" hidden="1" customHeight="1" outlineLevel="3" x14ac:dyDescent="0.4">
      <c r="B343" s="1030"/>
      <c r="C343" s="5"/>
      <c r="D343" s="3985"/>
      <c r="E343" s="1243" t="s">
        <v>1251</v>
      </c>
      <c r="F343" s="1243" t="s">
        <v>3</v>
      </c>
      <c r="G343" s="1244">
        <f t="shared" si="32"/>
        <v>0.38</v>
      </c>
      <c r="H343" s="1244">
        <f t="shared" si="33"/>
        <v>26.19474659515031</v>
      </c>
      <c r="I343" s="1243"/>
      <c r="J343" s="1244" t="str">
        <f>IF(F343="operation",VLOOKUP(I343,'Generic Vertical Port Tasks'!$C$4:$D$197,2,FALSE),"N/A")</f>
        <v>N/A</v>
      </c>
      <c r="K343" s="1243"/>
      <c r="L343" s="1243"/>
      <c r="M343" s="1243"/>
      <c r="N343" s="1245" t="str">
        <f>IFERROR(INDEX('Upper Cask Movement &amp; Logistics'!$I$24:$O$30,MATCH($J343,'Upper Cask Movement &amp; Logistics'!$H$24:$H$30,0),MATCH($K343,'Upper Cask Movement &amp; Logistics'!$H$24:$H$30,0)),"N/A")</f>
        <v>N/A</v>
      </c>
      <c r="O343" s="1245" t="str">
        <f>IFERROR(VLOOKUP($I343,'Upper Cask Movement &amp; Logistics'!$H$4:$I$8,2,FALSE),"N/A")</f>
        <v>N/A</v>
      </c>
      <c r="P343" s="1244" t="str">
        <f t="shared" si="31"/>
        <v>N/A</v>
      </c>
      <c r="Q343" s="1246" t="s">
        <v>1230</v>
      </c>
      <c r="R343" s="1244">
        <f>IF($F343="Logistics",VLOOKUP($Q343,'Upper Cask Movement &amp; Logistics'!$C$4:$D$209,2,FALSE),"N/A")</f>
        <v>0.38</v>
      </c>
      <c r="S343" s="1247"/>
      <c r="T343" s="1244" t="str">
        <f>IFERROR(VLOOKUP($S343,'Upper Cask Recovery Logistics'!$C$369:$F$518,4,FALSE),"N/A")</f>
        <v>N/A</v>
      </c>
      <c r="U343" s="1248" t="str">
        <f t="shared" si="34"/>
        <v>N/A</v>
      </c>
      <c r="V343" s="1510"/>
      <c r="X343" s="273"/>
      <c r="Y343" s="273"/>
      <c r="Z343" s="273"/>
      <c r="AA343" s="752"/>
      <c r="AB343" s="5"/>
      <c r="AC343" s="7"/>
      <c r="AD343" s="7"/>
      <c r="AE343" s="7"/>
      <c r="AF343" s="7"/>
      <c r="AG343" s="7"/>
      <c r="AH343" s="7"/>
    </row>
    <row r="344" spans="2:34" ht="15" hidden="1" customHeight="1" outlineLevel="3" thickBot="1" x14ac:dyDescent="0.45">
      <c r="B344" s="1030"/>
      <c r="C344" s="5"/>
      <c r="D344" s="3986"/>
      <c r="E344" s="1314" t="s">
        <v>1259</v>
      </c>
      <c r="F344" s="1314" t="s">
        <v>3</v>
      </c>
      <c r="G344" s="1316">
        <f t="shared" si="32"/>
        <v>2.5400000000000005</v>
      </c>
      <c r="H344" s="1316">
        <f t="shared" si="33"/>
        <v>28.734746595150309</v>
      </c>
      <c r="I344" s="1314"/>
      <c r="J344" s="1316" t="str">
        <f>IF(F344="operation",VLOOKUP(I344,'Generic Vertical Port Tasks'!$C$4:$D$197,2,FALSE),"N/A")</f>
        <v>N/A</v>
      </c>
      <c r="K344" s="1314"/>
      <c r="L344" s="1314"/>
      <c r="M344" s="1314"/>
      <c r="N344" s="1319" t="str">
        <f>IFERROR(INDEX('Upper Cask Movement &amp; Logistics'!$I$24:$O$30,MATCH($J344,'Upper Cask Movement &amp; Logistics'!$H$24:$H$30,0),MATCH($K344,'Upper Cask Movement &amp; Logistics'!$H$24:$H$30,0)),"N/A")</f>
        <v>N/A</v>
      </c>
      <c r="O344" s="1319" t="str">
        <f>IFERROR(VLOOKUP($I344,'Upper Cask Movement &amp; Logistics'!$H$4:$I$8,2,FALSE),"N/A")</f>
        <v>N/A</v>
      </c>
      <c r="P344" s="1316" t="str">
        <f t="shared" si="31"/>
        <v>N/A</v>
      </c>
      <c r="Q344" s="1507" t="s">
        <v>1260</v>
      </c>
      <c r="R344" s="1316">
        <f>IF($F344="Logistics",VLOOKUP($Q344,'Upper Cask Movement &amp; Logistics'!$C$4:$D$209,2,FALSE),"N/A")</f>
        <v>2.5400000000000005</v>
      </c>
      <c r="S344" s="1508"/>
      <c r="T344" s="1316" t="str">
        <f>IFERROR(VLOOKUP($S344,'Upper Cask Recovery Logistics'!$C$369:$F$518,4,FALSE),"N/A")</f>
        <v>N/A</v>
      </c>
      <c r="U344" s="1509" t="str">
        <f t="shared" si="34"/>
        <v>N/A</v>
      </c>
      <c r="V344" s="1510"/>
      <c r="X344" s="273"/>
      <c r="Y344" s="273"/>
      <c r="Z344" s="273"/>
      <c r="AA344" s="752"/>
      <c r="AB344" s="5"/>
      <c r="AC344" s="7"/>
      <c r="AD344" s="7"/>
      <c r="AE344" s="7"/>
      <c r="AF344" s="7"/>
      <c r="AG344" s="7"/>
      <c r="AH344" s="7"/>
    </row>
    <row r="345" spans="2:34" ht="15.75" hidden="1" customHeight="1" outlineLevel="3" x14ac:dyDescent="0.4">
      <c r="B345" s="1030"/>
      <c r="C345" s="5"/>
      <c r="D345" s="3820" t="s">
        <v>13</v>
      </c>
      <c r="E345" s="1256" t="s">
        <v>1261</v>
      </c>
      <c r="F345" s="596" t="s">
        <v>3</v>
      </c>
      <c r="G345" s="593">
        <f t="shared" si="32"/>
        <v>1.6400000000000001</v>
      </c>
      <c r="H345" s="593">
        <f t="shared" si="33"/>
        <v>32.049191039594753</v>
      </c>
      <c r="I345" s="596"/>
      <c r="J345" s="593" t="str">
        <f>IF(F345="operation",VLOOKUP(I345,'Generic Vertical Port Tasks'!$C$4:$D$197,2,FALSE),"N/A")</f>
        <v>N/A</v>
      </c>
      <c r="K345" s="596"/>
      <c r="L345" s="596"/>
      <c r="M345" s="596"/>
      <c r="N345" s="597" t="str">
        <f>IFERROR(INDEX('Upper Cask Movement &amp; Logistics'!$I$24:$O$30,MATCH($J345,'Upper Cask Movement &amp; Logistics'!$H$24:$H$30,0),MATCH($K345,'Upper Cask Movement &amp; Logistics'!$H$24:$H$30,0)),"N/A")</f>
        <v>N/A</v>
      </c>
      <c r="O345" s="597" t="str">
        <f>IFERROR(VLOOKUP($I345,'Upper Cask Movement &amp; Logistics'!$H$4:$I$8,2,FALSE),"N/A")</f>
        <v>N/A</v>
      </c>
      <c r="P345" s="593" t="str">
        <f t="shared" si="31"/>
        <v>N/A</v>
      </c>
      <c r="Q345" s="1253" t="s">
        <v>1224</v>
      </c>
      <c r="R345" s="593">
        <f>IF($F345="Logistics",VLOOKUP($Q345,'Upper Cask Movement &amp; Logistics'!$C$4:$D$209,2,FALSE),"N/A")</f>
        <v>1.6400000000000001</v>
      </c>
      <c r="S345" s="1254" t="s">
        <v>1384</v>
      </c>
      <c r="T345" s="593">
        <f>IFERROR(VLOOKUP($S345,'Upper Cask Recovery Logistics'!$C$369:$F$518,4,FALSE),"N/A")</f>
        <v>30.409191039594752</v>
      </c>
      <c r="U345" s="1255">
        <f t="shared" si="34"/>
        <v>-1.6744444444444433</v>
      </c>
      <c r="V345" s="1510"/>
      <c r="X345" s="273"/>
      <c r="Y345" s="273"/>
      <c r="Z345" s="273"/>
      <c r="AA345" s="752"/>
      <c r="AB345" s="5"/>
      <c r="AC345" s="7"/>
      <c r="AD345" s="7"/>
      <c r="AE345" s="7"/>
      <c r="AF345" s="7"/>
      <c r="AG345" s="7"/>
      <c r="AH345" s="7"/>
    </row>
    <row r="346" spans="2:34" ht="25.5" hidden="1" customHeight="1" outlineLevel="3" x14ac:dyDescent="0.4">
      <c r="B346" s="1030"/>
      <c r="C346" s="5"/>
      <c r="D346" s="3821"/>
      <c r="E346" s="1257" t="s">
        <v>1262</v>
      </c>
      <c r="F346" s="601" t="s">
        <v>3</v>
      </c>
      <c r="G346" s="602">
        <f t="shared" si="32"/>
        <v>0.38</v>
      </c>
      <c r="H346" s="602">
        <f t="shared" si="33"/>
        <v>32.429191039594755</v>
      </c>
      <c r="I346" s="601"/>
      <c r="J346" s="602" t="str">
        <f>IF(F346="operation",VLOOKUP(I346,'Generic Vertical Port Tasks'!$C$4:$D$197,2,FALSE),"N/A")</f>
        <v>N/A</v>
      </c>
      <c r="K346" s="601"/>
      <c r="L346" s="601"/>
      <c r="M346" s="601"/>
      <c r="N346" s="605" t="str">
        <f>IFERROR(INDEX('Upper Cask Movement &amp; Logistics'!$I$24:$O$30,MATCH($J346,'Upper Cask Movement &amp; Logistics'!$H$24:$H$30,0),MATCH($K346,'Upper Cask Movement &amp; Logistics'!$H$24:$H$30,0)),"N/A")</f>
        <v>N/A</v>
      </c>
      <c r="O346" s="605" t="str">
        <f>IFERROR(VLOOKUP($I346,'Upper Cask Movement &amp; Logistics'!$H$4:$I$8,2,FALSE),"N/A")</f>
        <v>N/A</v>
      </c>
      <c r="P346" s="602" t="str">
        <f t="shared" si="31"/>
        <v>N/A</v>
      </c>
      <c r="Q346" s="1234" t="s">
        <v>1226</v>
      </c>
      <c r="R346" s="602">
        <f>IF($F346="Logistics",VLOOKUP($Q346,'Upper Cask Movement &amp; Logistics'!$C$4:$D$209,2,FALSE),"N/A")</f>
        <v>0.38</v>
      </c>
      <c r="S346" s="1235"/>
      <c r="T346" s="602" t="str">
        <f>IFERROR(VLOOKUP($S346,'Upper Cask Recovery Logistics'!$C$369:$F$518,4,FALSE),"N/A")</f>
        <v>N/A</v>
      </c>
      <c r="U346" s="1236" t="str">
        <f t="shared" si="34"/>
        <v>N/A</v>
      </c>
      <c r="V346" s="1510"/>
      <c r="X346" s="273"/>
      <c r="Y346" s="273"/>
      <c r="Z346" s="273"/>
      <c r="AA346" s="752"/>
    </row>
    <row r="347" spans="2:34" s="82" customFormat="1" ht="15.75" hidden="1" customHeight="1" outlineLevel="3" x14ac:dyDescent="0.4">
      <c r="B347" s="1030"/>
      <c r="C347" s="5"/>
      <c r="D347" s="3821"/>
      <c r="E347" s="1257" t="s">
        <v>122</v>
      </c>
      <c r="F347" s="601" t="s">
        <v>251</v>
      </c>
      <c r="G347" s="602">
        <f t="shared" si="32"/>
        <v>5.74</v>
      </c>
      <c r="H347" s="602">
        <f t="shared" si="33"/>
        <v>38.169191039594757</v>
      </c>
      <c r="I347" s="601" t="s">
        <v>254</v>
      </c>
      <c r="J347" s="602">
        <f>IF(F347="operation",VLOOKUP(I347,'Generic Vertical Port Tasks'!$C$4:$D$197,2,FALSE),"N/A")</f>
        <v>5.74</v>
      </c>
      <c r="K347" s="601"/>
      <c r="L347" s="601"/>
      <c r="M347" s="601"/>
      <c r="N347" s="605" t="str">
        <f>IFERROR(INDEX('Upper Cask Movement &amp; Logistics'!$I$24:$O$30,MATCH($J347,'Upper Cask Movement &amp; Logistics'!$H$24:$H$30,0),MATCH($K347,'Upper Cask Movement &amp; Logistics'!$H$24:$H$30,0)),"N/A")</f>
        <v>N/A</v>
      </c>
      <c r="O347" s="605" t="str">
        <f>IFERROR(VLOOKUP($I347,'Upper Cask Movement &amp; Logistics'!$H$4:$I$8,2,FALSE),"N/A")</f>
        <v>N/A</v>
      </c>
      <c r="P347" s="602" t="str">
        <f t="shared" si="31"/>
        <v>N/A</v>
      </c>
      <c r="Q347" s="1234"/>
      <c r="R347" s="602" t="str">
        <f>IF($F347="Logistics",VLOOKUP($Q347,'Upper Cask Movement &amp; Logistics'!$C$4:$D$209,2,FALSE),"N/A")</f>
        <v>N/A</v>
      </c>
      <c r="S347" s="1235"/>
      <c r="T347" s="602" t="str">
        <f>IFERROR(VLOOKUP($S347,'Upper Cask Recovery Logistics'!$C$369:$F$518,4,FALSE),"N/A")</f>
        <v>N/A</v>
      </c>
      <c r="U347" s="1236" t="str">
        <f t="shared" si="34"/>
        <v>N/A</v>
      </c>
      <c r="V347" s="1510"/>
      <c r="X347" s="5"/>
      <c r="Y347" s="5"/>
      <c r="Z347" s="5"/>
      <c r="AA347" s="889"/>
      <c r="AB347" s="890"/>
    </row>
    <row r="348" spans="2:34" s="82" customFormat="1" ht="15" hidden="1" customHeight="1" outlineLevel="3" x14ac:dyDescent="0.4">
      <c r="B348" s="1030"/>
      <c r="C348" s="5"/>
      <c r="D348" s="3821"/>
      <c r="E348" s="1257" t="s">
        <v>1263</v>
      </c>
      <c r="F348" s="601" t="s">
        <v>3</v>
      </c>
      <c r="G348" s="602">
        <f t="shared" si="32"/>
        <v>0.63000000000000012</v>
      </c>
      <c r="H348" s="602">
        <f t="shared" si="33"/>
        <v>38.79919103959476</v>
      </c>
      <c r="I348" s="601"/>
      <c r="J348" s="602" t="str">
        <f>IF(F348="operation",VLOOKUP(I348,'Generic Vertical Port Tasks'!$C$4:$D$197,2,FALSE),"N/A")</f>
        <v>N/A</v>
      </c>
      <c r="K348" s="601"/>
      <c r="L348" s="601"/>
      <c r="M348" s="601"/>
      <c r="N348" s="605" t="str">
        <f>IFERROR(INDEX('Upper Cask Movement &amp; Logistics'!$I$24:$O$30,MATCH($J348,'Upper Cask Movement &amp; Logistics'!$H$24:$H$30,0),MATCH($K348,'Upper Cask Movement &amp; Logistics'!$H$24:$H$30,0)),"N/A")</f>
        <v>N/A</v>
      </c>
      <c r="O348" s="605" t="str">
        <f>IFERROR(VLOOKUP($I348,'Upper Cask Movement &amp; Logistics'!$H$4:$I$8,2,FALSE),"N/A")</f>
        <v>N/A</v>
      </c>
      <c r="P348" s="602" t="str">
        <f t="shared" si="31"/>
        <v>N/A</v>
      </c>
      <c r="Q348" s="1234" t="s">
        <v>1228</v>
      </c>
      <c r="R348" s="602">
        <f>IF($F348="Logistics",VLOOKUP($Q348,'Upper Cask Movement &amp; Logistics'!$C$4:$D$209,2,FALSE),"N/A")</f>
        <v>0.63000000000000012</v>
      </c>
      <c r="S348" s="1235" t="s">
        <v>1379</v>
      </c>
      <c r="T348" s="602">
        <f>IFERROR(VLOOKUP($S348,'Upper Cask Recovery Logistics'!$C$369:$F$518,4,FALSE),"N/A")</f>
        <v>32.034005854409571</v>
      </c>
      <c r="U348" s="1236">
        <f t="shared" si="34"/>
        <v>6.1351851851851862</v>
      </c>
      <c r="V348" s="1510"/>
      <c r="X348" s="5"/>
      <c r="Y348" s="5"/>
      <c r="Z348" s="5"/>
      <c r="AA348" s="889"/>
      <c r="AB348" s="890"/>
    </row>
    <row r="349" spans="2:34" s="82" customFormat="1" ht="15" hidden="1" customHeight="1" outlineLevel="3" x14ac:dyDescent="0.4">
      <c r="B349" s="1030"/>
      <c r="C349" s="5"/>
      <c r="D349" s="3821"/>
      <c r="E349" s="1257" t="s">
        <v>1262</v>
      </c>
      <c r="F349" s="601" t="s">
        <v>3</v>
      </c>
      <c r="G349" s="602">
        <f t="shared" si="32"/>
        <v>0.5</v>
      </c>
      <c r="H349" s="602">
        <f t="shared" si="33"/>
        <v>39.29919103959476</v>
      </c>
      <c r="I349" s="601"/>
      <c r="J349" s="602" t="str">
        <f>IF(F349="operation",VLOOKUP(I349,'Generic Vertical Port Tasks'!$C$4:$D$197,2,FALSE),"N/A")</f>
        <v>N/A</v>
      </c>
      <c r="K349" s="601"/>
      <c r="L349" s="601"/>
      <c r="M349" s="601"/>
      <c r="N349" s="605" t="str">
        <f>IFERROR(INDEX('Upper Cask Movement &amp; Logistics'!$I$24:$O$30,MATCH($J349,'Upper Cask Movement &amp; Logistics'!$H$24:$H$30,0),MATCH($K349,'Upper Cask Movement &amp; Logistics'!$H$24:$H$30,0)),"N/A")</f>
        <v>N/A</v>
      </c>
      <c r="O349" s="605" t="str">
        <f>IFERROR(VLOOKUP($I349,'Upper Cask Movement &amp; Logistics'!$H$4:$I$8,2,FALSE),"N/A")</f>
        <v>N/A</v>
      </c>
      <c r="P349" s="602" t="str">
        <f t="shared" si="31"/>
        <v>N/A</v>
      </c>
      <c r="Q349" s="1234" t="s">
        <v>1208</v>
      </c>
      <c r="R349" s="602">
        <f>IF($F349="Logistics",VLOOKUP($Q349,'Upper Cask Movement &amp; Logistics'!$C$4:$D$209,2,FALSE),"N/A")</f>
        <v>0.5</v>
      </c>
      <c r="S349" s="1235"/>
      <c r="T349" s="602" t="str">
        <f>IFERROR(VLOOKUP($S349,'Upper Cask Recovery Logistics'!$C$369:$F$518,4,FALSE),"N/A")</f>
        <v>N/A</v>
      </c>
      <c r="U349" s="1236" t="str">
        <f t="shared" si="34"/>
        <v>N/A</v>
      </c>
      <c r="V349" s="1510"/>
      <c r="X349" s="5"/>
      <c r="Y349" s="5"/>
      <c r="Z349" s="5"/>
      <c r="AA349" s="889"/>
      <c r="AB349" s="890"/>
    </row>
    <row r="350" spans="2:34" s="82" customFormat="1" ht="15" hidden="1" customHeight="1" outlineLevel="3" x14ac:dyDescent="0.4">
      <c r="B350" s="1030"/>
      <c r="C350" s="5"/>
      <c r="D350" s="3821"/>
      <c r="E350" s="1257" t="s">
        <v>135</v>
      </c>
      <c r="F350" s="601" t="s">
        <v>251</v>
      </c>
      <c r="G350" s="602">
        <f t="shared" si="32"/>
        <v>5.74</v>
      </c>
      <c r="H350" s="602">
        <f t="shared" si="33"/>
        <v>45.039191039594762</v>
      </c>
      <c r="I350" s="601" t="s">
        <v>254</v>
      </c>
      <c r="J350" s="602">
        <f>IF(F350="operation",VLOOKUP(I350,'Generic Vertical Port Tasks'!$C$4:$D$197,2,FALSE),"N/A")</f>
        <v>5.74</v>
      </c>
      <c r="K350" s="601"/>
      <c r="L350" s="601"/>
      <c r="M350" s="601"/>
      <c r="N350" s="605" t="str">
        <f>IFERROR(INDEX('Upper Cask Movement &amp; Logistics'!$I$24:$O$30,MATCH($J350,'Upper Cask Movement &amp; Logistics'!$H$24:$H$30,0),MATCH($K350,'Upper Cask Movement &amp; Logistics'!$H$24:$H$30,0)),"N/A")</f>
        <v>N/A</v>
      </c>
      <c r="O350" s="605" t="str">
        <f>IFERROR(VLOOKUP($I350,'Upper Cask Movement &amp; Logistics'!$H$4:$I$8,2,FALSE),"N/A")</f>
        <v>N/A</v>
      </c>
      <c r="P350" s="602" t="str">
        <f t="shared" si="31"/>
        <v>N/A</v>
      </c>
      <c r="Q350" s="1234"/>
      <c r="R350" s="602" t="str">
        <f>IF($F350="Logistics",VLOOKUP($Q350,'Upper Cask Movement &amp; Logistics'!$C$4:$D$209,2,FALSE),"N/A")</f>
        <v>N/A</v>
      </c>
      <c r="S350" s="1235"/>
      <c r="T350" s="602" t="str">
        <f>IFERROR(VLOOKUP($S350,'Upper Cask Recovery Logistics'!$C$369:$F$518,4,FALSE),"N/A")</f>
        <v>N/A</v>
      </c>
      <c r="U350" s="1236" t="str">
        <f t="shared" si="34"/>
        <v>N/A</v>
      </c>
      <c r="V350" s="1510"/>
      <c r="X350" s="5"/>
      <c r="Y350" s="5"/>
      <c r="Z350" s="5"/>
      <c r="AA350" s="889"/>
      <c r="AB350" s="890"/>
    </row>
    <row r="351" spans="2:34" s="82" customFormat="1" ht="15.75" hidden="1" customHeight="1" outlineLevel="3" x14ac:dyDescent="0.4">
      <c r="B351" s="1030"/>
      <c r="C351" s="5"/>
      <c r="D351" s="3821"/>
      <c r="E351" s="1257" t="s">
        <v>1264</v>
      </c>
      <c r="F351" s="601" t="s">
        <v>3</v>
      </c>
      <c r="G351" s="602">
        <f t="shared" si="32"/>
        <v>0.63000000000000012</v>
      </c>
      <c r="H351" s="602">
        <f t="shared" si="33"/>
        <v>45.669191039594764</v>
      </c>
      <c r="I351" s="601"/>
      <c r="J351" s="602" t="str">
        <f>IF(F351="operation",VLOOKUP(I351,'Generic Vertical Port Tasks'!$C$4:$D$197,2,FALSE),"N/A")</f>
        <v>N/A</v>
      </c>
      <c r="K351" s="601"/>
      <c r="L351" s="601"/>
      <c r="M351" s="601"/>
      <c r="N351" s="605" t="str">
        <f>IFERROR(INDEX('Upper Cask Movement &amp; Logistics'!$I$24:$O$30,MATCH($J351,'Upper Cask Movement &amp; Logistics'!$H$24:$H$30,0),MATCH($K351,'Upper Cask Movement &amp; Logistics'!$H$24:$H$30,0)),"N/A")</f>
        <v>N/A</v>
      </c>
      <c r="O351" s="605" t="str">
        <f>IFERROR(VLOOKUP($I351,'Upper Cask Movement &amp; Logistics'!$H$4:$I$8,2,FALSE),"N/A")</f>
        <v>N/A</v>
      </c>
      <c r="P351" s="602" t="str">
        <f t="shared" si="31"/>
        <v>N/A</v>
      </c>
      <c r="Q351" s="1234" t="s">
        <v>1228</v>
      </c>
      <c r="R351" s="602">
        <f>IF($F351="Logistics",VLOOKUP($Q351,'Upper Cask Movement &amp; Logistics'!$C$4:$D$209,2,FALSE),"N/A")</f>
        <v>0.63000000000000012</v>
      </c>
      <c r="S351" s="1235" t="s">
        <v>1388</v>
      </c>
      <c r="T351" s="602">
        <f>IFERROR(VLOOKUP($S351,'Upper Cask Recovery Logistics'!$C$369:$F$518,4,FALSE),"N/A")</f>
        <v>6.9415821983834372</v>
      </c>
      <c r="U351" s="1236">
        <f t="shared" si="34"/>
        <v>38.097608841211326</v>
      </c>
      <c r="V351" s="1510"/>
      <c r="X351" s="5"/>
      <c r="Y351" s="5"/>
      <c r="Z351" s="5"/>
      <c r="AA351" s="889"/>
      <c r="AB351" s="890"/>
    </row>
    <row r="352" spans="2:34" s="82" customFormat="1" ht="15" hidden="1" customHeight="1" outlineLevel="3" x14ac:dyDescent="0.4">
      <c r="B352" s="1030"/>
      <c r="C352" s="5"/>
      <c r="D352" s="3821"/>
      <c r="E352" s="1257" t="s">
        <v>1262</v>
      </c>
      <c r="F352" s="601" t="s">
        <v>3</v>
      </c>
      <c r="G352" s="602">
        <f t="shared" si="32"/>
        <v>0.5</v>
      </c>
      <c r="H352" s="602">
        <f t="shared" si="33"/>
        <v>46.169191039594764</v>
      </c>
      <c r="I352" s="601"/>
      <c r="J352" s="602" t="str">
        <f>IF(F352="operation",VLOOKUP(I352,'Generic Vertical Port Tasks'!$C$4:$D$197,2,FALSE),"N/A")</f>
        <v>N/A</v>
      </c>
      <c r="K352" s="601"/>
      <c r="L352" s="601"/>
      <c r="M352" s="601"/>
      <c r="N352" s="605" t="str">
        <f>IFERROR(INDEX('Upper Cask Movement &amp; Logistics'!$I$24:$O$30,MATCH($J352,'Upper Cask Movement &amp; Logistics'!$H$24:$H$30,0),MATCH($K352,'Upper Cask Movement &amp; Logistics'!$H$24:$H$30,0)),"N/A")</f>
        <v>N/A</v>
      </c>
      <c r="O352" s="605" t="str">
        <f>IFERROR(VLOOKUP($I352,'Upper Cask Movement &amp; Logistics'!$H$4:$I$8,2,FALSE),"N/A")</f>
        <v>N/A</v>
      </c>
      <c r="P352" s="602" t="str">
        <f t="shared" si="31"/>
        <v>N/A</v>
      </c>
      <c r="Q352" s="1234" t="s">
        <v>1208</v>
      </c>
      <c r="R352" s="602">
        <f>IF($F352="Logistics",VLOOKUP($Q352,'Upper Cask Movement &amp; Logistics'!$C$4:$D$209,2,FALSE),"N/A")</f>
        <v>0.5</v>
      </c>
      <c r="S352" s="1235"/>
      <c r="T352" s="602" t="str">
        <f>IFERROR(VLOOKUP($S352,'Upper Cask Recovery Logistics'!$C$369:$F$518,4,FALSE),"N/A")</f>
        <v>N/A</v>
      </c>
      <c r="U352" s="1236" t="str">
        <f t="shared" si="34"/>
        <v>N/A</v>
      </c>
      <c r="V352" s="1510"/>
      <c r="X352" s="5"/>
      <c r="Y352" s="5"/>
      <c r="Z352" s="5"/>
      <c r="AA352" s="889"/>
      <c r="AB352" s="890"/>
    </row>
    <row r="353" spans="2:28" s="82" customFormat="1" ht="15.75" hidden="1" customHeight="1" outlineLevel="3" x14ac:dyDescent="0.4">
      <c r="B353" s="1030"/>
      <c r="C353" s="5"/>
      <c r="D353" s="3821"/>
      <c r="E353" s="1257" t="s">
        <v>136</v>
      </c>
      <c r="F353" s="601" t="s">
        <v>251</v>
      </c>
      <c r="G353" s="602">
        <f t="shared" si="32"/>
        <v>5.74</v>
      </c>
      <c r="H353" s="602">
        <f t="shared" si="33"/>
        <v>51.909191039594766</v>
      </c>
      <c r="I353" s="601" t="s">
        <v>254</v>
      </c>
      <c r="J353" s="602">
        <f>IF(F353="operation",VLOOKUP(I353,'Generic Vertical Port Tasks'!$C$4:$D$197,2,FALSE),"N/A")</f>
        <v>5.74</v>
      </c>
      <c r="K353" s="601"/>
      <c r="L353" s="601"/>
      <c r="M353" s="601"/>
      <c r="N353" s="605" t="str">
        <f>IFERROR(INDEX('Upper Cask Movement &amp; Logistics'!$I$24:$O$30,MATCH($J353,'Upper Cask Movement &amp; Logistics'!$H$24:$H$30,0),MATCH($K353,'Upper Cask Movement &amp; Logistics'!$H$24:$H$30,0)),"N/A")</f>
        <v>N/A</v>
      </c>
      <c r="O353" s="605" t="str">
        <f>IFERROR(VLOOKUP($I353,'Upper Cask Movement &amp; Logistics'!$H$4:$I$8,2,FALSE),"N/A")</f>
        <v>N/A</v>
      </c>
      <c r="P353" s="602" t="str">
        <f t="shared" si="31"/>
        <v>N/A</v>
      </c>
      <c r="Q353" s="1234"/>
      <c r="R353" s="602" t="str">
        <f>IF($F353="Logistics",VLOOKUP($Q353,'Upper Cask Movement &amp; Logistics'!$C$4:$D$209,2,FALSE),"N/A")</f>
        <v>N/A</v>
      </c>
      <c r="S353" s="1235"/>
      <c r="T353" s="602" t="str">
        <f>IFERROR(VLOOKUP($S353,'Upper Cask Recovery Logistics'!$C$369:$F$518,4,FALSE),"N/A")</f>
        <v>N/A</v>
      </c>
      <c r="U353" s="1236" t="str">
        <f t="shared" si="34"/>
        <v>N/A</v>
      </c>
      <c r="V353" s="1510"/>
      <c r="X353" s="5"/>
      <c r="Y353" s="5"/>
      <c r="Z353" s="5"/>
      <c r="AA353" s="889"/>
      <c r="AB353" s="890"/>
    </row>
    <row r="354" spans="2:28" s="82" customFormat="1" ht="15" hidden="1" customHeight="1" outlineLevel="3" x14ac:dyDescent="0.4">
      <c r="B354" s="1030"/>
      <c r="C354" s="5"/>
      <c r="D354" s="3821"/>
      <c r="E354" s="1257" t="s">
        <v>1265</v>
      </c>
      <c r="F354" s="601" t="s">
        <v>3</v>
      </c>
      <c r="G354" s="602">
        <f t="shared" si="32"/>
        <v>0.63000000000000012</v>
      </c>
      <c r="H354" s="602">
        <f t="shared" si="33"/>
        <v>52.539191039594769</v>
      </c>
      <c r="I354" s="601"/>
      <c r="J354" s="602" t="str">
        <f>IF(F354="operation",VLOOKUP(I354,'Generic Vertical Port Tasks'!$C$4:$D$197,2,FALSE),"N/A")</f>
        <v>N/A</v>
      </c>
      <c r="K354" s="601"/>
      <c r="L354" s="601"/>
      <c r="M354" s="601"/>
      <c r="N354" s="605" t="str">
        <f>IFERROR(INDEX('Upper Cask Movement &amp; Logistics'!$I$24:$O$30,MATCH($J354,'Upper Cask Movement &amp; Logistics'!$H$24:$H$30,0),MATCH($K354,'Upper Cask Movement &amp; Logistics'!$H$24:$H$30,0)),"N/A")</f>
        <v>N/A</v>
      </c>
      <c r="O354" s="605" t="str">
        <f>IFERROR(VLOOKUP($I354,'Upper Cask Movement &amp; Logistics'!$H$4:$I$8,2,FALSE),"N/A")</f>
        <v>N/A</v>
      </c>
      <c r="P354" s="602" t="str">
        <f t="shared" si="31"/>
        <v>N/A</v>
      </c>
      <c r="Q354" s="1234" t="s">
        <v>1228</v>
      </c>
      <c r="R354" s="602">
        <f>IF($F354="Logistics",VLOOKUP($Q354,'Upper Cask Movement &amp; Logistics'!$C$4:$D$209,2,FALSE),"N/A")</f>
        <v>0.63000000000000012</v>
      </c>
      <c r="S354" s="1235" t="s">
        <v>1392</v>
      </c>
      <c r="T354" s="602">
        <f>IFERROR(VLOOKUP($S354,'Upper Cask Recovery Logistics'!$C$369:$F$518,4,FALSE),"N/A")</f>
        <v>44.105116965520679</v>
      </c>
      <c r="U354" s="1236">
        <f t="shared" si="34"/>
        <v>7.8040740740740873</v>
      </c>
      <c r="V354" s="1510"/>
      <c r="X354" s="5"/>
      <c r="Y354" s="5"/>
      <c r="Z354" s="5"/>
      <c r="AA354" s="889"/>
      <c r="AB354" s="890"/>
    </row>
    <row r="355" spans="2:28" s="82" customFormat="1" ht="15" hidden="1" customHeight="1" outlineLevel="3" x14ac:dyDescent="0.4">
      <c r="B355" s="1030"/>
      <c r="C355" s="5"/>
      <c r="D355" s="3821"/>
      <c r="E355" s="1257" t="s">
        <v>1262</v>
      </c>
      <c r="F355" s="601" t="s">
        <v>3</v>
      </c>
      <c r="G355" s="602">
        <f t="shared" si="32"/>
        <v>0.5</v>
      </c>
      <c r="H355" s="602">
        <f t="shared" si="33"/>
        <v>53.039191039594769</v>
      </c>
      <c r="I355" s="601"/>
      <c r="J355" s="602" t="str">
        <f>IF(F355="operation",VLOOKUP(I355,'Generic Vertical Port Tasks'!$C$4:$D$197,2,FALSE),"N/A")</f>
        <v>N/A</v>
      </c>
      <c r="K355" s="601"/>
      <c r="L355" s="601"/>
      <c r="M355" s="601"/>
      <c r="N355" s="605" t="str">
        <f>IFERROR(INDEX('Upper Cask Movement &amp; Logistics'!$I$24:$O$30,MATCH($J355,'Upper Cask Movement &amp; Logistics'!$H$24:$H$30,0),MATCH($K355,'Upper Cask Movement &amp; Logistics'!$H$24:$H$30,0)),"N/A")</f>
        <v>N/A</v>
      </c>
      <c r="O355" s="605" t="str">
        <f>IFERROR(VLOOKUP($I355,'Upper Cask Movement &amp; Logistics'!$H$4:$I$8,2,FALSE),"N/A")</f>
        <v>N/A</v>
      </c>
      <c r="P355" s="602" t="str">
        <f t="shared" si="31"/>
        <v>N/A</v>
      </c>
      <c r="Q355" s="1234" t="s">
        <v>1208</v>
      </c>
      <c r="R355" s="602">
        <f>IF($F355="Logistics",VLOOKUP($Q355,'Upper Cask Movement &amp; Logistics'!$C$4:$D$209,2,FALSE),"N/A")</f>
        <v>0.5</v>
      </c>
      <c r="S355" s="1235"/>
      <c r="T355" s="602" t="str">
        <f>IFERROR(VLOOKUP($S355,'Upper Cask Recovery Logistics'!$C$369:$F$518,4,FALSE),"N/A")</f>
        <v>N/A</v>
      </c>
      <c r="U355" s="1236" t="str">
        <f t="shared" si="34"/>
        <v>N/A</v>
      </c>
      <c r="V355" s="1510"/>
      <c r="X355" s="5"/>
      <c r="Y355" s="5"/>
      <c r="Z355" s="5"/>
      <c r="AA355" s="889"/>
      <c r="AB355" s="890"/>
    </row>
    <row r="356" spans="2:28" s="82" customFormat="1" ht="15" hidden="1" customHeight="1" outlineLevel="3" x14ac:dyDescent="0.4">
      <c r="B356" s="1030"/>
      <c r="C356" s="5"/>
      <c r="D356" s="3821"/>
      <c r="E356" s="1257" t="s">
        <v>138</v>
      </c>
      <c r="F356" s="601" t="s">
        <v>251</v>
      </c>
      <c r="G356" s="602">
        <f t="shared" si="32"/>
        <v>5.74</v>
      </c>
      <c r="H356" s="602">
        <f t="shared" si="33"/>
        <v>58.779191039594771</v>
      </c>
      <c r="I356" s="601" t="s">
        <v>254</v>
      </c>
      <c r="J356" s="602">
        <f>IF(F356="operation",VLOOKUP(I356,'Generic Vertical Port Tasks'!$C$4:$D$197,2,FALSE),"N/A")</f>
        <v>5.74</v>
      </c>
      <c r="K356" s="601"/>
      <c r="L356" s="601"/>
      <c r="M356" s="601"/>
      <c r="N356" s="605" t="str">
        <f>IFERROR(INDEX('Upper Cask Movement &amp; Logistics'!$I$24:$O$30,MATCH($J356,'Upper Cask Movement &amp; Logistics'!$H$24:$H$30,0),MATCH($K356,'Upper Cask Movement &amp; Logistics'!$H$24:$H$30,0)),"N/A")</f>
        <v>N/A</v>
      </c>
      <c r="O356" s="605" t="str">
        <f>IFERROR(VLOOKUP($I356,'Upper Cask Movement &amp; Logistics'!$H$4:$I$8,2,FALSE),"N/A")</f>
        <v>N/A</v>
      </c>
      <c r="P356" s="602" t="str">
        <f t="shared" si="31"/>
        <v>N/A</v>
      </c>
      <c r="Q356" s="1234"/>
      <c r="R356" s="602" t="str">
        <f>IF($F356="Logistics",VLOOKUP($Q356,'Upper Cask Movement &amp; Logistics'!$C$4:$D$209,2,FALSE),"N/A")</f>
        <v>N/A</v>
      </c>
      <c r="S356" s="1235"/>
      <c r="T356" s="602" t="str">
        <f>IFERROR(VLOOKUP($S356,'Upper Cask Recovery Logistics'!$C$369:$F$518,4,FALSE),"N/A")</f>
        <v>N/A</v>
      </c>
      <c r="U356" s="1236" t="str">
        <f t="shared" si="34"/>
        <v>N/A</v>
      </c>
      <c r="V356" s="1510"/>
      <c r="X356" s="5"/>
      <c r="Y356" s="5"/>
      <c r="Z356" s="5"/>
      <c r="AA356" s="889"/>
      <c r="AB356" s="890"/>
    </row>
    <row r="357" spans="2:28" s="82" customFormat="1" ht="15.75" hidden="1" customHeight="1" outlineLevel="3" x14ac:dyDescent="0.4">
      <c r="B357" s="1030"/>
      <c r="C357" s="5"/>
      <c r="D357" s="3821"/>
      <c r="E357" s="1257" t="s">
        <v>1266</v>
      </c>
      <c r="F357" s="601" t="s">
        <v>3</v>
      </c>
      <c r="G357" s="602">
        <f t="shared" si="32"/>
        <v>0.63000000000000012</v>
      </c>
      <c r="H357" s="602">
        <f t="shared" si="33"/>
        <v>59.409191039594774</v>
      </c>
      <c r="I357" s="601"/>
      <c r="J357" s="602" t="str">
        <f>IF(F357="operation",VLOOKUP(I357,'Generic Vertical Port Tasks'!$C$4:$D$197,2,FALSE),"N/A")</f>
        <v>N/A</v>
      </c>
      <c r="K357" s="601"/>
      <c r="L357" s="601"/>
      <c r="M357" s="601"/>
      <c r="N357" s="605" t="str">
        <f>IFERROR(INDEX('Upper Cask Movement &amp; Logistics'!$I$24:$O$30,MATCH($J357,'Upper Cask Movement &amp; Logistics'!$H$24:$H$30,0),MATCH($K357,'Upper Cask Movement &amp; Logistics'!$H$24:$H$30,0)),"N/A")</f>
        <v>N/A</v>
      </c>
      <c r="O357" s="605" t="str">
        <f>IFERROR(VLOOKUP($I357,'Upper Cask Movement &amp; Logistics'!$H$4:$I$8,2,FALSE),"N/A")</f>
        <v>N/A</v>
      </c>
      <c r="P357" s="602" t="str">
        <f t="shared" si="31"/>
        <v>N/A</v>
      </c>
      <c r="Q357" s="1234" t="s">
        <v>1228</v>
      </c>
      <c r="R357" s="602">
        <f>IF($F357="Logistics",VLOOKUP($Q357,'Upper Cask Movement &amp; Logistics'!$C$4:$D$209,2,FALSE),"N/A")</f>
        <v>0.63000000000000012</v>
      </c>
      <c r="S357" s="1235" t="s">
        <v>1394</v>
      </c>
      <c r="T357" s="602">
        <f>IFERROR(VLOOKUP($S357,'Upper Cask Recovery Logistics'!$C$369:$F$518,4,FALSE),"N/A")</f>
        <v>50.975116965520684</v>
      </c>
      <c r="U357" s="1236">
        <f t="shared" si="34"/>
        <v>7.8040740740740873</v>
      </c>
      <c r="V357" s="1510"/>
      <c r="X357" s="5"/>
      <c r="Y357" s="5"/>
      <c r="Z357" s="5"/>
      <c r="AA357" s="889"/>
      <c r="AB357" s="890"/>
    </row>
    <row r="358" spans="2:28" ht="15" hidden="1" customHeight="1" outlineLevel="3" x14ac:dyDescent="0.4">
      <c r="B358" s="1030"/>
      <c r="C358" s="5"/>
      <c r="D358" s="3821"/>
      <c r="E358" s="1257" t="s">
        <v>1262</v>
      </c>
      <c r="F358" s="601" t="s">
        <v>3</v>
      </c>
      <c r="G358" s="602">
        <f t="shared" si="32"/>
        <v>0.5</v>
      </c>
      <c r="H358" s="602">
        <f t="shared" si="33"/>
        <v>59.909191039594774</v>
      </c>
      <c r="I358" s="601"/>
      <c r="J358" s="602" t="str">
        <f>IF(F358="operation",VLOOKUP(I358,'Generic Vertical Port Tasks'!$C$4:$D$197,2,FALSE),"N/A")</f>
        <v>N/A</v>
      </c>
      <c r="K358" s="601"/>
      <c r="L358" s="601"/>
      <c r="M358" s="601"/>
      <c r="N358" s="605" t="str">
        <f>IFERROR(INDEX('Upper Cask Movement &amp; Logistics'!$I$24:$O$30,MATCH($J358,'Upper Cask Movement &amp; Logistics'!$H$24:$H$30,0),MATCH($K358,'Upper Cask Movement &amp; Logistics'!$H$24:$H$30,0)),"N/A")</f>
        <v>N/A</v>
      </c>
      <c r="O358" s="605" t="str">
        <f>IFERROR(VLOOKUP($I358,'Upper Cask Movement &amp; Logistics'!$H$4:$I$8,2,FALSE),"N/A")</f>
        <v>N/A</v>
      </c>
      <c r="P358" s="602" t="str">
        <f t="shared" si="31"/>
        <v>N/A</v>
      </c>
      <c r="Q358" s="1234" t="s">
        <v>1208</v>
      </c>
      <c r="R358" s="602">
        <f>IF($F358="Logistics",VLOOKUP($Q358,'Upper Cask Movement &amp; Logistics'!$C$4:$D$209,2,FALSE),"N/A")</f>
        <v>0.5</v>
      </c>
      <c r="S358" s="1235"/>
      <c r="T358" s="602" t="str">
        <f>IFERROR(VLOOKUP($S358,'Upper Cask Recovery Logistics'!$C$369:$F$518,4,FALSE),"N/A")</f>
        <v>N/A</v>
      </c>
      <c r="U358" s="1236" t="str">
        <f t="shared" si="34"/>
        <v>N/A</v>
      </c>
      <c r="V358" s="1510"/>
      <c r="X358" s="273"/>
      <c r="Y358" s="273"/>
      <c r="Z358" s="273"/>
      <c r="AA358" s="752"/>
    </row>
    <row r="359" spans="2:28" ht="15.75" hidden="1" customHeight="1" outlineLevel="3" x14ac:dyDescent="0.4">
      <c r="B359" s="1030"/>
      <c r="C359" s="5"/>
      <c r="D359" s="3821"/>
      <c r="E359" s="1257" t="s">
        <v>140</v>
      </c>
      <c r="F359" s="601" t="s">
        <v>251</v>
      </c>
      <c r="G359" s="602">
        <f t="shared" si="32"/>
        <v>5.74</v>
      </c>
      <c r="H359" s="602">
        <f t="shared" si="33"/>
        <v>65.649191039594768</v>
      </c>
      <c r="I359" s="601" t="s">
        <v>254</v>
      </c>
      <c r="J359" s="602">
        <f>IF(F359="operation",VLOOKUP(I359,'Generic Vertical Port Tasks'!$C$4:$D$197,2,FALSE),"N/A")</f>
        <v>5.74</v>
      </c>
      <c r="K359" s="601"/>
      <c r="L359" s="601"/>
      <c r="M359" s="601"/>
      <c r="N359" s="605" t="str">
        <f>IFERROR(INDEX('Upper Cask Movement &amp; Logistics'!$I$24:$O$30,MATCH($J359,'Upper Cask Movement &amp; Logistics'!$H$24:$H$30,0),MATCH($K359,'Upper Cask Movement &amp; Logistics'!$H$24:$H$30,0)),"N/A")</f>
        <v>N/A</v>
      </c>
      <c r="O359" s="605" t="str">
        <f>IFERROR(VLOOKUP($I359,'Upper Cask Movement &amp; Logistics'!$H$4:$I$8,2,FALSE),"N/A")</f>
        <v>N/A</v>
      </c>
      <c r="P359" s="602" t="str">
        <f t="shared" si="31"/>
        <v>N/A</v>
      </c>
      <c r="Q359" s="1234"/>
      <c r="R359" s="602" t="str">
        <f>IF($F359="Logistics",VLOOKUP($Q359,'Upper Cask Movement &amp; Logistics'!$C$4:$D$209,2,FALSE),"N/A")</f>
        <v>N/A</v>
      </c>
      <c r="S359" s="1235"/>
      <c r="T359" s="602" t="str">
        <f>IFERROR(VLOOKUP($S359,'Upper Cask Recovery Logistics'!$C$369:$F$518,4,FALSE),"N/A")</f>
        <v>N/A</v>
      </c>
      <c r="U359" s="1236" t="str">
        <f t="shared" si="34"/>
        <v>N/A</v>
      </c>
      <c r="V359" s="1510"/>
      <c r="X359" s="273"/>
      <c r="Y359" s="273"/>
      <c r="Z359" s="273"/>
      <c r="AA359" s="752"/>
    </row>
    <row r="360" spans="2:28" ht="15" hidden="1" customHeight="1" outlineLevel="3" x14ac:dyDescent="0.4">
      <c r="B360" s="1030"/>
      <c r="C360" s="5"/>
      <c r="D360" s="3821"/>
      <c r="E360" s="1257" t="s">
        <v>1267</v>
      </c>
      <c r="F360" s="601" t="s">
        <v>3</v>
      </c>
      <c r="G360" s="602">
        <f t="shared" si="32"/>
        <v>0.63000000000000012</v>
      </c>
      <c r="H360" s="602">
        <f t="shared" si="33"/>
        <v>66.279191039594764</v>
      </c>
      <c r="I360" s="601"/>
      <c r="J360" s="602" t="str">
        <f>IF(F360="operation",VLOOKUP(I360,'Generic Vertical Port Tasks'!$C$4:$D$197,2,FALSE),"N/A")</f>
        <v>N/A</v>
      </c>
      <c r="K360" s="601"/>
      <c r="L360" s="601"/>
      <c r="M360" s="601"/>
      <c r="N360" s="605" t="str">
        <f>IFERROR(INDEX('Upper Cask Movement &amp; Logistics'!$I$24:$O$30,MATCH($J360,'Upper Cask Movement &amp; Logistics'!$H$24:$H$30,0),MATCH($K360,'Upper Cask Movement &amp; Logistics'!$H$24:$H$30,0)),"N/A")</f>
        <v>N/A</v>
      </c>
      <c r="O360" s="605" t="str">
        <f>IFERROR(VLOOKUP($I360,'Upper Cask Movement &amp; Logistics'!$H$4:$I$8,2,FALSE),"N/A")</f>
        <v>N/A</v>
      </c>
      <c r="P360" s="602" t="str">
        <f t="shared" si="31"/>
        <v>N/A</v>
      </c>
      <c r="Q360" s="1234" t="s">
        <v>1228</v>
      </c>
      <c r="R360" s="602">
        <f>IF($F360="Logistics",VLOOKUP($Q360,'Upper Cask Movement &amp; Logistics'!$C$4:$D$209,2,FALSE),"N/A")</f>
        <v>0.63000000000000012</v>
      </c>
      <c r="S360" s="1235" t="s">
        <v>1397</v>
      </c>
      <c r="T360" s="602">
        <f>IFERROR(VLOOKUP($S360,'Upper Cask Recovery Logistics'!$C$369:$F$518,4,FALSE),"N/A")</f>
        <v>57.845116965520688</v>
      </c>
      <c r="U360" s="1236">
        <f t="shared" si="34"/>
        <v>7.8040740740740802</v>
      </c>
      <c r="V360" s="1510"/>
      <c r="X360" s="273"/>
      <c r="Y360" s="273"/>
      <c r="Z360" s="273"/>
      <c r="AA360" s="752"/>
    </row>
    <row r="361" spans="2:28" ht="15" hidden="1" customHeight="1" outlineLevel="3" thickBot="1" x14ac:dyDescent="0.45">
      <c r="B361" s="1030"/>
      <c r="C361" s="5"/>
      <c r="D361" s="3822"/>
      <c r="E361" s="1258" t="s">
        <v>1268</v>
      </c>
      <c r="F361" s="609" t="s">
        <v>3</v>
      </c>
      <c r="G361" s="610">
        <f t="shared" si="32"/>
        <v>2.3000000000000003</v>
      </c>
      <c r="H361" s="610">
        <f t="shared" si="33"/>
        <v>68.579191039594761</v>
      </c>
      <c r="I361" s="609"/>
      <c r="J361" s="610" t="str">
        <f>IF(F361="operation",VLOOKUP(I361,'Generic Vertical Port Tasks'!$C$4:$D$197,2,FALSE),"N/A")</f>
        <v>N/A</v>
      </c>
      <c r="K361" s="609"/>
      <c r="L361" s="609"/>
      <c r="M361" s="609"/>
      <c r="N361" s="613" t="str">
        <f>IFERROR(INDEX('Upper Cask Movement &amp; Logistics'!$I$24:$O$30,MATCH($J361,'Upper Cask Movement &amp; Logistics'!$H$24:$H$30,0),MATCH($K361,'Upper Cask Movement &amp; Logistics'!$H$24:$H$30,0)),"N/A")</f>
        <v>N/A</v>
      </c>
      <c r="O361" s="613" t="str">
        <f>IFERROR(VLOOKUP($I361,'Upper Cask Movement &amp; Logistics'!$H$4:$I$8,2,FALSE),"N/A")</f>
        <v>N/A</v>
      </c>
      <c r="P361" s="610" t="str">
        <f t="shared" si="31"/>
        <v>N/A</v>
      </c>
      <c r="Q361" s="1237" t="s">
        <v>1269</v>
      </c>
      <c r="R361" s="610">
        <f>IF($F361="Logistics",VLOOKUP($Q361,'Upper Cask Movement &amp; Logistics'!$C$4:$D$209,2,FALSE),"N/A")</f>
        <v>2.3000000000000003</v>
      </c>
      <c r="S361" s="1238"/>
      <c r="T361" s="610" t="str">
        <f>IFERROR(VLOOKUP($S361,'Upper Cask Recovery Logistics'!$C$369:$F$518,4,FALSE),"N/A")</f>
        <v>N/A</v>
      </c>
      <c r="U361" s="1239" t="str">
        <f t="shared" si="34"/>
        <v>N/A</v>
      </c>
      <c r="V361" s="1510"/>
      <c r="X361" s="273"/>
      <c r="Y361" s="273"/>
      <c r="Z361" s="273"/>
      <c r="AA361" s="752"/>
    </row>
    <row r="362" spans="2:28" ht="15" hidden="1" customHeight="1" outlineLevel="3" x14ac:dyDescent="0.4">
      <c r="B362" s="1030"/>
      <c r="C362" s="5"/>
      <c r="D362" s="3787" t="s">
        <v>39</v>
      </c>
      <c r="E362" s="1270" t="s">
        <v>1278</v>
      </c>
      <c r="F362" s="617" t="s">
        <v>3</v>
      </c>
      <c r="G362" s="567">
        <f t="shared" si="32"/>
        <v>0.60000000000000009</v>
      </c>
      <c r="H362" s="567">
        <f t="shared" si="33"/>
        <v>69.179191039594755</v>
      </c>
      <c r="I362" s="617"/>
      <c r="J362" s="567" t="str">
        <f>IF(F362="operation",VLOOKUP(I362,'Generic Vertical Port Tasks'!$C$4:$D$197,2,FALSE),"N/A")</f>
        <v>N/A</v>
      </c>
      <c r="K362" s="617"/>
      <c r="L362" s="617"/>
      <c r="M362" s="617"/>
      <c r="N362" s="618" t="str">
        <f>IFERROR(INDEX('Upper Cask Movement &amp; Logistics'!$I$24:$O$30,MATCH($J362,'Upper Cask Movement &amp; Logistics'!$H$24:$H$30,0),MATCH($K362,'Upper Cask Movement &amp; Logistics'!$H$24:$H$30,0)),"N/A")</f>
        <v>N/A</v>
      </c>
      <c r="O362" s="618" t="str">
        <f>IFERROR(VLOOKUP($I362,'Upper Cask Movement &amp; Logistics'!$H$4:$I$8,2,FALSE),"N/A")</f>
        <v>N/A</v>
      </c>
      <c r="P362" s="567" t="str">
        <f t="shared" si="31"/>
        <v>N/A</v>
      </c>
      <c r="Q362" s="1271" t="s">
        <v>1279</v>
      </c>
      <c r="R362" s="567">
        <f>IF($F362="Logistics",VLOOKUP($Q362,'Upper Cask Movement &amp; Logistics'!$C$4:$D$209,2,FALSE),"N/A")</f>
        <v>0.60000000000000009</v>
      </c>
      <c r="S362" s="1272"/>
      <c r="T362" s="567" t="str">
        <f>IFERROR(VLOOKUP($S362,'Upper Cask Recovery Logistics'!$C$369:$F$518,4,FALSE),"N/A")</f>
        <v>N/A</v>
      </c>
      <c r="U362" s="1273" t="str">
        <f t="shared" si="34"/>
        <v>N/A</v>
      </c>
      <c r="V362" s="1510"/>
      <c r="X362" s="273"/>
      <c r="Y362" s="273"/>
      <c r="Z362" s="273"/>
      <c r="AA362" s="752"/>
    </row>
    <row r="363" spans="2:28" ht="15" hidden="1" customHeight="1" outlineLevel="3" x14ac:dyDescent="0.4">
      <c r="B363" s="1030"/>
      <c r="C363" s="5"/>
      <c r="D363" s="3786"/>
      <c r="E363" s="1281" t="s">
        <v>1262</v>
      </c>
      <c r="F363" s="572" t="s">
        <v>3</v>
      </c>
      <c r="G363" s="574">
        <f t="shared" si="32"/>
        <v>0.38</v>
      </c>
      <c r="H363" s="574">
        <f t="shared" si="33"/>
        <v>69.559191039594751</v>
      </c>
      <c r="I363" s="572"/>
      <c r="J363" s="574" t="str">
        <f>IF(F363="operation",VLOOKUP(I363,'Generic Vertical Port Tasks'!$C$4:$D$197,2,FALSE),"N/A")</f>
        <v>N/A</v>
      </c>
      <c r="K363" s="572"/>
      <c r="L363" s="572"/>
      <c r="M363" s="572"/>
      <c r="N363" s="577" t="str">
        <f>IFERROR(INDEX('Upper Cask Movement &amp; Logistics'!$I$24:$O$30,MATCH($J363,'Upper Cask Movement &amp; Logistics'!$H$24:$H$30,0),MATCH($K363,'Upper Cask Movement &amp; Logistics'!$H$24:$H$30,0)),"N/A")</f>
        <v>N/A</v>
      </c>
      <c r="O363" s="577" t="str">
        <f>IFERROR(VLOOKUP($I363,'Upper Cask Movement &amp; Logistics'!$H$4:$I$8,2,FALSE),"N/A")</f>
        <v>N/A</v>
      </c>
      <c r="P363" s="574" t="str">
        <f t="shared" si="31"/>
        <v>N/A</v>
      </c>
      <c r="Q363" s="1282" t="s">
        <v>1226</v>
      </c>
      <c r="R363" s="574">
        <f>IF($F363="Logistics",VLOOKUP($Q363,'Upper Cask Movement &amp; Logistics'!$C$4:$D$209,2,FALSE),"N/A")</f>
        <v>0.38</v>
      </c>
      <c r="S363" s="1283"/>
      <c r="T363" s="574" t="str">
        <f>IFERROR(VLOOKUP($S363,'Upper Cask Recovery Logistics'!$C$369:$F$518,4,FALSE),"N/A")</f>
        <v>N/A</v>
      </c>
      <c r="U363" s="1284" t="str">
        <f t="shared" si="34"/>
        <v>N/A</v>
      </c>
      <c r="V363" s="1510"/>
      <c r="X363" s="273"/>
      <c r="Y363" s="273"/>
      <c r="Z363" s="273"/>
      <c r="AA363" s="752"/>
    </row>
    <row r="364" spans="2:28" ht="15" hidden="1" customHeight="1" outlineLevel="3" x14ac:dyDescent="0.4">
      <c r="B364" s="1030"/>
      <c r="C364" s="5"/>
      <c r="D364" s="3786"/>
      <c r="E364" s="1281" t="s">
        <v>141</v>
      </c>
      <c r="F364" s="572" t="s">
        <v>251</v>
      </c>
      <c r="G364" s="574">
        <f t="shared" si="32"/>
        <v>4.33</v>
      </c>
      <c r="H364" s="574">
        <f t="shared" si="33"/>
        <v>78.649376224779942</v>
      </c>
      <c r="I364" s="572" t="s">
        <v>256</v>
      </c>
      <c r="J364" s="574">
        <f>IF(F364="operation",VLOOKUP(I364,'Generic Vertical Port Tasks'!$C$4:$D$197,2,FALSE),"N/A")</f>
        <v>4.33</v>
      </c>
      <c r="K364" s="572"/>
      <c r="L364" s="572"/>
      <c r="M364" s="572"/>
      <c r="N364" s="577" t="str">
        <f>IFERROR(INDEX('Upper Cask Movement &amp; Logistics'!$I$24:$O$30,MATCH($J364,'Upper Cask Movement &amp; Logistics'!$H$24:$H$30,0),MATCH($K364,'Upper Cask Movement &amp; Logistics'!$H$24:$H$30,0)),"N/A")</f>
        <v>N/A</v>
      </c>
      <c r="O364" s="577" t="str">
        <f>IFERROR(VLOOKUP($I364,'Upper Cask Movement &amp; Logistics'!$H$4:$I$8,2,FALSE),"N/A")</f>
        <v>N/A</v>
      </c>
      <c r="P364" s="574" t="str">
        <f t="shared" si="31"/>
        <v>N/A</v>
      </c>
      <c r="Q364" s="1282"/>
      <c r="R364" s="574" t="str">
        <f>IF($F364="Logistics",VLOOKUP($Q364,'Upper Cask Movement &amp; Logistics'!$C$4:$D$209,2,FALSE),"N/A")</f>
        <v>N/A</v>
      </c>
      <c r="S364" s="1283" t="s">
        <v>1280</v>
      </c>
      <c r="T364" s="574">
        <f>IFERROR(VLOOKUP($S364,'Upper Cask Recovery Logistics'!$C$369:$F$518,4,FALSE),"N/A")</f>
        <v>74.319376224779944</v>
      </c>
      <c r="U364" s="1284">
        <f t="shared" si="34"/>
        <v>-4.7601851851851933</v>
      </c>
      <c r="V364" s="1510"/>
      <c r="X364" s="273"/>
      <c r="Y364" s="273"/>
      <c r="Z364" s="273"/>
      <c r="AA364" s="752"/>
    </row>
    <row r="365" spans="2:28" ht="15" hidden="1" customHeight="1" outlineLevel="3" x14ac:dyDescent="0.4">
      <c r="B365" s="1030"/>
      <c r="C365" s="5"/>
      <c r="D365" s="3786"/>
      <c r="E365" s="1274" t="s">
        <v>1281</v>
      </c>
      <c r="F365" s="1275" t="s">
        <v>3</v>
      </c>
      <c r="G365" s="1276">
        <f t="shared" si="32"/>
        <v>0.60000000000000009</v>
      </c>
      <c r="H365" s="574">
        <f t="shared" si="33"/>
        <v>79.249376224779937</v>
      </c>
      <c r="I365" s="1275"/>
      <c r="J365" s="574" t="str">
        <f>IF(F365="operation",VLOOKUP(I365,'Generic Vertical Port Tasks'!$C$4:$D$197,2,FALSE),"N/A")</f>
        <v>N/A</v>
      </c>
      <c r="K365" s="572"/>
      <c r="L365" s="572"/>
      <c r="M365" s="572"/>
      <c r="N365" s="577" t="str">
        <f>IFERROR(INDEX('Upper Cask Movement &amp; Logistics'!$I$24:$O$30,MATCH($J365,'Upper Cask Movement &amp; Logistics'!$H$24:$H$30,0),MATCH($K365,'Upper Cask Movement &amp; Logistics'!$H$24:$H$30,0)),"N/A")</f>
        <v>N/A</v>
      </c>
      <c r="O365" s="577" t="str">
        <f>IFERROR(VLOOKUP($I365,'Upper Cask Movement &amp; Logistics'!$H$4:$I$8,2,FALSE),"N/A")</f>
        <v>N/A</v>
      </c>
      <c r="P365" s="574" t="str">
        <f t="shared" si="31"/>
        <v>N/A</v>
      </c>
      <c r="Q365" s="1278" t="s">
        <v>1279</v>
      </c>
      <c r="R365" s="574">
        <f>IF($F365="Logistics",VLOOKUP($Q365,'Upper Cask Movement &amp; Logistics'!$C$4:$D$209,2,FALSE),"N/A")</f>
        <v>0.60000000000000009</v>
      </c>
      <c r="S365" s="1283"/>
      <c r="T365" s="574" t="str">
        <f>IFERROR(VLOOKUP($S365,'Upper Cask Recovery Logistics'!$C$369:$F$518,4,FALSE),"N/A")</f>
        <v>N/A</v>
      </c>
      <c r="U365" s="1284" t="str">
        <f t="shared" si="34"/>
        <v>N/A</v>
      </c>
      <c r="V365" s="1510"/>
      <c r="X365" s="273"/>
      <c r="Y365" s="273"/>
      <c r="Z365" s="273"/>
      <c r="AA365" s="752"/>
    </row>
    <row r="366" spans="2:28" ht="15" hidden="1" customHeight="1" outlineLevel="3" x14ac:dyDescent="0.4">
      <c r="B366" s="1030"/>
      <c r="C366" s="5"/>
      <c r="D366" s="3786"/>
      <c r="E366" s="1281" t="s">
        <v>1262</v>
      </c>
      <c r="F366" s="572" t="s">
        <v>3</v>
      </c>
      <c r="G366" s="574">
        <f t="shared" si="32"/>
        <v>0.38</v>
      </c>
      <c r="H366" s="574">
        <f t="shared" si="33"/>
        <v>79.629376224779932</v>
      </c>
      <c r="I366" s="572"/>
      <c r="J366" s="574" t="str">
        <f>IF(F366="operation",VLOOKUP(I366,'Generic Vertical Port Tasks'!$C$4:$D$197,2,FALSE),"N/A")</f>
        <v>N/A</v>
      </c>
      <c r="K366" s="572"/>
      <c r="L366" s="572"/>
      <c r="M366" s="572"/>
      <c r="N366" s="577" t="str">
        <f>IFERROR(INDEX('Upper Cask Movement &amp; Logistics'!$I$24:$O$30,MATCH($J366,'Upper Cask Movement &amp; Logistics'!$H$24:$H$30,0),MATCH($K366,'Upper Cask Movement &amp; Logistics'!$H$24:$H$30,0)),"N/A")</f>
        <v>N/A</v>
      </c>
      <c r="O366" s="577" t="str">
        <f>IFERROR(VLOOKUP($I366,'Upper Cask Movement &amp; Logistics'!$H$4:$I$8,2,FALSE),"N/A")</f>
        <v>N/A</v>
      </c>
      <c r="P366" s="574" t="str">
        <f t="shared" si="31"/>
        <v>N/A</v>
      </c>
      <c r="Q366" s="1282" t="s">
        <v>1226</v>
      </c>
      <c r="R366" s="574">
        <f>IF($F366="Logistics",VLOOKUP($Q366,'Upper Cask Movement &amp; Logistics'!$C$4:$D$209,2,FALSE),"N/A")</f>
        <v>0.38</v>
      </c>
      <c r="S366" s="1283"/>
      <c r="T366" s="574" t="str">
        <f>IFERROR(VLOOKUP($S366,'Upper Cask Recovery Logistics'!$C$369:$F$518,4,FALSE),"N/A")</f>
        <v>N/A</v>
      </c>
      <c r="U366" s="1284" t="str">
        <f t="shared" si="34"/>
        <v>N/A</v>
      </c>
      <c r="V366" s="1510"/>
      <c r="X366" s="273"/>
      <c r="Y366" s="273"/>
      <c r="Z366" s="273"/>
      <c r="AA366" s="752"/>
    </row>
    <row r="367" spans="2:28" ht="15" hidden="1" customHeight="1" outlineLevel="3" x14ac:dyDescent="0.4">
      <c r="B367" s="1030"/>
      <c r="C367" s="5"/>
      <c r="D367" s="3786"/>
      <c r="E367" s="1281" t="s">
        <v>139</v>
      </c>
      <c r="F367" s="572" t="s">
        <v>251</v>
      </c>
      <c r="G367" s="574">
        <f t="shared" si="32"/>
        <v>4.33</v>
      </c>
      <c r="H367" s="574">
        <f t="shared" si="33"/>
        <v>88.719561409965124</v>
      </c>
      <c r="I367" s="572" t="s">
        <v>256</v>
      </c>
      <c r="J367" s="574">
        <f>IF(F367="operation",VLOOKUP(I367,'Generic Vertical Port Tasks'!$C$4:$D$197,2,FALSE),"N/A")</f>
        <v>4.33</v>
      </c>
      <c r="K367" s="572"/>
      <c r="L367" s="572"/>
      <c r="M367" s="572"/>
      <c r="N367" s="577" t="str">
        <f>IFERROR(INDEX('Upper Cask Movement &amp; Logistics'!$I$24:$O$30,MATCH($J367,'Upper Cask Movement &amp; Logistics'!$H$24:$H$30,0),MATCH($K367,'Upper Cask Movement &amp; Logistics'!$H$24:$H$30,0)),"N/A")</f>
        <v>N/A</v>
      </c>
      <c r="O367" s="577" t="str">
        <f>IFERROR(VLOOKUP($I367,'Upper Cask Movement &amp; Logistics'!$H$4:$I$8,2,FALSE),"N/A")</f>
        <v>N/A</v>
      </c>
      <c r="P367" s="574" t="str">
        <f t="shared" si="31"/>
        <v>N/A</v>
      </c>
      <c r="Q367" s="1282"/>
      <c r="R367" s="574" t="str">
        <f>IF($F367="Logistics",VLOOKUP($Q367,'Upper Cask Movement &amp; Logistics'!$C$4:$D$209,2,FALSE),"N/A")</f>
        <v>N/A</v>
      </c>
      <c r="S367" s="1283" t="s">
        <v>1282</v>
      </c>
      <c r="T367" s="574">
        <f>IFERROR(VLOOKUP($S367,'Upper Cask Recovery Logistics'!$C$369:$F$518,4,FALSE),"N/A")</f>
        <v>84.389561409965125</v>
      </c>
      <c r="U367" s="1284">
        <f t="shared" si="34"/>
        <v>-4.7601851851851933</v>
      </c>
      <c r="V367" s="1510"/>
      <c r="X367" s="273"/>
      <c r="Y367" s="273"/>
      <c r="Z367" s="273"/>
      <c r="AA367" s="752"/>
    </row>
    <row r="368" spans="2:28" ht="15" hidden="1" customHeight="1" outlineLevel="3" x14ac:dyDescent="0.4">
      <c r="B368" s="1030"/>
      <c r="C368" s="5"/>
      <c r="D368" s="3786"/>
      <c r="E368" s="1274" t="s">
        <v>1283</v>
      </c>
      <c r="F368" s="1275" t="s">
        <v>3</v>
      </c>
      <c r="G368" s="1276">
        <f t="shared" si="32"/>
        <v>0.60000000000000009</v>
      </c>
      <c r="H368" s="574">
        <f t="shared" si="33"/>
        <v>89.319561409965118</v>
      </c>
      <c r="I368" s="1275"/>
      <c r="J368" s="574" t="str">
        <f>IF(F368="operation",VLOOKUP(I368,'Generic Vertical Port Tasks'!$C$4:$D$197,2,FALSE),"N/A")</f>
        <v>N/A</v>
      </c>
      <c r="K368" s="572"/>
      <c r="L368" s="572"/>
      <c r="M368" s="572"/>
      <c r="N368" s="577" t="str">
        <f>IFERROR(INDEX('Upper Cask Movement &amp; Logistics'!$I$24:$O$30,MATCH($J368,'Upper Cask Movement &amp; Logistics'!$H$24:$H$30,0),MATCH($K368,'Upper Cask Movement &amp; Logistics'!$H$24:$H$30,0)),"N/A")</f>
        <v>N/A</v>
      </c>
      <c r="O368" s="577" t="str">
        <f>IFERROR(VLOOKUP($I368,'Upper Cask Movement &amp; Logistics'!$H$4:$I$8,2,FALSE),"N/A")</f>
        <v>N/A</v>
      </c>
      <c r="P368" s="574" t="str">
        <f t="shared" si="31"/>
        <v>N/A</v>
      </c>
      <c r="Q368" s="1278" t="s">
        <v>1279</v>
      </c>
      <c r="R368" s="574">
        <f>IF($F368="Logistics",VLOOKUP($Q368,'Upper Cask Movement &amp; Logistics'!$C$4:$D$209,2,FALSE),"N/A")</f>
        <v>0.60000000000000009</v>
      </c>
      <c r="S368" s="1283"/>
      <c r="T368" s="574" t="str">
        <f>IFERROR(VLOOKUP($S368,'Upper Cask Recovery Logistics'!$C$369:$F$518,4,FALSE),"N/A")</f>
        <v>N/A</v>
      </c>
      <c r="U368" s="1284" t="str">
        <f t="shared" si="34"/>
        <v>N/A</v>
      </c>
      <c r="V368" s="1510"/>
      <c r="X368" s="273"/>
      <c r="Y368" s="273"/>
      <c r="Z368" s="273"/>
      <c r="AA368" s="752"/>
    </row>
    <row r="369" spans="2:27" ht="15" hidden="1" customHeight="1" outlineLevel="3" x14ac:dyDescent="0.4">
      <c r="B369" s="1030"/>
      <c r="C369" s="5"/>
      <c r="D369" s="3786"/>
      <c r="E369" s="1281" t="s">
        <v>1262</v>
      </c>
      <c r="F369" s="572" t="s">
        <v>3</v>
      </c>
      <c r="G369" s="574">
        <f t="shared" si="32"/>
        <v>0.38</v>
      </c>
      <c r="H369" s="574">
        <f t="shared" si="33"/>
        <v>89.699561409965114</v>
      </c>
      <c r="I369" s="572"/>
      <c r="J369" s="574" t="str">
        <f>IF(F369="operation",VLOOKUP(I369,'Generic Vertical Port Tasks'!$C$4:$D$197,2,FALSE),"N/A")</f>
        <v>N/A</v>
      </c>
      <c r="K369" s="572"/>
      <c r="L369" s="572"/>
      <c r="M369" s="572"/>
      <c r="N369" s="577" t="str">
        <f>IFERROR(INDEX('Upper Cask Movement &amp; Logistics'!$I$24:$O$30,MATCH($J369,'Upper Cask Movement &amp; Logistics'!$H$24:$H$30,0),MATCH($K369,'Upper Cask Movement &amp; Logistics'!$H$24:$H$30,0)),"N/A")</f>
        <v>N/A</v>
      </c>
      <c r="O369" s="577" t="str">
        <f>IFERROR(VLOOKUP($I369,'Upper Cask Movement &amp; Logistics'!$H$4:$I$8,2,FALSE),"N/A")</f>
        <v>N/A</v>
      </c>
      <c r="P369" s="574" t="str">
        <f t="shared" si="31"/>
        <v>N/A</v>
      </c>
      <c r="Q369" s="1282" t="s">
        <v>1226</v>
      </c>
      <c r="R369" s="574">
        <f>IF($F369="Logistics",VLOOKUP($Q369,'Upper Cask Movement &amp; Logistics'!$C$4:$D$209,2,FALSE),"N/A")</f>
        <v>0.38</v>
      </c>
      <c r="S369" s="1283"/>
      <c r="T369" s="574" t="str">
        <f>IFERROR(VLOOKUP($S369,'Upper Cask Recovery Logistics'!$C$369:$F$518,4,FALSE),"N/A")</f>
        <v>N/A</v>
      </c>
      <c r="U369" s="1284" t="str">
        <f t="shared" si="34"/>
        <v>N/A</v>
      </c>
      <c r="V369" s="1510"/>
      <c r="X369" s="273"/>
      <c r="Y369" s="273"/>
      <c r="Z369" s="273"/>
      <c r="AA369" s="752"/>
    </row>
    <row r="370" spans="2:27" ht="15" hidden="1" customHeight="1" outlineLevel="3" x14ac:dyDescent="0.4">
      <c r="B370" s="1030"/>
      <c r="C370" s="5"/>
      <c r="D370" s="3786"/>
      <c r="E370" s="1281" t="s">
        <v>137</v>
      </c>
      <c r="F370" s="572" t="s">
        <v>251</v>
      </c>
      <c r="G370" s="574">
        <f t="shared" si="32"/>
        <v>4.33</v>
      </c>
      <c r="H370" s="574">
        <f t="shared" si="33"/>
        <v>98.789746595150305</v>
      </c>
      <c r="I370" s="572" t="s">
        <v>256</v>
      </c>
      <c r="J370" s="574">
        <f>IF(F370="operation",VLOOKUP(I370,'Generic Vertical Port Tasks'!$C$4:$D$197,2,FALSE),"N/A")</f>
        <v>4.33</v>
      </c>
      <c r="K370" s="572"/>
      <c r="L370" s="572"/>
      <c r="M370" s="572"/>
      <c r="N370" s="577" t="str">
        <f>IFERROR(INDEX('Upper Cask Movement &amp; Logistics'!$I$24:$O$30,MATCH($J370,'Upper Cask Movement &amp; Logistics'!$H$24:$H$30,0),MATCH($K370,'Upper Cask Movement &amp; Logistics'!$H$24:$H$30,0)),"N/A")</f>
        <v>N/A</v>
      </c>
      <c r="O370" s="577" t="str">
        <f>IFERROR(VLOOKUP($I370,'Upper Cask Movement &amp; Logistics'!$H$4:$I$8,2,FALSE),"N/A")</f>
        <v>N/A</v>
      </c>
      <c r="P370" s="574" t="str">
        <f t="shared" si="31"/>
        <v>N/A</v>
      </c>
      <c r="Q370" s="1282"/>
      <c r="R370" s="574" t="str">
        <f>IF($F370="Logistics",VLOOKUP($Q370,'Upper Cask Movement &amp; Logistics'!$C$4:$D$209,2,FALSE),"N/A")</f>
        <v>N/A</v>
      </c>
      <c r="S370" s="1283" t="s">
        <v>1284</v>
      </c>
      <c r="T370" s="574">
        <f>IFERROR(VLOOKUP($S370,'Upper Cask Recovery Logistics'!$C$369:$F$518,4,FALSE),"N/A")</f>
        <v>94.459746595150307</v>
      </c>
      <c r="U370" s="1284">
        <f t="shared" si="34"/>
        <v>-4.7601851851851933</v>
      </c>
      <c r="V370" s="1510"/>
      <c r="X370" s="273"/>
      <c r="Y370" s="273"/>
      <c r="Z370" s="273"/>
      <c r="AA370" s="752"/>
    </row>
    <row r="371" spans="2:27" ht="15" hidden="1" customHeight="1" outlineLevel="3" x14ac:dyDescent="0.4">
      <c r="B371" s="1030"/>
      <c r="C371" s="5"/>
      <c r="D371" s="3786"/>
      <c r="E371" s="1274" t="s">
        <v>1285</v>
      </c>
      <c r="F371" s="1275" t="s">
        <v>3</v>
      </c>
      <c r="G371" s="1276">
        <f t="shared" si="32"/>
        <v>0.60000000000000009</v>
      </c>
      <c r="H371" s="574">
        <f t="shared" si="33"/>
        <v>99.389746595150299</v>
      </c>
      <c r="I371" s="1275"/>
      <c r="J371" s="574" t="str">
        <f>IF(F371="operation",VLOOKUP(I371,'Generic Vertical Port Tasks'!$C$4:$D$197,2,FALSE),"N/A")</f>
        <v>N/A</v>
      </c>
      <c r="K371" s="572"/>
      <c r="L371" s="572"/>
      <c r="M371" s="572"/>
      <c r="N371" s="577" t="str">
        <f>IFERROR(INDEX('Upper Cask Movement &amp; Logistics'!$I$24:$O$30,MATCH($J371,'Upper Cask Movement &amp; Logistics'!$H$24:$H$30,0),MATCH($K371,'Upper Cask Movement &amp; Logistics'!$H$24:$H$30,0)),"N/A")</f>
        <v>N/A</v>
      </c>
      <c r="O371" s="577" t="str">
        <f>IFERROR(VLOOKUP($I371,'Upper Cask Movement &amp; Logistics'!$H$4:$I$8,2,FALSE),"N/A")</f>
        <v>N/A</v>
      </c>
      <c r="P371" s="574" t="str">
        <f t="shared" si="31"/>
        <v>N/A</v>
      </c>
      <c r="Q371" s="1278" t="s">
        <v>1279</v>
      </c>
      <c r="R371" s="574">
        <f>IF($F371="Logistics",VLOOKUP($Q371,'Upper Cask Movement &amp; Logistics'!$C$4:$D$209,2,FALSE),"N/A")</f>
        <v>0.60000000000000009</v>
      </c>
      <c r="S371" s="1283"/>
      <c r="T371" s="574" t="str">
        <f>IFERROR(VLOOKUP($S371,'Upper Cask Recovery Logistics'!$C$369:$F$518,4,FALSE),"N/A")</f>
        <v>N/A</v>
      </c>
      <c r="U371" s="1284" t="str">
        <f t="shared" si="34"/>
        <v>N/A</v>
      </c>
      <c r="V371" s="1510"/>
      <c r="X371" s="273"/>
      <c r="Y371" s="273"/>
      <c r="Z371" s="273"/>
      <c r="AA371" s="752"/>
    </row>
    <row r="372" spans="2:27" ht="15" hidden="1" customHeight="1" outlineLevel="3" x14ac:dyDescent="0.4">
      <c r="B372" s="1030"/>
      <c r="C372" s="5"/>
      <c r="D372" s="3786"/>
      <c r="E372" s="1281" t="s">
        <v>1262</v>
      </c>
      <c r="F372" s="572" t="s">
        <v>3</v>
      </c>
      <c r="G372" s="574">
        <f t="shared" si="32"/>
        <v>0.38</v>
      </c>
      <c r="H372" s="574">
        <f t="shared" si="33"/>
        <v>99.769746595150295</v>
      </c>
      <c r="I372" s="572"/>
      <c r="J372" s="574" t="str">
        <f>IF(F372="operation",VLOOKUP(I372,'Generic Vertical Port Tasks'!$C$4:$D$197,2,FALSE),"N/A")</f>
        <v>N/A</v>
      </c>
      <c r="K372" s="572"/>
      <c r="L372" s="572"/>
      <c r="M372" s="572"/>
      <c r="N372" s="577" t="str">
        <f>IFERROR(INDEX('Upper Cask Movement &amp; Logistics'!$I$24:$O$30,MATCH($J372,'Upper Cask Movement &amp; Logistics'!$H$24:$H$30,0),MATCH($K372,'Upper Cask Movement &amp; Logistics'!$H$24:$H$30,0)),"N/A")</f>
        <v>N/A</v>
      </c>
      <c r="O372" s="577" t="str">
        <f>IFERROR(VLOOKUP($I372,'Upper Cask Movement &amp; Logistics'!$H$4:$I$8,2,FALSE),"N/A")</f>
        <v>N/A</v>
      </c>
      <c r="P372" s="574" t="str">
        <f t="shared" si="31"/>
        <v>N/A</v>
      </c>
      <c r="Q372" s="1282" t="s">
        <v>1226</v>
      </c>
      <c r="R372" s="574">
        <f>IF($F372="Logistics",VLOOKUP($Q372,'Upper Cask Movement &amp; Logistics'!$C$4:$D$209,2,FALSE),"N/A")</f>
        <v>0.38</v>
      </c>
      <c r="S372" s="1283"/>
      <c r="T372" s="574" t="str">
        <f>IFERROR(VLOOKUP($S372,'Upper Cask Recovery Logistics'!$C$369:$F$518,4,FALSE),"N/A")</f>
        <v>N/A</v>
      </c>
      <c r="U372" s="1284" t="str">
        <f t="shared" si="34"/>
        <v>N/A</v>
      </c>
      <c r="V372" s="1510"/>
      <c r="X372" s="273"/>
      <c r="Y372" s="273"/>
      <c r="Z372" s="273"/>
      <c r="AA372" s="752"/>
    </row>
    <row r="373" spans="2:27" ht="15" hidden="1" customHeight="1" outlineLevel="3" x14ac:dyDescent="0.4">
      <c r="B373" s="1030"/>
      <c r="C373" s="5"/>
      <c r="D373" s="3786"/>
      <c r="E373" s="1281" t="s">
        <v>133</v>
      </c>
      <c r="F373" s="572" t="s">
        <v>251</v>
      </c>
      <c r="G373" s="574">
        <f t="shared" si="32"/>
        <v>4.33</v>
      </c>
      <c r="H373" s="574">
        <f t="shared" si="33"/>
        <v>108.85993178033549</v>
      </c>
      <c r="I373" s="572" t="s">
        <v>256</v>
      </c>
      <c r="J373" s="574">
        <f>IF(F373="operation",VLOOKUP(I373,'Generic Vertical Port Tasks'!$C$4:$D$197,2,FALSE),"N/A")</f>
        <v>4.33</v>
      </c>
      <c r="K373" s="572"/>
      <c r="L373" s="572"/>
      <c r="M373" s="572"/>
      <c r="N373" s="577" t="str">
        <f>IFERROR(INDEX('Upper Cask Movement &amp; Logistics'!$I$24:$O$30,MATCH($J373,'Upper Cask Movement &amp; Logistics'!$H$24:$H$30,0),MATCH($K373,'Upper Cask Movement &amp; Logistics'!$H$24:$H$30,0)),"N/A")</f>
        <v>N/A</v>
      </c>
      <c r="O373" s="577" t="str">
        <f>IFERROR(VLOOKUP($I373,'Upper Cask Movement &amp; Logistics'!$H$4:$I$8,2,FALSE),"N/A")</f>
        <v>N/A</v>
      </c>
      <c r="P373" s="574" t="str">
        <f t="shared" si="31"/>
        <v>N/A</v>
      </c>
      <c r="Q373" s="1282"/>
      <c r="R373" s="574" t="str">
        <f>IF($F373="Logistics",VLOOKUP($Q373,'Upper Cask Movement &amp; Logistics'!$C$4:$D$209,2,FALSE),"N/A")</f>
        <v>N/A</v>
      </c>
      <c r="S373" s="1283" t="s">
        <v>1286</v>
      </c>
      <c r="T373" s="574">
        <f>IFERROR(VLOOKUP($S373,'Upper Cask Recovery Logistics'!$C$369:$F$518,4,FALSE),"N/A")</f>
        <v>104.52993178033549</v>
      </c>
      <c r="U373" s="1284">
        <f t="shared" si="34"/>
        <v>-4.7601851851851933</v>
      </c>
      <c r="V373" s="1510"/>
      <c r="X373" s="273"/>
      <c r="Y373" s="273"/>
      <c r="Z373" s="273"/>
      <c r="AA373" s="752"/>
    </row>
    <row r="374" spans="2:27" ht="15" hidden="1" customHeight="1" outlineLevel="3" x14ac:dyDescent="0.4">
      <c r="B374" s="1030"/>
      <c r="C374" s="5"/>
      <c r="D374" s="3786"/>
      <c r="E374" s="1274" t="s">
        <v>1287</v>
      </c>
      <c r="F374" s="1275" t="s">
        <v>3</v>
      </c>
      <c r="G374" s="1276">
        <f t="shared" si="32"/>
        <v>0.60000000000000009</v>
      </c>
      <c r="H374" s="574">
        <f t="shared" si="33"/>
        <v>109.45993178033548</v>
      </c>
      <c r="I374" s="1275"/>
      <c r="J374" s="574" t="str">
        <f>IF(F374="operation",VLOOKUP(I374,'Generic Vertical Port Tasks'!$C$4:$D$197,2,FALSE),"N/A")</f>
        <v>N/A</v>
      </c>
      <c r="K374" s="572"/>
      <c r="L374" s="572"/>
      <c r="M374" s="572"/>
      <c r="N374" s="577" t="str">
        <f>IFERROR(INDEX('Upper Cask Movement &amp; Logistics'!$I$24:$O$30,MATCH($J374,'Upper Cask Movement &amp; Logistics'!$H$24:$H$30,0),MATCH($K374,'Upper Cask Movement &amp; Logistics'!$H$24:$H$30,0)),"N/A")</f>
        <v>N/A</v>
      </c>
      <c r="O374" s="577" t="str">
        <f>IFERROR(VLOOKUP($I374,'Upper Cask Movement &amp; Logistics'!$H$4:$I$8,2,FALSE),"N/A")</f>
        <v>N/A</v>
      </c>
      <c r="P374" s="574" t="str">
        <f t="shared" si="31"/>
        <v>N/A</v>
      </c>
      <c r="Q374" s="1278" t="s">
        <v>1279</v>
      </c>
      <c r="R374" s="574">
        <f>IF($F374="Logistics",VLOOKUP($Q374,'Upper Cask Movement &amp; Logistics'!$C$4:$D$209,2,FALSE),"N/A")</f>
        <v>0.60000000000000009</v>
      </c>
      <c r="S374" s="1283"/>
      <c r="T374" s="574" t="str">
        <f>IFERROR(VLOOKUP($S374,'Upper Cask Recovery Logistics'!$C$369:$F$518,4,FALSE),"N/A")</f>
        <v>N/A</v>
      </c>
      <c r="U374" s="1284" t="str">
        <f t="shared" si="34"/>
        <v>N/A</v>
      </c>
      <c r="V374" s="1510"/>
      <c r="X374" s="273"/>
      <c r="Y374" s="273"/>
      <c r="Z374" s="273"/>
      <c r="AA374" s="752"/>
    </row>
    <row r="375" spans="2:27" ht="15" hidden="1" customHeight="1" outlineLevel="3" x14ac:dyDescent="0.4">
      <c r="B375" s="1030"/>
      <c r="C375" s="5"/>
      <c r="D375" s="3786"/>
      <c r="E375" s="1281" t="s">
        <v>1262</v>
      </c>
      <c r="F375" s="572" t="s">
        <v>3</v>
      </c>
      <c r="G375" s="574">
        <f t="shared" si="32"/>
        <v>0.38</v>
      </c>
      <c r="H375" s="574">
        <f t="shared" si="33"/>
        <v>109.83993178033548</v>
      </c>
      <c r="I375" s="572"/>
      <c r="J375" s="574" t="str">
        <f>IF(F375="operation",VLOOKUP(I375,'Generic Vertical Port Tasks'!$C$4:$D$197,2,FALSE),"N/A")</f>
        <v>N/A</v>
      </c>
      <c r="K375" s="572"/>
      <c r="L375" s="572"/>
      <c r="M375" s="572"/>
      <c r="N375" s="577" t="str">
        <f>IFERROR(INDEX('Upper Cask Movement &amp; Logistics'!$I$24:$O$30,MATCH($J375,'Upper Cask Movement &amp; Logistics'!$H$24:$H$30,0),MATCH($K375,'Upper Cask Movement &amp; Logistics'!$H$24:$H$30,0)),"N/A")</f>
        <v>N/A</v>
      </c>
      <c r="O375" s="577" t="str">
        <f>IFERROR(VLOOKUP($I375,'Upper Cask Movement &amp; Logistics'!$H$4:$I$8,2,FALSE),"N/A")</f>
        <v>N/A</v>
      </c>
      <c r="P375" s="574" t="str">
        <f t="shared" si="31"/>
        <v>N/A</v>
      </c>
      <c r="Q375" s="1282" t="s">
        <v>1226</v>
      </c>
      <c r="R375" s="574">
        <f>IF($F375="Logistics",VLOOKUP($Q375,'Upper Cask Movement &amp; Logistics'!$C$4:$D$209,2,FALSE),"N/A")</f>
        <v>0.38</v>
      </c>
      <c r="S375" s="1283"/>
      <c r="T375" s="574" t="str">
        <f>IFERROR(VLOOKUP($S375,'Upper Cask Recovery Logistics'!$C$369:$F$518,4,FALSE),"N/A")</f>
        <v>N/A</v>
      </c>
      <c r="U375" s="1284" t="str">
        <f t="shared" si="34"/>
        <v>N/A</v>
      </c>
      <c r="V375" s="1510"/>
      <c r="X375" s="273"/>
      <c r="Y375" s="273"/>
      <c r="Z375" s="273"/>
      <c r="AA375" s="752"/>
    </row>
    <row r="376" spans="2:27" ht="15" hidden="1" customHeight="1" outlineLevel="3" thickBot="1" x14ac:dyDescent="0.45">
      <c r="B376" s="1030"/>
      <c r="C376" s="5"/>
      <c r="D376" s="3788"/>
      <c r="E376" s="583" t="s">
        <v>134</v>
      </c>
      <c r="F376" s="583" t="s">
        <v>251</v>
      </c>
      <c r="G376" s="585">
        <f t="shared" si="32"/>
        <v>4.33</v>
      </c>
      <c r="H376" s="585">
        <f t="shared" si="33"/>
        <v>118.93011696552067</v>
      </c>
      <c r="I376" s="583" t="s">
        <v>256</v>
      </c>
      <c r="J376" s="585">
        <f>IF(F376="operation",VLOOKUP(I376,'Generic Vertical Port Tasks'!$C$4:$D$197,2,FALSE),"N/A")</f>
        <v>4.33</v>
      </c>
      <c r="K376" s="583"/>
      <c r="L376" s="583"/>
      <c r="M376" s="583"/>
      <c r="N376" s="588" t="str">
        <f>IFERROR(INDEX('Upper Cask Movement &amp; Logistics'!$I$24:$O$30,MATCH($J376,'Upper Cask Movement &amp; Logistics'!$H$24:$H$30,0),MATCH($K376,'Upper Cask Movement &amp; Logistics'!$H$24:$H$30,0)),"N/A")</f>
        <v>N/A</v>
      </c>
      <c r="O376" s="588" t="str">
        <f>IFERROR(VLOOKUP($I376,'Upper Cask Movement &amp; Logistics'!$H$4:$I$8,2,FALSE),"N/A")</f>
        <v>N/A</v>
      </c>
      <c r="P376" s="585" t="str">
        <f t="shared" si="31"/>
        <v>N/A</v>
      </c>
      <c r="Q376" s="1285"/>
      <c r="R376" s="585" t="str">
        <f>IF($F376="Logistics",VLOOKUP($Q376,'Upper Cask Movement &amp; Logistics'!$C$4:$D$209,2,FALSE),"N/A")</f>
        <v>N/A</v>
      </c>
      <c r="S376" s="1286" t="s">
        <v>1288</v>
      </c>
      <c r="T376" s="574">
        <f>IFERROR(VLOOKUP($S376,'Upper Cask Recovery Logistics'!$C$369:$F$518,4,FALSE),"N/A")</f>
        <v>114.60011696552067</v>
      </c>
      <c r="U376" s="1287">
        <f t="shared" si="34"/>
        <v>-4.7601851851851933</v>
      </c>
      <c r="V376" s="1510"/>
      <c r="X376" s="273"/>
      <c r="Y376" s="273"/>
      <c r="Z376" s="273"/>
      <c r="AA376" s="752"/>
    </row>
    <row r="377" spans="2:27" ht="15" hidden="1" customHeight="1" outlineLevel="3" x14ac:dyDescent="0.4">
      <c r="B377" s="1030"/>
      <c r="C377" s="5"/>
      <c r="D377" s="3992" t="s">
        <v>117</v>
      </c>
      <c r="E377" s="596" t="s">
        <v>1519</v>
      </c>
      <c r="F377" s="596" t="s">
        <v>3</v>
      </c>
      <c r="G377" s="593">
        <f t="shared" si="32"/>
        <v>0.60000000000000009</v>
      </c>
      <c r="H377" s="593">
        <f t="shared" si="33"/>
        <v>125.38678363218735</v>
      </c>
      <c r="I377" s="596"/>
      <c r="J377" s="593" t="str">
        <f>IF(F377="operation",VLOOKUP(I377,'Generic Vertical Port Tasks'!$C$4:$D$197,2,FALSE),"N/A")</f>
        <v>N/A</v>
      </c>
      <c r="K377" s="596"/>
      <c r="L377" s="596"/>
      <c r="M377" s="596"/>
      <c r="N377" s="597" t="str">
        <f>IFERROR(INDEX('Upper Cask Movement &amp; Logistics'!$I$24:$O$30,MATCH($J377,'Upper Cask Movement &amp; Logistics'!$H$24:$H$30,0),MATCH($K377,'Upper Cask Movement &amp; Logistics'!$H$24:$H$30,0)),"N/A")</f>
        <v>N/A</v>
      </c>
      <c r="O377" s="597" t="str">
        <f>IFERROR(VLOOKUP($I377,'Upper Cask Movement &amp; Logistics'!$H$4:$I$8,2,FALSE),"N/A")</f>
        <v>N/A</v>
      </c>
      <c r="P377" s="593" t="str">
        <f t="shared" si="31"/>
        <v>N/A</v>
      </c>
      <c r="Q377" s="1253" t="s">
        <v>1279</v>
      </c>
      <c r="R377" s="593">
        <f>IF($F377="Logistics",VLOOKUP($Q377,'Upper Cask Movement &amp; Logistics'!$C$4:$D$209,2,FALSE),"N/A")</f>
        <v>0.60000000000000009</v>
      </c>
      <c r="S377" s="1254" t="s">
        <v>1295</v>
      </c>
      <c r="T377" s="593">
        <f>IFERROR(VLOOKUP($S377,'Upper Cask Recovery Logistics'!$C$369:$F$518,4,FALSE),"N/A")</f>
        <v>124.78678363218735</v>
      </c>
      <c r="U377" s="1255">
        <f t="shared" si="34"/>
        <v>-5.8566666666666833</v>
      </c>
      <c r="V377" s="1510"/>
      <c r="X377" s="273"/>
      <c r="Y377" s="273"/>
      <c r="Z377" s="273"/>
      <c r="AA377" s="752"/>
    </row>
    <row r="378" spans="2:27" ht="15" hidden="1" customHeight="1" outlineLevel="3" x14ac:dyDescent="0.4">
      <c r="B378" s="1030"/>
      <c r="C378" s="5"/>
      <c r="D378" s="3993"/>
      <c r="E378" s="601" t="s">
        <v>1517</v>
      </c>
      <c r="F378" s="601" t="s">
        <v>3</v>
      </c>
      <c r="G378" s="602">
        <f t="shared" si="32"/>
        <v>0.38</v>
      </c>
      <c r="H378" s="602">
        <f t="shared" si="33"/>
        <v>125.76678363218734</v>
      </c>
      <c r="I378" s="601"/>
      <c r="J378" s="602" t="str">
        <f>IF(F378="operation",VLOOKUP(I378,'Generic Vertical Port Tasks'!$C$4:$D$197,2,FALSE),"N/A")</f>
        <v>N/A</v>
      </c>
      <c r="K378" s="601"/>
      <c r="L378" s="601"/>
      <c r="M378" s="601"/>
      <c r="N378" s="605" t="str">
        <f>IFERROR(INDEX('Upper Cask Movement &amp; Logistics'!$I$24:$O$30,MATCH($J378,'Upper Cask Movement &amp; Logistics'!$H$24:$H$30,0),MATCH($K378,'Upper Cask Movement &amp; Logistics'!$H$24:$H$30,0)),"N/A")</f>
        <v>N/A</v>
      </c>
      <c r="O378" s="605" t="str">
        <f>IFERROR(VLOOKUP($I378,'Upper Cask Movement &amp; Logistics'!$H$4:$I$8,2,FALSE),"N/A")</f>
        <v>N/A</v>
      </c>
      <c r="P378" s="602" t="str">
        <f t="shared" si="31"/>
        <v>N/A</v>
      </c>
      <c r="Q378" s="1288" t="s">
        <v>1226</v>
      </c>
      <c r="R378" s="602">
        <f>IF($F378="Logistics",VLOOKUP($Q378,'Upper Cask Movement &amp; Logistics'!$C$4:$D$209,2,FALSE),"N/A")</f>
        <v>0.38</v>
      </c>
      <c r="S378" s="1235"/>
      <c r="T378" s="602" t="str">
        <f>IFERROR(VLOOKUP($S378,'Upper Cask Recovery Logistics'!$C$369:$F$518,4,FALSE),"N/A")</f>
        <v>N/A</v>
      </c>
      <c r="U378" s="1236" t="str">
        <f t="shared" si="34"/>
        <v>N/A</v>
      </c>
      <c r="V378" s="1510"/>
      <c r="X378" s="273"/>
      <c r="Y378" s="273"/>
      <c r="Z378" s="273"/>
      <c r="AA378" s="752"/>
    </row>
    <row r="379" spans="2:27" ht="15" hidden="1" customHeight="1" outlineLevel="3" x14ac:dyDescent="0.4">
      <c r="B379" s="1030"/>
      <c r="C379" s="5"/>
      <c r="D379" s="3993"/>
      <c r="E379" s="601" t="s">
        <v>117</v>
      </c>
      <c r="F379" s="601" t="s">
        <v>251</v>
      </c>
      <c r="G379" s="602">
        <f t="shared" si="32"/>
        <v>4.0949999999999998</v>
      </c>
      <c r="H379" s="602">
        <f t="shared" si="33"/>
        <v>129.86178363218735</v>
      </c>
      <c r="I379" s="601" t="s">
        <v>35</v>
      </c>
      <c r="J379" s="602">
        <f>IF(F379="operation",VLOOKUP(I379,'Generic Vertical Port Tasks'!$C$4:$D$197,2,FALSE),"N/A")</f>
        <v>4.0949999999999998</v>
      </c>
      <c r="K379" s="601"/>
      <c r="L379" s="601"/>
      <c r="M379" s="601"/>
      <c r="N379" s="605" t="str">
        <f>IFERROR(INDEX('Upper Cask Movement &amp; Logistics'!$I$24:$O$30,MATCH($J379,'Upper Cask Movement &amp; Logistics'!$H$24:$H$30,0),MATCH($K379,'Upper Cask Movement &amp; Logistics'!$H$24:$H$30,0)),"N/A")</f>
        <v>N/A</v>
      </c>
      <c r="O379" s="605" t="str">
        <f>IFERROR(VLOOKUP($I379,'Upper Cask Movement &amp; Logistics'!$H$4:$I$8,2,FALSE),"N/A")</f>
        <v>N/A</v>
      </c>
      <c r="P379" s="602" t="str">
        <f t="shared" si="31"/>
        <v>N/A</v>
      </c>
      <c r="Q379" s="1234"/>
      <c r="R379" s="602" t="str">
        <f>IF($F379="Logistics",VLOOKUP($Q379,'Upper Cask Movement &amp; Logistics'!$C$4:$D$209,2,FALSE),"N/A")</f>
        <v>N/A</v>
      </c>
      <c r="S379" s="1235"/>
      <c r="T379" s="602" t="str">
        <f>IFERROR(VLOOKUP($S379,'Upper Cask Recovery Logistics'!$C$369:$F$518,4,FALSE),"N/A")</f>
        <v>N/A</v>
      </c>
      <c r="U379" s="1236" t="str">
        <f t="shared" si="34"/>
        <v>N/A</v>
      </c>
      <c r="V379" s="1510"/>
      <c r="X379" s="273"/>
      <c r="Y379" s="273"/>
      <c r="Z379" s="273"/>
      <c r="AA379" s="752"/>
    </row>
    <row r="380" spans="2:27" ht="15" hidden="1" customHeight="1" outlineLevel="3" thickBot="1" x14ac:dyDescent="0.45">
      <c r="B380" s="1030"/>
      <c r="C380" s="5"/>
      <c r="D380" s="3994"/>
      <c r="E380" s="609" t="s">
        <v>1251</v>
      </c>
      <c r="F380" s="1511" t="s">
        <v>3</v>
      </c>
      <c r="G380" s="610">
        <f t="shared" si="32"/>
        <v>0.38</v>
      </c>
      <c r="H380" s="610">
        <f t="shared" si="33"/>
        <v>130.24178363218735</v>
      </c>
      <c r="I380" s="609"/>
      <c r="J380" s="610" t="str">
        <f>IF(F380="operation",VLOOKUP(I380,'Generic Vertical Port Tasks'!$C$4:$D$197,2,FALSE),"N/A")</f>
        <v>N/A</v>
      </c>
      <c r="K380" s="609"/>
      <c r="L380" s="609"/>
      <c r="M380" s="609"/>
      <c r="N380" s="613" t="str">
        <f>IFERROR(INDEX('Upper Cask Movement &amp; Logistics'!$I$24:$O$30,MATCH($J380,'Upper Cask Movement &amp; Logistics'!$H$24:$H$30,0),MATCH($K380,'Upper Cask Movement &amp; Logistics'!$H$24:$H$30,0)),"N/A")</f>
        <v>N/A</v>
      </c>
      <c r="O380" s="613" t="str">
        <f>IFERROR(VLOOKUP($I380,'Upper Cask Movement &amp; Logistics'!$H$4:$I$8,2,FALSE),"N/A")</f>
        <v>N/A</v>
      </c>
      <c r="P380" s="610" t="str">
        <f t="shared" si="31"/>
        <v>N/A</v>
      </c>
      <c r="Q380" s="1237" t="s">
        <v>1230</v>
      </c>
      <c r="R380" s="610">
        <f>IF($F380="Logistics",VLOOKUP($Q380,'Upper Cask Movement &amp; Logistics'!$C$4:$D$209,2,FALSE),"N/A")</f>
        <v>0.38</v>
      </c>
      <c r="S380" s="1238"/>
      <c r="T380" s="610" t="str">
        <f>IFERROR(VLOOKUP($S380,'Upper Cask Recovery Logistics'!$C$369:$F$518,4,FALSE),"N/A")</f>
        <v>N/A</v>
      </c>
      <c r="U380" s="1239" t="str">
        <f t="shared" si="34"/>
        <v>N/A</v>
      </c>
      <c r="V380" s="1510"/>
      <c r="X380" s="273"/>
      <c r="Y380" s="273"/>
      <c r="Z380" s="273"/>
      <c r="AA380" s="752"/>
    </row>
    <row r="381" spans="2:27" ht="15" hidden="1" customHeight="1" outlineLevel="3" x14ac:dyDescent="0.4">
      <c r="B381" s="1030"/>
      <c r="C381" s="5"/>
      <c r="D381" s="3998" t="s">
        <v>1086</v>
      </c>
      <c r="E381" s="1275" t="s">
        <v>1299</v>
      </c>
      <c r="F381" s="1275" t="s">
        <v>3</v>
      </c>
      <c r="G381" s="1276">
        <f t="shared" si="32"/>
        <v>0.38</v>
      </c>
      <c r="H381" s="1276">
        <f t="shared" si="33"/>
        <v>130.62178363218734</v>
      </c>
      <c r="I381" s="1275"/>
      <c r="J381" s="1276" t="str">
        <f>IF(F381="operation",VLOOKUP(I381,'Generic Vertical Port Tasks'!$C$4:$D$197,2,FALSE),"N/A")</f>
        <v>N/A</v>
      </c>
      <c r="K381" s="1275"/>
      <c r="L381" s="1275"/>
      <c r="M381" s="1275"/>
      <c r="N381" s="1277" t="str">
        <f>IFERROR(INDEX('Upper Cask Movement &amp; Logistics'!$I$24:$O$30,MATCH($J381,'Upper Cask Movement &amp; Logistics'!$H$24:$H$30,0),MATCH($K381,'Upper Cask Movement &amp; Logistics'!$H$24:$H$30,0)),"N/A")</f>
        <v>N/A</v>
      </c>
      <c r="O381" s="1277" t="str">
        <f>IFERROR(VLOOKUP($I381,'Upper Cask Movement &amp; Logistics'!$H$4:$I$8,2,FALSE),"N/A")</f>
        <v>N/A</v>
      </c>
      <c r="P381" s="1276" t="str">
        <f t="shared" si="31"/>
        <v>N/A</v>
      </c>
      <c r="Q381" s="1278" t="s">
        <v>1226</v>
      </c>
      <c r="R381" s="1276">
        <f>IF($F381="Logistics",VLOOKUP($Q381,'Upper Cask Movement &amp; Logistics'!$C$4:$D$209,2,FALSE),"N/A")</f>
        <v>0.38</v>
      </c>
      <c r="S381" s="1279"/>
      <c r="T381" s="1276" t="str">
        <f>IFERROR(VLOOKUP($S381,'Upper Cask Recovery Logistics'!$C$369:$F$518,4,FALSE),"N/A")</f>
        <v>N/A</v>
      </c>
      <c r="U381" s="1280" t="str">
        <f t="shared" si="34"/>
        <v>N/A</v>
      </c>
      <c r="V381" s="1510"/>
      <c r="X381" s="273"/>
      <c r="Y381" s="273"/>
      <c r="Z381" s="273"/>
      <c r="AA381" s="752"/>
    </row>
    <row r="382" spans="2:27" ht="15" hidden="1" customHeight="1" outlineLevel="3" x14ac:dyDescent="0.4">
      <c r="B382" s="1030"/>
      <c r="C382" s="5"/>
      <c r="D382" s="3996"/>
      <c r="E382" s="572" t="s">
        <v>132</v>
      </c>
      <c r="F382" s="572" t="s">
        <v>251</v>
      </c>
      <c r="G382" s="574">
        <f t="shared" si="32"/>
        <v>24.022732551873563</v>
      </c>
      <c r="H382" s="574">
        <f t="shared" si="33"/>
        <v>154.6445161840609</v>
      </c>
      <c r="I382" s="572" t="s">
        <v>2492</v>
      </c>
      <c r="J382" s="574">
        <f>IF(F382="operation",VLOOKUP(I382,'Generic Vertical Port Tasks'!$C$4:$D$197,2,FALSE),"N/A")</f>
        <v>24.022732551873563</v>
      </c>
      <c r="K382" s="572"/>
      <c r="L382" s="572"/>
      <c r="M382" s="572"/>
      <c r="N382" s="577" t="str">
        <f>IFERROR(INDEX('Upper Cask Movement &amp; Logistics'!$I$24:$O$30,MATCH($J382,'Upper Cask Movement &amp; Logistics'!$H$24:$H$30,0),MATCH($K382,'Upper Cask Movement &amp; Logistics'!$H$24:$H$30,0)),"N/A")</f>
        <v>N/A</v>
      </c>
      <c r="O382" s="577" t="str">
        <f>IFERROR(VLOOKUP($I382,'Upper Cask Movement &amp; Logistics'!$H$4:$I$8,2,FALSE),"N/A")</f>
        <v>N/A</v>
      </c>
      <c r="P382" s="574" t="str">
        <f t="shared" ref="P382:P403" si="35">IF(F382="Movement",IFERROR((N382/O382)/(60*60),"Error"),"N/A")</f>
        <v>N/A</v>
      </c>
      <c r="Q382" s="1282"/>
      <c r="R382" s="574" t="str">
        <f>IF($F382="Logistics",VLOOKUP($Q382,'Upper Cask Movement &amp; Logistics'!$C$4:$D$209,2,FALSE),"N/A")</f>
        <v>N/A</v>
      </c>
      <c r="S382" s="1283"/>
      <c r="T382" s="574" t="str">
        <f>IFERROR(VLOOKUP($S382,'Upper Cask Recovery Logistics'!$C$369:$F$518,4,FALSE),"N/A")</f>
        <v>N/A</v>
      </c>
      <c r="U382" s="1284" t="str">
        <f t="shared" si="34"/>
        <v>N/A</v>
      </c>
      <c r="V382" s="1510"/>
      <c r="X382" s="273"/>
      <c r="Y382" s="273"/>
      <c r="Z382" s="273"/>
      <c r="AA382" s="752"/>
    </row>
    <row r="383" spans="2:27" ht="15" hidden="1" customHeight="1" outlineLevel="3" x14ac:dyDescent="0.4">
      <c r="B383" s="1030"/>
      <c r="C383" s="5"/>
      <c r="D383" s="3996"/>
      <c r="E383" s="572" t="s">
        <v>1248</v>
      </c>
      <c r="F383" s="572" t="s">
        <v>3</v>
      </c>
      <c r="G383" s="574">
        <f t="shared" ref="G383:G403" si="36">MAX($R383,$P383,$J383)</f>
        <v>0.38</v>
      </c>
      <c r="H383" s="574">
        <f t="shared" ref="H383:H403" si="37">IF(U383&lt;0,G383+H382+(-U383),G383+H382)</f>
        <v>155.0245161840609</v>
      </c>
      <c r="I383" s="572"/>
      <c r="J383" s="574" t="str">
        <f>IF(F383="operation",VLOOKUP(I383,'Generic Vertical Port Tasks'!$C$4:$D$197,2,FALSE),"N/A")</f>
        <v>N/A</v>
      </c>
      <c r="K383" s="572"/>
      <c r="L383" s="572"/>
      <c r="M383" s="572"/>
      <c r="N383" s="577" t="str">
        <f>IFERROR(INDEX('Upper Cask Movement &amp; Logistics'!$I$24:$O$30,MATCH($J383,'Upper Cask Movement &amp; Logistics'!$H$24:$H$30,0),MATCH($K383,'Upper Cask Movement &amp; Logistics'!$H$24:$H$30,0)),"N/A")</f>
        <v>N/A</v>
      </c>
      <c r="O383" s="577" t="str">
        <f>IFERROR(VLOOKUP($I383,'Upper Cask Movement &amp; Logistics'!$H$4:$I$8,2,FALSE),"N/A")</f>
        <v>N/A</v>
      </c>
      <c r="P383" s="574" t="str">
        <f t="shared" si="35"/>
        <v>N/A</v>
      </c>
      <c r="Q383" s="1282" t="s">
        <v>1230</v>
      </c>
      <c r="R383" s="574">
        <f>IF($F383="Logistics",VLOOKUP($Q383,'Upper Cask Movement &amp; Logistics'!$C$4:$D$209,2,FALSE),"N/A")</f>
        <v>0.38</v>
      </c>
      <c r="S383" s="1283" t="s">
        <v>1087</v>
      </c>
      <c r="T383" s="574" t="str">
        <f>IFERROR(VLOOKUP($S383,'Upper Cask Recovery Logistics'!$C$369:$F$518,4,FALSE),"N/A")</f>
        <v>N/A</v>
      </c>
      <c r="U383" s="1284" t="str">
        <f t="shared" ref="U383:U403" si="38">IFERROR(H382-T383,"N/A")</f>
        <v>N/A</v>
      </c>
      <c r="V383" s="1510"/>
      <c r="X383" s="273"/>
      <c r="Y383" s="273"/>
      <c r="Z383" s="273"/>
      <c r="AA383" s="752"/>
    </row>
    <row r="384" spans="2:27" ht="15" hidden="1" customHeight="1" outlineLevel="3" x14ac:dyDescent="0.4">
      <c r="B384" s="1030"/>
      <c r="C384" s="5"/>
      <c r="D384" s="3996"/>
      <c r="E384" s="572" t="s">
        <v>1252</v>
      </c>
      <c r="F384" s="572" t="s">
        <v>3</v>
      </c>
      <c r="G384" s="574">
        <f t="shared" si="36"/>
        <v>0.38</v>
      </c>
      <c r="H384" s="574">
        <f t="shared" si="37"/>
        <v>155.4045161840609</v>
      </c>
      <c r="I384" s="572"/>
      <c r="J384" s="574" t="str">
        <f>IF(F384="operation",VLOOKUP(I384,'Generic Vertical Port Tasks'!$C$4:$D$197,2,FALSE),"N/A")</f>
        <v>N/A</v>
      </c>
      <c r="K384" s="572"/>
      <c r="L384" s="572"/>
      <c r="M384" s="572"/>
      <c r="N384" s="577" t="str">
        <f>IFERROR(INDEX('Upper Cask Movement &amp; Logistics'!$I$24:$O$30,MATCH($J384,'Upper Cask Movement &amp; Logistics'!$H$24:$H$30,0),MATCH($K384,'Upper Cask Movement &amp; Logistics'!$H$24:$H$30,0)),"N/A")</f>
        <v>N/A</v>
      </c>
      <c r="O384" s="577" t="str">
        <f>IFERROR(VLOOKUP($I384,'Upper Cask Movement &amp; Logistics'!$H$4:$I$8,2,FALSE),"N/A")</f>
        <v>N/A</v>
      </c>
      <c r="P384" s="574" t="str">
        <f t="shared" si="35"/>
        <v>N/A</v>
      </c>
      <c r="Q384" s="1282" t="s">
        <v>1226</v>
      </c>
      <c r="R384" s="574">
        <f>IF($F384="Logistics",VLOOKUP($Q384,'Upper Cask Movement &amp; Logistics'!$C$4:$D$209,2,FALSE),"N/A")</f>
        <v>0.38</v>
      </c>
      <c r="S384" s="1283"/>
      <c r="T384" s="574" t="str">
        <f>IFERROR(VLOOKUP($S384,'Upper Cask Recovery Logistics'!$C$369:$F$518,4,FALSE),"N/A")</f>
        <v>N/A</v>
      </c>
      <c r="U384" s="1284" t="str">
        <f t="shared" si="38"/>
        <v>N/A</v>
      </c>
      <c r="V384" s="1510"/>
      <c r="X384" s="273"/>
      <c r="Y384" s="273"/>
      <c r="Z384" s="273"/>
      <c r="AA384" s="752"/>
    </row>
    <row r="385" spans="2:27" ht="15" hidden="1" customHeight="1" outlineLevel="3" x14ac:dyDescent="0.4">
      <c r="B385" s="1030"/>
      <c r="C385" s="5"/>
      <c r="D385" s="3996"/>
      <c r="E385" s="572" t="s">
        <v>47</v>
      </c>
      <c r="F385" s="572" t="s">
        <v>251</v>
      </c>
      <c r="G385" s="574">
        <f t="shared" si="36"/>
        <v>7.83</v>
      </c>
      <c r="H385" s="574">
        <f t="shared" si="37"/>
        <v>163.23451618406091</v>
      </c>
      <c r="I385" s="572" t="s">
        <v>257</v>
      </c>
      <c r="J385" s="574">
        <f>IF(F385="operation",VLOOKUP(I385,'Generic Vertical Port Tasks'!$C$4:$D$197,2,FALSE),"N/A")</f>
        <v>7.83</v>
      </c>
      <c r="K385" s="572"/>
      <c r="L385" s="572"/>
      <c r="M385" s="572"/>
      <c r="N385" s="577" t="str">
        <f>IFERROR(INDEX('Upper Cask Movement &amp; Logistics'!$I$24:$O$30,MATCH($J385,'Upper Cask Movement &amp; Logistics'!$H$24:$H$30,0),MATCH($K385,'Upper Cask Movement &amp; Logistics'!$H$24:$H$30,0)),"N/A")</f>
        <v>N/A</v>
      </c>
      <c r="O385" s="577" t="str">
        <f>IFERROR(VLOOKUP($I385,'Upper Cask Movement &amp; Logistics'!$H$4:$I$8,2,FALSE),"N/A")</f>
        <v>N/A</v>
      </c>
      <c r="P385" s="574" t="str">
        <f t="shared" si="35"/>
        <v>N/A</v>
      </c>
      <c r="Q385" s="1282"/>
      <c r="R385" s="574" t="str">
        <f>IF($F385="Logistics",VLOOKUP($Q385,'Upper Cask Movement &amp; Logistics'!$C$4:$D$209,2,FALSE),"N/A")</f>
        <v>N/A</v>
      </c>
      <c r="S385" s="1283"/>
      <c r="T385" s="574" t="str">
        <f>IFERROR(VLOOKUP($S385,'Upper Cask Recovery Logistics'!$C$369:$F$518,4,FALSE),"N/A")</f>
        <v>N/A</v>
      </c>
      <c r="U385" s="1284" t="str">
        <f t="shared" si="38"/>
        <v>N/A</v>
      </c>
      <c r="V385" s="1510"/>
      <c r="X385" s="273"/>
      <c r="Y385" s="273"/>
      <c r="Z385" s="273"/>
      <c r="AA385" s="752"/>
    </row>
    <row r="386" spans="2:27" ht="15" hidden="1" customHeight="1" outlineLevel="3" thickBot="1" x14ac:dyDescent="0.45">
      <c r="B386" s="1030"/>
      <c r="C386" s="5"/>
      <c r="D386" s="3997"/>
      <c r="E386" s="583" t="s">
        <v>1246</v>
      </c>
      <c r="F386" s="583" t="s">
        <v>3</v>
      </c>
      <c r="G386" s="585">
        <f t="shared" si="36"/>
        <v>0.38</v>
      </c>
      <c r="H386" s="585">
        <f t="shared" si="37"/>
        <v>163.6145161840609</v>
      </c>
      <c r="I386" s="583"/>
      <c r="J386" s="585" t="str">
        <f>IF(F386="operation",VLOOKUP(I386,'Generic Vertical Port Tasks'!$C$4:$D$197,2,FALSE),"N/A")</f>
        <v>N/A</v>
      </c>
      <c r="K386" s="583"/>
      <c r="L386" s="583"/>
      <c r="M386" s="583"/>
      <c r="N386" s="588" t="str">
        <f>IFERROR(INDEX('Upper Cask Movement &amp; Logistics'!$I$24:$O$30,MATCH($J386,'Upper Cask Movement &amp; Logistics'!$H$24:$H$30,0),MATCH($K386,'Upper Cask Movement &amp; Logistics'!$H$24:$H$30,0)),"N/A")</f>
        <v>N/A</v>
      </c>
      <c r="O386" s="588" t="str">
        <f>IFERROR(VLOOKUP($I386,'Upper Cask Movement &amp; Logistics'!$H$4:$I$8,2,FALSE),"N/A")</f>
        <v>N/A</v>
      </c>
      <c r="P386" s="585" t="str">
        <f t="shared" si="35"/>
        <v>N/A</v>
      </c>
      <c r="Q386" s="1285" t="s">
        <v>1230</v>
      </c>
      <c r="R386" s="585">
        <f>IF($F386="Logistics",VLOOKUP($Q386,'Upper Cask Movement &amp; Logistics'!$C$4:$D$209,2,FALSE),"N/A")</f>
        <v>0.38</v>
      </c>
      <c r="S386" s="1286"/>
      <c r="T386" s="585" t="str">
        <f>IFERROR(VLOOKUP($S386,'Upper Cask Recovery Logistics'!$C$369:$F$518,4,FALSE),"N/A")</f>
        <v>N/A</v>
      </c>
      <c r="U386" s="1287" t="str">
        <f t="shared" si="38"/>
        <v>N/A</v>
      </c>
      <c r="V386" s="1510"/>
      <c r="X386" s="273"/>
      <c r="Y386" s="273"/>
      <c r="Z386" s="273"/>
      <c r="AA386" s="752"/>
    </row>
    <row r="387" spans="2:27" ht="15" hidden="1" customHeight="1" outlineLevel="3" x14ac:dyDescent="0.4">
      <c r="B387" s="1030"/>
      <c r="C387" s="5"/>
      <c r="D387" s="3992" t="s">
        <v>118</v>
      </c>
      <c r="E387" s="596" t="s">
        <v>1300</v>
      </c>
      <c r="F387" s="596" t="s">
        <v>3</v>
      </c>
      <c r="G387" s="593">
        <f t="shared" si="36"/>
        <v>0.60000000000000009</v>
      </c>
      <c r="H387" s="593">
        <f t="shared" si="37"/>
        <v>164.2145161840609</v>
      </c>
      <c r="I387" s="596"/>
      <c r="J387" s="593" t="str">
        <f>IF(F387="operation",VLOOKUP(I387,'Generic Vertical Port Tasks'!$C$4:$D$197,2,FALSE),"N/A")</f>
        <v>N/A</v>
      </c>
      <c r="K387" s="596"/>
      <c r="L387" s="596"/>
      <c r="M387" s="596"/>
      <c r="N387" s="597" t="str">
        <f>IFERROR(INDEX('Upper Cask Movement &amp; Logistics'!$I$24:$O$30,MATCH($J387,'Upper Cask Movement &amp; Logistics'!$H$24:$H$30,0),MATCH($K387,'Upper Cask Movement &amp; Logistics'!$H$24:$H$30,0)),"N/A")</f>
        <v>N/A</v>
      </c>
      <c r="O387" s="597" t="str">
        <f>IFERROR(VLOOKUP($I387,'Upper Cask Movement &amp; Logistics'!$H$4:$I$8,2,FALSE),"N/A")</f>
        <v>N/A</v>
      </c>
      <c r="P387" s="593" t="str">
        <f t="shared" si="35"/>
        <v>N/A</v>
      </c>
      <c r="Q387" s="1253" t="s">
        <v>1279</v>
      </c>
      <c r="R387" s="593">
        <f>IF($F387="Logistics",VLOOKUP($Q387,'Upper Cask Movement &amp; Logistics'!$C$4:$D$209,2,FALSE),"N/A")</f>
        <v>0.60000000000000009</v>
      </c>
      <c r="S387" s="1254" t="s">
        <v>1414</v>
      </c>
      <c r="T387" s="593">
        <f>IFERROR(VLOOKUP($S387,'Upper Cask Recovery Logistics'!$C$369:$F$518,4,FALSE),"N/A")</f>
        <v>135.16770955811333</v>
      </c>
      <c r="U387" s="1255">
        <f t="shared" si="38"/>
        <v>28.446806625947573</v>
      </c>
      <c r="V387" s="1510"/>
      <c r="X387" s="273"/>
      <c r="Y387" s="273"/>
      <c r="Z387" s="273"/>
      <c r="AA387" s="752"/>
    </row>
    <row r="388" spans="2:27" ht="15" hidden="1" customHeight="1" outlineLevel="3" x14ac:dyDescent="0.4">
      <c r="B388" s="1030"/>
      <c r="C388" s="5"/>
      <c r="D388" s="3993"/>
      <c r="E388" s="601" t="s">
        <v>1517</v>
      </c>
      <c r="F388" s="601" t="s">
        <v>3</v>
      </c>
      <c r="G388" s="602">
        <f t="shared" si="36"/>
        <v>0.38</v>
      </c>
      <c r="H388" s="602">
        <f t="shared" si="37"/>
        <v>164.59451618406089</v>
      </c>
      <c r="I388" s="601"/>
      <c r="J388" s="602" t="str">
        <f>IF(F388="operation",VLOOKUP(I388,'Generic Vertical Port Tasks'!$C$4:$D$197,2,FALSE),"N/A")</f>
        <v>N/A</v>
      </c>
      <c r="K388" s="601"/>
      <c r="L388" s="601"/>
      <c r="M388" s="601"/>
      <c r="N388" s="605" t="str">
        <f>IFERROR(INDEX('Upper Cask Movement &amp; Logistics'!$I$24:$O$30,MATCH($J388,'Upper Cask Movement &amp; Logistics'!$H$24:$H$30,0),MATCH($K388,'Upper Cask Movement &amp; Logistics'!$H$24:$H$30,0)),"N/A")</f>
        <v>N/A</v>
      </c>
      <c r="O388" s="605" t="str">
        <f>IFERROR(VLOOKUP($I388,'Upper Cask Movement &amp; Logistics'!$H$4:$I$8,2,FALSE),"N/A")</f>
        <v>N/A</v>
      </c>
      <c r="P388" s="602" t="str">
        <f t="shared" si="35"/>
        <v>N/A</v>
      </c>
      <c r="Q388" s="1288" t="s">
        <v>1226</v>
      </c>
      <c r="R388" s="602">
        <f>IF($F388="Logistics",VLOOKUP($Q388,'Upper Cask Movement &amp; Logistics'!$C$4:$D$209,2,FALSE),"N/A")</f>
        <v>0.38</v>
      </c>
      <c r="S388" s="1235"/>
      <c r="T388" s="602" t="str">
        <f>IFERROR(VLOOKUP($S388,'Upper Cask Recovery Logistics'!$C$369:$F$518,4,FALSE),"N/A")</f>
        <v>N/A</v>
      </c>
      <c r="U388" s="1236" t="str">
        <f t="shared" si="38"/>
        <v>N/A</v>
      </c>
      <c r="V388" s="1510"/>
      <c r="X388" s="273"/>
      <c r="Y388" s="273"/>
      <c r="Z388" s="273"/>
      <c r="AA388" s="752"/>
    </row>
    <row r="389" spans="2:27" ht="15" hidden="1" customHeight="1" outlineLevel="3" x14ac:dyDescent="0.4">
      <c r="B389" s="1030"/>
      <c r="C389" s="5"/>
      <c r="D389" s="3993"/>
      <c r="E389" s="601" t="s">
        <v>118</v>
      </c>
      <c r="F389" s="601" t="s">
        <v>251</v>
      </c>
      <c r="G389" s="602">
        <f t="shared" si="36"/>
        <v>4.0949999999999998</v>
      </c>
      <c r="H389" s="602">
        <f t="shared" si="37"/>
        <v>168.68951618406089</v>
      </c>
      <c r="I389" s="601" t="s">
        <v>35</v>
      </c>
      <c r="J389" s="602">
        <f>IF(F389="operation",VLOOKUP(I389,'Generic Vertical Port Tasks'!$C$4:$D$197,2,FALSE),"N/A")</f>
        <v>4.0949999999999998</v>
      </c>
      <c r="K389" s="601"/>
      <c r="L389" s="601"/>
      <c r="M389" s="601"/>
      <c r="N389" s="605" t="str">
        <f>IFERROR(INDEX('Upper Cask Movement &amp; Logistics'!$I$24:$O$30,MATCH($J389,'Upper Cask Movement &amp; Logistics'!$H$24:$H$30,0),MATCH($K389,'Upper Cask Movement &amp; Logistics'!$H$24:$H$30,0)),"N/A")</f>
        <v>N/A</v>
      </c>
      <c r="O389" s="605" t="str">
        <f>IFERROR(VLOOKUP($I389,'Upper Cask Movement &amp; Logistics'!$H$4:$I$8,2,FALSE),"N/A")</f>
        <v>N/A</v>
      </c>
      <c r="P389" s="602" t="str">
        <f t="shared" si="35"/>
        <v>N/A</v>
      </c>
      <c r="Q389" s="1234"/>
      <c r="R389" s="602" t="str">
        <f>IF($F389="Logistics",VLOOKUP($Q389,'Upper Cask Movement &amp; Logistics'!$C$4:$D$209,2,FALSE),"N/A")</f>
        <v>N/A</v>
      </c>
      <c r="S389" s="1235"/>
      <c r="T389" s="602" t="str">
        <f>IFERROR(VLOOKUP($S389,'Upper Cask Recovery Logistics'!$C$369:$F$518,4,FALSE),"N/A")</f>
        <v>N/A</v>
      </c>
      <c r="U389" s="1236" t="str">
        <f t="shared" si="38"/>
        <v>N/A</v>
      </c>
      <c r="V389" s="1510"/>
      <c r="X389" s="273"/>
      <c r="Y389" s="273"/>
      <c r="Z389" s="273"/>
      <c r="AA389" s="752"/>
    </row>
    <row r="390" spans="2:27" ht="15" hidden="1" customHeight="1" outlineLevel="3" thickBot="1" x14ac:dyDescent="0.45">
      <c r="B390" s="1030"/>
      <c r="C390" s="5"/>
      <c r="D390" s="3993"/>
      <c r="E390" s="601" t="s">
        <v>1251</v>
      </c>
      <c r="F390" s="636" t="s">
        <v>3</v>
      </c>
      <c r="G390" s="602">
        <f t="shared" si="36"/>
        <v>0.38</v>
      </c>
      <c r="H390" s="602">
        <f t="shared" si="37"/>
        <v>169.06951618406089</v>
      </c>
      <c r="I390" s="601"/>
      <c r="J390" s="602" t="str">
        <f>IF(F390="operation",VLOOKUP(I390,'Generic Vertical Port Tasks'!$C$4:$D$197,2,FALSE),"N/A")</f>
        <v>N/A</v>
      </c>
      <c r="K390" s="601"/>
      <c r="L390" s="601"/>
      <c r="M390" s="601"/>
      <c r="N390" s="605" t="str">
        <f>IFERROR(INDEX('Upper Cask Movement &amp; Logistics'!$I$24:$O$30,MATCH($J390,'Upper Cask Movement &amp; Logistics'!$H$24:$H$30,0),MATCH($K390,'Upper Cask Movement &amp; Logistics'!$H$24:$H$30,0)),"N/A")</f>
        <v>N/A</v>
      </c>
      <c r="O390" s="605" t="str">
        <f>IFERROR(VLOOKUP($I390,'Upper Cask Movement &amp; Logistics'!$H$4:$I$8,2,FALSE),"N/A")</f>
        <v>N/A</v>
      </c>
      <c r="P390" s="602" t="str">
        <f t="shared" si="35"/>
        <v>N/A</v>
      </c>
      <c r="Q390" s="1234" t="s">
        <v>1230</v>
      </c>
      <c r="R390" s="602">
        <f>IF($F390="Logistics",VLOOKUP($Q390,'Upper Cask Movement &amp; Logistics'!$C$4:$D$209,2,FALSE),"N/A")</f>
        <v>0.38</v>
      </c>
      <c r="S390" s="1235"/>
      <c r="T390" s="602" t="str">
        <f>IFERROR(VLOOKUP($S390,'Upper Cask Recovery Logistics'!$C$369:$F$518,4,FALSE),"N/A")</f>
        <v>N/A</v>
      </c>
      <c r="U390" s="1236" t="str">
        <f t="shared" si="38"/>
        <v>N/A</v>
      </c>
      <c r="V390" s="1510"/>
      <c r="X390" s="273"/>
      <c r="Y390" s="273"/>
      <c r="Z390" s="273"/>
      <c r="AA390" s="752"/>
    </row>
    <row r="391" spans="2:27" ht="15" hidden="1" customHeight="1" outlineLevel="3" x14ac:dyDescent="0.4">
      <c r="B391" s="1030"/>
      <c r="C391" s="5"/>
      <c r="D391" s="3995" t="s">
        <v>1089</v>
      </c>
      <c r="E391" s="617" t="s">
        <v>1299</v>
      </c>
      <c r="F391" s="617" t="s">
        <v>3</v>
      </c>
      <c r="G391" s="567">
        <f t="shared" si="36"/>
        <v>0.38</v>
      </c>
      <c r="H391" s="574">
        <f t="shared" si="37"/>
        <v>169.44951618406088</v>
      </c>
      <c r="I391" s="617"/>
      <c r="J391" s="567" t="str">
        <f>IF(F391="operation",VLOOKUP(I391,'Generic Vertical Port Tasks'!$C$4:$D$197,2,FALSE),"N/A")</f>
        <v>N/A</v>
      </c>
      <c r="K391" s="617"/>
      <c r="L391" s="617"/>
      <c r="M391" s="617"/>
      <c r="N391" s="618" t="str">
        <f>IFERROR(INDEX('Upper Cask Movement &amp; Logistics'!$I$24:$O$30,MATCH($J391,'Upper Cask Movement &amp; Logistics'!$H$24:$H$30,0),MATCH($K391,'Upper Cask Movement &amp; Logistics'!$H$24:$H$30,0)),"N/A")</f>
        <v>N/A</v>
      </c>
      <c r="O391" s="618" t="str">
        <f>IFERROR(VLOOKUP($I391,'Upper Cask Movement &amp; Logistics'!$H$4:$I$8,2,FALSE),"N/A")</f>
        <v>N/A</v>
      </c>
      <c r="P391" s="567" t="str">
        <f t="shared" si="35"/>
        <v>N/A</v>
      </c>
      <c r="Q391" s="1271" t="s">
        <v>1226</v>
      </c>
      <c r="R391" s="567">
        <f>IF($F391="Logistics",VLOOKUP($Q391,'Upper Cask Movement &amp; Logistics'!$C$4:$D$209,2,FALSE),"N/A")</f>
        <v>0.38</v>
      </c>
      <c r="S391" s="1272"/>
      <c r="T391" s="567" t="str">
        <f>IFERROR(VLOOKUP($S391,'Upper Cask Recovery Logistics'!$C$369:$F$518,4,FALSE),"N/A")</f>
        <v>N/A</v>
      </c>
      <c r="U391" s="1273" t="str">
        <f t="shared" si="38"/>
        <v>N/A</v>
      </c>
      <c r="V391" s="1510"/>
      <c r="X391" s="273"/>
      <c r="Y391" s="273"/>
      <c r="Z391" s="273"/>
      <c r="AA391" s="752"/>
    </row>
    <row r="392" spans="2:27" ht="15" hidden="1" customHeight="1" outlineLevel="3" x14ac:dyDescent="0.4">
      <c r="B392" s="1030"/>
      <c r="C392" s="5"/>
      <c r="D392" s="3996"/>
      <c r="E392" s="572" t="s">
        <v>130</v>
      </c>
      <c r="F392" s="572" t="s">
        <v>251</v>
      </c>
      <c r="G392" s="574">
        <f t="shared" si="36"/>
        <v>24.022732551873563</v>
      </c>
      <c r="H392" s="574">
        <f t="shared" si="37"/>
        <v>193.47224873593444</v>
      </c>
      <c r="I392" s="572" t="s">
        <v>2492</v>
      </c>
      <c r="J392" s="574">
        <f>IF(F392="operation",VLOOKUP(I392,'Generic Vertical Port Tasks'!$C$4:$D$197,2,FALSE),"N/A")</f>
        <v>24.022732551873563</v>
      </c>
      <c r="K392" s="572"/>
      <c r="L392" s="572"/>
      <c r="M392" s="572"/>
      <c r="N392" s="577" t="str">
        <f>IFERROR(INDEX('Upper Cask Movement &amp; Logistics'!$I$24:$O$30,MATCH($J392,'Upper Cask Movement &amp; Logistics'!$H$24:$H$30,0),MATCH($K392,'Upper Cask Movement &amp; Logistics'!$H$24:$H$30,0)),"N/A")</f>
        <v>N/A</v>
      </c>
      <c r="O392" s="577" t="str">
        <f>IFERROR(VLOOKUP($I392,'Upper Cask Movement &amp; Logistics'!$H$4:$I$8,2,FALSE),"N/A")</f>
        <v>N/A</v>
      </c>
      <c r="P392" s="574" t="str">
        <f t="shared" si="35"/>
        <v>N/A</v>
      </c>
      <c r="Q392" s="1282"/>
      <c r="R392" s="574" t="str">
        <f>IF($F392="Logistics",VLOOKUP($Q392,'Upper Cask Movement &amp; Logistics'!$C$4:$D$209,2,FALSE),"N/A")</f>
        <v>N/A</v>
      </c>
      <c r="S392" s="1283"/>
      <c r="T392" s="574" t="str">
        <f>IFERROR(VLOOKUP($S392,'Upper Cask Recovery Logistics'!$C$369:$F$518,4,FALSE),"N/A")</f>
        <v>N/A</v>
      </c>
      <c r="U392" s="1284" t="str">
        <f t="shared" si="38"/>
        <v>N/A</v>
      </c>
      <c r="V392" s="1510"/>
      <c r="X392" s="273"/>
      <c r="Y392" s="273"/>
      <c r="Z392" s="273"/>
      <c r="AA392" s="752"/>
    </row>
    <row r="393" spans="2:27" ht="15" hidden="1" customHeight="1" outlineLevel="3" x14ac:dyDescent="0.4">
      <c r="B393" s="1030"/>
      <c r="C393" s="5"/>
      <c r="D393" s="3996"/>
      <c r="E393" s="572" t="s">
        <v>1248</v>
      </c>
      <c r="F393" s="572" t="s">
        <v>3</v>
      </c>
      <c r="G393" s="574">
        <f t="shared" si="36"/>
        <v>0.38</v>
      </c>
      <c r="H393" s="574">
        <f t="shared" si="37"/>
        <v>193.85224873593444</v>
      </c>
      <c r="I393" s="572"/>
      <c r="J393" s="574" t="str">
        <f>IF(F393="operation",VLOOKUP(I393,'Generic Vertical Port Tasks'!$C$4:$D$197,2,FALSE),"N/A")</f>
        <v>N/A</v>
      </c>
      <c r="K393" s="572"/>
      <c r="L393" s="572"/>
      <c r="M393" s="572"/>
      <c r="N393" s="577" t="str">
        <f>IFERROR(INDEX('Upper Cask Movement &amp; Logistics'!$I$24:$O$30,MATCH($J393,'Upper Cask Movement &amp; Logistics'!$H$24:$H$30,0),MATCH($K393,'Upper Cask Movement &amp; Logistics'!$H$24:$H$30,0)),"N/A")</f>
        <v>N/A</v>
      </c>
      <c r="O393" s="577" t="str">
        <f>IFERROR(VLOOKUP($I393,'Upper Cask Movement &amp; Logistics'!$H$4:$I$8,2,FALSE),"N/A")</f>
        <v>N/A</v>
      </c>
      <c r="P393" s="574" t="str">
        <f t="shared" si="35"/>
        <v>N/A</v>
      </c>
      <c r="Q393" s="1282" t="s">
        <v>1230</v>
      </c>
      <c r="R393" s="574">
        <f>IF($F393="Logistics",VLOOKUP($Q393,'Upper Cask Movement &amp; Logistics'!$C$4:$D$209,2,FALSE),"N/A")</f>
        <v>0.38</v>
      </c>
      <c r="S393" s="1283" t="s">
        <v>1090</v>
      </c>
      <c r="T393" s="574" t="str">
        <f>IFERROR(VLOOKUP($S393,'Upper Cask Recovery Logistics'!$C$369:$F$518,4,FALSE),"N/A")</f>
        <v>N/A</v>
      </c>
      <c r="U393" s="1284" t="str">
        <f t="shared" si="38"/>
        <v>N/A</v>
      </c>
      <c r="V393" s="1510"/>
      <c r="X393" s="273"/>
      <c r="Y393" s="273"/>
      <c r="Z393" s="273"/>
      <c r="AA393" s="752"/>
    </row>
    <row r="394" spans="2:27" ht="15" hidden="1" customHeight="1" outlineLevel="3" x14ac:dyDescent="0.4">
      <c r="B394" s="1030"/>
      <c r="C394" s="5"/>
      <c r="D394" s="3996"/>
      <c r="E394" s="572" t="s">
        <v>1252</v>
      </c>
      <c r="F394" s="572" t="s">
        <v>3</v>
      </c>
      <c r="G394" s="574">
        <f t="shared" si="36"/>
        <v>0.38</v>
      </c>
      <c r="H394" s="574">
        <f t="shared" si="37"/>
        <v>194.23224873593443</v>
      </c>
      <c r="I394" s="572"/>
      <c r="J394" s="574" t="str">
        <f>IF(F394="operation",VLOOKUP(I394,'Generic Vertical Port Tasks'!$C$4:$D$197,2,FALSE),"N/A")</f>
        <v>N/A</v>
      </c>
      <c r="K394" s="572"/>
      <c r="L394" s="572"/>
      <c r="M394" s="572"/>
      <c r="N394" s="577" t="str">
        <f>IFERROR(INDEX('Upper Cask Movement &amp; Logistics'!$I$24:$O$30,MATCH($J394,'Upper Cask Movement &amp; Logistics'!$H$24:$H$30,0),MATCH($K394,'Upper Cask Movement &amp; Logistics'!$H$24:$H$30,0)),"N/A")</f>
        <v>N/A</v>
      </c>
      <c r="O394" s="577" t="str">
        <f>IFERROR(VLOOKUP($I394,'Upper Cask Movement &amp; Logistics'!$H$4:$I$8,2,FALSE),"N/A")</f>
        <v>N/A</v>
      </c>
      <c r="P394" s="574" t="str">
        <f t="shared" si="35"/>
        <v>N/A</v>
      </c>
      <c r="Q394" s="1282" t="s">
        <v>1226</v>
      </c>
      <c r="R394" s="574">
        <f>IF($F394="Logistics",VLOOKUP($Q394,'Upper Cask Movement &amp; Logistics'!$C$4:$D$209,2,FALSE),"N/A")</f>
        <v>0.38</v>
      </c>
      <c r="S394" s="1283"/>
      <c r="T394" s="574" t="str">
        <f>IFERROR(VLOOKUP($S394,'Upper Cask Recovery Logistics'!$C$369:$F$518,4,FALSE),"N/A")</f>
        <v>N/A</v>
      </c>
      <c r="U394" s="1284" t="str">
        <f t="shared" si="38"/>
        <v>N/A</v>
      </c>
      <c r="V394" s="1510"/>
      <c r="X394" s="273"/>
      <c r="Y394" s="273"/>
      <c r="Z394" s="273"/>
      <c r="AA394" s="752"/>
    </row>
    <row r="395" spans="2:27" ht="15" hidden="1" customHeight="1" outlineLevel="3" x14ac:dyDescent="0.4">
      <c r="B395" s="1030"/>
      <c r="C395" s="5"/>
      <c r="D395" s="3996"/>
      <c r="E395" s="572" t="s">
        <v>42</v>
      </c>
      <c r="F395" s="572" t="s">
        <v>251</v>
      </c>
      <c r="G395" s="574">
        <f t="shared" si="36"/>
        <v>7.83</v>
      </c>
      <c r="H395" s="574">
        <f t="shared" si="37"/>
        <v>202.06224873593445</v>
      </c>
      <c r="I395" s="572" t="s">
        <v>257</v>
      </c>
      <c r="J395" s="574">
        <f>IF(F395="operation",VLOOKUP(I395,'Generic Vertical Port Tasks'!$C$4:$D$197,2,FALSE),"N/A")</f>
        <v>7.83</v>
      </c>
      <c r="K395" s="572"/>
      <c r="L395" s="572"/>
      <c r="M395" s="572"/>
      <c r="N395" s="577" t="str">
        <f>IFERROR(INDEX('Upper Cask Movement &amp; Logistics'!$I$24:$O$30,MATCH($J395,'Upper Cask Movement &amp; Logistics'!$H$24:$H$30,0),MATCH($K395,'Upper Cask Movement &amp; Logistics'!$H$24:$H$30,0)),"N/A")</f>
        <v>N/A</v>
      </c>
      <c r="O395" s="577" t="str">
        <f>IFERROR(VLOOKUP($I395,'Upper Cask Movement &amp; Logistics'!$H$4:$I$8,2,FALSE),"N/A")</f>
        <v>N/A</v>
      </c>
      <c r="P395" s="574" t="str">
        <f t="shared" si="35"/>
        <v>N/A</v>
      </c>
      <c r="Q395" s="1282"/>
      <c r="R395" s="574" t="str">
        <f>IF($F395="Logistics",VLOOKUP($Q395,'Upper Cask Movement &amp; Logistics'!$C$4:$D$209,2,FALSE),"N/A")</f>
        <v>N/A</v>
      </c>
      <c r="S395" s="1283"/>
      <c r="T395" s="574" t="str">
        <f>IFERROR(VLOOKUP($S395,'Upper Cask Recovery Logistics'!$C$369:$F$518,4,FALSE),"N/A")</f>
        <v>N/A</v>
      </c>
      <c r="U395" s="1284" t="str">
        <f t="shared" si="38"/>
        <v>N/A</v>
      </c>
      <c r="V395" s="1510"/>
      <c r="X395" s="273"/>
      <c r="Y395" s="273"/>
      <c r="Z395" s="273"/>
      <c r="AA395" s="752"/>
    </row>
    <row r="396" spans="2:27" ht="15" hidden="1" customHeight="1" outlineLevel="3" thickBot="1" x14ac:dyDescent="0.45">
      <c r="B396" s="1030"/>
      <c r="C396" s="5"/>
      <c r="D396" s="3997"/>
      <c r="E396" s="583" t="s">
        <v>1246</v>
      </c>
      <c r="F396" s="583" t="s">
        <v>3</v>
      </c>
      <c r="G396" s="585">
        <f t="shared" si="36"/>
        <v>0.38</v>
      </c>
      <c r="H396" s="574">
        <f t="shared" si="37"/>
        <v>202.44224873593444</v>
      </c>
      <c r="I396" s="583"/>
      <c r="J396" s="585" t="str">
        <f>IF(F396="operation",VLOOKUP(I396,'Generic Vertical Port Tasks'!$C$4:$D$197,2,FALSE),"N/A")</f>
        <v>N/A</v>
      </c>
      <c r="K396" s="583"/>
      <c r="L396" s="583"/>
      <c r="M396" s="583"/>
      <c r="N396" s="588" t="str">
        <f>IFERROR(INDEX('Upper Cask Movement &amp; Logistics'!$I$24:$O$30,MATCH($J396,'Upper Cask Movement &amp; Logistics'!$H$24:$H$30,0),MATCH($K396,'Upper Cask Movement &amp; Logistics'!$H$24:$H$30,0)),"N/A")</f>
        <v>N/A</v>
      </c>
      <c r="O396" s="588" t="str">
        <f>IFERROR(VLOOKUP($I396,'Upper Cask Movement &amp; Logistics'!$H$4:$I$8,2,FALSE),"N/A")</f>
        <v>N/A</v>
      </c>
      <c r="P396" s="585" t="str">
        <f t="shared" si="35"/>
        <v>N/A</v>
      </c>
      <c r="Q396" s="1285" t="s">
        <v>1230</v>
      </c>
      <c r="R396" s="585">
        <f>IF($F396="Logistics",VLOOKUP($Q396,'Upper Cask Movement &amp; Logistics'!$C$4:$D$209,2,FALSE),"N/A")</f>
        <v>0.38</v>
      </c>
      <c r="S396" s="1286"/>
      <c r="T396" s="585" t="str">
        <f>IFERROR(VLOOKUP($S396,'Upper Cask Recovery Logistics'!$C$369:$F$518,4,FALSE),"N/A")</f>
        <v>N/A</v>
      </c>
      <c r="U396" s="1287" t="str">
        <f t="shared" si="38"/>
        <v>N/A</v>
      </c>
      <c r="V396" s="1510"/>
      <c r="X396" s="273"/>
      <c r="Y396" s="273"/>
      <c r="Z396" s="273"/>
      <c r="AA396" s="752"/>
    </row>
    <row r="397" spans="2:27" ht="15" hidden="1" customHeight="1" outlineLevel="3" x14ac:dyDescent="0.4">
      <c r="B397" s="1030"/>
      <c r="C397" s="5"/>
      <c r="D397" s="3992" t="s">
        <v>119</v>
      </c>
      <c r="E397" s="596" t="s">
        <v>1303</v>
      </c>
      <c r="F397" s="596" t="s">
        <v>3</v>
      </c>
      <c r="G397" s="593">
        <f t="shared" si="36"/>
        <v>0.60000000000000009</v>
      </c>
      <c r="H397" s="602">
        <f>IF(U397&lt;0,G397+H396+(-U397),G397+H396)</f>
        <v>203.04224873593444</v>
      </c>
      <c r="I397" s="596"/>
      <c r="J397" s="593" t="str">
        <f>IF(F397="operation",VLOOKUP(I397,'Generic Vertical Port Tasks'!$C$4:$D$197,2,FALSE),"N/A")</f>
        <v>N/A</v>
      </c>
      <c r="K397" s="596"/>
      <c r="L397" s="596"/>
      <c r="M397" s="596"/>
      <c r="N397" s="597" t="str">
        <f>IFERROR(INDEX('Upper Cask Movement &amp; Logistics'!$I$24:$O$30,MATCH($J397,'Upper Cask Movement &amp; Logistics'!$H$24:$H$30,0),MATCH($K397,'Upper Cask Movement &amp; Logistics'!$H$24:$H$30,0)),"N/A")</f>
        <v>N/A</v>
      </c>
      <c r="O397" s="597" t="str">
        <f>IFERROR(VLOOKUP($I397,'Upper Cask Movement &amp; Logistics'!$H$4:$I$8,2,FALSE),"N/A")</f>
        <v>N/A</v>
      </c>
      <c r="P397" s="593" t="str">
        <f t="shared" si="35"/>
        <v>N/A</v>
      </c>
      <c r="Q397" s="1253" t="s">
        <v>1279</v>
      </c>
      <c r="R397" s="593">
        <f>IF($F397="Logistics",VLOOKUP($Q397,'Upper Cask Movement &amp; Logistics'!$C$4:$D$209,2,FALSE),"N/A")</f>
        <v>0.60000000000000009</v>
      </c>
      <c r="S397" s="1254" t="s">
        <v>1416</v>
      </c>
      <c r="T397" s="593">
        <f>IFERROR(VLOOKUP($S397,'Upper Cask Recovery Logistics'!$C$369:$F$518,4,FALSE),"N/A")</f>
        <v>173.99544210998687</v>
      </c>
      <c r="U397" s="1255">
        <f t="shared" si="38"/>
        <v>28.446806625947573</v>
      </c>
      <c r="V397" s="1510"/>
      <c r="X397" s="273"/>
      <c r="Y397" s="273"/>
      <c r="Z397" s="273"/>
      <c r="AA397" s="752"/>
    </row>
    <row r="398" spans="2:27" ht="15" hidden="1" customHeight="1" outlineLevel="3" x14ac:dyDescent="0.4">
      <c r="B398" s="1030"/>
      <c r="C398" s="5"/>
      <c r="D398" s="3993"/>
      <c r="E398" s="601" t="s">
        <v>1517</v>
      </c>
      <c r="F398" s="601" t="s">
        <v>3</v>
      </c>
      <c r="G398" s="602">
        <f t="shared" si="36"/>
        <v>0.38</v>
      </c>
      <c r="H398" s="602">
        <f t="shared" si="37"/>
        <v>203.42224873593443</v>
      </c>
      <c r="I398" s="601"/>
      <c r="J398" s="602" t="str">
        <f>IF(F398="operation",VLOOKUP(I398,'Generic Vertical Port Tasks'!$C$4:$D$197,2,FALSE),"N/A")</f>
        <v>N/A</v>
      </c>
      <c r="K398" s="601"/>
      <c r="L398" s="601"/>
      <c r="M398" s="601"/>
      <c r="N398" s="605" t="str">
        <f>IFERROR(INDEX('Upper Cask Movement &amp; Logistics'!$I$24:$O$30,MATCH($J398,'Upper Cask Movement &amp; Logistics'!$H$24:$H$30,0),MATCH($K398,'Upper Cask Movement &amp; Logistics'!$H$24:$H$30,0)),"N/A")</f>
        <v>N/A</v>
      </c>
      <c r="O398" s="605" t="str">
        <f>IFERROR(VLOOKUP($I398,'Upper Cask Movement &amp; Logistics'!$H$4:$I$8,2,FALSE),"N/A")</f>
        <v>N/A</v>
      </c>
      <c r="P398" s="602" t="str">
        <f t="shared" si="35"/>
        <v>N/A</v>
      </c>
      <c r="Q398" s="1288" t="s">
        <v>1226</v>
      </c>
      <c r="R398" s="602">
        <f>IF($F398="Logistics",VLOOKUP($Q398,'Upper Cask Movement &amp; Logistics'!$C$4:$D$209,2,FALSE),"N/A")</f>
        <v>0.38</v>
      </c>
      <c r="S398" s="1235"/>
      <c r="T398" s="602" t="str">
        <f>IFERROR(VLOOKUP($S398,'Upper Cask Recovery Logistics'!$C$369:$F$518,4,FALSE),"N/A")</f>
        <v>N/A</v>
      </c>
      <c r="U398" s="1236" t="str">
        <f t="shared" si="38"/>
        <v>N/A</v>
      </c>
      <c r="V398" s="1510"/>
      <c r="X398" s="273"/>
      <c r="Y398" s="273"/>
      <c r="Z398" s="273"/>
      <c r="AA398" s="752"/>
    </row>
    <row r="399" spans="2:27" ht="15" hidden="1" customHeight="1" outlineLevel="3" x14ac:dyDescent="0.4">
      <c r="B399" s="1030"/>
      <c r="C399" s="5"/>
      <c r="D399" s="3993"/>
      <c r="E399" s="601" t="s">
        <v>119</v>
      </c>
      <c r="F399" s="601" t="s">
        <v>251</v>
      </c>
      <c r="G399" s="602">
        <f t="shared" si="36"/>
        <v>4.0949999999999998</v>
      </c>
      <c r="H399" s="602">
        <f t="shared" si="37"/>
        <v>207.51724873593443</v>
      </c>
      <c r="I399" s="601" t="s">
        <v>35</v>
      </c>
      <c r="J399" s="602">
        <f>IF(F399="operation",VLOOKUP(I399,'Generic Vertical Port Tasks'!$C$4:$D$197,2,FALSE),"N/A")</f>
        <v>4.0949999999999998</v>
      </c>
      <c r="K399" s="601"/>
      <c r="L399" s="601"/>
      <c r="M399" s="601"/>
      <c r="N399" s="605" t="str">
        <f>IFERROR(INDEX('Upper Cask Movement &amp; Logistics'!$I$24:$O$30,MATCH($J399,'Upper Cask Movement &amp; Logistics'!$H$24:$H$30,0),MATCH($K399,'Upper Cask Movement &amp; Logistics'!$H$24:$H$30,0)),"N/A")</f>
        <v>N/A</v>
      </c>
      <c r="O399" s="605" t="str">
        <f>IFERROR(VLOOKUP($I399,'Upper Cask Movement &amp; Logistics'!$H$4:$I$8,2,FALSE),"N/A")</f>
        <v>N/A</v>
      </c>
      <c r="P399" s="602" t="str">
        <f t="shared" si="35"/>
        <v>N/A</v>
      </c>
      <c r="Q399" s="1234"/>
      <c r="R399" s="602" t="str">
        <f>IF($F399="Logistics",VLOOKUP($Q399,'Upper Cask Movement &amp; Logistics'!$C$4:$D$209,2,FALSE),"N/A")</f>
        <v>N/A</v>
      </c>
      <c r="S399" s="1235"/>
      <c r="T399" s="602" t="str">
        <f>IFERROR(VLOOKUP($S399,'Upper Cask Recovery Logistics'!$C$369:$F$518,4,FALSE),"N/A")</f>
        <v>N/A</v>
      </c>
      <c r="U399" s="1236" t="str">
        <f t="shared" si="38"/>
        <v>N/A</v>
      </c>
      <c r="V399" s="1510"/>
      <c r="X399" s="273"/>
      <c r="Y399" s="273"/>
      <c r="Z399" s="273"/>
      <c r="AA399" s="752"/>
    </row>
    <row r="400" spans="2:27" ht="15" hidden="1" customHeight="1" outlineLevel="3" thickBot="1" x14ac:dyDescent="0.45">
      <c r="B400" s="1030"/>
      <c r="C400" s="5"/>
      <c r="D400" s="3993"/>
      <c r="E400" s="601" t="s">
        <v>1251</v>
      </c>
      <c r="F400" s="636" t="s">
        <v>3</v>
      </c>
      <c r="G400" s="602">
        <f t="shared" si="36"/>
        <v>0.38</v>
      </c>
      <c r="H400" s="602">
        <f t="shared" si="37"/>
        <v>207.89724873593443</v>
      </c>
      <c r="I400" s="601"/>
      <c r="J400" s="602" t="str">
        <f>IF(F400="operation",VLOOKUP(I400,'Generic Vertical Port Tasks'!$C$4:$D$197,2,FALSE),"N/A")</f>
        <v>N/A</v>
      </c>
      <c r="K400" s="601"/>
      <c r="L400" s="601"/>
      <c r="M400" s="601"/>
      <c r="N400" s="605" t="str">
        <f>IFERROR(INDEX('Upper Cask Movement &amp; Logistics'!$I$24:$O$30,MATCH($J400,'Upper Cask Movement &amp; Logistics'!$H$24:$H$30,0),MATCH($K400,'Upper Cask Movement &amp; Logistics'!$H$24:$H$30,0)),"N/A")</f>
        <v>N/A</v>
      </c>
      <c r="O400" s="605" t="str">
        <f>IFERROR(VLOOKUP($I400,'Upper Cask Movement &amp; Logistics'!$H$4:$I$8,2,FALSE),"N/A")</f>
        <v>N/A</v>
      </c>
      <c r="P400" s="602" t="str">
        <f t="shared" si="35"/>
        <v>N/A</v>
      </c>
      <c r="Q400" s="1234" t="s">
        <v>1230</v>
      </c>
      <c r="R400" s="602">
        <f>IF($F400="Logistics",VLOOKUP($Q400,'Upper Cask Movement &amp; Logistics'!$C$4:$D$209,2,FALSE),"N/A")</f>
        <v>0.38</v>
      </c>
      <c r="S400" s="1235"/>
      <c r="T400" s="602" t="str">
        <f>IFERROR(VLOOKUP($S400,'Upper Cask Recovery Logistics'!$C$369:$F$518,4,FALSE),"N/A")</f>
        <v>N/A</v>
      </c>
      <c r="U400" s="1236" t="str">
        <f t="shared" si="38"/>
        <v>N/A</v>
      </c>
      <c r="V400" s="1510"/>
      <c r="X400" s="273"/>
      <c r="Y400" s="273"/>
      <c r="Z400" s="273"/>
      <c r="AA400" s="752"/>
    </row>
    <row r="401" spans="2:27" ht="15" hidden="1" customHeight="1" outlineLevel="3" x14ac:dyDescent="0.4">
      <c r="B401" s="1030"/>
      <c r="C401" s="5"/>
      <c r="D401" s="3995" t="s">
        <v>1092</v>
      </c>
      <c r="E401" s="617" t="s">
        <v>1299</v>
      </c>
      <c r="F401" s="617" t="s">
        <v>3</v>
      </c>
      <c r="G401" s="567">
        <f t="shared" si="36"/>
        <v>0.38</v>
      </c>
      <c r="H401" s="567">
        <f t="shared" si="37"/>
        <v>208.27724873593442</v>
      </c>
      <c r="I401" s="617"/>
      <c r="J401" s="567" t="str">
        <f>IF(F401="operation",VLOOKUP(I401,'Generic Vertical Port Tasks'!$C$4:$D$197,2,FALSE),"N/A")</f>
        <v>N/A</v>
      </c>
      <c r="K401" s="617"/>
      <c r="L401" s="617"/>
      <c r="M401" s="617"/>
      <c r="N401" s="618" t="str">
        <f>IFERROR(INDEX('Upper Cask Movement &amp; Logistics'!$I$24:$O$30,MATCH($J401,'Upper Cask Movement &amp; Logistics'!$H$24:$H$30,0),MATCH($K401,'Upper Cask Movement &amp; Logistics'!$H$24:$H$30,0)),"N/A")</f>
        <v>N/A</v>
      </c>
      <c r="O401" s="618" t="str">
        <f>IFERROR(VLOOKUP($I401,'Upper Cask Movement &amp; Logistics'!$H$4:$I$8,2,FALSE),"N/A")</f>
        <v>N/A</v>
      </c>
      <c r="P401" s="567" t="str">
        <f t="shared" si="35"/>
        <v>N/A</v>
      </c>
      <c r="Q401" s="1271" t="s">
        <v>1226</v>
      </c>
      <c r="R401" s="567">
        <f>IF($F401="Logistics",VLOOKUP($Q401,'Upper Cask Movement &amp; Logistics'!$C$4:$D$209,2,FALSE),"N/A")</f>
        <v>0.38</v>
      </c>
      <c r="S401" s="1272"/>
      <c r="T401" s="567" t="str">
        <f>IFERROR(VLOOKUP($S401,'Upper Cask Recovery Logistics'!$C$369:$F$518,4,FALSE),"N/A")</f>
        <v>N/A</v>
      </c>
      <c r="U401" s="1273" t="str">
        <f t="shared" si="38"/>
        <v>N/A</v>
      </c>
      <c r="V401" s="1510"/>
      <c r="X401" s="273"/>
      <c r="Y401" s="273"/>
      <c r="Z401" s="273"/>
      <c r="AA401" s="752"/>
    </row>
    <row r="402" spans="2:27" ht="15" hidden="1" customHeight="1" outlineLevel="3" x14ac:dyDescent="0.4">
      <c r="B402" s="1030"/>
      <c r="C402" s="5"/>
      <c r="D402" s="3996"/>
      <c r="E402" s="572" t="s">
        <v>128</v>
      </c>
      <c r="F402" s="572" t="s">
        <v>251</v>
      </c>
      <c r="G402" s="574">
        <f t="shared" si="36"/>
        <v>24.022732551873563</v>
      </c>
      <c r="H402" s="574">
        <f t="shared" si="37"/>
        <v>232.29998128780798</v>
      </c>
      <c r="I402" s="572" t="s">
        <v>2492</v>
      </c>
      <c r="J402" s="574">
        <f>IF(F402="operation",VLOOKUP(I402,'Generic Vertical Port Tasks'!$C$4:$D$197,2,FALSE),"N/A")</f>
        <v>24.022732551873563</v>
      </c>
      <c r="K402" s="572"/>
      <c r="L402" s="572"/>
      <c r="M402" s="572"/>
      <c r="N402" s="577" t="str">
        <f>IFERROR(INDEX('Upper Cask Movement &amp; Logistics'!$I$24:$O$30,MATCH($J402,'Upper Cask Movement &amp; Logistics'!$H$24:$H$30,0),MATCH($K402,'Upper Cask Movement &amp; Logistics'!$H$24:$H$30,0)),"N/A")</f>
        <v>N/A</v>
      </c>
      <c r="O402" s="577" t="str">
        <f>IFERROR(VLOOKUP($I402,'Upper Cask Movement &amp; Logistics'!$H$4:$I$8,2,FALSE),"N/A")</f>
        <v>N/A</v>
      </c>
      <c r="P402" s="574" t="str">
        <f t="shared" si="35"/>
        <v>N/A</v>
      </c>
      <c r="Q402" s="1282"/>
      <c r="R402" s="574" t="str">
        <f>IF($F402="Logistics",VLOOKUP($Q402,'Upper Cask Movement &amp; Logistics'!$C$4:$D$209,2,FALSE),"N/A")</f>
        <v>N/A</v>
      </c>
      <c r="S402" s="1283"/>
      <c r="T402" s="574" t="str">
        <f>IFERROR(VLOOKUP($S402,'Upper Cask Recovery Logistics'!$C$369:$F$518,4,FALSE),"N/A")</f>
        <v>N/A</v>
      </c>
      <c r="U402" s="1284" t="str">
        <f t="shared" si="38"/>
        <v>N/A</v>
      </c>
      <c r="V402" s="1510"/>
      <c r="X402" s="273"/>
      <c r="Y402" s="273"/>
      <c r="Z402" s="273"/>
      <c r="AA402" s="752"/>
    </row>
    <row r="403" spans="2:27" ht="15" hidden="1" customHeight="1" outlineLevel="3" thickBot="1" x14ac:dyDescent="0.45">
      <c r="B403" s="1030"/>
      <c r="C403" s="5"/>
      <c r="D403" s="3997"/>
      <c r="E403" s="583" t="s">
        <v>1248</v>
      </c>
      <c r="F403" s="583" t="s">
        <v>3</v>
      </c>
      <c r="G403" s="585">
        <f t="shared" si="36"/>
        <v>0.38</v>
      </c>
      <c r="H403" s="585">
        <f t="shared" si="37"/>
        <v>232.67998128780798</v>
      </c>
      <c r="I403" s="583"/>
      <c r="J403" s="585" t="str">
        <f>IF(F403="operation",VLOOKUP(I403,'Generic Vertical Port Tasks'!$C$4:$D$197,2,FALSE),"N/A")</f>
        <v>N/A</v>
      </c>
      <c r="K403" s="583"/>
      <c r="L403" s="583"/>
      <c r="M403" s="583"/>
      <c r="N403" s="588" t="str">
        <f>IFERROR(INDEX('Upper Cask Movement &amp; Logistics'!$I$24:$O$30,MATCH($J403,'Upper Cask Movement &amp; Logistics'!$H$24:$H$30,0),MATCH($K403,'Upper Cask Movement &amp; Logistics'!$H$24:$H$30,0)),"N/A")</f>
        <v>N/A</v>
      </c>
      <c r="O403" s="588" t="str">
        <f>IFERROR(VLOOKUP($I403,'Upper Cask Movement &amp; Logistics'!$H$4:$I$8,2,FALSE),"N/A")</f>
        <v>N/A</v>
      </c>
      <c r="P403" s="585" t="str">
        <f t="shared" si="35"/>
        <v>N/A</v>
      </c>
      <c r="Q403" s="1285" t="s">
        <v>1230</v>
      </c>
      <c r="R403" s="585">
        <f>IF($F403="Logistics",VLOOKUP($Q403,'Upper Cask Movement &amp; Logistics'!$C$4:$D$209,2,FALSE),"N/A")</f>
        <v>0.38</v>
      </c>
      <c r="S403" s="1286" t="s">
        <v>1093</v>
      </c>
      <c r="T403" s="585" t="str">
        <f>IFERROR(VLOOKUP($S403,'Upper Cask Recovery Logistics'!$C$369:$F$518,4,FALSE),"N/A")</f>
        <v>N/A</v>
      </c>
      <c r="U403" s="1287" t="str">
        <f t="shared" si="38"/>
        <v>N/A</v>
      </c>
      <c r="V403" s="1510"/>
      <c r="X403" s="273"/>
      <c r="Y403" s="273"/>
      <c r="Z403" s="273"/>
      <c r="AA403" s="752"/>
    </row>
    <row r="404" spans="2:27" ht="15" hidden="1" customHeight="1" outlineLevel="1" collapsed="1" x14ac:dyDescent="0.4">
      <c r="B404" s="1030"/>
      <c r="C404" s="5"/>
      <c r="D404" s="891"/>
      <c r="E404" s="892"/>
      <c r="F404" s="893" t="s">
        <v>11</v>
      </c>
      <c r="G404" s="893"/>
      <c r="H404" s="894">
        <f>H403</f>
        <v>232.67998128780798</v>
      </c>
      <c r="I404" s="94"/>
      <c r="J404" s="895"/>
      <c r="K404" s="94"/>
      <c r="L404" s="94"/>
      <c r="M404" s="896"/>
      <c r="N404" s="897"/>
      <c r="O404" s="897"/>
      <c r="P404" s="894"/>
      <c r="Q404" s="94"/>
      <c r="R404" s="897"/>
      <c r="S404" s="94"/>
      <c r="T404" s="290"/>
      <c r="U404" s="895"/>
      <c r="V404" s="895"/>
      <c r="W404" s="895"/>
      <c r="X404" s="290"/>
      <c r="Y404" s="290"/>
      <c r="AA404" s="915"/>
    </row>
    <row r="405" spans="2:27" hidden="1" outlineLevel="1" x14ac:dyDescent="0.4">
      <c r="B405" s="1030"/>
      <c r="C405" s="5"/>
      <c r="D405" s="891"/>
      <c r="E405" s="892"/>
      <c r="F405" s="898"/>
      <c r="G405" s="894"/>
      <c r="H405" s="894"/>
      <c r="I405" s="94"/>
      <c r="J405" s="895"/>
      <c r="K405" s="94"/>
      <c r="L405" s="94"/>
      <c r="M405" s="896"/>
      <c r="N405" s="897"/>
      <c r="O405" s="897"/>
      <c r="P405" s="894"/>
      <c r="Q405" s="94"/>
      <c r="R405" s="897"/>
      <c r="S405" s="94"/>
      <c r="T405" s="290"/>
      <c r="U405" s="895"/>
      <c r="V405" s="895"/>
      <c r="W405" s="895"/>
      <c r="X405" s="273"/>
      <c r="Y405" s="273"/>
      <c r="Z405" s="273"/>
      <c r="AA405" s="915"/>
    </row>
    <row r="406" spans="2:27" collapsed="1" x14ac:dyDescent="0.4">
      <c r="B406" s="1031"/>
      <c r="C406" s="1032"/>
      <c r="D406" s="1032"/>
      <c r="E406" s="1032"/>
      <c r="F406" s="1033"/>
      <c r="G406" s="1032"/>
      <c r="H406" s="1032"/>
      <c r="I406" s="1034"/>
      <c r="J406" s="1035"/>
      <c r="K406" s="1032"/>
      <c r="L406" s="1032"/>
      <c r="M406" s="1036"/>
      <c r="N406" s="1032"/>
      <c r="O406" s="1032"/>
      <c r="P406" s="1032"/>
      <c r="Q406" s="1032"/>
      <c r="R406" s="1032"/>
      <c r="S406" s="1034"/>
      <c r="T406" s="1035"/>
      <c r="U406" s="1032"/>
      <c r="V406" s="1032"/>
      <c r="W406" s="1032"/>
      <c r="X406" s="1035"/>
      <c r="Y406" s="1035"/>
      <c r="Z406" s="1035"/>
      <c r="AA406" s="1037"/>
    </row>
    <row r="408" spans="2:27" ht="15.45" x14ac:dyDescent="0.4">
      <c r="B408" s="1038"/>
      <c r="C408" s="1039"/>
      <c r="D408" s="1039"/>
      <c r="E408" s="1040" t="s">
        <v>2517</v>
      </c>
      <c r="F408" s="1041"/>
      <c r="G408" s="1041"/>
      <c r="H408" s="1041"/>
      <c r="I408" s="1041"/>
      <c r="J408" s="1041"/>
      <c r="K408" s="1041"/>
      <c r="L408" s="1041"/>
      <c r="M408" s="1041"/>
      <c r="N408" s="1041"/>
      <c r="O408" s="1041"/>
      <c r="P408" s="1041"/>
      <c r="Q408" s="1041"/>
      <c r="R408" s="1041"/>
      <c r="S408" s="1041"/>
      <c r="T408" s="1041"/>
      <c r="U408" s="1041"/>
      <c r="V408" s="1041"/>
      <c r="W408" s="1041"/>
      <c r="X408" s="1041"/>
      <c r="Y408" s="1041"/>
      <c r="Z408" s="1041"/>
      <c r="AA408" s="1042"/>
    </row>
    <row r="409" spans="2:27" ht="15" hidden="1" outlineLevel="1" thickBot="1" x14ac:dyDescent="0.45">
      <c r="B409" s="1043"/>
      <c r="C409" s="704"/>
      <c r="D409" s="704"/>
      <c r="E409" s="748" t="s">
        <v>1053</v>
      </c>
      <c r="F409" s="749"/>
      <c r="G409" s="704"/>
      <c r="H409" s="704"/>
      <c r="I409" s="704"/>
      <c r="J409" s="750"/>
      <c r="K409" s="704"/>
      <c r="L409" s="704"/>
      <c r="M409" s="704"/>
      <c r="N409" s="704"/>
      <c r="O409" s="704"/>
      <c r="P409" s="704"/>
      <c r="Q409" s="704"/>
      <c r="R409" s="704"/>
      <c r="S409" s="704"/>
      <c r="T409" s="750"/>
      <c r="U409" s="704"/>
      <c r="V409" s="704"/>
      <c r="W409" s="704"/>
      <c r="X409" s="750"/>
      <c r="Y409" s="750"/>
      <c r="Z409" s="750"/>
      <c r="AA409" s="751"/>
    </row>
    <row r="410" spans="2:27" hidden="1" outlineLevel="1" x14ac:dyDescent="0.4">
      <c r="B410" s="1043"/>
      <c r="C410" s="704"/>
      <c r="D410" s="704"/>
      <c r="E410" s="704" t="s">
        <v>1034</v>
      </c>
      <c r="F410" s="749"/>
      <c r="G410" s="704"/>
      <c r="H410" s="704"/>
      <c r="I410" s="704"/>
      <c r="J410" s="750"/>
      <c r="K410" s="704"/>
      <c r="L410" s="704"/>
      <c r="M410" s="704"/>
      <c r="N410" s="704"/>
      <c r="O410" s="704"/>
      <c r="P410" s="704"/>
      <c r="Q410" s="704"/>
      <c r="R410" s="704"/>
      <c r="S410" s="2992"/>
      <c r="T410" s="3591" t="s">
        <v>23</v>
      </c>
      <c r="U410" s="3989" t="s">
        <v>1054</v>
      </c>
      <c r="V410" s="3990"/>
      <c r="W410" s="3990"/>
      <c r="X410" s="3990"/>
      <c r="Y410" s="3991"/>
      <c r="Z410" s="781"/>
      <c r="AA410" s="915"/>
    </row>
    <row r="411" spans="2:27" hidden="1" outlineLevel="1" x14ac:dyDescent="0.4">
      <c r="B411" s="1043"/>
      <c r="C411" s="704"/>
      <c r="D411" s="704"/>
      <c r="E411" s="704" t="s">
        <v>1035</v>
      </c>
      <c r="F411" s="749"/>
      <c r="G411" s="704"/>
      <c r="H411" s="704"/>
      <c r="I411" s="704"/>
      <c r="J411" s="750"/>
      <c r="K411" s="704"/>
      <c r="L411" s="704"/>
      <c r="M411" s="704"/>
      <c r="N411" s="704"/>
      <c r="O411" s="704"/>
      <c r="P411" s="704"/>
      <c r="Q411" s="704"/>
      <c r="R411" s="704"/>
      <c r="S411" s="3588" t="s">
        <v>1055</v>
      </c>
      <c r="T411" s="1513">
        <v>1</v>
      </c>
      <c r="U411" s="1512">
        <v>1</v>
      </c>
      <c r="V411" s="1497">
        <v>2</v>
      </c>
      <c r="W411" s="916">
        <v>3</v>
      </c>
      <c r="X411" s="916">
        <v>4</v>
      </c>
      <c r="Y411" s="1045">
        <v>6</v>
      </c>
      <c r="Z411" s="1851"/>
      <c r="AA411" s="915"/>
    </row>
    <row r="412" spans="2:27" hidden="1" outlineLevel="1" x14ac:dyDescent="0.4">
      <c r="B412" s="1043"/>
      <c r="C412" s="704"/>
      <c r="D412" s="704"/>
      <c r="E412" s="704" t="s">
        <v>1036</v>
      </c>
      <c r="F412" s="749"/>
      <c r="G412" s="704"/>
      <c r="H412" s="704"/>
      <c r="I412" s="704"/>
      <c r="J412" s="750"/>
      <c r="K412" s="704"/>
      <c r="L412" s="704"/>
      <c r="M412" s="704"/>
      <c r="N412" s="704"/>
      <c r="O412" s="704"/>
      <c r="P412" s="704"/>
      <c r="Q412" s="704"/>
      <c r="R412" s="704"/>
      <c r="S412" s="3589" t="s">
        <v>2665</v>
      </c>
      <c r="T412" s="273">
        <f>Connect_vertical_pipework</f>
        <v>24.022732551873563</v>
      </c>
      <c r="U412" s="1415">
        <f>ROUNDUP((Tokamak_Segmts/U411),0)*Vertical_port_pipes_per_blanket</f>
        <v>96</v>
      </c>
      <c r="V412" s="1498">
        <f>ROUNDUP((Tokamak_Segmts/V411),0)*Vertical_port_pipes_per_blanket</f>
        <v>48</v>
      </c>
      <c r="W412" s="917">
        <f>ROUNDUP((Tokamak_Segmts/W411),0)*Vertical_port_pipes_per_blanket</f>
        <v>36</v>
      </c>
      <c r="X412" s="917">
        <f>ROUNDUP((Tokamak_Segmts/X411),0)*Vertical_port_pipes_per_blanket</f>
        <v>24</v>
      </c>
      <c r="Y412" s="1028">
        <f>ROUNDUP((Tokamak_Segmts/Y411),0)*Vertical_port_pipes_per_blanket</f>
        <v>18</v>
      </c>
      <c r="AA412" s="915"/>
    </row>
    <row r="413" spans="2:27" ht="15" hidden="1" outlineLevel="1" thickBot="1" x14ac:dyDescent="0.45">
      <c r="B413" s="1043"/>
      <c r="C413" s="704"/>
      <c r="D413" s="704"/>
      <c r="E413" s="704" t="s">
        <v>1037</v>
      </c>
      <c r="F413" s="749"/>
      <c r="G413" s="704"/>
      <c r="H413" s="704"/>
      <c r="I413" s="704"/>
      <c r="J413" s="750"/>
      <c r="K413" s="704"/>
      <c r="L413" s="704"/>
      <c r="M413" s="704"/>
      <c r="N413" s="704"/>
      <c r="O413" s="704"/>
      <c r="P413" s="704"/>
      <c r="Q413" s="704"/>
      <c r="R413" s="704"/>
      <c r="S413" s="3141" t="s">
        <v>2693</v>
      </c>
      <c r="T413" s="3586">
        <f>T$412*$F$416</f>
        <v>0.2642500580706092</v>
      </c>
      <c r="U413" s="1416">
        <f t="shared" ref="U413:Y413" si="39">U$412*$F$416</f>
        <v>1.056</v>
      </c>
      <c r="V413" s="1499">
        <f t="shared" si="39"/>
        <v>0.52800000000000002</v>
      </c>
      <c r="W413" s="920">
        <f t="shared" si="39"/>
        <v>0.39599999999999996</v>
      </c>
      <c r="X413" s="920">
        <f t="shared" si="39"/>
        <v>0.26400000000000001</v>
      </c>
      <c r="Y413" s="1029">
        <f t="shared" si="39"/>
        <v>0.19799999999999998</v>
      </c>
      <c r="AA413" s="915"/>
    </row>
    <row r="414" spans="2:27" hidden="1" outlineLevel="1" x14ac:dyDescent="0.4">
      <c r="B414" s="1043"/>
      <c r="C414" s="704"/>
      <c r="D414" s="704"/>
      <c r="E414" s="704" t="s">
        <v>1038</v>
      </c>
      <c r="F414" s="749"/>
      <c r="G414" s="704"/>
      <c r="H414" s="704"/>
      <c r="I414" s="704"/>
      <c r="J414" s="750"/>
      <c r="K414" s="704"/>
      <c r="L414" s="704"/>
      <c r="M414" s="704"/>
      <c r="N414" s="704"/>
      <c r="O414" s="704"/>
      <c r="P414" s="704"/>
      <c r="Q414" s="704"/>
      <c r="R414" s="704"/>
      <c r="S414" s="91" t="s">
        <v>1048</v>
      </c>
      <c r="T414" s="1063">
        <f t="shared" ref="T414:Y414" si="40">T413*(SUMIF($F$424:$F$495,"Operation",$G$424:$G$495))</f>
        <v>35.059432395964016</v>
      </c>
      <c r="U414" s="1500">
        <f t="shared" si="40"/>
        <v>140.10502355403571</v>
      </c>
      <c r="V414" s="3661">
        <f t="shared" si="40"/>
        <v>70.052511777017855</v>
      </c>
      <c r="W414" s="768">
        <f t="shared" si="40"/>
        <v>52.539383832763384</v>
      </c>
      <c r="X414" s="768">
        <f t="shared" si="40"/>
        <v>35.026255888508928</v>
      </c>
      <c r="Y414" s="1062">
        <f t="shared" si="40"/>
        <v>26.269691916381692</v>
      </c>
      <c r="AA414" s="915"/>
    </row>
    <row r="415" spans="2:27" hidden="1" outlineLevel="1" x14ac:dyDescent="0.4">
      <c r="B415" s="1043"/>
      <c r="C415" s="704"/>
      <c r="D415" s="704"/>
      <c r="E415" s="704"/>
      <c r="F415" s="749"/>
      <c r="G415" s="704"/>
      <c r="H415" s="704"/>
      <c r="I415" s="704"/>
      <c r="J415" s="750"/>
      <c r="K415" s="704"/>
      <c r="L415" s="704"/>
      <c r="M415" s="704"/>
      <c r="N415" s="704"/>
      <c r="O415" s="704"/>
      <c r="P415" s="704"/>
      <c r="Q415" s="704"/>
      <c r="R415" s="704"/>
      <c r="S415" s="92" t="s">
        <v>2658</v>
      </c>
      <c r="T415" s="1065">
        <f t="shared" ref="T415:Y415" si="41">T413*(SUMIF($F$424:$F$495,"Movement",$G$424:$G$495)+(SUMIF($F$424:$F$495,"Logistics",$G$424:$G$495)))</f>
        <v>7.3276541102979929</v>
      </c>
      <c r="U415" s="1502">
        <f t="shared" si="41"/>
        <v>29.282880000000002</v>
      </c>
      <c r="V415" s="3662">
        <f t="shared" si="41"/>
        <v>14.641440000000001</v>
      </c>
      <c r="W415" s="769">
        <f t="shared" si="41"/>
        <v>10.981079999999999</v>
      </c>
      <c r="X415" s="769">
        <f t="shared" si="41"/>
        <v>7.3207200000000006</v>
      </c>
      <c r="Y415" s="1064">
        <f t="shared" si="41"/>
        <v>5.4905399999999993</v>
      </c>
      <c r="AA415" s="915"/>
    </row>
    <row r="416" spans="2:27" ht="15" hidden="1" outlineLevel="1" thickBot="1" x14ac:dyDescent="0.45">
      <c r="B416" s="1043"/>
      <c r="C416" s="704"/>
      <c r="D416" s="704"/>
      <c r="E416" s="748" t="s">
        <v>1056</v>
      </c>
      <c r="F416" s="709">
        <f>SUM(F417:F418)</f>
        <v>1.0999999999999999E-2</v>
      </c>
      <c r="G416" s="709"/>
      <c r="H416" s="709"/>
      <c r="I416" s="709"/>
      <c r="J416" s="919"/>
      <c r="K416" s="918"/>
      <c r="L416" s="918"/>
      <c r="M416" s="918"/>
      <c r="N416" s="918"/>
      <c r="O416" s="918"/>
      <c r="P416" s="918"/>
      <c r="Q416" s="704"/>
      <c r="R416" s="704"/>
      <c r="S416" s="93" t="s">
        <v>2662</v>
      </c>
      <c r="T416" s="1067">
        <f t="shared" ref="T416:Y416" si="42">T413*(-SUMIF($U$424:$U$495,"&lt;0"))</f>
        <v>8.2794926065075298</v>
      </c>
      <c r="U416" s="1110">
        <f t="shared" si="42"/>
        <v>33.086631111111174</v>
      </c>
      <c r="V416" s="3663">
        <f t="shared" si="42"/>
        <v>16.543315555555587</v>
      </c>
      <c r="W416" s="770">
        <f t="shared" si="42"/>
        <v>12.407486666666689</v>
      </c>
      <c r="X416" s="770">
        <f t="shared" si="42"/>
        <v>8.2716577777777935</v>
      </c>
      <c r="Y416" s="1066">
        <f t="shared" si="42"/>
        <v>6.2037433333333443</v>
      </c>
      <c r="AA416" s="915"/>
    </row>
    <row r="417" spans="2:34" ht="15" hidden="1" outlineLevel="1" thickBot="1" x14ac:dyDescent="0.45">
      <c r="B417" s="1046"/>
      <c r="C417" s="5"/>
      <c r="D417" s="5"/>
      <c r="E417" s="7" t="s">
        <v>1057</v>
      </c>
      <c r="F417" s="763">
        <f>Weld_Failure_Rate</f>
        <v>1E-3</v>
      </c>
      <c r="G417" s="922"/>
      <c r="H417" s="922"/>
      <c r="I417" s="924"/>
      <c r="J417" s="290"/>
      <c r="K417" s="922"/>
      <c r="L417" s="922"/>
      <c r="M417" s="925"/>
      <c r="N417" s="922"/>
      <c r="O417" s="922"/>
      <c r="P417" s="922"/>
      <c r="Q417" s="706"/>
      <c r="R417" s="7"/>
      <c r="S417" s="2973" t="s">
        <v>2667</v>
      </c>
      <c r="T417" s="2975">
        <f t="shared" ref="T417:Y417" si="43">T413*$H$496</f>
        <v>50.666579112769512</v>
      </c>
      <c r="U417" s="2994">
        <f t="shared" si="43"/>
        <v>202.47453466514676</v>
      </c>
      <c r="V417" s="3664">
        <f t="shared" si="43"/>
        <v>101.23726733257338</v>
      </c>
      <c r="W417" s="694">
        <f t="shared" si="43"/>
        <v>75.927950499430025</v>
      </c>
      <c r="X417" s="694">
        <f t="shared" si="43"/>
        <v>50.618633666286691</v>
      </c>
      <c r="Y417" s="2974">
        <f t="shared" si="43"/>
        <v>37.963975249715013</v>
      </c>
      <c r="AA417" s="915"/>
    </row>
    <row r="418" spans="2:34" hidden="1" outlineLevel="1" x14ac:dyDescent="0.4">
      <c r="B418" s="1046"/>
      <c r="C418" s="5"/>
      <c r="D418" s="5"/>
      <c r="E418" s="7" t="s">
        <v>1058</v>
      </c>
      <c r="F418" s="763">
        <f>SJS_welder_failure</f>
        <v>0.01</v>
      </c>
      <c r="G418" s="922"/>
      <c r="H418" s="922"/>
      <c r="I418" s="924"/>
      <c r="J418" s="290"/>
      <c r="K418" s="922"/>
      <c r="L418" s="922"/>
      <c r="M418" s="925"/>
      <c r="N418" s="922"/>
      <c r="O418" s="922"/>
      <c r="P418" s="922"/>
      <c r="Q418" s="706"/>
      <c r="R418" s="7"/>
      <c r="AA418" s="915"/>
    </row>
    <row r="419" spans="2:34" hidden="1" outlineLevel="1" x14ac:dyDescent="0.4">
      <c r="B419" s="1046"/>
      <c r="C419" s="5"/>
      <c r="D419" s="5"/>
      <c r="E419" s="926" t="s">
        <v>1059</v>
      </c>
      <c r="F419" s="709">
        <f>F416*(1-(1-F416)^(Vertical_port_pipes_per_blanket))</f>
        <v>7.0632541484487834E-4</v>
      </c>
      <c r="G419" s="927"/>
      <c r="H419" s="927"/>
      <c r="I419" s="927"/>
      <c r="J419" s="919"/>
      <c r="K419" s="927"/>
      <c r="L419" s="927"/>
      <c r="M419" s="927"/>
      <c r="N419" s="927"/>
      <c r="O419" s="927"/>
      <c r="P419" s="927"/>
      <c r="Q419" s="706"/>
      <c r="R419" s="7"/>
      <c r="AA419" s="915"/>
    </row>
    <row r="420" spans="2:34" hidden="1" outlineLevel="1" x14ac:dyDescent="0.4">
      <c r="B420" s="1046"/>
      <c r="C420" s="5"/>
      <c r="D420" s="5"/>
      <c r="E420" s="926"/>
      <c r="F420" s="928"/>
      <c r="G420" s="927"/>
      <c r="H420" s="927"/>
      <c r="I420" s="927"/>
      <c r="J420" s="919"/>
      <c r="K420" s="927"/>
      <c r="L420" s="927"/>
      <c r="M420" s="927"/>
      <c r="N420" s="927"/>
      <c r="O420" s="927"/>
      <c r="P420" s="927"/>
      <c r="Q420" s="706"/>
      <c r="R420" s="7"/>
      <c r="AA420" s="915"/>
    </row>
    <row r="421" spans="2:34" ht="15.75" hidden="1" customHeight="1" outlineLevel="1" thickBot="1" x14ac:dyDescent="0.45">
      <c r="B421" s="1046"/>
      <c r="C421" s="5"/>
      <c r="D421" s="5"/>
      <c r="E421" s="926"/>
      <c r="F421" s="928"/>
      <c r="G421" s="927"/>
      <c r="H421" s="927"/>
      <c r="I421" s="927"/>
      <c r="J421" s="919"/>
      <c r="K421" s="927"/>
      <c r="L421" s="927"/>
      <c r="M421" s="927"/>
      <c r="N421" s="927"/>
      <c r="O421" s="927"/>
      <c r="P421" s="927"/>
      <c r="Q421" s="706"/>
      <c r="R421" s="7"/>
      <c r="S421" s="95"/>
      <c r="T421" s="290"/>
      <c r="U421" s="7"/>
      <c r="V421" s="5"/>
      <c r="W421" s="7"/>
      <c r="X421" s="290"/>
      <c r="Y421" s="290"/>
      <c r="AA421" s="915"/>
    </row>
    <row r="422" spans="2:34" ht="15.75" hidden="1" customHeight="1" outlineLevel="2" thickBot="1" x14ac:dyDescent="0.45">
      <c r="B422" s="1046"/>
      <c r="C422" s="5"/>
      <c r="D422" s="5"/>
      <c r="E422" s="926"/>
      <c r="F422" s="701"/>
      <c r="G422" s="7"/>
      <c r="H422" s="929"/>
      <c r="I422" s="930" t="s">
        <v>18</v>
      </c>
      <c r="J422" s="931"/>
      <c r="K422" s="932" t="s">
        <v>778</v>
      </c>
      <c r="L422" s="933"/>
      <c r="M422" s="933"/>
      <c r="N422" s="933"/>
      <c r="O422" s="933"/>
      <c r="P422" s="934"/>
      <c r="Q422" s="933" t="s">
        <v>3</v>
      </c>
      <c r="R422" s="934"/>
      <c r="S422" s="935" t="s">
        <v>779</v>
      </c>
      <c r="T422" s="936"/>
      <c r="U422" s="936"/>
      <c r="V422" s="780"/>
      <c r="X422" s="938"/>
      <c r="Y422" s="938"/>
      <c r="Z422" s="938"/>
      <c r="AA422" s="915"/>
    </row>
    <row r="423" spans="2:34" ht="30.75" hidden="1" customHeight="1" outlineLevel="2" thickBot="1" x14ac:dyDescent="0.45">
      <c r="B423" s="1046"/>
      <c r="C423" s="5"/>
      <c r="D423" s="939" t="s">
        <v>780</v>
      </c>
      <c r="E423" s="940" t="s">
        <v>1060</v>
      </c>
      <c r="F423" s="941" t="s">
        <v>782</v>
      </c>
      <c r="G423" s="942" t="s">
        <v>783</v>
      </c>
      <c r="H423" s="943" t="s">
        <v>784</v>
      </c>
      <c r="I423" s="562" t="s">
        <v>785</v>
      </c>
      <c r="J423" s="944" t="s">
        <v>783</v>
      </c>
      <c r="K423" s="562" t="s">
        <v>786</v>
      </c>
      <c r="L423" s="563" t="s">
        <v>787</v>
      </c>
      <c r="M423" s="563" t="s">
        <v>788</v>
      </c>
      <c r="N423" s="563" t="s">
        <v>789</v>
      </c>
      <c r="O423" s="563" t="s">
        <v>790</v>
      </c>
      <c r="P423" s="945" t="s">
        <v>783</v>
      </c>
      <c r="Q423" s="560" t="s">
        <v>785</v>
      </c>
      <c r="R423" s="946" t="s">
        <v>783</v>
      </c>
      <c r="S423" s="793" t="s">
        <v>781</v>
      </c>
      <c r="T423" s="794" t="s">
        <v>791</v>
      </c>
      <c r="U423" s="1047"/>
      <c r="V423" s="795"/>
      <c r="X423" s="947"/>
      <c r="Y423" s="947"/>
      <c r="Z423" s="947"/>
      <c r="AA423" s="915"/>
    </row>
    <row r="424" spans="2:34" ht="15" hidden="1" customHeight="1" outlineLevel="2" x14ac:dyDescent="0.4">
      <c r="B424" s="1046"/>
      <c r="C424" s="5"/>
      <c r="D424" s="3886" t="s">
        <v>1062</v>
      </c>
      <c r="E424" s="797" t="s">
        <v>1112</v>
      </c>
      <c r="F424" s="799" t="s">
        <v>251</v>
      </c>
      <c r="G424" s="456">
        <f>MAX($R424,$P424,$J424)</f>
        <v>0</v>
      </c>
      <c r="H424" s="800">
        <f>G424</f>
        <v>0</v>
      </c>
      <c r="I424" s="566" t="s">
        <v>557</v>
      </c>
      <c r="J424" s="621">
        <f>IF(F424="operation",VLOOKUP(I424,'Generic Vertical Port Tasks'!$C$4:$D$197,2,FALSE),"N/A")</f>
        <v>0</v>
      </c>
      <c r="K424" s="568"/>
      <c r="L424" s="566"/>
      <c r="M424" s="801"/>
      <c r="N424" s="802" t="str">
        <f>IFERROR(INDEX('Upper Cask Movement &amp; Logistics'!$I$23:$O$29,MATCH($L424,'Upper Cask Movement &amp; Logistics'!$H$23:$H$29,0),MATCH($M424,'Upper Cask Movement &amp; Logistics'!$H$23:$H$29,0)),"N/A")</f>
        <v>N/A</v>
      </c>
      <c r="O424" s="570" t="str">
        <f>IFERROR(VLOOKUP($K424,'Upper Cask Movement &amp; Logistics'!$H$4:$I$8,2,FALSE),"N/A")</f>
        <v>N/A</v>
      </c>
      <c r="P424" s="800" t="str">
        <f t="shared" ref="P424:P492" si="44">IF(F424="Movement",IFERROR((N424/O424)/(60*60),"Error"),"N/A")</f>
        <v>N/A</v>
      </c>
      <c r="Q424" s="803"/>
      <c r="R424" s="802" t="str">
        <f>IF($F424="Logistics",VLOOKUP($Q424,'Upper Cask Movement &amp; Logistics'!$C$4:$D$32,2,FALSE),"N/A")</f>
        <v>N/A</v>
      </c>
      <c r="S424" s="568"/>
      <c r="T424" s="804" t="str">
        <f>IFERROR(VLOOKUP($S424,'Upper Cask Recovery Logistics'!$C$521:$F$639,4,FALSE),"N/A")</f>
        <v>N/A</v>
      </c>
      <c r="U424" s="621" t="str">
        <f>IFERROR(H424-G424-T424,"N/A")</f>
        <v>N/A</v>
      </c>
      <c r="V424" s="895"/>
      <c r="X424" s="947"/>
      <c r="Y424" s="947"/>
      <c r="Z424" s="947"/>
      <c r="AA424" s="915"/>
      <c r="AE424" s="8"/>
    </row>
    <row r="425" spans="2:34" ht="15.75" hidden="1" customHeight="1" outlineLevel="2" thickBot="1" x14ac:dyDescent="0.45">
      <c r="B425" s="1046"/>
      <c r="C425" s="5"/>
      <c r="D425" s="3887"/>
      <c r="E425" s="807" t="s">
        <v>1113</v>
      </c>
      <c r="F425" s="809" t="s">
        <v>251</v>
      </c>
      <c r="G425" s="471">
        <f t="shared" ref="G425:G492" si="45">MAX($R425,$P425,$J425)</f>
        <v>1.0499155317167692</v>
      </c>
      <c r="H425" s="810">
        <f t="shared" ref="H425:H488" si="46">IF(U425&lt;0,G425+H424+(-U425),G425+H424)</f>
        <v>1.0499155317167692</v>
      </c>
      <c r="I425" s="584" t="s">
        <v>2491</v>
      </c>
      <c r="J425" s="811">
        <f>IF(F425="operation",VLOOKUP(I425,'Generic Vertical Port Tasks'!$C$4:$D$197,2,FALSE),"N/A")</f>
        <v>1.0499155317167692</v>
      </c>
      <c r="K425" s="586"/>
      <c r="L425" s="584"/>
      <c r="M425" s="812"/>
      <c r="N425" s="813" t="str">
        <f>IFERROR(INDEX('Upper Cask Movement &amp; Logistics'!$I$23:$O$29,MATCH($L425,'Upper Cask Movement &amp; Logistics'!$H$23:$H$29,0),MATCH($M425,'Upper Cask Movement &amp; Logistics'!$H$23:$H$29,0)),"N/A")</f>
        <v>N/A</v>
      </c>
      <c r="O425" s="814" t="str">
        <f>IFERROR(VLOOKUP($K425,'Upper Cask Movement &amp; Logistics'!$H$4:$I$8,2,FALSE),"N/A")</f>
        <v>N/A</v>
      </c>
      <c r="P425" s="810" t="str">
        <f t="shared" si="44"/>
        <v>N/A</v>
      </c>
      <c r="Q425" s="815"/>
      <c r="R425" s="813" t="s">
        <v>263</v>
      </c>
      <c r="S425" s="586"/>
      <c r="T425" s="816" t="str">
        <f>IFERROR(VLOOKUP($S425,'Upper Cask Recovery Logistics'!$C$521:$F$646,4,FALSE),"N/A")</f>
        <v>N/A</v>
      </c>
      <c r="U425" s="591" t="str">
        <f t="shared" ref="U425:U488" si="47">IFERROR(H424-T425,"N/A")</f>
        <v>N/A</v>
      </c>
      <c r="V425" s="895"/>
      <c r="X425" s="290"/>
      <c r="Y425" s="290"/>
      <c r="AA425" s="915"/>
      <c r="AB425" s="5"/>
      <c r="AC425" s="7"/>
      <c r="AD425" s="7"/>
      <c r="AE425" s="7"/>
      <c r="AF425" s="7"/>
      <c r="AG425" s="7"/>
      <c r="AH425" s="7"/>
    </row>
    <row r="426" spans="2:34" ht="15" hidden="1" customHeight="1" outlineLevel="2" x14ac:dyDescent="0.4">
      <c r="B426" s="1046"/>
      <c r="C426" s="5"/>
      <c r="D426" s="3992" t="s">
        <v>836</v>
      </c>
      <c r="E426" s="596" t="s">
        <v>1252</v>
      </c>
      <c r="F426" s="596" t="s">
        <v>3</v>
      </c>
      <c r="G426" s="593">
        <f>MAX($R426,$P426,$J426)</f>
        <v>0.38</v>
      </c>
      <c r="H426" s="593">
        <f t="shared" si="46"/>
        <v>1.4299155317167691</v>
      </c>
      <c r="I426" s="596"/>
      <c r="J426" s="593" t="str">
        <f>IF(F426="operation",VLOOKUP(I426,'Generic Vertical Port Tasks'!$C$4:$D$197,2,FALSE),"N/A")</f>
        <v>N/A</v>
      </c>
      <c r="K426" s="596"/>
      <c r="L426" s="596"/>
      <c r="M426" s="596"/>
      <c r="N426" s="597" t="str">
        <f>IFERROR(INDEX('Upper Cask Movement &amp; Logistics'!$I$24:$O$30,MATCH($J426,'Upper Cask Movement &amp; Logistics'!$H$24:$H$30,0),MATCH($K426,'Upper Cask Movement &amp; Logistics'!$H$24:$H$30,0)),"N/A")</f>
        <v>N/A</v>
      </c>
      <c r="O426" s="597" t="str">
        <f>IFERROR(VLOOKUP($I426,'Upper Cask Movement &amp; Logistics'!$H$4:$I$8,2,FALSE),"N/A")</f>
        <v>N/A</v>
      </c>
      <c r="P426" s="593" t="str">
        <f t="shared" si="44"/>
        <v>N/A</v>
      </c>
      <c r="Q426" s="1253" t="s">
        <v>1226</v>
      </c>
      <c r="R426" s="593">
        <f>IF($F426="Logistics",VLOOKUP($Q426,'Upper Cask Movement &amp; Logistics'!$C$4:$D$209,2,FALSE),"N/A")</f>
        <v>0.38</v>
      </c>
      <c r="S426" s="1254"/>
      <c r="T426" s="593" t="str">
        <f>IFERROR(VLOOKUP($S426,'Upper Cask Recovery Logistics'!$C$521:$F$646,4,FALSE),"N/A")</f>
        <v>N/A</v>
      </c>
      <c r="U426" s="1255" t="str">
        <f t="shared" si="47"/>
        <v>N/A</v>
      </c>
      <c r="V426" s="1510"/>
      <c r="X426" s="273"/>
      <c r="Y426" s="273"/>
      <c r="Z426" s="273"/>
      <c r="AA426" s="752"/>
      <c r="AB426" s="290"/>
      <c r="AC426" s="290"/>
      <c r="AD426" s="290"/>
      <c r="AE426" s="7"/>
      <c r="AF426" s="7"/>
      <c r="AG426" s="7"/>
      <c r="AH426" s="7"/>
    </row>
    <row r="427" spans="2:34" ht="15.75" hidden="1" customHeight="1" outlineLevel="2" x14ac:dyDescent="0.4">
      <c r="B427" s="1046"/>
      <c r="C427" s="5"/>
      <c r="D427" s="3993"/>
      <c r="E427" s="601" t="s">
        <v>21</v>
      </c>
      <c r="F427" s="601" t="s">
        <v>251</v>
      </c>
      <c r="G427" s="602">
        <f t="shared" si="45"/>
        <v>6.83</v>
      </c>
      <c r="H427" s="602">
        <f t="shared" si="46"/>
        <v>8.2599155317167696</v>
      </c>
      <c r="I427" s="601" t="s">
        <v>252</v>
      </c>
      <c r="J427" s="602">
        <f>IF(F427="operation",VLOOKUP(I427,'Generic Vertical Port Tasks'!$C$4:$D$197,2,FALSE),"N/A")</f>
        <v>6.83</v>
      </c>
      <c r="K427" s="601"/>
      <c r="L427" s="601"/>
      <c r="M427" s="601"/>
      <c r="N427" s="605" t="str">
        <f>IFERROR(INDEX('Upper Cask Movement &amp; Logistics'!$I$24:$O$30,MATCH($J427,'Upper Cask Movement &amp; Logistics'!$H$24:$H$30,0),MATCH($K427,'Upper Cask Movement &amp; Logistics'!$H$24:$H$30,0)),"N/A")</f>
        <v>N/A</v>
      </c>
      <c r="O427" s="605" t="str">
        <f>IFERROR(VLOOKUP($I427,'Upper Cask Movement &amp; Logistics'!$H$4:$I$8,2,FALSE),"N/A")</f>
        <v>N/A</v>
      </c>
      <c r="P427" s="602" t="str">
        <f t="shared" si="44"/>
        <v>N/A</v>
      </c>
      <c r="Q427" s="1234"/>
      <c r="R427" s="602" t="str">
        <f>IF($F427="Logistics",VLOOKUP($Q427,'Upper Cask Movement &amp; Logistics'!$C$4:$D$209,2,FALSE),"N/A")</f>
        <v>N/A</v>
      </c>
      <c r="S427" s="1235"/>
      <c r="T427" s="602" t="str">
        <f>IFERROR(VLOOKUP($S427,'Upper Cask Recovery Logistics'!$C$521:$F$646,4,FALSE),"N/A")</f>
        <v>N/A</v>
      </c>
      <c r="U427" s="1236" t="str">
        <f t="shared" si="47"/>
        <v>N/A</v>
      </c>
      <c r="V427" s="1510"/>
      <c r="X427" s="273"/>
      <c r="Y427" s="273"/>
      <c r="Z427" s="273"/>
      <c r="AA427" s="752"/>
      <c r="AB427" s="290"/>
      <c r="AC427" s="290"/>
      <c r="AD427" s="290"/>
      <c r="AE427" s="7"/>
      <c r="AF427" s="7"/>
      <c r="AG427" s="7"/>
      <c r="AH427" s="7"/>
    </row>
    <row r="428" spans="2:34" ht="15" hidden="1" customHeight="1" outlineLevel="2" x14ac:dyDescent="0.4">
      <c r="B428" s="1046"/>
      <c r="C428" s="5"/>
      <c r="D428" s="3993"/>
      <c r="E428" s="601" t="s">
        <v>1246</v>
      </c>
      <c r="F428" s="601" t="s">
        <v>3</v>
      </c>
      <c r="G428" s="602">
        <f t="shared" si="45"/>
        <v>0.38</v>
      </c>
      <c r="H428" s="602">
        <f t="shared" si="46"/>
        <v>8.6399155317167704</v>
      </c>
      <c r="I428" s="601"/>
      <c r="J428" s="602" t="str">
        <f>IF(F428="operation",VLOOKUP(I428,'Generic Vertical Port Tasks'!$C$4:$D$197,2,FALSE),"N/A")</f>
        <v>N/A</v>
      </c>
      <c r="K428" s="601"/>
      <c r="L428" s="601"/>
      <c r="M428" s="601"/>
      <c r="N428" s="605" t="str">
        <f>IFERROR(INDEX('Upper Cask Movement &amp; Logistics'!$I$24:$O$30,MATCH($J428,'Upper Cask Movement &amp; Logistics'!$H$24:$H$30,0),MATCH($K428,'Upper Cask Movement &amp; Logistics'!$H$24:$H$30,0)),"N/A")</f>
        <v>N/A</v>
      </c>
      <c r="O428" s="605" t="str">
        <f>IFERROR(VLOOKUP($I428,'Upper Cask Movement &amp; Logistics'!$H$4:$I$8,2,FALSE),"N/A")</f>
        <v>N/A</v>
      </c>
      <c r="P428" s="602" t="str">
        <f t="shared" si="44"/>
        <v>N/A</v>
      </c>
      <c r="Q428" s="1234" t="s">
        <v>1230</v>
      </c>
      <c r="R428" s="602">
        <f>IF($F428="Logistics",VLOOKUP($Q428,'Upper Cask Movement &amp; Logistics'!$C$4:$D$209,2,FALSE),"N/A")</f>
        <v>0.38</v>
      </c>
      <c r="S428" s="1235"/>
      <c r="T428" s="602" t="str">
        <f>IFERROR(VLOOKUP($S428,'Upper Cask Recovery Logistics'!$C$521:$F$646,4,FALSE),"N/A")</f>
        <v>N/A</v>
      </c>
      <c r="U428" s="1236" t="str">
        <f t="shared" si="47"/>
        <v>N/A</v>
      </c>
      <c r="V428" s="1510"/>
      <c r="X428" s="273"/>
      <c r="Y428" s="273"/>
      <c r="Z428" s="273"/>
      <c r="AA428" s="752"/>
      <c r="AB428" s="290"/>
      <c r="AC428" s="290"/>
      <c r="AD428" s="290"/>
      <c r="AE428" s="7"/>
      <c r="AF428" s="7"/>
      <c r="AG428" s="7"/>
      <c r="AH428" s="7"/>
    </row>
    <row r="429" spans="2:34" ht="15.75" hidden="1" customHeight="1" outlineLevel="2" x14ac:dyDescent="0.4">
      <c r="B429" s="1046"/>
      <c r="C429" s="5"/>
      <c r="D429" s="3993"/>
      <c r="E429" s="601" t="s">
        <v>1247</v>
      </c>
      <c r="F429" s="601" t="s">
        <v>3</v>
      </c>
      <c r="G429" s="602">
        <f t="shared" si="45"/>
        <v>0.38</v>
      </c>
      <c r="H429" s="602">
        <f t="shared" si="46"/>
        <v>9.0199155317167712</v>
      </c>
      <c r="I429" s="601"/>
      <c r="J429" s="602" t="str">
        <f>IF(F429="operation",VLOOKUP(I429,'Generic Vertical Port Tasks'!$C$4:$D$197,2,FALSE),"N/A")</f>
        <v>N/A</v>
      </c>
      <c r="K429" s="601"/>
      <c r="L429" s="601"/>
      <c r="M429" s="601"/>
      <c r="N429" s="605" t="str">
        <f>IFERROR(INDEX('Upper Cask Movement &amp; Logistics'!$I$24:$O$30,MATCH($J429,'Upper Cask Movement &amp; Logistics'!$H$24:$H$30,0),MATCH($K429,'Upper Cask Movement &amp; Logistics'!$H$24:$H$30,0)),"N/A")</f>
        <v>N/A</v>
      </c>
      <c r="O429" s="605" t="str">
        <f>IFERROR(VLOOKUP($I429,'Upper Cask Movement &amp; Logistics'!$H$4:$I$8,2,FALSE),"N/A")</f>
        <v>N/A</v>
      </c>
      <c r="P429" s="602" t="str">
        <f t="shared" si="44"/>
        <v>N/A</v>
      </c>
      <c r="Q429" s="1234" t="s">
        <v>1226</v>
      </c>
      <c r="R429" s="602">
        <f>IF($F429="Logistics",VLOOKUP($Q429,'Upper Cask Movement &amp; Logistics'!$C$4:$D$209,2,FALSE),"N/A")</f>
        <v>0.38</v>
      </c>
      <c r="S429" s="1235"/>
      <c r="T429" s="602" t="str">
        <f>IFERROR(VLOOKUP($S429,'Upper Cask Recovery Logistics'!$C$521:$F$646,4,FALSE),"N/A")</f>
        <v>N/A</v>
      </c>
      <c r="U429" s="1236" t="str">
        <f t="shared" si="47"/>
        <v>N/A</v>
      </c>
      <c r="V429" s="1510"/>
      <c r="X429" s="273"/>
      <c r="Y429" s="273"/>
      <c r="Z429" s="273"/>
      <c r="AA429" s="752"/>
      <c r="AB429" s="5"/>
      <c r="AC429" s="7"/>
      <c r="AD429" s="7"/>
      <c r="AE429" s="7"/>
      <c r="AF429" s="7"/>
      <c r="AG429" s="7"/>
      <c r="AH429" s="7"/>
    </row>
    <row r="430" spans="2:34" ht="25.5" hidden="1" customHeight="1" outlineLevel="2" x14ac:dyDescent="0.4">
      <c r="B430" s="1046"/>
      <c r="C430" s="5"/>
      <c r="D430" s="3993"/>
      <c r="E430" s="601" t="s">
        <v>152</v>
      </c>
      <c r="F430" s="601" t="s">
        <v>251</v>
      </c>
      <c r="G430" s="602">
        <f t="shared" si="45"/>
        <v>1.0499155317167692</v>
      </c>
      <c r="H430" s="602">
        <f t="shared" si="46"/>
        <v>10.06983106343354</v>
      </c>
      <c r="I430" s="601" t="s">
        <v>2491</v>
      </c>
      <c r="J430" s="602">
        <f>IF(F430="operation",VLOOKUP(I430,'Generic Vertical Port Tasks'!$C$4:$D$197,2,FALSE),"N/A")</f>
        <v>1.0499155317167692</v>
      </c>
      <c r="K430" s="601"/>
      <c r="L430" s="601"/>
      <c r="M430" s="601"/>
      <c r="N430" s="605" t="str">
        <f>IFERROR(INDEX('Upper Cask Movement &amp; Logistics'!$I$24:$O$30,MATCH($J430,'Upper Cask Movement &amp; Logistics'!$H$24:$H$30,0),MATCH($K430,'Upper Cask Movement &amp; Logistics'!$H$24:$H$30,0)),"N/A")</f>
        <v>N/A</v>
      </c>
      <c r="O430" s="605" t="str">
        <f>IFERROR(VLOOKUP($I430,'Upper Cask Movement &amp; Logistics'!$H$4:$I$8,2,FALSE),"N/A")</f>
        <v>N/A</v>
      </c>
      <c r="P430" s="602" t="str">
        <f t="shared" si="44"/>
        <v>N/A</v>
      </c>
      <c r="Q430" s="1234"/>
      <c r="R430" s="602" t="str">
        <f>IF($F430="Logistics",VLOOKUP($Q430,'Upper Cask Movement &amp; Logistics'!$C$4:$D$209,2,FALSE),"N/A")</f>
        <v>N/A</v>
      </c>
      <c r="S430" s="1235"/>
      <c r="T430" s="602" t="str">
        <f>IFERROR(VLOOKUP($S430,'Upper Cask Recovery Logistics'!$C$521:$F$646,4,FALSE),"N/A")</f>
        <v>N/A</v>
      </c>
      <c r="U430" s="1236" t="str">
        <f t="shared" si="47"/>
        <v>N/A</v>
      </c>
      <c r="V430" s="1510"/>
      <c r="X430" s="273"/>
      <c r="Y430" s="273"/>
      <c r="Z430" s="273"/>
      <c r="AA430" s="752"/>
      <c r="AB430" s="5"/>
      <c r="AC430" s="7"/>
      <c r="AD430" s="7"/>
      <c r="AE430" s="7"/>
      <c r="AF430" s="7"/>
      <c r="AG430" s="7"/>
      <c r="AH430" s="7"/>
    </row>
    <row r="431" spans="2:34" ht="15" hidden="1" customHeight="1" outlineLevel="2" thickBot="1" x14ac:dyDescent="0.45">
      <c r="B431" s="1046"/>
      <c r="C431" s="5"/>
      <c r="D431" s="3994"/>
      <c r="E431" s="609" t="s">
        <v>1248</v>
      </c>
      <c r="F431" s="609" t="s">
        <v>3</v>
      </c>
      <c r="G431" s="610">
        <f t="shared" si="45"/>
        <v>0.38</v>
      </c>
      <c r="H431" s="610">
        <f t="shared" si="46"/>
        <v>10.449831063433541</v>
      </c>
      <c r="I431" s="609"/>
      <c r="J431" s="610" t="str">
        <f>IF(F431="operation",VLOOKUP(I431,'Generic Vertical Port Tasks'!$C$4:$D$197,2,FALSE),"N/A")</f>
        <v>N/A</v>
      </c>
      <c r="K431" s="609"/>
      <c r="L431" s="609"/>
      <c r="M431" s="609"/>
      <c r="N431" s="613" t="str">
        <f>IFERROR(INDEX('Upper Cask Movement &amp; Logistics'!$I$24:$O$30,MATCH($J431,'Upper Cask Movement &amp; Logistics'!$H$24:$H$30,0),MATCH($K431,'Upper Cask Movement &amp; Logistics'!$H$24:$H$30,0)),"N/A")</f>
        <v>N/A</v>
      </c>
      <c r="O431" s="613" t="str">
        <f>IFERROR(VLOOKUP($I431,'Upper Cask Movement &amp; Logistics'!$H$4:$I$8,2,FALSE),"N/A")</f>
        <v>N/A</v>
      </c>
      <c r="P431" s="610" t="str">
        <f t="shared" si="44"/>
        <v>N/A</v>
      </c>
      <c r="Q431" s="1237" t="s">
        <v>1230</v>
      </c>
      <c r="R431" s="610">
        <f>IF($F431="Logistics",VLOOKUP($Q431,'Upper Cask Movement &amp; Logistics'!$C$4:$D$209,2,FALSE),"N/A")</f>
        <v>0.38</v>
      </c>
      <c r="S431" s="1238"/>
      <c r="T431" s="610" t="str">
        <f>IFERROR(VLOOKUP($S431,'Upper Cask Recovery Logistics'!$C$521:$F$646,4,FALSE),"N/A")</f>
        <v>N/A</v>
      </c>
      <c r="U431" s="1239" t="str">
        <f t="shared" si="47"/>
        <v>N/A</v>
      </c>
      <c r="V431" s="1510"/>
      <c r="X431" s="273"/>
      <c r="Y431" s="273"/>
      <c r="Z431" s="273"/>
      <c r="AA431" s="752"/>
      <c r="AB431" s="5"/>
      <c r="AC431" s="7"/>
      <c r="AD431" s="7"/>
      <c r="AE431" s="7"/>
      <c r="AF431" s="7"/>
      <c r="AG431" s="7"/>
      <c r="AH431" s="7"/>
    </row>
    <row r="432" spans="2:34" ht="15" hidden="1" customHeight="1" outlineLevel="2" x14ac:dyDescent="0.4">
      <c r="B432" s="1046"/>
      <c r="C432" s="5"/>
      <c r="D432" s="3984" t="s">
        <v>839</v>
      </c>
      <c r="E432" s="1333" t="s">
        <v>1517</v>
      </c>
      <c r="F432" s="1333" t="s">
        <v>3</v>
      </c>
      <c r="G432" s="1303">
        <f t="shared" si="45"/>
        <v>0.38</v>
      </c>
      <c r="H432" s="1303">
        <f t="shared" si="46"/>
        <v>10.829831063433542</v>
      </c>
      <c r="I432" s="1333"/>
      <c r="J432" s="1303" t="str">
        <f>IF(F432="operation",VLOOKUP(I432,'Generic Vertical Port Tasks'!$C$4:$D$197,2,FALSE),"N/A")</f>
        <v>N/A</v>
      </c>
      <c r="K432" s="1333"/>
      <c r="L432" s="1333"/>
      <c r="M432" s="1333"/>
      <c r="N432" s="1334" t="str">
        <f>IFERROR(INDEX('Upper Cask Movement &amp; Logistics'!$I$24:$O$30,MATCH($J432,'Upper Cask Movement &amp; Logistics'!$H$24:$H$30,0),MATCH($K432,'Upper Cask Movement &amp; Logistics'!$H$24:$H$30,0)),"N/A")</f>
        <v>N/A</v>
      </c>
      <c r="O432" s="1334" t="str">
        <f>IFERROR(VLOOKUP($I432,'Upper Cask Movement &amp; Logistics'!$H$4:$I$8,2,FALSE),"N/A")</f>
        <v>N/A</v>
      </c>
      <c r="P432" s="1303" t="str">
        <f t="shared" si="44"/>
        <v>N/A</v>
      </c>
      <c r="Q432" s="1504" t="s">
        <v>1226</v>
      </c>
      <c r="R432" s="1303">
        <f>IF($F432="Logistics",VLOOKUP($Q432,'Upper Cask Movement &amp; Logistics'!$C$4:$D$209,2,FALSE),"N/A")</f>
        <v>0.38</v>
      </c>
      <c r="S432" s="1505"/>
      <c r="T432" s="1303" t="str">
        <f>IFERROR(VLOOKUP($S432,'Upper Cask Recovery Logistics'!$C$521:$F$646,4,FALSE),"N/A")</f>
        <v>N/A</v>
      </c>
      <c r="U432" s="1506" t="str">
        <f t="shared" si="47"/>
        <v>N/A</v>
      </c>
      <c r="V432" s="1510"/>
      <c r="X432" s="273"/>
      <c r="Y432" s="273"/>
      <c r="Z432" s="273"/>
      <c r="AA432" s="752"/>
      <c r="AB432" s="5"/>
      <c r="AC432" s="7"/>
      <c r="AD432" s="7"/>
      <c r="AE432" s="7"/>
      <c r="AF432" s="7"/>
      <c r="AG432" s="7"/>
      <c r="AH432" s="7"/>
    </row>
    <row r="433" spans="2:34" ht="15" hidden="1" customHeight="1" outlineLevel="2" x14ac:dyDescent="0.4">
      <c r="B433" s="1046"/>
      <c r="C433" s="5"/>
      <c r="D433" s="3985"/>
      <c r="E433" s="1243" t="s">
        <v>129</v>
      </c>
      <c r="F433" s="1243" t="s">
        <v>251</v>
      </c>
      <c r="G433" s="1244">
        <f t="shared" si="45"/>
        <v>0.72499999999999998</v>
      </c>
      <c r="H433" s="1244">
        <f t="shared" si="46"/>
        <v>11.554831063433541</v>
      </c>
      <c r="I433" s="1243" t="s">
        <v>253</v>
      </c>
      <c r="J433" s="1244">
        <f>IF(F433="operation",VLOOKUP(I433,'Generic Vertical Port Tasks'!$C$4:$D$197,2,FALSE),"N/A")</f>
        <v>0.72499999999999998</v>
      </c>
      <c r="K433" s="1243"/>
      <c r="L433" s="1243"/>
      <c r="M433" s="1243"/>
      <c r="N433" s="1245" t="str">
        <f>IFERROR(INDEX('Upper Cask Movement &amp; Logistics'!$I$24:$O$30,MATCH($J433,'Upper Cask Movement &amp; Logistics'!$H$24:$H$30,0),MATCH($K433,'Upper Cask Movement &amp; Logistics'!$H$24:$H$30,0)),"N/A")</f>
        <v>N/A</v>
      </c>
      <c r="O433" s="1245" t="str">
        <f>IFERROR(VLOOKUP($I433,'Upper Cask Movement &amp; Logistics'!$H$4:$I$8,2,FALSE),"N/A")</f>
        <v>N/A</v>
      </c>
      <c r="P433" s="1244" t="str">
        <f t="shared" si="44"/>
        <v>N/A</v>
      </c>
      <c r="Q433" s="1246"/>
      <c r="R433" s="1244" t="str">
        <f>IF($F433="Logistics",VLOOKUP($Q433,'Upper Cask Movement &amp; Logistics'!$C$4:$D$209,2,FALSE),"N/A")</f>
        <v>N/A</v>
      </c>
      <c r="S433" s="1247"/>
      <c r="T433" s="1244" t="str">
        <f>IFERROR(VLOOKUP($S433,'Upper Cask Recovery Logistics'!$C$521:$F$646,4,FALSE),"N/A")</f>
        <v>N/A</v>
      </c>
      <c r="U433" s="1248" t="str">
        <f t="shared" si="47"/>
        <v>N/A</v>
      </c>
      <c r="V433" s="1510"/>
      <c r="X433" s="273"/>
      <c r="Y433" s="273"/>
      <c r="Z433" s="273"/>
      <c r="AA433" s="752"/>
      <c r="AB433" s="5"/>
      <c r="AC433" s="7"/>
      <c r="AD433" s="7"/>
      <c r="AE433" s="7"/>
      <c r="AF433" s="7"/>
      <c r="AG433" s="7"/>
      <c r="AH433" s="7"/>
    </row>
    <row r="434" spans="2:34" ht="15" hidden="1" customHeight="1" outlineLevel="2" x14ac:dyDescent="0.4">
      <c r="B434" s="1046"/>
      <c r="C434" s="5"/>
      <c r="D434" s="3985"/>
      <c r="E434" s="1243" t="s">
        <v>1257</v>
      </c>
      <c r="F434" s="1243" t="s">
        <v>3</v>
      </c>
      <c r="G434" s="1244">
        <f t="shared" si="45"/>
        <v>0.63000000000000012</v>
      </c>
      <c r="H434" s="1244">
        <f t="shared" si="46"/>
        <v>12.184831063433542</v>
      </c>
      <c r="I434" s="1243"/>
      <c r="J434" s="1244" t="str">
        <f>IF(F434="operation",VLOOKUP(I434,'Generic Vertical Port Tasks'!$C$4:$D$197,2,FALSE),"N/A")</f>
        <v>N/A</v>
      </c>
      <c r="K434" s="1243"/>
      <c r="L434" s="1243"/>
      <c r="M434" s="1243"/>
      <c r="N434" s="1245" t="str">
        <f>IFERROR(INDEX('Upper Cask Movement &amp; Logistics'!$I$24:$O$30,MATCH($J434,'Upper Cask Movement &amp; Logistics'!$H$24:$H$30,0),MATCH($K434,'Upper Cask Movement &amp; Logistics'!$H$24:$H$30,0)),"N/A")</f>
        <v>N/A</v>
      </c>
      <c r="O434" s="1245" t="str">
        <f>IFERROR(VLOOKUP($I434,'Upper Cask Movement &amp; Logistics'!$H$4:$I$8,2,FALSE),"N/A")</f>
        <v>N/A</v>
      </c>
      <c r="P434" s="1244" t="str">
        <f t="shared" si="44"/>
        <v>N/A</v>
      </c>
      <c r="Q434" s="1246" t="s">
        <v>1228</v>
      </c>
      <c r="R434" s="1244">
        <f>IF($F434="Logistics",VLOOKUP($Q434,'Upper Cask Movement &amp; Logistics'!$C$4:$D$209,2,FALSE),"N/A")</f>
        <v>0.63000000000000012</v>
      </c>
      <c r="S434" s="1247" t="s">
        <v>1374</v>
      </c>
      <c r="T434" s="1244" t="str">
        <f>IFERROR(VLOOKUP($S434,'Upper Cask Recovery Logistics'!$C$521:$F$646,4,FALSE),"N/A")</f>
        <v>N/A</v>
      </c>
      <c r="U434" s="1248" t="str">
        <f t="shared" si="47"/>
        <v>N/A</v>
      </c>
      <c r="V434" s="1510"/>
      <c r="X434" s="273"/>
      <c r="Y434" s="273"/>
      <c r="Z434" s="273"/>
      <c r="AA434" s="752"/>
      <c r="AB434" s="5"/>
      <c r="AC434" s="7"/>
      <c r="AD434" s="7"/>
      <c r="AE434" s="7"/>
      <c r="AF434" s="7"/>
      <c r="AG434" s="7"/>
      <c r="AH434" s="7"/>
    </row>
    <row r="435" spans="2:34" ht="15" hidden="1" customHeight="1" outlineLevel="2" thickBot="1" x14ac:dyDescent="0.45">
      <c r="B435" s="1046"/>
      <c r="C435" s="5"/>
      <c r="D435" s="3986"/>
      <c r="E435" s="1314" t="s">
        <v>1251</v>
      </c>
      <c r="F435" s="1314" t="s">
        <v>3</v>
      </c>
      <c r="G435" s="1316">
        <f t="shared" si="45"/>
        <v>0.38</v>
      </c>
      <c r="H435" s="1316">
        <f t="shared" si="46"/>
        <v>12.564831063433543</v>
      </c>
      <c r="I435" s="1314"/>
      <c r="J435" s="1316" t="str">
        <f>IF(F435="operation",VLOOKUP(I435,'Generic Vertical Port Tasks'!$C$4:$D$197,2,FALSE),"N/A")</f>
        <v>N/A</v>
      </c>
      <c r="K435" s="1314"/>
      <c r="L435" s="1314"/>
      <c r="M435" s="1314"/>
      <c r="N435" s="1319" t="str">
        <f>IFERROR(INDEX('Upper Cask Movement &amp; Logistics'!$I$24:$O$30,MATCH($J435,'Upper Cask Movement &amp; Logistics'!$H$24:$H$30,0),MATCH($K435,'Upper Cask Movement &amp; Logistics'!$H$24:$H$30,0)),"N/A")</f>
        <v>N/A</v>
      </c>
      <c r="O435" s="1319" t="str">
        <f>IFERROR(VLOOKUP($I435,'Upper Cask Movement &amp; Logistics'!$H$4:$I$8,2,FALSE),"N/A")</f>
        <v>N/A</v>
      </c>
      <c r="P435" s="1316" t="str">
        <f t="shared" si="44"/>
        <v>N/A</v>
      </c>
      <c r="Q435" s="1507" t="s">
        <v>1230</v>
      </c>
      <c r="R435" s="1316">
        <f>IF($F435="Logistics",VLOOKUP($Q435,'Upper Cask Movement &amp; Logistics'!$C$4:$D$209,2,FALSE),"N/A")</f>
        <v>0.38</v>
      </c>
      <c r="S435" s="1508"/>
      <c r="T435" s="1316" t="str">
        <f>IFERROR(VLOOKUP($S435,'Upper Cask Recovery Logistics'!$C$521:$F$646,4,FALSE),"N/A")</f>
        <v>N/A</v>
      </c>
      <c r="U435" s="1509" t="str">
        <f t="shared" si="47"/>
        <v>N/A</v>
      </c>
      <c r="V435" s="1510"/>
      <c r="X435" s="273"/>
      <c r="Y435" s="273"/>
      <c r="Z435" s="273"/>
      <c r="AA435" s="752"/>
      <c r="AB435" s="5"/>
      <c r="AC435" s="7"/>
      <c r="AD435" s="7"/>
      <c r="AE435" s="7"/>
      <c r="AF435" s="7"/>
      <c r="AG435" s="7"/>
      <c r="AH435" s="7"/>
    </row>
    <row r="436" spans="2:34" ht="15" hidden="1" customHeight="1" outlineLevel="2" x14ac:dyDescent="0.4">
      <c r="B436" s="1046"/>
      <c r="C436" s="5"/>
      <c r="D436" s="3992" t="s">
        <v>840</v>
      </c>
      <c r="E436" s="596" t="s">
        <v>1252</v>
      </c>
      <c r="F436" s="596" t="s">
        <v>3</v>
      </c>
      <c r="G436" s="593">
        <f t="shared" si="45"/>
        <v>0.38</v>
      </c>
      <c r="H436" s="593">
        <f t="shared" si="46"/>
        <v>12.944831063433544</v>
      </c>
      <c r="I436" s="596"/>
      <c r="J436" s="593" t="str">
        <f>IF(F436="operation",VLOOKUP(I436,'Generic Vertical Port Tasks'!$C$4:$D$197,2,FALSE),"N/A")</f>
        <v>N/A</v>
      </c>
      <c r="K436" s="596"/>
      <c r="L436" s="596"/>
      <c r="M436" s="596"/>
      <c r="N436" s="597" t="str">
        <f>IFERROR(INDEX('Upper Cask Movement &amp; Logistics'!$I$24:$O$30,MATCH($J436,'Upper Cask Movement &amp; Logistics'!$H$24:$H$30,0),MATCH($K436,'Upper Cask Movement &amp; Logistics'!$H$24:$H$30,0)),"N/A")</f>
        <v>N/A</v>
      </c>
      <c r="O436" s="597" t="str">
        <f>IFERROR(VLOOKUP($I436,'Upper Cask Movement &amp; Logistics'!$H$4:$I$8,2,FALSE),"N/A")</f>
        <v>N/A</v>
      </c>
      <c r="P436" s="593" t="str">
        <f t="shared" si="44"/>
        <v>N/A</v>
      </c>
      <c r="Q436" s="1253" t="s">
        <v>1226</v>
      </c>
      <c r="R436" s="593">
        <f>IF($F436="Logistics",VLOOKUP($Q436,'Upper Cask Movement &amp; Logistics'!$C$4:$D$209,2,FALSE),"N/A")</f>
        <v>0.38</v>
      </c>
      <c r="S436" s="1254"/>
      <c r="T436" s="593" t="str">
        <f>IFERROR(VLOOKUP($S436,'Upper Cask Recovery Logistics'!$C$521:$F$646,4,FALSE),"N/A")</f>
        <v>N/A</v>
      </c>
      <c r="U436" s="1255" t="str">
        <f t="shared" si="47"/>
        <v>N/A</v>
      </c>
      <c r="V436" s="1510"/>
      <c r="X436" s="273"/>
      <c r="Y436" s="273"/>
      <c r="Z436" s="273"/>
      <c r="AA436" s="752"/>
      <c r="AB436" s="5"/>
      <c r="AC436" s="7"/>
      <c r="AD436" s="7"/>
      <c r="AE436" s="7"/>
      <c r="AF436" s="7"/>
      <c r="AG436" s="7"/>
      <c r="AH436" s="7"/>
    </row>
    <row r="437" spans="2:34" ht="15.75" hidden="1" customHeight="1" outlineLevel="2" x14ac:dyDescent="0.4">
      <c r="B437" s="1046"/>
      <c r="C437" s="5"/>
      <c r="D437" s="3993"/>
      <c r="E437" s="601" t="s">
        <v>22</v>
      </c>
      <c r="F437" s="601" t="s">
        <v>251</v>
      </c>
      <c r="G437" s="602">
        <f t="shared" si="45"/>
        <v>6.83</v>
      </c>
      <c r="H437" s="602">
        <f t="shared" si="46"/>
        <v>19.774831063433545</v>
      </c>
      <c r="I437" s="601" t="s">
        <v>252</v>
      </c>
      <c r="J437" s="602">
        <f>IF(F437="operation",VLOOKUP(I437,'Generic Vertical Port Tasks'!$C$4:$D$197,2,FALSE),"N/A")</f>
        <v>6.83</v>
      </c>
      <c r="K437" s="601"/>
      <c r="L437" s="601"/>
      <c r="M437" s="601"/>
      <c r="N437" s="605" t="str">
        <f>IFERROR(INDEX('Upper Cask Movement &amp; Logistics'!$I$24:$O$30,MATCH($J437,'Upper Cask Movement &amp; Logistics'!$H$24:$H$30,0),MATCH($K437,'Upper Cask Movement &amp; Logistics'!$H$24:$H$30,0)),"N/A")</f>
        <v>N/A</v>
      </c>
      <c r="O437" s="605" t="str">
        <f>IFERROR(VLOOKUP($I437,'Upper Cask Movement &amp; Logistics'!$H$4:$I$8,2,FALSE),"N/A")</f>
        <v>N/A</v>
      </c>
      <c r="P437" s="602" t="str">
        <f t="shared" si="44"/>
        <v>N/A</v>
      </c>
      <c r="Q437" s="1234"/>
      <c r="R437" s="602" t="str">
        <f>IF($F437="Logistics",VLOOKUP($Q437,'Upper Cask Movement &amp; Logistics'!$C$4:$D$209,2,FALSE),"N/A")</f>
        <v>N/A</v>
      </c>
      <c r="S437" s="1235"/>
      <c r="T437" s="602" t="str">
        <f>IFERROR(VLOOKUP($S437,'Upper Cask Recovery Logistics'!$C$521:$F$646,4,FALSE),"N/A")</f>
        <v>N/A</v>
      </c>
      <c r="U437" s="1236" t="str">
        <f t="shared" si="47"/>
        <v>N/A</v>
      </c>
      <c r="V437" s="1510"/>
      <c r="X437" s="273"/>
      <c r="Y437" s="273"/>
      <c r="Z437" s="273"/>
      <c r="AA437" s="752"/>
      <c r="AB437" s="5"/>
      <c r="AC437" s="7"/>
      <c r="AD437" s="7"/>
      <c r="AE437" s="7"/>
      <c r="AF437" s="7"/>
      <c r="AG437" s="7"/>
      <c r="AH437" s="7"/>
    </row>
    <row r="438" spans="2:34" ht="15" hidden="1" customHeight="1" outlineLevel="2" x14ac:dyDescent="0.4">
      <c r="B438" s="1046"/>
      <c r="C438" s="5"/>
      <c r="D438" s="3993"/>
      <c r="E438" s="601" t="s">
        <v>1246</v>
      </c>
      <c r="F438" s="601" t="s">
        <v>3</v>
      </c>
      <c r="G438" s="602">
        <f t="shared" si="45"/>
        <v>0.38</v>
      </c>
      <c r="H438" s="602">
        <f t="shared" si="46"/>
        <v>20.154831063433544</v>
      </c>
      <c r="I438" s="601"/>
      <c r="J438" s="602" t="str">
        <f>IF(F438="operation",VLOOKUP(I438,'Generic Vertical Port Tasks'!$C$4:$D$197,2,FALSE),"N/A")</f>
        <v>N/A</v>
      </c>
      <c r="K438" s="601"/>
      <c r="L438" s="601"/>
      <c r="M438" s="601"/>
      <c r="N438" s="605" t="str">
        <f>IFERROR(INDEX('Upper Cask Movement &amp; Logistics'!$I$24:$O$30,MATCH($J438,'Upper Cask Movement &amp; Logistics'!$H$24:$H$30,0),MATCH($K438,'Upper Cask Movement &amp; Logistics'!$H$24:$H$30,0)),"N/A")</f>
        <v>N/A</v>
      </c>
      <c r="O438" s="605" t="str">
        <f>IFERROR(VLOOKUP($I438,'Upper Cask Movement &amp; Logistics'!$H$4:$I$8,2,FALSE),"N/A")</f>
        <v>N/A</v>
      </c>
      <c r="P438" s="602" t="str">
        <f t="shared" si="44"/>
        <v>N/A</v>
      </c>
      <c r="Q438" s="1234" t="s">
        <v>1230</v>
      </c>
      <c r="R438" s="602">
        <f>IF($F438="Logistics",VLOOKUP($Q438,'Upper Cask Movement &amp; Logistics'!$C$4:$D$209,2,FALSE),"N/A")</f>
        <v>0.38</v>
      </c>
      <c r="S438" s="1235"/>
      <c r="T438" s="602" t="str">
        <f>IFERROR(VLOOKUP($S438,'Upper Cask Recovery Logistics'!$C$521:$F$646,4,FALSE),"N/A")</f>
        <v>N/A</v>
      </c>
      <c r="U438" s="1236" t="str">
        <f t="shared" si="47"/>
        <v>N/A</v>
      </c>
      <c r="V438" s="1510"/>
      <c r="X438" s="273"/>
      <c r="Y438" s="273"/>
      <c r="Z438" s="273"/>
      <c r="AA438" s="752"/>
      <c r="AB438" s="5"/>
      <c r="AC438" s="7"/>
      <c r="AD438" s="7"/>
      <c r="AE438" s="7"/>
      <c r="AF438" s="7"/>
      <c r="AG438" s="7"/>
      <c r="AH438" s="7"/>
    </row>
    <row r="439" spans="2:34" ht="15" hidden="1" customHeight="1" outlineLevel="2" x14ac:dyDescent="0.4">
      <c r="B439" s="1046"/>
      <c r="C439" s="5"/>
      <c r="D439" s="3993"/>
      <c r="E439" s="601" t="s">
        <v>1247</v>
      </c>
      <c r="F439" s="601" t="s">
        <v>3</v>
      </c>
      <c r="G439" s="602">
        <f t="shared" si="45"/>
        <v>0.38</v>
      </c>
      <c r="H439" s="602">
        <f t="shared" si="46"/>
        <v>20.534831063433543</v>
      </c>
      <c r="I439" s="601"/>
      <c r="J439" s="602" t="str">
        <f>IF(F439="operation",VLOOKUP(I439,'Generic Vertical Port Tasks'!$C$4:$D$197,2,FALSE),"N/A")</f>
        <v>N/A</v>
      </c>
      <c r="K439" s="601"/>
      <c r="L439" s="601"/>
      <c r="M439" s="601"/>
      <c r="N439" s="605" t="str">
        <f>IFERROR(INDEX('Upper Cask Movement &amp; Logistics'!$I$24:$O$30,MATCH($J439,'Upper Cask Movement &amp; Logistics'!$H$24:$H$30,0),MATCH($K439,'Upper Cask Movement &amp; Logistics'!$H$24:$H$30,0)),"N/A")</f>
        <v>N/A</v>
      </c>
      <c r="O439" s="605" t="str">
        <f>IFERROR(VLOOKUP($I439,'Upper Cask Movement &amp; Logistics'!$H$4:$I$8,2,FALSE),"N/A")</f>
        <v>N/A</v>
      </c>
      <c r="P439" s="602" t="str">
        <f t="shared" si="44"/>
        <v>N/A</v>
      </c>
      <c r="Q439" s="1234" t="s">
        <v>1226</v>
      </c>
      <c r="R439" s="602">
        <f>IF($F439="Logistics",VLOOKUP($Q439,'Upper Cask Movement &amp; Logistics'!$C$4:$D$209,2,FALSE),"N/A")</f>
        <v>0.38</v>
      </c>
      <c r="S439" s="1235"/>
      <c r="T439" s="602" t="str">
        <f>IFERROR(VLOOKUP($S439,'Upper Cask Recovery Logistics'!$C$521:$F$646,4,FALSE),"N/A")</f>
        <v>N/A</v>
      </c>
      <c r="U439" s="1236" t="str">
        <f t="shared" si="47"/>
        <v>N/A</v>
      </c>
      <c r="V439" s="1510"/>
      <c r="X439" s="273"/>
      <c r="Y439" s="273"/>
      <c r="Z439" s="273"/>
      <c r="AA439" s="752"/>
      <c r="AB439" s="5"/>
      <c r="AC439" s="7"/>
      <c r="AD439" s="7"/>
      <c r="AE439" s="7"/>
      <c r="AF439" s="7"/>
      <c r="AG439" s="7"/>
      <c r="AH439" s="7"/>
    </row>
    <row r="440" spans="2:34" ht="15" hidden="1" customHeight="1" outlineLevel="2" x14ac:dyDescent="0.4">
      <c r="B440" s="1046"/>
      <c r="C440" s="5"/>
      <c r="D440" s="3993"/>
      <c r="E440" s="601" t="s">
        <v>153</v>
      </c>
      <c r="F440" s="601" t="s">
        <v>251</v>
      </c>
      <c r="G440" s="602">
        <f t="shared" si="45"/>
        <v>1.0499155317167692</v>
      </c>
      <c r="H440" s="602">
        <f t="shared" si="46"/>
        <v>21.584746595150314</v>
      </c>
      <c r="I440" s="601" t="s">
        <v>2491</v>
      </c>
      <c r="J440" s="602">
        <f>IF(F440="operation",VLOOKUP(I440,'Generic Vertical Port Tasks'!$C$4:$D$197,2,FALSE),"N/A")</f>
        <v>1.0499155317167692</v>
      </c>
      <c r="K440" s="601"/>
      <c r="L440" s="601"/>
      <c r="M440" s="601"/>
      <c r="N440" s="605" t="str">
        <f>IFERROR(INDEX('Upper Cask Movement &amp; Logistics'!$I$24:$O$30,MATCH($J440,'Upper Cask Movement &amp; Logistics'!$H$24:$H$30,0),MATCH($K440,'Upper Cask Movement &amp; Logistics'!$H$24:$H$30,0)),"N/A")</f>
        <v>N/A</v>
      </c>
      <c r="O440" s="605" t="str">
        <f>IFERROR(VLOOKUP($I440,'Upper Cask Movement &amp; Logistics'!$H$4:$I$8,2,FALSE),"N/A")</f>
        <v>N/A</v>
      </c>
      <c r="P440" s="602" t="str">
        <f t="shared" si="44"/>
        <v>N/A</v>
      </c>
      <c r="Q440" s="1234"/>
      <c r="R440" s="602" t="str">
        <f>IF($F440="Logistics",VLOOKUP($Q440,'Upper Cask Movement &amp; Logistics'!$C$4:$D$209,2,FALSE),"N/A")</f>
        <v>N/A</v>
      </c>
      <c r="S440" s="1235"/>
      <c r="T440" s="602" t="str">
        <f>IFERROR(VLOOKUP($S440,'Upper Cask Recovery Logistics'!$C$521:$F$646,4,FALSE),"N/A")</f>
        <v>N/A</v>
      </c>
      <c r="U440" s="1236" t="str">
        <f t="shared" si="47"/>
        <v>N/A</v>
      </c>
      <c r="V440" s="1510"/>
      <c r="X440" s="273"/>
      <c r="Y440" s="273"/>
      <c r="Z440" s="273"/>
      <c r="AA440" s="752"/>
      <c r="AB440" s="5"/>
      <c r="AC440" s="7"/>
      <c r="AD440" s="7"/>
      <c r="AE440" s="7"/>
      <c r="AF440" s="7"/>
      <c r="AG440" s="7"/>
      <c r="AH440" s="7"/>
    </row>
    <row r="441" spans="2:34" ht="15" hidden="1" customHeight="1" outlineLevel="2" thickBot="1" x14ac:dyDescent="0.45">
      <c r="B441" s="1046"/>
      <c r="C441" s="5"/>
      <c r="D441" s="3994"/>
      <c r="E441" s="609" t="s">
        <v>1248</v>
      </c>
      <c r="F441" s="609" t="s">
        <v>3</v>
      </c>
      <c r="G441" s="610">
        <f t="shared" si="45"/>
        <v>0.38</v>
      </c>
      <c r="H441" s="610">
        <f t="shared" si="46"/>
        <v>21.964746595150313</v>
      </c>
      <c r="I441" s="609"/>
      <c r="J441" s="610" t="str">
        <f>IF(F441="operation",VLOOKUP(I441,'Generic Vertical Port Tasks'!$C$4:$D$197,2,FALSE),"N/A")</f>
        <v>N/A</v>
      </c>
      <c r="K441" s="609"/>
      <c r="L441" s="609"/>
      <c r="M441" s="609"/>
      <c r="N441" s="613" t="str">
        <f>IFERROR(INDEX('Upper Cask Movement &amp; Logistics'!$I$24:$O$30,MATCH($J441,'Upper Cask Movement &amp; Logistics'!$H$24:$H$30,0),MATCH($K441,'Upper Cask Movement &amp; Logistics'!$H$24:$H$30,0)),"N/A")</f>
        <v>N/A</v>
      </c>
      <c r="O441" s="613" t="str">
        <f>IFERROR(VLOOKUP($I441,'Upper Cask Movement &amp; Logistics'!$H$4:$I$8,2,FALSE),"N/A")</f>
        <v>N/A</v>
      </c>
      <c r="P441" s="610" t="str">
        <f t="shared" si="44"/>
        <v>N/A</v>
      </c>
      <c r="Q441" s="1237" t="s">
        <v>1230</v>
      </c>
      <c r="R441" s="610">
        <f>IF($F441="Logistics",VLOOKUP($Q441,'Upper Cask Movement &amp; Logistics'!$C$4:$D$209,2,FALSE),"N/A")</f>
        <v>0.38</v>
      </c>
      <c r="S441" s="1238"/>
      <c r="T441" s="610" t="str">
        <f>IFERROR(VLOOKUP($S441,'Upper Cask Recovery Logistics'!$C$521:$F$646,4,FALSE),"N/A")</f>
        <v>N/A</v>
      </c>
      <c r="U441" s="1239" t="str">
        <f t="shared" si="47"/>
        <v>N/A</v>
      </c>
      <c r="V441" s="1510"/>
      <c r="X441" s="273"/>
      <c r="Y441" s="273"/>
      <c r="Z441" s="273"/>
      <c r="AA441" s="752"/>
      <c r="AB441" s="5"/>
      <c r="AC441" s="7"/>
      <c r="AD441" s="7"/>
      <c r="AE441" s="7"/>
      <c r="AF441" s="7"/>
      <c r="AG441" s="7"/>
      <c r="AH441" s="7"/>
    </row>
    <row r="442" spans="2:34" ht="15" hidden="1" customHeight="1" outlineLevel="2" x14ac:dyDescent="0.4">
      <c r="B442" s="1046"/>
      <c r="C442" s="5"/>
      <c r="D442" s="3984" t="s">
        <v>843</v>
      </c>
      <c r="E442" s="1333" t="s">
        <v>1517</v>
      </c>
      <c r="F442" s="1333" t="s">
        <v>3</v>
      </c>
      <c r="G442" s="1303">
        <f t="shared" si="45"/>
        <v>0.38</v>
      </c>
      <c r="H442" s="1303">
        <f t="shared" si="46"/>
        <v>22.344746595150312</v>
      </c>
      <c r="I442" s="1333"/>
      <c r="J442" s="1303" t="str">
        <f>IF(F442="operation",VLOOKUP(I442,'Generic Vertical Port Tasks'!$C$4:$D$197,2,FALSE),"N/A")</f>
        <v>N/A</v>
      </c>
      <c r="K442" s="1333"/>
      <c r="L442" s="1333"/>
      <c r="M442" s="1333"/>
      <c r="N442" s="1334" t="str">
        <f>IFERROR(INDEX('Upper Cask Movement &amp; Logistics'!$I$24:$O$30,MATCH($J442,'Upper Cask Movement &amp; Logistics'!$H$24:$H$30,0),MATCH($K442,'Upper Cask Movement &amp; Logistics'!$H$24:$H$30,0)),"N/A")</f>
        <v>N/A</v>
      </c>
      <c r="O442" s="1334" t="str">
        <f>IFERROR(VLOOKUP($I442,'Upper Cask Movement &amp; Logistics'!$H$4:$I$8,2,FALSE),"N/A")</f>
        <v>N/A</v>
      </c>
      <c r="P442" s="1303" t="str">
        <f t="shared" si="44"/>
        <v>N/A</v>
      </c>
      <c r="Q442" s="1504" t="s">
        <v>1226</v>
      </c>
      <c r="R442" s="1303">
        <f>IF($F442="Logistics",VLOOKUP($Q442,'Upper Cask Movement &amp; Logistics'!$C$4:$D$209,2,FALSE),"N/A")</f>
        <v>0.38</v>
      </c>
      <c r="S442" s="1505"/>
      <c r="T442" s="1303" t="str">
        <f>IFERROR(VLOOKUP($S442,'Upper Cask Recovery Logistics'!$C$521:$F$646,4,FALSE),"N/A")</f>
        <v>N/A</v>
      </c>
      <c r="U442" s="1506" t="str">
        <f t="shared" si="47"/>
        <v>N/A</v>
      </c>
      <c r="V442" s="1510"/>
      <c r="X442" s="273"/>
      <c r="Y442" s="273"/>
      <c r="Z442" s="273"/>
      <c r="AA442" s="752"/>
      <c r="AB442" s="5"/>
      <c r="AC442" s="7"/>
      <c r="AD442" s="7"/>
      <c r="AE442" s="7"/>
      <c r="AF442" s="7"/>
      <c r="AG442" s="7"/>
      <c r="AH442" s="7"/>
    </row>
    <row r="443" spans="2:34" ht="15" hidden="1" customHeight="1" outlineLevel="2" x14ac:dyDescent="0.4">
      <c r="B443" s="1046"/>
      <c r="C443" s="5"/>
      <c r="D443" s="3985"/>
      <c r="E443" s="1243" t="s">
        <v>131</v>
      </c>
      <c r="F443" s="1243" t="s">
        <v>251</v>
      </c>
      <c r="G443" s="1244">
        <f t="shared" si="45"/>
        <v>0.72499999999999998</v>
      </c>
      <c r="H443" s="1244">
        <f t="shared" si="46"/>
        <v>23.069746595150313</v>
      </c>
      <c r="I443" s="1243" t="s">
        <v>253</v>
      </c>
      <c r="J443" s="1244">
        <f>IF(F443="operation",VLOOKUP(I443,'Generic Vertical Port Tasks'!$C$4:$D$197,2,FALSE),"N/A")</f>
        <v>0.72499999999999998</v>
      </c>
      <c r="K443" s="1243"/>
      <c r="L443" s="1243"/>
      <c r="M443" s="1243"/>
      <c r="N443" s="1245" t="str">
        <f>IFERROR(INDEX('Upper Cask Movement &amp; Logistics'!$I$24:$O$30,MATCH($J443,'Upper Cask Movement &amp; Logistics'!$H$24:$H$30,0),MATCH($K443,'Upper Cask Movement &amp; Logistics'!$H$24:$H$30,0)),"N/A")</f>
        <v>N/A</v>
      </c>
      <c r="O443" s="1245" t="str">
        <f>IFERROR(VLOOKUP($I443,'Upper Cask Movement &amp; Logistics'!$H$4:$I$8,2,FALSE),"N/A")</f>
        <v>N/A</v>
      </c>
      <c r="P443" s="1244" t="str">
        <f t="shared" si="44"/>
        <v>N/A</v>
      </c>
      <c r="Q443" s="1246"/>
      <c r="R443" s="1244" t="str">
        <f>IF($F443="Logistics",VLOOKUP($Q443,'Upper Cask Movement &amp; Logistics'!$C$4:$D$209,2,FALSE),"N/A")</f>
        <v>N/A</v>
      </c>
      <c r="S443" s="1247"/>
      <c r="T443" s="1244" t="str">
        <f>IFERROR(VLOOKUP($S443,'Upper Cask Recovery Logistics'!$C$521:$F$646,4,FALSE),"N/A")</f>
        <v>N/A</v>
      </c>
      <c r="U443" s="1248" t="str">
        <f t="shared" si="47"/>
        <v>N/A</v>
      </c>
      <c r="V443" s="1510"/>
      <c r="X443" s="273"/>
      <c r="Y443" s="273"/>
      <c r="Z443" s="273"/>
      <c r="AA443" s="752"/>
      <c r="AB443" s="5"/>
      <c r="AC443" s="7"/>
      <c r="AD443" s="7"/>
      <c r="AE443" s="7"/>
      <c r="AF443" s="7"/>
      <c r="AG443" s="7"/>
      <c r="AH443" s="7"/>
    </row>
    <row r="444" spans="2:34" ht="15" hidden="1" customHeight="1" outlineLevel="2" x14ac:dyDescent="0.4">
      <c r="B444" s="1046"/>
      <c r="C444" s="5"/>
      <c r="D444" s="3985"/>
      <c r="E444" s="1243" t="s">
        <v>1258</v>
      </c>
      <c r="F444" s="1243" t="s">
        <v>3</v>
      </c>
      <c r="G444" s="1244">
        <f t="shared" si="45"/>
        <v>0.63000000000000012</v>
      </c>
      <c r="H444" s="1244">
        <f t="shared" si="46"/>
        <v>23.699746595150312</v>
      </c>
      <c r="I444" s="1243"/>
      <c r="J444" s="1244" t="str">
        <f>IF(F444="operation",VLOOKUP(I444,'Generic Vertical Port Tasks'!$C$4:$D$197,2,FALSE),"N/A")</f>
        <v>N/A</v>
      </c>
      <c r="K444" s="1243"/>
      <c r="L444" s="1243"/>
      <c r="M444" s="1243"/>
      <c r="N444" s="1245" t="str">
        <f>IFERROR(INDEX('Upper Cask Movement &amp; Logistics'!$I$24:$O$30,MATCH($J444,'Upper Cask Movement &amp; Logistics'!$H$24:$H$30,0),MATCH($K444,'Upper Cask Movement &amp; Logistics'!$H$24:$H$30,0)),"N/A")</f>
        <v>N/A</v>
      </c>
      <c r="O444" s="1245" t="str">
        <f>IFERROR(VLOOKUP($I444,'Upper Cask Movement &amp; Logistics'!$H$4:$I$8,2,FALSE),"N/A")</f>
        <v>N/A</v>
      </c>
      <c r="P444" s="1244" t="str">
        <f t="shared" si="44"/>
        <v>N/A</v>
      </c>
      <c r="Q444" s="1246" t="s">
        <v>1228</v>
      </c>
      <c r="R444" s="1244">
        <f>IF($F444="Logistics",VLOOKUP($Q444,'Upper Cask Movement &amp; Logistics'!$C$4:$D$209,2,FALSE),"N/A")</f>
        <v>0.63000000000000012</v>
      </c>
      <c r="S444" s="1247" t="s">
        <v>1376</v>
      </c>
      <c r="T444" s="1244">
        <f>IFERROR(VLOOKUP($S444,'Upper Cask Recovery Logistics'!$C$521:$F$646,4,FALSE),"N/A")</f>
        <v>16.860756989359466</v>
      </c>
      <c r="U444" s="1248">
        <f t="shared" si="47"/>
        <v>6.2089896057908476</v>
      </c>
      <c r="V444" s="1510"/>
      <c r="X444" s="273"/>
      <c r="Y444" s="273"/>
      <c r="Z444" s="273"/>
      <c r="AA444" s="752"/>
      <c r="AB444" s="5"/>
      <c r="AC444" s="7"/>
      <c r="AD444" s="7"/>
      <c r="AE444" s="7"/>
      <c r="AF444" s="7"/>
      <c r="AG444" s="7"/>
      <c r="AH444" s="7"/>
    </row>
    <row r="445" spans="2:34" ht="15" hidden="1" customHeight="1" outlineLevel="2" x14ac:dyDescent="0.4">
      <c r="B445" s="1046"/>
      <c r="C445" s="5"/>
      <c r="D445" s="3985"/>
      <c r="E445" s="1243" t="s">
        <v>1251</v>
      </c>
      <c r="F445" s="1243" t="s">
        <v>3</v>
      </c>
      <c r="G445" s="1244">
        <f t="shared" si="45"/>
        <v>0.38</v>
      </c>
      <c r="H445" s="1244">
        <f t="shared" si="46"/>
        <v>24.079746595150311</v>
      </c>
      <c r="I445" s="1243"/>
      <c r="J445" s="1244" t="str">
        <f>IF(F445="operation",VLOOKUP(I445,'Generic Vertical Port Tasks'!$C$4:$D$197,2,FALSE),"N/A")</f>
        <v>N/A</v>
      </c>
      <c r="K445" s="1243"/>
      <c r="L445" s="1243"/>
      <c r="M445" s="1243"/>
      <c r="N445" s="1245" t="str">
        <f>IFERROR(INDEX('Upper Cask Movement &amp; Logistics'!$I$24:$O$30,MATCH($J445,'Upper Cask Movement &amp; Logistics'!$H$24:$H$30,0),MATCH($K445,'Upper Cask Movement &amp; Logistics'!$H$24:$H$30,0)),"N/A")</f>
        <v>N/A</v>
      </c>
      <c r="O445" s="1245" t="str">
        <f>IFERROR(VLOOKUP($I445,'Upper Cask Movement &amp; Logistics'!$H$4:$I$8,2,FALSE),"N/A")</f>
        <v>N/A</v>
      </c>
      <c r="P445" s="1244" t="str">
        <f t="shared" si="44"/>
        <v>N/A</v>
      </c>
      <c r="Q445" s="1246" t="s">
        <v>1230</v>
      </c>
      <c r="R445" s="1244">
        <f>IF($F445="Logistics",VLOOKUP($Q445,'Upper Cask Movement &amp; Logistics'!$C$4:$D$209,2,FALSE),"N/A")</f>
        <v>0.38</v>
      </c>
      <c r="S445" s="1247"/>
      <c r="T445" s="1244" t="str">
        <f>IFERROR(VLOOKUP($S445,'Upper Cask Recovery Logistics'!$C$521:$F$646,4,FALSE),"N/A")</f>
        <v>N/A</v>
      </c>
      <c r="U445" s="1248" t="str">
        <f t="shared" si="47"/>
        <v>N/A</v>
      </c>
      <c r="V445" s="1510"/>
      <c r="X445" s="273"/>
      <c r="Y445" s="273"/>
      <c r="Z445" s="273"/>
      <c r="AA445" s="752"/>
      <c r="AB445" s="5"/>
      <c r="AC445" s="7"/>
      <c r="AD445" s="7"/>
      <c r="AE445" s="7"/>
      <c r="AF445" s="7"/>
      <c r="AG445" s="7"/>
      <c r="AH445" s="7"/>
    </row>
    <row r="446" spans="2:34" ht="15" hidden="1" customHeight="1" outlineLevel="2" thickBot="1" x14ac:dyDescent="0.45">
      <c r="B446" s="1046"/>
      <c r="C446" s="5"/>
      <c r="D446" s="3986"/>
      <c r="E446" s="1314" t="s">
        <v>1259</v>
      </c>
      <c r="F446" s="1314" t="s">
        <v>3</v>
      </c>
      <c r="G446" s="1316">
        <f t="shared" si="45"/>
        <v>2.5400000000000005</v>
      </c>
      <c r="H446" s="1316">
        <f t="shared" si="46"/>
        <v>26.61974659515031</v>
      </c>
      <c r="I446" s="1314"/>
      <c r="J446" s="1316" t="str">
        <f>IF(F446="operation",VLOOKUP(I446,'Generic Vertical Port Tasks'!$C$4:$D$197,2,FALSE),"N/A")</f>
        <v>N/A</v>
      </c>
      <c r="K446" s="1314"/>
      <c r="L446" s="1314"/>
      <c r="M446" s="1314"/>
      <c r="N446" s="1319" t="str">
        <f>IFERROR(INDEX('Upper Cask Movement &amp; Logistics'!$I$24:$O$30,MATCH($J446,'Upper Cask Movement &amp; Logistics'!$H$24:$H$30,0),MATCH($K446,'Upper Cask Movement &amp; Logistics'!$H$24:$H$30,0)),"N/A")</f>
        <v>N/A</v>
      </c>
      <c r="O446" s="1319" t="str">
        <f>IFERROR(VLOOKUP($I446,'Upper Cask Movement &amp; Logistics'!$H$4:$I$8,2,FALSE),"N/A")</f>
        <v>N/A</v>
      </c>
      <c r="P446" s="1316" t="str">
        <f t="shared" si="44"/>
        <v>N/A</v>
      </c>
      <c r="Q446" s="1507" t="s">
        <v>1260</v>
      </c>
      <c r="R446" s="1316">
        <f>IF($F446="Logistics",VLOOKUP($Q446,'Upper Cask Movement &amp; Logistics'!$C$4:$D$209,2,FALSE),"N/A")</f>
        <v>2.5400000000000005</v>
      </c>
      <c r="S446" s="1508"/>
      <c r="T446" s="1316" t="str">
        <f>IFERROR(VLOOKUP($S446,'Upper Cask Recovery Logistics'!$C$521:$F$646,4,FALSE),"N/A")</f>
        <v>N/A</v>
      </c>
      <c r="U446" s="1509" t="str">
        <f t="shared" si="47"/>
        <v>N/A</v>
      </c>
      <c r="V446" s="1510"/>
      <c r="X446" s="273"/>
      <c r="Y446" s="273"/>
      <c r="Z446" s="273"/>
      <c r="AA446" s="752"/>
      <c r="AB446" s="5"/>
      <c r="AC446" s="7"/>
      <c r="AD446" s="7"/>
      <c r="AE446" s="7"/>
      <c r="AF446" s="7"/>
      <c r="AG446" s="7"/>
      <c r="AH446" s="7"/>
    </row>
    <row r="447" spans="2:34" ht="15.75" hidden="1" customHeight="1" outlineLevel="2" x14ac:dyDescent="0.4">
      <c r="B447" s="1046"/>
      <c r="C447" s="5"/>
      <c r="D447" s="3820" t="s">
        <v>13</v>
      </c>
      <c r="E447" s="1256" t="s">
        <v>1261</v>
      </c>
      <c r="F447" s="596" t="s">
        <v>3</v>
      </c>
      <c r="G447" s="593">
        <f t="shared" si="45"/>
        <v>1.6400000000000001</v>
      </c>
      <c r="H447" s="593">
        <f t="shared" si="46"/>
        <v>29.934191039594754</v>
      </c>
      <c r="I447" s="596"/>
      <c r="J447" s="593" t="str">
        <f>IF(F447="operation",VLOOKUP(I447,'Generic Vertical Port Tasks'!$C$4:$D$197,2,FALSE),"N/A")</f>
        <v>N/A</v>
      </c>
      <c r="K447" s="596"/>
      <c r="L447" s="596"/>
      <c r="M447" s="596"/>
      <c r="N447" s="597" t="str">
        <f>IFERROR(INDEX('Upper Cask Movement &amp; Logistics'!$I$24:$O$30,MATCH($J447,'Upper Cask Movement &amp; Logistics'!$H$24:$H$30,0),MATCH($K447,'Upper Cask Movement &amp; Logistics'!$H$24:$H$30,0)),"N/A")</f>
        <v>N/A</v>
      </c>
      <c r="O447" s="597" t="str">
        <f>IFERROR(VLOOKUP($I447,'Upper Cask Movement &amp; Logistics'!$H$4:$I$8,2,FALSE),"N/A")</f>
        <v>N/A</v>
      </c>
      <c r="P447" s="593" t="str">
        <f t="shared" si="44"/>
        <v>N/A</v>
      </c>
      <c r="Q447" s="1253" t="s">
        <v>1224</v>
      </c>
      <c r="R447" s="593">
        <f>IF($F447="Logistics",VLOOKUP($Q447,'Upper Cask Movement &amp; Logistics'!$C$4:$D$209,2,FALSE),"N/A")</f>
        <v>1.6400000000000001</v>
      </c>
      <c r="S447" s="1254" t="s">
        <v>1384</v>
      </c>
      <c r="T447" s="593">
        <f>IFERROR(VLOOKUP($S447,'Upper Cask Recovery Logistics'!$C$521:$F$646,4,FALSE),"N/A")</f>
        <v>28.294191039594754</v>
      </c>
      <c r="U447" s="1255">
        <f t="shared" si="47"/>
        <v>-1.6744444444444433</v>
      </c>
      <c r="V447" s="1510"/>
      <c r="X447" s="273"/>
      <c r="Y447" s="273"/>
      <c r="Z447" s="273"/>
      <c r="AA447" s="752"/>
      <c r="AB447" s="5"/>
      <c r="AC447" s="7"/>
      <c r="AD447" s="7"/>
      <c r="AE447" s="7"/>
      <c r="AF447" s="7"/>
      <c r="AG447" s="7"/>
      <c r="AH447" s="7"/>
    </row>
    <row r="448" spans="2:34" ht="25.5" hidden="1" customHeight="1" outlineLevel="2" x14ac:dyDescent="0.4">
      <c r="B448" s="1046"/>
      <c r="C448" s="5"/>
      <c r="D448" s="3821"/>
      <c r="E448" s="1257" t="s">
        <v>1262</v>
      </c>
      <c r="F448" s="601" t="s">
        <v>3</v>
      </c>
      <c r="G448" s="602">
        <f t="shared" si="45"/>
        <v>0.38</v>
      </c>
      <c r="H448" s="602">
        <f t="shared" si="46"/>
        <v>30.314191039594753</v>
      </c>
      <c r="I448" s="601"/>
      <c r="J448" s="602" t="str">
        <f>IF(F448="operation",VLOOKUP(I448,'Generic Vertical Port Tasks'!$C$4:$D$197,2,FALSE),"N/A")</f>
        <v>N/A</v>
      </c>
      <c r="K448" s="601"/>
      <c r="L448" s="601"/>
      <c r="M448" s="601"/>
      <c r="N448" s="605" t="str">
        <f>IFERROR(INDEX('Upper Cask Movement &amp; Logistics'!$I$24:$O$30,MATCH($J448,'Upper Cask Movement &amp; Logistics'!$H$24:$H$30,0),MATCH($K448,'Upper Cask Movement &amp; Logistics'!$H$24:$H$30,0)),"N/A")</f>
        <v>N/A</v>
      </c>
      <c r="O448" s="605" t="str">
        <f>IFERROR(VLOOKUP($I448,'Upper Cask Movement &amp; Logistics'!$H$4:$I$8,2,FALSE),"N/A")</f>
        <v>N/A</v>
      </c>
      <c r="P448" s="602" t="str">
        <f t="shared" si="44"/>
        <v>N/A</v>
      </c>
      <c r="Q448" s="1234" t="s">
        <v>1226</v>
      </c>
      <c r="R448" s="602">
        <f>IF($F448="Logistics",VLOOKUP($Q448,'Upper Cask Movement &amp; Logistics'!$C$4:$D$209,2,FALSE),"N/A")</f>
        <v>0.38</v>
      </c>
      <c r="S448" s="1235"/>
      <c r="T448" s="602" t="str">
        <f>IFERROR(VLOOKUP($S448,'Upper Cask Recovery Logistics'!$C$521:$F$646,4,FALSE),"N/A")</f>
        <v>N/A</v>
      </c>
      <c r="U448" s="1236" t="str">
        <f t="shared" si="47"/>
        <v>N/A</v>
      </c>
      <c r="V448" s="1510"/>
      <c r="X448" s="273"/>
      <c r="Y448" s="273"/>
      <c r="Z448" s="273"/>
      <c r="AA448" s="752"/>
    </row>
    <row r="449" spans="2:28" s="82" customFormat="1" ht="15.75" hidden="1" customHeight="1" outlineLevel="2" x14ac:dyDescent="0.4">
      <c r="B449" s="1046"/>
      <c r="C449" s="5"/>
      <c r="D449" s="3821"/>
      <c r="E449" s="1257" t="s">
        <v>122</v>
      </c>
      <c r="F449" s="601" t="s">
        <v>251</v>
      </c>
      <c r="G449" s="602">
        <f t="shared" si="45"/>
        <v>5.74</v>
      </c>
      <c r="H449" s="602">
        <f t="shared" si="46"/>
        <v>36.054191039594755</v>
      </c>
      <c r="I449" s="601" t="s">
        <v>254</v>
      </c>
      <c r="J449" s="602">
        <f>IF(F449="operation",VLOOKUP(I449,'Generic Vertical Port Tasks'!$C$4:$D$197,2,FALSE),"N/A")</f>
        <v>5.74</v>
      </c>
      <c r="K449" s="601"/>
      <c r="L449" s="601"/>
      <c r="M449" s="601"/>
      <c r="N449" s="605" t="str">
        <f>IFERROR(INDEX('Upper Cask Movement &amp; Logistics'!$I$24:$O$30,MATCH($J449,'Upper Cask Movement &amp; Logistics'!$H$24:$H$30,0),MATCH($K449,'Upper Cask Movement &amp; Logistics'!$H$24:$H$30,0)),"N/A")</f>
        <v>N/A</v>
      </c>
      <c r="O449" s="605" t="str">
        <f>IFERROR(VLOOKUP($I449,'Upper Cask Movement &amp; Logistics'!$H$4:$I$8,2,FALSE),"N/A")</f>
        <v>N/A</v>
      </c>
      <c r="P449" s="602" t="str">
        <f t="shared" si="44"/>
        <v>N/A</v>
      </c>
      <c r="Q449" s="1234"/>
      <c r="R449" s="602" t="str">
        <f>IF($F449="Logistics",VLOOKUP($Q449,'Upper Cask Movement &amp; Logistics'!$C$4:$D$209,2,FALSE),"N/A")</f>
        <v>N/A</v>
      </c>
      <c r="S449" s="1235"/>
      <c r="T449" s="602" t="str">
        <f>IFERROR(VLOOKUP($S449,'Upper Cask Recovery Logistics'!$C$521:$F$646,4,FALSE),"N/A")</f>
        <v>N/A</v>
      </c>
      <c r="U449" s="1236" t="str">
        <f t="shared" si="47"/>
        <v>N/A</v>
      </c>
      <c r="V449" s="1510"/>
      <c r="X449" s="5"/>
      <c r="Y449" s="5"/>
      <c r="Z449" s="5"/>
      <c r="AA449" s="889"/>
      <c r="AB449" s="890"/>
    </row>
    <row r="450" spans="2:28" s="82" customFormat="1" ht="15" hidden="1" customHeight="1" outlineLevel="2" x14ac:dyDescent="0.4">
      <c r="B450" s="1046"/>
      <c r="C450" s="5"/>
      <c r="D450" s="3821"/>
      <c r="E450" s="1257" t="s">
        <v>1263</v>
      </c>
      <c r="F450" s="601" t="s">
        <v>3</v>
      </c>
      <c r="G450" s="602">
        <f t="shared" si="45"/>
        <v>0.63000000000000012</v>
      </c>
      <c r="H450" s="602">
        <f t="shared" si="46"/>
        <v>36.684191039594758</v>
      </c>
      <c r="I450" s="601"/>
      <c r="J450" s="602" t="str">
        <f>IF(F450="operation",VLOOKUP(I450,'Generic Vertical Port Tasks'!$C$4:$D$197,2,FALSE),"N/A")</f>
        <v>N/A</v>
      </c>
      <c r="K450" s="601"/>
      <c r="L450" s="601"/>
      <c r="M450" s="601"/>
      <c r="N450" s="605" t="str">
        <f>IFERROR(INDEX('Upper Cask Movement &amp; Logistics'!$I$24:$O$30,MATCH($J450,'Upper Cask Movement &amp; Logistics'!$H$24:$H$30,0),MATCH($K450,'Upper Cask Movement &amp; Logistics'!$H$24:$H$30,0)),"N/A")</f>
        <v>N/A</v>
      </c>
      <c r="O450" s="605" t="str">
        <f>IFERROR(VLOOKUP($I450,'Upper Cask Movement &amp; Logistics'!$H$4:$I$8,2,FALSE),"N/A")</f>
        <v>N/A</v>
      </c>
      <c r="P450" s="602" t="str">
        <f t="shared" si="44"/>
        <v>N/A</v>
      </c>
      <c r="Q450" s="1234" t="s">
        <v>1228</v>
      </c>
      <c r="R450" s="602">
        <f>IF($F450="Logistics",VLOOKUP($Q450,'Upper Cask Movement &amp; Logistics'!$C$4:$D$209,2,FALSE),"N/A")</f>
        <v>0.63000000000000012</v>
      </c>
      <c r="S450" s="1235" t="s">
        <v>1379</v>
      </c>
      <c r="T450" s="602">
        <f>IFERROR(VLOOKUP($S450,'Upper Cask Recovery Logistics'!$C$521:$F$646,4,FALSE),"N/A")</f>
        <v>29.919005854409569</v>
      </c>
      <c r="U450" s="1236">
        <f t="shared" si="47"/>
        <v>6.1351851851851862</v>
      </c>
      <c r="V450" s="1510"/>
      <c r="X450" s="5"/>
      <c r="Y450" s="5"/>
      <c r="Z450" s="5"/>
      <c r="AA450" s="889"/>
      <c r="AB450" s="890"/>
    </row>
    <row r="451" spans="2:28" s="82" customFormat="1" ht="15" hidden="1" customHeight="1" outlineLevel="2" x14ac:dyDescent="0.4">
      <c r="B451" s="1046"/>
      <c r="C451" s="5"/>
      <c r="D451" s="3821"/>
      <c r="E451" s="1257" t="s">
        <v>1262</v>
      </c>
      <c r="F451" s="601" t="s">
        <v>3</v>
      </c>
      <c r="G451" s="602">
        <f t="shared" si="45"/>
        <v>0.5</v>
      </c>
      <c r="H451" s="602">
        <f t="shared" si="46"/>
        <v>37.184191039594758</v>
      </c>
      <c r="I451" s="601"/>
      <c r="J451" s="602" t="str">
        <f>IF(F451="operation",VLOOKUP(I451,'Generic Vertical Port Tasks'!$C$4:$D$197,2,FALSE),"N/A")</f>
        <v>N/A</v>
      </c>
      <c r="K451" s="601"/>
      <c r="L451" s="601"/>
      <c r="M451" s="601"/>
      <c r="N451" s="605" t="str">
        <f>IFERROR(INDEX('Upper Cask Movement &amp; Logistics'!$I$24:$O$30,MATCH($J451,'Upper Cask Movement &amp; Logistics'!$H$24:$H$30,0),MATCH($K451,'Upper Cask Movement &amp; Logistics'!$H$24:$H$30,0)),"N/A")</f>
        <v>N/A</v>
      </c>
      <c r="O451" s="605" t="str">
        <f>IFERROR(VLOOKUP($I451,'Upper Cask Movement &amp; Logistics'!$H$4:$I$8,2,FALSE),"N/A")</f>
        <v>N/A</v>
      </c>
      <c r="P451" s="602" t="str">
        <f t="shared" si="44"/>
        <v>N/A</v>
      </c>
      <c r="Q451" s="1234" t="s">
        <v>1208</v>
      </c>
      <c r="R451" s="602">
        <f>IF($F451="Logistics",VLOOKUP($Q451,'Upper Cask Movement &amp; Logistics'!$C$4:$D$209,2,FALSE),"N/A")</f>
        <v>0.5</v>
      </c>
      <c r="S451" s="1235"/>
      <c r="T451" s="602" t="str">
        <f>IFERROR(VLOOKUP($S451,'Upper Cask Recovery Logistics'!$C$521:$F$646,4,FALSE),"N/A")</f>
        <v>N/A</v>
      </c>
      <c r="U451" s="1236" t="str">
        <f t="shared" si="47"/>
        <v>N/A</v>
      </c>
      <c r="V451" s="1510"/>
      <c r="X451" s="5"/>
      <c r="Y451" s="5"/>
      <c r="Z451" s="5"/>
      <c r="AA451" s="889"/>
      <c r="AB451" s="890"/>
    </row>
    <row r="452" spans="2:28" s="82" customFormat="1" ht="15" hidden="1" customHeight="1" outlineLevel="2" x14ac:dyDescent="0.4">
      <c r="B452" s="1046"/>
      <c r="C452" s="5"/>
      <c r="D452" s="3821"/>
      <c r="E452" s="1257" t="s">
        <v>135</v>
      </c>
      <c r="F452" s="601" t="s">
        <v>251</v>
      </c>
      <c r="G452" s="602">
        <f t="shared" si="45"/>
        <v>5.74</v>
      </c>
      <c r="H452" s="602">
        <f t="shared" si="46"/>
        <v>42.92419103959476</v>
      </c>
      <c r="I452" s="601" t="s">
        <v>254</v>
      </c>
      <c r="J452" s="602">
        <f>IF(F452="operation",VLOOKUP(I452,'Generic Vertical Port Tasks'!$C$4:$D$197,2,FALSE),"N/A")</f>
        <v>5.74</v>
      </c>
      <c r="K452" s="601"/>
      <c r="L452" s="601"/>
      <c r="M452" s="601"/>
      <c r="N452" s="605" t="str">
        <f>IFERROR(INDEX('Upper Cask Movement &amp; Logistics'!$I$24:$O$30,MATCH($J452,'Upper Cask Movement &amp; Logistics'!$H$24:$H$30,0),MATCH($K452,'Upper Cask Movement &amp; Logistics'!$H$24:$H$30,0)),"N/A")</f>
        <v>N/A</v>
      </c>
      <c r="O452" s="605" t="str">
        <f>IFERROR(VLOOKUP($I452,'Upper Cask Movement &amp; Logistics'!$H$4:$I$8,2,FALSE),"N/A")</f>
        <v>N/A</v>
      </c>
      <c r="P452" s="602" t="str">
        <f t="shared" si="44"/>
        <v>N/A</v>
      </c>
      <c r="Q452" s="1234"/>
      <c r="R452" s="602" t="str">
        <f>IF($F452="Logistics",VLOOKUP($Q452,'Upper Cask Movement &amp; Logistics'!$C$4:$D$209,2,FALSE),"N/A")</f>
        <v>N/A</v>
      </c>
      <c r="S452" s="1235"/>
      <c r="T452" s="602" t="str">
        <f>IFERROR(VLOOKUP($S452,'Upper Cask Recovery Logistics'!$C$521:$F$646,4,FALSE),"N/A")</f>
        <v>N/A</v>
      </c>
      <c r="U452" s="1236" t="str">
        <f t="shared" si="47"/>
        <v>N/A</v>
      </c>
      <c r="V452" s="1510"/>
      <c r="X452" s="5"/>
      <c r="Y452" s="5"/>
      <c r="Z452" s="5"/>
      <c r="AA452" s="889"/>
      <c r="AB452" s="890"/>
    </row>
    <row r="453" spans="2:28" s="82" customFormat="1" ht="15.75" hidden="1" customHeight="1" outlineLevel="2" x14ac:dyDescent="0.4">
      <c r="B453" s="1046"/>
      <c r="C453" s="5"/>
      <c r="D453" s="3821"/>
      <c r="E453" s="1257" t="s">
        <v>1264</v>
      </c>
      <c r="F453" s="601" t="s">
        <v>3</v>
      </c>
      <c r="G453" s="602">
        <f t="shared" si="45"/>
        <v>0.63000000000000012</v>
      </c>
      <c r="H453" s="602">
        <f t="shared" si="46"/>
        <v>43.554191039594762</v>
      </c>
      <c r="I453" s="601"/>
      <c r="J453" s="602" t="str">
        <f>IF(F453="operation",VLOOKUP(I453,'Generic Vertical Port Tasks'!$C$4:$D$197,2,FALSE),"N/A")</f>
        <v>N/A</v>
      </c>
      <c r="K453" s="601"/>
      <c r="L453" s="601"/>
      <c r="M453" s="601"/>
      <c r="N453" s="605" t="str">
        <f>IFERROR(INDEX('Upper Cask Movement &amp; Logistics'!$I$24:$O$30,MATCH($J453,'Upper Cask Movement &amp; Logistics'!$H$24:$H$30,0),MATCH($K453,'Upper Cask Movement &amp; Logistics'!$H$24:$H$30,0)),"N/A")</f>
        <v>N/A</v>
      </c>
      <c r="O453" s="605" t="str">
        <f>IFERROR(VLOOKUP($I453,'Upper Cask Movement &amp; Logistics'!$H$4:$I$8,2,FALSE),"N/A")</f>
        <v>N/A</v>
      </c>
      <c r="P453" s="602" t="str">
        <f t="shared" si="44"/>
        <v>N/A</v>
      </c>
      <c r="Q453" s="1234" t="s">
        <v>1228</v>
      </c>
      <c r="R453" s="602">
        <f>IF($F453="Logistics",VLOOKUP($Q453,'Upper Cask Movement &amp; Logistics'!$C$4:$D$209,2,FALSE),"N/A")</f>
        <v>0.63000000000000012</v>
      </c>
      <c r="S453" s="1235" t="s">
        <v>1388</v>
      </c>
      <c r="T453" s="602">
        <f>IFERROR(VLOOKUP($S453,'Upper Cask Recovery Logistics'!$C$521:$F$646,4,FALSE),"N/A")</f>
        <v>29.933450298854012</v>
      </c>
      <c r="U453" s="1236">
        <f t="shared" si="47"/>
        <v>12.990740740740748</v>
      </c>
      <c r="V453" s="1510"/>
      <c r="X453" s="5"/>
      <c r="Y453" s="5"/>
      <c r="Z453" s="5"/>
      <c r="AA453" s="889"/>
      <c r="AB453" s="890"/>
    </row>
    <row r="454" spans="2:28" s="82" customFormat="1" ht="15" hidden="1" customHeight="1" outlineLevel="2" x14ac:dyDescent="0.4">
      <c r="B454" s="1046"/>
      <c r="C454" s="5"/>
      <c r="D454" s="3821"/>
      <c r="E454" s="1257" t="s">
        <v>1262</v>
      </c>
      <c r="F454" s="601" t="s">
        <v>3</v>
      </c>
      <c r="G454" s="602">
        <f t="shared" si="45"/>
        <v>0.5</v>
      </c>
      <c r="H454" s="602">
        <f t="shared" si="46"/>
        <v>44.054191039594762</v>
      </c>
      <c r="I454" s="601"/>
      <c r="J454" s="602" t="str">
        <f>IF(F454="operation",VLOOKUP(I454,'Generic Vertical Port Tasks'!$C$4:$D$197,2,FALSE),"N/A")</f>
        <v>N/A</v>
      </c>
      <c r="K454" s="601"/>
      <c r="L454" s="601"/>
      <c r="M454" s="601"/>
      <c r="N454" s="605" t="str">
        <f>IFERROR(INDEX('Upper Cask Movement &amp; Logistics'!$I$24:$O$30,MATCH($J454,'Upper Cask Movement &amp; Logistics'!$H$24:$H$30,0),MATCH($K454,'Upper Cask Movement &amp; Logistics'!$H$24:$H$30,0)),"N/A")</f>
        <v>N/A</v>
      </c>
      <c r="O454" s="605" t="str">
        <f>IFERROR(VLOOKUP($I454,'Upper Cask Movement &amp; Logistics'!$H$4:$I$8,2,FALSE),"N/A")</f>
        <v>N/A</v>
      </c>
      <c r="P454" s="602" t="str">
        <f t="shared" si="44"/>
        <v>N/A</v>
      </c>
      <c r="Q454" s="1234" t="s">
        <v>1208</v>
      </c>
      <c r="R454" s="602">
        <f>IF($F454="Logistics",VLOOKUP($Q454,'Upper Cask Movement &amp; Logistics'!$C$4:$D$209,2,FALSE),"N/A")</f>
        <v>0.5</v>
      </c>
      <c r="S454" s="1235"/>
      <c r="T454" s="602" t="str">
        <f>IFERROR(VLOOKUP($S454,'Upper Cask Recovery Logistics'!$C$521:$F$646,4,FALSE),"N/A")</f>
        <v>N/A</v>
      </c>
      <c r="U454" s="1236" t="str">
        <f t="shared" si="47"/>
        <v>N/A</v>
      </c>
      <c r="V454" s="1510"/>
      <c r="X454" s="5"/>
      <c r="Y454" s="5"/>
      <c r="Z454" s="5"/>
      <c r="AA454" s="889"/>
      <c r="AB454" s="890"/>
    </row>
    <row r="455" spans="2:28" s="82" customFormat="1" ht="15.75" hidden="1" customHeight="1" outlineLevel="2" x14ac:dyDescent="0.4">
      <c r="B455" s="1046"/>
      <c r="C455" s="5"/>
      <c r="D455" s="3821"/>
      <c r="E455" s="1257" t="s">
        <v>136</v>
      </c>
      <c r="F455" s="601" t="s">
        <v>251</v>
      </c>
      <c r="G455" s="602">
        <f t="shared" si="45"/>
        <v>5.74</v>
      </c>
      <c r="H455" s="602">
        <f t="shared" si="46"/>
        <v>49.794191039594764</v>
      </c>
      <c r="I455" s="601" t="s">
        <v>254</v>
      </c>
      <c r="J455" s="602">
        <f>IF(F455="operation",VLOOKUP(I455,'Generic Vertical Port Tasks'!$C$4:$D$197,2,FALSE),"N/A")</f>
        <v>5.74</v>
      </c>
      <c r="K455" s="601"/>
      <c r="L455" s="601"/>
      <c r="M455" s="601"/>
      <c r="N455" s="605" t="str">
        <f>IFERROR(INDEX('Upper Cask Movement &amp; Logistics'!$I$24:$O$30,MATCH($J455,'Upper Cask Movement &amp; Logistics'!$H$24:$H$30,0),MATCH($K455,'Upper Cask Movement &amp; Logistics'!$H$24:$H$30,0)),"N/A")</f>
        <v>N/A</v>
      </c>
      <c r="O455" s="605" t="str">
        <f>IFERROR(VLOOKUP($I455,'Upper Cask Movement &amp; Logistics'!$H$4:$I$8,2,FALSE),"N/A")</f>
        <v>N/A</v>
      </c>
      <c r="P455" s="602" t="str">
        <f t="shared" si="44"/>
        <v>N/A</v>
      </c>
      <c r="Q455" s="1234"/>
      <c r="R455" s="602" t="str">
        <f>IF($F455="Logistics",VLOOKUP($Q455,'Upper Cask Movement &amp; Logistics'!$C$4:$D$209,2,FALSE),"N/A")</f>
        <v>N/A</v>
      </c>
      <c r="S455" s="1235"/>
      <c r="T455" s="602" t="str">
        <f>IFERROR(VLOOKUP($S455,'Upper Cask Recovery Logistics'!$C$521:$F$646,4,FALSE),"N/A")</f>
        <v>N/A</v>
      </c>
      <c r="U455" s="1236" t="str">
        <f t="shared" si="47"/>
        <v>N/A</v>
      </c>
      <c r="V455" s="1510"/>
      <c r="X455" s="5"/>
      <c r="Y455" s="5"/>
      <c r="Z455" s="5"/>
      <c r="AA455" s="889"/>
      <c r="AB455" s="890"/>
    </row>
    <row r="456" spans="2:28" s="82" customFormat="1" ht="15" hidden="1" customHeight="1" outlineLevel="2" x14ac:dyDescent="0.4">
      <c r="B456" s="1046"/>
      <c r="C456" s="5"/>
      <c r="D456" s="3821"/>
      <c r="E456" s="1257" t="s">
        <v>1265</v>
      </c>
      <c r="F456" s="601" t="s">
        <v>3</v>
      </c>
      <c r="G456" s="602">
        <f t="shared" si="45"/>
        <v>0.63000000000000012</v>
      </c>
      <c r="H456" s="602">
        <f t="shared" si="46"/>
        <v>50.424191039594767</v>
      </c>
      <c r="I456" s="601"/>
      <c r="J456" s="602" t="str">
        <f>IF(F456="operation",VLOOKUP(I456,'Generic Vertical Port Tasks'!$C$4:$D$197,2,FALSE),"N/A")</f>
        <v>N/A</v>
      </c>
      <c r="K456" s="601"/>
      <c r="L456" s="601"/>
      <c r="M456" s="601"/>
      <c r="N456" s="605" t="str">
        <f>IFERROR(INDEX('Upper Cask Movement &amp; Logistics'!$I$24:$O$30,MATCH($J456,'Upper Cask Movement &amp; Logistics'!$H$24:$H$30,0),MATCH($K456,'Upper Cask Movement &amp; Logistics'!$H$24:$H$30,0)),"N/A")</f>
        <v>N/A</v>
      </c>
      <c r="O456" s="605" t="str">
        <f>IFERROR(VLOOKUP($I456,'Upper Cask Movement &amp; Logistics'!$H$4:$I$8,2,FALSE),"N/A")</f>
        <v>N/A</v>
      </c>
      <c r="P456" s="602" t="str">
        <f t="shared" si="44"/>
        <v>N/A</v>
      </c>
      <c r="Q456" s="1234" t="s">
        <v>1228</v>
      </c>
      <c r="R456" s="602">
        <f>IF($F456="Logistics",VLOOKUP($Q456,'Upper Cask Movement &amp; Logistics'!$C$4:$D$209,2,FALSE),"N/A")</f>
        <v>0.63000000000000012</v>
      </c>
      <c r="S456" s="1235" t="s">
        <v>1392</v>
      </c>
      <c r="T456" s="602">
        <f>IFERROR(VLOOKUP($S456,'Upper Cask Recovery Logistics'!$C$521:$F$646,4,FALSE),"N/A")</f>
        <v>41.990116965520677</v>
      </c>
      <c r="U456" s="1236">
        <f t="shared" si="47"/>
        <v>7.8040740740740873</v>
      </c>
      <c r="V456" s="1510"/>
      <c r="X456" s="5"/>
      <c r="Y456" s="5"/>
      <c r="Z456" s="5"/>
      <c r="AA456" s="889"/>
      <c r="AB456" s="890"/>
    </row>
    <row r="457" spans="2:28" s="82" customFormat="1" ht="15" hidden="1" customHeight="1" outlineLevel="2" x14ac:dyDescent="0.4">
      <c r="B457" s="1046"/>
      <c r="C457" s="5"/>
      <c r="D457" s="3821"/>
      <c r="E457" s="1257" t="s">
        <v>1262</v>
      </c>
      <c r="F457" s="601" t="s">
        <v>3</v>
      </c>
      <c r="G457" s="602">
        <f t="shared" si="45"/>
        <v>0.5</v>
      </c>
      <c r="H457" s="602">
        <f t="shared" si="46"/>
        <v>50.924191039594767</v>
      </c>
      <c r="I457" s="601"/>
      <c r="J457" s="602" t="str">
        <f>IF(F457="operation",VLOOKUP(I457,'Generic Vertical Port Tasks'!$C$4:$D$197,2,FALSE),"N/A")</f>
        <v>N/A</v>
      </c>
      <c r="K457" s="601"/>
      <c r="L457" s="601"/>
      <c r="M457" s="601"/>
      <c r="N457" s="605" t="str">
        <f>IFERROR(INDEX('Upper Cask Movement &amp; Logistics'!$I$24:$O$30,MATCH($J457,'Upper Cask Movement &amp; Logistics'!$H$24:$H$30,0),MATCH($K457,'Upper Cask Movement &amp; Logistics'!$H$24:$H$30,0)),"N/A")</f>
        <v>N/A</v>
      </c>
      <c r="O457" s="605" t="str">
        <f>IFERROR(VLOOKUP($I457,'Upper Cask Movement &amp; Logistics'!$H$4:$I$8,2,FALSE),"N/A")</f>
        <v>N/A</v>
      </c>
      <c r="P457" s="602" t="str">
        <f t="shared" si="44"/>
        <v>N/A</v>
      </c>
      <c r="Q457" s="1234" t="s">
        <v>1208</v>
      </c>
      <c r="R457" s="602">
        <f>IF($F457="Logistics",VLOOKUP($Q457,'Upper Cask Movement &amp; Logistics'!$C$4:$D$209,2,FALSE),"N/A")</f>
        <v>0.5</v>
      </c>
      <c r="S457" s="1235"/>
      <c r="T457" s="602" t="str">
        <f>IFERROR(VLOOKUP($S457,'Upper Cask Recovery Logistics'!$C$521:$F$646,4,FALSE),"N/A")</f>
        <v>N/A</v>
      </c>
      <c r="U457" s="1236" t="str">
        <f t="shared" si="47"/>
        <v>N/A</v>
      </c>
      <c r="V457" s="1510"/>
      <c r="X457" s="5"/>
      <c r="Y457" s="5"/>
      <c r="Z457" s="5"/>
      <c r="AA457" s="889"/>
      <c r="AB457" s="890"/>
    </row>
    <row r="458" spans="2:28" s="82" customFormat="1" ht="15" hidden="1" customHeight="1" outlineLevel="2" x14ac:dyDescent="0.4">
      <c r="B458" s="1046"/>
      <c r="C458" s="5"/>
      <c r="D458" s="3821"/>
      <c r="E458" s="1257" t="s">
        <v>138</v>
      </c>
      <c r="F458" s="601" t="s">
        <v>251</v>
      </c>
      <c r="G458" s="602">
        <f t="shared" si="45"/>
        <v>5.74</v>
      </c>
      <c r="H458" s="602">
        <f t="shared" si="46"/>
        <v>56.664191039594769</v>
      </c>
      <c r="I458" s="601" t="s">
        <v>254</v>
      </c>
      <c r="J458" s="602">
        <f>IF(F458="operation",VLOOKUP(I458,'Generic Vertical Port Tasks'!$C$4:$D$197,2,FALSE),"N/A")</f>
        <v>5.74</v>
      </c>
      <c r="K458" s="601"/>
      <c r="L458" s="601"/>
      <c r="M458" s="601"/>
      <c r="N458" s="605" t="str">
        <f>IFERROR(INDEX('Upper Cask Movement &amp; Logistics'!$I$24:$O$30,MATCH($J458,'Upper Cask Movement &amp; Logistics'!$H$24:$H$30,0),MATCH($K458,'Upper Cask Movement &amp; Logistics'!$H$24:$H$30,0)),"N/A")</f>
        <v>N/A</v>
      </c>
      <c r="O458" s="605" t="str">
        <f>IFERROR(VLOOKUP($I458,'Upper Cask Movement &amp; Logistics'!$H$4:$I$8,2,FALSE),"N/A")</f>
        <v>N/A</v>
      </c>
      <c r="P458" s="602" t="str">
        <f t="shared" si="44"/>
        <v>N/A</v>
      </c>
      <c r="Q458" s="1234"/>
      <c r="R458" s="602" t="str">
        <f>IF($F458="Logistics",VLOOKUP($Q458,'Upper Cask Movement &amp; Logistics'!$C$4:$D$209,2,FALSE),"N/A")</f>
        <v>N/A</v>
      </c>
      <c r="S458" s="1235"/>
      <c r="T458" s="602" t="str">
        <f>IFERROR(VLOOKUP($S458,'Upper Cask Recovery Logistics'!$C$521:$F$646,4,FALSE),"N/A")</f>
        <v>N/A</v>
      </c>
      <c r="U458" s="1236" t="str">
        <f t="shared" si="47"/>
        <v>N/A</v>
      </c>
      <c r="V458" s="1510"/>
      <c r="X458" s="5"/>
      <c r="Y458" s="5"/>
      <c r="Z458" s="5"/>
      <c r="AA458" s="889"/>
      <c r="AB458" s="890"/>
    </row>
    <row r="459" spans="2:28" s="82" customFormat="1" ht="15.75" hidden="1" customHeight="1" outlineLevel="2" x14ac:dyDescent="0.4">
      <c r="B459" s="1046"/>
      <c r="C459" s="5"/>
      <c r="D459" s="3821"/>
      <c r="E459" s="1257" t="s">
        <v>1266</v>
      </c>
      <c r="F459" s="601" t="s">
        <v>3</v>
      </c>
      <c r="G459" s="602">
        <f t="shared" si="45"/>
        <v>0.63000000000000012</v>
      </c>
      <c r="H459" s="602">
        <f t="shared" si="46"/>
        <v>57.294191039594772</v>
      </c>
      <c r="I459" s="601"/>
      <c r="J459" s="602" t="str">
        <f>IF(F459="operation",VLOOKUP(I459,'Generic Vertical Port Tasks'!$C$4:$D$197,2,FALSE),"N/A")</f>
        <v>N/A</v>
      </c>
      <c r="K459" s="601"/>
      <c r="L459" s="601"/>
      <c r="M459" s="601"/>
      <c r="N459" s="605" t="str">
        <f>IFERROR(INDEX('Upper Cask Movement &amp; Logistics'!$I$24:$O$30,MATCH($J459,'Upper Cask Movement &amp; Logistics'!$H$24:$H$30,0),MATCH($K459,'Upper Cask Movement &amp; Logistics'!$H$24:$H$30,0)),"N/A")</f>
        <v>N/A</v>
      </c>
      <c r="O459" s="605" t="str">
        <f>IFERROR(VLOOKUP($I459,'Upper Cask Movement &amp; Logistics'!$H$4:$I$8,2,FALSE),"N/A")</f>
        <v>N/A</v>
      </c>
      <c r="P459" s="602" t="str">
        <f t="shared" si="44"/>
        <v>N/A</v>
      </c>
      <c r="Q459" s="1234" t="s">
        <v>1228</v>
      </c>
      <c r="R459" s="602">
        <f>IF($F459="Logistics",VLOOKUP($Q459,'Upper Cask Movement &amp; Logistics'!$C$4:$D$209,2,FALSE),"N/A")</f>
        <v>0.63000000000000012</v>
      </c>
      <c r="S459" s="1235" t="s">
        <v>1394</v>
      </c>
      <c r="T459" s="602">
        <f>IFERROR(VLOOKUP($S459,'Upper Cask Recovery Logistics'!$C$521:$F$646,4,FALSE),"N/A")</f>
        <v>48.860116965520682</v>
      </c>
      <c r="U459" s="1236">
        <f t="shared" si="47"/>
        <v>7.8040740740740873</v>
      </c>
      <c r="V459" s="1510"/>
      <c r="X459" s="5"/>
      <c r="Y459" s="5"/>
      <c r="Z459" s="5"/>
      <c r="AA459" s="889"/>
      <c r="AB459" s="890"/>
    </row>
    <row r="460" spans="2:28" ht="15" hidden="1" customHeight="1" outlineLevel="2" x14ac:dyDescent="0.4">
      <c r="B460" s="1046"/>
      <c r="C460" s="5"/>
      <c r="D460" s="3821"/>
      <c r="E460" s="1257" t="s">
        <v>1262</v>
      </c>
      <c r="F460" s="601" t="s">
        <v>3</v>
      </c>
      <c r="G460" s="602">
        <f t="shared" si="45"/>
        <v>0.5</v>
      </c>
      <c r="H460" s="602">
        <f t="shared" si="46"/>
        <v>57.794191039594772</v>
      </c>
      <c r="I460" s="601"/>
      <c r="J460" s="602" t="str">
        <f>IF(F460="operation",VLOOKUP(I460,'Generic Vertical Port Tasks'!$C$4:$D$197,2,FALSE),"N/A")</f>
        <v>N/A</v>
      </c>
      <c r="K460" s="601"/>
      <c r="L460" s="601"/>
      <c r="M460" s="601"/>
      <c r="N460" s="605" t="str">
        <f>IFERROR(INDEX('Upper Cask Movement &amp; Logistics'!$I$24:$O$30,MATCH($J460,'Upper Cask Movement &amp; Logistics'!$H$24:$H$30,0),MATCH($K460,'Upper Cask Movement &amp; Logistics'!$H$24:$H$30,0)),"N/A")</f>
        <v>N/A</v>
      </c>
      <c r="O460" s="605" t="str">
        <f>IFERROR(VLOOKUP($I460,'Upper Cask Movement &amp; Logistics'!$H$4:$I$8,2,FALSE),"N/A")</f>
        <v>N/A</v>
      </c>
      <c r="P460" s="602" t="str">
        <f t="shared" si="44"/>
        <v>N/A</v>
      </c>
      <c r="Q460" s="1234" t="s">
        <v>1208</v>
      </c>
      <c r="R460" s="602">
        <f>IF($F460="Logistics",VLOOKUP($Q460,'Upper Cask Movement &amp; Logistics'!$C$4:$D$209,2,FALSE),"N/A")</f>
        <v>0.5</v>
      </c>
      <c r="S460" s="1235"/>
      <c r="T460" s="602" t="str">
        <f>IFERROR(VLOOKUP($S460,'Upper Cask Recovery Logistics'!$C$521:$F$646,4,FALSE),"N/A")</f>
        <v>N/A</v>
      </c>
      <c r="U460" s="1236" t="str">
        <f t="shared" si="47"/>
        <v>N/A</v>
      </c>
      <c r="V460" s="1510"/>
      <c r="X460" s="273"/>
      <c r="Y460" s="273"/>
      <c r="Z460" s="273"/>
      <c r="AA460" s="752"/>
    </row>
    <row r="461" spans="2:28" ht="15.75" hidden="1" customHeight="1" outlineLevel="2" x14ac:dyDescent="0.4">
      <c r="B461" s="1046"/>
      <c r="C461" s="5"/>
      <c r="D461" s="3821"/>
      <c r="E461" s="1257" t="s">
        <v>140</v>
      </c>
      <c r="F461" s="601" t="s">
        <v>251</v>
      </c>
      <c r="G461" s="602">
        <f t="shared" si="45"/>
        <v>5.74</v>
      </c>
      <c r="H461" s="602">
        <f t="shared" si="46"/>
        <v>63.534191039594774</v>
      </c>
      <c r="I461" s="601" t="s">
        <v>254</v>
      </c>
      <c r="J461" s="602">
        <f>IF(F461="operation",VLOOKUP(I461,'Generic Vertical Port Tasks'!$C$4:$D$197,2,FALSE),"N/A")</f>
        <v>5.74</v>
      </c>
      <c r="K461" s="601"/>
      <c r="L461" s="601"/>
      <c r="M461" s="601"/>
      <c r="N461" s="605" t="str">
        <f>IFERROR(INDEX('Upper Cask Movement &amp; Logistics'!$I$24:$O$30,MATCH($J461,'Upper Cask Movement &amp; Logistics'!$H$24:$H$30,0),MATCH($K461,'Upper Cask Movement &amp; Logistics'!$H$24:$H$30,0)),"N/A")</f>
        <v>N/A</v>
      </c>
      <c r="O461" s="605" t="str">
        <f>IFERROR(VLOOKUP($I461,'Upper Cask Movement &amp; Logistics'!$H$4:$I$8,2,FALSE),"N/A")</f>
        <v>N/A</v>
      </c>
      <c r="P461" s="602" t="str">
        <f t="shared" si="44"/>
        <v>N/A</v>
      </c>
      <c r="Q461" s="1234"/>
      <c r="R461" s="602" t="str">
        <f>IF($F461="Logistics",VLOOKUP($Q461,'Upper Cask Movement &amp; Logistics'!$C$4:$D$209,2,FALSE),"N/A")</f>
        <v>N/A</v>
      </c>
      <c r="S461" s="1235"/>
      <c r="T461" s="602" t="str">
        <f>IFERROR(VLOOKUP($S461,'Upper Cask Recovery Logistics'!$C$521:$F$646,4,FALSE),"N/A")</f>
        <v>N/A</v>
      </c>
      <c r="U461" s="1236" t="str">
        <f t="shared" si="47"/>
        <v>N/A</v>
      </c>
      <c r="V461" s="1510"/>
      <c r="X461" s="273"/>
      <c r="Y461" s="273"/>
      <c r="Z461" s="273"/>
      <c r="AA461" s="752"/>
    </row>
    <row r="462" spans="2:28" ht="15" hidden="1" customHeight="1" outlineLevel="2" x14ac:dyDescent="0.4">
      <c r="B462" s="1046"/>
      <c r="C462" s="5"/>
      <c r="D462" s="3821"/>
      <c r="E462" s="1257" t="s">
        <v>1267</v>
      </c>
      <c r="F462" s="601" t="s">
        <v>3</v>
      </c>
      <c r="G462" s="602">
        <f t="shared" si="45"/>
        <v>0.63000000000000012</v>
      </c>
      <c r="H462" s="602">
        <f t="shared" si="46"/>
        <v>64.164191039594769</v>
      </c>
      <c r="I462" s="601"/>
      <c r="J462" s="602" t="str">
        <f>IF(F462="operation",VLOOKUP(I462,'Generic Vertical Port Tasks'!$C$4:$D$197,2,FALSE),"N/A")</f>
        <v>N/A</v>
      </c>
      <c r="K462" s="601"/>
      <c r="L462" s="601"/>
      <c r="M462" s="601"/>
      <c r="N462" s="605" t="str">
        <f>IFERROR(INDEX('Upper Cask Movement &amp; Logistics'!$I$24:$O$30,MATCH($J462,'Upper Cask Movement &amp; Logistics'!$H$24:$H$30,0),MATCH($K462,'Upper Cask Movement &amp; Logistics'!$H$24:$H$30,0)),"N/A")</f>
        <v>N/A</v>
      </c>
      <c r="O462" s="605" t="str">
        <f>IFERROR(VLOOKUP($I462,'Upper Cask Movement &amp; Logistics'!$H$4:$I$8,2,FALSE),"N/A")</f>
        <v>N/A</v>
      </c>
      <c r="P462" s="602" t="str">
        <f t="shared" si="44"/>
        <v>N/A</v>
      </c>
      <c r="Q462" s="1234" t="s">
        <v>1228</v>
      </c>
      <c r="R462" s="602">
        <f>IF($F462="Logistics",VLOOKUP($Q462,'Upper Cask Movement &amp; Logistics'!$C$4:$D$209,2,FALSE),"N/A")</f>
        <v>0.63000000000000012</v>
      </c>
      <c r="S462" s="1235" t="s">
        <v>1397</v>
      </c>
      <c r="T462" s="602">
        <f>IFERROR(VLOOKUP($S462,'Upper Cask Recovery Logistics'!$C$521:$F$646,4,FALSE),"N/A")</f>
        <v>55.730116965520686</v>
      </c>
      <c r="U462" s="1236">
        <f t="shared" si="47"/>
        <v>7.8040740740740873</v>
      </c>
      <c r="V462" s="1510"/>
      <c r="X462" s="273"/>
      <c r="Y462" s="273"/>
      <c r="Z462" s="273"/>
      <c r="AA462" s="752"/>
    </row>
    <row r="463" spans="2:28" ht="15" hidden="1" customHeight="1" outlineLevel="2" thickBot="1" x14ac:dyDescent="0.45">
      <c r="B463" s="1046"/>
      <c r="C463" s="5"/>
      <c r="D463" s="3822"/>
      <c r="E463" s="1258" t="s">
        <v>1268</v>
      </c>
      <c r="F463" s="609" t="s">
        <v>3</v>
      </c>
      <c r="G463" s="610">
        <f t="shared" si="45"/>
        <v>2.3000000000000003</v>
      </c>
      <c r="H463" s="610">
        <f t="shared" si="46"/>
        <v>66.464191039594766</v>
      </c>
      <c r="I463" s="609"/>
      <c r="J463" s="610" t="str">
        <f>IF(F463="operation",VLOOKUP(I463,'Generic Vertical Port Tasks'!$C$4:$D$197,2,FALSE),"N/A")</f>
        <v>N/A</v>
      </c>
      <c r="K463" s="609"/>
      <c r="L463" s="609"/>
      <c r="M463" s="609"/>
      <c r="N463" s="613" t="str">
        <f>IFERROR(INDEX('Upper Cask Movement &amp; Logistics'!$I$24:$O$30,MATCH($J463,'Upper Cask Movement &amp; Logistics'!$H$24:$H$30,0),MATCH($K463,'Upper Cask Movement &amp; Logistics'!$H$24:$H$30,0)),"N/A")</f>
        <v>N/A</v>
      </c>
      <c r="O463" s="613" t="str">
        <f>IFERROR(VLOOKUP($I463,'Upper Cask Movement &amp; Logistics'!$H$4:$I$8,2,FALSE),"N/A")</f>
        <v>N/A</v>
      </c>
      <c r="P463" s="610" t="str">
        <f t="shared" si="44"/>
        <v>N/A</v>
      </c>
      <c r="Q463" s="1237" t="s">
        <v>1269</v>
      </c>
      <c r="R463" s="610">
        <f>IF($F463="Logistics",VLOOKUP($Q463,'Upper Cask Movement &amp; Logistics'!$C$4:$D$209,2,FALSE),"N/A")</f>
        <v>2.3000000000000003</v>
      </c>
      <c r="S463" s="1238"/>
      <c r="T463" s="610" t="str">
        <f>IFERROR(VLOOKUP($S463,'Upper Cask Recovery Logistics'!$C$521:$F$646,4,FALSE),"N/A")</f>
        <v>N/A</v>
      </c>
      <c r="U463" s="1239" t="str">
        <f t="shared" si="47"/>
        <v>N/A</v>
      </c>
      <c r="V463" s="1510"/>
      <c r="X463" s="273"/>
      <c r="Y463" s="273"/>
      <c r="Z463" s="273"/>
      <c r="AA463" s="752"/>
    </row>
    <row r="464" spans="2:28" ht="15" hidden="1" customHeight="1" outlineLevel="2" x14ac:dyDescent="0.4">
      <c r="B464" s="1046"/>
      <c r="C464" s="5"/>
      <c r="D464" s="3787" t="s">
        <v>39</v>
      </c>
      <c r="E464" s="1270" t="s">
        <v>1278</v>
      </c>
      <c r="F464" s="617" t="s">
        <v>3</v>
      </c>
      <c r="G464" s="567">
        <f t="shared" si="45"/>
        <v>0.60000000000000009</v>
      </c>
      <c r="H464" s="567">
        <f t="shared" si="46"/>
        <v>67.06419103959476</v>
      </c>
      <c r="I464" s="617"/>
      <c r="J464" s="567" t="str">
        <f>IF(F464="operation",VLOOKUP(I464,'Generic Vertical Port Tasks'!$C$4:$D$197,2,FALSE),"N/A")</f>
        <v>N/A</v>
      </c>
      <c r="K464" s="617"/>
      <c r="L464" s="617"/>
      <c r="M464" s="617"/>
      <c r="N464" s="618" t="str">
        <f>IFERROR(INDEX('Upper Cask Movement &amp; Logistics'!$I$24:$O$30,MATCH($J464,'Upper Cask Movement &amp; Logistics'!$H$24:$H$30,0),MATCH($K464,'Upper Cask Movement &amp; Logistics'!$H$24:$H$30,0)),"N/A")</f>
        <v>N/A</v>
      </c>
      <c r="O464" s="618" t="str">
        <f>IFERROR(VLOOKUP($I464,'Upper Cask Movement &amp; Logistics'!$H$4:$I$8,2,FALSE),"N/A")</f>
        <v>N/A</v>
      </c>
      <c r="P464" s="567" t="str">
        <f t="shared" si="44"/>
        <v>N/A</v>
      </c>
      <c r="Q464" s="1271" t="s">
        <v>1279</v>
      </c>
      <c r="R464" s="567">
        <f>IF($F464="Logistics",VLOOKUP($Q464,'Upper Cask Movement &amp; Logistics'!$C$4:$D$209,2,FALSE),"N/A")</f>
        <v>0.60000000000000009</v>
      </c>
      <c r="S464" s="1272"/>
      <c r="T464" s="567" t="str">
        <f>IFERROR(VLOOKUP($S464,'Upper Cask Recovery Logistics'!$C$521:$F$646,4,FALSE),"N/A")</f>
        <v>N/A</v>
      </c>
      <c r="U464" s="1273" t="str">
        <f t="shared" si="47"/>
        <v>N/A</v>
      </c>
      <c r="V464" s="1510"/>
      <c r="X464" s="273"/>
      <c r="Y464" s="273"/>
      <c r="Z464" s="273"/>
      <c r="AA464" s="752"/>
    </row>
    <row r="465" spans="2:27" ht="15" hidden="1" customHeight="1" outlineLevel="2" x14ac:dyDescent="0.4">
      <c r="B465" s="1046"/>
      <c r="C465" s="5"/>
      <c r="D465" s="3786"/>
      <c r="E465" s="1281" t="s">
        <v>1262</v>
      </c>
      <c r="F465" s="572" t="s">
        <v>3</v>
      </c>
      <c r="G465" s="574">
        <f t="shared" si="45"/>
        <v>0.38</v>
      </c>
      <c r="H465" s="574">
        <f t="shared" si="46"/>
        <v>67.444191039594756</v>
      </c>
      <c r="I465" s="572"/>
      <c r="J465" s="574" t="str">
        <f>IF(F465="operation",VLOOKUP(I465,'Generic Vertical Port Tasks'!$C$4:$D$197,2,FALSE),"N/A")</f>
        <v>N/A</v>
      </c>
      <c r="K465" s="572"/>
      <c r="L465" s="572"/>
      <c r="M465" s="572"/>
      <c r="N465" s="577" t="str">
        <f>IFERROR(INDEX('Upper Cask Movement &amp; Logistics'!$I$24:$O$30,MATCH($J465,'Upper Cask Movement &amp; Logistics'!$H$24:$H$30,0),MATCH($K465,'Upper Cask Movement &amp; Logistics'!$H$24:$H$30,0)),"N/A")</f>
        <v>N/A</v>
      </c>
      <c r="O465" s="577" t="str">
        <f>IFERROR(VLOOKUP($I465,'Upper Cask Movement &amp; Logistics'!$H$4:$I$8,2,FALSE),"N/A")</f>
        <v>N/A</v>
      </c>
      <c r="P465" s="574" t="str">
        <f t="shared" si="44"/>
        <v>N/A</v>
      </c>
      <c r="Q465" s="1282" t="s">
        <v>1226</v>
      </c>
      <c r="R465" s="574">
        <f>IF($F465="Logistics",VLOOKUP($Q465,'Upper Cask Movement &amp; Logistics'!$C$4:$D$209,2,FALSE),"N/A")</f>
        <v>0.38</v>
      </c>
      <c r="S465" s="1283"/>
      <c r="T465" s="574" t="str">
        <f>IFERROR(VLOOKUP($S465,'Upper Cask Recovery Logistics'!$C$521:$F$646,4,FALSE),"N/A")</f>
        <v>N/A</v>
      </c>
      <c r="U465" s="1284" t="str">
        <f t="shared" si="47"/>
        <v>N/A</v>
      </c>
      <c r="V465" s="1510"/>
      <c r="X465" s="273"/>
      <c r="Y465" s="273"/>
      <c r="Z465" s="273"/>
      <c r="AA465" s="752"/>
    </row>
    <row r="466" spans="2:27" ht="15" hidden="1" customHeight="1" outlineLevel="2" x14ac:dyDescent="0.4">
      <c r="B466" s="1046"/>
      <c r="C466" s="5"/>
      <c r="D466" s="3786"/>
      <c r="E466" s="1281" t="s">
        <v>141</v>
      </c>
      <c r="F466" s="572" t="s">
        <v>251</v>
      </c>
      <c r="G466" s="574">
        <f t="shared" si="45"/>
        <v>4.33</v>
      </c>
      <c r="H466" s="574">
        <f t="shared" si="46"/>
        <v>76.534376224779948</v>
      </c>
      <c r="I466" s="572" t="s">
        <v>256</v>
      </c>
      <c r="J466" s="574">
        <f>IF(F466="operation",VLOOKUP(I466,'Generic Vertical Port Tasks'!$C$4:$D$197,2,FALSE),"N/A")</f>
        <v>4.33</v>
      </c>
      <c r="K466" s="572"/>
      <c r="L466" s="572"/>
      <c r="M466" s="572"/>
      <c r="N466" s="577" t="str">
        <f>IFERROR(INDEX('Upper Cask Movement &amp; Logistics'!$I$24:$O$30,MATCH($J466,'Upper Cask Movement &amp; Logistics'!$H$24:$H$30,0),MATCH($K466,'Upper Cask Movement &amp; Logistics'!$H$24:$H$30,0)),"N/A")</f>
        <v>N/A</v>
      </c>
      <c r="O466" s="577" t="str">
        <f>IFERROR(VLOOKUP($I466,'Upper Cask Movement &amp; Logistics'!$H$4:$I$8,2,FALSE),"N/A")</f>
        <v>N/A</v>
      </c>
      <c r="P466" s="574" t="str">
        <f t="shared" si="44"/>
        <v>N/A</v>
      </c>
      <c r="Q466" s="1282"/>
      <c r="R466" s="574" t="str">
        <f>IF($F466="Logistics",VLOOKUP($Q466,'Upper Cask Movement &amp; Logistics'!$C$4:$D$209,2,FALSE),"N/A")</f>
        <v>N/A</v>
      </c>
      <c r="S466" s="1283" t="s">
        <v>1280</v>
      </c>
      <c r="T466" s="574">
        <f>IFERROR(VLOOKUP($S466,'Upper Cask Recovery Logistics'!$C$521:$F$646,4,FALSE),"N/A")</f>
        <v>72.204376224779949</v>
      </c>
      <c r="U466" s="1284">
        <f t="shared" si="47"/>
        <v>-4.7601851851851933</v>
      </c>
      <c r="V466" s="1510"/>
      <c r="X466" s="273"/>
      <c r="Y466" s="273"/>
      <c r="Z466" s="273"/>
      <c r="AA466" s="752"/>
    </row>
    <row r="467" spans="2:27" ht="15" hidden="1" customHeight="1" outlineLevel="2" x14ac:dyDescent="0.4">
      <c r="B467" s="1046"/>
      <c r="C467" s="5"/>
      <c r="D467" s="3786"/>
      <c r="E467" s="1274" t="s">
        <v>1281</v>
      </c>
      <c r="F467" s="1275" t="s">
        <v>3</v>
      </c>
      <c r="G467" s="1276">
        <f t="shared" si="45"/>
        <v>0.60000000000000009</v>
      </c>
      <c r="H467" s="574">
        <f t="shared" si="46"/>
        <v>77.134376224779942</v>
      </c>
      <c r="I467" s="1275"/>
      <c r="J467" s="574" t="str">
        <f>IF(F467="operation",VLOOKUP(I467,'Generic Vertical Port Tasks'!$C$4:$D$197,2,FALSE),"N/A")</f>
        <v>N/A</v>
      </c>
      <c r="K467" s="572"/>
      <c r="L467" s="572"/>
      <c r="M467" s="572"/>
      <c r="N467" s="577" t="str">
        <f>IFERROR(INDEX('Upper Cask Movement &amp; Logistics'!$I$24:$O$30,MATCH($J467,'Upper Cask Movement &amp; Logistics'!$H$24:$H$30,0),MATCH($K467,'Upper Cask Movement &amp; Logistics'!$H$24:$H$30,0)),"N/A")</f>
        <v>N/A</v>
      </c>
      <c r="O467" s="577" t="str">
        <f>IFERROR(VLOOKUP($I467,'Upper Cask Movement &amp; Logistics'!$H$4:$I$8,2,FALSE),"N/A")</f>
        <v>N/A</v>
      </c>
      <c r="P467" s="574" t="str">
        <f t="shared" si="44"/>
        <v>N/A</v>
      </c>
      <c r="Q467" s="1278" t="s">
        <v>1279</v>
      </c>
      <c r="R467" s="574">
        <f>IF($F467="Logistics",VLOOKUP($Q467,'Upper Cask Movement &amp; Logistics'!$C$4:$D$209,2,FALSE),"N/A")</f>
        <v>0.60000000000000009</v>
      </c>
      <c r="S467" s="1283"/>
      <c r="T467" s="574" t="str">
        <f>IFERROR(VLOOKUP($S467,'Upper Cask Recovery Logistics'!$C$521:$F$646,4,FALSE),"N/A")</f>
        <v>N/A</v>
      </c>
      <c r="U467" s="1284" t="str">
        <f t="shared" si="47"/>
        <v>N/A</v>
      </c>
      <c r="V467" s="1510"/>
      <c r="X467" s="273"/>
      <c r="Y467" s="273"/>
      <c r="Z467" s="273"/>
      <c r="AA467" s="752"/>
    </row>
    <row r="468" spans="2:27" ht="15" hidden="1" customHeight="1" outlineLevel="2" x14ac:dyDescent="0.4">
      <c r="B468" s="1046"/>
      <c r="C468" s="5"/>
      <c r="D468" s="3786"/>
      <c r="E468" s="1281" t="s">
        <v>1262</v>
      </c>
      <c r="F468" s="572" t="s">
        <v>3</v>
      </c>
      <c r="G468" s="574">
        <f t="shared" si="45"/>
        <v>0.38</v>
      </c>
      <c r="H468" s="574">
        <f t="shared" si="46"/>
        <v>77.514376224779937</v>
      </c>
      <c r="I468" s="572"/>
      <c r="J468" s="574" t="str">
        <f>IF(F468="operation",VLOOKUP(I468,'Generic Vertical Port Tasks'!$C$4:$D$197,2,FALSE),"N/A")</f>
        <v>N/A</v>
      </c>
      <c r="K468" s="572"/>
      <c r="L468" s="572"/>
      <c r="M468" s="572"/>
      <c r="N468" s="577" t="str">
        <f>IFERROR(INDEX('Upper Cask Movement &amp; Logistics'!$I$24:$O$30,MATCH($J468,'Upper Cask Movement &amp; Logistics'!$H$24:$H$30,0),MATCH($K468,'Upper Cask Movement &amp; Logistics'!$H$24:$H$30,0)),"N/A")</f>
        <v>N/A</v>
      </c>
      <c r="O468" s="577" t="str">
        <f>IFERROR(VLOOKUP($I468,'Upper Cask Movement &amp; Logistics'!$H$4:$I$8,2,FALSE),"N/A")</f>
        <v>N/A</v>
      </c>
      <c r="P468" s="574" t="str">
        <f t="shared" si="44"/>
        <v>N/A</v>
      </c>
      <c r="Q468" s="1282" t="s">
        <v>1226</v>
      </c>
      <c r="R468" s="574">
        <f>IF($F468="Logistics",VLOOKUP($Q468,'Upper Cask Movement &amp; Logistics'!$C$4:$D$209,2,FALSE),"N/A")</f>
        <v>0.38</v>
      </c>
      <c r="S468" s="1283"/>
      <c r="T468" s="574" t="str">
        <f>IFERROR(VLOOKUP($S468,'Upper Cask Recovery Logistics'!$C$521:$F$646,4,FALSE),"N/A")</f>
        <v>N/A</v>
      </c>
      <c r="U468" s="1284" t="str">
        <f t="shared" si="47"/>
        <v>N/A</v>
      </c>
      <c r="V468" s="1510"/>
      <c r="X468" s="273"/>
      <c r="Y468" s="273"/>
      <c r="Z468" s="273"/>
      <c r="AA468" s="752"/>
    </row>
    <row r="469" spans="2:27" ht="15" hidden="1" customHeight="1" outlineLevel="2" x14ac:dyDescent="0.4">
      <c r="B469" s="1046"/>
      <c r="C469" s="5"/>
      <c r="D469" s="3786"/>
      <c r="E469" s="1281" t="s">
        <v>139</v>
      </c>
      <c r="F469" s="572" t="s">
        <v>251</v>
      </c>
      <c r="G469" s="574">
        <f t="shared" si="45"/>
        <v>4.33</v>
      </c>
      <c r="H469" s="574">
        <f t="shared" si="46"/>
        <v>86.604561409965129</v>
      </c>
      <c r="I469" s="572" t="s">
        <v>256</v>
      </c>
      <c r="J469" s="574">
        <f>IF(F469="operation",VLOOKUP(I469,'Generic Vertical Port Tasks'!$C$4:$D$197,2,FALSE),"N/A")</f>
        <v>4.33</v>
      </c>
      <c r="K469" s="572"/>
      <c r="L469" s="572"/>
      <c r="M469" s="572"/>
      <c r="N469" s="577" t="str">
        <f>IFERROR(INDEX('Upper Cask Movement &amp; Logistics'!$I$24:$O$30,MATCH($J469,'Upper Cask Movement &amp; Logistics'!$H$24:$H$30,0),MATCH($K469,'Upper Cask Movement &amp; Logistics'!$H$24:$H$30,0)),"N/A")</f>
        <v>N/A</v>
      </c>
      <c r="O469" s="577" t="str">
        <f>IFERROR(VLOOKUP($I469,'Upper Cask Movement &amp; Logistics'!$H$4:$I$8,2,FALSE),"N/A")</f>
        <v>N/A</v>
      </c>
      <c r="P469" s="574" t="str">
        <f t="shared" si="44"/>
        <v>N/A</v>
      </c>
      <c r="Q469" s="1282"/>
      <c r="R469" s="574" t="str">
        <f>IF($F469="Logistics",VLOOKUP($Q469,'Upper Cask Movement &amp; Logistics'!$C$4:$D$209,2,FALSE),"N/A")</f>
        <v>N/A</v>
      </c>
      <c r="S469" s="1283" t="s">
        <v>1282</v>
      </c>
      <c r="T469" s="574">
        <f>IFERROR(VLOOKUP($S469,'Upper Cask Recovery Logistics'!$C$521:$F$646,4,FALSE),"N/A")</f>
        <v>82.274561409965131</v>
      </c>
      <c r="U469" s="1284">
        <f t="shared" si="47"/>
        <v>-4.7601851851851933</v>
      </c>
      <c r="V469" s="1510"/>
      <c r="X469" s="273"/>
      <c r="Y469" s="273"/>
      <c r="Z469" s="273"/>
      <c r="AA469" s="752"/>
    </row>
    <row r="470" spans="2:27" ht="15" hidden="1" customHeight="1" outlineLevel="2" x14ac:dyDescent="0.4">
      <c r="B470" s="1046"/>
      <c r="C470" s="5"/>
      <c r="D470" s="3786"/>
      <c r="E470" s="1274" t="s">
        <v>1283</v>
      </c>
      <c r="F470" s="1275" t="s">
        <v>3</v>
      </c>
      <c r="G470" s="1276">
        <f t="shared" si="45"/>
        <v>0.60000000000000009</v>
      </c>
      <c r="H470" s="574">
        <f t="shared" si="46"/>
        <v>87.204561409965123</v>
      </c>
      <c r="I470" s="1275"/>
      <c r="J470" s="574" t="str">
        <f>IF(F470="operation",VLOOKUP(I470,'Generic Vertical Port Tasks'!$C$4:$D$197,2,FALSE),"N/A")</f>
        <v>N/A</v>
      </c>
      <c r="K470" s="572"/>
      <c r="L470" s="572"/>
      <c r="M470" s="572"/>
      <c r="N470" s="577" t="str">
        <f>IFERROR(INDEX('Upper Cask Movement &amp; Logistics'!$I$24:$O$30,MATCH($J470,'Upper Cask Movement &amp; Logistics'!$H$24:$H$30,0),MATCH($K470,'Upper Cask Movement &amp; Logistics'!$H$24:$H$30,0)),"N/A")</f>
        <v>N/A</v>
      </c>
      <c r="O470" s="577" t="str">
        <f>IFERROR(VLOOKUP($I470,'Upper Cask Movement &amp; Logistics'!$H$4:$I$8,2,FALSE),"N/A")</f>
        <v>N/A</v>
      </c>
      <c r="P470" s="574" t="str">
        <f t="shared" si="44"/>
        <v>N/A</v>
      </c>
      <c r="Q470" s="1278" t="s">
        <v>1279</v>
      </c>
      <c r="R470" s="574">
        <f>IF($F470="Logistics",VLOOKUP($Q470,'Upper Cask Movement &amp; Logistics'!$C$4:$D$209,2,FALSE),"N/A")</f>
        <v>0.60000000000000009</v>
      </c>
      <c r="S470" s="1283"/>
      <c r="T470" s="574" t="str">
        <f>IFERROR(VLOOKUP($S470,'Upper Cask Recovery Logistics'!$C$521:$F$646,4,FALSE),"N/A")</f>
        <v>N/A</v>
      </c>
      <c r="U470" s="1284" t="str">
        <f t="shared" si="47"/>
        <v>N/A</v>
      </c>
      <c r="V470" s="1510"/>
      <c r="X470" s="273"/>
      <c r="Y470" s="273"/>
      <c r="Z470" s="273"/>
      <c r="AA470" s="752"/>
    </row>
    <row r="471" spans="2:27" ht="15" hidden="1" customHeight="1" outlineLevel="2" x14ac:dyDescent="0.4">
      <c r="B471" s="1046"/>
      <c r="C471" s="5"/>
      <c r="D471" s="3786"/>
      <c r="E471" s="1281" t="s">
        <v>1262</v>
      </c>
      <c r="F471" s="572" t="s">
        <v>3</v>
      </c>
      <c r="G471" s="574">
        <f t="shared" si="45"/>
        <v>0.38</v>
      </c>
      <c r="H471" s="574">
        <f t="shared" si="46"/>
        <v>87.584561409965119</v>
      </c>
      <c r="I471" s="572"/>
      <c r="J471" s="574" t="str">
        <f>IF(F471="operation",VLOOKUP(I471,'Generic Vertical Port Tasks'!$C$4:$D$197,2,FALSE),"N/A")</f>
        <v>N/A</v>
      </c>
      <c r="K471" s="572"/>
      <c r="L471" s="572"/>
      <c r="M471" s="572"/>
      <c r="N471" s="577" t="str">
        <f>IFERROR(INDEX('Upper Cask Movement &amp; Logistics'!$I$24:$O$30,MATCH($J471,'Upper Cask Movement &amp; Logistics'!$H$24:$H$30,0),MATCH($K471,'Upper Cask Movement &amp; Logistics'!$H$24:$H$30,0)),"N/A")</f>
        <v>N/A</v>
      </c>
      <c r="O471" s="577" t="str">
        <f>IFERROR(VLOOKUP($I471,'Upper Cask Movement &amp; Logistics'!$H$4:$I$8,2,FALSE),"N/A")</f>
        <v>N/A</v>
      </c>
      <c r="P471" s="574" t="str">
        <f t="shared" si="44"/>
        <v>N/A</v>
      </c>
      <c r="Q471" s="1282" t="s">
        <v>1226</v>
      </c>
      <c r="R471" s="574">
        <f>IF($F471="Logistics",VLOOKUP($Q471,'Upper Cask Movement &amp; Logistics'!$C$4:$D$209,2,FALSE),"N/A")</f>
        <v>0.38</v>
      </c>
      <c r="S471" s="1283"/>
      <c r="T471" s="574" t="str">
        <f>IFERROR(VLOOKUP($S471,'Upper Cask Recovery Logistics'!$C$521:$F$646,4,FALSE),"N/A")</f>
        <v>N/A</v>
      </c>
      <c r="U471" s="1284" t="str">
        <f t="shared" si="47"/>
        <v>N/A</v>
      </c>
      <c r="V471" s="1510"/>
      <c r="X471" s="273"/>
      <c r="Y471" s="273"/>
      <c r="Z471" s="273"/>
      <c r="AA471" s="752"/>
    </row>
    <row r="472" spans="2:27" ht="15" hidden="1" customHeight="1" outlineLevel="2" x14ac:dyDescent="0.4">
      <c r="B472" s="1046"/>
      <c r="C472" s="5"/>
      <c r="D472" s="3786"/>
      <c r="E472" s="1281" t="s">
        <v>137</v>
      </c>
      <c r="F472" s="572" t="s">
        <v>251</v>
      </c>
      <c r="G472" s="574">
        <f t="shared" si="45"/>
        <v>4.33</v>
      </c>
      <c r="H472" s="574">
        <f t="shared" si="46"/>
        <v>96.67474659515031</v>
      </c>
      <c r="I472" s="572" t="s">
        <v>256</v>
      </c>
      <c r="J472" s="574">
        <f>IF(F472="operation",VLOOKUP(I472,'Generic Vertical Port Tasks'!$C$4:$D$197,2,FALSE),"N/A")</f>
        <v>4.33</v>
      </c>
      <c r="K472" s="572"/>
      <c r="L472" s="572"/>
      <c r="M472" s="572"/>
      <c r="N472" s="577" t="str">
        <f>IFERROR(INDEX('Upper Cask Movement &amp; Logistics'!$I$24:$O$30,MATCH($J472,'Upper Cask Movement &amp; Logistics'!$H$24:$H$30,0),MATCH($K472,'Upper Cask Movement &amp; Logistics'!$H$24:$H$30,0)),"N/A")</f>
        <v>N/A</v>
      </c>
      <c r="O472" s="577" t="str">
        <f>IFERROR(VLOOKUP($I472,'Upper Cask Movement &amp; Logistics'!$H$4:$I$8,2,FALSE),"N/A")</f>
        <v>N/A</v>
      </c>
      <c r="P472" s="574" t="str">
        <f t="shared" si="44"/>
        <v>N/A</v>
      </c>
      <c r="Q472" s="1282"/>
      <c r="R472" s="574" t="str">
        <f>IF($F472="Logistics",VLOOKUP($Q472,'Upper Cask Movement &amp; Logistics'!$C$4:$D$209,2,FALSE),"N/A")</f>
        <v>N/A</v>
      </c>
      <c r="S472" s="1283" t="s">
        <v>1284</v>
      </c>
      <c r="T472" s="574">
        <f>IFERROR(VLOOKUP($S472,'Upper Cask Recovery Logistics'!$C$521:$F$646,4,FALSE),"N/A")</f>
        <v>92.344746595150312</v>
      </c>
      <c r="U472" s="1284">
        <f t="shared" si="47"/>
        <v>-4.7601851851851933</v>
      </c>
      <c r="V472" s="1510"/>
      <c r="X472" s="273"/>
      <c r="Y472" s="273"/>
      <c r="Z472" s="273"/>
      <c r="AA472" s="752"/>
    </row>
    <row r="473" spans="2:27" ht="15" hidden="1" customHeight="1" outlineLevel="2" x14ac:dyDescent="0.4">
      <c r="B473" s="1046"/>
      <c r="C473" s="5"/>
      <c r="D473" s="3786"/>
      <c r="E473" s="1274" t="s">
        <v>1285</v>
      </c>
      <c r="F473" s="1275" t="s">
        <v>3</v>
      </c>
      <c r="G473" s="1276">
        <f t="shared" si="45"/>
        <v>0.60000000000000009</v>
      </c>
      <c r="H473" s="574">
        <f t="shared" si="46"/>
        <v>97.274746595150305</v>
      </c>
      <c r="I473" s="1275"/>
      <c r="J473" s="574" t="str">
        <f>IF(F473="operation",VLOOKUP(I473,'Generic Vertical Port Tasks'!$C$4:$D$197,2,FALSE),"N/A")</f>
        <v>N/A</v>
      </c>
      <c r="K473" s="572"/>
      <c r="L473" s="572"/>
      <c r="M473" s="572"/>
      <c r="N473" s="577" t="str">
        <f>IFERROR(INDEX('Upper Cask Movement &amp; Logistics'!$I$24:$O$30,MATCH($J473,'Upper Cask Movement &amp; Logistics'!$H$24:$H$30,0),MATCH($K473,'Upper Cask Movement &amp; Logistics'!$H$24:$H$30,0)),"N/A")</f>
        <v>N/A</v>
      </c>
      <c r="O473" s="577" t="str">
        <f>IFERROR(VLOOKUP($I473,'Upper Cask Movement &amp; Logistics'!$H$4:$I$8,2,FALSE),"N/A")</f>
        <v>N/A</v>
      </c>
      <c r="P473" s="574" t="str">
        <f t="shared" si="44"/>
        <v>N/A</v>
      </c>
      <c r="Q473" s="1278" t="s">
        <v>1279</v>
      </c>
      <c r="R473" s="574">
        <f>IF($F473="Logistics",VLOOKUP($Q473,'Upper Cask Movement &amp; Logistics'!$C$4:$D$209,2,FALSE),"N/A")</f>
        <v>0.60000000000000009</v>
      </c>
      <c r="S473" s="1283"/>
      <c r="T473" s="574" t="str">
        <f>IFERROR(VLOOKUP($S473,'Upper Cask Recovery Logistics'!$C$521:$F$646,4,FALSE),"N/A")</f>
        <v>N/A</v>
      </c>
      <c r="U473" s="1284" t="str">
        <f t="shared" si="47"/>
        <v>N/A</v>
      </c>
      <c r="V473" s="1510"/>
      <c r="X473" s="273"/>
      <c r="Y473" s="273"/>
      <c r="Z473" s="273"/>
      <c r="AA473" s="752"/>
    </row>
    <row r="474" spans="2:27" ht="15" hidden="1" customHeight="1" outlineLevel="2" x14ac:dyDescent="0.4">
      <c r="B474" s="1046"/>
      <c r="C474" s="5"/>
      <c r="D474" s="3786"/>
      <c r="E474" s="1281" t="s">
        <v>1262</v>
      </c>
      <c r="F474" s="572" t="s">
        <v>3</v>
      </c>
      <c r="G474" s="574">
        <f t="shared" si="45"/>
        <v>0.38</v>
      </c>
      <c r="H474" s="574">
        <f t="shared" si="46"/>
        <v>97.6547465951503</v>
      </c>
      <c r="I474" s="572"/>
      <c r="J474" s="574" t="str">
        <f>IF(F474="operation",VLOOKUP(I474,'Generic Vertical Port Tasks'!$C$4:$D$197,2,FALSE),"N/A")</f>
        <v>N/A</v>
      </c>
      <c r="K474" s="572"/>
      <c r="L474" s="572"/>
      <c r="M474" s="572"/>
      <c r="N474" s="577" t="str">
        <f>IFERROR(INDEX('Upper Cask Movement &amp; Logistics'!$I$24:$O$30,MATCH($J474,'Upper Cask Movement &amp; Logistics'!$H$24:$H$30,0),MATCH($K474,'Upper Cask Movement &amp; Logistics'!$H$24:$H$30,0)),"N/A")</f>
        <v>N/A</v>
      </c>
      <c r="O474" s="577" t="str">
        <f>IFERROR(VLOOKUP($I474,'Upper Cask Movement &amp; Logistics'!$H$4:$I$8,2,FALSE),"N/A")</f>
        <v>N/A</v>
      </c>
      <c r="P474" s="574" t="str">
        <f t="shared" si="44"/>
        <v>N/A</v>
      </c>
      <c r="Q474" s="1282" t="s">
        <v>1226</v>
      </c>
      <c r="R474" s="574">
        <f>IF($F474="Logistics",VLOOKUP($Q474,'Upper Cask Movement &amp; Logistics'!$C$4:$D$209,2,FALSE),"N/A")</f>
        <v>0.38</v>
      </c>
      <c r="S474" s="1283"/>
      <c r="T474" s="574" t="str">
        <f>IFERROR(VLOOKUP($S474,'Upper Cask Recovery Logistics'!$C$521:$F$646,4,FALSE),"N/A")</f>
        <v>N/A</v>
      </c>
      <c r="U474" s="1284" t="str">
        <f t="shared" si="47"/>
        <v>N/A</v>
      </c>
      <c r="V474" s="1510"/>
      <c r="X474" s="273"/>
      <c r="Y474" s="273"/>
      <c r="Z474" s="273"/>
      <c r="AA474" s="752"/>
    </row>
    <row r="475" spans="2:27" ht="15" hidden="1" customHeight="1" outlineLevel="2" x14ac:dyDescent="0.4">
      <c r="B475" s="1046"/>
      <c r="C475" s="5"/>
      <c r="D475" s="3786"/>
      <c r="E475" s="1281" t="s">
        <v>133</v>
      </c>
      <c r="F475" s="572" t="s">
        <v>251</v>
      </c>
      <c r="G475" s="574">
        <f t="shared" si="45"/>
        <v>4.33</v>
      </c>
      <c r="H475" s="574">
        <f t="shared" si="46"/>
        <v>106.74493178033549</v>
      </c>
      <c r="I475" s="572" t="s">
        <v>256</v>
      </c>
      <c r="J475" s="574">
        <f>IF(F475="operation",VLOOKUP(I475,'Generic Vertical Port Tasks'!$C$4:$D$197,2,FALSE),"N/A")</f>
        <v>4.33</v>
      </c>
      <c r="K475" s="572"/>
      <c r="L475" s="572"/>
      <c r="M475" s="572"/>
      <c r="N475" s="577" t="str">
        <f>IFERROR(INDEX('Upper Cask Movement &amp; Logistics'!$I$24:$O$30,MATCH($J475,'Upper Cask Movement &amp; Logistics'!$H$24:$H$30,0),MATCH($K475,'Upper Cask Movement &amp; Logistics'!$H$24:$H$30,0)),"N/A")</f>
        <v>N/A</v>
      </c>
      <c r="O475" s="577" t="str">
        <f>IFERROR(VLOOKUP($I475,'Upper Cask Movement &amp; Logistics'!$H$4:$I$8,2,FALSE),"N/A")</f>
        <v>N/A</v>
      </c>
      <c r="P475" s="574" t="str">
        <f t="shared" si="44"/>
        <v>N/A</v>
      </c>
      <c r="Q475" s="1282"/>
      <c r="R475" s="574" t="str">
        <f>IF($F475="Logistics",VLOOKUP($Q475,'Upper Cask Movement &amp; Logistics'!$C$4:$D$209,2,FALSE),"N/A")</f>
        <v>N/A</v>
      </c>
      <c r="S475" s="1283" t="s">
        <v>1286</v>
      </c>
      <c r="T475" s="574">
        <f>IFERROR(VLOOKUP($S475,'Upper Cask Recovery Logistics'!$C$521:$F$646,4,FALSE),"N/A")</f>
        <v>102.41493178033549</v>
      </c>
      <c r="U475" s="1284">
        <f t="shared" si="47"/>
        <v>-4.7601851851851933</v>
      </c>
      <c r="V475" s="1510"/>
      <c r="X475" s="273"/>
      <c r="Y475" s="273"/>
      <c r="Z475" s="273"/>
      <c r="AA475" s="752"/>
    </row>
    <row r="476" spans="2:27" ht="15" hidden="1" customHeight="1" outlineLevel="2" x14ac:dyDescent="0.4">
      <c r="B476" s="1046"/>
      <c r="C476" s="5"/>
      <c r="D476" s="3786"/>
      <c r="E476" s="1274" t="s">
        <v>1287</v>
      </c>
      <c r="F476" s="1275" t="s">
        <v>3</v>
      </c>
      <c r="G476" s="1276">
        <f t="shared" si="45"/>
        <v>0.60000000000000009</v>
      </c>
      <c r="H476" s="574">
        <f t="shared" si="46"/>
        <v>107.34493178033549</v>
      </c>
      <c r="I476" s="1275"/>
      <c r="J476" s="574" t="str">
        <f>IF(F476="operation",VLOOKUP(I476,'Generic Vertical Port Tasks'!$C$4:$D$197,2,FALSE),"N/A")</f>
        <v>N/A</v>
      </c>
      <c r="K476" s="572"/>
      <c r="L476" s="572"/>
      <c r="M476" s="572"/>
      <c r="N476" s="577" t="str">
        <f>IFERROR(INDEX('Upper Cask Movement &amp; Logistics'!$I$24:$O$30,MATCH($J476,'Upper Cask Movement &amp; Logistics'!$H$24:$H$30,0),MATCH($K476,'Upper Cask Movement &amp; Logistics'!$H$24:$H$30,0)),"N/A")</f>
        <v>N/A</v>
      </c>
      <c r="O476" s="577" t="str">
        <f>IFERROR(VLOOKUP($I476,'Upper Cask Movement &amp; Logistics'!$H$4:$I$8,2,FALSE),"N/A")</f>
        <v>N/A</v>
      </c>
      <c r="P476" s="574" t="str">
        <f t="shared" si="44"/>
        <v>N/A</v>
      </c>
      <c r="Q476" s="1278" t="s">
        <v>1279</v>
      </c>
      <c r="R476" s="574">
        <f>IF($F476="Logistics",VLOOKUP($Q476,'Upper Cask Movement &amp; Logistics'!$C$4:$D$209,2,FALSE),"N/A")</f>
        <v>0.60000000000000009</v>
      </c>
      <c r="S476" s="1283"/>
      <c r="T476" s="574" t="str">
        <f>IFERROR(VLOOKUP($S476,'Upper Cask Recovery Logistics'!$C$521:$F$646,4,FALSE),"N/A")</f>
        <v>N/A</v>
      </c>
      <c r="U476" s="1284" t="str">
        <f t="shared" si="47"/>
        <v>N/A</v>
      </c>
      <c r="V476" s="1510"/>
      <c r="X476" s="273"/>
      <c r="Y476" s="273"/>
      <c r="Z476" s="273"/>
      <c r="AA476" s="752"/>
    </row>
    <row r="477" spans="2:27" ht="15" hidden="1" customHeight="1" outlineLevel="2" x14ac:dyDescent="0.4">
      <c r="B477" s="1046"/>
      <c r="C477" s="5"/>
      <c r="D477" s="3786"/>
      <c r="E477" s="1281" t="s">
        <v>1262</v>
      </c>
      <c r="F477" s="572" t="s">
        <v>3</v>
      </c>
      <c r="G477" s="574">
        <f t="shared" si="45"/>
        <v>0.38</v>
      </c>
      <c r="H477" s="574">
        <f t="shared" si="46"/>
        <v>107.72493178033548</v>
      </c>
      <c r="I477" s="572"/>
      <c r="J477" s="574" t="str">
        <f>IF(F477="operation",VLOOKUP(I477,'Generic Vertical Port Tasks'!$C$4:$D$197,2,FALSE),"N/A")</f>
        <v>N/A</v>
      </c>
      <c r="K477" s="572"/>
      <c r="L477" s="572"/>
      <c r="M477" s="572"/>
      <c r="N477" s="577" t="str">
        <f>IFERROR(INDEX('Upper Cask Movement &amp; Logistics'!$I$24:$O$30,MATCH($J477,'Upper Cask Movement &amp; Logistics'!$H$24:$H$30,0),MATCH($K477,'Upper Cask Movement &amp; Logistics'!$H$24:$H$30,0)),"N/A")</f>
        <v>N/A</v>
      </c>
      <c r="O477" s="577" t="str">
        <f>IFERROR(VLOOKUP($I477,'Upper Cask Movement &amp; Logistics'!$H$4:$I$8,2,FALSE),"N/A")</f>
        <v>N/A</v>
      </c>
      <c r="P477" s="574" t="str">
        <f t="shared" si="44"/>
        <v>N/A</v>
      </c>
      <c r="Q477" s="1282" t="s">
        <v>1226</v>
      </c>
      <c r="R477" s="574">
        <f>IF($F477="Logistics",VLOOKUP($Q477,'Upper Cask Movement &amp; Logistics'!$C$4:$D$209,2,FALSE),"N/A")</f>
        <v>0.38</v>
      </c>
      <c r="S477" s="1283"/>
      <c r="T477" s="574" t="str">
        <f>IFERROR(VLOOKUP($S477,'Upper Cask Recovery Logistics'!$C$521:$F$646,4,FALSE),"N/A")</f>
        <v>N/A</v>
      </c>
      <c r="U477" s="1284" t="str">
        <f t="shared" si="47"/>
        <v>N/A</v>
      </c>
      <c r="V477" s="1510"/>
      <c r="X477" s="273"/>
      <c r="Y477" s="273"/>
      <c r="Z477" s="273"/>
      <c r="AA477" s="752"/>
    </row>
    <row r="478" spans="2:27" ht="15" hidden="1" customHeight="1" outlineLevel="2" thickBot="1" x14ac:dyDescent="0.45">
      <c r="B478" s="1046"/>
      <c r="C478" s="5"/>
      <c r="D478" s="3788"/>
      <c r="E478" s="583" t="s">
        <v>134</v>
      </c>
      <c r="F478" s="583" t="s">
        <v>251</v>
      </c>
      <c r="G478" s="585">
        <f t="shared" si="45"/>
        <v>4.33</v>
      </c>
      <c r="H478" s="585">
        <f t="shared" si="46"/>
        <v>116.81511696552067</v>
      </c>
      <c r="I478" s="583" t="s">
        <v>256</v>
      </c>
      <c r="J478" s="585">
        <f>IF(F478="operation",VLOOKUP(I478,'Generic Vertical Port Tasks'!$C$4:$D$197,2,FALSE),"N/A")</f>
        <v>4.33</v>
      </c>
      <c r="K478" s="583"/>
      <c r="L478" s="583"/>
      <c r="M478" s="583"/>
      <c r="N478" s="588" t="str">
        <f>IFERROR(INDEX('Upper Cask Movement &amp; Logistics'!$I$24:$O$30,MATCH($J478,'Upper Cask Movement &amp; Logistics'!$H$24:$H$30,0),MATCH($K478,'Upper Cask Movement &amp; Logistics'!$H$24:$H$30,0)),"N/A")</f>
        <v>N/A</v>
      </c>
      <c r="O478" s="588" t="str">
        <f>IFERROR(VLOOKUP($I478,'Upper Cask Movement &amp; Logistics'!$H$4:$I$8,2,FALSE),"N/A")</f>
        <v>N/A</v>
      </c>
      <c r="P478" s="585" t="str">
        <f t="shared" si="44"/>
        <v>N/A</v>
      </c>
      <c r="Q478" s="1285"/>
      <c r="R478" s="585" t="str">
        <f>IF($F478="Logistics",VLOOKUP($Q478,'Upper Cask Movement &amp; Logistics'!$C$4:$D$209,2,FALSE),"N/A")</f>
        <v>N/A</v>
      </c>
      <c r="S478" s="1286" t="s">
        <v>1288</v>
      </c>
      <c r="T478" s="574">
        <f>IFERROR(VLOOKUP($S478,'Upper Cask Recovery Logistics'!$C$521:$F$646,4,FALSE),"N/A")</f>
        <v>112.48511696552067</v>
      </c>
      <c r="U478" s="1287">
        <f t="shared" si="47"/>
        <v>-4.7601851851851933</v>
      </c>
      <c r="V478" s="1510"/>
      <c r="X478" s="273"/>
      <c r="Y478" s="273"/>
      <c r="Z478" s="273"/>
      <c r="AA478" s="752"/>
    </row>
    <row r="479" spans="2:27" ht="15" hidden="1" customHeight="1" outlineLevel="2" x14ac:dyDescent="0.4">
      <c r="B479" s="1046"/>
      <c r="C479" s="5"/>
      <c r="D479" s="3992" t="s">
        <v>117</v>
      </c>
      <c r="E479" s="596" t="s">
        <v>1519</v>
      </c>
      <c r="F479" s="596" t="s">
        <v>3</v>
      </c>
      <c r="G479" s="593">
        <f t="shared" si="45"/>
        <v>0.60000000000000009</v>
      </c>
      <c r="H479" s="593">
        <f t="shared" si="46"/>
        <v>123.27178363218735</v>
      </c>
      <c r="I479" s="596"/>
      <c r="J479" s="593" t="str">
        <f>IF(F479="operation",VLOOKUP(I479,'Generic Vertical Port Tasks'!$C$4:$D$197,2,FALSE),"N/A")</f>
        <v>N/A</v>
      </c>
      <c r="K479" s="596"/>
      <c r="L479" s="596"/>
      <c r="M479" s="596"/>
      <c r="N479" s="597" t="str">
        <f>IFERROR(INDEX('Upper Cask Movement &amp; Logistics'!$I$24:$O$30,MATCH($J479,'Upper Cask Movement &amp; Logistics'!$H$24:$H$30,0),MATCH($K479,'Upper Cask Movement &amp; Logistics'!$H$24:$H$30,0)),"N/A")</f>
        <v>N/A</v>
      </c>
      <c r="O479" s="597" t="str">
        <f>IFERROR(VLOOKUP($I479,'Upper Cask Movement &amp; Logistics'!$H$4:$I$8,2,FALSE),"N/A")</f>
        <v>N/A</v>
      </c>
      <c r="P479" s="593" t="str">
        <f t="shared" si="44"/>
        <v>N/A</v>
      </c>
      <c r="Q479" s="1253" t="s">
        <v>1279</v>
      </c>
      <c r="R479" s="593">
        <f>IF($F479="Logistics",VLOOKUP($Q479,'Upper Cask Movement &amp; Logistics'!$C$4:$D$209,2,FALSE),"N/A")</f>
        <v>0.60000000000000009</v>
      </c>
      <c r="S479" s="1254" t="s">
        <v>1295</v>
      </c>
      <c r="T479" s="593">
        <f>IFERROR(VLOOKUP($S479,'Upper Cask Recovery Logistics'!$C$521:$F$646,4,FALSE),"N/A")</f>
        <v>122.67178363218736</v>
      </c>
      <c r="U479" s="1255">
        <f t="shared" si="47"/>
        <v>-5.8566666666666833</v>
      </c>
      <c r="V479" s="1510"/>
      <c r="X479" s="273"/>
      <c r="Y479" s="273"/>
      <c r="Z479" s="273"/>
      <c r="AA479" s="752"/>
    </row>
    <row r="480" spans="2:27" ht="15" hidden="1" customHeight="1" outlineLevel="2" x14ac:dyDescent="0.4">
      <c r="B480" s="1046"/>
      <c r="C480" s="5"/>
      <c r="D480" s="3993"/>
      <c r="E480" s="601" t="s">
        <v>1517</v>
      </c>
      <c r="F480" s="601" t="s">
        <v>3</v>
      </c>
      <c r="G480" s="602">
        <f t="shared" si="45"/>
        <v>0.38</v>
      </c>
      <c r="H480" s="602">
        <f t="shared" si="46"/>
        <v>123.65178363218735</v>
      </c>
      <c r="I480" s="601"/>
      <c r="J480" s="602" t="str">
        <f>IF(F480="operation",VLOOKUP(I480,'Generic Vertical Port Tasks'!$C$4:$D$197,2,FALSE),"N/A")</f>
        <v>N/A</v>
      </c>
      <c r="K480" s="601"/>
      <c r="L480" s="601"/>
      <c r="M480" s="601"/>
      <c r="N480" s="605" t="str">
        <f>IFERROR(INDEX('Upper Cask Movement &amp; Logistics'!$I$24:$O$30,MATCH($J480,'Upper Cask Movement &amp; Logistics'!$H$24:$H$30,0),MATCH($K480,'Upper Cask Movement &amp; Logistics'!$H$24:$H$30,0)),"N/A")</f>
        <v>N/A</v>
      </c>
      <c r="O480" s="605" t="str">
        <f>IFERROR(VLOOKUP($I480,'Upper Cask Movement &amp; Logistics'!$H$4:$I$8,2,FALSE),"N/A")</f>
        <v>N/A</v>
      </c>
      <c r="P480" s="602" t="str">
        <f t="shared" si="44"/>
        <v>N/A</v>
      </c>
      <c r="Q480" s="1288" t="s">
        <v>1226</v>
      </c>
      <c r="R480" s="602">
        <f>IF($F480="Logistics",VLOOKUP($Q480,'Upper Cask Movement &amp; Logistics'!$C$4:$D$209,2,FALSE),"N/A")</f>
        <v>0.38</v>
      </c>
      <c r="S480" s="1235"/>
      <c r="T480" s="602" t="str">
        <f>IFERROR(VLOOKUP($S480,'Upper Cask Recovery Logistics'!$C$521:$F$646,4,FALSE),"N/A")</f>
        <v>N/A</v>
      </c>
      <c r="U480" s="1236" t="str">
        <f t="shared" si="47"/>
        <v>N/A</v>
      </c>
      <c r="V480" s="1510"/>
      <c r="X480" s="273"/>
      <c r="Y480" s="273"/>
      <c r="Z480" s="273"/>
      <c r="AA480" s="752"/>
    </row>
    <row r="481" spans="2:28" ht="15" hidden="1" customHeight="1" outlineLevel="2" x14ac:dyDescent="0.4">
      <c r="B481" s="1046"/>
      <c r="C481" s="5"/>
      <c r="D481" s="3993"/>
      <c r="E481" s="601" t="s">
        <v>117</v>
      </c>
      <c r="F481" s="601" t="s">
        <v>251</v>
      </c>
      <c r="G481" s="602">
        <f t="shared" si="45"/>
        <v>4.0949999999999998</v>
      </c>
      <c r="H481" s="602">
        <f t="shared" si="46"/>
        <v>127.74678363218734</v>
      </c>
      <c r="I481" s="601" t="s">
        <v>35</v>
      </c>
      <c r="J481" s="602">
        <f>IF(F481="operation",VLOOKUP(I481,'Generic Vertical Port Tasks'!$C$4:$D$197,2,FALSE),"N/A")</f>
        <v>4.0949999999999998</v>
      </c>
      <c r="K481" s="601"/>
      <c r="L481" s="601"/>
      <c r="M481" s="601"/>
      <c r="N481" s="605" t="str">
        <f>IFERROR(INDEX('Upper Cask Movement &amp; Logistics'!$I$24:$O$30,MATCH($J481,'Upper Cask Movement &amp; Logistics'!$H$24:$H$30,0),MATCH($K481,'Upper Cask Movement &amp; Logistics'!$H$24:$H$30,0)),"N/A")</f>
        <v>N/A</v>
      </c>
      <c r="O481" s="605" t="str">
        <f>IFERROR(VLOOKUP($I481,'Upper Cask Movement &amp; Logistics'!$H$4:$I$8,2,FALSE),"N/A")</f>
        <v>N/A</v>
      </c>
      <c r="P481" s="602" t="str">
        <f t="shared" si="44"/>
        <v>N/A</v>
      </c>
      <c r="Q481" s="1234"/>
      <c r="R481" s="602" t="str">
        <f>IF($F481="Logistics",VLOOKUP($Q481,'Upper Cask Movement &amp; Logistics'!$C$4:$D$209,2,FALSE),"N/A")</f>
        <v>N/A</v>
      </c>
      <c r="S481" s="1235"/>
      <c r="T481" s="602" t="str">
        <f>IFERROR(VLOOKUP($S481,'Upper Cask Recovery Logistics'!$C$521:$F$646,4,FALSE),"N/A")</f>
        <v>N/A</v>
      </c>
      <c r="U481" s="1236" t="str">
        <f t="shared" si="47"/>
        <v>N/A</v>
      </c>
      <c r="V481" s="1510"/>
      <c r="X481" s="273"/>
      <c r="Y481" s="273"/>
      <c r="Z481" s="273"/>
      <c r="AA481" s="752"/>
    </row>
    <row r="482" spans="2:28" ht="15" hidden="1" customHeight="1" outlineLevel="2" thickBot="1" x14ac:dyDescent="0.45">
      <c r="B482" s="1046"/>
      <c r="C482" s="5"/>
      <c r="D482" s="3994"/>
      <c r="E482" s="609" t="s">
        <v>1251</v>
      </c>
      <c r="F482" s="1511" t="s">
        <v>3</v>
      </c>
      <c r="G482" s="610">
        <f t="shared" si="45"/>
        <v>0.38</v>
      </c>
      <c r="H482" s="610">
        <f t="shared" si="46"/>
        <v>128.12678363218734</v>
      </c>
      <c r="I482" s="609"/>
      <c r="J482" s="610" t="str">
        <f>IF(F482="operation",VLOOKUP(I482,'Generic Vertical Port Tasks'!$C$4:$D$197,2,FALSE),"N/A")</f>
        <v>N/A</v>
      </c>
      <c r="K482" s="609"/>
      <c r="L482" s="609"/>
      <c r="M482" s="609"/>
      <c r="N482" s="613" t="str">
        <f>IFERROR(INDEX('Upper Cask Movement &amp; Logistics'!$I$24:$O$30,MATCH($J482,'Upper Cask Movement &amp; Logistics'!$H$24:$H$30,0),MATCH($K482,'Upper Cask Movement &amp; Logistics'!$H$24:$H$30,0)),"N/A")</f>
        <v>N/A</v>
      </c>
      <c r="O482" s="613" t="str">
        <f>IFERROR(VLOOKUP($I482,'Upper Cask Movement &amp; Logistics'!$H$4:$I$8,2,FALSE),"N/A")</f>
        <v>N/A</v>
      </c>
      <c r="P482" s="610" t="str">
        <f t="shared" si="44"/>
        <v>N/A</v>
      </c>
      <c r="Q482" s="1237" t="s">
        <v>1230</v>
      </c>
      <c r="R482" s="610">
        <f>IF($F482="Logistics",VLOOKUP($Q482,'Upper Cask Movement &amp; Logistics'!$C$4:$D$209,2,FALSE),"N/A")</f>
        <v>0.38</v>
      </c>
      <c r="S482" s="1238"/>
      <c r="T482" s="610" t="str">
        <f>IFERROR(VLOOKUP($S482,'Upper Cask Recovery Logistics'!$C$521:$F$646,4,FALSE),"N/A")</f>
        <v>N/A</v>
      </c>
      <c r="U482" s="1239" t="str">
        <f t="shared" si="47"/>
        <v>N/A</v>
      </c>
      <c r="V482" s="1510"/>
      <c r="X482" s="273"/>
      <c r="Y482" s="273"/>
      <c r="Z482" s="273"/>
      <c r="AA482" s="752"/>
    </row>
    <row r="483" spans="2:28" ht="15" hidden="1" customHeight="1" outlineLevel="2" x14ac:dyDescent="0.4">
      <c r="B483" s="1046"/>
      <c r="C483" s="5"/>
      <c r="D483" s="3998" t="s">
        <v>1086</v>
      </c>
      <c r="E483" s="1275" t="s">
        <v>1299</v>
      </c>
      <c r="F483" s="1275" t="s">
        <v>3</v>
      </c>
      <c r="G483" s="1276">
        <f t="shared" si="45"/>
        <v>0.38</v>
      </c>
      <c r="H483" s="1276">
        <f t="shared" si="46"/>
        <v>128.50678363218734</v>
      </c>
      <c r="I483" s="1275"/>
      <c r="J483" s="1276" t="str">
        <f>IF(F483="operation",VLOOKUP(I483,'Generic Vertical Port Tasks'!$C$4:$D$197,2,FALSE),"N/A")</f>
        <v>N/A</v>
      </c>
      <c r="K483" s="1275"/>
      <c r="L483" s="1275"/>
      <c r="M483" s="1275"/>
      <c r="N483" s="1277" t="str">
        <f>IFERROR(INDEX('Upper Cask Movement &amp; Logistics'!$I$24:$O$30,MATCH($J483,'Upper Cask Movement &amp; Logistics'!$H$24:$H$30,0),MATCH($K483,'Upper Cask Movement &amp; Logistics'!$H$24:$H$30,0)),"N/A")</f>
        <v>N/A</v>
      </c>
      <c r="O483" s="1277" t="str">
        <f>IFERROR(VLOOKUP($I483,'Upper Cask Movement &amp; Logistics'!$H$4:$I$8,2,FALSE),"N/A")</f>
        <v>N/A</v>
      </c>
      <c r="P483" s="1276" t="str">
        <f t="shared" si="44"/>
        <v>N/A</v>
      </c>
      <c r="Q483" s="1278" t="s">
        <v>1226</v>
      </c>
      <c r="R483" s="1276">
        <f>IF($F483="Logistics",VLOOKUP($Q483,'Upper Cask Movement &amp; Logistics'!$C$4:$D$209,2,FALSE),"N/A")</f>
        <v>0.38</v>
      </c>
      <c r="S483" s="1279"/>
      <c r="T483" s="1276" t="str">
        <f>IFERROR(VLOOKUP($S483,'Upper Cask Recovery Logistics'!$C$521:$F$646,4,FALSE),"N/A")</f>
        <v>N/A</v>
      </c>
      <c r="U483" s="1280" t="str">
        <f t="shared" si="47"/>
        <v>N/A</v>
      </c>
      <c r="V483" s="1510"/>
      <c r="X483" s="273"/>
      <c r="Y483" s="273"/>
      <c r="Z483" s="273"/>
      <c r="AA483" s="752"/>
    </row>
    <row r="484" spans="2:28" ht="15" hidden="1" customHeight="1" outlineLevel="2" x14ac:dyDescent="0.4">
      <c r="B484" s="1046"/>
      <c r="C484" s="5"/>
      <c r="D484" s="3996"/>
      <c r="E484" s="572" t="s">
        <v>132</v>
      </c>
      <c r="F484" s="572" t="s">
        <v>251</v>
      </c>
      <c r="G484" s="574">
        <f t="shared" si="45"/>
        <v>24.022732551873563</v>
      </c>
      <c r="H484" s="574">
        <f t="shared" si="46"/>
        <v>152.5295161840609</v>
      </c>
      <c r="I484" s="572" t="s">
        <v>2492</v>
      </c>
      <c r="J484" s="574">
        <f>IF(F484="operation",VLOOKUP(I484,'Generic Vertical Port Tasks'!$C$4:$D$197,2,FALSE),"N/A")</f>
        <v>24.022732551873563</v>
      </c>
      <c r="K484" s="572"/>
      <c r="L484" s="572"/>
      <c r="M484" s="572"/>
      <c r="N484" s="577" t="str">
        <f>IFERROR(INDEX('Upper Cask Movement &amp; Logistics'!$I$24:$O$30,MATCH($J484,'Upper Cask Movement &amp; Logistics'!$H$24:$H$30,0),MATCH($K484,'Upper Cask Movement &amp; Logistics'!$H$24:$H$30,0)),"N/A")</f>
        <v>N/A</v>
      </c>
      <c r="O484" s="577" t="str">
        <f>IFERROR(VLOOKUP($I484,'Upper Cask Movement &amp; Logistics'!$H$4:$I$8,2,FALSE),"N/A")</f>
        <v>N/A</v>
      </c>
      <c r="P484" s="574" t="str">
        <f t="shared" si="44"/>
        <v>N/A</v>
      </c>
      <c r="Q484" s="1282"/>
      <c r="R484" s="574" t="str">
        <f>IF($F484="Logistics",VLOOKUP($Q484,'Upper Cask Movement &amp; Logistics'!$C$4:$D$209,2,FALSE),"N/A")</f>
        <v>N/A</v>
      </c>
      <c r="S484" s="1283"/>
      <c r="T484" s="574" t="str">
        <f>IFERROR(VLOOKUP($S484,'Upper Cask Recovery Logistics'!$C$521:$F$646,4,FALSE),"N/A")</f>
        <v>N/A</v>
      </c>
      <c r="U484" s="1284" t="str">
        <f t="shared" si="47"/>
        <v>N/A</v>
      </c>
      <c r="V484" s="1510"/>
      <c r="X484" s="273"/>
      <c r="Y484" s="273"/>
      <c r="Z484" s="273"/>
      <c r="AA484" s="752"/>
    </row>
    <row r="485" spans="2:28" ht="15" hidden="1" customHeight="1" outlineLevel="2" x14ac:dyDescent="0.4">
      <c r="B485" s="1046"/>
      <c r="C485" s="5"/>
      <c r="D485" s="3996"/>
      <c r="E485" s="572" t="s">
        <v>1248</v>
      </c>
      <c r="F485" s="572" t="s">
        <v>3</v>
      </c>
      <c r="G485" s="574">
        <f t="shared" si="45"/>
        <v>0.38</v>
      </c>
      <c r="H485" s="574">
        <f t="shared" si="46"/>
        <v>152.90951618406089</v>
      </c>
      <c r="I485" s="572"/>
      <c r="J485" s="574" t="str">
        <f>IF(F485="operation",VLOOKUP(I485,'Generic Vertical Port Tasks'!$C$4:$D$197,2,FALSE),"N/A")</f>
        <v>N/A</v>
      </c>
      <c r="K485" s="572"/>
      <c r="L485" s="572"/>
      <c r="M485" s="572"/>
      <c r="N485" s="577" t="str">
        <f>IFERROR(INDEX('Upper Cask Movement &amp; Logistics'!$I$24:$O$30,MATCH($J485,'Upper Cask Movement &amp; Logistics'!$H$24:$H$30,0),MATCH($K485,'Upper Cask Movement &amp; Logistics'!$H$24:$H$30,0)),"N/A")</f>
        <v>N/A</v>
      </c>
      <c r="O485" s="577" t="str">
        <f>IFERROR(VLOOKUP($I485,'Upper Cask Movement &amp; Logistics'!$H$4:$I$8,2,FALSE),"N/A")</f>
        <v>N/A</v>
      </c>
      <c r="P485" s="574" t="str">
        <f t="shared" si="44"/>
        <v>N/A</v>
      </c>
      <c r="Q485" s="1282" t="s">
        <v>1230</v>
      </c>
      <c r="R485" s="574">
        <f>IF($F485="Logistics",VLOOKUP($Q485,'Upper Cask Movement &amp; Logistics'!$C$4:$D$209,2,FALSE),"N/A")</f>
        <v>0.38</v>
      </c>
      <c r="S485" s="1283" t="s">
        <v>1087</v>
      </c>
      <c r="T485" s="574" t="str">
        <f>IFERROR(VLOOKUP($S485,'Upper Cask Recovery Logistics'!$C$521:$F$646,4,FALSE),"N/A")</f>
        <v>N/A</v>
      </c>
      <c r="U485" s="1284" t="str">
        <f t="shared" si="47"/>
        <v>N/A</v>
      </c>
      <c r="V485" s="1510"/>
      <c r="X485" s="273"/>
      <c r="Y485" s="273"/>
      <c r="Z485" s="273"/>
      <c r="AA485" s="752"/>
    </row>
    <row r="486" spans="2:28" ht="15" hidden="1" customHeight="1" outlineLevel="2" x14ac:dyDescent="0.4">
      <c r="B486" s="1046"/>
      <c r="C486" s="5"/>
      <c r="D486" s="3996"/>
      <c r="E486" s="572" t="s">
        <v>1252</v>
      </c>
      <c r="F486" s="572" t="s">
        <v>3</v>
      </c>
      <c r="G486" s="574">
        <f t="shared" si="45"/>
        <v>0.38</v>
      </c>
      <c r="H486" s="574">
        <f t="shared" si="46"/>
        <v>153.28951618406089</v>
      </c>
      <c r="I486" s="572"/>
      <c r="J486" s="574" t="str">
        <f>IF(F486="operation",VLOOKUP(I486,'Generic Vertical Port Tasks'!$C$4:$D$197,2,FALSE),"N/A")</f>
        <v>N/A</v>
      </c>
      <c r="K486" s="572"/>
      <c r="L486" s="572"/>
      <c r="M486" s="572"/>
      <c r="N486" s="577" t="str">
        <f>IFERROR(INDEX('Upper Cask Movement &amp; Logistics'!$I$24:$O$30,MATCH($J486,'Upper Cask Movement &amp; Logistics'!$H$24:$H$30,0),MATCH($K486,'Upper Cask Movement &amp; Logistics'!$H$24:$H$30,0)),"N/A")</f>
        <v>N/A</v>
      </c>
      <c r="O486" s="577" t="str">
        <f>IFERROR(VLOOKUP($I486,'Upper Cask Movement &amp; Logistics'!$H$4:$I$8,2,FALSE),"N/A")</f>
        <v>N/A</v>
      </c>
      <c r="P486" s="574" t="str">
        <f t="shared" si="44"/>
        <v>N/A</v>
      </c>
      <c r="Q486" s="1282" t="s">
        <v>1226</v>
      </c>
      <c r="R486" s="574">
        <f>IF($F486="Logistics",VLOOKUP($Q486,'Upper Cask Movement &amp; Logistics'!$C$4:$D$209,2,FALSE),"N/A")</f>
        <v>0.38</v>
      </c>
      <c r="S486" s="1283"/>
      <c r="T486" s="574" t="str">
        <f>IFERROR(VLOOKUP($S486,'Upper Cask Recovery Logistics'!$C$521:$F$646,4,FALSE),"N/A")</f>
        <v>N/A</v>
      </c>
      <c r="U486" s="1284" t="str">
        <f t="shared" si="47"/>
        <v>N/A</v>
      </c>
      <c r="V486" s="1510"/>
      <c r="X486" s="273"/>
      <c r="Y486" s="273"/>
      <c r="Z486" s="273"/>
      <c r="AA486" s="752"/>
    </row>
    <row r="487" spans="2:28" ht="15" hidden="1" customHeight="1" outlineLevel="2" x14ac:dyDescent="0.4">
      <c r="B487" s="1046"/>
      <c r="C487" s="5"/>
      <c r="D487" s="3996"/>
      <c r="E487" s="572" t="s">
        <v>47</v>
      </c>
      <c r="F487" s="572" t="s">
        <v>251</v>
      </c>
      <c r="G487" s="574">
        <f t="shared" si="45"/>
        <v>7.83</v>
      </c>
      <c r="H487" s="574">
        <f t="shared" si="46"/>
        <v>161.1195161840609</v>
      </c>
      <c r="I487" s="572" t="s">
        <v>257</v>
      </c>
      <c r="J487" s="574">
        <f>IF(F487="operation",VLOOKUP(I487,'Generic Vertical Port Tasks'!$C$4:$D$197,2,FALSE),"N/A")</f>
        <v>7.83</v>
      </c>
      <c r="K487" s="572"/>
      <c r="L487" s="572"/>
      <c r="M487" s="572"/>
      <c r="N487" s="577" t="str">
        <f>IFERROR(INDEX('Upper Cask Movement &amp; Logistics'!$I$24:$O$30,MATCH($J487,'Upper Cask Movement &amp; Logistics'!$H$24:$H$30,0),MATCH($K487,'Upper Cask Movement &amp; Logistics'!$H$24:$H$30,0)),"N/A")</f>
        <v>N/A</v>
      </c>
      <c r="O487" s="577" t="str">
        <f>IFERROR(VLOOKUP($I487,'Upper Cask Movement &amp; Logistics'!$H$4:$I$8,2,FALSE),"N/A")</f>
        <v>N/A</v>
      </c>
      <c r="P487" s="574" t="str">
        <f t="shared" si="44"/>
        <v>N/A</v>
      </c>
      <c r="Q487" s="1282"/>
      <c r="R487" s="574" t="str">
        <f>IF($F487="Logistics",VLOOKUP($Q487,'Upper Cask Movement &amp; Logistics'!$C$4:$D$209,2,FALSE),"N/A")</f>
        <v>N/A</v>
      </c>
      <c r="S487" s="1283"/>
      <c r="T487" s="574" t="str">
        <f>IFERROR(VLOOKUP($S487,'Upper Cask Recovery Logistics'!$C$521:$F$646,4,FALSE),"N/A")</f>
        <v>N/A</v>
      </c>
      <c r="U487" s="1284" t="str">
        <f t="shared" si="47"/>
        <v>N/A</v>
      </c>
      <c r="V487" s="1510"/>
      <c r="X487" s="273"/>
      <c r="Y487" s="273"/>
      <c r="Z487" s="273"/>
      <c r="AA487" s="752"/>
    </row>
    <row r="488" spans="2:28" ht="15" hidden="1" customHeight="1" outlineLevel="2" thickBot="1" x14ac:dyDescent="0.45">
      <c r="B488" s="1046"/>
      <c r="C488" s="5"/>
      <c r="D488" s="3997"/>
      <c r="E488" s="583" t="s">
        <v>1246</v>
      </c>
      <c r="F488" s="583" t="s">
        <v>3</v>
      </c>
      <c r="G488" s="585">
        <f t="shared" si="45"/>
        <v>0.38</v>
      </c>
      <c r="H488" s="585">
        <f t="shared" si="46"/>
        <v>161.49951618406089</v>
      </c>
      <c r="I488" s="583"/>
      <c r="J488" s="585" t="str">
        <f>IF(F488="operation",VLOOKUP(I488,'Generic Vertical Port Tasks'!$C$4:$D$197,2,FALSE),"N/A")</f>
        <v>N/A</v>
      </c>
      <c r="K488" s="583"/>
      <c r="L488" s="583"/>
      <c r="M488" s="583"/>
      <c r="N488" s="588" t="str">
        <f>IFERROR(INDEX('Upper Cask Movement &amp; Logistics'!$I$24:$O$30,MATCH($J488,'Upper Cask Movement &amp; Logistics'!$H$24:$H$30,0),MATCH($K488,'Upper Cask Movement &amp; Logistics'!$H$24:$H$30,0)),"N/A")</f>
        <v>N/A</v>
      </c>
      <c r="O488" s="588" t="str">
        <f>IFERROR(VLOOKUP($I488,'Upper Cask Movement &amp; Logistics'!$H$4:$I$8,2,FALSE),"N/A")</f>
        <v>N/A</v>
      </c>
      <c r="P488" s="585" t="str">
        <f t="shared" si="44"/>
        <v>N/A</v>
      </c>
      <c r="Q488" s="1285" t="s">
        <v>1230</v>
      </c>
      <c r="R488" s="585">
        <f>IF($F488="Logistics",VLOOKUP($Q488,'Upper Cask Movement &amp; Logistics'!$C$4:$D$209,2,FALSE),"N/A")</f>
        <v>0.38</v>
      </c>
      <c r="S488" s="1286"/>
      <c r="T488" s="585" t="str">
        <f>IFERROR(VLOOKUP($S488,'Upper Cask Recovery Logistics'!$C$521:$F$646,4,FALSE),"N/A")</f>
        <v>N/A</v>
      </c>
      <c r="U488" s="1287" t="str">
        <f t="shared" si="47"/>
        <v>N/A</v>
      </c>
      <c r="V488" s="1510"/>
      <c r="X488" s="273"/>
      <c r="Y488" s="273"/>
      <c r="Z488" s="273"/>
      <c r="AA488" s="752"/>
    </row>
    <row r="489" spans="2:28" ht="15" hidden="1" customHeight="1" outlineLevel="2" x14ac:dyDescent="0.4">
      <c r="B489" s="1046"/>
      <c r="C489" s="5"/>
      <c r="D489" s="3992" t="s">
        <v>118</v>
      </c>
      <c r="E489" s="596" t="s">
        <v>1300</v>
      </c>
      <c r="F489" s="596" t="s">
        <v>3</v>
      </c>
      <c r="G489" s="593">
        <f t="shared" si="45"/>
        <v>0.60000000000000009</v>
      </c>
      <c r="H489" s="593">
        <f t="shared" ref="H489:H495" si="48">IF(U489&lt;0,G489+H488+(-U489),G489+H488)</f>
        <v>162.09951618406089</v>
      </c>
      <c r="I489" s="596"/>
      <c r="J489" s="593" t="str">
        <f>IF(F489="operation",VLOOKUP(I489,'Generic Vertical Port Tasks'!$C$4:$D$197,2,FALSE),"N/A")</f>
        <v>N/A</v>
      </c>
      <c r="K489" s="596"/>
      <c r="L489" s="596"/>
      <c r="M489" s="596"/>
      <c r="N489" s="597" t="str">
        <f>IFERROR(INDEX('Upper Cask Movement &amp; Logistics'!$I$24:$O$30,MATCH($J489,'Upper Cask Movement &amp; Logistics'!$H$24:$H$30,0),MATCH($K489,'Upper Cask Movement &amp; Logistics'!$H$24:$H$30,0)),"N/A")</f>
        <v>N/A</v>
      </c>
      <c r="O489" s="597" t="str">
        <f>IFERROR(VLOOKUP($I489,'Upper Cask Movement &amp; Logistics'!$H$4:$I$8,2,FALSE),"N/A")</f>
        <v>N/A</v>
      </c>
      <c r="P489" s="593" t="str">
        <f t="shared" si="44"/>
        <v>N/A</v>
      </c>
      <c r="Q489" s="1253" t="s">
        <v>1279</v>
      </c>
      <c r="R489" s="593">
        <f>IF($F489="Logistics",VLOOKUP($Q489,'Upper Cask Movement &amp; Logistics'!$C$4:$D$209,2,FALSE),"N/A")</f>
        <v>0.60000000000000009</v>
      </c>
      <c r="S489" s="1254" t="s">
        <v>1414</v>
      </c>
      <c r="T489" s="593">
        <f>IFERROR(VLOOKUP($S489,'Upper Cask Recovery Logistics'!$C$521:$F$646,4,FALSE),"N/A")</f>
        <v>133.05270955811332</v>
      </c>
      <c r="U489" s="1255">
        <f t="shared" ref="U489:U495" si="49">IFERROR(H488-T489,"N/A")</f>
        <v>28.446806625947573</v>
      </c>
      <c r="V489" s="1510"/>
      <c r="X489" s="273"/>
      <c r="Y489" s="273"/>
      <c r="Z489" s="273"/>
      <c r="AA489" s="752"/>
    </row>
    <row r="490" spans="2:28" ht="15" hidden="1" customHeight="1" outlineLevel="2" x14ac:dyDescent="0.4">
      <c r="B490" s="1046"/>
      <c r="C490" s="5"/>
      <c r="D490" s="3993"/>
      <c r="E490" s="601" t="s">
        <v>1517</v>
      </c>
      <c r="F490" s="601" t="s">
        <v>3</v>
      </c>
      <c r="G490" s="602">
        <f t="shared" si="45"/>
        <v>0.38</v>
      </c>
      <c r="H490" s="602">
        <f t="shared" si="48"/>
        <v>162.47951618406088</v>
      </c>
      <c r="I490" s="601"/>
      <c r="J490" s="602" t="str">
        <f>IF(F490="operation",VLOOKUP(I490,'Generic Vertical Port Tasks'!$C$4:$D$197,2,FALSE),"N/A")</f>
        <v>N/A</v>
      </c>
      <c r="K490" s="601"/>
      <c r="L490" s="601"/>
      <c r="M490" s="601"/>
      <c r="N490" s="605" t="str">
        <f>IFERROR(INDEX('Upper Cask Movement &amp; Logistics'!$I$24:$O$30,MATCH($J490,'Upper Cask Movement &amp; Logistics'!$H$24:$H$30,0),MATCH($K490,'Upper Cask Movement &amp; Logistics'!$H$24:$H$30,0)),"N/A")</f>
        <v>N/A</v>
      </c>
      <c r="O490" s="605" t="str">
        <f>IFERROR(VLOOKUP($I490,'Upper Cask Movement &amp; Logistics'!$H$4:$I$8,2,FALSE),"N/A")</f>
        <v>N/A</v>
      </c>
      <c r="P490" s="602" t="str">
        <f t="shared" si="44"/>
        <v>N/A</v>
      </c>
      <c r="Q490" s="1288" t="s">
        <v>1226</v>
      </c>
      <c r="R490" s="602">
        <f>IF($F490="Logistics",VLOOKUP($Q490,'Upper Cask Movement &amp; Logistics'!$C$4:$D$209,2,FALSE),"N/A")</f>
        <v>0.38</v>
      </c>
      <c r="S490" s="1235"/>
      <c r="T490" s="602" t="str">
        <f>IFERROR(VLOOKUP($S490,'Upper Cask Recovery Logistics'!$C$521:$F$646,4,FALSE),"N/A")</f>
        <v>N/A</v>
      </c>
      <c r="U490" s="1236" t="str">
        <f t="shared" si="49"/>
        <v>N/A</v>
      </c>
      <c r="V490" s="1510"/>
      <c r="X490" s="273"/>
      <c r="Y490" s="273"/>
      <c r="Z490" s="273"/>
      <c r="AA490" s="752"/>
    </row>
    <row r="491" spans="2:28" ht="15" hidden="1" customHeight="1" outlineLevel="2" x14ac:dyDescent="0.4">
      <c r="B491" s="1046"/>
      <c r="C491" s="5"/>
      <c r="D491" s="3993"/>
      <c r="E491" s="601" t="s">
        <v>118</v>
      </c>
      <c r="F491" s="601" t="s">
        <v>251</v>
      </c>
      <c r="G491" s="602">
        <f t="shared" si="45"/>
        <v>4.0949999999999998</v>
      </c>
      <c r="H491" s="602">
        <f t="shared" si="48"/>
        <v>166.57451618406088</v>
      </c>
      <c r="I491" s="601" t="s">
        <v>35</v>
      </c>
      <c r="J491" s="602">
        <f>IF(F491="operation",VLOOKUP(I491,'Generic Vertical Port Tasks'!$C$4:$D$197,2,FALSE),"N/A")</f>
        <v>4.0949999999999998</v>
      </c>
      <c r="K491" s="601"/>
      <c r="L491" s="601"/>
      <c r="M491" s="601"/>
      <c r="N491" s="605" t="str">
        <f>IFERROR(INDEX('Upper Cask Movement &amp; Logistics'!$I$24:$O$30,MATCH($J491,'Upper Cask Movement &amp; Logistics'!$H$24:$H$30,0),MATCH($K491,'Upper Cask Movement &amp; Logistics'!$H$24:$H$30,0)),"N/A")</f>
        <v>N/A</v>
      </c>
      <c r="O491" s="605" t="str">
        <f>IFERROR(VLOOKUP($I491,'Upper Cask Movement &amp; Logistics'!$H$4:$I$8,2,FALSE),"N/A")</f>
        <v>N/A</v>
      </c>
      <c r="P491" s="602" t="str">
        <f t="shared" si="44"/>
        <v>N/A</v>
      </c>
      <c r="Q491" s="1234"/>
      <c r="R491" s="602" t="str">
        <f>IF($F491="Logistics",VLOOKUP($Q491,'Upper Cask Movement &amp; Logistics'!$C$4:$D$209,2,FALSE),"N/A")</f>
        <v>N/A</v>
      </c>
      <c r="S491" s="1235"/>
      <c r="T491" s="602" t="str">
        <f>IFERROR(VLOOKUP($S491,'Upper Cask Recovery Logistics'!$C$521:$F$646,4,FALSE),"N/A")</f>
        <v>N/A</v>
      </c>
      <c r="U491" s="1236" t="str">
        <f t="shared" si="49"/>
        <v>N/A</v>
      </c>
      <c r="V491" s="1510"/>
      <c r="X491" s="273"/>
      <c r="Y491" s="273"/>
      <c r="Z491" s="273"/>
      <c r="AA491" s="752"/>
    </row>
    <row r="492" spans="2:28" ht="15" hidden="1" customHeight="1" outlineLevel="2" thickBot="1" x14ac:dyDescent="0.45">
      <c r="B492" s="1046"/>
      <c r="C492" s="5"/>
      <c r="D492" s="3993"/>
      <c r="E492" s="601" t="s">
        <v>1251</v>
      </c>
      <c r="F492" s="636" t="s">
        <v>3</v>
      </c>
      <c r="G492" s="602">
        <f t="shared" si="45"/>
        <v>0.38</v>
      </c>
      <c r="H492" s="602">
        <f t="shared" si="48"/>
        <v>166.95451618406088</v>
      </c>
      <c r="I492" s="601"/>
      <c r="J492" s="602" t="str">
        <f>IF(F492="operation",VLOOKUP(I492,'Generic Vertical Port Tasks'!$C$4:$D$197,2,FALSE),"N/A")</f>
        <v>N/A</v>
      </c>
      <c r="K492" s="601"/>
      <c r="L492" s="601"/>
      <c r="M492" s="601"/>
      <c r="N492" s="605" t="str">
        <f>IFERROR(INDEX('Upper Cask Movement &amp; Logistics'!$I$24:$O$30,MATCH($J492,'Upper Cask Movement &amp; Logistics'!$H$24:$H$30,0),MATCH($K492,'Upper Cask Movement &amp; Logistics'!$H$24:$H$30,0)),"N/A")</f>
        <v>N/A</v>
      </c>
      <c r="O492" s="605" t="str">
        <f>IFERROR(VLOOKUP($I492,'Upper Cask Movement &amp; Logistics'!$H$4:$I$8,2,FALSE),"N/A")</f>
        <v>N/A</v>
      </c>
      <c r="P492" s="602" t="str">
        <f t="shared" si="44"/>
        <v>N/A</v>
      </c>
      <c r="Q492" s="1234" t="s">
        <v>1230</v>
      </c>
      <c r="R492" s="602">
        <f>IF($F492="Logistics",VLOOKUP($Q492,'Upper Cask Movement &amp; Logistics'!$C$4:$D$209,2,FALSE),"N/A")</f>
        <v>0.38</v>
      </c>
      <c r="S492" s="1235"/>
      <c r="T492" s="602" t="str">
        <f>IFERROR(VLOOKUP($S492,'Upper Cask Recovery Logistics'!$C$521:$F$646,4,FALSE),"N/A")</f>
        <v>N/A</v>
      </c>
      <c r="U492" s="1236" t="str">
        <f t="shared" si="49"/>
        <v>N/A</v>
      </c>
      <c r="V492" s="1510"/>
      <c r="X492" s="273"/>
      <c r="Y492" s="273"/>
      <c r="Z492" s="273"/>
      <c r="AA492" s="752"/>
    </row>
    <row r="493" spans="2:28" ht="15" hidden="1" customHeight="1" outlineLevel="2" x14ac:dyDescent="0.4">
      <c r="B493" s="1046"/>
      <c r="C493" s="5"/>
      <c r="D493" s="3995" t="s">
        <v>1089</v>
      </c>
      <c r="E493" s="617" t="s">
        <v>1299</v>
      </c>
      <c r="F493" s="617" t="s">
        <v>3</v>
      </c>
      <c r="G493" s="567">
        <f>MAX($R493,$P493,$J493)</f>
        <v>0.38</v>
      </c>
      <c r="H493" s="567">
        <f t="shared" si="48"/>
        <v>167.33451618406087</v>
      </c>
      <c r="I493" s="617"/>
      <c r="J493" s="567" t="str">
        <f>IF(F493="operation",VLOOKUP(I493,'Generic Vertical Port Tasks'!$C$4:$D$197,2,FALSE),"N/A")</f>
        <v>N/A</v>
      </c>
      <c r="K493" s="617"/>
      <c r="L493" s="617"/>
      <c r="M493" s="617"/>
      <c r="N493" s="618" t="str">
        <f>IFERROR(INDEX('Upper Cask Movement &amp; Logistics'!$I$24:$O$30,MATCH($J493,'Upper Cask Movement &amp; Logistics'!$H$24:$H$30,0),MATCH($K493,'Upper Cask Movement &amp; Logistics'!$H$24:$H$30,0)),"N/A")</f>
        <v>N/A</v>
      </c>
      <c r="O493" s="618" t="str">
        <f>IFERROR(VLOOKUP($I493,'Upper Cask Movement &amp; Logistics'!$H$4:$I$8,2,FALSE),"N/A")</f>
        <v>N/A</v>
      </c>
      <c r="P493" s="567" t="str">
        <f>IF(F493="Movement",IFERROR((N493/O493)/(60*60),"Error"),"N/A")</f>
        <v>N/A</v>
      </c>
      <c r="Q493" s="1271" t="s">
        <v>1226</v>
      </c>
      <c r="R493" s="567">
        <f>IF($F493="Logistics",VLOOKUP($Q493,'Upper Cask Movement &amp; Logistics'!$C$4:$D$209,2,FALSE),"N/A")</f>
        <v>0.38</v>
      </c>
      <c r="S493" s="1272"/>
      <c r="T493" s="567" t="str">
        <f>IFERROR(VLOOKUP($S493,'Upper Cask Recovery Logistics'!$C$521:$F$646,4,FALSE),"N/A")</f>
        <v>N/A</v>
      </c>
      <c r="U493" s="1273" t="str">
        <f t="shared" si="49"/>
        <v>N/A</v>
      </c>
      <c r="V493" s="1510"/>
      <c r="X493" s="273"/>
      <c r="Y493" s="273"/>
      <c r="Z493" s="273"/>
      <c r="AA493" s="752"/>
    </row>
    <row r="494" spans="2:28" ht="15" hidden="1" customHeight="1" outlineLevel="2" x14ac:dyDescent="0.4">
      <c r="B494" s="1046"/>
      <c r="C494" s="5"/>
      <c r="D494" s="3996"/>
      <c r="E494" s="572" t="s">
        <v>128</v>
      </c>
      <c r="F494" s="572" t="s">
        <v>251</v>
      </c>
      <c r="G494" s="574">
        <f>MAX($R494,$P494,$J494)</f>
        <v>24.022732551873563</v>
      </c>
      <c r="H494" s="574">
        <f t="shared" si="48"/>
        <v>191.35724873593443</v>
      </c>
      <c r="I494" s="572" t="s">
        <v>2492</v>
      </c>
      <c r="J494" s="574">
        <f>IF(F494="operation",VLOOKUP(I494,'Generic Vertical Port Tasks'!$C$4:$D$197,2,FALSE),"N/A")</f>
        <v>24.022732551873563</v>
      </c>
      <c r="K494" s="572"/>
      <c r="L494" s="572"/>
      <c r="M494" s="572"/>
      <c r="N494" s="577" t="str">
        <f>IFERROR(INDEX('Upper Cask Movement &amp; Logistics'!$I$24:$O$30,MATCH($J494,'Upper Cask Movement &amp; Logistics'!$H$24:$H$30,0),MATCH($K494,'Upper Cask Movement &amp; Logistics'!$H$24:$H$30,0)),"N/A")</f>
        <v>N/A</v>
      </c>
      <c r="O494" s="577" t="str">
        <f>IFERROR(VLOOKUP($I494,'Upper Cask Movement &amp; Logistics'!$H$4:$I$8,2,FALSE),"N/A")</f>
        <v>N/A</v>
      </c>
      <c r="P494" s="574" t="str">
        <f>IF(F494="Movement",IFERROR((N494/O494)/(60*60),"Error"),"N/A")</f>
        <v>N/A</v>
      </c>
      <c r="Q494" s="1282"/>
      <c r="R494" s="574" t="str">
        <f>IF($F494="Logistics",VLOOKUP($Q494,'Upper Cask Movement &amp; Logistics'!$C$4:$D$209,2,FALSE),"N/A")</f>
        <v>N/A</v>
      </c>
      <c r="S494" s="1283"/>
      <c r="T494" s="574" t="str">
        <f>IFERROR(VLOOKUP($S494,'Upper Cask Recovery Logistics'!$C$521:$F$646,4,FALSE),"N/A")</f>
        <v>N/A</v>
      </c>
      <c r="U494" s="1284" t="str">
        <f t="shared" si="49"/>
        <v>N/A</v>
      </c>
      <c r="V494" s="1510"/>
      <c r="X494" s="273"/>
      <c r="Y494" s="273"/>
      <c r="Z494" s="273"/>
      <c r="AA494" s="752"/>
    </row>
    <row r="495" spans="2:28" ht="15" hidden="1" customHeight="1" outlineLevel="2" thickBot="1" x14ac:dyDescent="0.45">
      <c r="B495" s="1046"/>
      <c r="C495" s="5"/>
      <c r="D495" s="3997"/>
      <c r="E495" s="583" t="s">
        <v>1248</v>
      </c>
      <c r="F495" s="583" t="s">
        <v>3</v>
      </c>
      <c r="G495" s="585">
        <f>MAX($R495,$P495,$J495)</f>
        <v>0.38</v>
      </c>
      <c r="H495" s="585">
        <f t="shared" si="48"/>
        <v>191.73724873593443</v>
      </c>
      <c r="I495" s="583"/>
      <c r="J495" s="585" t="str">
        <f>IF(F495="operation",VLOOKUP(I495,'Generic Vertical Port Tasks'!$C$4:$D$197,2,FALSE),"N/A")</f>
        <v>N/A</v>
      </c>
      <c r="K495" s="583"/>
      <c r="L495" s="583"/>
      <c r="M495" s="583"/>
      <c r="N495" s="588" t="str">
        <f>IFERROR(INDEX('Upper Cask Movement &amp; Logistics'!$I$24:$O$30,MATCH($J495,'Upper Cask Movement &amp; Logistics'!$H$24:$H$30,0),MATCH($K495,'Upper Cask Movement &amp; Logistics'!$H$24:$H$30,0)),"N/A")</f>
        <v>N/A</v>
      </c>
      <c r="O495" s="588" t="str">
        <f>IFERROR(VLOOKUP($I495,'Upper Cask Movement &amp; Logistics'!$H$4:$I$8,2,FALSE),"N/A")</f>
        <v>N/A</v>
      </c>
      <c r="P495" s="585" t="str">
        <f>IF(F495="Movement",IFERROR((N495/O495)/(60*60),"Error"),"N/A")</f>
        <v>N/A</v>
      </c>
      <c r="Q495" s="1285" t="s">
        <v>1230</v>
      </c>
      <c r="R495" s="585">
        <f>IF($F495="Logistics",VLOOKUP($Q495,'Upper Cask Movement &amp; Logistics'!$C$4:$D$209,2,FALSE),"N/A")</f>
        <v>0.38</v>
      </c>
      <c r="S495" s="1286" t="s">
        <v>1090</v>
      </c>
      <c r="T495" s="585" t="str">
        <f>IFERROR(VLOOKUP($S495,'Upper Cask Recovery Logistics'!$C$521:$F$646,4,FALSE),"N/A")</f>
        <v>N/A</v>
      </c>
      <c r="U495" s="1287" t="str">
        <f t="shared" si="49"/>
        <v>N/A</v>
      </c>
      <c r="V495" s="1510"/>
      <c r="X495" s="273"/>
      <c r="Y495" s="273"/>
      <c r="Z495" s="273"/>
      <c r="AA495" s="752"/>
    </row>
    <row r="496" spans="2:28" s="82" customFormat="1" hidden="1" outlineLevel="1" collapsed="1" x14ac:dyDescent="0.4">
      <c r="B496" s="1046"/>
      <c r="C496" s="5"/>
      <c r="D496" s="891"/>
      <c r="E496" s="892"/>
      <c r="F496" s="1439" t="s">
        <v>11</v>
      </c>
      <c r="G496" s="1439"/>
      <c r="H496" s="894">
        <f>H495</f>
        <v>191.73724873593443</v>
      </c>
      <c r="I496" s="94"/>
      <c r="J496" s="895"/>
      <c r="K496" s="94"/>
      <c r="L496" s="94"/>
      <c r="M496" s="896"/>
      <c r="N496" s="897"/>
      <c r="O496" s="897"/>
      <c r="P496" s="894"/>
      <c r="Q496" s="94"/>
      <c r="R496" s="897"/>
      <c r="S496" s="94"/>
      <c r="T496" s="7"/>
      <c r="U496" s="895"/>
      <c r="V496" s="895"/>
      <c r="W496" s="895"/>
      <c r="X496" s="7"/>
      <c r="Y496" s="7"/>
      <c r="Z496" s="7"/>
      <c r="AA496" s="995"/>
      <c r="AB496" s="890"/>
    </row>
    <row r="497" spans="2:28" s="82" customFormat="1" hidden="1" outlineLevel="1" x14ac:dyDescent="0.4">
      <c r="B497" s="1046"/>
      <c r="C497" s="5"/>
      <c r="D497" s="891"/>
      <c r="E497" s="892"/>
      <c r="F497" s="898"/>
      <c r="G497" s="894"/>
      <c r="H497" s="894"/>
      <c r="I497" s="94"/>
      <c r="J497" s="895"/>
      <c r="K497" s="94"/>
      <c r="L497" s="94"/>
      <c r="M497" s="896"/>
      <c r="N497" s="897"/>
      <c r="O497" s="897"/>
      <c r="P497" s="894"/>
      <c r="Q497" s="94"/>
      <c r="R497" s="897"/>
      <c r="S497" s="94"/>
      <c r="T497" s="7"/>
      <c r="U497" s="895"/>
      <c r="V497" s="895"/>
      <c r="W497" s="895"/>
      <c r="X497" s="7"/>
      <c r="Y497" s="7"/>
      <c r="Z497" s="7"/>
      <c r="AA497" s="995"/>
      <c r="AB497" s="890"/>
    </row>
    <row r="498" spans="2:28" collapsed="1" x14ac:dyDescent="0.4">
      <c r="B498" s="1048"/>
      <c r="C498" s="1049"/>
      <c r="D498" s="1049"/>
      <c r="E498" s="1049"/>
      <c r="F498" s="1050"/>
      <c r="G498" s="1049"/>
      <c r="H498" s="1049"/>
      <c r="I498" s="1051"/>
      <c r="J498" s="1052"/>
      <c r="K498" s="1049"/>
      <c r="L498" s="1049"/>
      <c r="M498" s="1053"/>
      <c r="N498" s="1049"/>
      <c r="O498" s="1049"/>
      <c r="P498" s="1049"/>
      <c r="Q498" s="1049"/>
      <c r="R498" s="1049"/>
      <c r="S498" s="1051"/>
      <c r="T498" s="1052"/>
      <c r="U498" s="1049"/>
      <c r="V498" s="1049"/>
      <c r="W498" s="1049"/>
      <c r="X498" s="1052"/>
      <c r="Y498" s="1052"/>
      <c r="Z498" s="1052"/>
      <c r="AA498" s="1054"/>
    </row>
    <row r="500" spans="2:28" ht="15.45" x14ac:dyDescent="0.4">
      <c r="B500" s="1055"/>
      <c r="C500" s="1056"/>
      <c r="D500" s="1056"/>
      <c r="E500" s="1057" t="s">
        <v>2518</v>
      </c>
      <c r="F500" s="1058"/>
      <c r="G500" s="1058"/>
      <c r="H500" s="1058"/>
      <c r="I500" s="1058"/>
      <c r="J500" s="1058"/>
      <c r="K500" s="1058"/>
      <c r="L500" s="1058"/>
      <c r="M500" s="1058"/>
      <c r="N500" s="1058"/>
      <c r="O500" s="1058"/>
      <c r="P500" s="1058"/>
      <c r="Q500" s="1058"/>
      <c r="R500" s="1058"/>
      <c r="S500" s="1058"/>
      <c r="T500" s="1058"/>
      <c r="U500" s="1058"/>
      <c r="V500" s="1058"/>
      <c r="W500" s="1058"/>
      <c r="X500" s="1058"/>
      <c r="Y500" s="1058"/>
      <c r="Z500" s="1058"/>
      <c r="AA500" s="1059"/>
    </row>
    <row r="501" spans="2:28" ht="15" hidden="1" outlineLevel="1" thickBot="1" x14ac:dyDescent="0.45">
      <c r="B501" s="1060"/>
      <c r="C501" s="704"/>
      <c r="D501" s="704"/>
      <c r="E501" s="748" t="s">
        <v>1053</v>
      </c>
      <c r="F501" s="749"/>
      <c r="G501" s="704"/>
      <c r="H501" s="704"/>
      <c r="I501" s="704"/>
      <c r="J501" s="750"/>
      <c r="K501" s="704"/>
      <c r="L501" s="704"/>
      <c r="M501" s="704"/>
      <c r="N501" s="704"/>
      <c r="O501" s="704"/>
      <c r="P501" s="704"/>
      <c r="Q501" s="704"/>
      <c r="R501" s="704"/>
      <c r="S501" s="704"/>
      <c r="T501" s="750"/>
      <c r="U501" s="704"/>
      <c r="V501" s="704"/>
      <c r="W501" s="704"/>
      <c r="X501" s="750"/>
      <c r="Y501" s="750"/>
      <c r="Z501" s="750"/>
      <c r="AA501" s="751"/>
    </row>
    <row r="502" spans="2:28" hidden="1" outlineLevel="1" x14ac:dyDescent="0.4">
      <c r="B502" s="1060"/>
      <c r="C502" s="704"/>
      <c r="D502" s="704"/>
      <c r="E502" s="704" t="s">
        <v>1034</v>
      </c>
      <c r="F502" s="749"/>
      <c r="G502" s="704"/>
      <c r="H502" s="704"/>
      <c r="I502" s="704"/>
      <c r="J502" s="750"/>
      <c r="K502" s="704"/>
      <c r="L502" s="704"/>
      <c r="M502" s="704"/>
      <c r="N502" s="704"/>
      <c r="O502" s="704"/>
      <c r="P502" s="704"/>
      <c r="Q502" s="704"/>
      <c r="R502" s="704"/>
      <c r="S502" s="2992"/>
      <c r="T502" s="3582" t="s">
        <v>23</v>
      </c>
      <c r="U502" s="3989" t="s">
        <v>1054</v>
      </c>
      <c r="V502" s="3990"/>
      <c r="W502" s="3990"/>
      <c r="X502" s="3990"/>
      <c r="Y502" s="3991"/>
      <c r="Z502" s="781"/>
      <c r="AA502" s="915"/>
    </row>
    <row r="503" spans="2:28" hidden="1" outlineLevel="1" x14ac:dyDescent="0.4">
      <c r="B503" s="1060"/>
      <c r="C503" s="704"/>
      <c r="D503" s="704"/>
      <c r="E503" s="704" t="s">
        <v>1035</v>
      </c>
      <c r="F503" s="749"/>
      <c r="G503" s="704"/>
      <c r="H503" s="704"/>
      <c r="I503" s="704"/>
      <c r="J503" s="750"/>
      <c r="K503" s="704"/>
      <c r="L503" s="704"/>
      <c r="M503" s="704"/>
      <c r="N503" s="704"/>
      <c r="O503" s="704"/>
      <c r="P503" s="704"/>
      <c r="Q503" s="704"/>
      <c r="R503" s="704"/>
      <c r="S503" s="3588" t="s">
        <v>1055</v>
      </c>
      <c r="T503" s="1513">
        <v>1</v>
      </c>
      <c r="U503" s="1512">
        <v>1</v>
      </c>
      <c r="V503" s="1497">
        <v>2</v>
      </c>
      <c r="W503" s="916">
        <v>3</v>
      </c>
      <c r="X503" s="916">
        <v>4</v>
      </c>
      <c r="Y503" s="1045">
        <v>6</v>
      </c>
      <c r="Z503" s="1851"/>
      <c r="AA503" s="915"/>
    </row>
    <row r="504" spans="2:28" hidden="1" outlineLevel="1" x14ac:dyDescent="0.4">
      <c r="B504" s="1060"/>
      <c r="C504" s="704"/>
      <c r="D504" s="704"/>
      <c r="E504" s="704" t="s">
        <v>1036</v>
      </c>
      <c r="F504" s="749"/>
      <c r="G504" s="704"/>
      <c r="H504" s="704"/>
      <c r="I504" s="704"/>
      <c r="J504" s="750"/>
      <c r="K504" s="704"/>
      <c r="L504" s="704"/>
      <c r="M504" s="704"/>
      <c r="N504" s="704"/>
      <c r="O504" s="704"/>
      <c r="P504" s="704"/>
      <c r="Q504" s="704"/>
      <c r="R504" s="704"/>
      <c r="S504" s="3589" t="s">
        <v>2665</v>
      </c>
      <c r="T504" s="273">
        <f>Connect_vertical_pipework</f>
        <v>24.022732551873563</v>
      </c>
      <c r="U504" s="1415">
        <f>ROUNDUP((Tokamak_Segmts/U503),0)*Vertical_port_pipes_per_blanket</f>
        <v>96</v>
      </c>
      <c r="V504" s="1498">
        <f>ROUNDUP((Tokamak_Segmts/V503),0)*Vertical_port_pipes_per_blanket</f>
        <v>48</v>
      </c>
      <c r="W504" s="917">
        <f>ROUNDUP((Tokamak_Segmts/W503),0)*Vertical_port_pipes_per_blanket</f>
        <v>36</v>
      </c>
      <c r="X504" s="917">
        <f>ROUNDUP((Tokamak_Segmts/X503),0)*Vertical_port_pipes_per_blanket</f>
        <v>24</v>
      </c>
      <c r="Y504" s="1028">
        <f>ROUNDUP((Tokamak_Segmts/Y503),0)*Vertical_port_pipes_per_blanket</f>
        <v>18</v>
      </c>
      <c r="AA504" s="915"/>
    </row>
    <row r="505" spans="2:28" ht="15" hidden="1" outlineLevel="1" thickBot="1" x14ac:dyDescent="0.45">
      <c r="B505" s="1060"/>
      <c r="C505" s="704"/>
      <c r="D505" s="704"/>
      <c r="E505" s="704" t="s">
        <v>1037</v>
      </c>
      <c r="F505" s="749"/>
      <c r="G505" s="704"/>
      <c r="H505" s="704"/>
      <c r="I505" s="704"/>
      <c r="J505" s="750"/>
      <c r="K505" s="704"/>
      <c r="L505" s="704"/>
      <c r="M505" s="704"/>
      <c r="N505" s="704"/>
      <c r="O505" s="704"/>
      <c r="P505" s="704"/>
      <c r="Q505" s="704"/>
      <c r="R505" s="704"/>
      <c r="S505" s="3141" t="s">
        <v>2693</v>
      </c>
      <c r="T505" s="3586">
        <f>T$504*$F$508</f>
        <v>0.2642500580706092</v>
      </c>
      <c r="U505" s="1416">
        <f t="shared" ref="U505:Y505" si="50">U$504*$F$508</f>
        <v>1.056</v>
      </c>
      <c r="V505" s="1499">
        <f t="shared" si="50"/>
        <v>0.52800000000000002</v>
      </c>
      <c r="W505" s="920">
        <f t="shared" si="50"/>
        <v>0.39599999999999996</v>
      </c>
      <c r="X505" s="920">
        <f t="shared" si="50"/>
        <v>0.26400000000000001</v>
      </c>
      <c r="Y505" s="1029">
        <f t="shared" si="50"/>
        <v>0.19799999999999998</v>
      </c>
      <c r="AA505" s="915"/>
    </row>
    <row r="506" spans="2:28" hidden="1" outlineLevel="1" x14ac:dyDescent="0.4">
      <c r="B506" s="1060"/>
      <c r="C506" s="704"/>
      <c r="D506" s="704"/>
      <c r="E506" s="704" t="s">
        <v>1038</v>
      </c>
      <c r="F506" s="749"/>
      <c r="G506" s="704"/>
      <c r="H506" s="704"/>
      <c r="I506" s="704"/>
      <c r="J506" s="750"/>
      <c r="K506" s="704"/>
      <c r="L506" s="704"/>
      <c r="M506" s="704"/>
      <c r="N506" s="704"/>
      <c r="O506" s="704"/>
      <c r="P506" s="704"/>
      <c r="Q506" s="704"/>
      <c r="R506" s="704"/>
      <c r="S506" s="91" t="s">
        <v>1048</v>
      </c>
      <c r="T506" s="1063">
        <f t="shared" ref="T506:Y506" si="51">T505*(SUMIF($F$516:$F$561,"Operation",$G$516:$G$561))</f>
        <v>21.204124415828201</v>
      </c>
      <c r="U506" s="1500">
        <f t="shared" si="51"/>
        <v>84.736236376271393</v>
      </c>
      <c r="V506" s="3661">
        <f t="shared" si="51"/>
        <v>42.368118188135696</v>
      </c>
      <c r="W506" s="768">
        <f t="shared" si="51"/>
        <v>31.776088641101765</v>
      </c>
      <c r="X506" s="768">
        <f t="shared" si="51"/>
        <v>21.184059094067848</v>
      </c>
      <c r="Y506" s="1062">
        <f t="shared" si="51"/>
        <v>15.888044320550883</v>
      </c>
      <c r="AA506" s="915"/>
    </row>
    <row r="507" spans="2:28" hidden="1" outlineLevel="1" x14ac:dyDescent="0.4">
      <c r="B507" s="1060"/>
      <c r="C507" s="704"/>
      <c r="D507" s="704"/>
      <c r="E507" s="704"/>
      <c r="F507" s="749"/>
      <c r="G507" s="704"/>
      <c r="H507" s="704"/>
      <c r="I507" s="704"/>
      <c r="J507" s="750"/>
      <c r="K507" s="704"/>
      <c r="L507" s="704"/>
      <c r="M507" s="704"/>
      <c r="N507" s="704"/>
      <c r="O507" s="704"/>
      <c r="P507" s="704"/>
      <c r="Q507" s="704"/>
      <c r="R507" s="704"/>
      <c r="S507" s="92" t="s">
        <v>2658</v>
      </c>
      <c r="T507" s="1065">
        <f t="shared" ref="T507:Y507" si="52">T505*(SUMIF($F$516:$F$561,"Movement",$G$516:$G$561)+(SUMIF($F$516:$F$561,"Logistics",$G$516:$G$561)))</f>
        <v>5.3959861858018403</v>
      </c>
      <c r="U507" s="1502">
        <f t="shared" si="52"/>
        <v>21.563520000000004</v>
      </c>
      <c r="V507" s="3662">
        <f t="shared" si="52"/>
        <v>10.781760000000002</v>
      </c>
      <c r="W507" s="769">
        <f t="shared" si="52"/>
        <v>8.0863200000000006</v>
      </c>
      <c r="X507" s="769">
        <f t="shared" si="52"/>
        <v>5.390880000000001</v>
      </c>
      <c r="Y507" s="1064">
        <f t="shared" si="52"/>
        <v>4.0431600000000003</v>
      </c>
      <c r="AA507" s="915"/>
    </row>
    <row r="508" spans="2:28" ht="15" hidden="1" outlineLevel="1" thickBot="1" x14ac:dyDescent="0.45">
      <c r="B508" s="1060"/>
      <c r="C508" s="704"/>
      <c r="D508" s="704"/>
      <c r="E508" s="748" t="s">
        <v>1056</v>
      </c>
      <c r="F508" s="709">
        <f>SUM(F509:F510)</f>
        <v>1.0999999999999999E-2</v>
      </c>
      <c r="G508" s="709"/>
      <c r="H508" s="709"/>
      <c r="I508" s="709"/>
      <c r="J508" s="919"/>
      <c r="K508" s="918"/>
      <c r="L508" s="918"/>
      <c r="M508" s="918"/>
      <c r="N508" s="918"/>
      <c r="O508" s="918"/>
      <c r="P508" s="918"/>
      <c r="Q508" s="704"/>
      <c r="R508" s="704"/>
      <c r="S508" s="93" t="s">
        <v>2662</v>
      </c>
      <c r="T508" s="1067">
        <f t="shared" ref="T508:Y508" si="53">T505*(-SUMIF($U$516:$U$561,"&lt;0"))</f>
        <v>13.806237929556824</v>
      </c>
      <c r="U508" s="1110">
        <f t="shared" si="53"/>
        <v>55.172692714096996</v>
      </c>
      <c r="V508" s="3663">
        <f t="shared" si="53"/>
        <v>27.586346357048498</v>
      </c>
      <c r="W508" s="770">
        <f t="shared" si="53"/>
        <v>20.68975976778637</v>
      </c>
      <c r="X508" s="770">
        <f t="shared" si="53"/>
        <v>13.793173178524249</v>
      </c>
      <c r="Y508" s="1066">
        <f t="shared" si="53"/>
        <v>10.344879883893185</v>
      </c>
      <c r="AA508" s="915"/>
    </row>
    <row r="509" spans="2:28" ht="15" hidden="1" outlineLevel="1" thickBot="1" x14ac:dyDescent="0.45">
      <c r="B509" s="1061"/>
      <c r="C509" s="5"/>
      <c r="D509" s="5"/>
      <c r="E509" s="7" t="s">
        <v>1057</v>
      </c>
      <c r="F509" s="763">
        <f>Weld_Failure_Rate</f>
        <v>1E-3</v>
      </c>
      <c r="G509" s="922"/>
      <c r="H509" s="922"/>
      <c r="I509" s="924"/>
      <c r="J509" s="290"/>
      <c r="K509" s="922"/>
      <c r="L509" s="922"/>
      <c r="M509" s="925"/>
      <c r="N509" s="922"/>
      <c r="O509" s="922"/>
      <c r="P509" s="922"/>
      <c r="Q509" s="706"/>
      <c r="R509" s="7"/>
      <c r="S509" s="2973" t="s">
        <v>2667</v>
      </c>
      <c r="T509" s="2975">
        <f t="shared" ref="T509:Y509" si="54">T505*$H$562</f>
        <v>40.40634853118685</v>
      </c>
      <c r="U509" s="2994">
        <f t="shared" si="54"/>
        <v>161.47244909036831</v>
      </c>
      <c r="V509" s="3664">
        <f t="shared" si="54"/>
        <v>80.736224545184157</v>
      </c>
      <c r="W509" s="694">
        <f t="shared" si="54"/>
        <v>60.552168408888107</v>
      </c>
      <c r="X509" s="694">
        <f t="shared" si="54"/>
        <v>40.368112272592079</v>
      </c>
      <c r="Y509" s="2974">
        <f t="shared" si="54"/>
        <v>30.276084204444054</v>
      </c>
      <c r="AA509" s="915"/>
    </row>
    <row r="510" spans="2:28" hidden="1" outlineLevel="1" x14ac:dyDescent="0.4">
      <c r="B510" s="1061"/>
      <c r="C510" s="5"/>
      <c r="D510" s="5"/>
      <c r="E510" s="7" t="s">
        <v>1058</v>
      </c>
      <c r="F510" s="763">
        <f>SJS_welder_failure</f>
        <v>0.01</v>
      </c>
      <c r="G510" s="922"/>
      <c r="H510" s="922"/>
      <c r="I510" s="924"/>
      <c r="J510" s="290"/>
      <c r="K510" s="922"/>
      <c r="L510" s="922"/>
      <c r="M510" s="925"/>
      <c r="N510" s="922"/>
      <c r="O510" s="922"/>
      <c r="P510" s="922"/>
      <c r="Q510" s="706"/>
      <c r="R510" s="7"/>
      <c r="AA510" s="915"/>
    </row>
    <row r="511" spans="2:28" hidden="1" outlineLevel="1" x14ac:dyDescent="0.4">
      <c r="B511" s="1061"/>
      <c r="C511" s="5"/>
      <c r="D511" s="5"/>
      <c r="E511" s="926" t="s">
        <v>1059</v>
      </c>
      <c r="F511" s="709">
        <f>F508*(1-(1-F508)^(Vertical_port_pipes_per_blanket))</f>
        <v>7.0632541484487834E-4</v>
      </c>
      <c r="G511" s="927"/>
      <c r="H511" s="927"/>
      <c r="I511" s="927"/>
      <c r="J511" s="919"/>
      <c r="K511" s="927"/>
      <c r="L511" s="927"/>
      <c r="M511" s="927"/>
      <c r="N511" s="927"/>
      <c r="O511" s="927"/>
      <c r="P511" s="927"/>
      <c r="Q511" s="706"/>
      <c r="R511" s="7"/>
      <c r="AA511" s="915"/>
    </row>
    <row r="512" spans="2:28" hidden="1" outlineLevel="1" x14ac:dyDescent="0.4">
      <c r="B512" s="1061"/>
      <c r="C512" s="5"/>
      <c r="D512" s="5"/>
      <c r="E512" s="926"/>
      <c r="F512" s="928"/>
      <c r="G512" s="927"/>
      <c r="H512" s="927"/>
      <c r="I512" s="927"/>
      <c r="J512" s="919"/>
      <c r="K512" s="927"/>
      <c r="L512" s="927"/>
      <c r="M512" s="927"/>
      <c r="N512" s="927"/>
      <c r="O512" s="927"/>
      <c r="P512" s="927"/>
      <c r="Q512" s="706"/>
      <c r="R512" s="7"/>
      <c r="AA512" s="915"/>
    </row>
    <row r="513" spans="2:34" ht="15.75" hidden="1" customHeight="1" outlineLevel="2" thickBot="1" x14ac:dyDescent="0.45">
      <c r="B513" s="1061"/>
      <c r="C513" s="5"/>
      <c r="D513" s="5"/>
      <c r="E513" s="926"/>
      <c r="F513" s="928"/>
      <c r="G513" s="927"/>
      <c r="H513" s="927"/>
      <c r="I513" s="927"/>
      <c r="J513" s="919"/>
      <c r="K513" s="927"/>
      <c r="L513" s="927"/>
      <c r="M513" s="927"/>
      <c r="N513" s="927"/>
      <c r="O513" s="927"/>
      <c r="P513" s="927"/>
      <c r="Q513" s="706"/>
      <c r="R513" s="7"/>
      <c r="S513" s="95"/>
      <c r="T513" s="290"/>
      <c r="U513" s="7"/>
      <c r="V513" s="5"/>
      <c r="W513" s="7"/>
      <c r="X513" s="290"/>
      <c r="Y513" s="290"/>
      <c r="AA513" s="915"/>
    </row>
    <row r="514" spans="2:34" ht="15.75" hidden="1" customHeight="1" outlineLevel="2" thickBot="1" x14ac:dyDescent="0.45">
      <c r="B514" s="1061"/>
      <c r="C514" s="5"/>
      <c r="D514" s="5"/>
      <c r="E514" s="926"/>
      <c r="F514" s="701"/>
      <c r="G514" s="7"/>
      <c r="H514" s="929"/>
      <c r="I514" s="930" t="s">
        <v>18</v>
      </c>
      <c r="J514" s="931"/>
      <c r="K514" s="932" t="s">
        <v>778</v>
      </c>
      <c r="L514" s="933"/>
      <c r="M514" s="933"/>
      <c r="N514" s="933"/>
      <c r="O514" s="933"/>
      <c r="P514" s="934"/>
      <c r="Q514" s="933" t="s">
        <v>3</v>
      </c>
      <c r="R514" s="934"/>
      <c r="S514" s="935" t="s">
        <v>779</v>
      </c>
      <c r="T514" s="936"/>
      <c r="U514" s="936"/>
      <c r="V514" s="780"/>
      <c r="X514" s="938"/>
      <c r="Y514" s="938"/>
      <c r="Z514" s="938"/>
      <c r="AA514" s="915"/>
    </row>
    <row r="515" spans="2:34" ht="30.75" hidden="1" customHeight="1" outlineLevel="2" thickBot="1" x14ac:dyDescent="0.45">
      <c r="B515" s="1061"/>
      <c r="C515" s="5"/>
      <c r="D515" s="939" t="s">
        <v>780</v>
      </c>
      <c r="E515" s="940" t="s">
        <v>1060</v>
      </c>
      <c r="F515" s="941" t="s">
        <v>782</v>
      </c>
      <c r="G515" s="942" t="s">
        <v>783</v>
      </c>
      <c r="H515" s="943" t="s">
        <v>784</v>
      </c>
      <c r="I515" s="562" t="s">
        <v>785</v>
      </c>
      <c r="J515" s="944" t="s">
        <v>783</v>
      </c>
      <c r="K515" s="562" t="s">
        <v>786</v>
      </c>
      <c r="L515" s="563" t="s">
        <v>787</v>
      </c>
      <c r="M515" s="563" t="s">
        <v>788</v>
      </c>
      <c r="N515" s="563" t="s">
        <v>789</v>
      </c>
      <c r="O515" s="563" t="s">
        <v>790</v>
      </c>
      <c r="P515" s="945" t="s">
        <v>783</v>
      </c>
      <c r="Q515" s="560" t="s">
        <v>785</v>
      </c>
      <c r="R515" s="946" t="s">
        <v>783</v>
      </c>
      <c r="S515" s="793" t="s">
        <v>781</v>
      </c>
      <c r="T515" s="794" t="s">
        <v>791</v>
      </c>
      <c r="U515" s="1047"/>
      <c r="V515" s="795"/>
      <c r="X515" s="947"/>
      <c r="Y515" s="947"/>
      <c r="Z515" s="947"/>
      <c r="AA515" s="915"/>
    </row>
    <row r="516" spans="2:34" ht="15" hidden="1" customHeight="1" outlineLevel="2" x14ac:dyDescent="0.4">
      <c r="B516" s="1061"/>
      <c r="C516" s="5"/>
      <c r="D516" s="3886" t="s">
        <v>1062</v>
      </c>
      <c r="E516" s="797" t="s">
        <v>1115</v>
      </c>
      <c r="F516" s="799" t="s">
        <v>251</v>
      </c>
      <c r="G516" s="456">
        <f>MAX($R516,$P516,$J516)</f>
        <v>0</v>
      </c>
      <c r="H516" s="800">
        <f>G516</f>
        <v>0</v>
      </c>
      <c r="I516" s="566" t="s">
        <v>557</v>
      </c>
      <c r="J516" s="621">
        <f>IF(F516="operation",VLOOKUP(I516,'Generic Vertical Port Tasks'!$C$4:$D$197,2,FALSE),"N/A")</f>
        <v>0</v>
      </c>
      <c r="K516" s="568"/>
      <c r="L516" s="566"/>
      <c r="M516" s="801"/>
      <c r="N516" s="802" t="str">
        <f>IFERROR(INDEX('Upper Cask Movement &amp; Logistics'!$I$23:$O$29,MATCH($L516,'Upper Cask Movement &amp; Logistics'!$H$23:$H$29,0),MATCH($M516,'Upper Cask Movement &amp; Logistics'!$H$23:$H$29,0)),"N/A")</f>
        <v>N/A</v>
      </c>
      <c r="O516" s="570" t="str">
        <f>IFERROR(VLOOKUP($K516,'Upper Cask Movement &amp; Logistics'!$H$4:$I$8,2,FALSE),"N/A")</f>
        <v>N/A</v>
      </c>
      <c r="P516" s="800" t="str">
        <f t="shared" ref="P516:P561" si="55">IF(F516="Movement",IFERROR((N516/O516)/(60*60),"Error"),"N/A")</f>
        <v>N/A</v>
      </c>
      <c r="Q516" s="803"/>
      <c r="R516" s="802" t="str">
        <f>IF($F516="Logistics",VLOOKUP($Q516,'Upper Cask Movement &amp; Logistics'!$C$4:$D$32,2,FALSE),"N/A")</f>
        <v>N/A</v>
      </c>
      <c r="S516" s="568"/>
      <c r="T516" s="804" t="str">
        <f>IFERROR(VLOOKUP($S516,'Upper Cask Recovery Logistics'!$C$521:$F$639,4,FALSE),"N/A")</f>
        <v>N/A</v>
      </c>
      <c r="U516" s="621" t="str">
        <f>IFERROR(H516-G516-T516,"N/A")</f>
        <v>N/A</v>
      </c>
      <c r="V516" s="895"/>
      <c r="X516" s="947"/>
      <c r="Y516" s="947"/>
      <c r="Z516" s="947"/>
      <c r="AA516" s="915"/>
    </row>
    <row r="517" spans="2:34" ht="15.75" hidden="1" customHeight="1" outlineLevel="2" thickBot="1" x14ac:dyDescent="0.45">
      <c r="B517" s="1061"/>
      <c r="C517" s="5"/>
      <c r="D517" s="3887"/>
      <c r="E517" s="807" t="s">
        <v>1116</v>
      </c>
      <c r="F517" s="809" t="s">
        <v>251</v>
      </c>
      <c r="G517" s="471">
        <f t="shared" ref="G517:G561" si="56">MAX($R517,$P517,$J517)</f>
        <v>1.0499155317167692</v>
      </c>
      <c r="H517" s="810">
        <f t="shared" ref="H517:H561" si="57">IF(U517&lt;0,G517+H516+(-U517),G517+H516)</f>
        <v>1.0499155317167692</v>
      </c>
      <c r="I517" s="584" t="s">
        <v>2491</v>
      </c>
      <c r="J517" s="811">
        <f>IF(F517="operation",VLOOKUP(I517,'Generic Vertical Port Tasks'!$C$4:$D$197,2,FALSE),"N/A")</f>
        <v>1.0499155317167692</v>
      </c>
      <c r="K517" s="586"/>
      <c r="L517" s="584"/>
      <c r="M517" s="812"/>
      <c r="N517" s="813" t="str">
        <f>IFERROR(INDEX('Upper Cask Movement &amp; Logistics'!$I$23:$O$29,MATCH($L517,'Upper Cask Movement &amp; Logistics'!$H$23:$H$29,0),MATCH($M517,'Upper Cask Movement &amp; Logistics'!$H$23:$H$29,0)),"N/A")</f>
        <v>N/A</v>
      </c>
      <c r="O517" s="814" t="str">
        <f>IFERROR(VLOOKUP($K517,'Upper Cask Movement &amp; Logistics'!$H$4:$I$8,2,FALSE),"N/A")</f>
        <v>N/A</v>
      </c>
      <c r="P517" s="810" t="str">
        <f t="shared" si="55"/>
        <v>N/A</v>
      </c>
      <c r="Q517" s="815"/>
      <c r="R517" s="813" t="s">
        <v>263</v>
      </c>
      <c r="S517" s="586"/>
      <c r="T517" s="816" t="str">
        <f>IFERROR(VLOOKUP($S517,'Upper Cask Recovery Logistics'!$C$521:$F$646,4,FALSE),"N/A")</f>
        <v>N/A</v>
      </c>
      <c r="U517" s="591" t="str">
        <f>IFERROR(H516-T517,"N/A")</f>
        <v>N/A</v>
      </c>
      <c r="V517" s="895"/>
      <c r="X517" s="290"/>
      <c r="Y517" s="290"/>
      <c r="AA517" s="915"/>
    </row>
    <row r="518" spans="2:34" ht="15" hidden="1" customHeight="1" outlineLevel="2" x14ac:dyDescent="0.4">
      <c r="B518" s="1061"/>
      <c r="C518" s="5"/>
      <c r="D518" s="3984" t="s">
        <v>843</v>
      </c>
      <c r="E518" s="1333" t="s">
        <v>1517</v>
      </c>
      <c r="F518" s="1333" t="s">
        <v>3</v>
      </c>
      <c r="G518" s="1303">
        <f t="shared" si="56"/>
        <v>0.38</v>
      </c>
      <c r="H518" s="1303">
        <f t="shared" si="57"/>
        <v>1.4299155317167691</v>
      </c>
      <c r="I518" s="1333"/>
      <c r="J518" s="1303" t="str">
        <f>IF(F518="operation",VLOOKUP(I518,'Generic Vertical Port Tasks'!$C$4:$D$197,2,FALSE),"N/A")</f>
        <v>N/A</v>
      </c>
      <c r="K518" s="1333"/>
      <c r="L518" s="1333"/>
      <c r="M518" s="1333"/>
      <c r="N518" s="1334" t="str">
        <f>IFERROR(INDEX('Upper Cask Movement &amp; Logistics'!$I$24:$O$30,MATCH($J518,'Upper Cask Movement &amp; Logistics'!$H$24:$H$30,0),MATCH($K518,'Upper Cask Movement &amp; Logistics'!$H$24:$H$30,0)),"N/A")</f>
        <v>N/A</v>
      </c>
      <c r="O518" s="1334" t="str">
        <f>IFERROR(VLOOKUP($I518,'Upper Cask Movement &amp; Logistics'!$H$4:$I$8,2,FALSE),"N/A")</f>
        <v>N/A</v>
      </c>
      <c r="P518" s="1303" t="str">
        <f t="shared" si="55"/>
        <v>N/A</v>
      </c>
      <c r="Q518" s="1504" t="s">
        <v>1226</v>
      </c>
      <c r="R518" s="1303">
        <f>IF($F518="Logistics",VLOOKUP($Q518,'Upper Cask Movement &amp; Logistics'!$C$4:$D$209,2,FALSE),"N/A")</f>
        <v>0.38</v>
      </c>
      <c r="S518" s="1505"/>
      <c r="T518" s="1303" t="str">
        <f>IFERROR(VLOOKUP($S518,'Upper Cask Recovery Logistics'!$C$521:$F$646,4,FALSE),"N/A")</f>
        <v>N/A</v>
      </c>
      <c r="U518" s="1506" t="str">
        <f t="shared" ref="U518:U561" si="58">IFERROR(H517-T518,"N/A")</f>
        <v>N/A</v>
      </c>
      <c r="V518" s="1510"/>
      <c r="X518" s="273"/>
      <c r="Y518" s="273"/>
      <c r="Z518" s="273"/>
      <c r="AA518" s="752"/>
      <c r="AB518" s="5"/>
      <c r="AC518" s="7"/>
      <c r="AD518" s="7"/>
      <c r="AE518" s="7"/>
      <c r="AF518" s="7"/>
      <c r="AG518" s="7"/>
      <c r="AH518" s="7"/>
    </row>
    <row r="519" spans="2:34" ht="15" hidden="1" customHeight="1" outlineLevel="2" x14ac:dyDescent="0.4">
      <c r="B519" s="1061"/>
      <c r="C519" s="5"/>
      <c r="D519" s="3985"/>
      <c r="E519" s="1243" t="s">
        <v>131</v>
      </c>
      <c r="F519" s="1243" t="s">
        <v>251</v>
      </c>
      <c r="G519" s="1244">
        <f t="shared" si="56"/>
        <v>0.72499999999999998</v>
      </c>
      <c r="H519" s="1244">
        <f t="shared" si="57"/>
        <v>2.1549155317167692</v>
      </c>
      <c r="I519" s="1243" t="s">
        <v>253</v>
      </c>
      <c r="J519" s="1244">
        <f>IF(F519="operation",VLOOKUP(I519,'Generic Vertical Port Tasks'!$C$4:$D$197,2,FALSE),"N/A")</f>
        <v>0.72499999999999998</v>
      </c>
      <c r="K519" s="1243"/>
      <c r="L519" s="1243"/>
      <c r="M519" s="1243"/>
      <c r="N519" s="1245" t="str">
        <f>IFERROR(INDEX('Upper Cask Movement &amp; Logistics'!$I$24:$O$30,MATCH($J519,'Upper Cask Movement &amp; Logistics'!$H$24:$H$30,0),MATCH($K519,'Upper Cask Movement &amp; Logistics'!$H$24:$H$30,0)),"N/A")</f>
        <v>N/A</v>
      </c>
      <c r="O519" s="1245" t="str">
        <f>IFERROR(VLOOKUP($I519,'Upper Cask Movement &amp; Logistics'!$H$4:$I$8,2,FALSE),"N/A")</f>
        <v>N/A</v>
      </c>
      <c r="P519" s="1244" t="str">
        <f t="shared" si="55"/>
        <v>N/A</v>
      </c>
      <c r="Q519" s="1246"/>
      <c r="R519" s="1244" t="str">
        <f>IF($F519="Logistics",VLOOKUP($Q519,'Upper Cask Movement &amp; Logistics'!$C$4:$D$209,2,FALSE),"N/A")</f>
        <v>N/A</v>
      </c>
      <c r="S519" s="1247"/>
      <c r="T519" s="1244" t="str">
        <f>IFERROR(VLOOKUP($S519,'Upper Cask Recovery Logistics'!$C$521:$F$646,4,FALSE),"N/A")</f>
        <v>N/A</v>
      </c>
      <c r="U519" s="1248" t="str">
        <f t="shared" si="58"/>
        <v>N/A</v>
      </c>
      <c r="V519" s="1510"/>
      <c r="X519" s="273"/>
      <c r="Y519" s="273"/>
      <c r="Z519" s="273"/>
      <c r="AA519" s="752"/>
      <c r="AB519" s="5"/>
      <c r="AC519" s="7"/>
      <c r="AD519" s="7"/>
      <c r="AE519" s="7"/>
      <c r="AF519" s="7"/>
      <c r="AG519" s="7"/>
      <c r="AH519" s="7"/>
    </row>
    <row r="520" spans="2:34" ht="15" hidden="1" customHeight="1" outlineLevel="2" x14ac:dyDescent="0.4">
      <c r="B520" s="1061"/>
      <c r="C520" s="5"/>
      <c r="D520" s="3985"/>
      <c r="E520" s="1243" t="s">
        <v>1258</v>
      </c>
      <c r="F520" s="1243" t="s">
        <v>3</v>
      </c>
      <c r="G520" s="1244">
        <f t="shared" si="56"/>
        <v>0.63000000000000012</v>
      </c>
      <c r="H520" s="1244">
        <f t="shared" si="57"/>
        <v>17.490756989359465</v>
      </c>
      <c r="I520" s="1243"/>
      <c r="J520" s="1244" t="str">
        <f>IF(F520="operation",VLOOKUP(I520,'Generic Vertical Port Tasks'!$C$4:$D$197,2,FALSE),"N/A")</f>
        <v>N/A</v>
      </c>
      <c r="K520" s="1243"/>
      <c r="L520" s="1243"/>
      <c r="M520" s="1243"/>
      <c r="N520" s="1245" t="str">
        <f>IFERROR(INDEX('Upper Cask Movement &amp; Logistics'!$I$24:$O$30,MATCH($J520,'Upper Cask Movement &amp; Logistics'!$H$24:$H$30,0),MATCH($K520,'Upper Cask Movement &amp; Logistics'!$H$24:$H$30,0)),"N/A")</f>
        <v>N/A</v>
      </c>
      <c r="O520" s="1245" t="str">
        <f>IFERROR(VLOOKUP($I520,'Upper Cask Movement &amp; Logistics'!$H$4:$I$8,2,FALSE),"N/A")</f>
        <v>N/A</v>
      </c>
      <c r="P520" s="1244" t="str">
        <f t="shared" si="55"/>
        <v>N/A</v>
      </c>
      <c r="Q520" s="1246" t="s">
        <v>1228</v>
      </c>
      <c r="R520" s="1244">
        <f>IF($F520="Logistics",VLOOKUP($Q520,'Upper Cask Movement &amp; Logistics'!$C$4:$D$209,2,FALSE),"N/A")</f>
        <v>0.63000000000000012</v>
      </c>
      <c r="S520" s="1247" t="s">
        <v>1376</v>
      </c>
      <c r="T520" s="1244">
        <f>IFERROR(VLOOKUP($S520,'Upper Cask Recovery Logistics'!$C$521:$F$646,4,FALSE),"N/A")</f>
        <v>16.860756989359466</v>
      </c>
      <c r="U520" s="1248">
        <f t="shared" si="58"/>
        <v>-14.705841457642697</v>
      </c>
      <c r="V520" s="1510"/>
      <c r="X520" s="273"/>
      <c r="Y520" s="273"/>
      <c r="Z520" s="273"/>
      <c r="AA520" s="752"/>
      <c r="AB520" s="5"/>
      <c r="AC520" s="7"/>
      <c r="AD520" s="7"/>
      <c r="AE520" s="7"/>
      <c r="AF520" s="7"/>
      <c r="AG520" s="7"/>
      <c r="AH520" s="7"/>
    </row>
    <row r="521" spans="2:34" ht="15" hidden="1" customHeight="1" outlineLevel="2" x14ac:dyDescent="0.4">
      <c r="B521" s="1061"/>
      <c r="C521" s="5"/>
      <c r="D521" s="3985"/>
      <c r="E521" s="1243" t="s">
        <v>1251</v>
      </c>
      <c r="F521" s="1243" t="s">
        <v>3</v>
      </c>
      <c r="G521" s="1244">
        <f t="shared" si="56"/>
        <v>0.38</v>
      </c>
      <c r="H521" s="1244">
        <f t="shared" si="57"/>
        <v>17.870756989359464</v>
      </c>
      <c r="I521" s="1243"/>
      <c r="J521" s="1244" t="str">
        <f>IF(F521="operation",VLOOKUP(I521,'Generic Vertical Port Tasks'!$C$4:$D$197,2,FALSE),"N/A")</f>
        <v>N/A</v>
      </c>
      <c r="K521" s="1243"/>
      <c r="L521" s="1243"/>
      <c r="M521" s="1243"/>
      <c r="N521" s="1245" t="str">
        <f>IFERROR(INDEX('Upper Cask Movement &amp; Logistics'!$I$24:$O$30,MATCH($J521,'Upper Cask Movement &amp; Logistics'!$H$24:$H$30,0),MATCH($K521,'Upper Cask Movement &amp; Logistics'!$H$24:$H$30,0)),"N/A")</f>
        <v>N/A</v>
      </c>
      <c r="O521" s="1245" t="str">
        <f>IFERROR(VLOOKUP($I521,'Upper Cask Movement &amp; Logistics'!$H$4:$I$8,2,FALSE),"N/A")</f>
        <v>N/A</v>
      </c>
      <c r="P521" s="1244" t="str">
        <f t="shared" si="55"/>
        <v>N/A</v>
      </c>
      <c r="Q521" s="1246" t="s">
        <v>1230</v>
      </c>
      <c r="R521" s="1244">
        <f>IF($F521="Logistics",VLOOKUP($Q521,'Upper Cask Movement &amp; Logistics'!$C$4:$D$209,2,FALSE),"N/A")</f>
        <v>0.38</v>
      </c>
      <c r="S521" s="1247"/>
      <c r="T521" s="1244" t="str">
        <f>IFERROR(VLOOKUP($S521,'Upper Cask Recovery Logistics'!$C$521:$F$646,4,FALSE),"N/A")</f>
        <v>N/A</v>
      </c>
      <c r="U521" s="1248" t="str">
        <f t="shared" si="58"/>
        <v>N/A</v>
      </c>
      <c r="V521" s="1510"/>
      <c r="X521" s="273"/>
      <c r="Y521" s="273"/>
      <c r="Z521" s="273"/>
      <c r="AA521" s="752"/>
      <c r="AB521" s="5"/>
      <c r="AC521" s="7"/>
      <c r="AD521" s="7"/>
      <c r="AE521" s="7"/>
      <c r="AF521" s="7"/>
      <c r="AG521" s="7"/>
      <c r="AH521" s="7"/>
    </row>
    <row r="522" spans="2:34" ht="15" hidden="1" customHeight="1" outlineLevel="2" thickBot="1" x14ac:dyDescent="0.45">
      <c r="B522" s="1061"/>
      <c r="C522" s="5"/>
      <c r="D522" s="3986"/>
      <c r="E522" s="1314" t="s">
        <v>1259</v>
      </c>
      <c r="F522" s="1314" t="s">
        <v>3</v>
      </c>
      <c r="G522" s="1316">
        <f t="shared" si="56"/>
        <v>2.5400000000000005</v>
      </c>
      <c r="H522" s="1316">
        <f t="shared" si="57"/>
        <v>20.410756989359463</v>
      </c>
      <c r="I522" s="1314"/>
      <c r="J522" s="1316" t="str">
        <f>IF(F522="operation",VLOOKUP(I522,'Generic Vertical Port Tasks'!$C$4:$D$197,2,FALSE),"N/A")</f>
        <v>N/A</v>
      </c>
      <c r="K522" s="1314"/>
      <c r="L522" s="1314"/>
      <c r="M522" s="1314"/>
      <c r="N522" s="1319" t="str">
        <f>IFERROR(INDEX('Upper Cask Movement &amp; Logistics'!$I$24:$O$30,MATCH($J522,'Upper Cask Movement &amp; Logistics'!$H$24:$H$30,0),MATCH($K522,'Upper Cask Movement &amp; Logistics'!$H$24:$H$30,0)),"N/A")</f>
        <v>N/A</v>
      </c>
      <c r="O522" s="1319" t="str">
        <f>IFERROR(VLOOKUP($I522,'Upper Cask Movement &amp; Logistics'!$H$4:$I$8,2,FALSE),"N/A")</f>
        <v>N/A</v>
      </c>
      <c r="P522" s="1316" t="str">
        <f t="shared" si="55"/>
        <v>N/A</v>
      </c>
      <c r="Q522" s="1507" t="s">
        <v>1260</v>
      </c>
      <c r="R522" s="1316">
        <f>IF($F522="Logistics",VLOOKUP($Q522,'Upper Cask Movement &amp; Logistics'!$C$4:$D$209,2,FALSE),"N/A")</f>
        <v>2.5400000000000005</v>
      </c>
      <c r="S522" s="1508"/>
      <c r="T522" s="1316" t="str">
        <f>IFERROR(VLOOKUP($S522,'Upper Cask Recovery Logistics'!$C$521:$F$646,4,FALSE),"N/A")</f>
        <v>N/A</v>
      </c>
      <c r="U522" s="1509" t="str">
        <f t="shared" si="58"/>
        <v>N/A</v>
      </c>
      <c r="V522" s="1510"/>
      <c r="X522" s="273"/>
      <c r="Y522" s="273"/>
      <c r="Z522" s="273"/>
      <c r="AA522" s="752"/>
      <c r="AB522" s="5"/>
      <c r="AC522" s="7"/>
      <c r="AD522" s="7"/>
      <c r="AE522" s="7"/>
      <c r="AF522" s="7"/>
      <c r="AG522" s="7"/>
      <c r="AH522" s="7"/>
    </row>
    <row r="523" spans="2:34" ht="15.75" hidden="1" customHeight="1" outlineLevel="2" x14ac:dyDescent="0.4">
      <c r="B523" s="1061"/>
      <c r="C523" s="5"/>
      <c r="D523" s="3820" t="s">
        <v>13</v>
      </c>
      <c r="E523" s="1256" t="s">
        <v>1261</v>
      </c>
      <c r="F523" s="596" t="s">
        <v>3</v>
      </c>
      <c r="G523" s="593">
        <f t="shared" si="56"/>
        <v>1.6400000000000001</v>
      </c>
      <c r="H523" s="593">
        <f t="shared" si="57"/>
        <v>29.934191039594754</v>
      </c>
      <c r="I523" s="596"/>
      <c r="J523" s="593" t="str">
        <f>IF(F523="operation",VLOOKUP(I523,'Generic Vertical Port Tasks'!$C$4:$D$197,2,FALSE),"N/A")</f>
        <v>N/A</v>
      </c>
      <c r="K523" s="596"/>
      <c r="L523" s="596"/>
      <c r="M523" s="596"/>
      <c r="N523" s="597" t="str">
        <f>IFERROR(INDEX('Upper Cask Movement &amp; Logistics'!$I$24:$O$30,MATCH($J523,'Upper Cask Movement &amp; Logistics'!$H$24:$H$30,0),MATCH($K523,'Upper Cask Movement &amp; Logistics'!$H$24:$H$30,0)),"N/A")</f>
        <v>N/A</v>
      </c>
      <c r="O523" s="597" t="str">
        <f>IFERROR(VLOOKUP($I523,'Upper Cask Movement &amp; Logistics'!$H$4:$I$8,2,FALSE),"N/A")</f>
        <v>N/A</v>
      </c>
      <c r="P523" s="593" t="str">
        <f t="shared" si="55"/>
        <v>N/A</v>
      </c>
      <c r="Q523" s="1253" t="s">
        <v>1224</v>
      </c>
      <c r="R523" s="593">
        <f>IF($F523="Logistics",VLOOKUP($Q523,'Upper Cask Movement &amp; Logistics'!$C$4:$D$209,2,FALSE),"N/A")</f>
        <v>1.6400000000000001</v>
      </c>
      <c r="S523" s="1254" t="s">
        <v>1384</v>
      </c>
      <c r="T523" s="593">
        <f>IFERROR(VLOOKUP($S523,'Upper Cask Recovery Logistics'!$C$521:$F$646,4,FALSE),"N/A")</f>
        <v>28.294191039594754</v>
      </c>
      <c r="U523" s="1255">
        <f t="shared" si="58"/>
        <v>-7.8834340502352909</v>
      </c>
      <c r="V523" s="1510"/>
      <c r="X523" s="273"/>
      <c r="Y523" s="273"/>
      <c r="Z523" s="273"/>
      <c r="AA523" s="752"/>
      <c r="AB523" s="5"/>
      <c r="AC523" s="7"/>
      <c r="AD523" s="7"/>
      <c r="AE523" s="7"/>
      <c r="AF523" s="7"/>
      <c r="AG523" s="7"/>
      <c r="AH523" s="7"/>
    </row>
    <row r="524" spans="2:34" ht="25.5" hidden="1" customHeight="1" outlineLevel="2" x14ac:dyDescent="0.4">
      <c r="B524" s="1061"/>
      <c r="C524" s="5"/>
      <c r="D524" s="3821"/>
      <c r="E524" s="1257" t="s">
        <v>1262</v>
      </c>
      <c r="F524" s="601" t="s">
        <v>3</v>
      </c>
      <c r="G524" s="602">
        <f t="shared" si="56"/>
        <v>0.38</v>
      </c>
      <c r="H524" s="602">
        <f t="shared" si="57"/>
        <v>30.314191039594753</v>
      </c>
      <c r="I524" s="601"/>
      <c r="J524" s="602" t="str">
        <f>IF(F524="operation",VLOOKUP(I524,'Generic Vertical Port Tasks'!$C$4:$D$197,2,FALSE),"N/A")</f>
        <v>N/A</v>
      </c>
      <c r="K524" s="601"/>
      <c r="L524" s="601"/>
      <c r="M524" s="601"/>
      <c r="N524" s="605" t="str">
        <f>IFERROR(INDEX('Upper Cask Movement &amp; Logistics'!$I$24:$O$30,MATCH($J524,'Upper Cask Movement &amp; Logistics'!$H$24:$H$30,0),MATCH($K524,'Upper Cask Movement &amp; Logistics'!$H$24:$H$30,0)),"N/A")</f>
        <v>N/A</v>
      </c>
      <c r="O524" s="605" t="str">
        <f>IFERROR(VLOOKUP($I524,'Upper Cask Movement &amp; Logistics'!$H$4:$I$8,2,FALSE),"N/A")</f>
        <v>N/A</v>
      </c>
      <c r="P524" s="602" t="str">
        <f t="shared" si="55"/>
        <v>N/A</v>
      </c>
      <c r="Q524" s="1234" t="s">
        <v>1226</v>
      </c>
      <c r="R524" s="602">
        <f>IF($F524="Logistics",VLOOKUP($Q524,'Upper Cask Movement &amp; Logistics'!$C$4:$D$209,2,FALSE),"N/A")</f>
        <v>0.38</v>
      </c>
      <c r="S524" s="1235"/>
      <c r="T524" s="602" t="str">
        <f>IFERROR(VLOOKUP($S524,'Upper Cask Recovery Logistics'!$C$521:$F$646,4,FALSE),"N/A")</f>
        <v>N/A</v>
      </c>
      <c r="U524" s="1236" t="str">
        <f t="shared" si="58"/>
        <v>N/A</v>
      </c>
      <c r="V524" s="1510"/>
      <c r="X524" s="273"/>
      <c r="Y524" s="273"/>
      <c r="Z524" s="273"/>
      <c r="AA524" s="752"/>
    </row>
    <row r="525" spans="2:34" s="82" customFormat="1" ht="15.75" hidden="1" customHeight="1" outlineLevel="2" x14ac:dyDescent="0.4">
      <c r="B525" s="1061"/>
      <c r="C525" s="5"/>
      <c r="D525" s="3821"/>
      <c r="E525" s="1257" t="s">
        <v>122</v>
      </c>
      <c r="F525" s="601" t="s">
        <v>251</v>
      </c>
      <c r="G525" s="602">
        <f t="shared" si="56"/>
        <v>5.74</v>
      </c>
      <c r="H525" s="602">
        <f t="shared" si="57"/>
        <v>36.054191039594755</v>
      </c>
      <c r="I525" s="601" t="s">
        <v>254</v>
      </c>
      <c r="J525" s="602">
        <f>IF(F525="operation",VLOOKUP(I525,'Generic Vertical Port Tasks'!$C$4:$D$197,2,FALSE),"N/A")</f>
        <v>5.74</v>
      </c>
      <c r="K525" s="601"/>
      <c r="L525" s="601"/>
      <c r="M525" s="601"/>
      <c r="N525" s="605" t="str">
        <f>IFERROR(INDEX('Upper Cask Movement &amp; Logistics'!$I$24:$O$30,MATCH($J525,'Upper Cask Movement &amp; Logistics'!$H$24:$H$30,0),MATCH($K525,'Upper Cask Movement &amp; Logistics'!$H$24:$H$30,0)),"N/A")</f>
        <v>N/A</v>
      </c>
      <c r="O525" s="605" t="str">
        <f>IFERROR(VLOOKUP($I525,'Upper Cask Movement &amp; Logistics'!$H$4:$I$8,2,FALSE),"N/A")</f>
        <v>N/A</v>
      </c>
      <c r="P525" s="602" t="str">
        <f t="shared" si="55"/>
        <v>N/A</v>
      </c>
      <c r="Q525" s="1234"/>
      <c r="R525" s="602" t="str">
        <f>IF($F525="Logistics",VLOOKUP($Q525,'Upper Cask Movement &amp; Logistics'!$C$4:$D$209,2,FALSE),"N/A")</f>
        <v>N/A</v>
      </c>
      <c r="S525" s="1235"/>
      <c r="T525" s="602" t="str">
        <f>IFERROR(VLOOKUP($S525,'Upper Cask Recovery Logistics'!$C$521:$F$646,4,FALSE),"N/A")</f>
        <v>N/A</v>
      </c>
      <c r="U525" s="1236" t="str">
        <f t="shared" si="58"/>
        <v>N/A</v>
      </c>
      <c r="V525" s="1510"/>
      <c r="X525" s="5"/>
      <c r="Y525" s="5"/>
      <c r="Z525" s="5"/>
      <c r="AA525" s="889"/>
      <c r="AB525" s="890"/>
    </row>
    <row r="526" spans="2:34" s="82" customFormat="1" ht="15" hidden="1" customHeight="1" outlineLevel="2" x14ac:dyDescent="0.4">
      <c r="B526" s="1061"/>
      <c r="C526" s="5"/>
      <c r="D526" s="3821"/>
      <c r="E526" s="1257" t="s">
        <v>1263</v>
      </c>
      <c r="F526" s="601" t="s">
        <v>3</v>
      </c>
      <c r="G526" s="602">
        <f t="shared" si="56"/>
        <v>0.63000000000000012</v>
      </c>
      <c r="H526" s="602">
        <f t="shared" si="57"/>
        <v>36.684191039594758</v>
      </c>
      <c r="I526" s="601"/>
      <c r="J526" s="602" t="str">
        <f>IF(F526="operation",VLOOKUP(I526,'Generic Vertical Port Tasks'!$C$4:$D$197,2,FALSE),"N/A")</f>
        <v>N/A</v>
      </c>
      <c r="K526" s="601"/>
      <c r="L526" s="601"/>
      <c r="M526" s="601"/>
      <c r="N526" s="605" t="str">
        <f>IFERROR(INDEX('Upper Cask Movement &amp; Logistics'!$I$24:$O$30,MATCH($J526,'Upper Cask Movement &amp; Logistics'!$H$24:$H$30,0),MATCH($K526,'Upper Cask Movement &amp; Logistics'!$H$24:$H$30,0)),"N/A")</f>
        <v>N/A</v>
      </c>
      <c r="O526" s="605" t="str">
        <f>IFERROR(VLOOKUP($I526,'Upper Cask Movement &amp; Logistics'!$H$4:$I$8,2,FALSE),"N/A")</f>
        <v>N/A</v>
      </c>
      <c r="P526" s="602" t="str">
        <f t="shared" si="55"/>
        <v>N/A</v>
      </c>
      <c r="Q526" s="1234" t="s">
        <v>1228</v>
      </c>
      <c r="R526" s="602">
        <f>IF($F526="Logistics",VLOOKUP($Q526,'Upper Cask Movement &amp; Logistics'!$C$4:$D$209,2,FALSE),"N/A")</f>
        <v>0.63000000000000012</v>
      </c>
      <c r="S526" s="1235" t="s">
        <v>1379</v>
      </c>
      <c r="T526" s="602">
        <f>IFERROR(VLOOKUP($S526,'Upper Cask Recovery Logistics'!$C$521:$F$646,4,FALSE),"N/A")</f>
        <v>29.919005854409569</v>
      </c>
      <c r="U526" s="1236">
        <f t="shared" si="58"/>
        <v>6.1351851851851862</v>
      </c>
      <c r="V526" s="1510"/>
      <c r="X526" s="5"/>
      <c r="Y526" s="5"/>
      <c r="Z526" s="5"/>
      <c r="AA526" s="889"/>
      <c r="AB526" s="890"/>
    </row>
    <row r="527" spans="2:34" s="82" customFormat="1" ht="15" hidden="1" customHeight="1" outlineLevel="2" x14ac:dyDescent="0.4">
      <c r="B527" s="1061"/>
      <c r="C527" s="5"/>
      <c r="D527" s="3821"/>
      <c r="E527" s="1257" t="s">
        <v>1262</v>
      </c>
      <c r="F527" s="601" t="s">
        <v>3</v>
      </c>
      <c r="G527" s="602">
        <f t="shared" si="56"/>
        <v>0.5</v>
      </c>
      <c r="H527" s="602">
        <f t="shared" si="57"/>
        <v>37.184191039594758</v>
      </c>
      <c r="I527" s="601"/>
      <c r="J527" s="602" t="str">
        <f>IF(F527="operation",VLOOKUP(I527,'Generic Vertical Port Tasks'!$C$4:$D$197,2,FALSE),"N/A")</f>
        <v>N/A</v>
      </c>
      <c r="K527" s="601"/>
      <c r="L527" s="601"/>
      <c r="M527" s="601"/>
      <c r="N527" s="605" t="str">
        <f>IFERROR(INDEX('Upper Cask Movement &amp; Logistics'!$I$24:$O$30,MATCH($J527,'Upper Cask Movement &amp; Logistics'!$H$24:$H$30,0),MATCH($K527,'Upper Cask Movement &amp; Logistics'!$H$24:$H$30,0)),"N/A")</f>
        <v>N/A</v>
      </c>
      <c r="O527" s="605" t="str">
        <f>IFERROR(VLOOKUP($I527,'Upper Cask Movement &amp; Logistics'!$H$4:$I$8,2,FALSE),"N/A")</f>
        <v>N/A</v>
      </c>
      <c r="P527" s="602" t="str">
        <f t="shared" si="55"/>
        <v>N/A</v>
      </c>
      <c r="Q527" s="1234" t="s">
        <v>1208</v>
      </c>
      <c r="R527" s="602">
        <f>IF($F527="Logistics",VLOOKUP($Q527,'Upper Cask Movement &amp; Logistics'!$C$4:$D$209,2,FALSE),"N/A")</f>
        <v>0.5</v>
      </c>
      <c r="S527" s="1235"/>
      <c r="T527" s="602" t="str">
        <f>IFERROR(VLOOKUP($S527,'Upper Cask Recovery Logistics'!$C$521:$F$646,4,FALSE),"N/A")</f>
        <v>N/A</v>
      </c>
      <c r="U527" s="1236" t="str">
        <f t="shared" si="58"/>
        <v>N/A</v>
      </c>
      <c r="V527" s="1510"/>
      <c r="X527" s="5"/>
      <c r="Y527" s="5"/>
      <c r="Z527" s="5"/>
      <c r="AA527" s="889"/>
      <c r="AB527" s="890"/>
    </row>
    <row r="528" spans="2:34" s="82" customFormat="1" ht="15" hidden="1" customHeight="1" outlineLevel="2" x14ac:dyDescent="0.4">
      <c r="B528" s="1061"/>
      <c r="C528" s="5"/>
      <c r="D528" s="3821"/>
      <c r="E528" s="1257" t="s">
        <v>135</v>
      </c>
      <c r="F528" s="601" t="s">
        <v>251</v>
      </c>
      <c r="G528" s="602">
        <f t="shared" si="56"/>
        <v>5.74</v>
      </c>
      <c r="H528" s="602">
        <f t="shared" si="57"/>
        <v>42.92419103959476</v>
      </c>
      <c r="I528" s="601" t="s">
        <v>254</v>
      </c>
      <c r="J528" s="602">
        <f>IF(F528="operation",VLOOKUP(I528,'Generic Vertical Port Tasks'!$C$4:$D$197,2,FALSE),"N/A")</f>
        <v>5.74</v>
      </c>
      <c r="K528" s="601"/>
      <c r="L528" s="601"/>
      <c r="M528" s="601"/>
      <c r="N528" s="605" t="str">
        <f>IFERROR(INDEX('Upper Cask Movement &amp; Logistics'!$I$24:$O$30,MATCH($J528,'Upper Cask Movement &amp; Logistics'!$H$24:$H$30,0),MATCH($K528,'Upper Cask Movement &amp; Logistics'!$H$24:$H$30,0)),"N/A")</f>
        <v>N/A</v>
      </c>
      <c r="O528" s="605" t="str">
        <f>IFERROR(VLOOKUP($I528,'Upper Cask Movement &amp; Logistics'!$H$4:$I$8,2,FALSE),"N/A")</f>
        <v>N/A</v>
      </c>
      <c r="P528" s="602" t="str">
        <f t="shared" si="55"/>
        <v>N/A</v>
      </c>
      <c r="Q528" s="1234"/>
      <c r="R528" s="602" t="str">
        <f>IF($F528="Logistics",VLOOKUP($Q528,'Upper Cask Movement &amp; Logistics'!$C$4:$D$209,2,FALSE),"N/A")</f>
        <v>N/A</v>
      </c>
      <c r="S528" s="1235"/>
      <c r="T528" s="602" t="str">
        <f>IFERROR(VLOOKUP($S528,'Upper Cask Recovery Logistics'!$C$521:$F$646,4,FALSE),"N/A")</f>
        <v>N/A</v>
      </c>
      <c r="U528" s="1236" t="str">
        <f t="shared" si="58"/>
        <v>N/A</v>
      </c>
      <c r="V528" s="1510"/>
      <c r="X528" s="5"/>
      <c r="Y528" s="5"/>
      <c r="Z528" s="5"/>
      <c r="AA528" s="889"/>
      <c r="AB528" s="890"/>
    </row>
    <row r="529" spans="2:28" s="82" customFormat="1" ht="15.75" hidden="1" customHeight="1" outlineLevel="2" x14ac:dyDescent="0.4">
      <c r="B529" s="1061"/>
      <c r="C529" s="5"/>
      <c r="D529" s="3821"/>
      <c r="E529" s="1257" t="s">
        <v>1264</v>
      </c>
      <c r="F529" s="601" t="s">
        <v>3</v>
      </c>
      <c r="G529" s="602">
        <f t="shared" si="56"/>
        <v>0.63000000000000012</v>
      </c>
      <c r="H529" s="602">
        <f t="shared" si="57"/>
        <v>43.554191039594762</v>
      </c>
      <c r="I529" s="601"/>
      <c r="J529" s="602" t="str">
        <f>IF(F529="operation",VLOOKUP(I529,'Generic Vertical Port Tasks'!$C$4:$D$197,2,FALSE),"N/A")</f>
        <v>N/A</v>
      </c>
      <c r="K529" s="601"/>
      <c r="L529" s="601"/>
      <c r="M529" s="601"/>
      <c r="N529" s="605" t="str">
        <f>IFERROR(INDEX('Upper Cask Movement &amp; Logistics'!$I$24:$O$30,MATCH($J529,'Upper Cask Movement &amp; Logistics'!$H$24:$H$30,0),MATCH($K529,'Upper Cask Movement &amp; Logistics'!$H$24:$H$30,0)),"N/A")</f>
        <v>N/A</v>
      </c>
      <c r="O529" s="605" t="str">
        <f>IFERROR(VLOOKUP($I529,'Upper Cask Movement &amp; Logistics'!$H$4:$I$8,2,FALSE),"N/A")</f>
        <v>N/A</v>
      </c>
      <c r="P529" s="602" t="str">
        <f t="shared" si="55"/>
        <v>N/A</v>
      </c>
      <c r="Q529" s="1234" t="s">
        <v>1228</v>
      </c>
      <c r="R529" s="602">
        <f>IF($F529="Logistics",VLOOKUP($Q529,'Upper Cask Movement &amp; Logistics'!$C$4:$D$209,2,FALSE),"N/A")</f>
        <v>0.63000000000000012</v>
      </c>
      <c r="S529" s="1235" t="s">
        <v>1388</v>
      </c>
      <c r="T529" s="602">
        <f>IFERROR(VLOOKUP($S529,'Upper Cask Recovery Logistics'!$C$521:$F$646,4,FALSE),"N/A")</f>
        <v>29.933450298854012</v>
      </c>
      <c r="U529" s="1236">
        <f t="shared" si="58"/>
        <v>12.990740740740748</v>
      </c>
      <c r="V529" s="1510"/>
      <c r="X529" s="5"/>
      <c r="Y529" s="5"/>
      <c r="Z529" s="5"/>
      <c r="AA529" s="889"/>
      <c r="AB529" s="890"/>
    </row>
    <row r="530" spans="2:28" s="82" customFormat="1" ht="15" hidden="1" customHeight="1" outlineLevel="2" x14ac:dyDescent="0.4">
      <c r="B530" s="1061"/>
      <c r="C530" s="5"/>
      <c r="D530" s="3821"/>
      <c r="E530" s="1257" t="s">
        <v>1262</v>
      </c>
      <c r="F530" s="601" t="s">
        <v>3</v>
      </c>
      <c r="G530" s="602">
        <f t="shared" si="56"/>
        <v>0.5</v>
      </c>
      <c r="H530" s="602">
        <f t="shared" si="57"/>
        <v>44.054191039594762</v>
      </c>
      <c r="I530" s="601"/>
      <c r="J530" s="602" t="str">
        <f>IF(F530="operation",VLOOKUP(I530,'Generic Vertical Port Tasks'!$C$4:$D$197,2,FALSE),"N/A")</f>
        <v>N/A</v>
      </c>
      <c r="K530" s="601"/>
      <c r="L530" s="601"/>
      <c r="M530" s="601"/>
      <c r="N530" s="605" t="str">
        <f>IFERROR(INDEX('Upper Cask Movement &amp; Logistics'!$I$24:$O$30,MATCH($J530,'Upper Cask Movement &amp; Logistics'!$H$24:$H$30,0),MATCH($K530,'Upper Cask Movement &amp; Logistics'!$H$24:$H$30,0)),"N/A")</f>
        <v>N/A</v>
      </c>
      <c r="O530" s="605" t="str">
        <f>IFERROR(VLOOKUP($I530,'Upper Cask Movement &amp; Logistics'!$H$4:$I$8,2,FALSE),"N/A")</f>
        <v>N/A</v>
      </c>
      <c r="P530" s="602" t="str">
        <f t="shared" si="55"/>
        <v>N/A</v>
      </c>
      <c r="Q530" s="1234" t="s">
        <v>1208</v>
      </c>
      <c r="R530" s="602">
        <f>IF($F530="Logistics",VLOOKUP($Q530,'Upper Cask Movement &amp; Logistics'!$C$4:$D$209,2,FALSE),"N/A")</f>
        <v>0.5</v>
      </c>
      <c r="S530" s="1235"/>
      <c r="T530" s="602" t="str">
        <f>IFERROR(VLOOKUP($S530,'Upper Cask Recovery Logistics'!$C$521:$F$646,4,FALSE),"N/A")</f>
        <v>N/A</v>
      </c>
      <c r="U530" s="1236" t="str">
        <f t="shared" si="58"/>
        <v>N/A</v>
      </c>
      <c r="V530" s="1510"/>
      <c r="X530" s="5"/>
      <c r="Y530" s="5"/>
      <c r="Z530" s="5"/>
      <c r="AA530" s="889"/>
      <c r="AB530" s="890"/>
    </row>
    <row r="531" spans="2:28" s="82" customFormat="1" ht="15.75" hidden="1" customHeight="1" outlineLevel="2" x14ac:dyDescent="0.4">
      <c r="B531" s="1061"/>
      <c r="C531" s="5"/>
      <c r="D531" s="3821"/>
      <c r="E531" s="1257" t="s">
        <v>136</v>
      </c>
      <c r="F531" s="601" t="s">
        <v>251</v>
      </c>
      <c r="G531" s="602">
        <f t="shared" si="56"/>
        <v>5.74</v>
      </c>
      <c r="H531" s="602">
        <f t="shared" si="57"/>
        <v>49.794191039594764</v>
      </c>
      <c r="I531" s="601" t="s">
        <v>254</v>
      </c>
      <c r="J531" s="602">
        <f>IF(F531="operation",VLOOKUP(I531,'Generic Vertical Port Tasks'!$C$4:$D$197,2,FALSE),"N/A")</f>
        <v>5.74</v>
      </c>
      <c r="K531" s="601"/>
      <c r="L531" s="601"/>
      <c r="M531" s="601"/>
      <c r="N531" s="605" t="str">
        <f>IFERROR(INDEX('Upper Cask Movement &amp; Logistics'!$I$24:$O$30,MATCH($J531,'Upper Cask Movement &amp; Logistics'!$H$24:$H$30,0),MATCH($K531,'Upper Cask Movement &amp; Logistics'!$H$24:$H$30,0)),"N/A")</f>
        <v>N/A</v>
      </c>
      <c r="O531" s="605" t="str">
        <f>IFERROR(VLOOKUP($I531,'Upper Cask Movement &amp; Logistics'!$H$4:$I$8,2,FALSE),"N/A")</f>
        <v>N/A</v>
      </c>
      <c r="P531" s="602" t="str">
        <f t="shared" si="55"/>
        <v>N/A</v>
      </c>
      <c r="Q531" s="1234"/>
      <c r="R531" s="602" t="str">
        <f>IF($F531="Logistics",VLOOKUP($Q531,'Upper Cask Movement &amp; Logistics'!$C$4:$D$209,2,FALSE),"N/A")</f>
        <v>N/A</v>
      </c>
      <c r="S531" s="1235"/>
      <c r="T531" s="602" t="str">
        <f>IFERROR(VLOOKUP($S531,'Upper Cask Recovery Logistics'!$C$521:$F$646,4,FALSE),"N/A")</f>
        <v>N/A</v>
      </c>
      <c r="U531" s="1236" t="str">
        <f t="shared" si="58"/>
        <v>N/A</v>
      </c>
      <c r="V531" s="1510"/>
      <c r="X531" s="5"/>
      <c r="Y531" s="5"/>
      <c r="Z531" s="5"/>
      <c r="AA531" s="889"/>
      <c r="AB531" s="890"/>
    </row>
    <row r="532" spans="2:28" s="82" customFormat="1" ht="15" hidden="1" customHeight="1" outlineLevel="2" x14ac:dyDescent="0.4">
      <c r="B532" s="1061"/>
      <c r="C532" s="5"/>
      <c r="D532" s="3821"/>
      <c r="E532" s="1257" t="s">
        <v>1265</v>
      </c>
      <c r="F532" s="601" t="s">
        <v>3</v>
      </c>
      <c r="G532" s="602">
        <f t="shared" si="56"/>
        <v>0.63000000000000012</v>
      </c>
      <c r="H532" s="602">
        <f t="shared" si="57"/>
        <v>50.424191039594767</v>
      </c>
      <c r="I532" s="601"/>
      <c r="J532" s="602" t="str">
        <f>IF(F532="operation",VLOOKUP(I532,'Generic Vertical Port Tasks'!$C$4:$D$197,2,FALSE),"N/A")</f>
        <v>N/A</v>
      </c>
      <c r="K532" s="601"/>
      <c r="L532" s="601"/>
      <c r="M532" s="601"/>
      <c r="N532" s="605" t="str">
        <f>IFERROR(INDEX('Upper Cask Movement &amp; Logistics'!$I$24:$O$30,MATCH($J532,'Upper Cask Movement &amp; Logistics'!$H$24:$H$30,0),MATCH($K532,'Upper Cask Movement &amp; Logistics'!$H$24:$H$30,0)),"N/A")</f>
        <v>N/A</v>
      </c>
      <c r="O532" s="605" t="str">
        <f>IFERROR(VLOOKUP($I532,'Upper Cask Movement &amp; Logistics'!$H$4:$I$8,2,FALSE),"N/A")</f>
        <v>N/A</v>
      </c>
      <c r="P532" s="602" t="str">
        <f t="shared" si="55"/>
        <v>N/A</v>
      </c>
      <c r="Q532" s="1234" t="s">
        <v>1228</v>
      </c>
      <c r="R532" s="602">
        <f>IF($F532="Logistics",VLOOKUP($Q532,'Upper Cask Movement &amp; Logistics'!$C$4:$D$209,2,FALSE),"N/A")</f>
        <v>0.63000000000000012</v>
      </c>
      <c r="S532" s="1235" t="s">
        <v>1392</v>
      </c>
      <c r="T532" s="602">
        <f>IFERROR(VLOOKUP($S532,'Upper Cask Recovery Logistics'!$C$521:$F$646,4,FALSE),"N/A")</f>
        <v>41.990116965520677</v>
      </c>
      <c r="U532" s="1236">
        <f t="shared" si="58"/>
        <v>7.8040740740740873</v>
      </c>
      <c r="V532" s="1510"/>
      <c r="X532" s="5"/>
      <c r="Y532" s="5"/>
      <c r="Z532" s="5"/>
      <c r="AA532" s="889"/>
      <c r="AB532" s="890"/>
    </row>
    <row r="533" spans="2:28" s="82" customFormat="1" ht="15" hidden="1" customHeight="1" outlineLevel="2" x14ac:dyDescent="0.4">
      <c r="B533" s="1061"/>
      <c r="C533" s="5"/>
      <c r="D533" s="3821"/>
      <c r="E533" s="1257" t="s">
        <v>1262</v>
      </c>
      <c r="F533" s="601" t="s">
        <v>3</v>
      </c>
      <c r="G533" s="602">
        <f t="shared" si="56"/>
        <v>0.5</v>
      </c>
      <c r="H533" s="602">
        <f t="shared" si="57"/>
        <v>50.924191039594767</v>
      </c>
      <c r="I533" s="601"/>
      <c r="J533" s="602" t="str">
        <f>IF(F533="operation",VLOOKUP(I533,'Generic Vertical Port Tasks'!$C$4:$D$197,2,FALSE),"N/A")</f>
        <v>N/A</v>
      </c>
      <c r="K533" s="601"/>
      <c r="L533" s="601"/>
      <c r="M533" s="601"/>
      <c r="N533" s="605" t="str">
        <f>IFERROR(INDEX('Upper Cask Movement &amp; Logistics'!$I$24:$O$30,MATCH($J533,'Upper Cask Movement &amp; Logistics'!$H$24:$H$30,0),MATCH($K533,'Upper Cask Movement &amp; Logistics'!$H$24:$H$30,0)),"N/A")</f>
        <v>N/A</v>
      </c>
      <c r="O533" s="605" t="str">
        <f>IFERROR(VLOOKUP($I533,'Upper Cask Movement &amp; Logistics'!$H$4:$I$8,2,FALSE),"N/A")</f>
        <v>N/A</v>
      </c>
      <c r="P533" s="602" t="str">
        <f t="shared" si="55"/>
        <v>N/A</v>
      </c>
      <c r="Q533" s="1234" t="s">
        <v>1208</v>
      </c>
      <c r="R533" s="602">
        <f>IF($F533="Logistics",VLOOKUP($Q533,'Upper Cask Movement &amp; Logistics'!$C$4:$D$209,2,FALSE),"N/A")</f>
        <v>0.5</v>
      </c>
      <c r="S533" s="1235"/>
      <c r="T533" s="602" t="str">
        <f>IFERROR(VLOOKUP($S533,'Upper Cask Recovery Logistics'!$C$521:$F$646,4,FALSE),"N/A")</f>
        <v>N/A</v>
      </c>
      <c r="U533" s="1236" t="str">
        <f t="shared" si="58"/>
        <v>N/A</v>
      </c>
      <c r="V533" s="1510"/>
      <c r="X533" s="5"/>
      <c r="Y533" s="5"/>
      <c r="Z533" s="5"/>
      <c r="AA533" s="889"/>
      <c r="AB533" s="890"/>
    </row>
    <row r="534" spans="2:28" s="82" customFormat="1" ht="15" hidden="1" customHeight="1" outlineLevel="2" x14ac:dyDescent="0.4">
      <c r="B534" s="1061"/>
      <c r="C534" s="5"/>
      <c r="D534" s="3821"/>
      <c r="E534" s="1257" t="s">
        <v>138</v>
      </c>
      <c r="F534" s="601" t="s">
        <v>251</v>
      </c>
      <c r="G534" s="602">
        <f t="shared" si="56"/>
        <v>5.74</v>
      </c>
      <c r="H534" s="602">
        <f t="shared" si="57"/>
        <v>56.664191039594769</v>
      </c>
      <c r="I534" s="601" t="s">
        <v>254</v>
      </c>
      <c r="J534" s="602">
        <f>IF(F534="operation",VLOOKUP(I534,'Generic Vertical Port Tasks'!$C$4:$D$197,2,FALSE),"N/A")</f>
        <v>5.74</v>
      </c>
      <c r="K534" s="601"/>
      <c r="L534" s="601"/>
      <c r="M534" s="601"/>
      <c r="N534" s="605" t="str">
        <f>IFERROR(INDEX('Upper Cask Movement &amp; Logistics'!$I$24:$O$30,MATCH($J534,'Upper Cask Movement &amp; Logistics'!$H$24:$H$30,0),MATCH($K534,'Upper Cask Movement &amp; Logistics'!$H$24:$H$30,0)),"N/A")</f>
        <v>N/A</v>
      </c>
      <c r="O534" s="605" t="str">
        <f>IFERROR(VLOOKUP($I534,'Upper Cask Movement &amp; Logistics'!$H$4:$I$8,2,FALSE),"N/A")</f>
        <v>N/A</v>
      </c>
      <c r="P534" s="602" t="str">
        <f t="shared" si="55"/>
        <v>N/A</v>
      </c>
      <c r="Q534" s="1234"/>
      <c r="R534" s="602" t="str">
        <f>IF($F534="Logistics",VLOOKUP($Q534,'Upper Cask Movement &amp; Logistics'!$C$4:$D$209,2,FALSE),"N/A")</f>
        <v>N/A</v>
      </c>
      <c r="S534" s="1235"/>
      <c r="T534" s="602" t="str">
        <f>IFERROR(VLOOKUP($S534,'Upper Cask Recovery Logistics'!$C$521:$F$646,4,FALSE),"N/A")</f>
        <v>N/A</v>
      </c>
      <c r="U534" s="1236" t="str">
        <f t="shared" si="58"/>
        <v>N/A</v>
      </c>
      <c r="V534" s="1510"/>
      <c r="X534" s="5"/>
      <c r="Y534" s="5"/>
      <c r="Z534" s="5"/>
      <c r="AA534" s="889"/>
      <c r="AB534" s="890"/>
    </row>
    <row r="535" spans="2:28" s="82" customFormat="1" ht="15.75" hidden="1" customHeight="1" outlineLevel="2" x14ac:dyDescent="0.4">
      <c r="B535" s="1061"/>
      <c r="C535" s="5"/>
      <c r="D535" s="3821"/>
      <c r="E535" s="1257" t="s">
        <v>1266</v>
      </c>
      <c r="F535" s="601" t="s">
        <v>3</v>
      </c>
      <c r="G535" s="602">
        <f t="shared" si="56"/>
        <v>0.63000000000000012</v>
      </c>
      <c r="H535" s="602">
        <f t="shared" si="57"/>
        <v>57.294191039594772</v>
      </c>
      <c r="I535" s="601"/>
      <c r="J535" s="602" t="str">
        <f>IF(F535="operation",VLOOKUP(I535,'Generic Vertical Port Tasks'!$C$4:$D$197,2,FALSE),"N/A")</f>
        <v>N/A</v>
      </c>
      <c r="K535" s="601"/>
      <c r="L535" s="601"/>
      <c r="M535" s="601"/>
      <c r="N535" s="605" t="str">
        <f>IFERROR(INDEX('Upper Cask Movement &amp; Logistics'!$I$24:$O$30,MATCH($J535,'Upper Cask Movement &amp; Logistics'!$H$24:$H$30,0),MATCH($K535,'Upper Cask Movement &amp; Logistics'!$H$24:$H$30,0)),"N/A")</f>
        <v>N/A</v>
      </c>
      <c r="O535" s="605" t="str">
        <f>IFERROR(VLOOKUP($I535,'Upper Cask Movement &amp; Logistics'!$H$4:$I$8,2,FALSE),"N/A")</f>
        <v>N/A</v>
      </c>
      <c r="P535" s="602" t="str">
        <f t="shared" si="55"/>
        <v>N/A</v>
      </c>
      <c r="Q535" s="1234" t="s">
        <v>1228</v>
      </c>
      <c r="R535" s="602">
        <f>IF($F535="Logistics",VLOOKUP($Q535,'Upper Cask Movement &amp; Logistics'!$C$4:$D$209,2,FALSE),"N/A")</f>
        <v>0.63000000000000012</v>
      </c>
      <c r="S535" s="1235" t="s">
        <v>1394</v>
      </c>
      <c r="T535" s="602">
        <f>IFERROR(VLOOKUP($S535,'Upper Cask Recovery Logistics'!$C$521:$F$646,4,FALSE),"N/A")</f>
        <v>48.860116965520682</v>
      </c>
      <c r="U535" s="1236">
        <f t="shared" si="58"/>
        <v>7.8040740740740873</v>
      </c>
      <c r="V535" s="1510"/>
      <c r="X535" s="5"/>
      <c r="Y535" s="5"/>
      <c r="Z535" s="5"/>
      <c r="AA535" s="889"/>
      <c r="AB535" s="890"/>
    </row>
    <row r="536" spans="2:28" ht="15" hidden="1" customHeight="1" outlineLevel="2" x14ac:dyDescent="0.4">
      <c r="B536" s="1061"/>
      <c r="C536" s="5"/>
      <c r="D536" s="3821"/>
      <c r="E536" s="1257" t="s">
        <v>1262</v>
      </c>
      <c r="F536" s="601" t="s">
        <v>3</v>
      </c>
      <c r="G536" s="602">
        <f t="shared" si="56"/>
        <v>0.5</v>
      </c>
      <c r="H536" s="602">
        <f t="shared" si="57"/>
        <v>57.794191039594772</v>
      </c>
      <c r="I536" s="601"/>
      <c r="J536" s="602" t="str">
        <f>IF(F536="operation",VLOOKUP(I536,'Generic Vertical Port Tasks'!$C$4:$D$197,2,FALSE),"N/A")</f>
        <v>N/A</v>
      </c>
      <c r="K536" s="601"/>
      <c r="L536" s="601"/>
      <c r="M536" s="601"/>
      <c r="N536" s="605" t="str">
        <f>IFERROR(INDEX('Upper Cask Movement &amp; Logistics'!$I$24:$O$30,MATCH($J536,'Upper Cask Movement &amp; Logistics'!$H$24:$H$30,0),MATCH($K536,'Upper Cask Movement &amp; Logistics'!$H$24:$H$30,0)),"N/A")</f>
        <v>N/A</v>
      </c>
      <c r="O536" s="605" t="str">
        <f>IFERROR(VLOOKUP($I536,'Upper Cask Movement &amp; Logistics'!$H$4:$I$8,2,FALSE),"N/A")</f>
        <v>N/A</v>
      </c>
      <c r="P536" s="602" t="str">
        <f t="shared" si="55"/>
        <v>N/A</v>
      </c>
      <c r="Q536" s="1234" t="s">
        <v>1208</v>
      </c>
      <c r="R536" s="602">
        <f>IF($F536="Logistics",VLOOKUP($Q536,'Upper Cask Movement &amp; Logistics'!$C$4:$D$209,2,FALSE),"N/A")</f>
        <v>0.5</v>
      </c>
      <c r="S536" s="1235"/>
      <c r="T536" s="602" t="str">
        <f>IFERROR(VLOOKUP($S536,'Upper Cask Recovery Logistics'!$C$521:$F$646,4,FALSE),"N/A")</f>
        <v>N/A</v>
      </c>
      <c r="U536" s="1236" t="str">
        <f t="shared" si="58"/>
        <v>N/A</v>
      </c>
      <c r="V536" s="1510"/>
      <c r="X536" s="273"/>
      <c r="Y536" s="273"/>
      <c r="Z536" s="273"/>
      <c r="AA536" s="752"/>
    </row>
    <row r="537" spans="2:28" ht="15.75" hidden="1" customHeight="1" outlineLevel="2" x14ac:dyDescent="0.4">
      <c r="B537" s="1061"/>
      <c r="C537" s="5"/>
      <c r="D537" s="3821"/>
      <c r="E537" s="1257" t="s">
        <v>140</v>
      </c>
      <c r="F537" s="601" t="s">
        <v>251</v>
      </c>
      <c r="G537" s="602">
        <f t="shared" si="56"/>
        <v>5.74</v>
      </c>
      <c r="H537" s="602">
        <f t="shared" si="57"/>
        <v>63.534191039594774</v>
      </c>
      <c r="I537" s="601" t="s">
        <v>254</v>
      </c>
      <c r="J537" s="602">
        <f>IF(F537="operation",VLOOKUP(I537,'Generic Vertical Port Tasks'!$C$4:$D$197,2,FALSE),"N/A")</f>
        <v>5.74</v>
      </c>
      <c r="K537" s="601"/>
      <c r="L537" s="601"/>
      <c r="M537" s="601"/>
      <c r="N537" s="605" t="str">
        <f>IFERROR(INDEX('Upper Cask Movement &amp; Logistics'!$I$24:$O$30,MATCH($J537,'Upper Cask Movement &amp; Logistics'!$H$24:$H$30,0),MATCH($K537,'Upper Cask Movement &amp; Logistics'!$H$24:$H$30,0)),"N/A")</f>
        <v>N/A</v>
      </c>
      <c r="O537" s="605" t="str">
        <f>IFERROR(VLOOKUP($I537,'Upper Cask Movement &amp; Logistics'!$H$4:$I$8,2,FALSE),"N/A")</f>
        <v>N/A</v>
      </c>
      <c r="P537" s="602" t="str">
        <f t="shared" si="55"/>
        <v>N/A</v>
      </c>
      <c r="Q537" s="1234"/>
      <c r="R537" s="602" t="str">
        <f>IF($F537="Logistics",VLOOKUP($Q537,'Upper Cask Movement &amp; Logistics'!$C$4:$D$209,2,FALSE),"N/A")</f>
        <v>N/A</v>
      </c>
      <c r="S537" s="1235"/>
      <c r="T537" s="602" t="str">
        <f>IFERROR(VLOOKUP($S537,'Upper Cask Recovery Logistics'!$C$521:$F$646,4,FALSE),"N/A")</f>
        <v>N/A</v>
      </c>
      <c r="U537" s="1236" t="str">
        <f t="shared" si="58"/>
        <v>N/A</v>
      </c>
      <c r="V537" s="1510"/>
      <c r="X537" s="273"/>
      <c r="Y537" s="273"/>
      <c r="Z537" s="273"/>
      <c r="AA537" s="752"/>
    </row>
    <row r="538" spans="2:28" ht="15" hidden="1" customHeight="1" outlineLevel="2" x14ac:dyDescent="0.4">
      <c r="B538" s="1061"/>
      <c r="C538" s="5"/>
      <c r="D538" s="3821"/>
      <c r="E538" s="1257" t="s">
        <v>1267</v>
      </c>
      <c r="F538" s="601" t="s">
        <v>3</v>
      </c>
      <c r="G538" s="602">
        <f t="shared" si="56"/>
        <v>0.63000000000000012</v>
      </c>
      <c r="H538" s="602">
        <f t="shared" si="57"/>
        <v>64.164191039594769</v>
      </c>
      <c r="I538" s="601"/>
      <c r="J538" s="602" t="str">
        <f>IF(F538="operation",VLOOKUP(I538,'Generic Vertical Port Tasks'!$C$4:$D$197,2,FALSE),"N/A")</f>
        <v>N/A</v>
      </c>
      <c r="K538" s="601"/>
      <c r="L538" s="601"/>
      <c r="M538" s="601"/>
      <c r="N538" s="605" t="str">
        <f>IFERROR(INDEX('Upper Cask Movement &amp; Logistics'!$I$24:$O$30,MATCH($J538,'Upper Cask Movement &amp; Logistics'!$H$24:$H$30,0),MATCH($K538,'Upper Cask Movement &amp; Logistics'!$H$24:$H$30,0)),"N/A")</f>
        <v>N/A</v>
      </c>
      <c r="O538" s="605" t="str">
        <f>IFERROR(VLOOKUP($I538,'Upper Cask Movement &amp; Logistics'!$H$4:$I$8,2,FALSE),"N/A")</f>
        <v>N/A</v>
      </c>
      <c r="P538" s="602" t="str">
        <f t="shared" si="55"/>
        <v>N/A</v>
      </c>
      <c r="Q538" s="1234" t="s">
        <v>1228</v>
      </c>
      <c r="R538" s="602">
        <f>IF($F538="Logistics",VLOOKUP($Q538,'Upper Cask Movement &amp; Logistics'!$C$4:$D$209,2,FALSE),"N/A")</f>
        <v>0.63000000000000012</v>
      </c>
      <c r="S538" s="1235" t="s">
        <v>1397</v>
      </c>
      <c r="T538" s="602">
        <f>IFERROR(VLOOKUP($S538,'Upper Cask Recovery Logistics'!$C$521:$F$646,4,FALSE),"N/A")</f>
        <v>55.730116965520686</v>
      </c>
      <c r="U538" s="1236">
        <f t="shared" si="58"/>
        <v>7.8040740740740873</v>
      </c>
      <c r="V538" s="1510"/>
      <c r="X538" s="273"/>
      <c r="Y538" s="273"/>
      <c r="Z538" s="273"/>
      <c r="AA538" s="752"/>
    </row>
    <row r="539" spans="2:28" ht="15" hidden="1" customHeight="1" outlineLevel="2" thickBot="1" x14ac:dyDescent="0.45">
      <c r="B539" s="1061"/>
      <c r="C539" s="5"/>
      <c r="D539" s="3822"/>
      <c r="E539" s="1258" t="s">
        <v>1268</v>
      </c>
      <c r="F539" s="609" t="s">
        <v>3</v>
      </c>
      <c r="G539" s="610">
        <f t="shared" si="56"/>
        <v>2.3000000000000003</v>
      </c>
      <c r="H539" s="610">
        <f t="shared" si="57"/>
        <v>66.464191039594766</v>
      </c>
      <c r="I539" s="609"/>
      <c r="J539" s="610" t="str">
        <f>IF(F539="operation",VLOOKUP(I539,'Generic Vertical Port Tasks'!$C$4:$D$197,2,FALSE),"N/A")</f>
        <v>N/A</v>
      </c>
      <c r="K539" s="609"/>
      <c r="L539" s="609"/>
      <c r="M539" s="609"/>
      <c r="N539" s="613" t="str">
        <f>IFERROR(INDEX('Upper Cask Movement &amp; Logistics'!$I$24:$O$30,MATCH($J539,'Upper Cask Movement &amp; Logistics'!$H$24:$H$30,0),MATCH($K539,'Upper Cask Movement &amp; Logistics'!$H$24:$H$30,0)),"N/A")</f>
        <v>N/A</v>
      </c>
      <c r="O539" s="613" t="str">
        <f>IFERROR(VLOOKUP($I539,'Upper Cask Movement &amp; Logistics'!$H$4:$I$8,2,FALSE),"N/A")</f>
        <v>N/A</v>
      </c>
      <c r="P539" s="610" t="str">
        <f t="shared" si="55"/>
        <v>N/A</v>
      </c>
      <c r="Q539" s="1237" t="s">
        <v>1269</v>
      </c>
      <c r="R539" s="610">
        <f>IF($F539="Logistics",VLOOKUP($Q539,'Upper Cask Movement &amp; Logistics'!$C$4:$D$209,2,FALSE),"N/A")</f>
        <v>2.3000000000000003</v>
      </c>
      <c r="S539" s="1238"/>
      <c r="T539" s="610" t="str">
        <f>IFERROR(VLOOKUP($S539,'Upper Cask Recovery Logistics'!$C$521:$F$646,4,FALSE),"N/A")</f>
        <v>N/A</v>
      </c>
      <c r="U539" s="1239" t="str">
        <f t="shared" si="58"/>
        <v>N/A</v>
      </c>
      <c r="V539" s="1510"/>
      <c r="X539" s="273"/>
      <c r="Y539" s="273"/>
      <c r="Z539" s="273"/>
      <c r="AA539" s="752"/>
    </row>
    <row r="540" spans="2:28" ht="15" hidden="1" customHeight="1" outlineLevel="2" x14ac:dyDescent="0.4">
      <c r="B540" s="1061"/>
      <c r="C540" s="5"/>
      <c r="D540" s="3787" t="s">
        <v>39</v>
      </c>
      <c r="E540" s="1270" t="s">
        <v>1278</v>
      </c>
      <c r="F540" s="617" t="s">
        <v>3</v>
      </c>
      <c r="G540" s="567">
        <f t="shared" si="56"/>
        <v>0.60000000000000009</v>
      </c>
      <c r="H540" s="567">
        <f t="shared" si="57"/>
        <v>67.06419103959476</v>
      </c>
      <c r="I540" s="617"/>
      <c r="J540" s="567" t="str">
        <f>IF(F540="operation",VLOOKUP(I540,'Generic Vertical Port Tasks'!$C$4:$D$197,2,FALSE),"N/A")</f>
        <v>N/A</v>
      </c>
      <c r="K540" s="617"/>
      <c r="L540" s="617"/>
      <c r="M540" s="617"/>
      <c r="N540" s="618" t="str">
        <f>IFERROR(INDEX('Upper Cask Movement &amp; Logistics'!$I$24:$O$30,MATCH($J540,'Upper Cask Movement &amp; Logistics'!$H$24:$H$30,0),MATCH($K540,'Upper Cask Movement &amp; Logistics'!$H$24:$H$30,0)),"N/A")</f>
        <v>N/A</v>
      </c>
      <c r="O540" s="618" t="str">
        <f>IFERROR(VLOOKUP($I540,'Upper Cask Movement &amp; Logistics'!$H$4:$I$8,2,FALSE),"N/A")</f>
        <v>N/A</v>
      </c>
      <c r="P540" s="567" t="str">
        <f t="shared" si="55"/>
        <v>N/A</v>
      </c>
      <c r="Q540" s="1271" t="s">
        <v>1279</v>
      </c>
      <c r="R540" s="567">
        <f>IF($F540="Logistics",VLOOKUP($Q540,'Upper Cask Movement &amp; Logistics'!$C$4:$D$209,2,FALSE),"N/A")</f>
        <v>0.60000000000000009</v>
      </c>
      <c r="S540" s="1272"/>
      <c r="T540" s="567" t="str">
        <f>IFERROR(VLOOKUP($S540,'Upper Cask Recovery Logistics'!$C$521:$F$646,4,FALSE),"N/A")</f>
        <v>N/A</v>
      </c>
      <c r="U540" s="1273" t="str">
        <f t="shared" si="58"/>
        <v>N/A</v>
      </c>
      <c r="V540" s="1510"/>
      <c r="X540" s="273"/>
      <c r="Y540" s="273"/>
      <c r="Z540" s="273"/>
      <c r="AA540" s="752"/>
    </row>
    <row r="541" spans="2:28" ht="15" hidden="1" customHeight="1" outlineLevel="2" x14ac:dyDescent="0.4">
      <c r="B541" s="1061"/>
      <c r="C541" s="5"/>
      <c r="D541" s="3786"/>
      <c r="E541" s="1281" t="s">
        <v>1262</v>
      </c>
      <c r="F541" s="572" t="s">
        <v>3</v>
      </c>
      <c r="G541" s="574">
        <f t="shared" si="56"/>
        <v>0.38</v>
      </c>
      <c r="H541" s="574">
        <f t="shared" si="57"/>
        <v>67.444191039594756</v>
      </c>
      <c r="I541" s="572"/>
      <c r="J541" s="574" t="str">
        <f>IF(F541="operation",VLOOKUP(I541,'Generic Vertical Port Tasks'!$C$4:$D$197,2,FALSE),"N/A")</f>
        <v>N/A</v>
      </c>
      <c r="K541" s="572"/>
      <c r="L541" s="572"/>
      <c r="M541" s="572"/>
      <c r="N541" s="577" t="str">
        <f>IFERROR(INDEX('Upper Cask Movement &amp; Logistics'!$I$24:$O$30,MATCH($J541,'Upper Cask Movement &amp; Logistics'!$H$24:$H$30,0),MATCH($K541,'Upper Cask Movement &amp; Logistics'!$H$24:$H$30,0)),"N/A")</f>
        <v>N/A</v>
      </c>
      <c r="O541" s="577" t="str">
        <f>IFERROR(VLOOKUP($I541,'Upper Cask Movement &amp; Logistics'!$H$4:$I$8,2,FALSE),"N/A")</f>
        <v>N/A</v>
      </c>
      <c r="P541" s="574" t="str">
        <f t="shared" si="55"/>
        <v>N/A</v>
      </c>
      <c r="Q541" s="1282" t="s">
        <v>1226</v>
      </c>
      <c r="R541" s="574">
        <f>IF($F541="Logistics",VLOOKUP($Q541,'Upper Cask Movement &amp; Logistics'!$C$4:$D$209,2,FALSE),"N/A")</f>
        <v>0.38</v>
      </c>
      <c r="S541" s="1283"/>
      <c r="T541" s="574" t="str">
        <f>IFERROR(VLOOKUP($S541,'Upper Cask Recovery Logistics'!$C$521:$F$646,4,FALSE),"N/A")</f>
        <v>N/A</v>
      </c>
      <c r="U541" s="1284" t="str">
        <f t="shared" si="58"/>
        <v>N/A</v>
      </c>
      <c r="V541" s="1510"/>
      <c r="X541" s="273"/>
      <c r="Y541" s="273"/>
      <c r="Z541" s="273"/>
      <c r="AA541" s="752"/>
    </row>
    <row r="542" spans="2:28" ht="15" hidden="1" customHeight="1" outlineLevel="2" x14ac:dyDescent="0.4">
      <c r="B542" s="1061"/>
      <c r="C542" s="5"/>
      <c r="D542" s="3786"/>
      <c r="E542" s="1281" t="s">
        <v>141</v>
      </c>
      <c r="F542" s="572" t="s">
        <v>251</v>
      </c>
      <c r="G542" s="574">
        <f t="shared" si="56"/>
        <v>4.33</v>
      </c>
      <c r="H542" s="574">
        <f t="shared" si="57"/>
        <v>76.534376224779948</v>
      </c>
      <c r="I542" s="572" t="s">
        <v>256</v>
      </c>
      <c r="J542" s="574">
        <f>IF(F542="operation",VLOOKUP(I542,'Generic Vertical Port Tasks'!$C$4:$D$197,2,FALSE),"N/A")</f>
        <v>4.33</v>
      </c>
      <c r="K542" s="572"/>
      <c r="L542" s="572"/>
      <c r="M542" s="572"/>
      <c r="N542" s="577" t="str">
        <f>IFERROR(INDEX('Upper Cask Movement &amp; Logistics'!$I$24:$O$30,MATCH($J542,'Upper Cask Movement &amp; Logistics'!$H$24:$H$30,0),MATCH($K542,'Upper Cask Movement &amp; Logistics'!$H$24:$H$30,0)),"N/A")</f>
        <v>N/A</v>
      </c>
      <c r="O542" s="577" t="str">
        <f>IFERROR(VLOOKUP($I542,'Upper Cask Movement &amp; Logistics'!$H$4:$I$8,2,FALSE),"N/A")</f>
        <v>N/A</v>
      </c>
      <c r="P542" s="574" t="str">
        <f t="shared" si="55"/>
        <v>N/A</v>
      </c>
      <c r="Q542" s="1282"/>
      <c r="R542" s="574" t="str">
        <f>IF($F542="Logistics",VLOOKUP($Q542,'Upper Cask Movement &amp; Logistics'!$C$4:$D$209,2,FALSE),"N/A")</f>
        <v>N/A</v>
      </c>
      <c r="S542" s="1283" t="s">
        <v>1280</v>
      </c>
      <c r="T542" s="574">
        <f>IFERROR(VLOOKUP($S542,'Upper Cask Recovery Logistics'!$C$521:$F$646,4,FALSE),"N/A")</f>
        <v>72.204376224779949</v>
      </c>
      <c r="U542" s="1284">
        <f t="shared" si="58"/>
        <v>-4.7601851851851933</v>
      </c>
      <c r="V542" s="1510"/>
      <c r="X542" s="273"/>
      <c r="Y542" s="273"/>
      <c r="Z542" s="273"/>
      <c r="AA542" s="752"/>
    </row>
    <row r="543" spans="2:28" ht="15" hidden="1" customHeight="1" outlineLevel="2" x14ac:dyDescent="0.4">
      <c r="B543" s="1061"/>
      <c r="C543" s="5"/>
      <c r="D543" s="3786"/>
      <c r="E543" s="1274" t="s">
        <v>1281</v>
      </c>
      <c r="F543" s="1275" t="s">
        <v>3</v>
      </c>
      <c r="G543" s="1276">
        <f t="shared" si="56"/>
        <v>0.60000000000000009</v>
      </c>
      <c r="H543" s="574">
        <f t="shared" si="57"/>
        <v>77.134376224779942</v>
      </c>
      <c r="I543" s="1275"/>
      <c r="J543" s="574" t="str">
        <f>IF(F543="operation",VLOOKUP(I543,'Generic Vertical Port Tasks'!$C$4:$D$197,2,FALSE),"N/A")</f>
        <v>N/A</v>
      </c>
      <c r="K543" s="572"/>
      <c r="L543" s="572"/>
      <c r="M543" s="572"/>
      <c r="N543" s="577" t="str">
        <f>IFERROR(INDEX('Upper Cask Movement &amp; Logistics'!$I$24:$O$30,MATCH($J543,'Upper Cask Movement &amp; Logistics'!$H$24:$H$30,0),MATCH($K543,'Upper Cask Movement &amp; Logistics'!$H$24:$H$30,0)),"N/A")</f>
        <v>N/A</v>
      </c>
      <c r="O543" s="577" t="str">
        <f>IFERROR(VLOOKUP($I543,'Upper Cask Movement &amp; Logistics'!$H$4:$I$8,2,FALSE),"N/A")</f>
        <v>N/A</v>
      </c>
      <c r="P543" s="574" t="str">
        <f t="shared" si="55"/>
        <v>N/A</v>
      </c>
      <c r="Q543" s="1278" t="s">
        <v>1279</v>
      </c>
      <c r="R543" s="574">
        <f>IF($F543="Logistics",VLOOKUP($Q543,'Upper Cask Movement &amp; Logistics'!$C$4:$D$209,2,FALSE),"N/A")</f>
        <v>0.60000000000000009</v>
      </c>
      <c r="S543" s="1283"/>
      <c r="T543" s="574" t="str">
        <f>IFERROR(VLOOKUP($S543,'Upper Cask Recovery Logistics'!$C$521:$F$646,4,FALSE),"N/A")</f>
        <v>N/A</v>
      </c>
      <c r="U543" s="1284" t="str">
        <f t="shared" si="58"/>
        <v>N/A</v>
      </c>
      <c r="V543" s="1510"/>
      <c r="X543" s="273"/>
      <c r="Y543" s="273"/>
      <c r="Z543" s="273"/>
      <c r="AA543" s="752"/>
    </row>
    <row r="544" spans="2:28" ht="15" hidden="1" customHeight="1" outlineLevel="2" x14ac:dyDescent="0.4">
      <c r="B544" s="1061"/>
      <c r="C544" s="5"/>
      <c r="D544" s="3786"/>
      <c r="E544" s="1281" t="s">
        <v>1262</v>
      </c>
      <c r="F544" s="572" t="s">
        <v>3</v>
      </c>
      <c r="G544" s="574">
        <f t="shared" si="56"/>
        <v>0.38</v>
      </c>
      <c r="H544" s="574">
        <f t="shared" si="57"/>
        <v>77.514376224779937</v>
      </c>
      <c r="I544" s="572"/>
      <c r="J544" s="574" t="str">
        <f>IF(F544="operation",VLOOKUP(I544,'Generic Vertical Port Tasks'!$C$4:$D$197,2,FALSE),"N/A")</f>
        <v>N/A</v>
      </c>
      <c r="K544" s="572"/>
      <c r="L544" s="572"/>
      <c r="M544" s="572"/>
      <c r="N544" s="577" t="str">
        <f>IFERROR(INDEX('Upper Cask Movement &amp; Logistics'!$I$24:$O$30,MATCH($J544,'Upper Cask Movement &amp; Logistics'!$H$24:$H$30,0),MATCH($K544,'Upper Cask Movement &amp; Logistics'!$H$24:$H$30,0)),"N/A")</f>
        <v>N/A</v>
      </c>
      <c r="O544" s="577" t="str">
        <f>IFERROR(VLOOKUP($I544,'Upper Cask Movement &amp; Logistics'!$H$4:$I$8,2,FALSE),"N/A")</f>
        <v>N/A</v>
      </c>
      <c r="P544" s="574" t="str">
        <f t="shared" si="55"/>
        <v>N/A</v>
      </c>
      <c r="Q544" s="1282" t="s">
        <v>1226</v>
      </c>
      <c r="R544" s="574">
        <f>IF($F544="Logistics",VLOOKUP($Q544,'Upper Cask Movement &amp; Logistics'!$C$4:$D$209,2,FALSE),"N/A")</f>
        <v>0.38</v>
      </c>
      <c r="S544" s="1283"/>
      <c r="T544" s="574" t="str">
        <f>IFERROR(VLOOKUP($S544,'Upper Cask Recovery Logistics'!$C$521:$F$646,4,FALSE),"N/A")</f>
        <v>N/A</v>
      </c>
      <c r="U544" s="1284" t="str">
        <f t="shared" si="58"/>
        <v>N/A</v>
      </c>
      <c r="V544" s="1510"/>
      <c r="X544" s="273"/>
      <c r="Y544" s="273"/>
      <c r="Z544" s="273"/>
      <c r="AA544" s="752"/>
    </row>
    <row r="545" spans="2:27" ht="15" hidden="1" customHeight="1" outlineLevel="2" x14ac:dyDescent="0.4">
      <c r="B545" s="1061"/>
      <c r="C545" s="5"/>
      <c r="D545" s="3786"/>
      <c r="E545" s="1281" t="s">
        <v>139</v>
      </c>
      <c r="F545" s="572" t="s">
        <v>251</v>
      </c>
      <c r="G545" s="574">
        <f t="shared" si="56"/>
        <v>4.33</v>
      </c>
      <c r="H545" s="574">
        <f t="shared" si="57"/>
        <v>86.604561409965129</v>
      </c>
      <c r="I545" s="572" t="s">
        <v>256</v>
      </c>
      <c r="J545" s="574">
        <f>IF(F545="operation",VLOOKUP(I545,'Generic Vertical Port Tasks'!$C$4:$D$197,2,FALSE),"N/A")</f>
        <v>4.33</v>
      </c>
      <c r="K545" s="572"/>
      <c r="L545" s="572"/>
      <c r="M545" s="572"/>
      <c r="N545" s="577" t="str">
        <f>IFERROR(INDEX('Upper Cask Movement &amp; Logistics'!$I$24:$O$30,MATCH($J545,'Upper Cask Movement &amp; Logistics'!$H$24:$H$30,0),MATCH($K545,'Upper Cask Movement &amp; Logistics'!$H$24:$H$30,0)),"N/A")</f>
        <v>N/A</v>
      </c>
      <c r="O545" s="577" t="str">
        <f>IFERROR(VLOOKUP($I545,'Upper Cask Movement &amp; Logistics'!$H$4:$I$8,2,FALSE),"N/A")</f>
        <v>N/A</v>
      </c>
      <c r="P545" s="574" t="str">
        <f t="shared" si="55"/>
        <v>N/A</v>
      </c>
      <c r="Q545" s="1282"/>
      <c r="R545" s="574" t="str">
        <f>IF($F545="Logistics",VLOOKUP($Q545,'Upper Cask Movement &amp; Logistics'!$C$4:$D$209,2,FALSE),"N/A")</f>
        <v>N/A</v>
      </c>
      <c r="S545" s="1283" t="s">
        <v>1282</v>
      </c>
      <c r="T545" s="574">
        <f>IFERROR(VLOOKUP($S545,'Upper Cask Recovery Logistics'!$C$521:$F$646,4,FALSE),"N/A")</f>
        <v>82.274561409965131</v>
      </c>
      <c r="U545" s="1284">
        <f t="shared" si="58"/>
        <v>-4.7601851851851933</v>
      </c>
      <c r="V545" s="1510"/>
      <c r="X545" s="273"/>
      <c r="Y545" s="273"/>
      <c r="Z545" s="273"/>
      <c r="AA545" s="752"/>
    </row>
    <row r="546" spans="2:27" ht="15" hidden="1" customHeight="1" outlineLevel="2" x14ac:dyDescent="0.4">
      <c r="B546" s="1061"/>
      <c r="C546" s="5"/>
      <c r="D546" s="3786"/>
      <c r="E546" s="1274" t="s">
        <v>1283</v>
      </c>
      <c r="F546" s="1275" t="s">
        <v>3</v>
      </c>
      <c r="G546" s="1276">
        <f t="shared" si="56"/>
        <v>0.60000000000000009</v>
      </c>
      <c r="H546" s="574">
        <f t="shared" si="57"/>
        <v>87.204561409965123</v>
      </c>
      <c r="I546" s="1275"/>
      <c r="J546" s="574" t="str">
        <f>IF(F546="operation",VLOOKUP(I546,'Generic Vertical Port Tasks'!$C$4:$D$197,2,FALSE),"N/A")</f>
        <v>N/A</v>
      </c>
      <c r="K546" s="572"/>
      <c r="L546" s="572"/>
      <c r="M546" s="572"/>
      <c r="N546" s="577" t="str">
        <f>IFERROR(INDEX('Upper Cask Movement &amp; Logistics'!$I$24:$O$30,MATCH($J546,'Upper Cask Movement &amp; Logistics'!$H$24:$H$30,0),MATCH($K546,'Upper Cask Movement &amp; Logistics'!$H$24:$H$30,0)),"N/A")</f>
        <v>N/A</v>
      </c>
      <c r="O546" s="577" t="str">
        <f>IFERROR(VLOOKUP($I546,'Upper Cask Movement &amp; Logistics'!$H$4:$I$8,2,FALSE),"N/A")</f>
        <v>N/A</v>
      </c>
      <c r="P546" s="574" t="str">
        <f t="shared" si="55"/>
        <v>N/A</v>
      </c>
      <c r="Q546" s="1278" t="s">
        <v>1279</v>
      </c>
      <c r="R546" s="574">
        <f>IF($F546="Logistics",VLOOKUP($Q546,'Upper Cask Movement &amp; Logistics'!$C$4:$D$209,2,FALSE),"N/A")</f>
        <v>0.60000000000000009</v>
      </c>
      <c r="S546" s="1283"/>
      <c r="T546" s="574" t="str">
        <f>IFERROR(VLOOKUP($S546,'Upper Cask Recovery Logistics'!$C$521:$F$646,4,FALSE),"N/A")</f>
        <v>N/A</v>
      </c>
      <c r="U546" s="1284" t="str">
        <f t="shared" si="58"/>
        <v>N/A</v>
      </c>
      <c r="V546" s="1510"/>
      <c r="X546" s="273"/>
      <c r="Y546" s="273"/>
      <c r="Z546" s="273"/>
      <c r="AA546" s="752"/>
    </row>
    <row r="547" spans="2:27" ht="15" hidden="1" customHeight="1" outlineLevel="2" x14ac:dyDescent="0.4">
      <c r="B547" s="1061"/>
      <c r="C547" s="5"/>
      <c r="D547" s="3786"/>
      <c r="E547" s="1281" t="s">
        <v>1262</v>
      </c>
      <c r="F547" s="572" t="s">
        <v>3</v>
      </c>
      <c r="G547" s="574">
        <f t="shared" si="56"/>
        <v>0.38</v>
      </c>
      <c r="H547" s="574">
        <f t="shared" si="57"/>
        <v>87.584561409965119</v>
      </c>
      <c r="I547" s="572"/>
      <c r="J547" s="574" t="str">
        <f>IF(F547="operation",VLOOKUP(I547,'Generic Vertical Port Tasks'!$C$4:$D$197,2,FALSE),"N/A")</f>
        <v>N/A</v>
      </c>
      <c r="K547" s="572"/>
      <c r="L547" s="572"/>
      <c r="M547" s="572"/>
      <c r="N547" s="577" t="str">
        <f>IFERROR(INDEX('Upper Cask Movement &amp; Logistics'!$I$24:$O$30,MATCH($J547,'Upper Cask Movement &amp; Logistics'!$H$24:$H$30,0),MATCH($K547,'Upper Cask Movement &amp; Logistics'!$H$24:$H$30,0)),"N/A")</f>
        <v>N/A</v>
      </c>
      <c r="O547" s="577" t="str">
        <f>IFERROR(VLOOKUP($I547,'Upper Cask Movement &amp; Logistics'!$H$4:$I$8,2,FALSE),"N/A")</f>
        <v>N/A</v>
      </c>
      <c r="P547" s="574" t="str">
        <f t="shared" si="55"/>
        <v>N/A</v>
      </c>
      <c r="Q547" s="1282" t="s">
        <v>1226</v>
      </c>
      <c r="R547" s="574">
        <f>IF($F547="Logistics",VLOOKUP($Q547,'Upper Cask Movement &amp; Logistics'!$C$4:$D$209,2,FALSE),"N/A")</f>
        <v>0.38</v>
      </c>
      <c r="S547" s="1283"/>
      <c r="T547" s="574" t="str">
        <f>IFERROR(VLOOKUP($S547,'Upper Cask Recovery Logistics'!$C$521:$F$646,4,FALSE),"N/A")</f>
        <v>N/A</v>
      </c>
      <c r="U547" s="1284" t="str">
        <f t="shared" si="58"/>
        <v>N/A</v>
      </c>
      <c r="V547" s="1510"/>
      <c r="X547" s="273"/>
      <c r="Y547" s="273"/>
      <c r="Z547" s="273"/>
      <c r="AA547" s="752"/>
    </row>
    <row r="548" spans="2:27" ht="15" hidden="1" customHeight="1" outlineLevel="2" x14ac:dyDescent="0.4">
      <c r="B548" s="1061"/>
      <c r="C548" s="5"/>
      <c r="D548" s="3786"/>
      <c r="E548" s="1281" t="s">
        <v>137</v>
      </c>
      <c r="F548" s="572" t="s">
        <v>251</v>
      </c>
      <c r="G548" s="574">
        <f t="shared" si="56"/>
        <v>4.33</v>
      </c>
      <c r="H548" s="574">
        <f t="shared" si="57"/>
        <v>96.67474659515031</v>
      </c>
      <c r="I548" s="572" t="s">
        <v>256</v>
      </c>
      <c r="J548" s="574">
        <f>IF(F548="operation",VLOOKUP(I548,'Generic Vertical Port Tasks'!$C$4:$D$197,2,FALSE),"N/A")</f>
        <v>4.33</v>
      </c>
      <c r="K548" s="572"/>
      <c r="L548" s="572"/>
      <c r="M548" s="572"/>
      <c r="N548" s="577" t="str">
        <f>IFERROR(INDEX('Upper Cask Movement &amp; Logistics'!$I$24:$O$30,MATCH($J548,'Upper Cask Movement &amp; Logistics'!$H$24:$H$30,0),MATCH($K548,'Upper Cask Movement &amp; Logistics'!$H$24:$H$30,0)),"N/A")</f>
        <v>N/A</v>
      </c>
      <c r="O548" s="577" t="str">
        <f>IFERROR(VLOOKUP($I548,'Upper Cask Movement &amp; Logistics'!$H$4:$I$8,2,FALSE),"N/A")</f>
        <v>N/A</v>
      </c>
      <c r="P548" s="574" t="str">
        <f t="shared" si="55"/>
        <v>N/A</v>
      </c>
      <c r="Q548" s="1282"/>
      <c r="R548" s="574" t="str">
        <f>IF($F548="Logistics",VLOOKUP($Q548,'Upper Cask Movement &amp; Logistics'!$C$4:$D$209,2,FALSE),"N/A")</f>
        <v>N/A</v>
      </c>
      <c r="S548" s="1283" t="s">
        <v>1284</v>
      </c>
      <c r="T548" s="574">
        <f>IFERROR(VLOOKUP($S548,'Upper Cask Recovery Logistics'!$C$521:$F$646,4,FALSE),"N/A")</f>
        <v>92.344746595150312</v>
      </c>
      <c r="U548" s="1284">
        <f t="shared" si="58"/>
        <v>-4.7601851851851933</v>
      </c>
      <c r="V548" s="1510"/>
      <c r="X548" s="273"/>
      <c r="Y548" s="273"/>
      <c r="Z548" s="273"/>
      <c r="AA548" s="752"/>
    </row>
    <row r="549" spans="2:27" ht="15" hidden="1" customHeight="1" outlineLevel="2" x14ac:dyDescent="0.4">
      <c r="B549" s="1061"/>
      <c r="C549" s="5"/>
      <c r="D549" s="3786"/>
      <c r="E549" s="1274" t="s">
        <v>1285</v>
      </c>
      <c r="F549" s="1275" t="s">
        <v>3</v>
      </c>
      <c r="G549" s="1276">
        <f t="shared" si="56"/>
        <v>0.60000000000000009</v>
      </c>
      <c r="H549" s="574">
        <f t="shared" si="57"/>
        <v>97.274746595150305</v>
      </c>
      <c r="I549" s="1275"/>
      <c r="J549" s="574" t="str">
        <f>IF(F549="operation",VLOOKUP(I549,'Generic Vertical Port Tasks'!$C$4:$D$197,2,FALSE),"N/A")</f>
        <v>N/A</v>
      </c>
      <c r="K549" s="572"/>
      <c r="L549" s="572"/>
      <c r="M549" s="572"/>
      <c r="N549" s="577" t="str">
        <f>IFERROR(INDEX('Upper Cask Movement &amp; Logistics'!$I$24:$O$30,MATCH($J549,'Upper Cask Movement &amp; Logistics'!$H$24:$H$30,0),MATCH($K549,'Upper Cask Movement &amp; Logistics'!$H$24:$H$30,0)),"N/A")</f>
        <v>N/A</v>
      </c>
      <c r="O549" s="577" t="str">
        <f>IFERROR(VLOOKUP($I549,'Upper Cask Movement &amp; Logistics'!$H$4:$I$8,2,FALSE),"N/A")</f>
        <v>N/A</v>
      </c>
      <c r="P549" s="574" t="str">
        <f t="shared" si="55"/>
        <v>N/A</v>
      </c>
      <c r="Q549" s="1278" t="s">
        <v>1279</v>
      </c>
      <c r="R549" s="574">
        <f>IF($F549="Logistics",VLOOKUP($Q549,'Upper Cask Movement &amp; Logistics'!$C$4:$D$209,2,FALSE),"N/A")</f>
        <v>0.60000000000000009</v>
      </c>
      <c r="S549" s="1283"/>
      <c r="T549" s="574" t="str">
        <f>IFERROR(VLOOKUP($S549,'Upper Cask Recovery Logistics'!$C$521:$F$646,4,FALSE),"N/A")</f>
        <v>N/A</v>
      </c>
      <c r="U549" s="1284" t="str">
        <f t="shared" si="58"/>
        <v>N/A</v>
      </c>
      <c r="V549" s="1510"/>
      <c r="X549" s="273"/>
      <c r="Y549" s="273"/>
      <c r="Z549" s="273"/>
      <c r="AA549" s="752"/>
    </row>
    <row r="550" spans="2:27" ht="15" hidden="1" customHeight="1" outlineLevel="2" x14ac:dyDescent="0.4">
      <c r="B550" s="1061"/>
      <c r="C550" s="5"/>
      <c r="D550" s="3786"/>
      <c r="E550" s="1281" t="s">
        <v>1262</v>
      </c>
      <c r="F550" s="572" t="s">
        <v>3</v>
      </c>
      <c r="G550" s="574">
        <f t="shared" si="56"/>
        <v>0.38</v>
      </c>
      <c r="H550" s="574">
        <f t="shared" si="57"/>
        <v>97.6547465951503</v>
      </c>
      <c r="I550" s="572"/>
      <c r="J550" s="574" t="str">
        <f>IF(F550="operation",VLOOKUP(I550,'Generic Vertical Port Tasks'!$C$4:$D$197,2,FALSE),"N/A")</f>
        <v>N/A</v>
      </c>
      <c r="K550" s="572"/>
      <c r="L550" s="572"/>
      <c r="M550" s="572"/>
      <c r="N550" s="577" t="str">
        <f>IFERROR(INDEX('Upper Cask Movement &amp; Logistics'!$I$24:$O$30,MATCH($J550,'Upper Cask Movement &amp; Logistics'!$H$24:$H$30,0),MATCH($K550,'Upper Cask Movement &amp; Logistics'!$H$24:$H$30,0)),"N/A")</f>
        <v>N/A</v>
      </c>
      <c r="O550" s="577" t="str">
        <f>IFERROR(VLOOKUP($I550,'Upper Cask Movement &amp; Logistics'!$H$4:$I$8,2,FALSE),"N/A")</f>
        <v>N/A</v>
      </c>
      <c r="P550" s="574" t="str">
        <f t="shared" si="55"/>
        <v>N/A</v>
      </c>
      <c r="Q550" s="1282" t="s">
        <v>1226</v>
      </c>
      <c r="R550" s="574">
        <f>IF($F550="Logistics",VLOOKUP($Q550,'Upper Cask Movement &amp; Logistics'!$C$4:$D$209,2,FALSE),"N/A")</f>
        <v>0.38</v>
      </c>
      <c r="S550" s="1283"/>
      <c r="T550" s="574" t="str">
        <f>IFERROR(VLOOKUP($S550,'Upper Cask Recovery Logistics'!$C$521:$F$646,4,FALSE),"N/A")</f>
        <v>N/A</v>
      </c>
      <c r="U550" s="1284" t="str">
        <f t="shared" si="58"/>
        <v>N/A</v>
      </c>
      <c r="V550" s="1510"/>
      <c r="X550" s="273"/>
      <c r="Y550" s="273"/>
      <c r="Z550" s="273"/>
      <c r="AA550" s="752"/>
    </row>
    <row r="551" spans="2:27" ht="15" hidden="1" customHeight="1" outlineLevel="2" x14ac:dyDescent="0.4">
      <c r="B551" s="1061"/>
      <c r="C551" s="5"/>
      <c r="D551" s="3786"/>
      <c r="E551" s="1281" t="s">
        <v>133</v>
      </c>
      <c r="F551" s="572" t="s">
        <v>251</v>
      </c>
      <c r="G551" s="574">
        <f t="shared" si="56"/>
        <v>4.33</v>
      </c>
      <c r="H551" s="574">
        <f t="shared" si="57"/>
        <v>106.74493178033549</v>
      </c>
      <c r="I551" s="572" t="s">
        <v>256</v>
      </c>
      <c r="J551" s="574">
        <f>IF(F551="operation",VLOOKUP(I551,'Generic Vertical Port Tasks'!$C$4:$D$197,2,FALSE),"N/A")</f>
        <v>4.33</v>
      </c>
      <c r="K551" s="572"/>
      <c r="L551" s="572"/>
      <c r="M551" s="572"/>
      <c r="N551" s="577" t="str">
        <f>IFERROR(INDEX('Upper Cask Movement &amp; Logistics'!$I$24:$O$30,MATCH($J551,'Upper Cask Movement &amp; Logistics'!$H$24:$H$30,0),MATCH($K551,'Upper Cask Movement &amp; Logistics'!$H$24:$H$30,0)),"N/A")</f>
        <v>N/A</v>
      </c>
      <c r="O551" s="577" t="str">
        <f>IFERROR(VLOOKUP($I551,'Upper Cask Movement &amp; Logistics'!$H$4:$I$8,2,FALSE),"N/A")</f>
        <v>N/A</v>
      </c>
      <c r="P551" s="574" t="str">
        <f t="shared" si="55"/>
        <v>N/A</v>
      </c>
      <c r="Q551" s="1282"/>
      <c r="R551" s="574" t="str">
        <f>IF($F551="Logistics",VLOOKUP($Q551,'Upper Cask Movement &amp; Logistics'!$C$4:$D$209,2,FALSE),"N/A")</f>
        <v>N/A</v>
      </c>
      <c r="S551" s="1283" t="s">
        <v>1286</v>
      </c>
      <c r="T551" s="574">
        <f>IFERROR(VLOOKUP($S551,'Upper Cask Recovery Logistics'!$C$521:$F$646,4,FALSE),"N/A")</f>
        <v>102.41493178033549</v>
      </c>
      <c r="U551" s="1284">
        <f t="shared" si="58"/>
        <v>-4.7601851851851933</v>
      </c>
      <c r="V551" s="1510"/>
      <c r="X551" s="273"/>
      <c r="Y551" s="273"/>
      <c r="Z551" s="273"/>
      <c r="AA551" s="752"/>
    </row>
    <row r="552" spans="2:27" ht="15" hidden="1" customHeight="1" outlineLevel="2" x14ac:dyDescent="0.4">
      <c r="B552" s="1061"/>
      <c r="C552" s="5"/>
      <c r="D552" s="3786"/>
      <c r="E552" s="1274" t="s">
        <v>1287</v>
      </c>
      <c r="F552" s="1275" t="s">
        <v>3</v>
      </c>
      <c r="G552" s="1276">
        <f t="shared" si="56"/>
        <v>0.60000000000000009</v>
      </c>
      <c r="H552" s="574">
        <f t="shared" si="57"/>
        <v>107.34493178033549</v>
      </c>
      <c r="I552" s="1275"/>
      <c r="J552" s="574" t="str">
        <f>IF(F552="operation",VLOOKUP(I552,'Generic Vertical Port Tasks'!$C$4:$D$197,2,FALSE),"N/A")</f>
        <v>N/A</v>
      </c>
      <c r="K552" s="572"/>
      <c r="L552" s="572"/>
      <c r="M552" s="572"/>
      <c r="N552" s="577" t="str">
        <f>IFERROR(INDEX('Upper Cask Movement &amp; Logistics'!$I$24:$O$30,MATCH($J552,'Upper Cask Movement &amp; Logistics'!$H$24:$H$30,0),MATCH($K552,'Upper Cask Movement &amp; Logistics'!$H$24:$H$30,0)),"N/A")</f>
        <v>N/A</v>
      </c>
      <c r="O552" s="577" t="str">
        <f>IFERROR(VLOOKUP($I552,'Upper Cask Movement &amp; Logistics'!$H$4:$I$8,2,FALSE),"N/A")</f>
        <v>N/A</v>
      </c>
      <c r="P552" s="574" t="str">
        <f t="shared" si="55"/>
        <v>N/A</v>
      </c>
      <c r="Q552" s="1278" t="s">
        <v>1279</v>
      </c>
      <c r="R552" s="574">
        <f>IF($F552="Logistics",VLOOKUP($Q552,'Upper Cask Movement &amp; Logistics'!$C$4:$D$209,2,FALSE),"N/A")</f>
        <v>0.60000000000000009</v>
      </c>
      <c r="S552" s="1283"/>
      <c r="T552" s="574" t="str">
        <f>IFERROR(VLOOKUP($S552,'Upper Cask Recovery Logistics'!$C$521:$F$646,4,FALSE),"N/A")</f>
        <v>N/A</v>
      </c>
      <c r="U552" s="1284" t="str">
        <f t="shared" si="58"/>
        <v>N/A</v>
      </c>
      <c r="V552" s="1510"/>
      <c r="X552" s="273"/>
      <c r="Y552" s="273"/>
      <c r="Z552" s="273"/>
      <c r="AA552" s="752"/>
    </row>
    <row r="553" spans="2:27" ht="15" hidden="1" customHeight="1" outlineLevel="2" x14ac:dyDescent="0.4">
      <c r="B553" s="1061"/>
      <c r="C553" s="5"/>
      <c r="D553" s="3786"/>
      <c r="E553" s="1281" t="s">
        <v>1262</v>
      </c>
      <c r="F553" s="572" t="s">
        <v>3</v>
      </c>
      <c r="G553" s="574">
        <f t="shared" si="56"/>
        <v>0.38</v>
      </c>
      <c r="H553" s="574">
        <f t="shared" si="57"/>
        <v>107.72493178033548</v>
      </c>
      <c r="I553" s="572"/>
      <c r="J553" s="574" t="str">
        <f>IF(F553="operation",VLOOKUP(I553,'Generic Vertical Port Tasks'!$C$4:$D$197,2,FALSE),"N/A")</f>
        <v>N/A</v>
      </c>
      <c r="K553" s="572"/>
      <c r="L553" s="572"/>
      <c r="M553" s="572"/>
      <c r="N553" s="577" t="str">
        <f>IFERROR(INDEX('Upper Cask Movement &amp; Logistics'!$I$24:$O$30,MATCH($J553,'Upper Cask Movement &amp; Logistics'!$H$24:$H$30,0),MATCH($K553,'Upper Cask Movement &amp; Logistics'!$H$24:$H$30,0)),"N/A")</f>
        <v>N/A</v>
      </c>
      <c r="O553" s="577" t="str">
        <f>IFERROR(VLOOKUP($I553,'Upper Cask Movement &amp; Logistics'!$H$4:$I$8,2,FALSE),"N/A")</f>
        <v>N/A</v>
      </c>
      <c r="P553" s="574" t="str">
        <f t="shared" si="55"/>
        <v>N/A</v>
      </c>
      <c r="Q553" s="1282" t="s">
        <v>1226</v>
      </c>
      <c r="R553" s="574">
        <f>IF($F553="Logistics",VLOOKUP($Q553,'Upper Cask Movement &amp; Logistics'!$C$4:$D$209,2,FALSE),"N/A")</f>
        <v>0.38</v>
      </c>
      <c r="S553" s="1283"/>
      <c r="T553" s="574" t="str">
        <f>IFERROR(VLOOKUP($S553,'Upper Cask Recovery Logistics'!$C$521:$F$646,4,FALSE),"N/A")</f>
        <v>N/A</v>
      </c>
      <c r="U553" s="1284" t="str">
        <f t="shared" si="58"/>
        <v>N/A</v>
      </c>
      <c r="V553" s="1510"/>
      <c r="X553" s="273"/>
      <c r="Y553" s="273"/>
      <c r="Z553" s="273"/>
      <c r="AA553" s="752"/>
    </row>
    <row r="554" spans="2:27" ht="15" hidden="1" customHeight="1" outlineLevel="2" thickBot="1" x14ac:dyDescent="0.45">
      <c r="B554" s="1061"/>
      <c r="C554" s="5"/>
      <c r="D554" s="3788"/>
      <c r="E554" s="583" t="s">
        <v>134</v>
      </c>
      <c r="F554" s="583" t="s">
        <v>251</v>
      </c>
      <c r="G554" s="585">
        <f t="shared" si="56"/>
        <v>4.33</v>
      </c>
      <c r="H554" s="585">
        <f t="shared" si="57"/>
        <v>116.81511696552067</v>
      </c>
      <c r="I554" s="583" t="s">
        <v>256</v>
      </c>
      <c r="J554" s="585">
        <f>IF(F554="operation",VLOOKUP(I554,'Generic Vertical Port Tasks'!$C$4:$D$197,2,FALSE),"N/A")</f>
        <v>4.33</v>
      </c>
      <c r="K554" s="583"/>
      <c r="L554" s="583"/>
      <c r="M554" s="583"/>
      <c r="N554" s="588" t="str">
        <f>IFERROR(INDEX('Upper Cask Movement &amp; Logistics'!$I$24:$O$30,MATCH($J554,'Upper Cask Movement &amp; Logistics'!$H$24:$H$30,0),MATCH($K554,'Upper Cask Movement &amp; Logistics'!$H$24:$H$30,0)),"N/A")</f>
        <v>N/A</v>
      </c>
      <c r="O554" s="588" t="str">
        <f>IFERROR(VLOOKUP($I554,'Upper Cask Movement &amp; Logistics'!$H$4:$I$8,2,FALSE),"N/A")</f>
        <v>N/A</v>
      </c>
      <c r="P554" s="585" t="str">
        <f t="shared" si="55"/>
        <v>N/A</v>
      </c>
      <c r="Q554" s="1285"/>
      <c r="R554" s="585" t="str">
        <f>IF($F554="Logistics",VLOOKUP($Q554,'Upper Cask Movement &amp; Logistics'!$C$4:$D$209,2,FALSE),"N/A")</f>
        <v>N/A</v>
      </c>
      <c r="S554" s="1286" t="s">
        <v>1288</v>
      </c>
      <c r="T554" s="574">
        <f>IFERROR(VLOOKUP($S554,'Upper Cask Recovery Logistics'!$C$521:$F$646,4,FALSE),"N/A")</f>
        <v>112.48511696552067</v>
      </c>
      <c r="U554" s="1287">
        <f t="shared" si="58"/>
        <v>-4.7601851851851933</v>
      </c>
      <c r="V554" s="1510"/>
      <c r="X554" s="273"/>
      <c r="Y554" s="273"/>
      <c r="Z554" s="273"/>
      <c r="AA554" s="752"/>
    </row>
    <row r="555" spans="2:27" ht="15" hidden="1" customHeight="1" outlineLevel="2" x14ac:dyDescent="0.4">
      <c r="B555" s="1061"/>
      <c r="C555" s="5"/>
      <c r="D555" s="3992" t="s">
        <v>117</v>
      </c>
      <c r="E555" s="596" t="s">
        <v>1519</v>
      </c>
      <c r="F555" s="596" t="s">
        <v>3</v>
      </c>
      <c r="G555" s="593">
        <f t="shared" si="56"/>
        <v>0.60000000000000009</v>
      </c>
      <c r="H555" s="593">
        <f t="shared" si="57"/>
        <v>123.27178363218735</v>
      </c>
      <c r="I555" s="596"/>
      <c r="J555" s="593" t="str">
        <f>IF(F555="operation",VLOOKUP(I555,'Generic Vertical Port Tasks'!$C$4:$D$197,2,FALSE),"N/A")</f>
        <v>N/A</v>
      </c>
      <c r="K555" s="596"/>
      <c r="L555" s="596"/>
      <c r="M555" s="596"/>
      <c r="N555" s="597" t="str">
        <f>IFERROR(INDEX('Upper Cask Movement &amp; Logistics'!$I$24:$O$30,MATCH($J555,'Upper Cask Movement &amp; Logistics'!$H$24:$H$30,0),MATCH($K555,'Upper Cask Movement &amp; Logistics'!$H$24:$H$30,0)),"N/A")</f>
        <v>N/A</v>
      </c>
      <c r="O555" s="597" t="str">
        <f>IFERROR(VLOOKUP($I555,'Upper Cask Movement &amp; Logistics'!$H$4:$I$8,2,FALSE),"N/A")</f>
        <v>N/A</v>
      </c>
      <c r="P555" s="593" t="str">
        <f t="shared" si="55"/>
        <v>N/A</v>
      </c>
      <c r="Q555" s="1253" t="s">
        <v>1279</v>
      </c>
      <c r="R555" s="593">
        <f>IF($F555="Logistics",VLOOKUP($Q555,'Upper Cask Movement &amp; Logistics'!$C$4:$D$209,2,FALSE),"N/A")</f>
        <v>0.60000000000000009</v>
      </c>
      <c r="S555" s="1254" t="s">
        <v>1295</v>
      </c>
      <c r="T555" s="593">
        <f>IFERROR(VLOOKUP($S555,'Upper Cask Recovery Logistics'!$C$521:$F$646,4,FALSE),"N/A")</f>
        <v>122.67178363218736</v>
      </c>
      <c r="U555" s="1255">
        <f t="shared" si="58"/>
        <v>-5.8566666666666833</v>
      </c>
      <c r="V555" s="1510"/>
      <c r="X555" s="273"/>
      <c r="Y555" s="273"/>
      <c r="Z555" s="273"/>
      <c r="AA555" s="752"/>
    </row>
    <row r="556" spans="2:27" ht="15" hidden="1" customHeight="1" outlineLevel="2" x14ac:dyDescent="0.4">
      <c r="B556" s="1061"/>
      <c r="C556" s="5"/>
      <c r="D556" s="3993"/>
      <c r="E556" s="601" t="s">
        <v>1517</v>
      </c>
      <c r="F556" s="601" t="s">
        <v>3</v>
      </c>
      <c r="G556" s="602">
        <f t="shared" si="56"/>
        <v>0.38</v>
      </c>
      <c r="H556" s="602">
        <f t="shared" si="57"/>
        <v>123.65178363218735</v>
      </c>
      <c r="I556" s="601"/>
      <c r="J556" s="602" t="str">
        <f>IF(F556="operation",VLOOKUP(I556,'Generic Vertical Port Tasks'!$C$4:$D$197,2,FALSE),"N/A")</f>
        <v>N/A</v>
      </c>
      <c r="K556" s="601"/>
      <c r="L556" s="601"/>
      <c r="M556" s="601"/>
      <c r="N556" s="605" t="str">
        <f>IFERROR(INDEX('Upper Cask Movement &amp; Logistics'!$I$24:$O$30,MATCH($J556,'Upper Cask Movement &amp; Logistics'!$H$24:$H$30,0),MATCH($K556,'Upper Cask Movement &amp; Logistics'!$H$24:$H$30,0)),"N/A")</f>
        <v>N/A</v>
      </c>
      <c r="O556" s="605" t="str">
        <f>IFERROR(VLOOKUP($I556,'Upper Cask Movement &amp; Logistics'!$H$4:$I$8,2,FALSE),"N/A")</f>
        <v>N/A</v>
      </c>
      <c r="P556" s="602" t="str">
        <f t="shared" si="55"/>
        <v>N/A</v>
      </c>
      <c r="Q556" s="1288" t="s">
        <v>1226</v>
      </c>
      <c r="R556" s="602">
        <f>IF($F556="Logistics",VLOOKUP($Q556,'Upper Cask Movement &amp; Logistics'!$C$4:$D$209,2,FALSE),"N/A")</f>
        <v>0.38</v>
      </c>
      <c r="S556" s="1235"/>
      <c r="T556" s="602" t="str">
        <f>IFERROR(VLOOKUP($S556,'Upper Cask Recovery Logistics'!$C$521:$F$646,4,FALSE),"N/A")</f>
        <v>N/A</v>
      </c>
      <c r="U556" s="1236" t="str">
        <f t="shared" si="58"/>
        <v>N/A</v>
      </c>
      <c r="V556" s="1510"/>
      <c r="X556" s="273"/>
      <c r="Y556" s="273"/>
      <c r="Z556" s="273"/>
      <c r="AA556" s="752"/>
    </row>
    <row r="557" spans="2:27" ht="15" hidden="1" customHeight="1" outlineLevel="2" x14ac:dyDescent="0.4">
      <c r="B557" s="1061"/>
      <c r="C557" s="5"/>
      <c r="D557" s="3993"/>
      <c r="E557" s="601" t="s">
        <v>117</v>
      </c>
      <c r="F557" s="601" t="s">
        <v>251</v>
      </c>
      <c r="G557" s="602">
        <f t="shared" si="56"/>
        <v>4.0949999999999998</v>
      </c>
      <c r="H557" s="602">
        <f t="shared" si="57"/>
        <v>127.74678363218734</v>
      </c>
      <c r="I557" s="601" t="s">
        <v>35</v>
      </c>
      <c r="J557" s="602">
        <f>IF(F557="operation",VLOOKUP(I557,'Generic Vertical Port Tasks'!$C$4:$D$197,2,FALSE),"N/A")</f>
        <v>4.0949999999999998</v>
      </c>
      <c r="K557" s="601"/>
      <c r="L557" s="601"/>
      <c r="M557" s="601"/>
      <c r="N557" s="605" t="str">
        <f>IFERROR(INDEX('Upper Cask Movement &amp; Logistics'!$I$24:$O$30,MATCH($J557,'Upper Cask Movement &amp; Logistics'!$H$24:$H$30,0),MATCH($K557,'Upper Cask Movement &amp; Logistics'!$H$24:$H$30,0)),"N/A")</f>
        <v>N/A</v>
      </c>
      <c r="O557" s="605" t="str">
        <f>IFERROR(VLOOKUP($I557,'Upper Cask Movement &amp; Logistics'!$H$4:$I$8,2,FALSE),"N/A")</f>
        <v>N/A</v>
      </c>
      <c r="P557" s="602" t="str">
        <f t="shared" si="55"/>
        <v>N/A</v>
      </c>
      <c r="Q557" s="1234"/>
      <c r="R557" s="602" t="str">
        <f>IF($F557="Logistics",VLOOKUP($Q557,'Upper Cask Movement &amp; Logistics'!$C$4:$D$209,2,FALSE),"N/A")</f>
        <v>N/A</v>
      </c>
      <c r="S557" s="1235"/>
      <c r="T557" s="602" t="str">
        <f>IFERROR(VLOOKUP($S557,'Upper Cask Recovery Logistics'!$C$521:$F$646,4,FALSE),"N/A")</f>
        <v>N/A</v>
      </c>
      <c r="U557" s="1236" t="str">
        <f t="shared" si="58"/>
        <v>N/A</v>
      </c>
      <c r="V557" s="1510"/>
      <c r="X557" s="273"/>
      <c r="Y557" s="273"/>
      <c r="Z557" s="273"/>
      <c r="AA557" s="752"/>
    </row>
    <row r="558" spans="2:27" ht="15" hidden="1" customHeight="1" outlineLevel="2" thickBot="1" x14ac:dyDescent="0.45">
      <c r="B558" s="1061"/>
      <c r="C558" s="5"/>
      <c r="D558" s="3994"/>
      <c r="E558" s="609" t="s">
        <v>1251</v>
      </c>
      <c r="F558" s="1511" t="s">
        <v>3</v>
      </c>
      <c r="G558" s="610">
        <f t="shared" si="56"/>
        <v>0.38</v>
      </c>
      <c r="H558" s="610">
        <f t="shared" si="57"/>
        <v>128.12678363218734</v>
      </c>
      <c r="I558" s="609"/>
      <c r="J558" s="610" t="str">
        <f>IF(F558="operation",VLOOKUP(I558,'Generic Vertical Port Tasks'!$C$4:$D$197,2,FALSE),"N/A")</f>
        <v>N/A</v>
      </c>
      <c r="K558" s="609"/>
      <c r="L558" s="609"/>
      <c r="M558" s="609"/>
      <c r="N558" s="613" t="str">
        <f>IFERROR(INDEX('Upper Cask Movement &amp; Logistics'!$I$24:$O$30,MATCH($J558,'Upper Cask Movement &amp; Logistics'!$H$24:$H$30,0),MATCH($K558,'Upper Cask Movement &amp; Logistics'!$H$24:$H$30,0)),"N/A")</f>
        <v>N/A</v>
      </c>
      <c r="O558" s="613" t="str">
        <f>IFERROR(VLOOKUP($I558,'Upper Cask Movement &amp; Logistics'!$H$4:$I$8,2,FALSE),"N/A")</f>
        <v>N/A</v>
      </c>
      <c r="P558" s="610" t="str">
        <f t="shared" si="55"/>
        <v>N/A</v>
      </c>
      <c r="Q558" s="1237" t="s">
        <v>1230</v>
      </c>
      <c r="R558" s="610">
        <f>IF($F558="Logistics",VLOOKUP($Q558,'Upper Cask Movement &amp; Logistics'!$C$4:$D$209,2,FALSE),"N/A")</f>
        <v>0.38</v>
      </c>
      <c r="S558" s="1238"/>
      <c r="T558" s="610" t="str">
        <f>IFERROR(VLOOKUP($S558,'Upper Cask Recovery Logistics'!$C$521:$F$646,4,FALSE),"N/A")</f>
        <v>N/A</v>
      </c>
      <c r="U558" s="1239" t="str">
        <f t="shared" si="58"/>
        <v>N/A</v>
      </c>
      <c r="V558" s="1510"/>
      <c r="X558" s="273"/>
      <c r="Y558" s="273"/>
      <c r="Z558" s="273"/>
      <c r="AA558" s="752"/>
    </row>
    <row r="559" spans="2:27" ht="15" hidden="1" customHeight="1" outlineLevel="2" x14ac:dyDescent="0.4">
      <c r="B559" s="1061"/>
      <c r="C559" s="5"/>
      <c r="D559" s="3995" t="s">
        <v>1086</v>
      </c>
      <c r="E559" s="617" t="s">
        <v>1299</v>
      </c>
      <c r="F559" s="617" t="s">
        <v>3</v>
      </c>
      <c r="G559" s="567">
        <f t="shared" si="56"/>
        <v>0.38</v>
      </c>
      <c r="H559" s="567">
        <f t="shared" si="57"/>
        <v>128.50678363218734</v>
      </c>
      <c r="I559" s="617"/>
      <c r="J559" s="567" t="str">
        <f>IF(F559="operation",VLOOKUP(I559,'Generic Vertical Port Tasks'!$C$4:$D$197,2,FALSE),"N/A")</f>
        <v>N/A</v>
      </c>
      <c r="K559" s="617"/>
      <c r="L559" s="617"/>
      <c r="M559" s="617"/>
      <c r="N559" s="618" t="str">
        <f>IFERROR(INDEX('Upper Cask Movement &amp; Logistics'!$I$24:$O$30,MATCH($J559,'Upper Cask Movement &amp; Logistics'!$H$24:$H$30,0),MATCH($K559,'Upper Cask Movement &amp; Logistics'!$H$24:$H$30,0)),"N/A")</f>
        <v>N/A</v>
      </c>
      <c r="O559" s="618" t="str">
        <f>IFERROR(VLOOKUP($I559,'Upper Cask Movement &amp; Logistics'!$H$4:$I$8,2,FALSE),"N/A")</f>
        <v>N/A</v>
      </c>
      <c r="P559" s="567" t="str">
        <f t="shared" si="55"/>
        <v>N/A</v>
      </c>
      <c r="Q559" s="1271" t="s">
        <v>1226</v>
      </c>
      <c r="R559" s="567">
        <f>IF($F559="Logistics",VLOOKUP($Q559,'Upper Cask Movement &amp; Logistics'!$C$4:$D$209,2,FALSE),"N/A")</f>
        <v>0.38</v>
      </c>
      <c r="S559" s="1272"/>
      <c r="T559" s="567" t="str">
        <f>IFERROR(VLOOKUP($S559,'Upper Cask Recovery Logistics'!$C$521:$F$646,4,FALSE),"N/A")</f>
        <v>N/A</v>
      </c>
      <c r="U559" s="1273" t="str">
        <f t="shared" si="58"/>
        <v>N/A</v>
      </c>
      <c r="V559" s="1510"/>
      <c r="X559" s="273"/>
      <c r="Y559" s="273"/>
      <c r="Z559" s="273"/>
      <c r="AA559" s="752"/>
    </row>
    <row r="560" spans="2:27" ht="15" hidden="1" customHeight="1" outlineLevel="2" x14ac:dyDescent="0.4">
      <c r="B560" s="1061"/>
      <c r="C560" s="5"/>
      <c r="D560" s="3996"/>
      <c r="E560" s="572" t="s">
        <v>128</v>
      </c>
      <c r="F560" s="572" t="s">
        <v>251</v>
      </c>
      <c r="G560" s="574">
        <f t="shared" si="56"/>
        <v>24.022732551873563</v>
      </c>
      <c r="H560" s="574">
        <f t="shared" si="57"/>
        <v>152.5295161840609</v>
      </c>
      <c r="I560" s="572" t="s">
        <v>2492</v>
      </c>
      <c r="J560" s="574">
        <f>IF(F560="operation",VLOOKUP(I560,'Generic Vertical Port Tasks'!$C$4:$D$197,2,FALSE),"N/A")</f>
        <v>24.022732551873563</v>
      </c>
      <c r="K560" s="572"/>
      <c r="L560" s="572"/>
      <c r="M560" s="572"/>
      <c r="N560" s="577" t="str">
        <f>IFERROR(INDEX('Upper Cask Movement &amp; Logistics'!$I$24:$O$30,MATCH($J560,'Upper Cask Movement &amp; Logistics'!$H$24:$H$30,0),MATCH($K560,'Upper Cask Movement &amp; Logistics'!$H$24:$H$30,0)),"N/A")</f>
        <v>N/A</v>
      </c>
      <c r="O560" s="577" t="str">
        <f>IFERROR(VLOOKUP($I560,'Upper Cask Movement &amp; Logistics'!$H$4:$I$8,2,FALSE),"N/A")</f>
        <v>N/A</v>
      </c>
      <c r="P560" s="574" t="str">
        <f t="shared" si="55"/>
        <v>N/A</v>
      </c>
      <c r="Q560" s="1282"/>
      <c r="R560" s="574" t="str">
        <f>IF($F560="Logistics",VLOOKUP($Q560,'Upper Cask Movement &amp; Logistics'!$C$4:$D$209,2,FALSE),"N/A")</f>
        <v>N/A</v>
      </c>
      <c r="S560" s="1283"/>
      <c r="T560" s="574" t="str">
        <f>IFERROR(VLOOKUP($S560,'Upper Cask Recovery Logistics'!$C$521:$F$646,4,FALSE),"N/A")</f>
        <v>N/A</v>
      </c>
      <c r="U560" s="1284" t="str">
        <f t="shared" si="58"/>
        <v>N/A</v>
      </c>
      <c r="V560" s="1510"/>
      <c r="X560" s="273"/>
      <c r="Y560" s="273"/>
      <c r="Z560" s="273"/>
      <c r="AA560" s="752"/>
    </row>
    <row r="561" spans="2:27" ht="15" hidden="1" customHeight="1" outlineLevel="2" thickBot="1" x14ac:dyDescent="0.45">
      <c r="B561" s="1061"/>
      <c r="C561" s="5"/>
      <c r="D561" s="3997"/>
      <c r="E561" s="583" t="s">
        <v>1248</v>
      </c>
      <c r="F561" s="583" t="s">
        <v>3</v>
      </c>
      <c r="G561" s="585">
        <f t="shared" si="56"/>
        <v>0.38</v>
      </c>
      <c r="H561" s="585">
        <f t="shared" si="57"/>
        <v>152.90951618406089</v>
      </c>
      <c r="I561" s="583"/>
      <c r="J561" s="585" t="str">
        <f>IF(F561="operation",VLOOKUP(I561,'Generic Vertical Port Tasks'!$C$4:$D$197,2,FALSE),"N/A")</f>
        <v>N/A</v>
      </c>
      <c r="K561" s="583"/>
      <c r="L561" s="583"/>
      <c r="M561" s="583"/>
      <c r="N561" s="588" t="str">
        <f>IFERROR(INDEX('Upper Cask Movement &amp; Logistics'!$I$24:$O$30,MATCH($J561,'Upper Cask Movement &amp; Logistics'!$H$24:$H$30,0),MATCH($K561,'Upper Cask Movement &amp; Logistics'!$H$24:$H$30,0)),"N/A")</f>
        <v>N/A</v>
      </c>
      <c r="O561" s="588" t="str">
        <f>IFERROR(VLOOKUP($I561,'Upper Cask Movement &amp; Logistics'!$H$4:$I$8,2,FALSE),"N/A")</f>
        <v>N/A</v>
      </c>
      <c r="P561" s="585" t="str">
        <f t="shared" si="55"/>
        <v>N/A</v>
      </c>
      <c r="Q561" s="1285" t="s">
        <v>1230</v>
      </c>
      <c r="R561" s="585">
        <f>IF($F561="Logistics",VLOOKUP($Q561,'Upper Cask Movement &amp; Logistics'!$C$4:$D$209,2,FALSE),"N/A")</f>
        <v>0.38</v>
      </c>
      <c r="S561" s="1286" t="s">
        <v>1520</v>
      </c>
      <c r="T561" s="585" t="str">
        <f>IFERROR(VLOOKUP($S561,'Upper Cask Recovery Logistics'!$C$521:$F$646,4,FALSE),"N/A")</f>
        <v>N/A</v>
      </c>
      <c r="U561" s="1287" t="str">
        <f t="shared" si="58"/>
        <v>N/A</v>
      </c>
      <c r="V561" s="1510"/>
      <c r="X561" s="273"/>
      <c r="Y561" s="273"/>
      <c r="Z561" s="273"/>
      <c r="AA561" s="752"/>
    </row>
    <row r="562" spans="2:27" hidden="1" outlineLevel="1" collapsed="1" x14ac:dyDescent="0.4">
      <c r="B562" s="1061"/>
      <c r="C562" s="5"/>
      <c r="D562" s="891"/>
      <c r="E562" s="892"/>
      <c r="F562" s="893" t="s">
        <v>11</v>
      </c>
      <c r="G562" s="893"/>
      <c r="H562" s="894">
        <f>H561</f>
        <v>152.90951618406089</v>
      </c>
      <c r="I562" s="94"/>
      <c r="J562" s="895"/>
      <c r="K562" s="94"/>
      <c r="L562" s="94"/>
      <c r="M562" s="896"/>
      <c r="N562" s="897"/>
      <c r="O562" s="897"/>
      <c r="P562" s="894"/>
      <c r="Q562" s="94"/>
      <c r="R562" s="897"/>
      <c r="S562" s="94"/>
      <c r="T562" s="7"/>
      <c r="U562" s="895"/>
      <c r="V562" s="895"/>
      <c r="W562" s="895"/>
      <c r="X562" s="7"/>
      <c r="Y562" s="7"/>
      <c r="Z562" s="7"/>
      <c r="AA562" s="995"/>
    </row>
    <row r="563" spans="2:27" hidden="1" outlineLevel="1" x14ac:dyDescent="0.4">
      <c r="B563" s="1061"/>
      <c r="C563" s="5"/>
      <c r="D563" s="891"/>
      <c r="E563" s="892"/>
      <c r="F563" s="898"/>
      <c r="G563" s="894"/>
      <c r="H563" s="894"/>
      <c r="I563" s="94"/>
      <c r="J563" s="895"/>
      <c r="K563" s="94"/>
      <c r="L563" s="94"/>
      <c r="M563" s="896"/>
      <c r="N563" s="897"/>
      <c r="O563" s="897"/>
      <c r="P563" s="894"/>
      <c r="Q563" s="94"/>
      <c r="R563" s="897"/>
      <c r="S563" s="94"/>
      <c r="T563" s="7"/>
      <c r="U563" s="895"/>
      <c r="V563" s="895"/>
      <c r="W563" s="895"/>
      <c r="X563" s="7"/>
      <c r="Y563" s="7"/>
      <c r="Z563" s="7"/>
      <c r="AA563" s="995"/>
    </row>
    <row r="564" spans="2:27" collapsed="1" x14ac:dyDescent="0.4">
      <c r="B564" s="1068"/>
      <c r="C564" s="1069"/>
      <c r="D564" s="1069"/>
      <c r="E564" s="1069"/>
      <c r="F564" s="1070"/>
      <c r="G564" s="1069"/>
      <c r="H564" s="1069"/>
      <c r="I564" s="1071"/>
      <c r="J564" s="1072"/>
      <c r="K564" s="1069"/>
      <c r="L564" s="1069"/>
      <c r="M564" s="1073"/>
      <c r="N564" s="1069"/>
      <c r="O564" s="1069"/>
      <c r="P564" s="1069"/>
      <c r="Q564" s="1069"/>
      <c r="R564" s="1069"/>
      <c r="S564" s="1071"/>
      <c r="T564" s="1072"/>
      <c r="U564" s="1069"/>
      <c r="V564" s="1069"/>
      <c r="W564" s="1069"/>
      <c r="X564" s="1072"/>
      <c r="Y564" s="1072"/>
      <c r="Z564" s="1072"/>
      <c r="AA564" s="1074"/>
    </row>
  </sheetData>
  <customSheetViews>
    <customSheetView guid="{9C0AA20B-B2A2-4A2C-B279-4A5988F4E71A}" hiddenRows="1" hiddenColumns="1" state="hidden">
      <selection activeCell="U23" sqref="U23"/>
      <pageMargins left="0.7" right="0.7" top="0.75" bottom="0.75" header="0.3" footer="0.3"/>
      <pageSetup paperSize="9" orientation="portrait" verticalDpi="0" r:id="rId1"/>
    </customSheetView>
  </customSheetViews>
  <mergeCells count="77">
    <mergeCell ref="D559:D561"/>
    <mergeCell ref="U502:Y502"/>
    <mergeCell ref="D518:D522"/>
    <mergeCell ref="D523:D539"/>
    <mergeCell ref="D540:D554"/>
    <mergeCell ref="D555:D558"/>
    <mergeCell ref="D516:D517"/>
    <mergeCell ref="D426:D431"/>
    <mergeCell ref="D432:D435"/>
    <mergeCell ref="D436:D441"/>
    <mergeCell ref="D442:D446"/>
    <mergeCell ref="D447:D463"/>
    <mergeCell ref="D464:D478"/>
    <mergeCell ref="D479:D482"/>
    <mergeCell ref="D483:D488"/>
    <mergeCell ref="D489:D492"/>
    <mergeCell ref="D493:D495"/>
    <mergeCell ref="U304:Y304"/>
    <mergeCell ref="D318:D319"/>
    <mergeCell ref="D320:D323"/>
    <mergeCell ref="D324:D329"/>
    <mergeCell ref="D424:D425"/>
    <mergeCell ref="D334:D339"/>
    <mergeCell ref="D340:D344"/>
    <mergeCell ref="D345:D361"/>
    <mergeCell ref="D362:D376"/>
    <mergeCell ref="D377:D380"/>
    <mergeCell ref="D381:D386"/>
    <mergeCell ref="D387:D390"/>
    <mergeCell ref="D391:D396"/>
    <mergeCell ref="D397:D400"/>
    <mergeCell ref="D401:D403"/>
    <mergeCell ref="U410:Y410"/>
    <mergeCell ref="D330:D333"/>
    <mergeCell ref="D265:D270"/>
    <mergeCell ref="D271:D274"/>
    <mergeCell ref="D275:D280"/>
    <mergeCell ref="D281:D284"/>
    <mergeCell ref="D285:D290"/>
    <mergeCell ref="D291:D294"/>
    <mergeCell ref="D295:D297"/>
    <mergeCell ref="D261:D264"/>
    <mergeCell ref="U178:Y178"/>
    <mergeCell ref="D192:D193"/>
    <mergeCell ref="D194:D197"/>
    <mergeCell ref="D198:D203"/>
    <mergeCell ref="D204:D207"/>
    <mergeCell ref="D208:D213"/>
    <mergeCell ref="D214:D217"/>
    <mergeCell ref="D218:D223"/>
    <mergeCell ref="D224:D228"/>
    <mergeCell ref="D229:D245"/>
    <mergeCell ref="D246:D260"/>
    <mergeCell ref="D169:D171"/>
    <mergeCell ref="D93:D109"/>
    <mergeCell ref="D110:D124"/>
    <mergeCell ref="D125:D128"/>
    <mergeCell ref="D129:D134"/>
    <mergeCell ref="D135:D138"/>
    <mergeCell ref="D139:D144"/>
    <mergeCell ref="D145:D148"/>
    <mergeCell ref="D149:D154"/>
    <mergeCell ref="D155:D158"/>
    <mergeCell ref="D159:D164"/>
    <mergeCell ref="D165:D168"/>
    <mergeCell ref="D88:D92"/>
    <mergeCell ref="F20:J20"/>
    <mergeCell ref="U32:Y32"/>
    <mergeCell ref="D46:D47"/>
    <mergeCell ref="D48:D51"/>
    <mergeCell ref="D52:D57"/>
    <mergeCell ref="D58:D61"/>
    <mergeCell ref="D62:D67"/>
    <mergeCell ref="D68:D71"/>
    <mergeCell ref="D72:D77"/>
    <mergeCell ref="D78:D81"/>
    <mergeCell ref="D82:D87"/>
  </mergeCells>
  <conditionalFormatting sqref="F1:U37 F38:R42 S36:U39 F43:U180 F181:R188 F189:U306 F307:R314 S181:U185 S307:U311 F315:U412 F413:R420 S413:U417 F421:U504 F513:U1048576 F505:R512 S505:U509 V302 V406 V408 V300 V500:W500 V564:W564 V498:W498 V176:W176 V30:W30 V174:W174">
    <cfRule type="cellIs" dxfId="504" priority="394" stopIfTrue="1" operator="equal">
      <formula>"N/A"</formula>
    </cfRule>
  </conditionalFormatting>
  <conditionalFormatting sqref="U1:U39 U43:U185 U189:U311 U315:U417 U513:U1048576 U421:U509 V302 V406 V408 V300 V500:W500 V564:W564 V498:W498 V176:W176 V30:W30 V174:W174">
    <cfRule type="cellIs" dxfId="503" priority="393" stopIfTrue="1" operator="lessThan">
      <formula>0</formula>
    </cfRule>
  </conditionalFormatting>
  <conditionalFormatting sqref="F1:J1048576">
    <cfRule type="cellIs" dxfId="502" priority="395" stopIfTrue="1" operator="equal">
      <formula>"Total"</formula>
    </cfRule>
    <cfRule type="cellIs" dxfId="501" priority="396" stopIfTrue="1" operator="equal">
      <formula>"Operation"</formula>
    </cfRule>
  </conditionalFormatting>
  <conditionalFormatting sqref="S35">
    <cfRule type="cellIs" dxfId="500" priority="5" stopIfTrue="1" operator="equal">
      <formula>"N/A"</formula>
    </cfRule>
  </conditionalFormatting>
  <conditionalFormatting sqref="S181">
    <cfRule type="cellIs" dxfId="499" priority="4" stopIfTrue="1" operator="equal">
      <formula>"N/A"</formula>
    </cfRule>
  </conditionalFormatting>
  <conditionalFormatting sqref="S307">
    <cfRule type="cellIs" dxfId="498" priority="3" stopIfTrue="1" operator="equal">
      <formula>"N/A"</formula>
    </cfRule>
  </conditionalFormatting>
  <conditionalFormatting sqref="S413">
    <cfRule type="cellIs" dxfId="497" priority="2" stopIfTrue="1" operator="equal">
      <formula>"N/A"</formula>
    </cfRule>
  </conditionalFormatting>
  <conditionalFormatting sqref="S505">
    <cfRule type="cellIs" dxfId="496" priority="1" stopIfTrue="1" operator="equal">
      <formula>"N/A"</formula>
    </cfRule>
  </conditionalFormatting>
  <dataValidations disablePrompts="1" count="1">
    <dataValidation type="list" allowBlank="1" showInputMessage="1" showErrorMessage="1" sqref="JQ424 ADF193:ADF317 ANB193:ANB317 AWX193:AWX317 BGT193:BGT317 BQP193:BQP317 CAL193:CAL317 CKH193:CKH317 CUD193:CUD317 DDZ193:DDZ317 DNV193:DNV317 DXR193:DXR317 EHN193:EHN317 ERJ193:ERJ317 FBF193:FBF317 FLB193:FLB317 FUX193:FUX317 GET193:GET317 GOP193:GOP317 GYL193:GYL317 HIH193:HIH317 HSD193:HSD317 IBZ193:IBZ317 ILV193:ILV317 IVR193:IVR317 JFN193:JFN317 JPJ193:JPJ317 JZF193:JZF317 KJB193:KJB317 KSX193:KSX317 LCT193:LCT317 LMP193:LMP317 LWL193:LWL317 MGH193:MGH317 MQD193:MQD317 MZZ193:MZZ317 NJV193:NJV317 NTR193:NTR317 ODN193:ODN317 ONJ193:ONJ317 OXF193:OXF317 PHB193:PHB317 PQX193:PQX317 QAT193:QAT317 QKP193:QKP317 QUL193:QUL317 REH193:REH317 ROD193:ROD317 RXZ193:RXZ317 SHV193:SHV317 SRR193:SRR317 TBN193:TBN317 TLJ193:TLJ317 TVF193:TVF317 UFB193:UFB317 UOX193:UOX317 UYT193:UYT317 VIP193:VIP317 VSL193:VSL317 WCH193:WCH317 WMD193:WMD317 WVZ193:WVZ317 JN193:JN317 TJ193:TJ317 BGT47:BGT191 AWX47:AWX191 ANB47:ANB191 ADF47:ADF191 TJ47:TJ191 JN47:JN191 WVZ47:WVZ191 WMD47:WMD191 WCH47:WCH191 VSL47:VSL191 VIP47:VIP191 UYT47:UYT191 UOX47:UOX191 UFB47:UFB191 TVF47:TVF191 TLJ47:TLJ191 TBN47:TBN191 SRR47:SRR191 SHV47:SHV191 RXZ47:RXZ191 ROD47:ROD191 REH47:REH191 QUL47:QUL191 QKP47:QKP191 QAT47:QAT191 PQX47:PQX191 PHB47:PHB191 OXF47:OXF191 ONJ47:ONJ191 ODN47:ODN191 NTR47:NTR191 NJV47:NJV191 MZZ47:MZZ191 MQD47:MQD191 MGH47:MGH191 LWL47:LWL191 LMP47:LMP191 LCT47:LCT191 KSX47:KSX191 KJB47:KJB191 JZF47:JZF191 JPJ47:JPJ191 JFN47:JFN191 IVR47:IVR191 ILV47:ILV191 IBZ47:IBZ191 HSD47:HSD191 HIH47:HIH191 GYL47:GYL191 GOP47:GOP191 GET47:GET191 FUX47:FUX191 FLB47:FLB191 FBF47:FBF191 ERJ47:ERJ191 EHN47:EHN191 DXR47:DXR191 DNV47:DNV191 DDZ47:DDZ191 CUD47:CUD191 CKH47:CKH191 CAL47:CAL191 AWX425:AWX1048576 ANB425:ANB1048576 ADF425:ADF1048576 TJ425:TJ1048576 JN425:JN1048576 WVZ425:WVZ1048576 WMD425:WMD1048576 WCH425:WCH1048576 VSL425:VSL1048576 VIP425:VIP1048576 UYT425:UYT1048576 UOX425:UOX1048576 UFB425:UFB1048576 TVF425:TVF1048576 TLJ425:TLJ1048576 TBN425:TBN1048576 SRR425:SRR1048576 SHV425:SHV1048576 RXZ425:RXZ1048576 ROD425:ROD1048576 REH425:REH1048576 QUL425:QUL1048576 QKP425:QKP1048576 QAT425:QAT1048576 PQX425:PQX1048576 PHB425:PHB1048576 OXF425:OXF1048576 ONJ425:ONJ1048576 ODN425:ODN1048576 NTR425:NTR1048576 NJV425:NJV1048576 MZZ425:MZZ1048576 MQD425:MQD1048576 MGH425:MGH1048576 LWL425:LWL1048576 LMP425:LMP1048576 LCT425:LCT1048576 KSX425:KSX1048576 KJB425:KJB1048576 JZF425:JZF1048576 JPJ425:JPJ1048576 JFN425:JFN1048576 IVR425:IVR1048576 ILV425:ILV1048576 IBZ425:IBZ1048576 HSD425:HSD1048576 HIH425:HIH1048576 GYL425:GYL1048576 GOP425:GOP1048576 GET425:GET1048576 FUX425:FUX1048576 FLB425:FLB1048576 FBF425:FBF1048576 ERJ425:ERJ1048576 EHN425:EHN1048576 DXR425:DXR1048576 DNV425:DNV1048576 DDZ425:DDZ1048576 CUD425:CUD1048576 CKH425:CKH1048576 CAL425:CAL1048576 BQP425:BQP1048576 BGT425:BGT1048576 BGT319:BGT423 BQP319:BQP423 CAL319:CAL423 CKH319:CKH423 CUD319:CUD423 DDZ319:DDZ423 DNV319:DNV423 DXR319:DXR423 EHN319:EHN423 ERJ319:ERJ423 FBF319:FBF423 FLB319:FLB423 FUX319:FUX423 GET319:GET423 GOP319:GOP423 GYL319:GYL423 HIH319:HIH423 HSD319:HSD423 IBZ319:IBZ423 ILV319:ILV423 IVR319:IVR423 JFN319:JFN423 JPJ319:JPJ423 JZF319:JZF423 KJB319:KJB423 KSX319:KSX423 LCT319:LCT423 LMP319:LMP423 LWL319:LWL423 MGH319:MGH423 MQD319:MQD423 MZZ319:MZZ423 NJV319:NJV423 NTR319:NTR423 ODN319:ODN423 ONJ319:ONJ423 OXF319:OXF423 PHB319:PHB423 PQX319:PQX423 QAT319:QAT423 QKP319:QKP423 QUL319:QUL423 REH319:REH423 ROD319:ROD423 RXZ319:RXZ423 SHV319:SHV423 SRR319:SRR423 TBN319:TBN423 TLJ319:TLJ423 TVF319:TVF423 UFB319:UFB423 UOX319:UOX423 UYT319:UYT423 VIP319:VIP423 VSL319:VSL423 WCH319:WCH423 WMD319:WMD423 WVZ319:WVZ423 JN319:JN423 TJ319:TJ423 ADF319:ADF423 ANB319:ANB423 BQP47:BQP191 AWX319:AWX423 TM44:TM46 ADI44:ADI46 ANE44:ANE46 AXA44:AXA46 BGW44:BGW46 BQS44:BQS46 CAO44:CAO46 CKK44:CKK46 CUG44:CUG46 DEC44:DEC46 DNY44:DNY46 DXU44:DXU46 EHQ44:EHQ46 ERM44:ERM46 FBI44:FBI46 FLE44:FLE46 FVA44:FVA46 GEW44:GEW46 GOS44:GOS46 GYO44:GYO46 HIK44:HIK46 HSG44:HSG46 ICC44:ICC46 ILY44:ILY46 IVU44:IVU46 JFQ44:JFQ46 JPM44:JPM46 JZI44:JZI46 KJE44:KJE46 KTA44:KTA46 LCW44:LCW46 LMS44:LMS46 LWO44:LWO46 MGK44:MGK46 MQG44:MQG46 NAC44:NAC46 NJY44:NJY46 NTU44:NTU46 ODQ44:ODQ46 ONM44:ONM46 OXI44:OXI46 PHE44:PHE46 PRA44:PRA46 QAW44:QAW46 QKS44:QKS46 QUO44:QUO46 REK44:REK46 ROG44:ROG46 RYC44:RYC46 SHY44:SHY46 SRU44:SRU46 TBQ44:TBQ46 TLM44:TLM46 TVI44:TVI46 UFE44:UFE46 UPA44:UPA46 UYW44:UYW46 VIS44:VIS46 VSO44:VSO46 WCK44:WCK46 WMG44:WMG46 WWC44:WWC46 JQ44:JQ46 TM192 ADI192 ANE192 AXA192 BGW192 BQS192 CAO192 CKK192 CUG192 DEC192 DNY192 DXU192 EHQ192 ERM192 FBI192 FLE192 FVA192 GEW192 GOS192 GYO192 HIK192 HSG192 ICC192 ILY192 IVU192 JFQ192 JPM192 JZI192 KJE192 KTA192 LCW192 LMS192 LWO192 MGK192 MQG192 NAC192 NJY192 NTU192 ODQ192 ONM192 OXI192 PHE192 PRA192 QAW192 QKS192 QUO192 REK192 ROG192 RYC192 SHY192 SRU192 TBQ192 TLM192 TVI192 UFE192 UPA192 UYW192 VIS192 VSO192 WCK192 WMG192 WWC192 JQ192 TM318 ADI318 ANE318 AXA318 BGW318 BQS318 CAO318 CKK318 CUG318 DEC318 DNY318 DXU318 EHQ318 ERM318 FBI318 FLE318 FVA318 GEW318 GOS318 GYO318 HIK318 HSG318 ICC318 ILY318 IVU318 JFQ318 JPM318 JZI318 KJE318 KTA318 LCW318 LMS318 LWO318 MGK318 MQG318 NAC318 NJY318 NTU318 ODQ318 ONM318 OXI318 PHE318 PRA318 QAW318 QKS318 QUO318 REK318 ROG318 RYC318 SHY318 SRU318 TBQ318 TLM318 TVI318 UFE318 UPA318 UYW318 VIS318 VSO318 WCK318 WMG318 WWC318 JQ318 TM424 ADI424 ANE424 AXA424 BGW424 BQS424 CAO424 CKK424 CUG424 DEC424 DNY424 DXU424 EHQ424 ERM424 FBI424 FLE424 FVA424 GEW424 GOS424 GYO424 HIK424 HSG424 ICC424 ILY424 IVU424 JFQ424 JPM424 JZI424 KJE424 KTA424 LCW424 LMS424 LWO424 MGK424 MQG424 NAC424 NJY424 NTU424 ODQ424 ONM424 OXI424 PHE424 PRA424 QAW424 QKS424 QUO424 REK424 ROG424 RYC424 SHY424 SRU424 TBQ424 TLM424 TVI424 UFE424 UPA424 UYW424 VIS424 VSO424 WCK424 WMG424 WWC424 TJ1:TJ43 ADF1:ADF43 ANB1:ANB43 AWX1:AWX43 BGT1:BGT43 BQP1:BQP43 CAL1:CAL43 CKH1:CKH43 CUD1:CUD43 DDZ1:DDZ43 DNV1:DNV43 DXR1:DXR43 EHN1:EHN43 ERJ1:ERJ43 FBF1:FBF43 FLB1:FLB43 FUX1:FUX43 GET1:GET43 GOP1:GOP43 GYL1:GYL43 HIH1:HIH43 HSD1:HSD43 IBZ1:IBZ43 ILV1:ILV43 IVR1:IVR43 JFN1:JFN43 JPJ1:JPJ43 JZF1:JZF43 KJB1:KJB43 KSX1:KSX43 LCT1:LCT43 LMP1:LMP43 LWL1:LWL43 MGH1:MGH43 MQD1:MQD43 MZZ1:MZZ43 NJV1:NJV43 NTR1:NTR43 ODN1:ODN43 ONJ1:ONJ43 OXF1:OXF43 PHB1:PHB43 PQX1:PQX43 QAT1:QAT43 QKP1:QKP43 QUL1:QUL43 REH1:REH43 ROD1:ROD43 RXZ1:RXZ43 SHV1:SHV43 SRR1:SRR43 TBN1:TBN43 TLJ1:TLJ43 TVF1:TVF43 UFB1:UFB43 UOX1:UOX43 UYT1:UYT43 VIP1:VIP43 VSL1:VSL43 WCH1:WCH43 WMD1:WMD43 WVZ1:WVZ43 JN1:JN43">
      <formula1>$AC$5:$AC$8</formula1>
    </dataValidation>
  </dataValidations>
  <pageMargins left="0.7" right="0.7" top="0.75" bottom="0.75" header="0.3" footer="0.3"/>
  <pageSetup paperSize="9" orientation="portrait" verticalDpi="0" r:id="rId2"/>
  <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3"/>
  </sheetPr>
  <dimension ref="B1:AI218"/>
  <sheetViews>
    <sheetView zoomScale="70" zoomScaleNormal="70" workbookViewId="0">
      <selection activeCell="U23" sqref="U23"/>
    </sheetView>
  </sheetViews>
  <sheetFormatPr defaultRowHeight="14.6" outlineLevelRow="1" outlineLevelCol="1" x14ac:dyDescent="0.4"/>
  <cols>
    <col min="1" max="1" width="4.69140625" customWidth="1"/>
    <col min="2" max="2" width="5.69140625" customWidth="1"/>
    <col min="3" max="3" width="81.69140625" customWidth="1"/>
    <col min="4" max="4" width="46.69140625" customWidth="1"/>
    <col min="5" max="5" width="18.3046875" customWidth="1"/>
    <col min="6" max="6" width="12" customWidth="1"/>
    <col min="7" max="7" width="25.84375" customWidth="1"/>
    <col min="8" max="8" width="30.3046875" hidden="1" customWidth="1" outlineLevel="1"/>
    <col min="9" max="9" width="13.69140625" style="177"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53.84375" style="287" hidden="1" customWidth="1" outlineLevel="1"/>
    <col min="19" max="19" width="11.69140625" hidden="1" customWidth="1" outlineLevel="1"/>
    <col min="20" max="20" width="11.69140625" customWidth="1" collapsed="1"/>
    <col min="21" max="21" width="6.3046875" customWidth="1"/>
    <col min="22" max="22" width="60.53515625" style="288" bestFit="1" customWidth="1"/>
    <col min="23" max="23" width="13.3828125" style="177" bestFit="1" customWidth="1"/>
    <col min="24" max="24" width="9.3828125" style="177" customWidth="1"/>
    <col min="25" max="28" width="9.3046875" style="177" customWidth="1"/>
    <col min="29" max="29" width="7.69140625" style="5" customWidth="1"/>
    <col min="30" max="30" width="5.69140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2:34" s="687" customFormat="1" ht="24.9" x14ac:dyDescent="0.55000000000000004">
      <c r="C1" s="1075" t="s">
        <v>1117</v>
      </c>
      <c r="D1" s="1076"/>
      <c r="E1" s="1076"/>
      <c r="F1" s="1076"/>
      <c r="G1" s="1076"/>
      <c r="H1" s="1076"/>
      <c r="I1" s="1076"/>
      <c r="J1" s="1076"/>
      <c r="K1" s="1076"/>
      <c r="L1" s="1076"/>
      <c r="M1" s="1076"/>
      <c r="N1" s="1076"/>
      <c r="O1" s="1076"/>
      <c r="P1" s="1076"/>
      <c r="Q1" s="1076"/>
      <c r="R1" s="287"/>
      <c r="S1" s="1076"/>
      <c r="T1" s="1076"/>
      <c r="U1" s="1076"/>
      <c r="V1" s="288"/>
      <c r="W1" s="1076"/>
      <c r="X1" s="1076"/>
      <c r="Y1" s="1076"/>
      <c r="Z1" s="1076"/>
      <c r="AA1" s="1076"/>
      <c r="AB1" s="1076"/>
      <c r="AC1" s="1412"/>
      <c r="AD1" s="79"/>
    </row>
    <row r="2" spans="2:34" ht="15" thickBot="1" x14ac:dyDescent="0.45"/>
    <row r="3" spans="2:34" ht="20.6" thickBot="1" x14ac:dyDescent="0.55000000000000004">
      <c r="C3" s="690" t="s">
        <v>1118</v>
      </c>
      <c r="D3" s="692"/>
      <c r="E3" s="692"/>
      <c r="F3" s="692"/>
      <c r="G3" s="692"/>
      <c r="H3" s="692"/>
      <c r="I3" s="692"/>
      <c r="J3" s="692"/>
      <c r="K3" s="692"/>
      <c r="L3" s="692"/>
      <c r="M3" s="692"/>
      <c r="N3" s="692"/>
      <c r="O3" s="692"/>
      <c r="P3" s="693"/>
      <c r="V3" s="3240"/>
      <c r="W3" s="696"/>
      <c r="X3" s="290"/>
      <c r="Y3" s="290"/>
      <c r="Z3" s="290"/>
      <c r="AA3" s="290"/>
      <c r="AB3" s="696"/>
      <c r="AD3" s="697"/>
    </row>
    <row r="4" spans="2:34" x14ac:dyDescent="0.4">
      <c r="C4" s="1077" t="s">
        <v>1119</v>
      </c>
    </row>
    <row r="5" spans="2:34" x14ac:dyDescent="0.4">
      <c r="C5" s="8" t="s">
        <v>1120</v>
      </c>
    </row>
    <row r="6" spans="2:34" x14ac:dyDescent="0.4">
      <c r="C6" s="8" t="s">
        <v>1121</v>
      </c>
      <c r="J6" s="7"/>
      <c r="K6" s="7"/>
      <c r="L6" s="7"/>
      <c r="M6" s="7"/>
      <c r="N6" s="7"/>
      <c r="O6" s="7"/>
      <c r="P6" s="7"/>
      <c r="Q6" s="7"/>
      <c r="R6" s="1413"/>
    </row>
    <row r="7" spans="2:34" x14ac:dyDescent="0.4">
      <c r="C7" s="8" t="s">
        <v>1122</v>
      </c>
      <c r="J7" s="7"/>
      <c r="K7" s="7"/>
      <c r="L7" s="7"/>
      <c r="M7" s="7"/>
      <c r="N7" s="7"/>
      <c r="O7" s="7"/>
      <c r="P7" s="7"/>
      <c r="Q7" s="7"/>
      <c r="R7" s="1413"/>
    </row>
    <row r="8" spans="2:34" ht="15" thickBot="1" x14ac:dyDescent="0.45">
      <c r="C8" s="8"/>
      <c r="J8" s="7"/>
      <c r="K8" s="7"/>
      <c r="L8" s="7"/>
      <c r="M8" s="7"/>
      <c r="N8" s="7"/>
      <c r="O8" s="7"/>
      <c r="P8" s="7"/>
      <c r="Q8" s="7"/>
      <c r="R8" s="1413"/>
    </row>
    <row r="9" spans="2:34" ht="15.9" thickBot="1" x14ac:dyDescent="0.45">
      <c r="C9" s="710"/>
      <c r="D9" s="718" t="s">
        <v>23</v>
      </c>
      <c r="E9" s="3875" t="s">
        <v>1044</v>
      </c>
      <c r="F9" s="3876"/>
      <c r="G9" s="3876"/>
      <c r="H9" s="3876"/>
      <c r="I9" s="1080"/>
      <c r="K9" s="7"/>
      <c r="L9" s="7"/>
      <c r="M9" s="7"/>
      <c r="N9" s="7"/>
      <c r="O9" s="7"/>
      <c r="P9" s="7"/>
      <c r="Q9" s="7"/>
      <c r="R9" s="1413"/>
    </row>
    <row r="10" spans="2:34" ht="15" thickBot="1" x14ac:dyDescent="0.45">
      <c r="C10" s="717" t="s">
        <v>1045</v>
      </c>
      <c r="D10" s="718">
        <v>1</v>
      </c>
      <c r="E10" s="1081">
        <v>1</v>
      </c>
      <c r="F10" s="719">
        <v>2</v>
      </c>
      <c r="G10" s="719">
        <v>3</v>
      </c>
      <c r="H10" s="716">
        <v>4</v>
      </c>
      <c r="I10" s="715">
        <v>6</v>
      </c>
      <c r="K10" s="7"/>
      <c r="L10" s="7"/>
      <c r="M10" s="7"/>
      <c r="N10" s="7"/>
      <c r="O10" s="7"/>
      <c r="P10" s="7"/>
      <c r="Q10" s="7"/>
      <c r="R10" s="1413"/>
    </row>
    <row r="11" spans="2:34" x14ac:dyDescent="0.4">
      <c r="C11" s="1417" t="s">
        <v>1048</v>
      </c>
      <c r="D11" s="1094">
        <f t="shared" ref="D11:I14" si="0">W31+W56+W81+W108+W138+W165+W189</f>
        <v>35.921416505791143</v>
      </c>
      <c r="E11" s="1418">
        <f t="shared" si="0"/>
        <v>574.74266409265829</v>
      </c>
      <c r="F11" s="1418">
        <f t="shared" si="0"/>
        <v>287.37133204632914</v>
      </c>
      <c r="G11" s="1418">
        <f t="shared" si="0"/>
        <v>215.52849903474691</v>
      </c>
      <c r="H11" s="1418">
        <f t="shared" si="0"/>
        <v>143.68566602316457</v>
      </c>
      <c r="I11" s="1094">
        <f t="shared" si="0"/>
        <v>107.76424951737346</v>
      </c>
    </row>
    <row r="12" spans="2:34" x14ac:dyDescent="0.4">
      <c r="C12" s="1419" t="s">
        <v>2658</v>
      </c>
      <c r="D12" s="1099">
        <f t="shared" si="0"/>
        <v>63.689674283113376</v>
      </c>
      <c r="E12" s="1420">
        <f t="shared" si="0"/>
        <v>1019.034788529814</v>
      </c>
      <c r="F12" s="1420">
        <f t="shared" si="0"/>
        <v>509.51739426490701</v>
      </c>
      <c r="G12" s="1420">
        <f t="shared" si="0"/>
        <v>382.13804569868029</v>
      </c>
      <c r="H12" s="1420">
        <f t="shared" si="0"/>
        <v>254.75869713245351</v>
      </c>
      <c r="I12" s="1099">
        <f t="shared" si="0"/>
        <v>191.06902284934014</v>
      </c>
    </row>
    <row r="13" spans="2:34" ht="15" thickBot="1" x14ac:dyDescent="0.45">
      <c r="C13" s="1421" t="s">
        <v>2663</v>
      </c>
      <c r="D13" s="1104">
        <f t="shared" si="0"/>
        <v>0</v>
      </c>
      <c r="E13" s="1422">
        <f t="shared" si="0"/>
        <v>0</v>
      </c>
      <c r="F13" s="1422">
        <f t="shared" si="0"/>
        <v>0</v>
      </c>
      <c r="G13" s="1422">
        <f t="shared" si="0"/>
        <v>0</v>
      </c>
      <c r="H13" s="1422">
        <f t="shared" si="0"/>
        <v>0</v>
      </c>
      <c r="I13" s="1104">
        <f t="shared" si="0"/>
        <v>0</v>
      </c>
    </row>
    <row r="14" spans="2:34" ht="15" thickBot="1" x14ac:dyDescent="0.45">
      <c r="C14" s="1423" t="s">
        <v>1050</v>
      </c>
      <c r="D14" s="1109">
        <f t="shared" si="0"/>
        <v>99.611090788904534</v>
      </c>
      <c r="E14" s="1424">
        <f t="shared" si="0"/>
        <v>1593.7774526224725</v>
      </c>
      <c r="F14" s="1424">
        <f t="shared" si="0"/>
        <v>796.88872631123627</v>
      </c>
      <c r="G14" s="1424">
        <f t="shared" si="0"/>
        <v>597.66654473342714</v>
      </c>
      <c r="H14" s="1424">
        <f t="shared" si="0"/>
        <v>398.44436315561813</v>
      </c>
      <c r="I14" s="1109">
        <f t="shared" si="0"/>
        <v>298.83327236671357</v>
      </c>
    </row>
    <row r="15" spans="2:34" x14ac:dyDescent="0.4">
      <c r="C15" s="748"/>
      <c r="R15"/>
      <c r="W15" s="8"/>
      <c r="AC15"/>
    </row>
    <row r="16" spans="2:34" ht="15.45" x14ac:dyDescent="0.4">
      <c r="B16" s="1425"/>
      <c r="C16" s="1426" t="s">
        <v>1123</v>
      </c>
      <c r="D16" s="1427"/>
      <c r="E16" s="1427"/>
      <c r="F16" s="1427"/>
      <c r="G16" s="1427"/>
      <c r="H16" s="1427"/>
      <c r="I16" s="1427"/>
      <c r="J16" s="1427"/>
      <c r="K16" s="1427"/>
      <c r="L16" s="1427"/>
      <c r="M16" s="1427"/>
      <c r="N16" s="1427"/>
      <c r="O16" s="1427"/>
      <c r="P16" s="1427"/>
      <c r="Q16" s="1427"/>
      <c r="R16" s="1427"/>
      <c r="S16" s="1427"/>
      <c r="T16" s="1427"/>
      <c r="U16" s="1427"/>
      <c r="V16" s="3002"/>
      <c r="W16" s="1427"/>
      <c r="X16" s="1427"/>
      <c r="Y16" s="1427"/>
      <c r="Z16" s="1427"/>
      <c r="AA16" s="1427"/>
      <c r="AB16" s="1427"/>
      <c r="AC16" s="1427"/>
      <c r="AD16" s="1428"/>
      <c r="AE16" s="8"/>
      <c r="AF16" s="8"/>
      <c r="AG16" s="8"/>
      <c r="AH16" s="8"/>
    </row>
    <row r="17" spans="2:34" outlineLevel="1" x14ac:dyDescent="0.4">
      <c r="B17" s="1429"/>
      <c r="C17" s="748" t="s">
        <v>1053</v>
      </c>
      <c r="D17" s="706"/>
      <c r="E17" s="706"/>
      <c r="F17" s="706"/>
      <c r="G17" s="706"/>
      <c r="H17" s="706"/>
      <c r="I17" s="1117"/>
      <c r="J17" s="706"/>
      <c r="K17" s="706"/>
      <c r="L17" s="706"/>
      <c r="M17" s="706"/>
      <c r="N17" s="706"/>
      <c r="O17" s="706"/>
      <c r="P17" s="706"/>
      <c r="Q17" s="7"/>
      <c r="R17" s="7"/>
      <c r="S17" s="7"/>
      <c r="T17" s="7"/>
      <c r="U17" s="7"/>
      <c r="V17" s="3003"/>
      <c r="W17" s="8"/>
      <c r="X17" s="290"/>
      <c r="Y17" s="290"/>
      <c r="Z17" s="290"/>
      <c r="AA17" s="290"/>
      <c r="AB17" s="290"/>
      <c r="AC17" s="8"/>
      <c r="AD17" s="1430"/>
      <c r="AE17" s="8"/>
      <c r="AF17" s="8"/>
      <c r="AG17" s="8"/>
      <c r="AH17" s="8"/>
    </row>
    <row r="18" spans="2:34" outlineLevel="1" x14ac:dyDescent="0.4">
      <c r="B18" s="1429"/>
      <c r="C18" s="700" t="s">
        <v>1124</v>
      </c>
      <c r="D18" s="706"/>
      <c r="E18" s="706"/>
      <c r="F18" s="706"/>
      <c r="G18" s="706"/>
      <c r="H18" s="706"/>
      <c r="I18" s="1117"/>
      <c r="J18" s="706"/>
      <c r="K18" s="706"/>
      <c r="L18" s="706"/>
      <c r="M18" s="706"/>
      <c r="N18" s="706"/>
      <c r="O18" s="706"/>
      <c r="P18" s="706"/>
      <c r="Q18" s="7"/>
      <c r="R18" s="7"/>
      <c r="S18" s="7"/>
      <c r="T18" s="7"/>
      <c r="U18" s="7"/>
      <c r="V18" s="3003"/>
      <c r="W18" s="8"/>
      <c r="X18" s="290"/>
      <c r="Y18" s="290"/>
      <c r="Z18" s="290"/>
      <c r="AA18" s="290"/>
      <c r="AB18" s="290"/>
      <c r="AC18" s="8"/>
      <c r="AD18" s="1430"/>
      <c r="AE18" s="8"/>
      <c r="AF18" s="8"/>
      <c r="AG18" s="8"/>
      <c r="AH18" s="8"/>
    </row>
    <row r="19" spans="2:34" outlineLevel="1" x14ac:dyDescent="0.4">
      <c r="B19" s="1429"/>
      <c r="C19" s="700" t="s">
        <v>1125</v>
      </c>
      <c r="D19" s="706"/>
      <c r="E19" s="706"/>
      <c r="F19" s="706"/>
      <c r="G19" s="706"/>
      <c r="H19" s="706"/>
      <c r="I19" s="1117"/>
      <c r="J19" s="706"/>
      <c r="K19" s="706"/>
      <c r="L19" s="706"/>
      <c r="M19" s="706"/>
      <c r="N19" s="706"/>
      <c r="O19" s="706"/>
      <c r="P19" s="706"/>
      <c r="Q19" s="7"/>
      <c r="R19" s="7"/>
      <c r="S19" s="7"/>
      <c r="T19" s="7"/>
      <c r="U19" s="7"/>
      <c r="V19" s="3003"/>
      <c r="W19" s="8"/>
      <c r="X19" s="290"/>
      <c r="Y19" s="290"/>
      <c r="Z19" s="290"/>
      <c r="AA19" s="290"/>
      <c r="AB19" s="290"/>
      <c r="AC19" s="8"/>
      <c r="AD19" s="1430"/>
      <c r="AE19" s="8"/>
      <c r="AF19" s="8"/>
      <c r="AG19" s="8"/>
      <c r="AH19" s="8"/>
    </row>
    <row r="20" spans="2:34" outlineLevel="1" x14ac:dyDescent="0.4">
      <c r="B20" s="1429"/>
      <c r="C20" s="700" t="s">
        <v>1126</v>
      </c>
      <c r="D20" s="706"/>
      <c r="E20" s="706"/>
      <c r="F20" s="706"/>
      <c r="G20" s="706"/>
      <c r="H20" s="706"/>
      <c r="I20" s="1117"/>
      <c r="J20" s="706"/>
      <c r="K20" s="706"/>
      <c r="L20" s="706"/>
      <c r="M20" s="706"/>
      <c r="N20" s="706"/>
      <c r="O20" s="706"/>
      <c r="P20" s="706"/>
      <c r="Q20" s="7"/>
      <c r="R20" s="7"/>
      <c r="S20" s="7"/>
      <c r="T20" s="7"/>
      <c r="U20" s="7"/>
      <c r="V20" s="3003"/>
      <c r="W20" s="8"/>
      <c r="X20" s="290"/>
      <c r="Y20" s="290"/>
      <c r="Z20" s="290"/>
      <c r="AA20" s="290"/>
      <c r="AB20" s="290"/>
      <c r="AC20" s="8"/>
      <c r="AD20" s="1430"/>
      <c r="AE20" s="8"/>
      <c r="AF20" s="8"/>
      <c r="AG20" s="8"/>
      <c r="AH20" s="8"/>
    </row>
    <row r="21" spans="2:34" outlineLevel="1" x14ac:dyDescent="0.4">
      <c r="B21" s="1429"/>
      <c r="C21" s="1118" t="s">
        <v>1127</v>
      </c>
      <c r="D21" s="706"/>
      <c r="E21" s="706"/>
      <c r="F21" s="706"/>
      <c r="G21" s="706"/>
      <c r="H21" s="706"/>
      <c r="I21" s="1117"/>
      <c r="J21" s="706"/>
      <c r="K21" s="706"/>
      <c r="L21" s="706"/>
      <c r="M21" s="706"/>
      <c r="N21" s="706"/>
      <c r="O21" s="706"/>
      <c r="P21" s="706"/>
      <c r="Q21" s="7"/>
      <c r="R21" s="7"/>
      <c r="S21" s="7"/>
      <c r="T21" s="7"/>
      <c r="U21" s="7"/>
      <c r="V21" s="3003"/>
      <c r="W21" s="8"/>
      <c r="X21" s="290"/>
      <c r="Y21" s="290"/>
      <c r="Z21" s="290"/>
      <c r="AA21" s="290"/>
      <c r="AB21" s="290"/>
      <c r="AC21" s="8"/>
      <c r="AD21" s="1430"/>
      <c r="AE21" s="8"/>
      <c r="AF21" s="8"/>
      <c r="AG21" s="8"/>
      <c r="AH21" s="8"/>
    </row>
    <row r="22" spans="2:34" outlineLevel="1" x14ac:dyDescent="0.4">
      <c r="B22" s="1429"/>
      <c r="C22" s="700"/>
      <c r="D22" s="706"/>
      <c r="E22" s="706"/>
      <c r="F22" s="706"/>
      <c r="G22" s="706"/>
      <c r="H22" s="706"/>
      <c r="I22" s="1117"/>
      <c r="J22" s="706"/>
      <c r="K22" s="706"/>
      <c r="L22" s="706"/>
      <c r="M22" s="706"/>
      <c r="N22" s="706"/>
      <c r="O22" s="706"/>
      <c r="P22" s="706"/>
      <c r="Q22" s="7"/>
      <c r="R22" s="7"/>
      <c r="S22" s="7"/>
      <c r="T22" s="7"/>
      <c r="U22" s="7"/>
      <c r="V22" s="3003"/>
      <c r="W22" s="8"/>
      <c r="X22" s="290"/>
      <c r="Y22" s="290"/>
      <c r="Z22" s="290"/>
      <c r="AA22" s="290"/>
      <c r="AB22" s="290"/>
      <c r="AC22" s="8"/>
      <c r="AD22" s="1430"/>
      <c r="AE22" s="8"/>
      <c r="AF22" s="8"/>
      <c r="AG22" s="8"/>
      <c r="AH22" s="8"/>
    </row>
    <row r="23" spans="2:34" outlineLevel="1" x14ac:dyDescent="0.4">
      <c r="B23" s="1429"/>
      <c r="C23" s="700"/>
      <c r="D23" s="706"/>
      <c r="E23" s="706"/>
      <c r="F23" s="706"/>
      <c r="G23" s="706"/>
      <c r="H23" s="706"/>
      <c r="I23" s="1117"/>
      <c r="J23" s="706"/>
      <c r="K23" s="706"/>
      <c r="L23" s="706"/>
      <c r="M23" s="706"/>
      <c r="N23" s="706"/>
      <c r="O23" s="706"/>
      <c r="P23" s="706"/>
      <c r="Q23" s="7"/>
      <c r="R23" s="7"/>
      <c r="S23" s="7"/>
      <c r="T23" s="7"/>
      <c r="U23" s="7"/>
      <c r="V23" s="3003"/>
      <c r="W23" s="8"/>
      <c r="X23" s="290"/>
      <c r="Y23" s="290"/>
      <c r="Z23" s="290"/>
      <c r="AA23" s="290"/>
      <c r="AB23" s="290"/>
      <c r="AC23" s="8"/>
      <c r="AD23" s="1430"/>
      <c r="AE23" s="8"/>
      <c r="AF23" s="8"/>
      <c r="AG23" s="8"/>
      <c r="AH23" s="8"/>
    </row>
    <row r="24" spans="2:34" outlineLevel="1" x14ac:dyDescent="0.4">
      <c r="B24" s="1429"/>
      <c r="C24" s="748" t="s">
        <v>1056</v>
      </c>
      <c r="D24" s="927">
        <f>SUM(D25)</f>
        <v>1E-3</v>
      </c>
      <c r="E24" s="918"/>
      <c r="F24" s="918"/>
      <c r="G24" s="918"/>
      <c r="H24" s="918"/>
      <c r="I24" s="919"/>
      <c r="J24" s="918"/>
      <c r="K24" s="918"/>
      <c r="L24" s="918"/>
      <c r="M24" s="918"/>
      <c r="N24" s="918"/>
      <c r="O24" s="918"/>
      <c r="P24" s="706"/>
      <c r="Q24" s="7"/>
      <c r="R24" s="7"/>
      <c r="S24" s="7"/>
      <c r="T24" s="7"/>
      <c r="U24" s="7"/>
      <c r="V24" s="3003"/>
      <c r="W24" s="8"/>
      <c r="X24" s="290"/>
      <c r="Y24" s="290"/>
      <c r="Z24" s="290"/>
      <c r="AA24" s="290"/>
      <c r="AB24" s="290"/>
      <c r="AC24" s="8"/>
      <c r="AD24" s="1430"/>
      <c r="AE24" s="8"/>
      <c r="AF24" s="8"/>
      <c r="AG24" s="8"/>
      <c r="AH24" s="8"/>
    </row>
    <row r="25" spans="2:34" ht="15" outlineLevel="1" thickBot="1" x14ac:dyDescent="0.45">
      <c r="B25" s="1429"/>
      <c r="C25" s="7" t="s">
        <v>1128</v>
      </c>
      <c r="D25" s="283">
        <f>overhead_crane_failure</f>
        <v>1E-3</v>
      </c>
      <c r="E25" s="922"/>
      <c r="F25" s="922"/>
      <c r="G25" s="922"/>
      <c r="H25" s="918"/>
      <c r="I25" s="919"/>
      <c r="J25" s="918"/>
      <c r="K25" s="918"/>
      <c r="L25" s="918"/>
      <c r="M25" s="918"/>
      <c r="N25" s="918"/>
      <c r="O25" s="918"/>
      <c r="P25" s="706"/>
      <c r="Q25" s="7"/>
      <c r="R25" s="7"/>
      <c r="S25" s="7"/>
      <c r="T25" s="7"/>
      <c r="U25" s="7"/>
      <c r="V25" s="3003"/>
      <c r="W25" s="8"/>
      <c r="X25" s="290"/>
      <c r="Y25" s="290"/>
      <c r="Z25" s="290"/>
      <c r="AA25" s="290"/>
      <c r="AB25" s="290"/>
      <c r="AC25" s="8"/>
      <c r="AD25" s="1430"/>
      <c r="AE25" s="8"/>
      <c r="AF25" s="8"/>
      <c r="AG25" s="8"/>
      <c r="AH25" s="8"/>
    </row>
    <row r="26" spans="2:34" ht="15" outlineLevel="1" thickBot="1" x14ac:dyDescent="0.45">
      <c r="B26" s="1429"/>
      <c r="C26" s="7"/>
      <c r="D26" s="922"/>
      <c r="E26" s="922"/>
      <c r="F26" s="922"/>
      <c r="G26" s="922"/>
      <c r="H26" s="918"/>
      <c r="I26" s="919"/>
      <c r="J26" s="918"/>
      <c r="K26" s="918"/>
      <c r="L26" s="918"/>
      <c r="M26" s="918"/>
      <c r="N26" s="918"/>
      <c r="O26" s="918"/>
      <c r="P26" s="706"/>
      <c r="Q26" s="7"/>
      <c r="R26" s="7"/>
      <c r="S26" s="7"/>
      <c r="T26" s="7"/>
      <c r="U26" s="7"/>
      <c r="V26" s="3004" t="s">
        <v>1123</v>
      </c>
      <c r="W26" s="2992" t="s">
        <v>23</v>
      </c>
      <c r="X26" s="1432"/>
      <c r="Y26" s="1432"/>
      <c r="Z26" s="1432"/>
      <c r="AA26" s="1432"/>
      <c r="AB26" s="1433"/>
      <c r="AC26" s="8"/>
      <c r="AD26" s="1430"/>
      <c r="AE26" s="8"/>
      <c r="AF26" s="8"/>
      <c r="AG26" s="8"/>
      <c r="AH26" s="8"/>
    </row>
    <row r="27" spans="2:34" ht="15" outlineLevel="1" thickBot="1" x14ac:dyDescent="0.45">
      <c r="B27" s="1429"/>
      <c r="C27" s="7"/>
      <c r="D27" s="7"/>
      <c r="E27" s="7"/>
      <c r="F27" s="7"/>
      <c r="G27" s="929"/>
      <c r="H27" s="3841" t="s">
        <v>18</v>
      </c>
      <c r="I27" s="3837"/>
      <c r="J27" s="3793" t="s">
        <v>778</v>
      </c>
      <c r="K27" s="3794"/>
      <c r="L27" s="3794"/>
      <c r="M27" s="3794"/>
      <c r="N27" s="3794"/>
      <c r="O27" s="3795"/>
      <c r="P27" s="3793" t="s">
        <v>3</v>
      </c>
      <c r="Q27" s="3794"/>
      <c r="R27" s="3838" t="s">
        <v>779</v>
      </c>
      <c r="S27" s="3839"/>
      <c r="T27" s="3840"/>
      <c r="U27" s="938"/>
      <c r="V27" s="3005" t="s">
        <v>1055</v>
      </c>
      <c r="W27" s="2998">
        <v>1</v>
      </c>
      <c r="X27" s="2991">
        <v>1</v>
      </c>
      <c r="Y27" s="1435">
        <v>2</v>
      </c>
      <c r="Z27" s="1435">
        <v>3</v>
      </c>
      <c r="AA27" s="1435">
        <v>4</v>
      </c>
      <c r="AB27" s="1436">
        <v>6</v>
      </c>
      <c r="AC27" s="8"/>
      <c r="AD27" s="1430"/>
      <c r="AE27" s="8"/>
      <c r="AF27" s="8"/>
      <c r="AG27" s="8"/>
      <c r="AH27" s="8"/>
    </row>
    <row r="28" spans="2:34" ht="15" outlineLevel="1" thickBot="1" x14ac:dyDescent="0.45">
      <c r="B28" s="1429"/>
      <c r="C28" s="565" t="s">
        <v>1129</v>
      </c>
      <c r="D28" s="559" t="s">
        <v>1061</v>
      </c>
      <c r="E28" s="559" t="s">
        <v>782</v>
      </c>
      <c r="F28" s="1123" t="s">
        <v>783</v>
      </c>
      <c r="G28" s="1124" t="s">
        <v>784</v>
      </c>
      <c r="H28" s="940" t="s">
        <v>785</v>
      </c>
      <c r="I28" s="944" t="s">
        <v>783</v>
      </c>
      <c r="J28" s="940" t="s">
        <v>786</v>
      </c>
      <c r="K28" s="563" t="s">
        <v>787</v>
      </c>
      <c r="L28" s="563" t="s">
        <v>788</v>
      </c>
      <c r="M28" s="1125" t="s">
        <v>789</v>
      </c>
      <c r="N28" s="1125" t="s">
        <v>790</v>
      </c>
      <c r="O28" s="1126" t="s">
        <v>783</v>
      </c>
      <c r="P28" s="560" t="s">
        <v>785</v>
      </c>
      <c r="Q28" s="1127" t="s">
        <v>783</v>
      </c>
      <c r="R28" s="782" t="s">
        <v>781</v>
      </c>
      <c r="S28" s="786" t="s">
        <v>791</v>
      </c>
      <c r="T28" s="787" t="s">
        <v>792</v>
      </c>
      <c r="U28" s="947"/>
      <c r="V28" s="2997" t="s">
        <v>2670</v>
      </c>
      <c r="W28" s="1086">
        <f>SUMIF('Upper Cask Dependencies'!$I$4:$I$278, "*Overhead Crane*",'Upper Cask Dependencies'!$N$4:$N$278)+SUMIF('Upper Cask Critical Path'!$I$7:$I$260, "*Overhead Crane*",'Upper Cask Critical Path'!$N$7:$N$260)</f>
        <v>5.3333333333333348</v>
      </c>
      <c r="X28" s="290">
        <f>SUMIF('Upper Cask Dependencies'!$I$4:$I$278, "*Overhead Crane*",'Upper Cask Dependencies'!$N$4:$N$278)+SUMIF('Upper Cask Critical Path'!$I$7:$I$260, "*Overhead Crane*",'Upper Cask Critical Path'!$N$7:$N$260)</f>
        <v>5.3333333333333348</v>
      </c>
      <c r="Y28" s="917">
        <f>SUMIF('Upper Cask Dependencies'!$I$4:$I$278, "*Overhead Crane*",'Upper Cask Dependencies'!$N$4:$N$278)+SUMIF('Upper Cask Critical Path'!$I$7:$I$260, "*Overhead Crane*",'Upper Cask Critical Path'!$N$7:$N$260)</f>
        <v>5.3333333333333348</v>
      </c>
      <c r="Z28" s="917">
        <f>SUMIF('Upper Cask Dependencies'!$I$4:$I$278, "*Overhead Crane*",'Upper Cask Dependencies'!$N$4:$N$278)+SUMIF('Upper Cask Critical Path'!$I$7:$I$260, "*Overhead Crane*",'Upper Cask Critical Path'!$N$7:$N$260)</f>
        <v>5.3333333333333348</v>
      </c>
      <c r="AA28" s="917">
        <f>SUMIF('Upper Cask Dependencies'!$I$4:$I$278, "*Overhead Crane*",'Upper Cask Dependencies'!$N$4:$N$278)+SUMIF('Upper Cask Critical Path'!$I$7:$I$260, "*Overhead Crane*",'Upper Cask Critical Path'!$N$7:$N$260)</f>
        <v>5.3333333333333348</v>
      </c>
      <c r="AB28" s="1028">
        <f>SUMIF('Upper Cask Dependencies'!$I$4:$I$278, "*Overhead Crane*",'Upper Cask Dependencies'!$N$4:$N$278)+SUMIF('Upper Cask Critical Path'!$I$7:$I$260, "*Overhead Crane*",'Upper Cask Critical Path'!$N$7:$N$260)</f>
        <v>5.3333333333333348</v>
      </c>
      <c r="AC28" s="8"/>
      <c r="AD28" s="1430"/>
      <c r="AE28" s="8"/>
      <c r="AF28" s="8"/>
      <c r="AG28" s="8"/>
      <c r="AH28" s="8"/>
    </row>
    <row r="29" spans="2:34" outlineLevel="1" x14ac:dyDescent="0.4">
      <c r="B29" s="1429"/>
      <c r="C29" s="1128" t="s">
        <v>2509</v>
      </c>
      <c r="D29" s="659"/>
      <c r="E29" s="659" t="s">
        <v>778</v>
      </c>
      <c r="F29" s="459">
        <f>MAX($Q29,$O29,$I29)</f>
        <v>6.9444444444444448E-2</v>
      </c>
      <c r="G29" s="517">
        <f>F29</f>
        <v>6.9444444444444448E-2</v>
      </c>
      <c r="H29" s="1129"/>
      <c r="I29" s="1130" t="str">
        <f>IF(E29="operation",VLOOKUP(H29,'Generic Vertical Port Tasks'!$C$4:$D$189,2,FALSE),"N/A")</f>
        <v>N/A</v>
      </c>
      <c r="J29" s="1131" t="s">
        <v>798</v>
      </c>
      <c r="K29" s="573" t="s">
        <v>799</v>
      </c>
      <c r="L29" s="573" t="s">
        <v>452</v>
      </c>
      <c r="M29" s="853">
        <f>IFERROR(INDEX('Upper Cask Movement &amp; Logistics'!$I$24:$O$31,MATCH($K29,'Upper Cask Movement &amp; Logistics'!$H$24:$H$31,0),MATCH($L29,'Upper Cask Movement &amp; Logistics'!$H$24:$H$31,0)),"N/A")</f>
        <v>50</v>
      </c>
      <c r="N29" s="852">
        <f>IFERROR(VLOOKUP($J29,'Upper Cask Movement &amp; Logistics'!$H$3:$I$8,2,FALSE),"N/A")</f>
        <v>0.2</v>
      </c>
      <c r="O29" s="580">
        <f t="shared" ref="O29:O36" si="1">IF(E29="Movement",IFERROR((M29/N29)/(60*60),"Error"),"N/A")</f>
        <v>6.9444444444444448E-2</v>
      </c>
      <c r="P29" s="575"/>
      <c r="Q29" s="1132" t="str">
        <f>IF($E29="Logistics",VLOOKUP($P29,'Upper Cask Movement &amp; Logistics'!$C$2:$D$81,2,FALSE),"N/A")</f>
        <v>N/A</v>
      </c>
      <c r="R29" s="1133"/>
      <c r="S29" s="320" t="str">
        <f>IFERROR(VLOOKUP($R29,'Upper Cask Recovery Logistics'!$C$5:$F$26,4,FALSE),"N/A")</f>
        <v>N/A</v>
      </c>
      <c r="T29" s="319" t="str">
        <f>IFERROR(G29-F29-S29,"N/A")</f>
        <v>N/A</v>
      </c>
      <c r="U29" s="947"/>
      <c r="V29" s="1852" t="s">
        <v>2668</v>
      </c>
      <c r="W29" s="1086">
        <f>W28</f>
        <v>5.3333333333333348</v>
      </c>
      <c r="X29" s="915">
        <f>ROUNDUP((Tokamak_Segmts/X27),0)*(X28)</f>
        <v>85.333333333333357</v>
      </c>
      <c r="Y29" s="917">
        <f>ROUNDUP((Tokamak_Segmts/Y27),0)*(Y28)</f>
        <v>42.666666666666679</v>
      </c>
      <c r="Z29" s="917">
        <f>ROUNDUP((Tokamak_Segmts/Z27),0)*(Z28)</f>
        <v>32.000000000000007</v>
      </c>
      <c r="AA29" s="917">
        <f>ROUNDUP((Tokamak_Segmts/AA27),0)*(AA28)</f>
        <v>21.333333333333339</v>
      </c>
      <c r="AB29" s="1028">
        <f>ROUNDUP((Tokamak_Segmts/AB27),0)*(AB28)</f>
        <v>16.000000000000004</v>
      </c>
      <c r="AC29" s="8"/>
      <c r="AD29" s="1430"/>
      <c r="AE29" s="8"/>
      <c r="AF29" s="8"/>
      <c r="AG29" s="8"/>
      <c r="AH29" s="8"/>
    </row>
    <row r="30" spans="2:34" ht="15" outlineLevel="1" thickBot="1" x14ac:dyDescent="0.45">
      <c r="B30" s="1429"/>
      <c r="C30" s="1128" t="s">
        <v>1132</v>
      </c>
      <c r="D30" s="659"/>
      <c r="E30" s="659" t="s">
        <v>3</v>
      </c>
      <c r="F30" s="459">
        <f>MAX($Q30,$O30,$I30)</f>
        <v>1.6400000000000001</v>
      </c>
      <c r="G30" s="517">
        <f t="shared" ref="G30:G36" si="2">IF(T30&lt;0,F30+G29+(-T30),F30+G29)</f>
        <v>1.7094444444444445</v>
      </c>
      <c r="H30" s="575"/>
      <c r="I30" s="580" t="str">
        <f>IF(E30="operation",VLOOKUP(H30,'Generic Vertical Port Tasks'!$C$4:$D$189,2,FALSE),"N/A")</f>
        <v>N/A</v>
      </c>
      <c r="J30" s="1131"/>
      <c r="K30" s="573"/>
      <c r="L30" s="573"/>
      <c r="M30" s="853" t="str">
        <f>IFERROR(INDEX('Upper Cask Movement &amp; Logistics'!$I$24:$O$31,MATCH($K30,'Upper Cask Movement &amp; Logistics'!$H$24:$H$31,0),MATCH($L30,'Upper Cask Movement &amp; Logistics'!$H$24:$H$31,0)),"N/A")</f>
        <v>N/A</v>
      </c>
      <c r="N30" s="852" t="str">
        <f>IFERROR(VLOOKUP($J30,'Upper Cask Movement &amp; Logistics'!$H$3:$I$8,2,FALSE),"N/A")</f>
        <v>N/A</v>
      </c>
      <c r="O30" s="580" t="str">
        <f t="shared" si="1"/>
        <v>N/A</v>
      </c>
      <c r="P30" s="575" t="s">
        <v>1276</v>
      </c>
      <c r="Q30" s="1132">
        <f>IF($E30="Logistics",VLOOKUP($P30,'Upper Cask Movement &amp; Logistics'!$C$2:$D$81,2,FALSE),"N/A")</f>
        <v>1.6400000000000001</v>
      </c>
      <c r="R30" s="1134"/>
      <c r="S30" s="853" t="str">
        <f>IFERROR(VLOOKUP($R30,'Upper Cask Recovery Logistics'!$C$5:$F$26,4,FALSE),"N/A")</f>
        <v>N/A</v>
      </c>
      <c r="T30" s="576" t="str">
        <f t="shared" ref="T30:T36" si="3">IFERROR(G29-S30,"N/A")</f>
        <v>N/A</v>
      </c>
      <c r="U30" s="947"/>
      <c r="V30" s="3141" t="s">
        <v>2693</v>
      </c>
      <c r="W30" s="1089">
        <f>W$29*$D$24</f>
        <v>5.3333333333333349E-3</v>
      </c>
      <c r="X30" s="1138">
        <f t="shared" ref="X30:AB30" si="4">X$29*$D$24</f>
        <v>8.5333333333333358E-2</v>
      </c>
      <c r="Y30" s="920">
        <f t="shared" si="4"/>
        <v>4.2666666666666679E-2</v>
      </c>
      <c r="Z30" s="920">
        <f t="shared" si="4"/>
        <v>3.2000000000000008E-2</v>
      </c>
      <c r="AA30" s="920">
        <f t="shared" si="4"/>
        <v>2.133333333333334E-2</v>
      </c>
      <c r="AB30" s="1029">
        <f t="shared" si="4"/>
        <v>1.6000000000000004E-2</v>
      </c>
      <c r="AC30" s="8"/>
      <c r="AD30" s="1430"/>
      <c r="AE30" s="8"/>
      <c r="AF30" s="8"/>
      <c r="AG30" s="8"/>
      <c r="AH30" s="8"/>
    </row>
    <row r="31" spans="2:34" outlineLevel="1" x14ac:dyDescent="0.4">
      <c r="B31" s="1429"/>
      <c r="C31" s="1128" t="s">
        <v>1133</v>
      </c>
      <c r="D31" s="659" t="s">
        <v>1134</v>
      </c>
      <c r="E31" s="659" t="s">
        <v>251</v>
      </c>
      <c r="F31" s="459">
        <f t="shared" ref="F31:F36" si="5">MAX($Q31,$O31,$I31)</f>
        <v>4</v>
      </c>
      <c r="G31" s="517">
        <f t="shared" si="2"/>
        <v>5.7094444444444443</v>
      </c>
      <c r="H31" s="1131" t="s">
        <v>1135</v>
      </c>
      <c r="I31" s="850">
        <v>4</v>
      </c>
      <c r="J31" s="1131"/>
      <c r="K31" s="573"/>
      <c r="L31" s="573"/>
      <c r="M31" s="853" t="str">
        <f>IFERROR(INDEX('Upper Cask Movement &amp; Logistics'!$I$24:$O$31,MATCH($K31,'Upper Cask Movement &amp; Logistics'!$H$24:$H$31,0),MATCH($L31,'Upper Cask Movement &amp; Logistics'!$H$24:$H$31,0)),"N/A")</f>
        <v>N/A</v>
      </c>
      <c r="N31" s="852" t="str">
        <f>IFERROR(VLOOKUP($J31,'Upper Cask Movement &amp; Logistics'!$H$3:$I$8,2,FALSE),"N/A")</f>
        <v>N/A</v>
      </c>
      <c r="O31" s="580" t="str">
        <f t="shared" si="1"/>
        <v>N/A</v>
      </c>
      <c r="P31" s="575"/>
      <c r="Q31" s="1132" t="str">
        <f>IF($E31="Logistics",VLOOKUP($P31,'Upper Cask Movement &amp; Logistics'!$C$2:$D$81,2,FALSE),"N/A")</f>
        <v>N/A</v>
      </c>
      <c r="R31" s="1134"/>
      <c r="S31" s="853" t="str">
        <f>IFERROR(VLOOKUP($R31,'Upper Cask Recovery Logistics'!$C$5:$F$26,4,FALSE),"N/A")</f>
        <v>N/A</v>
      </c>
      <c r="T31" s="576" t="str">
        <f t="shared" si="3"/>
        <v>N/A</v>
      </c>
      <c r="U31" s="897"/>
      <c r="V31" s="2999" t="s">
        <v>1048</v>
      </c>
      <c r="W31" s="1082">
        <f t="shared" ref="W31:AB31" si="6">W30*(SUMIF($E$29:$E$36,"Operation",$F$29:$F$36))</f>
        <v>3.2000000000000008E-2</v>
      </c>
      <c r="X31" s="1135">
        <f t="shared" si="6"/>
        <v>0.51200000000000012</v>
      </c>
      <c r="Y31" s="1135">
        <f t="shared" si="6"/>
        <v>0.25600000000000006</v>
      </c>
      <c r="Z31" s="1135">
        <f t="shared" si="6"/>
        <v>0.19200000000000006</v>
      </c>
      <c r="AA31" s="1135">
        <f t="shared" si="6"/>
        <v>0.12800000000000003</v>
      </c>
      <c r="AB31" s="1085">
        <f t="shared" si="6"/>
        <v>9.600000000000003E-2</v>
      </c>
      <c r="AC31" s="8"/>
      <c r="AD31" s="1430"/>
      <c r="AE31" s="8"/>
      <c r="AF31" s="8"/>
      <c r="AG31" s="8"/>
      <c r="AH31" s="8"/>
    </row>
    <row r="32" spans="2:34" outlineLevel="1" x14ac:dyDescent="0.4">
      <c r="B32" s="1429"/>
      <c r="C32" s="1128" t="s">
        <v>1136</v>
      </c>
      <c r="D32" s="659" t="s">
        <v>1137</v>
      </c>
      <c r="E32" s="659" t="s">
        <v>778</v>
      </c>
      <c r="F32" s="459">
        <f t="shared" si="5"/>
        <v>6.9444444444444448E-2</v>
      </c>
      <c r="G32" s="517">
        <f t="shared" si="2"/>
        <v>5.778888888888889</v>
      </c>
      <c r="H32" s="1131"/>
      <c r="I32" s="850" t="str">
        <f>IF(E32="operation",VLOOKUP(H32,'Generic Vertical Port Tasks'!$C$4:$D$189,2,FALSE),"N/A")</f>
        <v>N/A</v>
      </c>
      <c r="J32" s="1131" t="s">
        <v>798</v>
      </c>
      <c r="K32" s="573" t="s">
        <v>452</v>
      </c>
      <c r="L32" s="573" t="s">
        <v>914</v>
      </c>
      <c r="M32" s="853">
        <f>IFERROR(INDEX('Upper Cask Movement &amp; Logistics'!$I$24:$O$31,MATCH($K32,'Upper Cask Movement &amp; Logistics'!$H$24:$H$31,0),MATCH($L32,'Upper Cask Movement &amp; Logistics'!$H$24:$H$31,0)),"N/A")</f>
        <v>50</v>
      </c>
      <c r="N32" s="852">
        <f>IFERROR(VLOOKUP($J32,'Upper Cask Movement &amp; Logistics'!$H$3:$I$8,2,FALSE),"N/A")</f>
        <v>0.2</v>
      </c>
      <c r="O32" s="580">
        <f t="shared" si="1"/>
        <v>6.9444444444444448E-2</v>
      </c>
      <c r="P32" s="575"/>
      <c r="Q32" s="1132" t="str">
        <f>IF($E32="Logistics",VLOOKUP($P32,'Upper Cask Movement &amp; Logistics'!$C$2:$D$81,2,FALSE),"N/A")</f>
        <v>N/A</v>
      </c>
      <c r="R32" s="1134"/>
      <c r="S32" s="853" t="str">
        <f>IFERROR(VLOOKUP($R32,'Upper Cask Recovery Logistics'!$C$5:$F$26,4,FALSE),"N/A")</f>
        <v>N/A</v>
      </c>
      <c r="T32" s="576" t="str">
        <f t="shared" si="3"/>
        <v>N/A</v>
      </c>
      <c r="U32" s="5"/>
      <c r="V32" s="2997" t="s">
        <v>2658</v>
      </c>
      <c r="W32" s="1086">
        <f t="shared" ref="W32:AB32" si="7">W30*(SUMIF($E$29:$E$36,"Movement",$F$29:$F$36)+(SUMIF($E$29:$E$36,"Logistics",$F$29:$F$36)))</f>
        <v>1.2417777777777783E-2</v>
      </c>
      <c r="X32" s="290">
        <f t="shared" si="7"/>
        <v>0.19868444444444452</v>
      </c>
      <c r="Y32" s="290">
        <f t="shared" si="7"/>
        <v>9.9342222222222262E-2</v>
      </c>
      <c r="Z32" s="290">
        <f t="shared" si="7"/>
        <v>7.4506666666666693E-2</v>
      </c>
      <c r="AA32" s="290">
        <f t="shared" si="7"/>
        <v>4.9671111111111131E-2</v>
      </c>
      <c r="AB32" s="1088">
        <f t="shared" si="7"/>
        <v>3.7253333333333347E-2</v>
      </c>
      <c r="AC32" s="8"/>
      <c r="AD32" s="1430"/>
      <c r="AE32" s="8"/>
      <c r="AF32" s="8"/>
      <c r="AG32" s="8"/>
      <c r="AH32" s="8"/>
    </row>
    <row r="33" spans="2:35" ht="15" outlineLevel="1" thickBot="1" x14ac:dyDescent="0.45">
      <c r="B33" s="1429"/>
      <c r="C33" s="1128" t="s">
        <v>1138</v>
      </c>
      <c r="D33" s="659" t="s">
        <v>1139</v>
      </c>
      <c r="E33" s="659" t="s">
        <v>251</v>
      </c>
      <c r="F33" s="459">
        <f t="shared" si="5"/>
        <v>2</v>
      </c>
      <c r="G33" s="517">
        <f t="shared" si="2"/>
        <v>7.778888888888889</v>
      </c>
      <c r="H33" s="1131" t="s">
        <v>1135</v>
      </c>
      <c r="I33" s="850">
        <v>2</v>
      </c>
      <c r="J33" s="1131"/>
      <c r="K33" s="573"/>
      <c r="L33" s="573"/>
      <c r="M33" s="853" t="str">
        <f>IFERROR(INDEX('Upper Cask Movement &amp; Logistics'!$I$24:$O$31,MATCH($K33,'Upper Cask Movement &amp; Logistics'!$H$24:$H$31,0),MATCH($L33,'Upper Cask Movement &amp; Logistics'!$H$24:$H$31,0)),"N/A")</f>
        <v>N/A</v>
      </c>
      <c r="N33" s="852" t="str">
        <f>IFERROR(VLOOKUP($J33,'Upper Cask Movement &amp; Logistics'!$H$3:$I$8,2,FALSE),"N/A")</f>
        <v>N/A</v>
      </c>
      <c r="O33" s="580" t="str">
        <f t="shared" si="1"/>
        <v>N/A</v>
      </c>
      <c r="P33" s="575"/>
      <c r="Q33" s="1132" t="str">
        <f>IF($E33="Logistics",VLOOKUP($P33,'Upper Cask Movement &amp; Logistics'!$C$2:$D$81,2,FALSE),"N/A")</f>
        <v>N/A</v>
      </c>
      <c r="R33" s="1134"/>
      <c r="S33" s="853" t="str">
        <f>IFERROR(VLOOKUP($R33,'Upper Cask Recovery Logistics'!$C$5:$F$26,4,FALSE),"N/A")</f>
        <v>N/A</v>
      </c>
      <c r="T33" s="576" t="str">
        <f t="shared" si="3"/>
        <v>N/A</v>
      </c>
      <c r="U33" s="7"/>
      <c r="V33" s="3000" t="s">
        <v>2663</v>
      </c>
      <c r="W33" s="1089">
        <f t="shared" ref="W33:AB33" si="8">W30*(-SUMIF($T$29:$T$36,"&lt;0"))</f>
        <v>0</v>
      </c>
      <c r="X33" s="1138">
        <f t="shared" si="8"/>
        <v>0</v>
      </c>
      <c r="Y33" s="1138">
        <f t="shared" si="8"/>
        <v>0</v>
      </c>
      <c r="Z33" s="1138">
        <f t="shared" si="8"/>
        <v>0</v>
      </c>
      <c r="AA33" s="1138">
        <f t="shared" si="8"/>
        <v>0</v>
      </c>
      <c r="AB33" s="1092">
        <f t="shared" si="8"/>
        <v>0</v>
      </c>
      <c r="AC33" s="8"/>
      <c r="AD33" s="1430"/>
      <c r="AE33" s="8"/>
      <c r="AF33" s="8"/>
      <c r="AG33" s="8"/>
      <c r="AH33" s="8"/>
    </row>
    <row r="34" spans="2:35" ht="15" outlineLevel="1" thickBot="1" x14ac:dyDescent="0.45">
      <c r="B34" s="1429"/>
      <c r="C34" s="1128" t="s">
        <v>1140</v>
      </c>
      <c r="D34" s="659"/>
      <c r="E34" s="659" t="s">
        <v>778</v>
      </c>
      <c r="F34" s="459">
        <f t="shared" si="5"/>
        <v>6.9444444444444448E-2</v>
      </c>
      <c r="G34" s="517">
        <f t="shared" si="2"/>
        <v>7.8483333333333336</v>
      </c>
      <c r="H34" s="1131"/>
      <c r="I34" s="850" t="str">
        <f>IF(E34="operation",VLOOKUP(H34,'Generic Vertical Port Tasks'!$C$4:$D$189,2,FALSE),"N/A")</f>
        <v>N/A</v>
      </c>
      <c r="J34" s="1131" t="s">
        <v>798</v>
      </c>
      <c r="K34" s="573" t="s">
        <v>914</v>
      </c>
      <c r="L34" s="573" t="s">
        <v>452</v>
      </c>
      <c r="M34" s="853">
        <f>IFERROR(INDEX('Upper Cask Movement &amp; Logistics'!$I$24:$O$31,MATCH($K34,'Upper Cask Movement &amp; Logistics'!$H$24:$H$31,0),MATCH($L34,'Upper Cask Movement &amp; Logistics'!$H$24:$H$31,0)),"N/A")</f>
        <v>50</v>
      </c>
      <c r="N34" s="852">
        <f>IFERROR(VLOOKUP($J34,'Upper Cask Movement &amp; Logistics'!$H$3:$I$8,2,FALSE),"N/A")</f>
        <v>0.2</v>
      </c>
      <c r="O34" s="580">
        <f t="shared" si="1"/>
        <v>6.9444444444444448E-2</v>
      </c>
      <c r="P34" s="575"/>
      <c r="Q34" s="1132" t="str">
        <f>IF($E34="Logistics",VLOOKUP($P34,'Upper Cask Movement &amp; Logistics'!$C$2:$D$81,2,FALSE),"N/A")</f>
        <v>N/A</v>
      </c>
      <c r="R34" s="1134"/>
      <c r="S34" s="853" t="str">
        <f>IFERROR(VLOOKUP($R34,'Upper Cask Recovery Logistics'!$C$5:$F$26,4,FALSE),"N/A")</f>
        <v>N/A</v>
      </c>
      <c r="T34" s="576" t="str">
        <f t="shared" si="3"/>
        <v>N/A</v>
      </c>
      <c r="U34" s="7"/>
      <c r="V34" s="3001" t="s">
        <v>2667</v>
      </c>
      <c r="W34" s="2993">
        <f t="shared" ref="W34:AB34" si="9">W30*$G$37</f>
        <v>4.4417777777777792E-2</v>
      </c>
      <c r="X34" s="694">
        <f t="shared" si="9"/>
        <v>0.71068444444444467</v>
      </c>
      <c r="Y34" s="694">
        <f t="shared" si="9"/>
        <v>0.35534222222222234</v>
      </c>
      <c r="Z34" s="694">
        <f t="shared" si="9"/>
        <v>0.26650666666666672</v>
      </c>
      <c r="AA34" s="694">
        <f t="shared" si="9"/>
        <v>0.17767111111111117</v>
      </c>
      <c r="AB34" s="2974">
        <f t="shared" si="9"/>
        <v>0.13325333333333336</v>
      </c>
      <c r="AC34" s="8"/>
      <c r="AD34" s="1430"/>
      <c r="AE34" s="8"/>
      <c r="AF34" s="8"/>
      <c r="AG34" s="8"/>
      <c r="AH34" s="8"/>
    </row>
    <row r="35" spans="2:35" outlineLevel="1" x14ac:dyDescent="0.4">
      <c r="B35" s="1429"/>
      <c r="C35" s="1128" t="s">
        <v>1141</v>
      </c>
      <c r="D35" s="659"/>
      <c r="E35" s="659" t="s">
        <v>3</v>
      </c>
      <c r="F35" s="459">
        <f t="shared" si="5"/>
        <v>0.48000000000000004</v>
      </c>
      <c r="G35" s="517">
        <f t="shared" si="2"/>
        <v>8.3283333333333331</v>
      </c>
      <c r="H35" s="1131"/>
      <c r="I35" s="850" t="str">
        <f>IF(E35="operation",VLOOKUP(H35,'Generic Vertical Port Tasks'!$C$4:$D$189,2,FALSE),"N/A")</f>
        <v>N/A</v>
      </c>
      <c r="J35" s="1131"/>
      <c r="K35" s="573"/>
      <c r="L35" s="573"/>
      <c r="M35" s="853" t="str">
        <f>IFERROR(INDEX('Upper Cask Movement &amp; Logistics'!$I$24:$O$31,MATCH($K35,'Upper Cask Movement &amp; Logistics'!$H$24:$H$31,0),MATCH($L35,'Upper Cask Movement &amp; Logistics'!$H$24:$H$31,0)),"N/A")</f>
        <v>N/A</v>
      </c>
      <c r="N35" s="852" t="str">
        <f>IFERROR(VLOOKUP($J35,'Upper Cask Movement &amp; Logistics'!$H$3:$I$8,2,FALSE),"N/A")</f>
        <v>N/A</v>
      </c>
      <c r="O35" s="580" t="str">
        <f t="shared" si="1"/>
        <v>N/A</v>
      </c>
      <c r="P35" s="575" t="s">
        <v>1331</v>
      </c>
      <c r="Q35" s="1132">
        <f>IF($E35="Logistics",VLOOKUP($P35,'Upper Cask Movement &amp; Logistics'!$C$2:$D$81,2,FALSE),"N/A")</f>
        <v>0.48000000000000004</v>
      </c>
      <c r="R35" s="1134"/>
      <c r="S35" s="853" t="str">
        <f>IFERROR(VLOOKUP($R35,'Upper Cask Recovery Logistics'!$C$5:$F$26,4,FALSE),"N/A")</f>
        <v>N/A</v>
      </c>
      <c r="T35" s="576" t="str">
        <f t="shared" si="3"/>
        <v>N/A</v>
      </c>
      <c r="U35" s="7"/>
      <c r="AC35" s="8"/>
      <c r="AD35" s="1430"/>
      <c r="AE35" s="8"/>
      <c r="AF35" s="8"/>
      <c r="AG35" s="8"/>
      <c r="AH35" s="8"/>
    </row>
    <row r="36" spans="2:35" ht="15" outlineLevel="1" thickBot="1" x14ac:dyDescent="0.45">
      <c r="B36" s="1429"/>
      <c r="C36" s="1437" t="s">
        <v>2510</v>
      </c>
      <c r="D36" s="1438"/>
      <c r="E36" s="1438" t="s">
        <v>778</v>
      </c>
      <c r="F36" s="467">
        <f t="shared" si="5"/>
        <v>0</v>
      </c>
      <c r="G36" s="1148">
        <f t="shared" si="2"/>
        <v>8.3283333333333331</v>
      </c>
      <c r="H36" s="1136"/>
      <c r="I36" s="591" t="str">
        <f>IF(E36="operation",VLOOKUP(H36,'Generic Vertical Port Tasks'!$C$4:$D$189,2,FALSE),"N/A")</f>
        <v>N/A</v>
      </c>
      <c r="J36" s="1136" t="s">
        <v>857</v>
      </c>
      <c r="K36" s="584" t="s">
        <v>452</v>
      </c>
      <c r="L36" s="584" t="s">
        <v>452</v>
      </c>
      <c r="M36" s="814">
        <f>IFERROR(INDEX('Upper Cask Movement &amp; Logistics'!$I$24:$O$31,MATCH($K36,'Upper Cask Movement &amp; Logistics'!$H$24:$H$31,0),MATCH($L36,'Upper Cask Movement &amp; Logistics'!$H$24:$H$31,0)),"N/A")</f>
        <v>0</v>
      </c>
      <c r="N36" s="813">
        <f>IFERROR(VLOOKUP($J36,'Upper Cask Movement &amp; Logistics'!$H$3:$I$8,2,FALSE),"N/A")</f>
        <v>0.02</v>
      </c>
      <c r="O36" s="591">
        <f t="shared" si="1"/>
        <v>0</v>
      </c>
      <c r="P36" s="586"/>
      <c r="Q36" s="1132" t="str">
        <f>IF($E36="Logistics",VLOOKUP($P36,'Upper Cask Movement &amp; Logistics'!$C$2:$D$81,2,FALSE),"N/A")</f>
        <v>N/A</v>
      </c>
      <c r="R36" s="1137"/>
      <c r="S36" s="814" t="str">
        <f>IFERROR(VLOOKUP($R36,'Upper Cask Recovery Logistics'!$C$5:$F$26,4,FALSE),"N/A")</f>
        <v>N/A</v>
      </c>
      <c r="T36" s="587" t="str">
        <f t="shared" si="3"/>
        <v>N/A</v>
      </c>
      <c r="U36" s="7"/>
      <c r="AC36" s="8"/>
      <c r="AD36" s="1430"/>
      <c r="AE36" s="8"/>
      <c r="AF36" s="8"/>
      <c r="AG36" s="8"/>
      <c r="AH36" s="8"/>
    </row>
    <row r="37" spans="2:35" outlineLevel="1" x14ac:dyDescent="0.4">
      <c r="B37" s="1429"/>
      <c r="E37" s="1439" t="s">
        <v>11</v>
      </c>
      <c r="F37" s="1439"/>
      <c r="G37" s="894">
        <f>G36</f>
        <v>8.3283333333333331</v>
      </c>
      <c r="R37" s="897"/>
      <c r="S37" s="897"/>
      <c r="T37" s="897"/>
      <c r="U37" s="7"/>
      <c r="AC37" s="8"/>
      <c r="AD37" s="1430"/>
      <c r="AE37" s="8"/>
      <c r="AF37" s="8"/>
      <c r="AG37" s="8"/>
      <c r="AH37" s="8"/>
    </row>
    <row r="38" spans="2:35" outlineLevel="1" x14ac:dyDescent="0.4">
      <c r="B38" s="1429"/>
      <c r="C38" s="5"/>
      <c r="D38" s="1139"/>
      <c r="E38" s="1140"/>
      <c r="F38" s="1139"/>
      <c r="G38" s="1139"/>
      <c r="H38" s="1139"/>
      <c r="I38" s="1140"/>
      <c r="J38" s="1139"/>
      <c r="K38" s="1139"/>
      <c r="L38" s="1139"/>
      <c r="M38" s="1139"/>
      <c r="N38" s="1139"/>
      <c r="O38" s="1139"/>
      <c r="P38" s="1141"/>
      <c r="Q38" s="7"/>
      <c r="R38" s="7"/>
      <c r="S38" s="7"/>
      <c r="T38" s="7"/>
      <c r="U38" s="7"/>
      <c r="V38" s="3003"/>
      <c r="W38" s="8"/>
      <c r="X38" s="290"/>
      <c r="Y38" s="290"/>
      <c r="Z38" s="290"/>
      <c r="AA38" s="290"/>
      <c r="AB38" s="290"/>
      <c r="AC38" s="8"/>
      <c r="AD38" s="1430"/>
      <c r="AE38" s="8"/>
      <c r="AF38" s="8"/>
      <c r="AG38" s="8"/>
      <c r="AH38" s="8"/>
    </row>
    <row r="39" spans="2:35" outlineLevel="1" x14ac:dyDescent="0.4">
      <c r="B39" s="1440"/>
      <c r="C39" s="1015"/>
      <c r="D39" s="1015"/>
      <c r="E39" s="1015"/>
      <c r="F39" s="1015"/>
      <c r="G39" s="1015"/>
      <c r="H39" s="1015"/>
      <c r="I39" s="1018"/>
      <c r="J39" s="1015"/>
      <c r="K39" s="1015"/>
      <c r="L39" s="1015"/>
      <c r="M39" s="1015"/>
      <c r="N39" s="1015"/>
      <c r="O39" s="1015"/>
      <c r="P39" s="1015"/>
      <c r="Q39" s="1015"/>
      <c r="R39" s="1015"/>
      <c r="S39" s="1015"/>
      <c r="T39" s="1015"/>
      <c r="U39" s="1015"/>
      <c r="V39" s="3006"/>
      <c r="W39" s="1441"/>
      <c r="X39" s="1441"/>
      <c r="Y39" s="1441"/>
      <c r="Z39" s="1441"/>
      <c r="AA39" s="1441"/>
      <c r="AB39" s="1441"/>
      <c r="AC39" s="1441"/>
      <c r="AD39" s="1442"/>
      <c r="AE39" s="1443"/>
      <c r="AF39" s="8"/>
      <c r="AG39" s="8"/>
      <c r="AH39" s="8"/>
    </row>
    <row r="40" spans="2:35" x14ac:dyDescent="0.4">
      <c r="B40" s="5"/>
      <c r="C40" s="1144"/>
      <c r="D40" s="892"/>
      <c r="E40" s="892"/>
      <c r="F40" s="894"/>
      <c r="G40" s="894"/>
      <c r="H40" s="94"/>
      <c r="I40" s="895"/>
      <c r="J40" s="94"/>
      <c r="K40" s="94"/>
      <c r="L40" s="94"/>
      <c r="M40" s="897"/>
      <c r="N40" s="897"/>
      <c r="O40" s="895"/>
      <c r="P40" s="94"/>
      <c r="Q40" s="897"/>
      <c r="R40" s="1444"/>
      <c r="S40" s="897"/>
      <c r="T40" s="897"/>
      <c r="U40" s="5"/>
      <c r="V40" s="3003"/>
      <c r="W40" s="290"/>
      <c r="X40" s="290"/>
      <c r="Y40" s="290"/>
      <c r="Z40" s="290"/>
      <c r="AA40" s="290"/>
      <c r="AB40" s="1018"/>
      <c r="AD40" s="8"/>
      <c r="AE40" s="8"/>
      <c r="AF40" s="8"/>
      <c r="AG40" s="8"/>
      <c r="AH40" s="8"/>
      <c r="AI40" s="8"/>
    </row>
    <row r="41" spans="2:35" ht="15.45" x14ac:dyDescent="0.4">
      <c r="B41" s="1425"/>
      <c r="C41" s="1426" t="s">
        <v>1461</v>
      </c>
      <c r="D41" s="1427"/>
      <c r="E41" s="1427"/>
      <c r="F41" s="1427"/>
      <c r="G41" s="1427"/>
      <c r="H41" s="1427"/>
      <c r="I41" s="1427"/>
      <c r="J41" s="1427"/>
      <c r="K41" s="1427"/>
      <c r="L41" s="1427"/>
      <c r="M41" s="1427"/>
      <c r="N41" s="1427"/>
      <c r="O41" s="1427"/>
      <c r="P41" s="1427"/>
      <c r="Q41" s="1427"/>
      <c r="R41" s="1445"/>
      <c r="S41" s="1427"/>
      <c r="T41" s="1427"/>
      <c r="U41" s="1427"/>
      <c r="V41" s="3002"/>
      <c r="W41" s="1427"/>
      <c r="X41" s="1427"/>
      <c r="Y41" s="1427"/>
      <c r="Z41" s="1427"/>
      <c r="AA41" s="1427"/>
      <c r="AB41" s="1427"/>
      <c r="AC41" s="1427"/>
      <c r="AD41" s="1428"/>
      <c r="AE41" s="8"/>
      <c r="AF41" s="8"/>
      <c r="AG41" s="8"/>
      <c r="AH41" s="8"/>
      <c r="AI41" s="8"/>
    </row>
    <row r="42" spans="2:35" outlineLevel="1" x14ac:dyDescent="0.4">
      <c r="B42" s="1429"/>
      <c r="C42" s="748" t="s">
        <v>1053</v>
      </c>
      <c r="D42" s="706"/>
      <c r="E42" s="706"/>
      <c r="F42" s="706"/>
      <c r="G42" s="706"/>
      <c r="H42" s="706"/>
      <c r="I42" s="1117"/>
      <c r="J42" s="706"/>
      <c r="K42" s="706"/>
      <c r="L42" s="706"/>
      <c r="M42" s="706"/>
      <c r="N42" s="706"/>
      <c r="O42" s="706"/>
      <c r="P42" s="706"/>
      <c r="Q42" s="7"/>
      <c r="R42" s="1413"/>
      <c r="S42" s="7"/>
      <c r="T42" s="7"/>
      <c r="U42" s="7"/>
      <c r="V42" s="3003"/>
      <c r="W42" s="290"/>
      <c r="X42" s="290"/>
      <c r="Y42" s="290"/>
      <c r="Z42" s="290"/>
      <c r="AA42" s="290"/>
      <c r="AB42" s="290"/>
      <c r="AD42" s="1430"/>
      <c r="AE42" s="8"/>
      <c r="AF42" s="8"/>
      <c r="AG42" s="8"/>
      <c r="AH42" s="8"/>
      <c r="AI42" s="8"/>
    </row>
    <row r="43" spans="2:35" outlineLevel="1" x14ac:dyDescent="0.4">
      <c r="B43" s="1429"/>
      <c r="C43" s="700" t="s">
        <v>1462</v>
      </c>
      <c r="D43" s="706"/>
      <c r="E43" s="706"/>
      <c r="F43" s="706"/>
      <c r="G43" s="706"/>
      <c r="H43" s="706"/>
      <c r="I43" s="1117"/>
      <c r="J43" s="706"/>
      <c r="K43" s="706"/>
      <c r="L43" s="706"/>
      <c r="M43" s="706"/>
      <c r="N43" s="706"/>
      <c r="O43" s="706"/>
      <c r="P43" s="706"/>
      <c r="Q43" s="7"/>
      <c r="R43" s="1413"/>
      <c r="S43" s="7"/>
      <c r="T43" s="7"/>
      <c r="U43" s="7"/>
      <c r="V43" s="3003"/>
      <c r="W43" s="290"/>
      <c r="X43" s="290"/>
      <c r="Y43" s="290"/>
      <c r="Z43" s="290"/>
      <c r="AA43" s="290"/>
      <c r="AB43" s="290"/>
      <c r="AD43" s="1430"/>
      <c r="AE43" s="8"/>
      <c r="AF43" s="8"/>
      <c r="AG43" s="8"/>
      <c r="AH43" s="8"/>
      <c r="AI43" s="8"/>
    </row>
    <row r="44" spans="2:35" outlineLevel="1" x14ac:dyDescent="0.4">
      <c r="B44" s="1429"/>
      <c r="C44" s="700" t="s">
        <v>1125</v>
      </c>
      <c r="D44" s="706"/>
      <c r="E44" s="706"/>
      <c r="F44" s="706"/>
      <c r="G44" s="706"/>
      <c r="H44" s="706"/>
      <c r="I44" s="1117"/>
      <c r="J44" s="706"/>
      <c r="K44" s="706"/>
      <c r="L44" s="706"/>
      <c r="M44" s="706"/>
      <c r="N44" s="706"/>
      <c r="O44" s="706"/>
      <c r="P44" s="706"/>
      <c r="Q44" s="7"/>
      <c r="R44" s="1413"/>
      <c r="S44" s="7"/>
      <c r="T44" s="7"/>
      <c r="U44" s="7"/>
      <c r="V44" s="3003"/>
      <c r="W44" s="290"/>
      <c r="X44" s="290"/>
      <c r="Y44" s="290"/>
      <c r="Z44" s="290"/>
      <c r="AA44" s="290"/>
      <c r="AB44" s="290"/>
      <c r="AD44" s="1430"/>
      <c r="AE44" s="8"/>
      <c r="AF44" s="8"/>
      <c r="AG44" s="8"/>
      <c r="AH44" s="8"/>
      <c r="AI44" s="8"/>
    </row>
    <row r="45" spans="2:35" outlineLevel="1" x14ac:dyDescent="0.4">
      <c r="B45" s="1429"/>
      <c r="C45" s="700" t="s">
        <v>1463</v>
      </c>
      <c r="D45" s="706"/>
      <c r="E45" s="706"/>
      <c r="F45" s="706"/>
      <c r="G45" s="706"/>
      <c r="H45" s="706"/>
      <c r="I45" s="1117"/>
      <c r="J45" s="706"/>
      <c r="K45" s="706"/>
      <c r="L45" s="706"/>
      <c r="M45" s="706"/>
      <c r="N45" s="706"/>
      <c r="O45" s="706"/>
      <c r="P45" s="706"/>
      <c r="Q45" s="7"/>
      <c r="R45" s="1413"/>
      <c r="S45" s="7"/>
      <c r="T45" s="7"/>
      <c r="U45" s="7"/>
      <c r="V45" s="3003"/>
      <c r="W45" s="290"/>
      <c r="X45" s="290"/>
      <c r="Y45" s="290"/>
      <c r="Z45" s="290"/>
      <c r="AA45" s="290"/>
      <c r="AB45" s="290"/>
      <c r="AD45" s="1430"/>
      <c r="AE45" s="8"/>
      <c r="AF45" s="8"/>
      <c r="AG45" s="8"/>
      <c r="AH45" s="8"/>
      <c r="AI45" s="8"/>
    </row>
    <row r="46" spans="2:35" outlineLevel="1" x14ac:dyDescent="0.4">
      <c r="B46" s="1429"/>
      <c r="C46" s="1118" t="s">
        <v>1464</v>
      </c>
      <c r="D46" s="706"/>
      <c r="E46" s="706"/>
      <c r="F46" s="706"/>
      <c r="G46" s="706"/>
      <c r="H46" s="706"/>
      <c r="I46" s="1117"/>
      <c r="J46" s="706"/>
      <c r="K46" s="706"/>
      <c r="L46" s="706"/>
      <c r="M46" s="706"/>
      <c r="N46" s="706"/>
      <c r="O46" s="706"/>
      <c r="P46" s="706"/>
      <c r="Q46" s="7"/>
      <c r="R46" s="1413"/>
      <c r="S46" s="7"/>
      <c r="T46" s="7"/>
      <c r="U46" s="7"/>
      <c r="V46" s="3003"/>
      <c r="W46" s="290"/>
      <c r="X46" s="290"/>
      <c r="Y46" s="290"/>
      <c r="Z46" s="290"/>
      <c r="AA46" s="290"/>
      <c r="AB46" s="290"/>
      <c r="AD46" s="1430"/>
      <c r="AE46" s="8"/>
      <c r="AF46" s="8"/>
      <c r="AG46" s="8"/>
      <c r="AH46" s="8"/>
      <c r="AI46" s="8"/>
    </row>
    <row r="47" spans="2:35" outlineLevel="1" x14ac:dyDescent="0.4">
      <c r="B47" s="1429"/>
      <c r="C47" s="700"/>
      <c r="D47" s="706"/>
      <c r="E47" s="706"/>
      <c r="F47" s="706"/>
      <c r="G47" s="706"/>
      <c r="H47" s="706"/>
      <c r="I47" s="1117"/>
      <c r="J47" s="706"/>
      <c r="K47" s="706"/>
      <c r="L47" s="706"/>
      <c r="M47" s="706"/>
      <c r="N47" s="706"/>
      <c r="O47" s="706"/>
      <c r="P47" s="706"/>
      <c r="Q47" s="7"/>
      <c r="R47" s="1413"/>
      <c r="S47" s="7"/>
      <c r="T47" s="7"/>
      <c r="U47" s="7"/>
      <c r="V47" s="3003"/>
      <c r="W47" s="290"/>
      <c r="X47" s="290"/>
      <c r="Y47" s="290"/>
      <c r="Z47" s="290"/>
      <c r="AA47" s="290"/>
      <c r="AB47" s="290"/>
      <c r="AD47" s="1430"/>
      <c r="AE47" s="8"/>
      <c r="AF47" s="8"/>
      <c r="AG47" s="8"/>
      <c r="AH47" s="8"/>
      <c r="AI47" s="8"/>
    </row>
    <row r="48" spans="2:35" outlineLevel="1" x14ac:dyDescent="0.4">
      <c r="B48" s="1429"/>
      <c r="C48" s="700"/>
      <c r="D48" s="706"/>
      <c r="E48" s="706"/>
      <c r="F48" s="706"/>
      <c r="G48" s="706"/>
      <c r="H48" s="706"/>
      <c r="I48" s="1117"/>
      <c r="J48" s="706"/>
      <c r="K48" s="706"/>
      <c r="L48" s="706"/>
      <c r="M48" s="706"/>
      <c r="N48" s="706"/>
      <c r="O48" s="706"/>
      <c r="P48" s="706"/>
      <c r="Q48" s="7"/>
      <c r="R48" s="1413"/>
      <c r="S48" s="7"/>
      <c r="T48" s="7"/>
      <c r="U48" s="7"/>
      <c r="V48" s="3003"/>
      <c r="W48" s="290"/>
      <c r="X48" s="290"/>
      <c r="Y48" s="290"/>
      <c r="Z48" s="290"/>
      <c r="AA48" s="290"/>
      <c r="AB48" s="290"/>
      <c r="AD48" s="1430"/>
      <c r="AE48" s="8"/>
      <c r="AF48" s="8"/>
      <c r="AG48" s="8"/>
      <c r="AH48" s="8"/>
      <c r="AI48" s="8"/>
    </row>
    <row r="49" spans="2:35" outlineLevel="1" x14ac:dyDescent="0.4">
      <c r="B49" s="1429"/>
      <c r="C49" s="748" t="s">
        <v>1056</v>
      </c>
      <c r="D49" s="927">
        <f>SUM(D50)</f>
        <v>1.11E-4</v>
      </c>
      <c r="E49" s="918"/>
      <c r="F49" s="918"/>
      <c r="G49" s="918"/>
      <c r="H49" s="918"/>
      <c r="I49" s="919"/>
      <c r="J49" s="918"/>
      <c r="K49" s="918"/>
      <c r="L49" s="918"/>
      <c r="M49" s="918"/>
      <c r="N49" s="918"/>
      <c r="O49" s="918"/>
      <c r="P49" s="706"/>
      <c r="Q49" s="7"/>
      <c r="R49" s="1413"/>
      <c r="S49" s="7"/>
      <c r="T49" s="7"/>
      <c r="U49" s="7"/>
      <c r="V49" s="3003"/>
      <c r="W49" s="290"/>
      <c r="X49" s="290"/>
      <c r="Y49" s="290"/>
      <c r="Z49" s="290"/>
      <c r="AA49" s="290"/>
      <c r="AB49" s="290"/>
      <c r="AD49" s="1430"/>
      <c r="AE49" s="8"/>
      <c r="AF49" s="8"/>
      <c r="AG49" s="8"/>
      <c r="AH49" s="8"/>
      <c r="AI49" s="8"/>
    </row>
    <row r="50" spans="2:35" ht="15" outlineLevel="1" thickBot="1" x14ac:dyDescent="0.45">
      <c r="B50" s="1429"/>
      <c r="C50" s="7" t="s">
        <v>1465</v>
      </c>
      <c r="D50" s="283">
        <f>Hardware_transport_failure</f>
        <v>1.11E-4</v>
      </c>
      <c r="E50" s="922"/>
      <c r="F50" s="922"/>
      <c r="G50" s="922"/>
      <c r="H50" s="918"/>
      <c r="I50" s="919"/>
      <c r="J50" s="918"/>
      <c r="K50" s="918"/>
      <c r="L50" s="918"/>
      <c r="M50" s="918"/>
      <c r="N50" s="918"/>
      <c r="O50" s="918"/>
      <c r="P50" s="706"/>
      <c r="Q50" s="7"/>
      <c r="R50" s="1413"/>
      <c r="S50" s="7"/>
      <c r="T50" s="7"/>
      <c r="U50" s="7"/>
      <c r="V50" s="3003"/>
      <c r="W50" s="290"/>
      <c r="X50" s="290"/>
      <c r="Y50" s="290"/>
      <c r="Z50" s="290"/>
      <c r="AA50" s="290"/>
      <c r="AB50" s="1138"/>
      <c r="AD50" s="1430"/>
      <c r="AE50" s="8"/>
      <c r="AF50" s="8"/>
      <c r="AG50" s="8"/>
      <c r="AH50" s="8"/>
      <c r="AI50" s="8"/>
    </row>
    <row r="51" spans="2:35" ht="15" outlineLevel="1" thickBot="1" x14ac:dyDescent="0.45">
      <c r="B51" s="1429"/>
      <c r="C51" s="7"/>
      <c r="D51" s="922"/>
      <c r="E51" s="922"/>
      <c r="F51" s="922"/>
      <c r="G51" s="922"/>
      <c r="H51" s="918"/>
      <c r="I51" s="919"/>
      <c r="J51" s="918"/>
      <c r="K51" s="918"/>
      <c r="L51" s="918"/>
      <c r="M51" s="918"/>
      <c r="N51" s="918"/>
      <c r="O51" s="918"/>
      <c r="P51" s="706"/>
      <c r="Q51" s="7"/>
      <c r="R51" s="1413"/>
      <c r="S51" s="7"/>
      <c r="T51" s="7"/>
      <c r="U51" s="7"/>
      <c r="V51" s="3007" t="str">
        <f>C41</f>
        <v>Cask Transporter failure</v>
      </c>
      <c r="W51" s="1119" t="s">
        <v>23</v>
      </c>
      <c r="X51" s="560"/>
      <c r="Y51" s="1446"/>
      <c r="Z51" s="1446"/>
      <c r="AA51" s="1446"/>
      <c r="AB51" s="946"/>
      <c r="AD51" s="1430"/>
      <c r="AE51" s="8"/>
      <c r="AF51" s="8"/>
      <c r="AG51" s="8"/>
      <c r="AH51" s="8"/>
      <c r="AI51" s="8"/>
    </row>
    <row r="52" spans="2:35" ht="15" outlineLevel="1" thickBot="1" x14ac:dyDescent="0.45">
      <c r="B52" s="1429"/>
      <c r="C52" s="7"/>
      <c r="D52" s="7"/>
      <c r="E52" s="7"/>
      <c r="F52" s="7"/>
      <c r="G52" s="929"/>
      <c r="H52" s="3841" t="s">
        <v>18</v>
      </c>
      <c r="I52" s="3837"/>
      <c r="J52" s="3793" t="s">
        <v>778</v>
      </c>
      <c r="K52" s="3794"/>
      <c r="L52" s="3794"/>
      <c r="M52" s="3794"/>
      <c r="N52" s="3794"/>
      <c r="O52" s="3795"/>
      <c r="P52" s="3793" t="s">
        <v>3</v>
      </c>
      <c r="Q52" s="3794"/>
      <c r="R52" s="3838" t="s">
        <v>779</v>
      </c>
      <c r="S52" s="3839"/>
      <c r="T52" s="3840"/>
      <c r="U52" s="938"/>
      <c r="V52" s="3008" t="s">
        <v>1055</v>
      </c>
      <c r="W52" s="1122">
        <v>1</v>
      </c>
      <c r="X52" s="1512">
        <v>1</v>
      </c>
      <c r="Y52" s="916">
        <v>2</v>
      </c>
      <c r="Z52" s="916">
        <v>3</v>
      </c>
      <c r="AA52" s="916">
        <v>4</v>
      </c>
      <c r="AB52" s="1045">
        <v>6</v>
      </c>
      <c r="AD52" s="1430"/>
      <c r="AE52" s="8"/>
      <c r="AF52" s="8"/>
      <c r="AG52" s="8"/>
      <c r="AH52" s="8"/>
      <c r="AI52" s="8"/>
    </row>
    <row r="53" spans="2:35" ht="15" outlineLevel="1" thickBot="1" x14ac:dyDescent="0.45">
      <c r="B53" s="1429"/>
      <c r="C53" s="565" t="s">
        <v>1129</v>
      </c>
      <c r="D53" s="559" t="s">
        <v>1061</v>
      </c>
      <c r="E53" s="559" t="s">
        <v>782</v>
      </c>
      <c r="F53" s="1123" t="s">
        <v>783</v>
      </c>
      <c r="G53" s="1124" t="s">
        <v>784</v>
      </c>
      <c r="H53" s="940" t="s">
        <v>785</v>
      </c>
      <c r="I53" s="944" t="s">
        <v>783</v>
      </c>
      <c r="J53" s="940" t="s">
        <v>786</v>
      </c>
      <c r="K53" s="563" t="s">
        <v>787</v>
      </c>
      <c r="L53" s="563" t="s">
        <v>788</v>
      </c>
      <c r="M53" s="1125" t="s">
        <v>789</v>
      </c>
      <c r="N53" s="1125" t="s">
        <v>790</v>
      </c>
      <c r="O53" s="1126" t="s">
        <v>783</v>
      </c>
      <c r="P53" s="560" t="s">
        <v>785</v>
      </c>
      <c r="Q53" s="1127" t="s">
        <v>783</v>
      </c>
      <c r="R53" s="1447" t="s">
        <v>781</v>
      </c>
      <c r="S53" s="786" t="s">
        <v>791</v>
      </c>
      <c r="T53" s="787" t="s">
        <v>792</v>
      </c>
      <c r="U53" s="947"/>
      <c r="V53" s="2997" t="s">
        <v>1130</v>
      </c>
      <c r="W53" s="1086">
        <f>SUMIF('Upper Cask Dependencies'!$I$6:$I$278, "*Cask Transporter*", 'Upper Cask Dependencies'!$N$6:$N$278)+SUMIF('Upper Cask Critical Path'!$I$7:$I$260, "*Cask Transporter*",'Upper Cask Critical Path'!$N$7:$N$260)</f>
        <v>33.134259259259224</v>
      </c>
      <c r="X53" s="1415">
        <f>$W$53</f>
        <v>33.134259259259224</v>
      </c>
      <c r="Y53" s="917">
        <f>$W$53</f>
        <v>33.134259259259224</v>
      </c>
      <c r="Z53" s="917">
        <f>$W$53</f>
        <v>33.134259259259224</v>
      </c>
      <c r="AA53" s="917">
        <f>$W$53</f>
        <v>33.134259259259224</v>
      </c>
      <c r="AB53" s="1028">
        <f>$W$53</f>
        <v>33.134259259259224</v>
      </c>
      <c r="AD53" s="1430"/>
      <c r="AE53" s="8"/>
      <c r="AF53" s="8"/>
      <c r="AG53" s="8"/>
      <c r="AH53" s="8"/>
      <c r="AI53" s="8"/>
    </row>
    <row r="54" spans="2:35" outlineLevel="1" x14ac:dyDescent="0.4">
      <c r="B54" s="1429"/>
      <c r="C54" s="1128" t="s">
        <v>2509</v>
      </c>
      <c r="D54" s="659"/>
      <c r="E54" s="659" t="s">
        <v>778</v>
      </c>
      <c r="F54" s="459">
        <f>MAX($Q54,$O54,$I54)</f>
        <v>6.9444444444444448E-2</v>
      </c>
      <c r="G54" s="517">
        <f>F54</f>
        <v>6.9444444444444448E-2</v>
      </c>
      <c r="H54" s="1129"/>
      <c r="I54" s="1130" t="str">
        <f>IF(E54="operation",VLOOKUP(H54,'Generic Vertical Port Tasks'!$C$4:$D$189,2,FALSE),"N/A")</f>
        <v>N/A</v>
      </c>
      <c r="J54" s="1131" t="s">
        <v>798</v>
      </c>
      <c r="K54" s="573" t="s">
        <v>799</v>
      </c>
      <c r="L54" s="573" t="s">
        <v>452</v>
      </c>
      <c r="M54" s="853">
        <f>IFERROR(INDEX('Upper Cask Movement &amp; Logistics'!$I$24:$O$31,MATCH($K54,'Upper Cask Movement &amp; Logistics'!$H$24:$H$31,0),MATCH($L54,'Upper Cask Movement &amp; Logistics'!$H$24:$H$31,0)),"N/A")</f>
        <v>50</v>
      </c>
      <c r="N54" s="852">
        <f>IFERROR(VLOOKUP($J54,'Upper Cask Movement &amp; Logistics'!$H$3:$I$8,2,FALSE),"N/A")</f>
        <v>0.2</v>
      </c>
      <c r="O54" s="580">
        <f>IF(E54="Movement",IFERROR((M54/N54)/(60*60),"Error"),"N/A")</f>
        <v>6.9444444444444448E-2</v>
      </c>
      <c r="P54" s="575"/>
      <c r="Q54" s="1132" t="str">
        <f>IF($E54="Logistics",VLOOKUP($P54,'Upper Cask Movement &amp; Logistics'!$C$2:$D$81,2,FALSE),"N/A")</f>
        <v>N/A</v>
      </c>
      <c r="R54" s="1448"/>
      <c r="S54" s="320" t="str">
        <f>IFERROR(VLOOKUP($R54,'Upper Cask Recovery Logistics'!$C$5:$F$26,4,FALSE),"N/A")</f>
        <v>N/A</v>
      </c>
      <c r="T54" s="319" t="str">
        <f>IFERROR(G54-F54-S54,"N/A")</f>
        <v>N/A</v>
      </c>
      <c r="U54" s="947"/>
      <c r="V54" s="1852" t="s">
        <v>2668</v>
      </c>
      <c r="W54" s="1086">
        <f>W53</f>
        <v>33.134259259259224</v>
      </c>
      <c r="X54" s="1415">
        <f>ROUNDUP((Tokamak_Segmts/X52),0)*(X53)</f>
        <v>530.14814814814758</v>
      </c>
      <c r="Y54" s="917">
        <f>ROUNDUP((Tokamak_Segmts/Y52),0)*(Y53)</f>
        <v>265.07407407407379</v>
      </c>
      <c r="Z54" s="917">
        <f>ROUNDUP((Tokamak_Segmts/Z52),0)*(Z53)</f>
        <v>198.80555555555534</v>
      </c>
      <c r="AA54" s="917">
        <f>ROUNDUP((Tokamak_Segmts/AA52),0)*(AA53)</f>
        <v>132.5370370370369</v>
      </c>
      <c r="AB54" s="1028">
        <f>ROUNDUP((Tokamak_Segmts/AB52),0)*(AB53)</f>
        <v>99.402777777777672</v>
      </c>
      <c r="AD54" s="1430"/>
      <c r="AE54" s="8"/>
      <c r="AF54" s="8"/>
      <c r="AG54" s="8"/>
      <c r="AH54" s="8"/>
      <c r="AI54" s="8"/>
    </row>
    <row r="55" spans="2:35" ht="15" outlineLevel="1" thickBot="1" x14ac:dyDescent="0.45">
      <c r="B55" s="1429"/>
      <c r="C55" s="1128" t="s">
        <v>1466</v>
      </c>
      <c r="D55" s="659"/>
      <c r="E55" s="659" t="s">
        <v>3</v>
      </c>
      <c r="F55" s="459">
        <f>MAX($Q55,$O55,$I55)</f>
        <v>0.48000000000000004</v>
      </c>
      <c r="G55" s="517">
        <f t="shared" ref="G55:G61" si="10">IF(T55&lt;0,F55+G54+(-T55),F55+G54)</f>
        <v>0.54944444444444451</v>
      </c>
      <c r="H55" s="575"/>
      <c r="I55" s="580" t="str">
        <f>IF(E55="operation",VLOOKUP(H55,'Generic Vertical Port Tasks'!$C$4:$D$189,2,FALSE),"N/A")</f>
        <v>N/A</v>
      </c>
      <c r="J55" s="1131"/>
      <c r="K55" s="573"/>
      <c r="L55" s="573"/>
      <c r="M55" s="853" t="str">
        <f>IFERROR(INDEX('Upper Cask Movement &amp; Logistics'!$I$24:$O$31,MATCH($K55,'Upper Cask Movement &amp; Logistics'!$H$24:$H$31,0),MATCH($L55,'Upper Cask Movement &amp; Logistics'!$H$24:$H$31,0)),"N/A")</f>
        <v>N/A</v>
      </c>
      <c r="N55" s="852" t="str">
        <f>IFERROR(VLOOKUP($J55,'Upper Cask Movement &amp; Logistics'!$H$3:$I$8,2,FALSE),"N/A")</f>
        <v>N/A</v>
      </c>
      <c r="O55" s="580" t="str">
        <f>IF(E55="Movement",IFERROR((M55/N55)/(60*60),"Error"),"N/A")</f>
        <v>N/A</v>
      </c>
      <c r="P55" s="575" t="s">
        <v>1467</v>
      </c>
      <c r="Q55" s="1132">
        <f>IF($E55="Logistics",VLOOKUP($P55,'Upper Cask Movement &amp; Logistics'!$C$2:$D$81,2,FALSE),"N/A")</f>
        <v>0.48000000000000004</v>
      </c>
      <c r="R55" s="1449"/>
      <c r="S55" s="853" t="str">
        <f>IFERROR(VLOOKUP($R55,'Upper Cask Recovery Logistics'!$C$5:$F$26,4,FALSE),"N/A")</f>
        <v>N/A</v>
      </c>
      <c r="T55" s="576" t="str">
        <f t="shared" ref="T55:T61" si="11">IFERROR(G54-S55,"N/A")</f>
        <v>N/A</v>
      </c>
      <c r="U55" s="947"/>
      <c r="V55" s="3141" t="s">
        <v>2693</v>
      </c>
      <c r="W55" s="1089">
        <f>W$54*$D$49</f>
        <v>3.6779027777777739E-3</v>
      </c>
      <c r="X55" s="1416">
        <f t="shared" ref="X55:AB55" si="12">X$54*$D$49</f>
        <v>5.8846444444444382E-2</v>
      </c>
      <c r="Y55" s="920">
        <f t="shared" si="12"/>
        <v>2.9423222222222191E-2</v>
      </c>
      <c r="Z55" s="920">
        <f t="shared" si="12"/>
        <v>2.2067416666666645E-2</v>
      </c>
      <c r="AA55" s="920">
        <f t="shared" si="12"/>
        <v>1.4711611111111095E-2</v>
      </c>
      <c r="AB55" s="1029">
        <f t="shared" si="12"/>
        <v>1.1033708333333322E-2</v>
      </c>
      <c r="AD55" s="1430"/>
      <c r="AE55" s="8"/>
      <c r="AF55" s="8"/>
      <c r="AG55" s="8"/>
      <c r="AH55" s="8"/>
      <c r="AI55" s="8"/>
    </row>
    <row r="56" spans="2:35" outlineLevel="1" x14ac:dyDescent="0.4">
      <c r="B56" s="1429"/>
      <c r="C56" s="1128" t="s">
        <v>1468</v>
      </c>
      <c r="D56" s="659" t="s">
        <v>1134</v>
      </c>
      <c r="E56" s="659" t="s">
        <v>251</v>
      </c>
      <c r="F56" s="459">
        <f t="shared" ref="F56:F61" si="13">MAX($Q56,$O56,$I56)</f>
        <v>4</v>
      </c>
      <c r="G56" s="517">
        <f t="shared" si="10"/>
        <v>4.5494444444444442</v>
      </c>
      <c r="H56" s="1131" t="s">
        <v>1135</v>
      </c>
      <c r="I56" s="850">
        <v>4</v>
      </c>
      <c r="J56" s="1131"/>
      <c r="K56" s="573"/>
      <c r="L56" s="573"/>
      <c r="M56" s="853" t="str">
        <f>IFERROR(INDEX('Upper Cask Movement &amp; Logistics'!$I$24:$O$31,MATCH($K56,'Upper Cask Movement &amp; Logistics'!$H$24:$H$31,0),MATCH($L56,'Upper Cask Movement &amp; Logistics'!$H$24:$H$31,0)),"N/A")</f>
        <v>N/A</v>
      </c>
      <c r="N56" s="852" t="str">
        <f>IFERROR(VLOOKUP($J56,'Upper Cask Movement &amp; Logistics'!$H$3:$I$8,2,FALSE),"N/A")</f>
        <v>N/A</v>
      </c>
      <c r="O56" s="580" t="str">
        <f t="shared" ref="O56:O61" si="14">IF(E56="Movement",IFERROR((M56/N56)/(60*60),"Error"),"N/A")</f>
        <v>N/A</v>
      </c>
      <c r="P56" s="575"/>
      <c r="Q56" s="1132" t="str">
        <f>IF($E56="Logistics",VLOOKUP($P56,'Upper Cask Movement &amp; Logistics'!$C$2:$D$81,2,FALSE),"N/A")</f>
        <v>N/A</v>
      </c>
      <c r="R56" s="1449"/>
      <c r="S56" s="853" t="str">
        <f>IFERROR(VLOOKUP($R56,'Upper Cask Recovery Logistics'!$C$5:$F$26,4,FALSE),"N/A")</f>
        <v>N/A</v>
      </c>
      <c r="T56" s="576" t="str">
        <f t="shared" si="11"/>
        <v>N/A</v>
      </c>
      <c r="U56" s="897"/>
      <c r="V56" s="2999" t="s">
        <v>1048</v>
      </c>
      <c r="W56" s="1082">
        <f t="shared" ref="W56:AB56" si="15">W55*(SUMIF($E$54:$E$61,"Operation",$F$54:$F$61))</f>
        <v>2.2067416666666645E-2</v>
      </c>
      <c r="X56" s="1414">
        <f t="shared" si="15"/>
        <v>0.35307866666666632</v>
      </c>
      <c r="Y56" s="1135">
        <f t="shared" si="15"/>
        <v>0.17653933333333316</v>
      </c>
      <c r="Z56" s="1135">
        <f t="shared" si="15"/>
        <v>0.13240449999999987</v>
      </c>
      <c r="AA56" s="1135">
        <f t="shared" si="15"/>
        <v>8.826966666666658E-2</v>
      </c>
      <c r="AB56" s="1085">
        <f t="shared" si="15"/>
        <v>6.6202249999999935E-2</v>
      </c>
      <c r="AD56" s="1430"/>
      <c r="AE56" s="8"/>
      <c r="AF56" s="8"/>
      <c r="AG56" s="8"/>
      <c r="AH56" s="8"/>
      <c r="AI56" s="8"/>
    </row>
    <row r="57" spans="2:35" outlineLevel="1" x14ac:dyDescent="0.4">
      <c r="B57" s="1429"/>
      <c r="C57" s="1128" t="s">
        <v>1136</v>
      </c>
      <c r="D57" s="659" t="s">
        <v>1137</v>
      </c>
      <c r="E57" s="659" t="s">
        <v>778</v>
      </c>
      <c r="F57" s="459">
        <f t="shared" si="13"/>
        <v>6.9444444444444448E-2</v>
      </c>
      <c r="G57" s="517">
        <f t="shared" si="10"/>
        <v>4.6188888888888888</v>
      </c>
      <c r="H57" s="1131"/>
      <c r="I57" s="850" t="str">
        <f>IF(E57="operation",VLOOKUP(H57,'Generic Vertical Port Tasks'!$C$4:$D$189,2,FALSE),"N/A")</f>
        <v>N/A</v>
      </c>
      <c r="J57" s="1131" t="s">
        <v>798</v>
      </c>
      <c r="K57" s="573" t="s">
        <v>452</v>
      </c>
      <c r="L57" s="573" t="s">
        <v>914</v>
      </c>
      <c r="M57" s="853">
        <f>IFERROR(INDEX('Upper Cask Movement &amp; Logistics'!$I$24:$O$31,MATCH($K57,'Upper Cask Movement &amp; Logistics'!$H$24:$H$31,0),MATCH($L57,'Upper Cask Movement &amp; Logistics'!$H$24:$H$31,0)),"N/A")</f>
        <v>50</v>
      </c>
      <c r="N57" s="852">
        <f>IFERROR(VLOOKUP($J57,'Upper Cask Movement &amp; Logistics'!$H$3:$I$8,2,FALSE),"N/A")</f>
        <v>0.2</v>
      </c>
      <c r="O57" s="580">
        <f t="shared" si="14"/>
        <v>6.9444444444444448E-2</v>
      </c>
      <c r="P57" s="575"/>
      <c r="Q57" s="1132" t="str">
        <f>IF($E57="Logistics",VLOOKUP($P57,'Upper Cask Movement &amp; Logistics'!$C$2:$D$81,2,FALSE),"N/A")</f>
        <v>N/A</v>
      </c>
      <c r="R57" s="1449"/>
      <c r="S57" s="853" t="str">
        <f>IFERROR(VLOOKUP($R57,'Upper Cask Recovery Logistics'!$C$5:$F$26,4,FALSE),"N/A")</f>
        <v>N/A</v>
      </c>
      <c r="T57" s="576" t="str">
        <f t="shared" si="11"/>
        <v>N/A</v>
      </c>
      <c r="U57" s="5"/>
      <c r="V57" s="2997" t="s">
        <v>2658</v>
      </c>
      <c r="W57" s="1086">
        <f t="shared" ref="W57:AB57" si="16">W55*(SUMIF($E$54:$E$61,"Movement",$F$54:$F$61)+(SUMIF($E$54:$E$61,"Logistics",$F$54:$F$61)))</f>
        <v>5.8294759027777716E-3</v>
      </c>
      <c r="X57" s="1415">
        <f t="shared" si="16"/>
        <v>9.3271614444444345E-2</v>
      </c>
      <c r="Y57" s="290">
        <f t="shared" si="16"/>
        <v>4.6635807222222173E-2</v>
      </c>
      <c r="Z57" s="290">
        <f t="shared" si="16"/>
        <v>3.4976855416666633E-2</v>
      </c>
      <c r="AA57" s="290">
        <f t="shared" si="16"/>
        <v>2.3317903611111086E-2</v>
      </c>
      <c r="AB57" s="1088">
        <f t="shared" si="16"/>
        <v>1.7488427708333316E-2</v>
      </c>
      <c r="AD57" s="1430"/>
      <c r="AE57" s="8"/>
      <c r="AF57" s="8"/>
      <c r="AG57" s="8"/>
      <c r="AH57" s="8"/>
      <c r="AI57" s="8"/>
    </row>
    <row r="58" spans="2:35" ht="15" outlineLevel="1" thickBot="1" x14ac:dyDescent="0.45">
      <c r="B58" s="1429"/>
      <c r="C58" s="1128" t="s">
        <v>1469</v>
      </c>
      <c r="D58" s="659" t="s">
        <v>1139</v>
      </c>
      <c r="E58" s="659" t="s">
        <v>251</v>
      </c>
      <c r="F58" s="459">
        <f t="shared" si="13"/>
        <v>2</v>
      </c>
      <c r="G58" s="517">
        <f t="shared" si="10"/>
        <v>6.6188888888888888</v>
      </c>
      <c r="H58" s="1131" t="s">
        <v>1135</v>
      </c>
      <c r="I58" s="850">
        <v>2</v>
      </c>
      <c r="J58" s="1131"/>
      <c r="K58" s="573"/>
      <c r="L58" s="573"/>
      <c r="M58" s="853" t="str">
        <f>IFERROR(INDEX('Upper Cask Movement &amp; Logistics'!$I$24:$O$31,MATCH($K58,'Upper Cask Movement &amp; Logistics'!$H$24:$H$31,0),MATCH($L58,'Upper Cask Movement &amp; Logistics'!$H$24:$H$31,0)),"N/A")</f>
        <v>N/A</v>
      </c>
      <c r="N58" s="852" t="str">
        <f>IFERROR(VLOOKUP($J58,'Upper Cask Movement &amp; Logistics'!$H$3:$I$8,2,FALSE),"N/A")</f>
        <v>N/A</v>
      </c>
      <c r="O58" s="580" t="str">
        <f t="shared" si="14"/>
        <v>N/A</v>
      </c>
      <c r="P58" s="575"/>
      <c r="Q58" s="1132" t="str">
        <f>IF($E58="Logistics",VLOOKUP($P58,'Upper Cask Movement &amp; Logistics'!$C$2:$D$81,2,FALSE),"N/A")</f>
        <v>N/A</v>
      </c>
      <c r="R58" s="1449"/>
      <c r="S58" s="853" t="str">
        <f>IFERROR(VLOOKUP($R58,'Upper Cask Recovery Logistics'!$C$5:$F$26,4,FALSE),"N/A")</f>
        <v>N/A</v>
      </c>
      <c r="T58" s="576" t="str">
        <f t="shared" si="11"/>
        <v>N/A</v>
      </c>
      <c r="U58" s="7"/>
      <c r="V58" s="3000" t="s">
        <v>2663</v>
      </c>
      <c r="W58" s="1089">
        <f t="shared" ref="W58:AB58" si="17">W55*(-SUMIF($T$54:$T$61,"&lt;0"))</f>
        <v>0</v>
      </c>
      <c r="X58" s="1416">
        <f t="shared" si="17"/>
        <v>0</v>
      </c>
      <c r="Y58" s="1138">
        <f t="shared" si="17"/>
        <v>0</v>
      </c>
      <c r="Z58" s="1138">
        <f t="shared" si="17"/>
        <v>0</v>
      </c>
      <c r="AA58" s="1138">
        <f t="shared" si="17"/>
        <v>0</v>
      </c>
      <c r="AB58" s="1092">
        <f t="shared" si="17"/>
        <v>0</v>
      </c>
      <c r="AD58" s="1430"/>
      <c r="AE58" s="8"/>
      <c r="AF58" s="8"/>
      <c r="AG58" s="8"/>
      <c r="AH58" s="8"/>
      <c r="AI58" s="8"/>
    </row>
    <row r="59" spans="2:35" ht="15" outlineLevel="1" thickBot="1" x14ac:dyDescent="0.45">
      <c r="B59" s="1429"/>
      <c r="C59" s="1128" t="s">
        <v>1470</v>
      </c>
      <c r="D59" s="659"/>
      <c r="E59" s="659" t="s">
        <v>778</v>
      </c>
      <c r="F59" s="459">
        <f t="shared" si="13"/>
        <v>6.9444444444444448E-2</v>
      </c>
      <c r="G59" s="517">
        <f t="shared" si="10"/>
        <v>6.6883333333333335</v>
      </c>
      <c r="H59" s="1131"/>
      <c r="I59" s="850" t="str">
        <f>IF(E59="operation",VLOOKUP(H59,'Generic Vertical Port Tasks'!$C$4:$D$189,2,FALSE),"N/A")</f>
        <v>N/A</v>
      </c>
      <c r="J59" s="1131" t="s">
        <v>798</v>
      </c>
      <c r="K59" s="573" t="s">
        <v>914</v>
      </c>
      <c r="L59" s="573" t="s">
        <v>452</v>
      </c>
      <c r="M59" s="853">
        <f>IFERROR(INDEX('Upper Cask Movement &amp; Logistics'!$I$24:$O$31,MATCH($K59,'Upper Cask Movement &amp; Logistics'!$H$24:$H$31,0),MATCH($L59,'Upper Cask Movement &amp; Logistics'!$H$24:$H$31,0)),"N/A")</f>
        <v>50</v>
      </c>
      <c r="N59" s="852">
        <f>IFERROR(VLOOKUP($J59,'Upper Cask Movement &amp; Logistics'!$H$3:$I$8,2,FALSE),"N/A")</f>
        <v>0.2</v>
      </c>
      <c r="O59" s="580">
        <f t="shared" si="14"/>
        <v>6.9444444444444448E-2</v>
      </c>
      <c r="P59" s="575"/>
      <c r="Q59" s="1132" t="str">
        <f>IF($E59="Logistics",VLOOKUP($P59,'Upper Cask Movement &amp; Logistics'!$C$2:$D$81,2,FALSE),"N/A")</f>
        <v>N/A</v>
      </c>
      <c r="R59" s="1449"/>
      <c r="S59" s="853" t="str">
        <f>IFERROR(VLOOKUP($R59,'Upper Cask Recovery Logistics'!$C$5:$F$26,4,FALSE),"N/A")</f>
        <v>N/A</v>
      </c>
      <c r="T59" s="576" t="str">
        <f t="shared" si="11"/>
        <v>N/A</v>
      </c>
      <c r="U59" s="7"/>
      <c r="V59" s="3001" t="s">
        <v>2667</v>
      </c>
      <c r="W59" s="2993">
        <f t="shared" ref="W59:AB59" si="18">W55*$G$62</f>
        <v>2.7896892569444418E-2</v>
      </c>
      <c r="X59" s="2994">
        <f t="shared" si="18"/>
        <v>0.44635028111111069</v>
      </c>
      <c r="Y59" s="694">
        <f t="shared" si="18"/>
        <v>0.22317514055555535</v>
      </c>
      <c r="Z59" s="694">
        <f t="shared" si="18"/>
        <v>0.16738135541666652</v>
      </c>
      <c r="AA59" s="694">
        <f t="shared" si="18"/>
        <v>0.11158757027777767</v>
      </c>
      <c r="AB59" s="2974">
        <f t="shared" si="18"/>
        <v>8.3690677708333258E-2</v>
      </c>
      <c r="AD59" s="1430"/>
      <c r="AE59" s="8"/>
      <c r="AF59" s="8"/>
      <c r="AG59" s="8"/>
      <c r="AH59" s="8"/>
      <c r="AI59" s="8"/>
    </row>
    <row r="60" spans="2:35" outlineLevel="1" x14ac:dyDescent="0.4">
      <c r="B60" s="1429"/>
      <c r="C60" s="1128" t="s">
        <v>1471</v>
      </c>
      <c r="D60" s="659"/>
      <c r="E60" s="659" t="s">
        <v>3</v>
      </c>
      <c r="F60" s="459">
        <f t="shared" si="13"/>
        <v>0.48000000000000004</v>
      </c>
      <c r="G60" s="517">
        <f t="shared" si="10"/>
        <v>7.1683333333333339</v>
      </c>
      <c r="H60" s="1131"/>
      <c r="I60" s="850" t="str">
        <f>IF(E60="operation",VLOOKUP(H60,'Generic Vertical Port Tasks'!$C$4:$D$189,2,FALSE),"N/A")</f>
        <v>N/A</v>
      </c>
      <c r="J60" s="1131"/>
      <c r="K60" s="573"/>
      <c r="L60" s="573"/>
      <c r="M60" s="853" t="str">
        <f>IFERROR(INDEX('Upper Cask Movement &amp; Logistics'!$I$24:$O$31,MATCH($K60,'Upper Cask Movement &amp; Logistics'!$H$24:$H$31,0),MATCH($L60,'Upper Cask Movement &amp; Logistics'!$H$24:$H$31,0)),"N/A")</f>
        <v>N/A</v>
      </c>
      <c r="N60" s="852" t="str">
        <f>IFERROR(VLOOKUP($J60,'Upper Cask Movement &amp; Logistics'!$H$3:$I$8,2,FALSE),"N/A")</f>
        <v>N/A</v>
      </c>
      <c r="O60" s="580" t="str">
        <f t="shared" si="14"/>
        <v>N/A</v>
      </c>
      <c r="P60" s="575" t="s">
        <v>1331</v>
      </c>
      <c r="Q60" s="1132">
        <f>IF($E60="Logistics",VLOOKUP($P60,'Upper Cask Movement &amp; Logistics'!$C$2:$D$81,2,FALSE),"N/A")</f>
        <v>0.48000000000000004</v>
      </c>
      <c r="R60" s="1449"/>
      <c r="S60" s="853" t="str">
        <f>IFERROR(VLOOKUP($R60,'Upper Cask Recovery Logistics'!$C$5:$F$26,4,FALSE),"N/A")</f>
        <v>N/A</v>
      </c>
      <c r="T60" s="576" t="str">
        <f t="shared" si="11"/>
        <v>N/A</v>
      </c>
      <c r="U60" s="7"/>
      <c r="AD60" s="1430"/>
      <c r="AE60" s="8"/>
      <c r="AF60" s="8"/>
      <c r="AG60" s="8"/>
      <c r="AH60" s="8"/>
      <c r="AI60" s="8"/>
    </row>
    <row r="61" spans="2:35" ht="15" outlineLevel="1" thickBot="1" x14ac:dyDescent="0.45">
      <c r="B61" s="1429"/>
      <c r="C61" s="1437" t="s">
        <v>2511</v>
      </c>
      <c r="D61" s="1438"/>
      <c r="E61" s="1438" t="s">
        <v>778</v>
      </c>
      <c r="F61" s="467">
        <f t="shared" si="13"/>
        <v>0.41666666666666669</v>
      </c>
      <c r="G61" s="1148">
        <f t="shared" si="10"/>
        <v>7.5850000000000009</v>
      </c>
      <c r="H61" s="1136"/>
      <c r="I61" s="591" t="str">
        <f>IF(E61="operation",VLOOKUP(H61,'Generic Vertical Port Tasks'!$C$4:$D$189,2,FALSE),"N/A")</f>
        <v>N/A</v>
      </c>
      <c r="J61" s="1136" t="s">
        <v>857</v>
      </c>
      <c r="K61" s="584" t="s">
        <v>1472</v>
      </c>
      <c r="L61" s="584" t="s">
        <v>452</v>
      </c>
      <c r="M61" s="814">
        <f>IFERROR(INDEX('Upper Cask Movement &amp; Logistics'!$I$24:$O$31,MATCH($K61,'Upper Cask Movement &amp; Logistics'!$H$24:$H$31,0),MATCH($L61,'Upper Cask Movement &amp; Logistics'!$H$24:$H$31,0)),"N/A")</f>
        <v>30</v>
      </c>
      <c r="N61" s="813">
        <f>IFERROR(VLOOKUP($J61,'Upper Cask Movement &amp; Logistics'!$H$3:$I$8,2,FALSE),"N/A")</f>
        <v>0.02</v>
      </c>
      <c r="O61" s="591">
        <f t="shared" si="14"/>
        <v>0.41666666666666669</v>
      </c>
      <c r="P61" s="586"/>
      <c r="Q61" s="1132" t="str">
        <f>IF($E61="Logistics",VLOOKUP($P61,'Upper Cask Movement &amp; Logistics'!$C$2:$D$81,2,FALSE),"N/A")</f>
        <v>N/A</v>
      </c>
      <c r="R61" s="1450"/>
      <c r="S61" s="814" t="str">
        <f>IFERROR(VLOOKUP($R61,'Upper Cask Recovery Logistics'!$C$5:$F$26,4,FALSE),"N/A")</f>
        <v>N/A</v>
      </c>
      <c r="T61" s="587" t="str">
        <f t="shared" si="11"/>
        <v>N/A</v>
      </c>
      <c r="U61" s="7"/>
      <c r="AD61" s="1430"/>
      <c r="AE61" s="8"/>
      <c r="AF61" s="8"/>
      <c r="AG61" s="8"/>
      <c r="AH61" s="8"/>
      <c r="AI61" s="8"/>
    </row>
    <row r="62" spans="2:35" outlineLevel="1" x14ac:dyDescent="0.4">
      <c r="B62" s="1429"/>
      <c r="E62" s="1439" t="s">
        <v>11</v>
      </c>
      <c r="F62" s="1439"/>
      <c r="G62" s="894">
        <f>G61</f>
        <v>7.5850000000000009</v>
      </c>
      <c r="R62" s="1444"/>
      <c r="S62" s="897"/>
      <c r="T62" s="897"/>
      <c r="U62" s="7"/>
      <c r="AD62" s="1430"/>
      <c r="AE62" s="8"/>
      <c r="AF62" s="8"/>
      <c r="AG62" s="8"/>
      <c r="AH62" s="8"/>
      <c r="AI62" s="8"/>
    </row>
    <row r="63" spans="2:35" outlineLevel="1" x14ac:dyDescent="0.4">
      <c r="B63" s="1429"/>
      <c r="C63" s="5"/>
      <c r="D63" s="1139"/>
      <c r="E63" s="1140"/>
      <c r="F63" s="1139"/>
      <c r="G63" s="1139"/>
      <c r="H63" s="1139"/>
      <c r="I63" s="1140"/>
      <c r="J63" s="1139"/>
      <c r="K63" s="1139"/>
      <c r="L63" s="1139"/>
      <c r="M63" s="1139"/>
      <c r="N63" s="1139"/>
      <c r="O63" s="1139"/>
      <c r="P63" s="1141"/>
      <c r="Q63" s="7"/>
      <c r="R63" s="1413"/>
      <c r="S63" s="7"/>
      <c r="T63" s="7"/>
      <c r="U63" s="7"/>
      <c r="V63" s="3003"/>
      <c r="W63" s="290"/>
      <c r="X63" s="290"/>
      <c r="Y63" s="290"/>
      <c r="Z63" s="290"/>
      <c r="AA63" s="290"/>
      <c r="AB63" s="290"/>
      <c r="AD63" s="1430"/>
      <c r="AE63" s="8"/>
      <c r="AF63" s="8"/>
      <c r="AG63" s="8"/>
      <c r="AH63" s="8"/>
      <c r="AI63" s="8"/>
    </row>
    <row r="64" spans="2:35" outlineLevel="1" x14ac:dyDescent="0.4">
      <c r="B64" s="1440"/>
      <c r="C64" s="1015"/>
      <c r="D64" s="1015"/>
      <c r="E64" s="1015"/>
      <c r="F64" s="1015"/>
      <c r="G64" s="1015"/>
      <c r="H64" s="1015"/>
      <c r="I64" s="1018"/>
      <c r="J64" s="1015"/>
      <c r="K64" s="1015"/>
      <c r="L64" s="1015"/>
      <c r="M64" s="1015"/>
      <c r="N64" s="1015"/>
      <c r="O64" s="1015"/>
      <c r="P64" s="1015"/>
      <c r="Q64" s="1015"/>
      <c r="R64" s="1451"/>
      <c r="S64" s="1015"/>
      <c r="T64" s="1015"/>
      <c r="U64" s="1015"/>
      <c r="V64" s="3006"/>
      <c r="W64" s="1441"/>
      <c r="X64" s="1441"/>
      <c r="Y64" s="1441"/>
      <c r="Z64" s="1441"/>
      <c r="AA64" s="1441"/>
      <c r="AB64" s="1441"/>
      <c r="AC64" s="1441"/>
      <c r="AD64" s="1442"/>
      <c r="AE64" s="8"/>
      <c r="AF64" s="8"/>
      <c r="AG64" s="8"/>
      <c r="AH64" s="8"/>
      <c r="AI64" s="8"/>
    </row>
    <row r="65" spans="2:35" x14ac:dyDescent="0.4">
      <c r="B65" s="5"/>
      <c r="C65" s="1144"/>
      <c r="D65" s="892"/>
      <c r="E65" s="892"/>
      <c r="F65" s="894"/>
      <c r="G65" s="894"/>
      <c r="H65" s="94"/>
      <c r="I65" s="895"/>
      <c r="J65" s="94"/>
      <c r="K65" s="94"/>
      <c r="L65" s="94"/>
      <c r="M65" s="897"/>
      <c r="N65" s="897"/>
      <c r="O65" s="895"/>
      <c r="P65" s="94"/>
      <c r="Q65" s="897"/>
      <c r="R65" s="1444"/>
      <c r="S65" s="897"/>
      <c r="T65" s="897"/>
      <c r="U65" s="5"/>
      <c r="V65" s="3003"/>
      <c r="W65" s="290"/>
      <c r="X65" s="290"/>
      <c r="Y65" s="290"/>
      <c r="Z65" s="290"/>
      <c r="AA65" s="290"/>
      <c r="AB65" s="1018"/>
      <c r="AD65" s="8"/>
      <c r="AE65" s="8"/>
      <c r="AF65" s="8"/>
      <c r="AG65" s="8"/>
      <c r="AH65" s="8"/>
      <c r="AI65" s="8"/>
    </row>
    <row r="66" spans="2:35" ht="15.45" x14ac:dyDescent="0.4">
      <c r="B66" s="1425"/>
      <c r="C66" s="1426" t="s">
        <v>1473</v>
      </c>
      <c r="D66" s="1427"/>
      <c r="E66" s="1427"/>
      <c r="F66" s="1427"/>
      <c r="G66" s="1427"/>
      <c r="H66" s="1427"/>
      <c r="I66" s="1427"/>
      <c r="J66" s="1427"/>
      <c r="K66" s="1427"/>
      <c r="L66" s="1427"/>
      <c r="M66" s="1427"/>
      <c r="N66" s="1427"/>
      <c r="O66" s="1427"/>
      <c r="P66" s="1427"/>
      <c r="Q66" s="1427"/>
      <c r="R66" s="1445"/>
      <c r="S66" s="1427"/>
      <c r="T66" s="1427"/>
      <c r="U66" s="1427"/>
      <c r="V66" s="3002"/>
      <c r="W66" s="1427"/>
      <c r="X66" s="1427"/>
      <c r="Y66" s="1427"/>
      <c r="Z66" s="1427"/>
      <c r="AA66" s="1427"/>
      <c r="AB66" s="1427"/>
      <c r="AC66" s="1427"/>
      <c r="AD66" s="1428"/>
      <c r="AE66" s="8"/>
      <c r="AF66" s="8"/>
      <c r="AG66" s="8"/>
      <c r="AH66" s="8"/>
      <c r="AI66" s="8"/>
    </row>
    <row r="67" spans="2:35" outlineLevel="1" x14ac:dyDescent="0.4">
      <c r="B67" s="1429"/>
      <c r="C67" s="748" t="s">
        <v>1053</v>
      </c>
      <c r="D67" s="706"/>
      <c r="E67" s="706"/>
      <c r="F67" s="706"/>
      <c r="G67" s="706"/>
      <c r="H67" s="706"/>
      <c r="I67" s="1117"/>
      <c r="J67" s="706"/>
      <c r="K67" s="706"/>
      <c r="L67" s="706"/>
      <c r="M67" s="706"/>
      <c r="N67" s="706"/>
      <c r="O67" s="706"/>
      <c r="P67" s="706"/>
      <c r="Q67" s="7"/>
      <c r="R67" s="1413"/>
      <c r="S67" s="7"/>
      <c r="T67" s="7"/>
      <c r="U67" s="7"/>
      <c r="V67" s="3003"/>
      <c r="W67" s="290"/>
      <c r="X67" s="290"/>
      <c r="Y67" s="290"/>
      <c r="Z67" s="290"/>
      <c r="AA67" s="290"/>
      <c r="AB67" s="290"/>
      <c r="AD67" s="1430"/>
      <c r="AE67" s="8"/>
      <c r="AF67" s="8"/>
      <c r="AG67" s="8"/>
      <c r="AH67" s="8"/>
      <c r="AI67" s="8"/>
    </row>
    <row r="68" spans="2:35" outlineLevel="1" x14ac:dyDescent="0.4">
      <c r="B68" s="1429"/>
      <c r="C68" s="700" t="s">
        <v>1474</v>
      </c>
      <c r="D68" s="706"/>
      <c r="E68" s="706"/>
      <c r="F68" s="706"/>
      <c r="G68" s="706"/>
      <c r="H68" s="706"/>
      <c r="I68" s="1117"/>
      <c r="J68" s="706"/>
      <c r="K68" s="706"/>
      <c r="L68" s="706"/>
      <c r="M68" s="706"/>
      <c r="N68" s="706"/>
      <c r="O68" s="706"/>
      <c r="P68" s="706"/>
      <c r="Q68" s="7"/>
      <c r="R68" s="1413"/>
      <c r="S68" s="7"/>
      <c r="T68" s="7"/>
      <c r="U68" s="7"/>
      <c r="V68" s="3003"/>
      <c r="W68" s="290"/>
      <c r="X68" s="290"/>
      <c r="Y68" s="290"/>
      <c r="Z68" s="290"/>
      <c r="AA68" s="290"/>
      <c r="AB68" s="290"/>
      <c r="AD68" s="1430"/>
      <c r="AE68" s="8"/>
      <c r="AF68" s="8"/>
      <c r="AG68" s="8"/>
      <c r="AH68" s="8"/>
      <c r="AI68" s="8"/>
    </row>
    <row r="69" spans="2:35" outlineLevel="1" x14ac:dyDescent="0.4">
      <c r="B69" s="1429"/>
      <c r="C69" s="700" t="s">
        <v>1125</v>
      </c>
      <c r="D69" s="706"/>
      <c r="E69" s="706"/>
      <c r="F69" s="706"/>
      <c r="G69" s="706"/>
      <c r="H69" s="706"/>
      <c r="I69" s="1117"/>
      <c r="J69" s="706"/>
      <c r="K69" s="706"/>
      <c r="L69" s="706"/>
      <c r="M69" s="706"/>
      <c r="N69" s="706"/>
      <c r="O69" s="706"/>
      <c r="P69" s="706"/>
      <c r="Q69" s="7"/>
      <c r="R69" s="1413"/>
      <c r="S69" s="7"/>
      <c r="T69" s="7"/>
      <c r="U69" s="7"/>
      <c r="V69" s="3003"/>
      <c r="W69" s="290"/>
      <c r="X69" s="290"/>
      <c r="Y69" s="290"/>
      <c r="Z69" s="290"/>
      <c r="AA69" s="290"/>
      <c r="AB69" s="290"/>
      <c r="AD69" s="1430"/>
      <c r="AE69" s="8"/>
      <c r="AF69" s="8"/>
      <c r="AG69" s="8"/>
      <c r="AH69" s="8"/>
      <c r="AI69" s="8"/>
    </row>
    <row r="70" spans="2:35" outlineLevel="1" x14ac:dyDescent="0.4">
      <c r="B70" s="1429"/>
      <c r="C70" s="700" t="s">
        <v>1126</v>
      </c>
      <c r="D70" s="706"/>
      <c r="E70" s="706"/>
      <c r="F70" s="706"/>
      <c r="G70" s="706"/>
      <c r="H70" s="706"/>
      <c r="I70" s="1117"/>
      <c r="J70" s="706"/>
      <c r="K70" s="706"/>
      <c r="L70" s="706"/>
      <c r="M70" s="706"/>
      <c r="N70" s="706"/>
      <c r="O70" s="706"/>
      <c r="P70" s="706"/>
      <c r="Q70" s="7"/>
      <c r="R70" s="1413"/>
      <c r="S70" s="7"/>
      <c r="T70" s="7"/>
      <c r="U70" s="7"/>
      <c r="V70" s="3003"/>
      <c r="W70" s="290"/>
      <c r="X70" s="290"/>
      <c r="Y70" s="290"/>
      <c r="Z70" s="290"/>
      <c r="AA70" s="290"/>
      <c r="AB70" s="290"/>
      <c r="AD70" s="1430"/>
      <c r="AE70" s="8"/>
      <c r="AF70" s="8"/>
      <c r="AG70" s="8"/>
      <c r="AH70" s="8"/>
      <c r="AI70" s="8"/>
    </row>
    <row r="71" spans="2:35" outlineLevel="1" x14ac:dyDescent="0.4">
      <c r="B71" s="1429"/>
      <c r="C71" s="1118" t="s">
        <v>1127</v>
      </c>
      <c r="D71" s="706"/>
      <c r="E71" s="706"/>
      <c r="F71" s="706"/>
      <c r="G71" s="706"/>
      <c r="H71" s="706"/>
      <c r="I71" s="1117"/>
      <c r="J71" s="706"/>
      <c r="K71" s="706"/>
      <c r="L71" s="706"/>
      <c r="M71" s="706"/>
      <c r="N71" s="706"/>
      <c r="O71" s="706"/>
      <c r="P71" s="706"/>
      <c r="Q71" s="7"/>
      <c r="R71" s="1413"/>
      <c r="S71" s="7"/>
      <c r="T71" s="7"/>
      <c r="U71" s="7"/>
      <c r="V71" s="3003"/>
      <c r="W71" s="290"/>
      <c r="X71" s="290"/>
      <c r="Y71" s="290"/>
      <c r="Z71" s="290"/>
      <c r="AA71" s="290"/>
      <c r="AB71" s="290"/>
      <c r="AD71" s="1430"/>
      <c r="AE71" s="8"/>
      <c r="AF71" s="8"/>
      <c r="AG71" s="8"/>
      <c r="AH71" s="8"/>
      <c r="AI71" s="8"/>
    </row>
    <row r="72" spans="2:35" outlineLevel="1" x14ac:dyDescent="0.4">
      <c r="B72" s="1429"/>
      <c r="C72" s="700"/>
      <c r="D72" s="706"/>
      <c r="E72" s="706"/>
      <c r="F72" s="706"/>
      <c r="G72" s="706"/>
      <c r="H72" s="706"/>
      <c r="I72" s="1117"/>
      <c r="J72" s="706"/>
      <c r="K72" s="706"/>
      <c r="L72" s="706"/>
      <c r="M72" s="706"/>
      <c r="N72" s="706"/>
      <c r="O72" s="706"/>
      <c r="P72" s="706"/>
      <c r="Q72" s="7"/>
      <c r="R72" s="1413"/>
      <c r="S72" s="7"/>
      <c r="T72" s="7"/>
      <c r="U72" s="7"/>
      <c r="V72" s="3003"/>
      <c r="W72" s="290"/>
      <c r="X72" s="290"/>
      <c r="Y72" s="290"/>
      <c r="Z72" s="290"/>
      <c r="AA72" s="290"/>
      <c r="AB72" s="290"/>
      <c r="AD72" s="1430"/>
      <c r="AE72" s="8"/>
      <c r="AF72" s="8"/>
      <c r="AG72" s="8"/>
      <c r="AH72" s="8"/>
      <c r="AI72" s="8"/>
    </row>
    <row r="73" spans="2:35" outlineLevel="1" x14ac:dyDescent="0.4">
      <c r="B73" s="1429"/>
      <c r="C73" s="700"/>
      <c r="D73" s="706"/>
      <c r="E73" s="706"/>
      <c r="F73" s="706"/>
      <c r="G73" s="706"/>
      <c r="H73" s="706"/>
      <c r="I73" s="1117"/>
      <c r="J73" s="706"/>
      <c r="K73" s="706"/>
      <c r="L73" s="706"/>
      <c r="M73" s="706"/>
      <c r="N73" s="706"/>
      <c r="O73" s="706"/>
      <c r="P73" s="706"/>
      <c r="Q73" s="7"/>
      <c r="R73" s="1413"/>
      <c r="S73" s="7"/>
      <c r="T73" s="7"/>
      <c r="U73" s="7"/>
      <c r="V73" s="3003"/>
      <c r="W73" s="290"/>
      <c r="X73" s="290"/>
      <c r="Y73" s="290"/>
      <c r="Z73" s="290"/>
      <c r="AA73" s="290"/>
      <c r="AB73" s="290"/>
      <c r="AD73" s="1430"/>
      <c r="AE73" s="8"/>
      <c r="AF73" s="8"/>
      <c r="AG73" s="8"/>
      <c r="AH73" s="8"/>
      <c r="AI73" s="8"/>
    </row>
    <row r="74" spans="2:35" outlineLevel="1" x14ac:dyDescent="0.4">
      <c r="B74" s="1429"/>
      <c r="C74" s="748" t="s">
        <v>1056</v>
      </c>
      <c r="D74" s="927">
        <f>SUM(D75)</f>
        <v>9.0000000000000006E-5</v>
      </c>
      <c r="E74" s="918"/>
      <c r="F74" s="918"/>
      <c r="G74" s="918"/>
      <c r="H74" s="918"/>
      <c r="I74" s="919"/>
      <c r="J74" s="918"/>
      <c r="K74" s="918"/>
      <c r="L74" s="918"/>
      <c r="M74" s="918"/>
      <c r="N74" s="918"/>
      <c r="O74" s="918"/>
      <c r="P74" s="706"/>
      <c r="Q74" s="7"/>
      <c r="R74" s="1413"/>
      <c r="S74" s="7"/>
      <c r="T74" s="7"/>
      <c r="U74" s="7"/>
      <c r="V74" s="3003"/>
      <c r="W74" s="290"/>
      <c r="X74" s="290"/>
      <c r="Y74" s="290"/>
      <c r="Z74" s="290"/>
      <c r="AA74" s="290"/>
      <c r="AB74" s="290"/>
      <c r="AD74" s="1430"/>
      <c r="AE74" s="8"/>
      <c r="AF74" s="8"/>
      <c r="AG74" s="8"/>
      <c r="AH74" s="8"/>
      <c r="AI74" s="8"/>
    </row>
    <row r="75" spans="2:35" ht="15" outlineLevel="1" thickBot="1" x14ac:dyDescent="0.45">
      <c r="B75" s="1429"/>
      <c r="C75" s="7" t="s">
        <v>1475</v>
      </c>
      <c r="D75" s="283">
        <f>Total_Cask_Failure_Rate</f>
        <v>9.0000000000000006E-5</v>
      </c>
      <c r="E75" s="922"/>
      <c r="F75" s="922"/>
      <c r="G75" s="922"/>
      <c r="H75" s="918"/>
      <c r="I75" s="919"/>
      <c r="J75" s="918"/>
      <c r="K75" s="918"/>
      <c r="L75" s="918"/>
      <c r="M75" s="918"/>
      <c r="N75" s="918"/>
      <c r="O75" s="918"/>
      <c r="P75" s="706"/>
      <c r="Q75" s="7"/>
      <c r="R75" s="1413"/>
      <c r="S75" s="7"/>
      <c r="T75" s="7"/>
      <c r="U75" s="7"/>
      <c r="V75" s="3003"/>
      <c r="W75" s="290"/>
      <c r="X75" s="290"/>
      <c r="Y75" s="290"/>
      <c r="Z75" s="290"/>
      <c r="AA75" s="290"/>
      <c r="AB75" s="1138"/>
      <c r="AD75" s="1430"/>
      <c r="AE75" s="8"/>
      <c r="AF75" s="8"/>
      <c r="AG75" s="8"/>
      <c r="AH75" s="8"/>
      <c r="AI75" s="8"/>
    </row>
    <row r="76" spans="2:35" ht="15" outlineLevel="1" thickBot="1" x14ac:dyDescent="0.45">
      <c r="B76" s="1429"/>
      <c r="C76" s="7"/>
      <c r="D76" s="922"/>
      <c r="E76" s="922"/>
      <c r="F76" s="922"/>
      <c r="G76" s="922"/>
      <c r="H76" s="918"/>
      <c r="I76" s="919"/>
      <c r="J76" s="918"/>
      <c r="K76" s="918"/>
      <c r="L76" s="918"/>
      <c r="M76" s="918"/>
      <c r="N76" s="918"/>
      <c r="O76" s="918"/>
      <c r="P76" s="706"/>
      <c r="Q76" s="7"/>
      <c r="R76" s="1413"/>
      <c r="S76" s="7"/>
      <c r="T76" s="7"/>
      <c r="U76" s="7"/>
      <c r="V76" s="3007" t="str">
        <f>C66</f>
        <v>Vertical Maintenance Cask Failure</v>
      </c>
      <c r="W76" s="1119" t="s">
        <v>23</v>
      </c>
      <c r="X76" s="560"/>
      <c r="Y76" s="1446"/>
      <c r="Z76" s="1446"/>
      <c r="AA76" s="1446"/>
      <c r="AB76" s="946"/>
      <c r="AD76" s="1430"/>
      <c r="AE76" s="8"/>
      <c r="AF76" s="8"/>
      <c r="AG76" s="8"/>
      <c r="AH76" s="8"/>
      <c r="AI76" s="8"/>
    </row>
    <row r="77" spans="2:35" ht="15" outlineLevel="1" thickBot="1" x14ac:dyDescent="0.45">
      <c r="B77" s="1429"/>
      <c r="C77" s="7"/>
      <c r="D77" s="7"/>
      <c r="E77" s="7"/>
      <c r="F77" s="7"/>
      <c r="G77" s="929"/>
      <c r="H77" s="3841" t="s">
        <v>18</v>
      </c>
      <c r="I77" s="3837"/>
      <c r="J77" s="3793" t="s">
        <v>778</v>
      </c>
      <c r="K77" s="3794"/>
      <c r="L77" s="3794"/>
      <c r="M77" s="3794"/>
      <c r="N77" s="3794"/>
      <c r="O77" s="3795"/>
      <c r="P77" s="3793" t="s">
        <v>3</v>
      </c>
      <c r="Q77" s="3794"/>
      <c r="R77" s="3838" t="s">
        <v>779</v>
      </c>
      <c r="S77" s="3839"/>
      <c r="T77" s="3840"/>
      <c r="U77" s="938"/>
      <c r="V77" s="3008" t="s">
        <v>1055</v>
      </c>
      <c r="W77" s="1122">
        <v>1</v>
      </c>
      <c r="X77" s="1512">
        <v>1</v>
      </c>
      <c r="Y77" s="916">
        <v>2</v>
      </c>
      <c r="Z77" s="916">
        <v>3</v>
      </c>
      <c r="AA77" s="916">
        <v>4</v>
      </c>
      <c r="AB77" s="1045">
        <v>6</v>
      </c>
      <c r="AD77" s="1430"/>
      <c r="AE77" s="8"/>
      <c r="AF77" s="8"/>
      <c r="AG77" s="8"/>
      <c r="AH77" s="8"/>
      <c r="AI77" s="8"/>
    </row>
    <row r="78" spans="2:35" ht="15" outlineLevel="1" thickBot="1" x14ac:dyDescent="0.45">
      <c r="B78" s="1429"/>
      <c r="C78" s="565" t="s">
        <v>1129</v>
      </c>
      <c r="D78" s="559" t="s">
        <v>1061</v>
      </c>
      <c r="E78" s="559" t="s">
        <v>782</v>
      </c>
      <c r="F78" s="1123" t="s">
        <v>783</v>
      </c>
      <c r="G78" s="1124" t="s">
        <v>784</v>
      </c>
      <c r="H78" s="558" t="s">
        <v>785</v>
      </c>
      <c r="I78" s="1452" t="s">
        <v>783</v>
      </c>
      <c r="J78" s="558" t="s">
        <v>786</v>
      </c>
      <c r="K78" s="559" t="s">
        <v>787</v>
      </c>
      <c r="L78" s="559" t="s">
        <v>788</v>
      </c>
      <c r="M78" s="1453" t="s">
        <v>789</v>
      </c>
      <c r="N78" s="1453" t="s">
        <v>790</v>
      </c>
      <c r="O78" s="1454" t="s">
        <v>783</v>
      </c>
      <c r="P78" s="1127" t="s">
        <v>785</v>
      </c>
      <c r="Q78" s="1127" t="s">
        <v>783</v>
      </c>
      <c r="R78" s="1455" t="s">
        <v>781</v>
      </c>
      <c r="S78" s="1456" t="s">
        <v>791</v>
      </c>
      <c r="T78" s="1457" t="s">
        <v>792</v>
      </c>
      <c r="U78" s="947"/>
      <c r="V78" s="2997" t="s">
        <v>1130</v>
      </c>
      <c r="W78" s="1086">
        <f>SUMIF('Upper Cask Critical Path'!$D$7:$D$260, "Operation", 'Upper Cask Critical Path'!$E$7:$E$260)</f>
        <v>452.4510181957296</v>
      </c>
      <c r="X78" s="1415">
        <f>SUMIF('Upper Cask Critical Path'!$D$7:$D$260, "Operation", 'Upper Cask Critical Path'!$E$7:$E$260)</f>
        <v>452.4510181957296</v>
      </c>
      <c r="Y78" s="917">
        <f>SUMIF('Upper Cask Critical Path'!$D$7:$D$260, "Operation", 'Upper Cask Critical Path'!$E$7:$E$260)</f>
        <v>452.4510181957296</v>
      </c>
      <c r="Z78" s="917">
        <f>SUMIF('Upper Cask Critical Path'!$D$7:$D$260, "Operation", 'Upper Cask Critical Path'!$E$7:$E$260)</f>
        <v>452.4510181957296</v>
      </c>
      <c r="AA78" s="917">
        <f>SUMIF('Upper Cask Critical Path'!$D$7:$D$260, "Operation", 'Upper Cask Critical Path'!$E$7:$E$260)</f>
        <v>452.4510181957296</v>
      </c>
      <c r="AB78" s="1028">
        <f>SUMIF('Upper Cask Critical Path'!$D$7:$D$260, "Operation", 'Upper Cask Critical Path'!$E$7:$E$260)</f>
        <v>452.4510181957296</v>
      </c>
      <c r="AD78" s="1430"/>
      <c r="AE78" s="8"/>
      <c r="AF78" s="8"/>
      <c r="AG78" s="8"/>
      <c r="AH78" s="8"/>
      <c r="AI78" s="8"/>
    </row>
    <row r="79" spans="2:35" outlineLevel="1" x14ac:dyDescent="0.4">
      <c r="B79" s="1429"/>
      <c r="C79" s="1458" t="s">
        <v>2509</v>
      </c>
      <c r="D79" s="663"/>
      <c r="E79" s="663" t="s">
        <v>778</v>
      </c>
      <c r="F79" s="459">
        <f t="shared" ref="F79:F86" si="19">MAX($Q79,$O79,$I79)</f>
        <v>6.9444444444444448E-2</v>
      </c>
      <c r="G79" s="517">
        <f>F79</f>
        <v>6.9444444444444448E-2</v>
      </c>
      <c r="H79" s="854"/>
      <c r="I79" s="850" t="str">
        <f>IF(E79="operation",VLOOKUP(H79,'Generic Vertical Port Tasks'!$C$4:$D$189,2,FALSE),"N/A")</f>
        <v>N/A</v>
      </c>
      <c r="J79" s="854" t="s">
        <v>798</v>
      </c>
      <c r="K79" s="880" t="s">
        <v>799</v>
      </c>
      <c r="L79" s="880" t="s">
        <v>452</v>
      </c>
      <c r="M79" s="1459">
        <f>IFERROR(INDEX('Upper Cask Movement &amp; Logistics'!$I$24:$O$30,MATCH($K79,'Upper Cask Movement &amp; Logistics'!$H$24:$H$30,0),MATCH($L79,'Upper Cask Movement &amp; Logistics'!$H$24:$H$30,0)),"N/A")</f>
        <v>50</v>
      </c>
      <c r="N79" s="1460">
        <f>IFERROR(VLOOKUP($J79,'Upper Cask Movement &amp; Logistics'!$H$3:$I$8,2,FALSE),"N/A")</f>
        <v>0.2</v>
      </c>
      <c r="O79" s="850">
        <f t="shared" ref="O79:O86" si="20">IF(E79="Movement",IFERROR((M79/N79)/(60*60),"Error"),"N/A")</f>
        <v>6.9444444444444448E-2</v>
      </c>
      <c r="P79" s="879"/>
      <c r="Q79" s="1461" t="str">
        <f>IF($E79="Logistics",VLOOKUP($P79,'Upper Cask Movement &amp; Logistics'!$C$2:$D$81,2,FALSE),"N/A")</f>
        <v>N/A</v>
      </c>
      <c r="R79" s="879"/>
      <c r="S79" s="1462" t="str">
        <f>IFERROR(VLOOKUP($R79,'Upper Cask Recovery Logistics'!$C$5:$F$26,4,FALSE),"N/A")</f>
        <v>N/A</v>
      </c>
      <c r="T79" s="1463" t="str">
        <f>IFERROR(G79-F79-S79,"N/A")</f>
        <v>N/A</v>
      </c>
      <c r="U79" s="947"/>
      <c r="V79" s="1852" t="s">
        <v>2668</v>
      </c>
      <c r="W79" s="1086">
        <f>W78</f>
        <v>452.4510181957296</v>
      </c>
      <c r="X79" s="1415">
        <f>ROUNDUP((Tokamak_Segmts/X77),0)*(X78)</f>
        <v>7239.2162911316736</v>
      </c>
      <c r="Y79" s="917">
        <f>ROUNDUP((Tokamak_Segmts/Y77),0)*(Y78)</f>
        <v>3619.6081455658368</v>
      </c>
      <c r="Z79" s="917">
        <f>ROUNDUP((Tokamak_Segmts/Z77),0)*(Z78)</f>
        <v>2714.7061091743776</v>
      </c>
      <c r="AA79" s="917">
        <f>ROUNDUP((Tokamak_Segmts/AA77),0)*(AA78)</f>
        <v>1809.8040727829184</v>
      </c>
      <c r="AB79" s="1028">
        <f>ROUNDUP((Tokamak_Segmts/AB77),0)*(AB78)</f>
        <v>1357.3530545871888</v>
      </c>
      <c r="AD79" s="1430"/>
      <c r="AE79" s="8"/>
      <c r="AF79" s="8"/>
      <c r="AG79" s="8"/>
      <c r="AH79" s="8"/>
      <c r="AI79" s="8"/>
    </row>
    <row r="80" spans="2:35" ht="15" outlineLevel="1" thickBot="1" x14ac:dyDescent="0.45">
      <c r="B80" s="1429"/>
      <c r="C80" s="1128" t="s">
        <v>1476</v>
      </c>
      <c r="D80" s="659"/>
      <c r="E80" s="659" t="s">
        <v>3</v>
      </c>
      <c r="F80" s="459">
        <f t="shared" si="19"/>
        <v>1.6400000000000001</v>
      </c>
      <c r="G80" s="517">
        <f t="shared" ref="G80:G86" si="21">IF(T80&lt;0,F80+G79+(-T80),F80+G79)</f>
        <v>1.7094444444444445</v>
      </c>
      <c r="H80" s="1131"/>
      <c r="I80" s="850" t="str">
        <f>IF(E80="operation",VLOOKUP(H80,'Generic Vertical Port Tasks'!$C$4:$D$189,2,FALSE),"N/A")</f>
        <v>N/A</v>
      </c>
      <c r="J80" s="1131"/>
      <c r="K80" s="573"/>
      <c r="L80" s="573"/>
      <c r="M80" s="853" t="str">
        <f>IFERROR(INDEX('Upper Cask Movement &amp; Logistics'!$I$24:$O$30,MATCH($K80,'Upper Cask Movement &amp; Logistics'!$H$24:$H$30,0),MATCH($L80,'Upper Cask Movement &amp; Logistics'!$H$24:$H$30,0)),"N/A")</f>
        <v>N/A</v>
      </c>
      <c r="N80" s="852" t="str">
        <f>IFERROR(VLOOKUP($J80,'Upper Cask Movement &amp; Logistics'!$H$3:$I$8,2,FALSE),"N/A")</f>
        <v>N/A</v>
      </c>
      <c r="O80" s="580" t="str">
        <f t="shared" si="20"/>
        <v>N/A</v>
      </c>
      <c r="P80" s="575" t="s">
        <v>1276</v>
      </c>
      <c r="Q80" s="1132">
        <f>IF($E80="Logistics",VLOOKUP($P80,'Upper Cask Movement &amp; Logistics'!$C$2:$D$81,2,FALSE),"N/A")</f>
        <v>1.6400000000000001</v>
      </c>
      <c r="R80" s="575"/>
      <c r="S80" s="320" t="str">
        <f>IFERROR(VLOOKUP($R80,'Upper Cask Recovery Logistics'!$C$5:$F$26,4,FALSE),"N/A")</f>
        <v>N/A</v>
      </c>
      <c r="T80" s="319" t="str">
        <f t="shared" ref="T80:T86" si="22">IFERROR(G79-S80,"N/A")</f>
        <v>N/A</v>
      </c>
      <c r="U80" s="947"/>
      <c r="V80" s="3141" t="s">
        <v>2693</v>
      </c>
      <c r="W80" s="1089">
        <f>W$79*$D$74</f>
        <v>4.0720591637615669E-2</v>
      </c>
      <c r="X80" s="1416">
        <f t="shared" ref="X80:AB80" si="23">X$79*$D$74</f>
        <v>0.6515294662018507</v>
      </c>
      <c r="Y80" s="920">
        <f t="shared" si="23"/>
        <v>0.32576473310092535</v>
      </c>
      <c r="Z80" s="920">
        <f t="shared" si="23"/>
        <v>0.24432354982569401</v>
      </c>
      <c r="AA80" s="920">
        <f t="shared" si="23"/>
        <v>0.16288236655046268</v>
      </c>
      <c r="AB80" s="1029">
        <f t="shared" si="23"/>
        <v>0.12216177491284701</v>
      </c>
      <c r="AD80" s="1430"/>
      <c r="AE80" s="8"/>
      <c r="AF80" s="8"/>
      <c r="AG80" s="8"/>
      <c r="AH80" s="8"/>
      <c r="AI80" s="8"/>
    </row>
    <row r="81" spans="2:35" outlineLevel="1" x14ac:dyDescent="0.4">
      <c r="B81" s="1429"/>
      <c r="C81" s="1128" t="s">
        <v>1477</v>
      </c>
      <c r="D81" s="659" t="s">
        <v>1478</v>
      </c>
      <c r="E81" s="659" t="s">
        <v>251</v>
      </c>
      <c r="F81" s="459">
        <f t="shared" si="19"/>
        <v>2</v>
      </c>
      <c r="G81" s="517">
        <f t="shared" si="21"/>
        <v>3.7094444444444443</v>
      </c>
      <c r="H81" s="575" t="s">
        <v>1135</v>
      </c>
      <c r="I81" s="580">
        <v>2</v>
      </c>
      <c r="J81" s="1131"/>
      <c r="K81" s="573"/>
      <c r="L81" s="573"/>
      <c r="M81" s="853" t="str">
        <f>IFERROR(INDEX('Upper Cask Movement &amp; Logistics'!$I$24:$O$30,MATCH($K81,'Upper Cask Movement &amp; Logistics'!$H$24:$H$30,0),MATCH($L81,'Upper Cask Movement &amp; Logistics'!$H$24:$H$30,0)),"N/A")</f>
        <v>N/A</v>
      </c>
      <c r="N81" s="852" t="str">
        <f>IFERROR(VLOOKUP($J81,'Upper Cask Movement &amp; Logistics'!$H$3:$I$8,2,FALSE),"N/A")</f>
        <v>N/A</v>
      </c>
      <c r="O81" s="580" t="str">
        <f t="shared" si="20"/>
        <v>N/A</v>
      </c>
      <c r="P81" s="575" t="s">
        <v>1467</v>
      </c>
      <c r="Q81" s="1132" t="str">
        <f>IF($E81="Logistics",VLOOKUP($P81,'Upper Cask Movement &amp; Logistics'!$C$2:$D$81,2,FALSE),"N/A")</f>
        <v>N/A</v>
      </c>
      <c r="R81" s="575"/>
      <c r="S81" s="853" t="str">
        <f>IFERROR(VLOOKUP($R81,'Upper Cask Recovery Logistics'!$C$5:$F$26,4,FALSE),"N/A")</f>
        <v>N/A</v>
      </c>
      <c r="T81" s="576" t="str">
        <f t="shared" si="22"/>
        <v>N/A</v>
      </c>
      <c r="U81" s="947"/>
      <c r="V81" s="2999" t="s">
        <v>1048</v>
      </c>
      <c r="W81" s="1082">
        <f>W80*(SUMIF($E$79:$E$86,"Operation",$F$79:$F$86))</f>
        <v>0.24432354982569401</v>
      </c>
      <c r="X81" s="1414">
        <f t="shared" ref="X81:AB81" si="24">X80*(SUMIF($E$79:$E$86,"Operation",$F$79:$F$86))</f>
        <v>3.9091767972111042</v>
      </c>
      <c r="Y81" s="1135">
        <f t="shared" si="24"/>
        <v>1.9545883986055521</v>
      </c>
      <c r="Z81" s="1135">
        <f t="shared" si="24"/>
        <v>1.465941298954164</v>
      </c>
      <c r="AA81" s="1135">
        <f t="shared" si="24"/>
        <v>0.97729419930277606</v>
      </c>
      <c r="AB81" s="1085">
        <f t="shared" si="24"/>
        <v>0.73297064947708201</v>
      </c>
      <c r="AD81" s="1430"/>
      <c r="AE81" s="8"/>
      <c r="AF81" s="8"/>
      <c r="AG81" s="8"/>
      <c r="AH81" s="8"/>
      <c r="AI81" s="8"/>
    </row>
    <row r="82" spans="2:35" outlineLevel="1" x14ac:dyDescent="0.4">
      <c r="B82" s="1429"/>
      <c r="C82" s="1128" t="s">
        <v>1479</v>
      </c>
      <c r="D82" s="659" t="s">
        <v>1134</v>
      </c>
      <c r="E82" s="659" t="s">
        <v>251</v>
      </c>
      <c r="F82" s="459">
        <f t="shared" si="19"/>
        <v>4</v>
      </c>
      <c r="G82" s="517">
        <f t="shared" si="21"/>
        <v>7.7094444444444443</v>
      </c>
      <c r="H82" s="1131" t="s">
        <v>1135</v>
      </c>
      <c r="I82" s="850">
        <v>4</v>
      </c>
      <c r="J82" s="1131"/>
      <c r="K82" s="573"/>
      <c r="L82" s="573"/>
      <c r="M82" s="853" t="str">
        <f>IFERROR(INDEX('Upper Cask Movement &amp; Logistics'!$I$24:$O$30,MATCH($K82,'Upper Cask Movement &amp; Logistics'!$H$24:$H$30,0),MATCH($L82,'Upper Cask Movement &amp; Logistics'!$H$24:$H$30,0)),"N/A")</f>
        <v>N/A</v>
      </c>
      <c r="N82" s="852" t="str">
        <f>IFERROR(VLOOKUP($J82,'Upper Cask Movement &amp; Logistics'!$H$3:$I$8,2,FALSE),"N/A")</f>
        <v>N/A</v>
      </c>
      <c r="O82" s="580" t="str">
        <f t="shared" si="20"/>
        <v>N/A</v>
      </c>
      <c r="P82" s="575"/>
      <c r="Q82" s="1132" t="str">
        <f>IF($E82="Logistics",VLOOKUP($P82,'Upper Cask Movement &amp; Logistics'!$C$2:$D$81,2,FALSE),"N/A")</f>
        <v>N/A</v>
      </c>
      <c r="R82" s="575"/>
      <c r="S82" s="853" t="str">
        <f>IFERROR(VLOOKUP($R82,'Upper Cask Recovery Logistics'!$C$5:$F$26,4,FALSE),"N/A")</f>
        <v>N/A</v>
      </c>
      <c r="T82" s="576" t="str">
        <f t="shared" si="22"/>
        <v>N/A</v>
      </c>
      <c r="U82" s="947"/>
      <c r="V82" s="2997" t="s">
        <v>2658</v>
      </c>
      <c r="W82" s="1086">
        <f>W80*(SUMIF($E$79:$E$86,"Movement",$F$79:$F$86)+(SUMIF($E$79:$E$86,"Logistics",$F$79:$F$86)))</f>
        <v>0.45075432687749573</v>
      </c>
      <c r="X82" s="1415">
        <f t="shared" ref="X82:AB82" si="25">X80*(SUMIF($E$79:$E$86,"Movement",$F$79:$F$86)+(SUMIF($E$79:$E$86,"Logistics",$F$79:$F$86)))</f>
        <v>7.2120692300399316</v>
      </c>
      <c r="Y82" s="290">
        <f t="shared" si="25"/>
        <v>3.6060346150199658</v>
      </c>
      <c r="Z82" s="290">
        <f t="shared" si="25"/>
        <v>2.7045259612649746</v>
      </c>
      <c r="AA82" s="290">
        <f t="shared" si="25"/>
        <v>1.8030173075099829</v>
      </c>
      <c r="AB82" s="1088">
        <f t="shared" si="25"/>
        <v>1.3522629806324873</v>
      </c>
      <c r="AD82" s="1430"/>
      <c r="AE82" s="8"/>
      <c r="AF82" s="8"/>
      <c r="AG82" s="8"/>
      <c r="AH82" s="8"/>
      <c r="AI82" s="8"/>
    </row>
    <row r="83" spans="2:35" ht="15" outlineLevel="1" thickBot="1" x14ac:dyDescent="0.45">
      <c r="B83" s="1429"/>
      <c r="C83" s="1128" t="s">
        <v>1480</v>
      </c>
      <c r="D83" s="659"/>
      <c r="E83" s="659" t="s">
        <v>3</v>
      </c>
      <c r="F83" s="459">
        <f t="shared" si="19"/>
        <v>0.38</v>
      </c>
      <c r="G83" s="517">
        <f t="shared" si="21"/>
        <v>8.0894444444444442</v>
      </c>
      <c r="H83" s="575"/>
      <c r="I83" s="580" t="str">
        <f>IF(E83="operation",VLOOKUP(H83,'Generic Vertical Port Tasks'!$C$4:$D$189,2,FALSE),"N/A")</f>
        <v>N/A</v>
      </c>
      <c r="J83" s="1131"/>
      <c r="K83" s="573"/>
      <c r="L83" s="573"/>
      <c r="M83" s="853" t="str">
        <f>IFERROR(INDEX('Upper Cask Movement &amp; Logistics'!$I$24:$O$30,MATCH($K83,'Upper Cask Movement &amp; Logistics'!$H$24:$H$30,0),MATCH($L83,'Upper Cask Movement &amp; Logistics'!$H$24:$H$30,0)),"N/A")</f>
        <v>N/A</v>
      </c>
      <c r="N83" s="852" t="str">
        <f>IFERROR(VLOOKUP($J83,'Upper Cask Movement &amp; Logistics'!$H$3:$I$8,2,FALSE),"N/A")</f>
        <v>N/A</v>
      </c>
      <c r="O83" s="580" t="str">
        <f t="shared" si="20"/>
        <v>N/A</v>
      </c>
      <c r="P83" s="575" t="s">
        <v>1481</v>
      </c>
      <c r="Q83" s="1132">
        <f>IF($E83="Logistics",VLOOKUP($P83,'Upper Cask Movement &amp; Logistics'!$C$2:$D$81,2,FALSE),"N/A")</f>
        <v>0.38</v>
      </c>
      <c r="R83" s="575"/>
      <c r="S83" s="320" t="str">
        <f>IFERROR(VLOOKUP($Q83,'Upper Cask Recovery Logistics'!$C$28:$F$508,4,FALSE),"N/A")</f>
        <v>N/A</v>
      </c>
      <c r="T83" s="319" t="str">
        <f t="shared" si="22"/>
        <v>N/A</v>
      </c>
      <c r="U83" s="947"/>
      <c r="V83" s="3000" t="s">
        <v>2695</v>
      </c>
      <c r="W83" s="1089">
        <f>W80*(-SUMIF($T$79:$T$86,"&lt;0"))</f>
        <v>0</v>
      </c>
      <c r="X83" s="1416">
        <f t="shared" ref="X83:AB83" si="26">X80*(-SUMIF($T$79:$T$86,"&lt;0"))</f>
        <v>0</v>
      </c>
      <c r="Y83" s="1138">
        <f t="shared" si="26"/>
        <v>0</v>
      </c>
      <c r="Z83" s="1138">
        <f t="shared" si="26"/>
        <v>0</v>
      </c>
      <c r="AA83" s="1138">
        <f t="shared" si="26"/>
        <v>0</v>
      </c>
      <c r="AB83" s="1092">
        <f t="shared" si="26"/>
        <v>0</v>
      </c>
      <c r="AD83" s="1430"/>
      <c r="AE83" s="8"/>
      <c r="AF83" s="8"/>
      <c r="AG83" s="8"/>
      <c r="AH83" s="8"/>
      <c r="AI83" s="8"/>
    </row>
    <row r="84" spans="2:35" ht="15" outlineLevel="1" thickBot="1" x14ac:dyDescent="0.45">
      <c r="B84" s="1429"/>
      <c r="C84" s="1128" t="s">
        <v>1482</v>
      </c>
      <c r="D84" s="659"/>
      <c r="E84" s="659" t="s">
        <v>3</v>
      </c>
      <c r="F84" s="459">
        <f t="shared" si="19"/>
        <v>2.5400000000000005</v>
      </c>
      <c r="G84" s="517">
        <f t="shared" si="21"/>
        <v>10.629444444444445</v>
      </c>
      <c r="H84" s="575"/>
      <c r="I84" s="580" t="str">
        <f>IF(E84="operation",VLOOKUP(H84,'Generic Vertical Port Tasks'!$C$4:$D$189,2,FALSE),"N/A")</f>
        <v>N/A</v>
      </c>
      <c r="J84" s="1131"/>
      <c r="K84" s="573"/>
      <c r="L84" s="573"/>
      <c r="M84" s="853" t="str">
        <f>IFERROR(INDEX('Upper Cask Movement &amp; Logistics'!$I$24:$O$30,MATCH($K84,'Upper Cask Movement &amp; Logistics'!$H$24:$H$30,0),MATCH($L84,'Upper Cask Movement &amp; Logistics'!$H$24:$H$30,0)),"N/A")</f>
        <v>N/A</v>
      </c>
      <c r="N84" s="852" t="str">
        <f>IFERROR(VLOOKUP($J84,'Upper Cask Movement &amp; Logistics'!$H$3:$I$8,2,FALSE),"N/A")</f>
        <v>N/A</v>
      </c>
      <c r="O84" s="580" t="str">
        <f t="shared" si="20"/>
        <v>N/A</v>
      </c>
      <c r="P84" s="575" t="s">
        <v>1483</v>
      </c>
      <c r="Q84" s="1132">
        <f>IF($E84="Logistics",VLOOKUP($P84,'Upper Cask Movement &amp; Logistics'!$C$2:$D$81,2,FALSE),"N/A")</f>
        <v>2.5400000000000005</v>
      </c>
      <c r="R84" s="575"/>
      <c r="S84" s="320" t="str">
        <f>IFERROR(VLOOKUP($Q84,'Upper Cask Recovery Logistics'!$C$28:$F$508,4,FALSE),"N/A")</f>
        <v>N/A</v>
      </c>
      <c r="T84" s="319" t="str">
        <f t="shared" si="22"/>
        <v>N/A</v>
      </c>
      <c r="U84" s="947"/>
      <c r="V84" s="3001" t="s">
        <v>2667</v>
      </c>
      <c r="W84" s="2993">
        <f>W80*$G$87</f>
        <v>0.69507787670318977</v>
      </c>
      <c r="X84" s="2994">
        <f t="shared" ref="X84:AB84" si="27">X80*$G$87</f>
        <v>11.121246027251036</v>
      </c>
      <c r="Y84" s="694">
        <f t="shared" si="27"/>
        <v>5.5606230136255181</v>
      </c>
      <c r="Z84" s="694">
        <f t="shared" si="27"/>
        <v>4.1704672602191382</v>
      </c>
      <c r="AA84" s="694">
        <f t="shared" si="27"/>
        <v>2.7803115068127591</v>
      </c>
      <c r="AB84" s="2974">
        <f t="shared" si="27"/>
        <v>2.0852336301095691</v>
      </c>
      <c r="AD84" s="1430"/>
      <c r="AE84" s="8"/>
      <c r="AF84" s="8"/>
      <c r="AG84" s="8"/>
      <c r="AH84" s="8"/>
      <c r="AI84" s="8"/>
    </row>
    <row r="85" spans="2:35" outlineLevel="1" x14ac:dyDescent="0.4">
      <c r="B85" s="1429"/>
      <c r="C85" s="1128" t="s">
        <v>1484</v>
      </c>
      <c r="D85" s="659"/>
      <c r="E85" s="659" t="s">
        <v>3</v>
      </c>
      <c r="F85" s="459">
        <f t="shared" si="19"/>
        <v>2.5400000000000005</v>
      </c>
      <c r="G85" s="517">
        <f t="shared" si="21"/>
        <v>13.169444444444446</v>
      </c>
      <c r="H85" s="575"/>
      <c r="I85" s="580" t="str">
        <f>IF(E85="operation",VLOOKUP(H85,'Generic Vertical Port Tasks'!$C$4:$D$189,2,FALSE),"N/A")</f>
        <v>N/A</v>
      </c>
      <c r="J85" s="1131"/>
      <c r="K85" s="573"/>
      <c r="L85" s="573"/>
      <c r="M85" s="853" t="str">
        <f>IFERROR(INDEX('Upper Cask Movement &amp; Logistics'!$I$24:$O$30,MATCH($K85,'Upper Cask Movement &amp; Logistics'!$H$24:$H$30,0),MATCH($L85,'Upper Cask Movement &amp; Logistics'!$H$24:$H$30,0)),"N/A")</f>
        <v>N/A</v>
      </c>
      <c r="N85" s="852" t="str">
        <f>IFERROR(VLOOKUP($J85,'Upper Cask Movement &amp; Logistics'!$H$3:$I$8,2,FALSE),"N/A")</f>
        <v>N/A</v>
      </c>
      <c r="O85" s="580" t="str">
        <f t="shared" si="20"/>
        <v>N/A</v>
      </c>
      <c r="P85" s="575" t="s">
        <v>1485</v>
      </c>
      <c r="Q85" s="1132">
        <f>IF($E85="Logistics",VLOOKUP($P85,'Upper Cask Movement &amp; Logistics'!$C$2:$D$81,2,FALSE),"N/A")</f>
        <v>2.5400000000000005</v>
      </c>
      <c r="R85" s="575"/>
      <c r="S85" s="320" t="str">
        <f>IFERROR(VLOOKUP($Q85,'Upper Cask Recovery Logistics'!$C$28:$F$508,4,FALSE),"N/A")</f>
        <v>N/A</v>
      </c>
      <c r="T85" s="319" t="str">
        <f t="shared" si="22"/>
        <v>N/A</v>
      </c>
      <c r="U85" s="947"/>
      <c r="AD85" s="1430"/>
      <c r="AE85" s="8"/>
      <c r="AF85" s="8"/>
      <c r="AG85" s="8"/>
      <c r="AH85" s="8"/>
      <c r="AI85" s="8"/>
    </row>
    <row r="86" spans="2:35" ht="15" outlineLevel="1" thickBot="1" x14ac:dyDescent="0.45">
      <c r="B86" s="1429"/>
      <c r="C86" s="1437" t="s">
        <v>1486</v>
      </c>
      <c r="D86" s="1438"/>
      <c r="E86" s="1438" t="s">
        <v>3</v>
      </c>
      <c r="F86" s="467">
        <f t="shared" si="19"/>
        <v>3.9000000000000004</v>
      </c>
      <c r="G86" s="1148">
        <f t="shared" si="21"/>
        <v>17.069444444444446</v>
      </c>
      <c r="H86" s="586"/>
      <c r="I86" s="591" t="str">
        <f>IF(E86="operation",VLOOKUP(H86,'Generic Vertical Port Tasks'!$C$4:$D$189,2,FALSE),"N/A")</f>
        <v>N/A</v>
      </c>
      <c r="J86" s="1136"/>
      <c r="K86" s="584"/>
      <c r="L86" s="584"/>
      <c r="M86" s="814" t="str">
        <f>IFERROR(INDEX('Upper Cask Movement &amp; Logistics'!$I$24:$O$30,MATCH($K86,'Upper Cask Movement &amp; Logistics'!$H$24:$H$30,0),MATCH($L86,'Upper Cask Movement &amp; Logistics'!$H$24:$H$30,0)),"N/A")</f>
        <v>N/A</v>
      </c>
      <c r="N86" s="813" t="str">
        <f>IFERROR(VLOOKUP($J86,'Upper Cask Movement &amp; Logistics'!$H$3:$I$8,2,FALSE),"N/A")</f>
        <v>N/A</v>
      </c>
      <c r="O86" s="591" t="str">
        <f t="shared" si="20"/>
        <v>N/A</v>
      </c>
      <c r="P86" s="586" t="s">
        <v>1218</v>
      </c>
      <c r="Q86" s="1464">
        <f>IF($E86="Logistics",VLOOKUP($P86,'Upper Cask Movement &amp; Logistics'!$C$2:$D$81,2,FALSE),"N/A")</f>
        <v>3.9000000000000004</v>
      </c>
      <c r="R86" s="575" t="s">
        <v>1487</v>
      </c>
      <c r="S86" s="368">
        <f>IFERROR(VLOOKUP($R86,'Upper Cask Recovery Logistics'!$C$5:$F$26,4,FALSE),"N/A")</f>
        <v>9.2638888888888893</v>
      </c>
      <c r="T86" s="365">
        <f t="shared" si="22"/>
        <v>3.9055555555555568</v>
      </c>
      <c r="U86" s="947"/>
      <c r="AD86" s="1430"/>
      <c r="AE86" s="8"/>
      <c r="AF86" s="8"/>
      <c r="AG86" s="8"/>
      <c r="AH86" s="8"/>
      <c r="AI86" s="8"/>
    </row>
    <row r="87" spans="2:35" outlineLevel="1" x14ac:dyDescent="0.4">
      <c r="B87" s="1429"/>
      <c r="C87" s="705"/>
      <c r="D87" s="7"/>
      <c r="E87" s="1439" t="s">
        <v>11</v>
      </c>
      <c r="F87" s="1439"/>
      <c r="G87" s="894">
        <f>G86</f>
        <v>17.069444444444446</v>
      </c>
      <c r="H87" s="94"/>
      <c r="I87" s="895"/>
      <c r="J87" s="94"/>
      <c r="K87" s="94"/>
      <c r="L87" s="94"/>
      <c r="M87" s="897"/>
      <c r="N87" s="897"/>
      <c r="O87" s="895"/>
      <c r="P87" s="94"/>
      <c r="Q87" s="897"/>
      <c r="R87" s="1465"/>
      <c r="S87" s="1466"/>
      <c r="T87" s="1466"/>
      <c r="U87" s="947"/>
      <c r="AD87" s="1430"/>
      <c r="AE87" s="8"/>
      <c r="AF87" s="8"/>
      <c r="AG87" s="8"/>
      <c r="AH87" s="8"/>
      <c r="AI87" s="8"/>
    </row>
    <row r="88" spans="2:35" outlineLevel="1" x14ac:dyDescent="0.4">
      <c r="B88" s="1429"/>
      <c r="C88" s="705"/>
      <c r="D88" s="7"/>
      <c r="E88" s="7"/>
      <c r="F88" s="894"/>
      <c r="G88" s="894"/>
      <c r="H88" s="94"/>
      <c r="I88" s="895"/>
      <c r="J88" s="94"/>
      <c r="K88" s="94"/>
      <c r="L88" s="94"/>
      <c r="M88" s="897"/>
      <c r="N88" s="897"/>
      <c r="O88" s="895"/>
      <c r="P88" s="94"/>
      <c r="Q88" s="897"/>
      <c r="R88" s="1465"/>
      <c r="S88" s="1466"/>
      <c r="T88" s="1466"/>
      <c r="U88" s="947"/>
      <c r="AB88" s="290"/>
      <c r="AD88" s="1430"/>
      <c r="AE88" s="8"/>
      <c r="AF88" s="8"/>
      <c r="AG88" s="8"/>
      <c r="AH88" s="8"/>
      <c r="AI88" s="8"/>
    </row>
    <row r="89" spans="2:35" outlineLevel="1" x14ac:dyDescent="0.4">
      <c r="B89" s="1429"/>
      <c r="C89" s="705"/>
      <c r="D89" s="7"/>
      <c r="E89" s="7"/>
      <c r="F89" s="894"/>
      <c r="G89" s="894"/>
      <c r="H89" s="94"/>
      <c r="I89" s="895"/>
      <c r="J89" s="94"/>
      <c r="K89" s="94"/>
      <c r="L89" s="94"/>
      <c r="M89" s="897"/>
      <c r="N89" s="897"/>
      <c r="O89" s="895"/>
      <c r="P89" s="94"/>
      <c r="Q89" s="897"/>
      <c r="R89" s="1465"/>
      <c r="S89" s="1466"/>
      <c r="T89" s="1466"/>
      <c r="U89" s="947"/>
      <c r="AB89" s="290"/>
      <c r="AD89" s="1430"/>
      <c r="AE89" s="8"/>
      <c r="AF89" s="8"/>
      <c r="AG89" s="8"/>
      <c r="AH89" s="8"/>
      <c r="AI89" s="8"/>
    </row>
    <row r="90" spans="2:35" outlineLevel="1" x14ac:dyDescent="0.4">
      <c r="B90" s="1429"/>
      <c r="C90" s="705"/>
      <c r="D90" s="7"/>
      <c r="E90" s="7"/>
      <c r="F90" s="894"/>
      <c r="G90" s="894"/>
      <c r="H90" s="94"/>
      <c r="I90" s="895"/>
      <c r="J90" s="94"/>
      <c r="K90" s="94"/>
      <c r="L90" s="94"/>
      <c r="M90" s="897"/>
      <c r="N90" s="897"/>
      <c r="O90" s="895"/>
      <c r="P90" s="94"/>
      <c r="Q90" s="897"/>
      <c r="R90" s="1465"/>
      <c r="S90" s="1466"/>
      <c r="T90" s="1466"/>
      <c r="U90" s="947"/>
      <c r="AB90" s="290"/>
      <c r="AD90" s="1430"/>
      <c r="AE90" s="8"/>
      <c r="AF90" s="8"/>
      <c r="AG90" s="8"/>
      <c r="AH90" s="8"/>
      <c r="AI90" s="8"/>
    </row>
    <row r="91" spans="2:35" outlineLevel="1" x14ac:dyDescent="0.4">
      <c r="B91" s="1429"/>
      <c r="C91" s="705"/>
      <c r="D91" s="7"/>
      <c r="E91" s="7"/>
      <c r="F91" s="894"/>
      <c r="G91" s="894"/>
      <c r="H91" s="94"/>
      <c r="I91" s="895"/>
      <c r="J91" s="94"/>
      <c r="K91" s="94"/>
      <c r="L91" s="94"/>
      <c r="M91" s="897"/>
      <c r="N91" s="897"/>
      <c r="O91" s="895"/>
      <c r="P91" s="94"/>
      <c r="Q91" s="897"/>
      <c r="R91" s="1465"/>
      <c r="S91" s="1466"/>
      <c r="T91" s="1466"/>
      <c r="U91" s="947"/>
      <c r="AB91" s="290"/>
      <c r="AD91" s="1430"/>
      <c r="AE91" s="8"/>
      <c r="AF91" s="8"/>
      <c r="AG91" s="8"/>
      <c r="AH91" s="8"/>
      <c r="AI91" s="8"/>
    </row>
    <row r="92" spans="2:35" outlineLevel="1" x14ac:dyDescent="0.4">
      <c r="B92" s="1429"/>
      <c r="C92" s="705"/>
      <c r="D92" s="7"/>
      <c r="E92" s="7"/>
      <c r="F92" s="894"/>
      <c r="G92" s="894"/>
      <c r="H92" s="94"/>
      <c r="I92" s="895"/>
      <c r="J92" s="94"/>
      <c r="K92" s="94"/>
      <c r="L92" s="94"/>
      <c r="M92" s="897"/>
      <c r="N92" s="897"/>
      <c r="O92" s="895"/>
      <c r="P92" s="94"/>
      <c r="Q92" s="897"/>
      <c r="R92" s="1444"/>
      <c r="S92" s="897"/>
      <c r="T92" s="897"/>
      <c r="U92" s="947"/>
      <c r="AB92" s="290"/>
      <c r="AD92" s="1430"/>
      <c r="AE92" s="8"/>
      <c r="AF92" s="8"/>
      <c r="AG92" s="8"/>
      <c r="AH92" s="8"/>
      <c r="AI92" s="8"/>
    </row>
    <row r="93" spans="2:35" outlineLevel="1" x14ac:dyDescent="0.4">
      <c r="B93" s="1440"/>
      <c r="C93" s="1015"/>
      <c r="D93" s="1015"/>
      <c r="E93" s="1015"/>
      <c r="F93" s="1015"/>
      <c r="G93" s="1015"/>
      <c r="H93" s="1015"/>
      <c r="I93" s="1018"/>
      <c r="J93" s="1015"/>
      <c r="K93" s="1015"/>
      <c r="L93" s="1015"/>
      <c r="M93" s="1015"/>
      <c r="N93" s="1015"/>
      <c r="O93" s="1015"/>
      <c r="P93" s="1015"/>
      <c r="Q93" s="1015"/>
      <c r="R93" s="1451"/>
      <c r="S93" s="1015"/>
      <c r="T93" s="1015"/>
      <c r="U93" s="1015"/>
      <c r="V93" s="3006"/>
      <c r="W93" s="1441"/>
      <c r="X93" s="1441"/>
      <c r="Y93" s="1441"/>
      <c r="Z93" s="1441"/>
      <c r="AA93" s="1441"/>
      <c r="AB93" s="1441"/>
      <c r="AC93" s="1441"/>
      <c r="AD93" s="1442"/>
      <c r="AE93" s="8"/>
      <c r="AF93" s="8"/>
      <c r="AG93" s="8"/>
      <c r="AH93" s="8"/>
      <c r="AI93" s="8"/>
    </row>
    <row r="94" spans="2:35" x14ac:dyDescent="0.4">
      <c r="B94" s="5"/>
      <c r="C94" s="1144"/>
      <c r="D94" s="892"/>
      <c r="E94" s="892"/>
      <c r="F94" s="894"/>
      <c r="G94" s="894"/>
      <c r="H94" s="94"/>
      <c r="I94" s="895"/>
      <c r="J94" s="94"/>
      <c r="K94" s="94"/>
      <c r="L94" s="94"/>
      <c r="M94" s="897"/>
      <c r="N94" s="897"/>
      <c r="O94" s="895"/>
      <c r="P94" s="94"/>
      <c r="Q94" s="897"/>
      <c r="R94" s="1444"/>
      <c r="S94" s="897"/>
      <c r="T94" s="897"/>
      <c r="U94" s="5"/>
      <c r="V94" s="3003"/>
      <c r="W94" s="290"/>
      <c r="X94" s="290"/>
      <c r="Y94" s="290"/>
      <c r="Z94" s="290"/>
      <c r="AA94" s="290"/>
      <c r="AB94" s="1018"/>
      <c r="AD94" s="8"/>
      <c r="AE94" s="8"/>
      <c r="AF94" s="8"/>
      <c r="AG94" s="8"/>
      <c r="AH94" s="8"/>
      <c r="AI94" s="8"/>
    </row>
    <row r="95" spans="2:35" ht="15.45" x14ac:dyDescent="0.4">
      <c r="B95" s="1425"/>
      <c r="C95" s="1426" t="s">
        <v>1143</v>
      </c>
      <c r="D95" s="1427"/>
      <c r="E95" s="1427"/>
      <c r="F95" s="1427"/>
      <c r="G95" s="1427"/>
      <c r="H95" s="1427"/>
      <c r="I95" s="1427"/>
      <c r="J95" s="1427"/>
      <c r="K95" s="1427"/>
      <c r="L95" s="1427"/>
      <c r="M95" s="1427"/>
      <c r="N95" s="1427"/>
      <c r="O95" s="1427"/>
      <c r="P95" s="1427"/>
      <c r="Q95" s="1427"/>
      <c r="R95" s="1445"/>
      <c r="S95" s="1427"/>
      <c r="T95" s="1427"/>
      <c r="U95" s="1427"/>
      <c r="V95" s="3002"/>
      <c r="W95" s="1427"/>
      <c r="X95" s="1427"/>
      <c r="Y95" s="1427"/>
      <c r="Z95" s="1427"/>
      <c r="AA95" s="1427"/>
      <c r="AB95" s="1427"/>
      <c r="AC95" s="1427"/>
      <c r="AD95" s="1428"/>
    </row>
    <row r="96" spans="2:35" outlineLevel="1" x14ac:dyDescent="0.4">
      <c r="B96" s="1429"/>
      <c r="C96" s="748" t="s">
        <v>1053</v>
      </c>
      <c r="D96" s="706"/>
      <c r="E96" s="706"/>
      <c r="F96" s="706"/>
      <c r="G96" s="706"/>
      <c r="H96" s="706"/>
      <c r="I96" s="1117"/>
      <c r="J96" s="706"/>
      <c r="K96" s="706"/>
      <c r="L96" s="706"/>
      <c r="M96" s="706"/>
      <c r="N96" s="706"/>
      <c r="O96" s="706"/>
      <c r="P96" s="706"/>
      <c r="Q96" s="7"/>
      <c r="R96" s="1413"/>
      <c r="S96" s="7"/>
      <c r="T96" s="7"/>
      <c r="U96" s="7"/>
      <c r="V96" s="3003"/>
      <c r="W96" s="290"/>
      <c r="X96" s="290"/>
      <c r="Y96" s="290"/>
      <c r="Z96" s="290"/>
      <c r="AA96" s="290"/>
      <c r="AB96" s="290"/>
      <c r="AD96" s="1467"/>
    </row>
    <row r="97" spans="2:30" outlineLevel="1" x14ac:dyDescent="0.4">
      <c r="B97" s="1429"/>
      <c r="C97" s="700" t="s">
        <v>1144</v>
      </c>
      <c r="D97" s="706"/>
      <c r="E97" s="706"/>
      <c r="F97" s="706"/>
      <c r="G97" s="706"/>
      <c r="H97" s="706"/>
      <c r="I97" s="1117"/>
      <c r="J97" s="706"/>
      <c r="K97" s="706"/>
      <c r="L97" s="706"/>
      <c r="M97" s="706"/>
      <c r="N97" s="706"/>
      <c r="O97" s="706"/>
      <c r="P97" s="706"/>
      <c r="Q97" s="7"/>
      <c r="R97" s="1413"/>
      <c r="S97" s="7"/>
      <c r="T97" s="7"/>
      <c r="U97" s="7"/>
      <c r="V97" s="3003"/>
      <c r="W97" s="290"/>
      <c r="X97" s="290"/>
      <c r="Y97" s="290"/>
      <c r="Z97" s="290"/>
      <c r="AA97" s="290"/>
      <c r="AB97" s="290"/>
      <c r="AD97" s="1467"/>
    </row>
    <row r="98" spans="2:30" outlineLevel="1" x14ac:dyDescent="0.4">
      <c r="B98" s="1429"/>
      <c r="C98" s="700" t="s">
        <v>1125</v>
      </c>
      <c r="D98" s="706"/>
      <c r="E98" s="706"/>
      <c r="F98" s="706"/>
      <c r="G98" s="706"/>
      <c r="H98" s="706"/>
      <c r="I98" s="1117"/>
      <c r="J98" s="706"/>
      <c r="K98" s="706"/>
      <c r="L98" s="706"/>
      <c r="M98" s="706"/>
      <c r="N98" s="706"/>
      <c r="O98" s="706"/>
      <c r="P98" s="706"/>
      <c r="Q98" s="7"/>
      <c r="R98" s="1413"/>
      <c r="S98" s="7"/>
      <c r="T98" s="7"/>
      <c r="U98" s="7"/>
      <c r="V98" s="3003"/>
      <c r="W98" s="290"/>
      <c r="X98" s="290"/>
      <c r="Y98" s="290"/>
      <c r="Z98" s="290"/>
      <c r="AA98" s="290"/>
      <c r="AB98" s="290"/>
      <c r="AD98" s="1467"/>
    </row>
    <row r="99" spans="2:30" outlineLevel="1" x14ac:dyDescent="0.4">
      <c r="B99" s="1429"/>
      <c r="C99" s="700" t="s">
        <v>1145</v>
      </c>
      <c r="D99" s="706"/>
      <c r="E99" s="706"/>
      <c r="F99" s="706"/>
      <c r="G99" s="706"/>
      <c r="H99" s="706"/>
      <c r="I99" s="1117"/>
      <c r="J99" s="706"/>
      <c r="K99" s="706"/>
      <c r="L99" s="706"/>
      <c r="M99" s="706"/>
      <c r="N99" s="706"/>
      <c r="O99" s="706"/>
      <c r="P99" s="706"/>
      <c r="Q99" s="7"/>
      <c r="R99" s="1413"/>
      <c r="S99" s="7"/>
      <c r="T99" s="7"/>
      <c r="U99" s="7"/>
      <c r="V99" s="3003"/>
      <c r="W99" s="290"/>
      <c r="X99" s="290"/>
      <c r="Y99" s="290"/>
      <c r="Z99" s="290"/>
      <c r="AA99" s="290"/>
      <c r="AB99" s="290"/>
      <c r="AD99" s="1467"/>
    </row>
    <row r="100" spans="2:30" outlineLevel="1" x14ac:dyDescent="0.4">
      <c r="B100" s="1429"/>
      <c r="C100" s="700"/>
      <c r="D100" s="706"/>
      <c r="E100" s="706"/>
      <c r="F100" s="706"/>
      <c r="G100" s="706"/>
      <c r="H100" s="706"/>
      <c r="I100" s="1117"/>
      <c r="J100" s="706"/>
      <c r="K100" s="706"/>
      <c r="L100" s="706"/>
      <c r="M100" s="706"/>
      <c r="N100" s="706"/>
      <c r="O100" s="706"/>
      <c r="P100" s="706"/>
      <c r="Q100" s="7"/>
      <c r="R100" s="1413"/>
      <c r="S100" s="7"/>
      <c r="T100" s="7"/>
      <c r="U100" s="7"/>
      <c r="V100" s="3003"/>
      <c r="W100" s="290"/>
      <c r="X100" s="290"/>
      <c r="Y100" s="290"/>
      <c r="Z100" s="290"/>
      <c r="AA100" s="290"/>
      <c r="AB100" s="290"/>
      <c r="AD100" s="1467"/>
    </row>
    <row r="101" spans="2:30" outlineLevel="1" x14ac:dyDescent="0.4">
      <c r="B101" s="1429"/>
      <c r="C101" s="748" t="s">
        <v>1056</v>
      </c>
      <c r="D101" s="927">
        <f>SUM(D102)</f>
        <v>0.02</v>
      </c>
      <c r="E101" s="918"/>
      <c r="F101" s="918"/>
      <c r="G101" s="918"/>
      <c r="H101" s="918"/>
      <c r="I101" s="919"/>
      <c r="J101" s="918"/>
      <c r="K101" s="918"/>
      <c r="L101" s="918"/>
      <c r="M101" s="918"/>
      <c r="N101" s="918"/>
      <c r="O101" s="918"/>
      <c r="P101" s="706"/>
      <c r="Q101" s="7"/>
      <c r="R101" s="1413"/>
      <c r="S101" s="7"/>
      <c r="T101" s="7"/>
      <c r="U101" s="7"/>
      <c r="V101" s="3003"/>
      <c r="W101" s="290"/>
      <c r="X101" s="290"/>
      <c r="Y101" s="290"/>
      <c r="Z101" s="290"/>
      <c r="AA101" s="290"/>
      <c r="AB101" s="290"/>
      <c r="AD101" s="1467"/>
    </row>
    <row r="102" spans="2:30" ht="15" outlineLevel="1" thickBot="1" x14ac:dyDescent="0.45">
      <c r="B102" s="1429"/>
      <c r="C102" s="7" t="s">
        <v>1146</v>
      </c>
      <c r="D102" s="283">
        <f>total_mfm_failure</f>
        <v>0.02</v>
      </c>
      <c r="E102" s="922"/>
      <c r="F102" s="922"/>
      <c r="G102" s="922"/>
      <c r="H102" s="918"/>
      <c r="I102" s="919"/>
      <c r="J102" s="918"/>
      <c r="K102" s="918"/>
      <c r="L102" s="918"/>
      <c r="M102" s="918"/>
      <c r="N102" s="918"/>
      <c r="O102" s="918"/>
      <c r="P102" s="706"/>
      <c r="Q102" s="7"/>
      <c r="R102" s="1413"/>
      <c r="S102" s="7"/>
      <c r="T102" s="7"/>
      <c r="U102" s="7"/>
      <c r="V102" s="3003"/>
      <c r="W102" s="290"/>
      <c r="X102" s="290"/>
      <c r="Y102" s="290"/>
      <c r="Z102" s="290"/>
      <c r="AA102" s="290"/>
      <c r="AB102" s="1138"/>
      <c r="AD102" s="1467"/>
    </row>
    <row r="103" spans="2:30" ht="15" outlineLevel="1" thickBot="1" x14ac:dyDescent="0.45">
      <c r="B103" s="1429"/>
      <c r="C103" s="7"/>
      <c r="D103" s="922"/>
      <c r="E103" s="922"/>
      <c r="F103" s="922"/>
      <c r="G103" s="922"/>
      <c r="H103" s="918"/>
      <c r="I103" s="919"/>
      <c r="J103" s="918"/>
      <c r="K103" s="918"/>
      <c r="L103" s="918"/>
      <c r="M103" s="918"/>
      <c r="N103" s="918"/>
      <c r="O103" s="918"/>
      <c r="P103" s="706"/>
      <c r="Q103" s="7"/>
      <c r="R103" s="1413"/>
      <c r="S103" s="7"/>
      <c r="T103" s="7"/>
      <c r="U103" s="7"/>
      <c r="V103" s="3007" t="str">
        <f>C95</f>
        <v>Multifunction Manipulator failure</v>
      </c>
      <c r="W103" s="1119" t="s">
        <v>23</v>
      </c>
      <c r="X103" s="1446"/>
      <c r="Y103" s="1446"/>
      <c r="Z103" s="1446"/>
      <c r="AA103" s="1446"/>
      <c r="AB103" s="946"/>
      <c r="AD103" s="1467"/>
    </row>
    <row r="104" spans="2:30" ht="15" outlineLevel="1" thickBot="1" x14ac:dyDescent="0.45">
      <c r="B104" s="1429"/>
      <c r="C104" s="7"/>
      <c r="D104" s="7"/>
      <c r="E104" s="7"/>
      <c r="F104" s="7"/>
      <c r="G104" s="929"/>
      <c r="H104" s="3841" t="s">
        <v>18</v>
      </c>
      <c r="I104" s="3837"/>
      <c r="J104" s="3793" t="s">
        <v>778</v>
      </c>
      <c r="K104" s="3794"/>
      <c r="L104" s="3794"/>
      <c r="M104" s="3794"/>
      <c r="N104" s="3794"/>
      <c r="O104" s="3795"/>
      <c r="P104" s="3793" t="s">
        <v>3</v>
      </c>
      <c r="Q104" s="3795"/>
      <c r="R104" s="3838" t="s">
        <v>779</v>
      </c>
      <c r="S104" s="3839"/>
      <c r="T104" s="3840"/>
      <c r="U104" s="938"/>
      <c r="V104" s="3008" t="s">
        <v>1055</v>
      </c>
      <c r="W104" s="1122">
        <v>1</v>
      </c>
      <c r="X104" s="916">
        <v>1</v>
      </c>
      <c r="Y104" s="916">
        <v>2</v>
      </c>
      <c r="Z104" s="916">
        <v>3</v>
      </c>
      <c r="AA104" s="916">
        <v>4</v>
      </c>
      <c r="AB104" s="1045">
        <v>6</v>
      </c>
      <c r="AD104" s="1467"/>
    </row>
    <row r="105" spans="2:30" outlineLevel="1" x14ac:dyDescent="0.4">
      <c r="B105" s="1429"/>
      <c r="C105" s="562" t="s">
        <v>1129</v>
      </c>
      <c r="D105" s="563" t="s">
        <v>1061</v>
      </c>
      <c r="E105" s="563" t="s">
        <v>782</v>
      </c>
      <c r="F105" s="942" t="s">
        <v>783</v>
      </c>
      <c r="G105" s="943" t="s">
        <v>784</v>
      </c>
      <c r="H105" s="940" t="s">
        <v>785</v>
      </c>
      <c r="I105" s="944" t="s">
        <v>783</v>
      </c>
      <c r="J105" s="940" t="s">
        <v>786</v>
      </c>
      <c r="K105" s="563" t="s">
        <v>787</v>
      </c>
      <c r="L105" s="563" t="s">
        <v>788</v>
      </c>
      <c r="M105" s="563" t="s">
        <v>789</v>
      </c>
      <c r="N105" s="563" t="s">
        <v>790</v>
      </c>
      <c r="O105" s="564" t="s">
        <v>783</v>
      </c>
      <c r="P105" s="560" t="s">
        <v>785</v>
      </c>
      <c r="Q105" s="1152" t="s">
        <v>783</v>
      </c>
      <c r="R105" s="1447" t="s">
        <v>781</v>
      </c>
      <c r="S105" s="786" t="s">
        <v>791</v>
      </c>
      <c r="T105" s="787" t="s">
        <v>792</v>
      </c>
      <c r="U105" s="947"/>
      <c r="V105" s="2997" t="s">
        <v>1147</v>
      </c>
      <c r="W105" s="1086">
        <f>SUMIF('Upper Cask Critical Path'!$C$7:$C$260, "*Multifunction Manipulator*", 'Upper Cask Critical Path'!$E$7:$E$260)</f>
        <v>181.04166666666657</v>
      </c>
      <c r="X105" s="917">
        <f>$W$105</f>
        <v>181.04166666666657</v>
      </c>
      <c r="Y105" s="917">
        <f>X105</f>
        <v>181.04166666666657</v>
      </c>
      <c r="Z105" s="917">
        <f>X105</f>
        <v>181.04166666666657</v>
      </c>
      <c r="AA105" s="917">
        <f>Y105</f>
        <v>181.04166666666657</v>
      </c>
      <c r="AB105" s="1028">
        <f>X105</f>
        <v>181.04166666666657</v>
      </c>
      <c r="AD105" s="1467"/>
    </row>
    <row r="106" spans="2:30" outlineLevel="1" x14ac:dyDescent="0.4">
      <c r="B106" s="1429"/>
      <c r="C106" s="1468" t="s">
        <v>1160</v>
      </c>
      <c r="D106" s="1469"/>
      <c r="E106" s="847" t="s">
        <v>778</v>
      </c>
      <c r="F106" s="390">
        <f>MAX($Q106,$O106,$I106)</f>
        <v>6.9444444444444448E-2</v>
      </c>
      <c r="G106" s="517">
        <f>F106</f>
        <v>6.9444444444444448E-2</v>
      </c>
      <c r="H106" s="575"/>
      <c r="I106" s="580" t="str">
        <f>IF(E106="operation",VLOOKUP(H106,'Generic Vertical Port Tasks'!$C$4:$D$189,2,FALSE),"N/A")</f>
        <v>N/A</v>
      </c>
      <c r="J106" s="627" t="s">
        <v>1161</v>
      </c>
      <c r="K106" s="582" t="s">
        <v>799</v>
      </c>
      <c r="L106" s="582" t="s">
        <v>452</v>
      </c>
      <c r="M106" s="853">
        <f>IFERROR(INDEX('Upper Cask Movement &amp; Logistics'!$I$24:$O$30,MATCH($K106,'Upper Cask Movement &amp; Logistics'!$H$24:$H$30,0),MATCH($L106,'Upper Cask Movement &amp; Logistics'!$H$24:$H$30,0)),"N/A")</f>
        <v>50</v>
      </c>
      <c r="N106" s="852">
        <f>IFERROR(VLOOKUP($J106,'Upper Cask Movement &amp; Logistics'!$H$3:$I$8,2,FALSE),"N/A")</f>
        <v>0.2</v>
      </c>
      <c r="O106" s="580">
        <f>IF(E106="Movement",IFERROR((M106/N106)/(60*60),"Error"),"N/A")</f>
        <v>6.9444444444444448E-2</v>
      </c>
      <c r="P106" s="1470"/>
      <c r="Q106" s="628" t="str">
        <f>IF($E106="Logistics",VLOOKUP($P106,'Upper Cask Movement &amp; Logistics'!$C$2:$D$81,2,FALSE),"N/A")</f>
        <v>N/A</v>
      </c>
      <c r="R106" s="1471"/>
      <c r="S106" s="1472" t="str">
        <f>IFERROR(VLOOKUP($R106,'Upper Cask Recovery Logistics'!$C$5:$F$26,4,FALSE),"N/A")</f>
        <v>N/A</v>
      </c>
      <c r="T106" s="1473" t="str">
        <f>IFERROR(G106-F106-S106,"N/A")</f>
        <v>N/A</v>
      </c>
      <c r="U106" s="947"/>
      <c r="V106" s="1852" t="s">
        <v>2668</v>
      </c>
      <c r="W106" s="1086">
        <f>W105</f>
        <v>181.04166666666657</v>
      </c>
      <c r="X106" s="917">
        <f>ROUNDUP((Tokamak_Segmts/X104),0)*(X105)</f>
        <v>2896.6666666666652</v>
      </c>
      <c r="Y106" s="917">
        <f>ROUNDUP((Tokamak_Segmts/Y104),0)*(Y105)</f>
        <v>1448.3333333333326</v>
      </c>
      <c r="Z106" s="917">
        <f>ROUNDUP((Tokamak_Segmts/Z104),0)*(Z105)</f>
        <v>1086.2499999999995</v>
      </c>
      <c r="AA106" s="917">
        <f>ROUNDUP((Tokamak_Segmts/AA104),0)*(AA105)</f>
        <v>724.16666666666629</v>
      </c>
      <c r="AB106" s="1028">
        <f>ROUNDUP((Tokamak_Segmts/AB104),0)*(AB105)</f>
        <v>543.12499999999977</v>
      </c>
      <c r="AD106" s="1467"/>
    </row>
    <row r="107" spans="2:30" ht="15" outlineLevel="1" thickBot="1" x14ac:dyDescent="0.45">
      <c r="B107" s="1429"/>
      <c r="C107" s="1155" t="s">
        <v>1162</v>
      </c>
      <c r="D107" s="1156"/>
      <c r="E107" s="1474" t="s">
        <v>3</v>
      </c>
      <c r="F107" s="1475">
        <f>MAX($Q107,$O107,$I107)</f>
        <v>1.6400000000000001</v>
      </c>
      <c r="G107" s="517">
        <f t="shared" ref="G107:G113" si="28">IF(T107&lt;0,F107+G106+(-T107),F107+G106)</f>
        <v>1.7094444444444445</v>
      </c>
      <c r="H107" s="627"/>
      <c r="I107" s="1476" t="str">
        <f>IF(E107="operation",VLOOKUP(H107,'Generic Vertical Port Tasks'!$C$4:$D$189,2,FALSE),"N/A")</f>
        <v>N/A</v>
      </c>
      <c r="J107" s="1477"/>
      <c r="K107" s="1156"/>
      <c r="L107" s="1156"/>
      <c r="M107" s="1478" t="str">
        <f>IFERROR(INDEX('Upper Cask Movement &amp; Logistics'!$I$24:$O$30,MATCH($K107,'Upper Cask Movement &amp; Logistics'!$H$24:$H$30,0),MATCH($L107,'Upper Cask Movement &amp; Logistics'!$H$24:$H$30,0)),"N/A")</f>
        <v>N/A</v>
      </c>
      <c r="N107" s="1479" t="str">
        <f>IFERROR(VLOOKUP($J107,'Upper Cask Movement &amp; Logistics'!$H$3:$I$8,2,FALSE),"N/A")</f>
        <v>N/A</v>
      </c>
      <c r="O107" s="632" t="str">
        <f>IF(E107="Movement",IFERROR((M107/N107)/(60*60),"Error"),"N/A")</f>
        <v>N/A</v>
      </c>
      <c r="P107" s="1155" t="s">
        <v>1488</v>
      </c>
      <c r="Q107" s="628">
        <f>IF($E107="Logistics",VLOOKUP($P107,'Upper Cask Movement &amp; Logistics'!$C$2:$D$81,2,FALSE),"N/A")</f>
        <v>1.6400000000000001</v>
      </c>
      <c r="R107" s="1471"/>
      <c r="S107" s="1480" t="str">
        <f>IFERROR(VLOOKUP($R107,'Upper Cask Recovery Logistics'!$C$5:$F$26,4,FALSE),"N/A")</f>
        <v>N/A</v>
      </c>
      <c r="T107" s="1481" t="str">
        <f t="shared" ref="T107:T113" si="29">IFERROR(G106-S107,"N/A")</f>
        <v>N/A</v>
      </c>
      <c r="U107" s="947"/>
      <c r="V107" s="3141" t="s">
        <v>2693</v>
      </c>
      <c r="W107" s="1089">
        <f>W$106*$D$101</f>
        <v>3.6208333333333313</v>
      </c>
      <c r="X107" s="920">
        <f t="shared" ref="X107:AB107" si="30">X$106*$D$101</f>
        <v>57.933333333333302</v>
      </c>
      <c r="Y107" s="920">
        <f t="shared" si="30"/>
        <v>28.966666666666651</v>
      </c>
      <c r="Z107" s="920">
        <f t="shared" si="30"/>
        <v>21.724999999999991</v>
      </c>
      <c r="AA107" s="920">
        <f t="shared" si="30"/>
        <v>14.483333333333325</v>
      </c>
      <c r="AB107" s="1029">
        <f t="shared" si="30"/>
        <v>10.862499999999995</v>
      </c>
      <c r="AD107" s="1467"/>
    </row>
    <row r="108" spans="2:30" outlineLevel="1" x14ac:dyDescent="0.4">
      <c r="B108" s="1429"/>
      <c r="C108" s="1128" t="s">
        <v>1489</v>
      </c>
      <c r="D108" s="659"/>
      <c r="E108" s="659" t="s">
        <v>251</v>
      </c>
      <c r="F108" s="390">
        <f>MAX($Q108,$O108,$I108)</f>
        <v>3</v>
      </c>
      <c r="G108" s="517">
        <f t="shared" si="28"/>
        <v>4.7094444444444443</v>
      </c>
      <c r="H108" s="1131" t="s">
        <v>1135</v>
      </c>
      <c r="I108" s="580">
        <v>3</v>
      </c>
      <c r="J108" s="1131"/>
      <c r="K108" s="573"/>
      <c r="L108" s="573"/>
      <c r="M108" s="853" t="str">
        <f>IFERROR(INDEX('Upper Cask Movement &amp; Logistics'!$I$24:$O$30,MATCH($K108,'Upper Cask Movement &amp; Logistics'!$H$24:$H$30,0),MATCH($L108,'Upper Cask Movement &amp; Logistics'!$H$24:$H$30,0)),"N/A")</f>
        <v>N/A</v>
      </c>
      <c r="N108" s="852" t="str">
        <f>IFERROR(VLOOKUP($J108,'Upper Cask Movement &amp; Logistics'!$H$3:$I$8,2,FALSE),"N/A")</f>
        <v>N/A</v>
      </c>
      <c r="O108" s="580" t="str">
        <f t="shared" ref="O108:O113" si="31">IF(E108="Movement",IFERROR((M108/N108)/(60*60),"Error"),"N/A")</f>
        <v>N/A</v>
      </c>
      <c r="P108" s="575"/>
      <c r="Q108" s="576" t="str">
        <f>IF($E108="Logistics",VLOOKUP($P108,'Upper Cask Movement &amp; Logistics'!$C$2:$D$81,2,FALSE),"N/A")</f>
        <v>N/A</v>
      </c>
      <c r="R108" s="1448"/>
      <c r="S108" s="320" t="str">
        <f>IFERROR(VLOOKUP($R108,'Upper Cask Recovery Logistics'!$C$5:$F$26,4,FALSE),"N/A")</f>
        <v>N/A</v>
      </c>
      <c r="T108" s="319" t="str">
        <f t="shared" si="29"/>
        <v>N/A</v>
      </c>
      <c r="U108" s="947"/>
      <c r="V108" s="2999" t="s">
        <v>1048</v>
      </c>
      <c r="W108" s="1082">
        <f t="shared" ref="W108:AB108" si="32">W107*(SUMIF($E$106:$E$113,"Operation",$F$106:$F$113))</f>
        <v>18.104166666666657</v>
      </c>
      <c r="X108" s="1135">
        <f t="shared" si="32"/>
        <v>289.66666666666652</v>
      </c>
      <c r="Y108" s="1135">
        <f t="shared" si="32"/>
        <v>144.83333333333326</v>
      </c>
      <c r="Z108" s="1135">
        <f t="shared" si="32"/>
        <v>108.62499999999996</v>
      </c>
      <c r="AA108" s="1135">
        <f t="shared" si="32"/>
        <v>72.416666666666629</v>
      </c>
      <c r="AB108" s="1085">
        <f t="shared" si="32"/>
        <v>54.312499999999979</v>
      </c>
      <c r="AD108" s="1467"/>
    </row>
    <row r="109" spans="2:30" outlineLevel="1" x14ac:dyDescent="0.4">
      <c r="B109" s="1429"/>
      <c r="C109" s="1155" t="s">
        <v>1490</v>
      </c>
      <c r="D109" s="1156"/>
      <c r="E109" s="847" t="s">
        <v>3</v>
      </c>
      <c r="F109" s="459">
        <f>MAX($Q109,$O109,$I109)</f>
        <v>2.5400000000000005</v>
      </c>
      <c r="G109" s="517">
        <f t="shared" si="28"/>
        <v>7.2494444444444444</v>
      </c>
      <c r="H109" s="575"/>
      <c r="I109" s="580" t="str">
        <f>IF(E109="operation",VLOOKUP(H109,'Generic Vertical Port Tasks'!$C$4:$D$189,2,FALSE),"N/A")</f>
        <v>N/A</v>
      </c>
      <c r="J109" s="575"/>
      <c r="K109" s="573"/>
      <c r="L109" s="573"/>
      <c r="M109" s="853" t="str">
        <f>IFERROR(INDEX('Upper Cask Movement &amp; Logistics'!$I$24:$O$30,MATCH($K109,'Upper Cask Movement &amp; Logistics'!$H$24:$H$30,0),MATCH($L109,'Upper Cask Movement &amp; Logistics'!$H$24:$H$30,0)),"N/A")</f>
        <v>N/A</v>
      </c>
      <c r="N109" s="853" t="str">
        <f>IFERROR(VLOOKUP($J109,'Upper Cask Movement &amp; Logistics'!$H$3:$I$8,2,FALSE),"N/A")</f>
        <v>N/A</v>
      </c>
      <c r="O109" s="580" t="str">
        <f t="shared" si="31"/>
        <v>N/A</v>
      </c>
      <c r="P109" s="575" t="s">
        <v>1483</v>
      </c>
      <c r="Q109" s="576">
        <f>IF($E109="Logistics",VLOOKUP($P109,'Upper Cask Movement &amp; Logistics'!$C$2:$D$81,2,FALSE),"N/A")</f>
        <v>2.5400000000000005</v>
      </c>
      <c r="R109" s="1449"/>
      <c r="S109" s="853" t="str">
        <f>IFERROR(VLOOKUP($R109,'Upper Cask Recovery Logistics'!$C$5:$F$26,4,FALSE),"N/A")</f>
        <v>N/A</v>
      </c>
      <c r="T109" s="576" t="str">
        <f t="shared" si="29"/>
        <v>N/A</v>
      </c>
      <c r="U109" s="947"/>
      <c r="V109" s="2997" t="s">
        <v>2658</v>
      </c>
      <c r="W109" s="1086">
        <f t="shared" ref="W109:AB109" si="33">W107*(SUMIF($E$106:$E$113,"Movement",$F$106:$F$113)+(SUMIF($E$106:$E$113,"Logistics",$F$106:$F$113)))</f>
        <v>31.897530092592582</v>
      </c>
      <c r="X109" s="290">
        <f t="shared" si="33"/>
        <v>510.36048148148132</v>
      </c>
      <c r="Y109" s="290">
        <f t="shared" si="33"/>
        <v>255.18024074074066</v>
      </c>
      <c r="Z109" s="290">
        <f t="shared" si="33"/>
        <v>191.38518055555554</v>
      </c>
      <c r="AA109" s="290">
        <f t="shared" si="33"/>
        <v>127.59012037037033</v>
      </c>
      <c r="AB109" s="1088">
        <f t="shared" si="33"/>
        <v>95.692590277777768</v>
      </c>
      <c r="AD109" s="1467"/>
    </row>
    <row r="110" spans="2:30" ht="15" outlineLevel="1" thickBot="1" x14ac:dyDescent="0.45">
      <c r="B110" s="1429"/>
      <c r="C110" s="1128" t="s">
        <v>1483</v>
      </c>
      <c r="D110" s="659"/>
      <c r="E110" s="659" t="s">
        <v>3</v>
      </c>
      <c r="F110" s="459">
        <f>MAX($Q110,$O110,$I110)</f>
        <v>2.5400000000000005</v>
      </c>
      <c r="G110" s="517">
        <f t="shared" si="28"/>
        <v>9.7894444444444453</v>
      </c>
      <c r="H110" s="1131"/>
      <c r="I110" s="850" t="str">
        <f>IF(E110="operation",VLOOKUP(H110,'Generic Vertical Port Tasks'!$C$4:$D$189,2,FALSE),"N/A")</f>
        <v>N/A</v>
      </c>
      <c r="J110" s="1131"/>
      <c r="K110" s="573"/>
      <c r="L110" s="573"/>
      <c r="M110" s="853" t="str">
        <f>IFERROR(INDEX('Upper Cask Movement &amp; Logistics'!$I$24:$O$30,MATCH($K110,'Upper Cask Movement &amp; Logistics'!$H$24:$H$30,0),MATCH($L110,'Upper Cask Movement &amp; Logistics'!$H$24:$H$30,0)),"N/A")</f>
        <v>N/A</v>
      </c>
      <c r="N110" s="852" t="str">
        <f>IFERROR(VLOOKUP($J110,'Upper Cask Movement &amp; Logistics'!$H$3:$I$8,2,FALSE),"N/A")</f>
        <v>N/A</v>
      </c>
      <c r="O110" s="580" t="str">
        <f t="shared" si="31"/>
        <v>N/A</v>
      </c>
      <c r="P110" s="575" t="s">
        <v>1260</v>
      </c>
      <c r="Q110" s="576">
        <f>IF($E110="Logistics",VLOOKUP($P110,'Upper Cask Movement &amp; Logistics'!$C$2:$D$81,2,FALSE),"N/A")</f>
        <v>2.5400000000000005</v>
      </c>
      <c r="R110" s="1449"/>
      <c r="S110" s="1176" t="str">
        <f>IFERROR(VLOOKUP($R110,'Upper Cask Recovery Logistics'!$C$5:$F$26,4,FALSE),"N/A")</f>
        <v>N/A</v>
      </c>
      <c r="T110" s="580" t="str">
        <f t="shared" si="29"/>
        <v>N/A</v>
      </c>
      <c r="U110" s="947"/>
      <c r="V110" s="3000" t="s">
        <v>2663</v>
      </c>
      <c r="W110" s="1089">
        <f t="shared" ref="W110:AB110" si="34">W107*(-SUMIF($T$106:$T$113,"&lt;0"))</f>
        <v>0</v>
      </c>
      <c r="X110" s="1138">
        <f t="shared" si="34"/>
        <v>0</v>
      </c>
      <c r="Y110" s="1138">
        <f t="shared" si="34"/>
        <v>0</v>
      </c>
      <c r="Z110" s="1138">
        <f t="shared" si="34"/>
        <v>0</v>
      </c>
      <c r="AA110" s="1138">
        <f t="shared" si="34"/>
        <v>0</v>
      </c>
      <c r="AB110" s="1092">
        <f t="shared" si="34"/>
        <v>0</v>
      </c>
      <c r="AD110" s="1467"/>
    </row>
    <row r="111" spans="2:30" ht="15" outlineLevel="1" thickBot="1" x14ac:dyDescent="0.45">
      <c r="B111" s="1429"/>
      <c r="C111" s="1159" t="s">
        <v>1164</v>
      </c>
      <c r="D111" s="847" t="s">
        <v>1152</v>
      </c>
      <c r="E111" s="847" t="s">
        <v>251</v>
      </c>
      <c r="F111" s="459">
        <v>2</v>
      </c>
      <c r="G111" s="517">
        <f t="shared" si="28"/>
        <v>11.789444444444445</v>
      </c>
      <c r="H111" s="575" t="s">
        <v>1135</v>
      </c>
      <c r="I111" s="850">
        <v>2</v>
      </c>
      <c r="J111" s="575"/>
      <c r="K111" s="573"/>
      <c r="L111" s="573"/>
      <c r="M111" s="853" t="str">
        <f>IFERROR(INDEX('Upper Cask Movement &amp; Logistics'!$I$24:$O$30,MATCH($K111,'Upper Cask Movement &amp; Logistics'!$H$24:$H$30,0),MATCH($L111,'Upper Cask Movement &amp; Logistics'!$H$24:$H$30,0)),"N/A")</f>
        <v>N/A</v>
      </c>
      <c r="N111" s="852" t="str">
        <f>IFERROR(VLOOKUP($J111,'Upper Cask Movement &amp; Logistics'!$H$3:$I$8,2,FALSE),"N/A")</f>
        <v>N/A</v>
      </c>
      <c r="O111" s="580" t="str">
        <f t="shared" si="31"/>
        <v>N/A</v>
      </c>
      <c r="P111" s="575"/>
      <c r="Q111" s="576" t="str">
        <f>IF($E111="Logistics",VLOOKUP($P111,'Upper Cask Movement &amp; Logistics'!$C$2:$D$81,2,FALSE),"N/A")</f>
        <v>N/A</v>
      </c>
      <c r="R111" s="1134"/>
      <c r="S111" s="1472" t="str">
        <f>IFERROR(VLOOKUP($R111,'Upper Cask Recovery Logistics'!$C$5:$F$26,4,FALSE),"N/A")</f>
        <v>N/A</v>
      </c>
      <c r="T111" s="1473" t="str">
        <f t="shared" si="29"/>
        <v>N/A</v>
      </c>
      <c r="U111" s="947"/>
      <c r="V111" s="3001" t="s">
        <v>2667</v>
      </c>
      <c r="W111" s="2993">
        <f t="shared" ref="W111:AB111" si="35">W107*$G$114</f>
        <v>50.001696759259239</v>
      </c>
      <c r="X111" s="2994">
        <f t="shared" si="35"/>
        <v>800.02714814814783</v>
      </c>
      <c r="Y111" s="694">
        <f t="shared" si="35"/>
        <v>400.01357407407392</v>
      </c>
      <c r="Z111" s="694">
        <f t="shared" si="35"/>
        <v>300.01018055555545</v>
      </c>
      <c r="AA111" s="694">
        <f t="shared" si="35"/>
        <v>200.00678703703696</v>
      </c>
      <c r="AB111" s="2974">
        <f t="shared" si="35"/>
        <v>150.00509027777773</v>
      </c>
      <c r="AD111" s="1467"/>
    </row>
    <row r="112" spans="2:30" outlineLevel="1" x14ac:dyDescent="0.4">
      <c r="B112" s="1429"/>
      <c r="C112" s="1128" t="s">
        <v>1491</v>
      </c>
      <c r="D112" s="659"/>
      <c r="E112" s="659" t="s">
        <v>3</v>
      </c>
      <c r="F112" s="459">
        <f>MAX($Q112,$O112,$I112)</f>
        <v>1.6400000000000001</v>
      </c>
      <c r="G112" s="517">
        <f t="shared" si="28"/>
        <v>13.429444444444446</v>
      </c>
      <c r="H112" s="1131"/>
      <c r="I112" s="850" t="str">
        <f>IF(E112="operation",VLOOKUP(H112,'Generic Vertical Port Tasks'!$C$4:$D$189,2,FALSE),"N/A")</f>
        <v>N/A</v>
      </c>
      <c r="J112" s="1131"/>
      <c r="K112" s="573"/>
      <c r="L112" s="573"/>
      <c r="M112" s="853" t="str">
        <f>IFERROR(INDEX('Upper Cask Movement &amp; Logistics'!$I$24:$O$30,MATCH($K112,'Upper Cask Movement &amp; Logistics'!$H$24:$H$30,0),MATCH($L112,'Upper Cask Movement &amp; Logistics'!$H$24:$H$30,0)),"N/A")</f>
        <v>N/A</v>
      </c>
      <c r="N112" s="852" t="str">
        <f>IFERROR(VLOOKUP($J112,'Upper Cask Movement &amp; Logistics'!$H$3:$I$8,2,FALSE),"N/A")</f>
        <v>N/A</v>
      </c>
      <c r="O112" s="580" t="str">
        <f t="shared" si="31"/>
        <v>N/A</v>
      </c>
      <c r="P112" s="575" t="s">
        <v>1276</v>
      </c>
      <c r="Q112" s="576">
        <f>IF($E112="Logistics",VLOOKUP($P112,'Upper Cask Movement &amp; Logistics'!$C$2:$D$81,2,FALSE),"N/A")</f>
        <v>1.6400000000000001</v>
      </c>
      <c r="R112" s="1482" t="s">
        <v>1492</v>
      </c>
      <c r="S112" s="1472">
        <f>IFERROR(VLOOKUP($R112,'Upper Cask Recovery Logistics'!$C$5:$F$26,4,FALSE),"N/A")</f>
        <v>5.8838888888888894</v>
      </c>
      <c r="T112" s="1473">
        <f t="shared" si="29"/>
        <v>5.9055555555555559</v>
      </c>
      <c r="U112" s="897"/>
      <c r="AD112" s="1467"/>
    </row>
    <row r="113" spans="2:30" ht="15" outlineLevel="1" thickBot="1" x14ac:dyDescent="0.45">
      <c r="B113" s="1429"/>
      <c r="C113" s="1437" t="s">
        <v>1493</v>
      </c>
      <c r="D113" s="1438"/>
      <c r="E113" s="1438" t="s">
        <v>3</v>
      </c>
      <c r="F113" s="467">
        <f>MAX($Q113,$O113,$I113)</f>
        <v>0.38</v>
      </c>
      <c r="G113" s="1148">
        <f t="shared" si="28"/>
        <v>13.809444444444447</v>
      </c>
      <c r="H113" s="1136"/>
      <c r="I113" s="811" t="str">
        <f>IF(E113="operation",VLOOKUP(H113,'Generic Vertical Port Tasks'!$C$4:$D$189,2,FALSE),"N/A")</f>
        <v>N/A</v>
      </c>
      <c r="J113" s="1136"/>
      <c r="K113" s="584"/>
      <c r="L113" s="584"/>
      <c r="M113" s="814" t="str">
        <f>IFERROR(INDEX('Upper Cask Movement &amp; Logistics'!$I$24:$O$30,MATCH($K113,'Upper Cask Movement &amp; Logistics'!$H$24:$H$30,0),MATCH($L113,'Upper Cask Movement &amp; Logistics'!$H$24:$H$30,0)),"N/A")</f>
        <v>N/A</v>
      </c>
      <c r="N113" s="813" t="str">
        <f>IFERROR(VLOOKUP($J113,'Upper Cask Movement &amp; Logistics'!$H$3:$I$8,2,FALSE),"N/A")</f>
        <v>N/A</v>
      </c>
      <c r="O113" s="591" t="str">
        <f t="shared" si="31"/>
        <v>N/A</v>
      </c>
      <c r="P113" s="586" t="s">
        <v>1494</v>
      </c>
      <c r="Q113" s="587">
        <f>IF($E113="Logistics",VLOOKUP($P113,'Upper Cask Movement &amp; Logistics'!$C$2:$D$81,2,FALSE),"N/A")</f>
        <v>0.38</v>
      </c>
      <c r="R113" s="1450"/>
      <c r="S113" s="1179" t="str">
        <f>IFERROR(VLOOKUP($R113,'Upper Cask Recovery Logistics'!$C$5:$F$26,4,FALSE),"N/A")</f>
        <v>N/A</v>
      </c>
      <c r="T113" s="591" t="str">
        <f t="shared" si="29"/>
        <v>N/A</v>
      </c>
      <c r="U113" s="5"/>
      <c r="AD113" s="1467"/>
    </row>
    <row r="114" spans="2:30" outlineLevel="1" x14ac:dyDescent="0.4">
      <c r="B114" s="1429"/>
      <c r="C114" s="705"/>
      <c r="D114" s="7"/>
      <c r="E114" s="1439" t="s">
        <v>11</v>
      </c>
      <c r="F114" s="1439"/>
      <c r="G114" s="894">
        <f>G113</f>
        <v>13.809444444444447</v>
      </c>
      <c r="H114" s="94"/>
      <c r="I114" s="895"/>
      <c r="J114" s="94"/>
      <c r="K114" s="94"/>
      <c r="L114" s="94"/>
      <c r="M114" s="897"/>
      <c r="N114" s="897"/>
      <c r="O114" s="895"/>
      <c r="P114" s="94"/>
      <c r="Q114" s="897"/>
      <c r="R114" s="1444"/>
      <c r="S114" s="897"/>
      <c r="T114" s="897"/>
      <c r="U114" s="7"/>
      <c r="AD114" s="1467"/>
    </row>
    <row r="115" spans="2:30" outlineLevel="1" x14ac:dyDescent="0.4">
      <c r="B115" s="1429"/>
      <c r="C115" s="1144"/>
      <c r="D115" s="1483"/>
      <c r="E115" s="1483"/>
      <c r="F115" s="894"/>
      <c r="G115" s="894"/>
      <c r="H115" s="94"/>
      <c r="I115" s="895"/>
      <c r="J115" s="94"/>
      <c r="K115" s="94"/>
      <c r="L115" s="94"/>
      <c r="M115" s="897"/>
      <c r="N115" s="897"/>
      <c r="O115" s="895"/>
      <c r="P115" s="94"/>
      <c r="Q115" s="897"/>
      <c r="R115" s="1444"/>
      <c r="S115" s="897"/>
      <c r="T115" s="897"/>
      <c r="U115" s="7"/>
      <c r="AD115" s="1467"/>
    </row>
    <row r="116" spans="2:30" outlineLevel="1" x14ac:dyDescent="0.4">
      <c r="B116" s="1429"/>
      <c r="C116" s="5"/>
      <c r="D116" s="1139"/>
      <c r="E116" s="1140"/>
      <c r="F116" s="1139"/>
      <c r="G116" s="1139"/>
      <c r="H116" s="1139"/>
      <c r="I116" s="1140"/>
      <c r="J116" s="1139"/>
      <c r="K116" s="1139"/>
      <c r="L116" s="1139"/>
      <c r="M116" s="1139"/>
      <c r="N116" s="1139"/>
      <c r="O116" s="1139"/>
      <c r="P116" s="1141"/>
      <c r="Q116" s="7"/>
      <c r="R116" s="1413"/>
      <c r="S116" s="7"/>
      <c r="T116" s="7"/>
      <c r="U116" s="7"/>
      <c r="AD116" s="1467"/>
    </row>
    <row r="117" spans="2:30" outlineLevel="1" x14ac:dyDescent="0.4">
      <c r="B117" s="1429"/>
      <c r="C117" s="5"/>
      <c r="D117" s="1139"/>
      <c r="E117" s="1140"/>
      <c r="F117" s="1139"/>
      <c r="G117" s="1139"/>
      <c r="H117" s="1139"/>
      <c r="I117" s="1140"/>
      <c r="J117" s="1139"/>
      <c r="K117" s="1139"/>
      <c r="L117" s="1139"/>
      <c r="M117" s="1139"/>
      <c r="N117" s="1139"/>
      <c r="O117" s="1139"/>
      <c r="P117" s="1141"/>
      <c r="Q117" s="7"/>
      <c r="R117" s="1413"/>
      <c r="S117" s="7"/>
      <c r="T117" s="7"/>
      <c r="U117" s="7"/>
      <c r="AD117" s="1467"/>
    </row>
    <row r="118" spans="2:30" outlineLevel="1" x14ac:dyDescent="0.4">
      <c r="B118" s="1440"/>
      <c r="C118" s="1015"/>
      <c r="D118" s="1015"/>
      <c r="E118" s="1015"/>
      <c r="F118" s="1015"/>
      <c r="G118" s="1015"/>
      <c r="H118" s="1015"/>
      <c r="I118" s="1018"/>
      <c r="J118" s="1015"/>
      <c r="K118" s="1015"/>
      <c r="L118" s="1015"/>
      <c r="M118" s="1015"/>
      <c r="N118" s="1015"/>
      <c r="O118" s="1015"/>
      <c r="P118" s="1015"/>
      <c r="Q118" s="1015"/>
      <c r="R118" s="1451"/>
      <c r="S118" s="1015"/>
      <c r="T118" s="1015"/>
      <c r="U118" s="1015"/>
      <c r="V118" s="3006"/>
      <c r="W118" s="1441"/>
      <c r="X118" s="1441"/>
      <c r="Y118" s="1441"/>
      <c r="Z118" s="1441"/>
      <c r="AA118" s="1441"/>
      <c r="AB118" s="1441"/>
      <c r="AC118" s="1441"/>
      <c r="AD118" s="1442"/>
    </row>
    <row r="119" spans="2:30" x14ac:dyDescent="0.4">
      <c r="B119" s="5"/>
      <c r="C119" s="7"/>
      <c r="D119" s="7"/>
      <c r="E119" s="7"/>
      <c r="F119" s="7"/>
      <c r="G119" s="7"/>
      <c r="H119" s="7"/>
      <c r="I119" s="290"/>
      <c r="J119" s="7"/>
      <c r="K119" s="7"/>
      <c r="L119" s="7"/>
      <c r="M119" s="7"/>
      <c r="N119" s="7"/>
      <c r="O119" s="7"/>
      <c r="P119" s="7"/>
      <c r="Q119" s="7"/>
      <c r="R119" s="1413"/>
      <c r="S119" s="7"/>
      <c r="T119" s="7"/>
      <c r="U119" s="7"/>
      <c r="V119" s="3009"/>
      <c r="W119" s="938"/>
      <c r="X119" s="938"/>
      <c r="Y119" s="938"/>
      <c r="Z119" s="938"/>
      <c r="AA119" s="938"/>
      <c r="AB119" s="1143"/>
    </row>
    <row r="120" spans="2:30" s="8" customFormat="1" ht="15.45" x14ac:dyDescent="0.4">
      <c r="B120" s="1425"/>
      <c r="C120" s="1426" t="s">
        <v>1495</v>
      </c>
      <c r="D120" s="1426"/>
      <c r="E120" s="1426"/>
      <c r="F120" s="1426"/>
      <c r="G120" s="1426"/>
      <c r="H120" s="1426"/>
      <c r="I120" s="1426"/>
      <c r="J120" s="1426"/>
      <c r="K120" s="1426"/>
      <c r="L120" s="1426"/>
      <c r="M120" s="1426"/>
      <c r="N120" s="1426"/>
      <c r="O120" s="1426"/>
      <c r="P120" s="1426"/>
      <c r="Q120" s="1426"/>
      <c r="R120" s="1484"/>
      <c r="S120" s="1426"/>
      <c r="T120" s="1426"/>
      <c r="U120" s="1426"/>
      <c r="V120" s="3010"/>
      <c r="W120" s="1426"/>
      <c r="X120" s="1426"/>
      <c r="Y120" s="1426"/>
      <c r="Z120" s="1426"/>
      <c r="AA120" s="1426"/>
      <c r="AB120" s="1426"/>
      <c r="AC120" s="1426"/>
      <c r="AD120" s="1485"/>
    </row>
    <row r="121" spans="2:30" s="8" customFormat="1" outlineLevel="1" x14ac:dyDescent="0.4">
      <c r="B121" s="1429"/>
      <c r="C121" s="748" t="s">
        <v>1053</v>
      </c>
      <c r="D121" s="706"/>
      <c r="E121" s="706"/>
      <c r="F121" s="706"/>
      <c r="G121" s="706"/>
      <c r="H121" s="706"/>
      <c r="I121" s="1117"/>
      <c r="J121" s="706"/>
      <c r="K121" s="706"/>
      <c r="L121" s="706"/>
      <c r="M121" s="706"/>
      <c r="N121" s="706"/>
      <c r="O121" s="706"/>
      <c r="P121" s="706"/>
      <c r="Q121" s="7"/>
      <c r="R121" s="1413"/>
      <c r="S121" s="7"/>
      <c r="T121" s="7"/>
      <c r="U121" s="7"/>
      <c r="V121" s="3003"/>
      <c r="W121" s="290"/>
      <c r="X121" s="290"/>
      <c r="Y121" s="290"/>
      <c r="Z121" s="290"/>
      <c r="AA121" s="290"/>
      <c r="AB121" s="290"/>
      <c r="AC121" s="5"/>
      <c r="AD121" s="1430"/>
    </row>
    <row r="122" spans="2:30" s="8" customFormat="1" outlineLevel="1" x14ac:dyDescent="0.4">
      <c r="B122" s="1429"/>
      <c r="C122" s="700" t="s">
        <v>1496</v>
      </c>
      <c r="D122" s="706"/>
      <c r="E122" s="706"/>
      <c r="F122" s="706"/>
      <c r="G122" s="706"/>
      <c r="H122" s="706"/>
      <c r="I122" s="1117"/>
      <c r="J122" s="706"/>
      <c r="K122" s="706"/>
      <c r="L122" s="706"/>
      <c r="M122" s="706"/>
      <c r="N122" s="706"/>
      <c r="O122" s="706"/>
      <c r="P122" s="706"/>
      <c r="Q122" s="7"/>
      <c r="R122" s="1413"/>
      <c r="S122" s="7"/>
      <c r="T122" s="7"/>
      <c r="U122" s="7"/>
      <c r="V122" s="3003"/>
      <c r="W122" s="290"/>
      <c r="X122" s="290"/>
      <c r="Y122" s="290"/>
      <c r="Z122" s="290"/>
      <c r="AA122" s="290"/>
      <c r="AB122" s="290"/>
      <c r="AC122" s="5"/>
      <c r="AD122" s="1430"/>
    </row>
    <row r="123" spans="2:30" s="8" customFormat="1" outlineLevel="1" x14ac:dyDescent="0.4">
      <c r="B123" s="1429"/>
      <c r="C123" s="700" t="s">
        <v>1125</v>
      </c>
      <c r="D123" s="706"/>
      <c r="E123" s="706"/>
      <c r="F123" s="706"/>
      <c r="G123" s="706"/>
      <c r="H123" s="706"/>
      <c r="I123" s="1117"/>
      <c r="J123" s="706"/>
      <c r="K123" s="706"/>
      <c r="L123" s="706"/>
      <c r="M123" s="706"/>
      <c r="N123" s="706"/>
      <c r="O123" s="706"/>
      <c r="P123" s="706"/>
      <c r="Q123" s="7"/>
      <c r="R123" s="1413"/>
      <c r="S123" s="7"/>
      <c r="T123" s="7"/>
      <c r="U123" s="7"/>
      <c r="V123" s="3003"/>
      <c r="W123" s="290"/>
      <c r="X123" s="290"/>
      <c r="Y123" s="290"/>
      <c r="Z123" s="290"/>
      <c r="AA123" s="290"/>
      <c r="AB123" s="290"/>
      <c r="AC123" s="5"/>
      <c r="AD123" s="1430"/>
    </row>
    <row r="124" spans="2:30" s="8" customFormat="1" outlineLevel="1" x14ac:dyDescent="0.4">
      <c r="B124" s="1429"/>
      <c r="C124" s="700" t="s">
        <v>1497</v>
      </c>
      <c r="D124" s="706"/>
      <c r="E124" s="706"/>
      <c r="F124" s="706"/>
      <c r="G124" s="706"/>
      <c r="H124" s="706"/>
      <c r="I124" s="1117"/>
      <c r="J124" s="706"/>
      <c r="K124" s="706"/>
      <c r="L124" s="706"/>
      <c r="M124" s="706"/>
      <c r="N124" s="706"/>
      <c r="O124" s="706"/>
      <c r="P124" s="706"/>
      <c r="Q124" s="7"/>
      <c r="R124" s="1413"/>
      <c r="S124" s="7"/>
      <c r="T124" s="7"/>
      <c r="U124" s="7"/>
      <c r="V124" s="3003"/>
      <c r="W124" s="290"/>
      <c r="X124" s="290"/>
      <c r="Y124" s="290"/>
      <c r="Z124" s="290"/>
      <c r="AA124" s="290"/>
      <c r="AB124" s="290"/>
      <c r="AC124" s="5"/>
      <c r="AD124" s="1430"/>
    </row>
    <row r="125" spans="2:30" s="8" customFormat="1" outlineLevel="1" x14ac:dyDescent="0.4">
      <c r="B125" s="1429"/>
      <c r="C125" s="700"/>
      <c r="D125" s="706"/>
      <c r="E125" s="706"/>
      <c r="F125" s="706"/>
      <c r="G125" s="706"/>
      <c r="H125" s="706"/>
      <c r="I125" s="1117"/>
      <c r="J125" s="706"/>
      <c r="K125" s="706"/>
      <c r="L125" s="706"/>
      <c r="M125" s="706"/>
      <c r="N125" s="706"/>
      <c r="O125" s="706"/>
      <c r="P125" s="706"/>
      <c r="Q125" s="7"/>
      <c r="R125" s="1413"/>
      <c r="S125" s="7"/>
      <c r="T125" s="7"/>
      <c r="U125" s="7"/>
      <c r="V125" s="3003"/>
      <c r="W125" s="290"/>
      <c r="X125" s="290"/>
      <c r="Y125" s="290"/>
      <c r="Z125" s="290"/>
      <c r="AA125" s="290"/>
      <c r="AB125" s="290"/>
      <c r="AC125" s="5"/>
      <c r="AD125" s="1430"/>
    </row>
    <row r="126" spans="2:30" s="8" customFormat="1" outlineLevel="1" x14ac:dyDescent="0.4">
      <c r="B126" s="1429"/>
      <c r="C126" s="700"/>
      <c r="D126" s="706"/>
      <c r="E126" s="706"/>
      <c r="F126" s="706"/>
      <c r="G126" s="706"/>
      <c r="H126" s="706"/>
      <c r="I126" s="1117"/>
      <c r="J126" s="706"/>
      <c r="K126" s="706"/>
      <c r="L126" s="706"/>
      <c r="M126" s="706"/>
      <c r="N126" s="706"/>
      <c r="O126" s="706"/>
      <c r="P126" s="706"/>
      <c r="Q126" s="7"/>
      <c r="R126" s="1413"/>
      <c r="S126" s="7"/>
      <c r="T126" s="7"/>
      <c r="U126" s="7"/>
      <c r="V126" s="3003"/>
      <c r="W126" s="290"/>
      <c r="X126" s="290"/>
      <c r="Y126" s="290"/>
      <c r="Z126" s="290"/>
      <c r="AA126" s="290"/>
      <c r="AB126" s="290"/>
      <c r="AC126" s="5"/>
      <c r="AD126" s="1430"/>
    </row>
    <row r="127" spans="2:30" ht="15" outlineLevel="1" thickBot="1" x14ac:dyDescent="0.45">
      <c r="B127" s="1429"/>
      <c r="C127" s="748" t="s">
        <v>1056</v>
      </c>
      <c r="D127" s="927">
        <f>SUM(D128)</f>
        <v>9.0000000000000006E-5</v>
      </c>
      <c r="E127" s="918"/>
      <c r="F127" s="918"/>
      <c r="G127" s="918"/>
      <c r="H127" s="918"/>
      <c r="I127" s="919"/>
      <c r="J127" s="918"/>
      <c r="K127" s="918"/>
      <c r="L127" s="918"/>
      <c r="M127" s="918"/>
      <c r="N127" s="918"/>
      <c r="O127" s="918"/>
      <c r="P127" s="706"/>
      <c r="Q127" s="7"/>
      <c r="R127" s="1413"/>
      <c r="S127" s="7"/>
      <c r="T127" s="7"/>
      <c r="U127" s="7"/>
      <c r="V127" s="3003"/>
      <c r="W127" s="290"/>
      <c r="X127" s="290"/>
      <c r="Y127" s="290"/>
      <c r="Z127" s="290"/>
      <c r="AA127" s="290"/>
      <c r="AB127" s="1138"/>
      <c r="AD127" s="1467"/>
    </row>
    <row r="128" spans="2:30" outlineLevel="1" x14ac:dyDescent="0.4">
      <c r="B128" s="1429"/>
      <c r="C128" s="7" t="s">
        <v>1498</v>
      </c>
      <c r="D128" s="283">
        <f>Total_Cask_Failure_Rate</f>
        <v>9.0000000000000006E-5</v>
      </c>
      <c r="E128" s="922"/>
      <c r="F128" s="922"/>
      <c r="G128" s="922"/>
      <c r="H128" s="918"/>
      <c r="I128" s="919"/>
      <c r="J128" s="918"/>
      <c r="K128" s="918"/>
      <c r="L128" s="918"/>
      <c r="M128" s="918"/>
      <c r="N128" s="918"/>
      <c r="O128" s="918"/>
      <c r="P128" s="706"/>
      <c r="Q128" s="7"/>
      <c r="R128" s="1413"/>
      <c r="S128" s="7"/>
      <c r="T128" s="7"/>
      <c r="U128" s="7"/>
      <c r="V128" s="3007" t="str">
        <f>C120</f>
        <v>Hardware Cask failure</v>
      </c>
      <c r="W128" s="1119" t="s">
        <v>23</v>
      </c>
      <c r="X128" s="560"/>
      <c r="Y128" s="1446"/>
      <c r="Z128" s="1446"/>
      <c r="AA128" s="1446"/>
      <c r="AB128" s="946"/>
      <c r="AD128" s="1467"/>
    </row>
    <row r="129" spans="2:30" ht="15" outlineLevel="1" thickBot="1" x14ac:dyDescent="0.45">
      <c r="B129" s="1429"/>
      <c r="C129" s="7"/>
      <c r="D129" s="922"/>
      <c r="E129" s="922"/>
      <c r="F129" s="922"/>
      <c r="G129" s="922"/>
      <c r="H129" s="918"/>
      <c r="I129" s="919"/>
      <c r="J129" s="918"/>
      <c r="K129" s="918"/>
      <c r="L129" s="918"/>
      <c r="M129" s="918"/>
      <c r="N129" s="918"/>
      <c r="O129" s="918"/>
      <c r="P129" s="706"/>
      <c r="Q129" s="7"/>
      <c r="R129" s="1413"/>
      <c r="S129" s="7"/>
      <c r="T129" s="7"/>
      <c r="U129" s="7"/>
      <c r="V129" s="3008" t="s">
        <v>1055</v>
      </c>
      <c r="W129" s="1122">
        <v>1</v>
      </c>
      <c r="X129" s="1512">
        <v>1</v>
      </c>
      <c r="Y129" s="916">
        <v>2</v>
      </c>
      <c r="Z129" s="916">
        <v>3</v>
      </c>
      <c r="AA129" s="916">
        <v>4</v>
      </c>
      <c r="AB129" s="1045">
        <v>6</v>
      </c>
      <c r="AD129" s="1467"/>
    </row>
    <row r="130" spans="2:30" ht="15" outlineLevel="1" thickBot="1" x14ac:dyDescent="0.45">
      <c r="B130" s="1429"/>
      <c r="C130" s="7"/>
      <c r="D130" s="7"/>
      <c r="E130" s="7"/>
      <c r="F130" s="7"/>
      <c r="G130" s="1150"/>
      <c r="H130" s="3836" t="s">
        <v>18</v>
      </c>
      <c r="I130" s="3837"/>
      <c r="J130" s="3793" t="s">
        <v>778</v>
      </c>
      <c r="K130" s="3794"/>
      <c r="L130" s="3794"/>
      <c r="M130" s="3794"/>
      <c r="N130" s="3794"/>
      <c r="O130" s="3795"/>
      <c r="P130" s="3793" t="s">
        <v>3</v>
      </c>
      <c r="Q130" s="3795"/>
      <c r="R130" s="3838" t="s">
        <v>779</v>
      </c>
      <c r="S130" s="3839"/>
      <c r="T130" s="3840"/>
      <c r="U130" s="938"/>
      <c r="V130" s="2997" t="s">
        <v>1499</v>
      </c>
      <c r="W130" s="1086">
        <f>SUM('Upper Cask Critical Path'!$E$38:$E$48)+SUM('Upper Cask Critical Path'!$E$231:$E$247)</f>
        <v>79.056666666666672</v>
      </c>
      <c r="X130" s="1415">
        <f>SUM('Upper Cask Critical Path'!$E$38:$E$48)+SUM('Upper Cask Critical Path'!$E$231:$E$247)</f>
        <v>79.056666666666672</v>
      </c>
      <c r="Y130" s="917">
        <f>SUM('Upper Cask Critical Path'!$E$38:$E$48)+SUM('Upper Cask Critical Path'!$E$231:$E$247)</f>
        <v>79.056666666666672</v>
      </c>
      <c r="Z130" s="917">
        <f>SUM('Upper Cask Critical Path'!$E$38:$E$48)+SUM('Upper Cask Critical Path'!$E$231:$E$247)</f>
        <v>79.056666666666672</v>
      </c>
      <c r="AA130" s="917">
        <f>SUM('Upper Cask Critical Path'!$E$38:$E$48)+SUM('Upper Cask Critical Path'!$E$231:$E$247)</f>
        <v>79.056666666666672</v>
      </c>
      <c r="AB130" s="1028">
        <f>SUM('Upper Cask Critical Path'!$E$38:$E$48)+SUM('Upper Cask Critical Path'!$E$231:$E$247)</f>
        <v>79.056666666666672</v>
      </c>
      <c r="AD130" s="1467"/>
    </row>
    <row r="131" spans="2:30" outlineLevel="1" x14ac:dyDescent="0.4">
      <c r="B131" s="1429"/>
      <c r="C131" s="562" t="s">
        <v>1129</v>
      </c>
      <c r="D131" s="563" t="s">
        <v>1061</v>
      </c>
      <c r="E131" s="563" t="s">
        <v>782</v>
      </c>
      <c r="F131" s="942" t="s">
        <v>783</v>
      </c>
      <c r="G131" s="1151" t="s">
        <v>784</v>
      </c>
      <c r="H131" s="562" t="s">
        <v>785</v>
      </c>
      <c r="I131" s="944" t="s">
        <v>783</v>
      </c>
      <c r="J131" s="562" t="s">
        <v>786</v>
      </c>
      <c r="K131" s="563" t="s">
        <v>787</v>
      </c>
      <c r="L131" s="563" t="s">
        <v>788</v>
      </c>
      <c r="M131" s="563" t="s">
        <v>789</v>
      </c>
      <c r="N131" s="563" t="s">
        <v>790</v>
      </c>
      <c r="O131" s="945" t="s">
        <v>783</v>
      </c>
      <c r="P131" s="560" t="s">
        <v>785</v>
      </c>
      <c r="Q131" s="1152" t="s">
        <v>783</v>
      </c>
      <c r="R131" s="1447" t="s">
        <v>781</v>
      </c>
      <c r="S131" s="786" t="s">
        <v>791</v>
      </c>
      <c r="T131" s="787" t="s">
        <v>792</v>
      </c>
      <c r="U131" s="938"/>
      <c r="V131" s="2997" t="s">
        <v>1500</v>
      </c>
      <c r="W131" s="1086">
        <f>SUM('Upper Cask Critical Path'!$E$202:$E$224)+SUM('Upper Cask Critical Path'!$E$48:$E$58)</f>
        <v>75.870510329651381</v>
      </c>
      <c r="X131" s="1415">
        <f>SUM('Upper Cask Critical Path'!$E$202:$E$224)+SUM('Upper Cask Critical Path'!$E$48:$E$58)</f>
        <v>75.870510329651381</v>
      </c>
      <c r="Y131" s="917">
        <f>SUM('Upper Cask Critical Path'!$E$202:$E$224)+SUM('Upper Cask Critical Path'!$E$48:$E$58)</f>
        <v>75.870510329651381</v>
      </c>
      <c r="Z131" s="917">
        <f>SUM('Upper Cask Critical Path'!$E$202:$E$224)+SUM('Upper Cask Critical Path'!$E$48:$E$58)</f>
        <v>75.870510329651381</v>
      </c>
      <c r="AA131" s="917">
        <f>SUM('Upper Cask Critical Path'!$E$202:$E$224)+SUM('Upper Cask Critical Path'!$E$48:$E$58)</f>
        <v>75.870510329651381</v>
      </c>
      <c r="AB131" s="1028">
        <f>SUM('Upper Cask Critical Path'!$E$202:$E$224)+SUM('Upper Cask Critical Path'!$E$48:$E$58)</f>
        <v>75.870510329651381</v>
      </c>
      <c r="AD131" s="1467"/>
    </row>
    <row r="132" spans="2:30" outlineLevel="1" x14ac:dyDescent="0.4">
      <c r="B132" s="1429"/>
      <c r="C132" s="1468" t="s">
        <v>1160</v>
      </c>
      <c r="D132" s="1469"/>
      <c r="E132" s="847" t="s">
        <v>778</v>
      </c>
      <c r="F132" s="390">
        <f t="shared" ref="F132:F139" si="36">MAX($Q132,$O132,$I132)</f>
        <v>6.9444444444444448E-2</v>
      </c>
      <c r="G132" s="385">
        <f>F132</f>
        <v>6.9444444444444448E-2</v>
      </c>
      <c r="H132" s="575"/>
      <c r="I132" s="580" t="str">
        <f>IF(E132="operation",VLOOKUP(H132,'Generic Vertical Port Tasks'!$C$4:$D$189,2,FALSE),"N/A")</f>
        <v>N/A</v>
      </c>
      <c r="J132" s="627" t="s">
        <v>1161</v>
      </c>
      <c r="K132" s="582" t="s">
        <v>799</v>
      </c>
      <c r="L132" s="582" t="s">
        <v>452</v>
      </c>
      <c r="M132" s="853">
        <f>IFERROR(INDEX('Upper Cask Movement &amp; Logistics'!$I$24:$O$30,MATCH($K132,'Upper Cask Movement &amp; Logistics'!$H$24:$H$30,0),MATCH($L132,'Upper Cask Movement &amp; Logistics'!$H$24:$H$30,0)),"N/A")</f>
        <v>50</v>
      </c>
      <c r="N132" s="852">
        <f>IFERROR(VLOOKUP($J132,'Upper Cask Movement &amp; Logistics'!$H$3:$I$8,2,FALSE),"N/A")</f>
        <v>0.2</v>
      </c>
      <c r="O132" s="580">
        <f t="shared" ref="O132:O139" si="37">IF(E132="Movement",IFERROR((M132/N132)/(60*60),"Error"),"N/A")</f>
        <v>6.9444444444444448E-2</v>
      </c>
      <c r="P132" s="1470"/>
      <c r="Q132" s="628" t="str">
        <f>IF($E132="Logistics",VLOOKUP($P132,'Upper Cask Movement &amp; Logistics'!$C$2:$D$81,2,FALSE),"N/A")</f>
        <v>N/A</v>
      </c>
      <c r="R132" s="1471"/>
      <c r="S132" s="1472" t="str">
        <f>IFERROR(VLOOKUP($R132,'Upper Cask Recovery Logistics'!$C$5:$F$26,4,FALSE),"N/A")</f>
        <v>N/A</v>
      </c>
      <c r="T132" s="1473" t="str">
        <f>IFERROR(G132-F132-S132,"N/A")</f>
        <v>N/A</v>
      </c>
      <c r="U132" s="938"/>
      <c r="V132" s="2997" t="s">
        <v>1501</v>
      </c>
      <c r="W132" s="1086">
        <f>SUM('Upper Cask Critical Path'!$E$58:$E$65)+SUM('Upper Cask Critical Path'!$E$213:$E$224)</f>
        <v>31.804444444444442</v>
      </c>
      <c r="X132" s="1415">
        <f>SUM('Upper Cask Critical Path'!$E$58:$E$65)+SUM('Upper Cask Critical Path'!$E$213:$E$224)</f>
        <v>31.804444444444442</v>
      </c>
      <c r="Y132" s="917">
        <f>SUM('Upper Cask Critical Path'!$E$58:$E$65)+SUM('Upper Cask Critical Path'!$E$213:$E$224)</f>
        <v>31.804444444444442</v>
      </c>
      <c r="Z132" s="917">
        <f>SUM('Upper Cask Critical Path'!$E$58:$E$65)+SUM('Upper Cask Critical Path'!$E$213:$E$224)</f>
        <v>31.804444444444442</v>
      </c>
      <c r="AA132" s="917">
        <f>SUM('Upper Cask Critical Path'!$E$58:$E$65)+SUM('Upper Cask Critical Path'!$E$213:$E$224)</f>
        <v>31.804444444444442</v>
      </c>
      <c r="AB132" s="1028">
        <f>SUM('Upper Cask Critical Path'!$E$58:$E$65)+SUM('Upper Cask Critical Path'!$E$213:$E$224)</f>
        <v>31.804444444444442</v>
      </c>
      <c r="AD132" s="1467"/>
    </row>
    <row r="133" spans="2:30" outlineLevel="1" x14ac:dyDescent="0.4">
      <c r="B133" s="1429"/>
      <c r="C133" s="1155" t="s">
        <v>1162</v>
      </c>
      <c r="D133" s="1156"/>
      <c r="E133" s="1474" t="s">
        <v>3</v>
      </c>
      <c r="F133" s="1475">
        <f t="shared" si="36"/>
        <v>1.6400000000000001</v>
      </c>
      <c r="G133" s="389">
        <f t="shared" ref="G133:G139" si="38">IF(T133&lt;0,F133+G132+(-T133),F133+G132)</f>
        <v>1.7094444444444445</v>
      </c>
      <c r="H133" s="627"/>
      <c r="I133" s="1476" t="str">
        <f>IF(E133="operation",VLOOKUP(H133,'Generic Vertical Port Tasks'!$C$4:$D$189,2,FALSE),"N/A")</f>
        <v>N/A</v>
      </c>
      <c r="J133" s="1477"/>
      <c r="K133" s="1156"/>
      <c r="L133" s="1156"/>
      <c r="M133" s="1478" t="str">
        <f>IFERROR(INDEX('Upper Cask Movement &amp; Logistics'!$I$24:$O$30,MATCH($K133,'Upper Cask Movement &amp; Logistics'!$H$24:$H$30,0),MATCH($L133,'Upper Cask Movement &amp; Logistics'!$H$24:$H$30,0)),"N/A")</f>
        <v>N/A</v>
      </c>
      <c r="N133" s="1479" t="str">
        <f>IFERROR(VLOOKUP($J133,'Upper Cask Movement &amp; Logistics'!$H$3:$I$8,2,FALSE),"N/A")</f>
        <v>N/A</v>
      </c>
      <c r="O133" s="632" t="str">
        <f t="shared" si="37"/>
        <v>N/A</v>
      </c>
      <c r="P133" s="1155" t="s">
        <v>1488</v>
      </c>
      <c r="Q133" s="628">
        <f>IF($E133="Logistics",VLOOKUP($P133,'Upper Cask Movement &amp; Logistics'!$C$2:$D$81,2,FALSE),"N/A")</f>
        <v>1.6400000000000001</v>
      </c>
      <c r="R133" s="1471"/>
      <c r="S133" s="1480" t="str">
        <f>IFERROR(VLOOKUP($R133,'Upper Cask Recovery Logistics'!$C$5:$F$26,4,FALSE),"N/A")</f>
        <v>N/A</v>
      </c>
      <c r="T133" s="1481" t="str">
        <f t="shared" ref="T133:T139" si="39">IFERROR(G132-S133,"N/A")</f>
        <v>N/A</v>
      </c>
      <c r="U133" s="938"/>
      <c r="V133" s="2997" t="s">
        <v>1502</v>
      </c>
      <c r="W133" s="1086">
        <f>SUM('Upper Cask Critical Path'!$E$71:$E$113)+SUM('Upper Cask Critical Path'!$E$172:$E$212)</f>
        <v>207.46059233436128</v>
      </c>
      <c r="X133" s="1415">
        <f>SUM('Upper Cask Critical Path'!$E$71:$E$113)+SUM('Upper Cask Critical Path'!$E$172:$E$212)</f>
        <v>207.46059233436128</v>
      </c>
      <c r="Y133" s="917">
        <f>SUM('Upper Cask Critical Path'!$E$71:$E$113)+SUM('Upper Cask Critical Path'!$E$172:$E$212)</f>
        <v>207.46059233436128</v>
      </c>
      <c r="Z133" s="917">
        <f>SUM('Upper Cask Critical Path'!$E$71:$E$113)+SUM('Upper Cask Critical Path'!$E$172:$E$212)</f>
        <v>207.46059233436128</v>
      </c>
      <c r="AA133" s="917">
        <f>SUM('Upper Cask Critical Path'!$E$71:$E$113)+SUM('Upper Cask Critical Path'!$E$172:$E$212)</f>
        <v>207.46059233436128</v>
      </c>
      <c r="AB133" s="1028">
        <f>SUM('Upper Cask Critical Path'!$E$71:$E$113)+SUM('Upper Cask Critical Path'!$E$172:$E$212)</f>
        <v>207.46059233436128</v>
      </c>
      <c r="AD133" s="1467"/>
    </row>
    <row r="134" spans="2:30" outlineLevel="1" x14ac:dyDescent="0.4">
      <c r="B134" s="1429"/>
      <c r="C134" s="1468" t="s">
        <v>1503</v>
      </c>
      <c r="D134" s="1469"/>
      <c r="E134" s="659" t="s">
        <v>251</v>
      </c>
      <c r="F134" s="390">
        <f t="shared" si="36"/>
        <v>3</v>
      </c>
      <c r="G134" s="389">
        <f t="shared" si="38"/>
        <v>4.7094444444444443</v>
      </c>
      <c r="H134" s="575" t="s">
        <v>1135</v>
      </c>
      <c r="I134" s="580">
        <v>3</v>
      </c>
      <c r="J134" s="575" t="s">
        <v>1161</v>
      </c>
      <c r="K134" s="573" t="s">
        <v>799</v>
      </c>
      <c r="L134" s="573" t="s">
        <v>452</v>
      </c>
      <c r="M134" s="853">
        <f>IFERROR(INDEX('Upper Cask Movement &amp; Logistics'!$I$24:$O$30,MATCH($K134,'Upper Cask Movement &amp; Logistics'!$H$24:$H$30,0),MATCH($L134,'Upper Cask Movement &amp; Logistics'!$H$24:$H$30,0)),"N/A")</f>
        <v>50</v>
      </c>
      <c r="N134" s="853">
        <f>IFERROR(VLOOKUP($J134,'Upper Cask Movement &amp; Logistics'!$H$3:$I$8,2,FALSE),"N/A")</f>
        <v>0.2</v>
      </c>
      <c r="O134" s="580" t="str">
        <f t="shared" si="37"/>
        <v>N/A</v>
      </c>
      <c r="P134" s="575" t="s">
        <v>1481</v>
      </c>
      <c r="Q134" s="576" t="str">
        <f>IF($E134="Logistics",VLOOKUP($P134,'Upper Cask Movement &amp; Logistics'!$C$2:$D$81,2,FALSE),"N/A")</f>
        <v>N/A</v>
      </c>
      <c r="R134" s="1448"/>
      <c r="S134" s="320" t="str">
        <f>IFERROR(VLOOKUP($R134,'Upper Cask Recovery Logistics'!$C$5:$F$26,4,FALSE),"N/A")</f>
        <v>N/A</v>
      </c>
      <c r="T134" s="319" t="str">
        <f t="shared" si="39"/>
        <v>N/A</v>
      </c>
      <c r="U134" s="938"/>
      <c r="V134" s="2997" t="s">
        <v>1504</v>
      </c>
      <c r="W134" s="1086">
        <f>SUM('Upper Cask Critical Path'!$E$114:$E$117)+SUM('Upper Cask Critical Path'!$E$121:$E$123)+SUM('Upper Cask Critical Path'!$E$145:$E$147)+SUM('Upper Cask Critical Path'!$E$151:$E$153)</f>
        <v>25.880000000000003</v>
      </c>
      <c r="X134" s="1415">
        <f>SUM('Upper Cask Critical Path'!$E$114:$E$117)+SUM('Upper Cask Critical Path'!$E$121:$E$123)+SUM('Upper Cask Critical Path'!$E$145:$E$147)+SUM('Upper Cask Critical Path'!$E$151:$E$153)</f>
        <v>25.880000000000003</v>
      </c>
      <c r="Y134" s="917">
        <f>SUM('Upper Cask Critical Path'!$E$114:$E$117)+SUM('Upper Cask Critical Path'!$E$121:$E$123)+SUM('Upper Cask Critical Path'!$E$145:$E$147)+SUM('Upper Cask Critical Path'!$E$151:$E$153)</f>
        <v>25.880000000000003</v>
      </c>
      <c r="Z134" s="917">
        <f>SUM('Upper Cask Critical Path'!$E$114:$E$117)+SUM('Upper Cask Critical Path'!$E$121:$E$123)+SUM('Upper Cask Critical Path'!$E$145:$E$147)+SUM('Upper Cask Critical Path'!$E$151:$E$153)</f>
        <v>25.880000000000003</v>
      </c>
      <c r="AA134" s="917">
        <f>SUM('Upper Cask Critical Path'!$E$114:$E$117)+SUM('Upper Cask Critical Path'!$E$121:$E$123)+SUM('Upper Cask Critical Path'!$E$145:$E$147)+SUM('Upper Cask Critical Path'!$E$151:$E$153)</f>
        <v>25.880000000000003</v>
      </c>
      <c r="AB134" s="1028">
        <f>SUM('Upper Cask Critical Path'!$E$114:$E$117)+SUM('Upper Cask Critical Path'!$E$121:$E$123)+SUM('Upper Cask Critical Path'!$E$145:$E$147)+SUM('Upper Cask Critical Path'!$E$151:$E$153)</f>
        <v>25.880000000000003</v>
      </c>
      <c r="AD134" s="1467"/>
    </row>
    <row r="135" spans="2:30" outlineLevel="1" x14ac:dyDescent="0.4">
      <c r="B135" s="1429"/>
      <c r="C135" s="1155" t="s">
        <v>1162</v>
      </c>
      <c r="D135" s="1156"/>
      <c r="E135" s="1474" t="s">
        <v>3</v>
      </c>
      <c r="F135" s="1475">
        <f t="shared" si="36"/>
        <v>1.6400000000000001</v>
      </c>
      <c r="G135" s="389">
        <f t="shared" si="38"/>
        <v>6.349444444444444</v>
      </c>
      <c r="H135" s="627"/>
      <c r="I135" s="1476" t="str">
        <f>IF(E135="operation",VLOOKUP(H135,'Generic Vertical Port Tasks'!$C$4:$D$189,2,FALSE),"N/A")</f>
        <v>N/A</v>
      </c>
      <c r="J135" s="1477"/>
      <c r="K135" s="1156"/>
      <c r="L135" s="1156"/>
      <c r="M135" s="1478" t="str">
        <f>IFERROR(INDEX('Upper Cask Movement &amp; Logistics'!$I$24:$O$30,MATCH($K135,'Upper Cask Movement &amp; Logistics'!$H$24:$H$30,0),MATCH($L135,'Upper Cask Movement &amp; Logistics'!$H$24:$H$30,0)),"N/A")</f>
        <v>N/A</v>
      </c>
      <c r="N135" s="1479" t="str">
        <f>IFERROR(VLOOKUP($J135,'Upper Cask Movement &amp; Logistics'!$H$3:$I$8,2,FALSE),"N/A")</f>
        <v>N/A</v>
      </c>
      <c r="O135" s="632" t="str">
        <f t="shared" si="37"/>
        <v>N/A</v>
      </c>
      <c r="P135" s="1155" t="s">
        <v>1488</v>
      </c>
      <c r="Q135" s="628">
        <f>IF($E135="Logistics",VLOOKUP($P135,'Upper Cask Movement &amp; Logistics'!$C$2:$D$81,2,FALSE),"N/A")</f>
        <v>1.6400000000000001</v>
      </c>
      <c r="R135" s="1471"/>
      <c r="S135" s="1480" t="str">
        <f>IFERROR(VLOOKUP($R135,'Upper Cask Recovery Logistics'!$C$5:$F$26,4,FALSE),"N/A")</f>
        <v>N/A</v>
      </c>
      <c r="T135" s="1481" t="str">
        <f t="shared" si="39"/>
        <v>N/A</v>
      </c>
      <c r="U135" s="938"/>
      <c r="V135" s="2997" t="s">
        <v>1505</v>
      </c>
      <c r="W135" s="1086">
        <f>SUM('Upper Cask Critical Path'!$E$118:$E$120)+SUM('Upper Cask Critical Path'!$E$124:$E$126)+SUM('Upper Cask Critical Path'!$E$148:$E$150)+SUM('Upper Cask Critical Path'!$E$154:$E$156)</f>
        <v>24.36</v>
      </c>
      <c r="X135" s="1415">
        <f>SUM('Upper Cask Critical Path'!$E$118:$E$120)+SUM('Upper Cask Critical Path'!$E$124:$E$126)+SUM('Upper Cask Critical Path'!$E$148:$E$150)+SUM('Upper Cask Critical Path'!$E$154:$E$156)</f>
        <v>24.36</v>
      </c>
      <c r="Y135" s="917">
        <f>SUM('Upper Cask Critical Path'!$E$118:$E$120)+SUM('Upper Cask Critical Path'!$E$124:$E$126)+SUM('Upper Cask Critical Path'!$E$148:$E$150)+SUM('Upper Cask Critical Path'!$E$154:$E$156)</f>
        <v>24.36</v>
      </c>
      <c r="Z135" s="917">
        <f>SUM('Upper Cask Critical Path'!$E$118:$E$120)+SUM('Upper Cask Critical Path'!$E$124:$E$126)+SUM('Upper Cask Critical Path'!$E$148:$E$150)+SUM('Upper Cask Critical Path'!$E$154:$E$156)</f>
        <v>24.36</v>
      </c>
      <c r="AA135" s="917">
        <f>SUM('Upper Cask Critical Path'!$E$118:$E$120)+SUM('Upper Cask Critical Path'!$E$124:$E$126)+SUM('Upper Cask Critical Path'!$E$148:$E$150)+SUM('Upper Cask Critical Path'!$E$154:$E$156)</f>
        <v>24.36</v>
      </c>
      <c r="AB135" s="1028">
        <f>SUM('Upper Cask Critical Path'!$E$118:$E$120)+SUM('Upper Cask Critical Path'!$E$124:$E$126)+SUM('Upper Cask Critical Path'!$E$148:$E$150)+SUM('Upper Cask Critical Path'!$E$154:$E$156)</f>
        <v>24.36</v>
      </c>
      <c r="AD135" s="1467"/>
    </row>
    <row r="136" spans="2:30" outlineLevel="1" x14ac:dyDescent="0.4">
      <c r="B136" s="1429"/>
      <c r="C136" s="1155" t="s">
        <v>1506</v>
      </c>
      <c r="D136" s="1156"/>
      <c r="E136" s="847" t="s">
        <v>778</v>
      </c>
      <c r="F136" s="390">
        <f t="shared" si="36"/>
        <v>3</v>
      </c>
      <c r="G136" s="389">
        <f t="shared" si="38"/>
        <v>9.349444444444444</v>
      </c>
      <c r="H136" s="575" t="s">
        <v>1135</v>
      </c>
      <c r="I136" s="580">
        <v>3</v>
      </c>
      <c r="J136" s="575" t="s">
        <v>1161</v>
      </c>
      <c r="K136" s="573" t="s">
        <v>799</v>
      </c>
      <c r="L136" s="573" t="s">
        <v>452</v>
      </c>
      <c r="M136" s="853">
        <f>IFERROR(INDEX('Upper Cask Movement &amp; Logistics'!$I$24:$O$30,MATCH($K136,'Upper Cask Movement &amp; Logistics'!$H$24:$H$30,0),MATCH($L136,'Upper Cask Movement &amp; Logistics'!$H$24:$H$30,0)),"N/A")</f>
        <v>50</v>
      </c>
      <c r="N136" s="853">
        <f>IFERROR(VLOOKUP($J136,'Upper Cask Movement &amp; Logistics'!$H$3:$I$8,2,FALSE),"N/A")</f>
        <v>0.2</v>
      </c>
      <c r="O136" s="580">
        <f t="shared" si="37"/>
        <v>6.9444444444444448E-2</v>
      </c>
      <c r="P136" s="575"/>
      <c r="Q136" s="576" t="str">
        <f>IF($E136="Logistics",VLOOKUP($P136,'Upper Cask Movement &amp; Logistics'!$C$2:$D$81,2,FALSE),"N/A")</f>
        <v>N/A</v>
      </c>
      <c r="R136" s="1448"/>
      <c r="S136" s="320" t="str">
        <f>IFERROR(VLOOKUP($R136,'Upper Cask Recovery Logistics'!$C$5:$F$26,4,FALSE),"N/A")</f>
        <v>N/A</v>
      </c>
      <c r="T136" s="319" t="str">
        <f t="shared" si="39"/>
        <v>N/A</v>
      </c>
      <c r="U136" s="947"/>
      <c r="V136" s="1852" t="s">
        <v>2668</v>
      </c>
      <c r="W136" s="1086">
        <f>SUM(W130:W135)</f>
        <v>444.43221377512378</v>
      </c>
      <c r="X136" s="1415">
        <f>ROUNDUP((Tokamak_Segmts/X129),0)*SUM($X$130:$X$135)</f>
        <v>7110.9154204019806</v>
      </c>
      <c r="Y136" s="917">
        <f>ROUNDUP((Tokamak_Segmts/Y129),0)*SUM($X$130:$X$135)</f>
        <v>3555.4577102009903</v>
      </c>
      <c r="Z136" s="917">
        <f>ROUNDUP((Tokamak_Segmts/Z129),0)*SUM($X$130:$X$135)</f>
        <v>2666.5932826507428</v>
      </c>
      <c r="AA136" s="917">
        <f>ROUNDUP((Tokamak_Segmts/AA129),0)*SUM($X$130:$X$135)</f>
        <v>1777.7288551004951</v>
      </c>
      <c r="AB136" s="1028">
        <f>ROUNDUP((Tokamak_Segmts/AB129),0)*SUM($X$130:$X$135)</f>
        <v>1333.2966413253714</v>
      </c>
      <c r="AD136" s="1467"/>
    </row>
    <row r="137" spans="2:30" ht="15" outlineLevel="1" thickBot="1" x14ac:dyDescent="0.45">
      <c r="B137" s="1429"/>
      <c r="C137" s="1155" t="s">
        <v>1490</v>
      </c>
      <c r="D137" s="1156"/>
      <c r="E137" s="847" t="s">
        <v>3</v>
      </c>
      <c r="F137" s="459">
        <f t="shared" si="36"/>
        <v>2.5400000000000005</v>
      </c>
      <c r="G137" s="389">
        <f t="shared" si="38"/>
        <v>11.889444444444445</v>
      </c>
      <c r="H137" s="575"/>
      <c r="I137" s="580" t="str">
        <f>IF(E137="operation",VLOOKUP(H137,'Generic Vertical Port Tasks'!$C$4:$D$189,2,FALSE),"N/A")</f>
        <v>N/A</v>
      </c>
      <c r="J137" s="575"/>
      <c r="K137" s="573"/>
      <c r="L137" s="573"/>
      <c r="M137" s="853" t="str">
        <f>IFERROR(INDEX('Upper Cask Movement &amp; Logistics'!$I$24:$O$30,MATCH($K137,'Upper Cask Movement &amp; Logistics'!$H$24:$H$30,0),MATCH($L137,'Upper Cask Movement &amp; Logistics'!$H$24:$H$30,0)),"N/A")</f>
        <v>N/A</v>
      </c>
      <c r="N137" s="853" t="str">
        <f>IFERROR(VLOOKUP($J137,'Upper Cask Movement &amp; Logistics'!$H$3:$I$8,2,FALSE),"N/A")</f>
        <v>N/A</v>
      </c>
      <c r="O137" s="580" t="str">
        <f t="shared" si="37"/>
        <v>N/A</v>
      </c>
      <c r="P137" s="575" t="s">
        <v>1483</v>
      </c>
      <c r="Q137" s="576">
        <f>IF($E137="Logistics",VLOOKUP($P137,'Upper Cask Movement &amp; Logistics'!$C$2:$D$81,2,FALSE),"N/A")</f>
        <v>2.5400000000000005</v>
      </c>
      <c r="R137" s="1449"/>
      <c r="S137" s="853" t="str">
        <f>IFERROR(VLOOKUP($R137,'Upper Cask Recovery Logistics'!$C$5:$F$26,4,FALSE),"N/A")</f>
        <v>N/A</v>
      </c>
      <c r="T137" s="576" t="str">
        <f t="shared" si="39"/>
        <v>N/A</v>
      </c>
      <c r="U137" s="947"/>
      <c r="V137" s="3141" t="s">
        <v>2693</v>
      </c>
      <c r="W137" s="1089">
        <f>W$136*$D$127</f>
        <v>3.9998899239761146E-2</v>
      </c>
      <c r="X137" s="1416">
        <f t="shared" ref="X137:AB137" si="40">X$136*$D$127</f>
        <v>0.63998238783617833</v>
      </c>
      <c r="Y137" s="920">
        <f t="shared" si="40"/>
        <v>0.31999119391808917</v>
      </c>
      <c r="Z137" s="920">
        <f t="shared" si="40"/>
        <v>0.23999339543856688</v>
      </c>
      <c r="AA137" s="920">
        <f t="shared" si="40"/>
        <v>0.15999559695904458</v>
      </c>
      <c r="AB137" s="1029">
        <f t="shared" si="40"/>
        <v>0.11999669771928344</v>
      </c>
      <c r="AD137" s="1467"/>
    </row>
    <row r="138" spans="2:30" outlineLevel="1" x14ac:dyDescent="0.4">
      <c r="B138" s="1429"/>
      <c r="C138" s="1155" t="s">
        <v>1507</v>
      </c>
      <c r="D138" s="1156"/>
      <c r="E138" s="847" t="s">
        <v>3</v>
      </c>
      <c r="F138" s="459">
        <f t="shared" si="36"/>
        <v>2.5400000000000005</v>
      </c>
      <c r="G138" s="389">
        <f t="shared" si="38"/>
        <v>14.429444444444446</v>
      </c>
      <c r="H138" s="575"/>
      <c r="I138" s="580" t="str">
        <f>IF(E138="operation",VLOOKUP(H138,'Generic Vertical Port Tasks'!$C$4:$D$189,2,FALSE),"N/A")</f>
        <v>N/A</v>
      </c>
      <c r="J138" s="575"/>
      <c r="K138" s="573"/>
      <c r="L138" s="573"/>
      <c r="M138" s="853" t="str">
        <f>IFERROR(INDEX('Upper Cask Movement &amp; Logistics'!$I$24:$O$30,MATCH($K138,'Upper Cask Movement &amp; Logistics'!$H$24:$H$30,0),MATCH($L138,'Upper Cask Movement &amp; Logistics'!$H$24:$H$30,0)),"N/A")</f>
        <v>N/A</v>
      </c>
      <c r="N138" s="853" t="str">
        <f>IFERROR(VLOOKUP($J138,'Upper Cask Movement &amp; Logistics'!$H$3:$I$8,2,FALSE),"N/A")</f>
        <v>N/A</v>
      </c>
      <c r="O138" s="580" t="str">
        <f t="shared" si="37"/>
        <v>N/A</v>
      </c>
      <c r="P138" s="575" t="s">
        <v>1291</v>
      </c>
      <c r="Q138" s="576">
        <f>IF($E138="Logistics",VLOOKUP($P138,'Upper Cask Movement &amp; Logistics'!$C$2:$D$81,2,FALSE),"N/A")</f>
        <v>2.5400000000000005</v>
      </c>
      <c r="R138" s="1449"/>
      <c r="S138" s="853" t="str">
        <f>IFERROR(VLOOKUP($R138,'Upper Cask Recovery Logistics'!$C$5:$F$26,4,FALSE),"N/A")</f>
        <v>N/A</v>
      </c>
      <c r="T138" s="576" t="str">
        <f t="shared" si="39"/>
        <v>N/A</v>
      </c>
      <c r="U138" s="947"/>
      <c r="V138" s="2999" t="s">
        <v>1048</v>
      </c>
      <c r="W138" s="1082">
        <f t="shared" ref="W138:AB138" si="41">W137*(SUMIF($E$132:$E$139,"Operation",$F$132:$F$139))</f>
        <v>0.11999669771928344</v>
      </c>
      <c r="X138" s="1414">
        <f t="shared" si="41"/>
        <v>1.919947163508535</v>
      </c>
      <c r="Y138" s="1135">
        <f t="shared" si="41"/>
        <v>0.9599735817542675</v>
      </c>
      <c r="Z138" s="1135">
        <f t="shared" si="41"/>
        <v>0.7199801863157006</v>
      </c>
      <c r="AA138" s="1135">
        <f t="shared" si="41"/>
        <v>0.47998679087713375</v>
      </c>
      <c r="AB138" s="1085">
        <f t="shared" si="41"/>
        <v>0.3599900931578503</v>
      </c>
      <c r="AD138" s="1467"/>
    </row>
    <row r="139" spans="2:30" ht="15" outlineLevel="1" thickBot="1" x14ac:dyDescent="0.45">
      <c r="B139" s="1429"/>
      <c r="C139" s="1486" t="s">
        <v>1508</v>
      </c>
      <c r="D139" s="808"/>
      <c r="E139" s="808" t="s">
        <v>3</v>
      </c>
      <c r="F139" s="467">
        <f t="shared" si="36"/>
        <v>1.6400000000000001</v>
      </c>
      <c r="G139" s="400">
        <f t="shared" si="38"/>
        <v>16.069444444444446</v>
      </c>
      <c r="H139" s="586"/>
      <c r="I139" s="580" t="str">
        <f>IF(E139="operation",VLOOKUP(H139,'Generic Vertical Port Tasks'!$C$4:$D$189,2,FALSE),"N/A")</f>
        <v>N/A</v>
      </c>
      <c r="J139" s="586"/>
      <c r="K139" s="584"/>
      <c r="L139" s="584"/>
      <c r="M139" s="814" t="str">
        <f>IFERROR(INDEX('Upper Cask Movement &amp; Logistics'!$I$24:$O$30,MATCH($K139,'Upper Cask Movement &amp; Logistics'!$H$24:$H$30,0),MATCH($L139,'Upper Cask Movement &amp; Logistics'!$H$24:$H$30,0)),"N/A")</f>
        <v>N/A</v>
      </c>
      <c r="N139" s="814" t="str">
        <f>IFERROR(VLOOKUP($J139,'Upper Cask Movement &amp; Logistics'!$H$3:$I$8,2,FALSE),"N/A")</f>
        <v>N/A</v>
      </c>
      <c r="O139" s="591" t="str">
        <f t="shared" si="37"/>
        <v>N/A</v>
      </c>
      <c r="P139" s="586" t="s">
        <v>1224</v>
      </c>
      <c r="Q139" s="587">
        <f>IF($E139="Logistics",VLOOKUP($P139,'Upper Cask Movement &amp; Logistics'!$C$2:$D$81,2,FALSE),"N/A")</f>
        <v>1.6400000000000001</v>
      </c>
      <c r="R139" s="1487" t="s">
        <v>1509</v>
      </c>
      <c r="S139" s="1488" t="str">
        <f>IFERROR(VLOOKUP($R139,'Upper Cask Recovery Logistics'!$C$5:$F$26,4,FALSE),"N/A")</f>
        <v>N/A</v>
      </c>
      <c r="T139" s="1489" t="str">
        <f t="shared" si="39"/>
        <v>N/A</v>
      </c>
      <c r="U139" s="947"/>
      <c r="V139" s="2997" t="s">
        <v>2658</v>
      </c>
      <c r="W139" s="1086">
        <f t="shared" ref="W139:AB139" si="42">W137*(SUMIF($E$132:$E$139,"Movement",$F$132:$F$139)+(SUMIF($E$132:$E$139,"Logistics",$F$132:$F$139)))</f>
        <v>0.52276339145298945</v>
      </c>
      <c r="X139" s="1415">
        <f t="shared" si="42"/>
        <v>8.3642142632478311</v>
      </c>
      <c r="Y139" s="290">
        <f t="shared" si="42"/>
        <v>4.1821071316239156</v>
      </c>
      <c r="Z139" s="290">
        <f t="shared" si="42"/>
        <v>3.1365803487179371</v>
      </c>
      <c r="AA139" s="290">
        <f t="shared" si="42"/>
        <v>2.0910535658119578</v>
      </c>
      <c r="AB139" s="1088">
        <f t="shared" si="42"/>
        <v>1.5682901743589686</v>
      </c>
      <c r="AD139" s="1467"/>
    </row>
    <row r="140" spans="2:30" ht="15" outlineLevel="1" thickBot="1" x14ac:dyDescent="0.45">
      <c r="B140" s="1429"/>
      <c r="E140" s="1439" t="s">
        <v>11</v>
      </c>
      <c r="F140" s="1439"/>
      <c r="G140" s="894">
        <f>G139</f>
        <v>16.069444444444446</v>
      </c>
      <c r="U140" s="947"/>
      <c r="V140" s="3000" t="s">
        <v>2663</v>
      </c>
      <c r="W140" s="1089">
        <f t="shared" ref="W140:AB140" si="43">W137*(-SUMIF($T$132:$T$139,"&lt;0"))</f>
        <v>0</v>
      </c>
      <c r="X140" s="1416">
        <f t="shared" si="43"/>
        <v>0</v>
      </c>
      <c r="Y140" s="1138">
        <f t="shared" si="43"/>
        <v>0</v>
      </c>
      <c r="Z140" s="1138">
        <f t="shared" si="43"/>
        <v>0</v>
      </c>
      <c r="AA140" s="1138">
        <f t="shared" si="43"/>
        <v>0</v>
      </c>
      <c r="AB140" s="1092">
        <f t="shared" si="43"/>
        <v>0</v>
      </c>
      <c r="AD140" s="1467"/>
    </row>
    <row r="141" spans="2:30" ht="15" outlineLevel="1" thickBot="1" x14ac:dyDescent="0.45">
      <c r="B141" s="1429"/>
      <c r="C141" s="1490"/>
      <c r="D141" s="892"/>
      <c r="E141" s="892"/>
      <c r="F141" s="894"/>
      <c r="G141" s="894"/>
      <c r="H141" s="94"/>
      <c r="I141" s="895"/>
      <c r="J141" s="94"/>
      <c r="K141" s="94"/>
      <c r="L141" s="94"/>
      <c r="M141" s="897"/>
      <c r="N141" s="897"/>
      <c r="O141" s="895"/>
      <c r="P141" s="94"/>
      <c r="Q141" s="897"/>
      <c r="R141" s="1444"/>
      <c r="S141" s="897"/>
      <c r="T141" s="897"/>
      <c r="U141" s="947"/>
      <c r="V141" s="3001" t="s">
        <v>2667</v>
      </c>
      <c r="W141" s="2993">
        <f t="shared" ref="W141:AB141" si="44">W137*$G$140</f>
        <v>0.6427600891722729</v>
      </c>
      <c r="X141" s="2994">
        <f t="shared" si="44"/>
        <v>10.284161426756366</v>
      </c>
      <c r="Y141" s="694">
        <f t="shared" si="44"/>
        <v>5.1420807133781832</v>
      </c>
      <c r="Z141" s="694">
        <f t="shared" si="44"/>
        <v>3.8565605350336378</v>
      </c>
      <c r="AA141" s="694">
        <f t="shared" si="44"/>
        <v>2.5710403566890916</v>
      </c>
      <c r="AB141" s="2974">
        <f t="shared" si="44"/>
        <v>1.9282802675168189</v>
      </c>
      <c r="AD141" s="1467"/>
    </row>
    <row r="142" spans="2:30" outlineLevel="1" x14ac:dyDescent="0.4">
      <c r="B142" s="1429"/>
      <c r="C142" s="1490"/>
      <c r="D142" s="892"/>
      <c r="E142" s="892"/>
      <c r="F142" s="894"/>
      <c r="G142" s="894"/>
      <c r="H142" s="94"/>
      <c r="I142" s="895"/>
      <c r="J142" s="94"/>
      <c r="K142" s="94"/>
      <c r="L142" s="94"/>
      <c r="M142" s="897"/>
      <c r="N142" s="897"/>
      <c r="O142" s="895"/>
      <c r="P142" s="94"/>
      <c r="Q142" s="897"/>
      <c r="R142" s="1444"/>
      <c r="S142" s="897"/>
      <c r="T142" s="897"/>
      <c r="U142" s="947"/>
      <c r="AD142" s="1467"/>
    </row>
    <row r="143" spans="2:30" outlineLevel="1" x14ac:dyDescent="0.4">
      <c r="B143" s="1429"/>
      <c r="C143" s="5"/>
      <c r="D143" s="892"/>
      <c r="E143" s="892"/>
      <c r="F143" s="894"/>
      <c r="G143" s="894"/>
      <c r="H143" s="94"/>
      <c r="I143" s="895"/>
      <c r="J143" s="94"/>
      <c r="K143" s="94"/>
      <c r="L143" s="94"/>
      <c r="M143" s="897"/>
      <c r="N143" s="897"/>
      <c r="O143" s="895"/>
      <c r="P143" s="94"/>
      <c r="Q143" s="897"/>
      <c r="R143" s="1444"/>
      <c r="S143" s="897"/>
      <c r="T143" s="897"/>
      <c r="U143" s="897"/>
      <c r="AD143" s="1467"/>
    </row>
    <row r="144" spans="2:30" outlineLevel="1" x14ac:dyDescent="0.4">
      <c r="B144" s="1429"/>
      <c r="C144" s="705"/>
      <c r="D144" s="7"/>
      <c r="E144" s="7"/>
      <c r="F144" s="894"/>
      <c r="G144" s="894"/>
      <c r="H144" s="94"/>
      <c r="I144" s="895"/>
      <c r="J144" s="94"/>
      <c r="K144" s="94"/>
      <c r="L144" s="94"/>
      <c r="M144" s="897"/>
      <c r="N144" s="897"/>
      <c r="O144" s="895"/>
      <c r="P144" s="94"/>
      <c r="Q144" s="897"/>
      <c r="R144" s="1444"/>
      <c r="S144" s="897"/>
      <c r="T144" s="897"/>
      <c r="U144" s="5"/>
      <c r="AD144" s="1467"/>
    </row>
    <row r="145" spans="2:30" outlineLevel="1" x14ac:dyDescent="0.4">
      <c r="B145" s="1429"/>
      <c r="C145" s="1144"/>
      <c r="D145" s="892"/>
      <c r="E145" s="892"/>
      <c r="F145" s="894"/>
      <c r="G145" s="894"/>
      <c r="H145" s="94"/>
      <c r="I145" s="895"/>
      <c r="J145" s="94"/>
      <c r="K145" s="94"/>
      <c r="L145" s="94"/>
      <c r="M145" s="897"/>
      <c r="N145" s="897"/>
      <c r="O145" s="895"/>
      <c r="P145" s="94"/>
      <c r="Q145" s="897"/>
      <c r="R145" s="1444"/>
      <c r="S145" s="897"/>
      <c r="T145" s="897"/>
      <c r="U145" s="7"/>
      <c r="AD145" s="1467"/>
    </row>
    <row r="146" spans="2:30" outlineLevel="1" x14ac:dyDescent="0.4">
      <c r="B146" s="1429"/>
      <c r="C146" s="1144"/>
      <c r="D146" s="1483"/>
      <c r="E146" s="1483"/>
      <c r="F146" s="894"/>
      <c r="G146" s="894"/>
      <c r="H146" s="94"/>
      <c r="I146" s="895"/>
      <c r="J146" s="94"/>
      <c r="K146" s="94"/>
      <c r="L146" s="94"/>
      <c r="M146" s="897"/>
      <c r="N146" s="897"/>
      <c r="O146" s="895"/>
      <c r="P146" s="94"/>
      <c r="Q146" s="897"/>
      <c r="R146" s="1444"/>
      <c r="S146" s="897"/>
      <c r="T146" s="897"/>
      <c r="U146" s="7"/>
      <c r="AC146" s="290"/>
      <c r="AD146" s="1467"/>
    </row>
    <row r="147" spans="2:30" outlineLevel="1" x14ac:dyDescent="0.4">
      <c r="B147" s="1429"/>
      <c r="C147" s="5"/>
      <c r="D147" s="1139"/>
      <c r="E147" s="1140"/>
      <c r="F147" s="1139"/>
      <c r="G147" s="1139"/>
      <c r="H147" s="1139"/>
      <c r="I147" s="1140"/>
      <c r="J147" s="1139"/>
      <c r="K147" s="1139"/>
      <c r="L147" s="1139"/>
      <c r="M147" s="1139"/>
      <c r="N147" s="1139"/>
      <c r="O147" s="1139"/>
      <c r="P147" s="1141"/>
      <c r="Q147" s="7"/>
      <c r="R147" s="1413"/>
      <c r="S147" s="7"/>
      <c r="T147" s="7"/>
      <c r="U147" s="7"/>
      <c r="AC147" s="290"/>
      <c r="AD147" s="1467"/>
    </row>
    <row r="148" spans="2:30" outlineLevel="1" x14ac:dyDescent="0.4">
      <c r="B148" s="1440"/>
      <c r="C148" s="1015"/>
      <c r="D148" s="1015"/>
      <c r="E148" s="1015"/>
      <c r="F148" s="1015"/>
      <c r="G148" s="1015"/>
      <c r="H148" s="1015"/>
      <c r="I148" s="1018"/>
      <c r="J148" s="1015"/>
      <c r="K148" s="1015"/>
      <c r="L148" s="1015"/>
      <c r="M148" s="1015"/>
      <c r="N148" s="1015"/>
      <c r="O148" s="1015"/>
      <c r="P148" s="1015"/>
      <c r="Q148" s="1015"/>
      <c r="R148" s="1451"/>
      <c r="S148" s="1015"/>
      <c r="T148" s="1015"/>
      <c r="U148" s="1015"/>
      <c r="V148" s="3011"/>
      <c r="W148" s="1015"/>
      <c r="X148" s="1015"/>
      <c r="Y148" s="1015"/>
      <c r="Z148" s="1015"/>
      <c r="AA148" s="1015"/>
      <c r="AB148" s="1015"/>
      <c r="AC148" s="1015"/>
      <c r="AD148" s="289"/>
    </row>
    <row r="149" spans="2:30" s="8" customFormat="1" x14ac:dyDescent="0.4">
      <c r="B149" s="5"/>
      <c r="C149" s="7"/>
      <c r="D149" s="7"/>
      <c r="E149" s="7"/>
      <c r="F149" s="7"/>
      <c r="G149" s="7"/>
      <c r="H149" s="7"/>
      <c r="I149" s="290"/>
      <c r="J149" s="7"/>
      <c r="K149" s="7"/>
      <c r="L149" s="7"/>
      <c r="M149" s="7"/>
      <c r="N149" s="7"/>
      <c r="O149" s="7"/>
      <c r="P149" s="7"/>
      <c r="Q149" s="7"/>
      <c r="R149" s="1413"/>
      <c r="S149" s="7"/>
      <c r="T149" s="7"/>
      <c r="U149" s="7"/>
      <c r="V149" s="3009"/>
      <c r="W149" s="938"/>
      <c r="X149" s="938"/>
      <c r="Y149" s="938"/>
      <c r="Z149" s="938"/>
      <c r="AA149" s="938"/>
      <c r="AB149" s="938"/>
      <c r="AC149" s="5"/>
    </row>
    <row r="150" spans="2:30" s="8" customFormat="1" ht="15.45" x14ac:dyDescent="0.4">
      <c r="B150" s="1425"/>
      <c r="C150" s="1426" t="s">
        <v>1510</v>
      </c>
      <c r="D150" s="1426"/>
      <c r="E150" s="1426"/>
      <c r="F150" s="1426"/>
      <c r="G150" s="1426"/>
      <c r="H150" s="1426"/>
      <c r="I150" s="1426"/>
      <c r="J150" s="1426"/>
      <c r="K150" s="1426"/>
      <c r="L150" s="1426"/>
      <c r="M150" s="1426"/>
      <c r="N150" s="1426"/>
      <c r="O150" s="1426"/>
      <c r="P150" s="1426"/>
      <c r="Q150" s="1426"/>
      <c r="R150" s="1484"/>
      <c r="S150" s="1426"/>
      <c r="T150" s="1426"/>
      <c r="U150" s="1426"/>
      <c r="V150" s="3010"/>
      <c r="W150" s="1426"/>
      <c r="X150" s="1426"/>
      <c r="Y150" s="1426"/>
      <c r="Z150" s="1426"/>
      <c r="AA150" s="1426"/>
      <c r="AB150" s="1426"/>
      <c r="AC150" s="1426"/>
      <c r="AD150" s="1485"/>
    </row>
    <row r="151" spans="2:30" s="8" customFormat="1" outlineLevel="1" x14ac:dyDescent="0.4">
      <c r="B151" s="1429"/>
      <c r="C151" s="748" t="s">
        <v>1053</v>
      </c>
      <c r="D151" s="706"/>
      <c r="E151" s="706"/>
      <c r="F151" s="706"/>
      <c r="G151" s="706"/>
      <c r="H151" s="706"/>
      <c r="I151" s="1117"/>
      <c r="J151" s="706"/>
      <c r="K151" s="706"/>
      <c r="L151" s="706"/>
      <c r="M151" s="706"/>
      <c r="N151" s="706"/>
      <c r="O151" s="706"/>
      <c r="P151" s="706"/>
      <c r="Q151" s="7"/>
      <c r="R151" s="1413"/>
      <c r="S151" s="7"/>
      <c r="T151" s="7"/>
      <c r="U151" s="7"/>
      <c r="V151" s="3003"/>
      <c r="W151" s="290"/>
      <c r="X151" s="290"/>
      <c r="Y151" s="290"/>
      <c r="Z151" s="290"/>
      <c r="AA151" s="290"/>
      <c r="AB151" s="290"/>
      <c r="AC151" s="5"/>
      <c r="AD151" s="1430"/>
    </row>
    <row r="152" spans="2:30" s="8" customFormat="1" outlineLevel="1" x14ac:dyDescent="0.4">
      <c r="B152" s="1429"/>
      <c r="C152" s="700" t="s">
        <v>1511</v>
      </c>
      <c r="D152" s="706"/>
      <c r="E152" s="706"/>
      <c r="F152" s="706"/>
      <c r="G152" s="706"/>
      <c r="H152" s="706"/>
      <c r="I152" s="1117"/>
      <c r="J152" s="706"/>
      <c r="K152" s="706"/>
      <c r="L152" s="706"/>
      <c r="M152" s="706"/>
      <c r="N152" s="706"/>
      <c r="O152" s="706"/>
      <c r="P152" s="706"/>
      <c r="Q152" s="7"/>
      <c r="R152" s="1413"/>
      <c r="S152" s="7"/>
      <c r="T152" s="7"/>
      <c r="U152" s="7"/>
      <c r="V152" s="3003"/>
      <c r="W152" s="290"/>
      <c r="X152" s="290"/>
      <c r="Y152" s="290"/>
      <c r="Z152" s="290"/>
      <c r="AA152" s="290"/>
      <c r="AB152" s="290"/>
      <c r="AC152" s="5"/>
      <c r="AD152" s="1430"/>
    </row>
    <row r="153" spans="2:30" s="8" customFormat="1" outlineLevel="1" x14ac:dyDescent="0.4">
      <c r="B153" s="1429"/>
      <c r="C153" s="700" t="s">
        <v>1125</v>
      </c>
      <c r="D153" s="706"/>
      <c r="E153" s="706"/>
      <c r="F153" s="706"/>
      <c r="G153" s="706"/>
      <c r="H153" s="706"/>
      <c r="I153" s="1117"/>
      <c r="J153" s="706"/>
      <c r="K153" s="706"/>
      <c r="L153" s="706"/>
      <c r="M153" s="706"/>
      <c r="N153" s="706"/>
      <c r="O153" s="706"/>
      <c r="P153" s="706"/>
      <c r="Q153" s="7"/>
      <c r="R153" s="1413"/>
      <c r="S153" s="7"/>
      <c r="T153" s="7"/>
      <c r="U153" s="7"/>
      <c r="V153" s="3003"/>
      <c r="W153" s="290"/>
      <c r="X153" s="290"/>
      <c r="Y153" s="290"/>
      <c r="Z153" s="290"/>
      <c r="AA153" s="290"/>
      <c r="AB153" s="290"/>
      <c r="AC153" s="5"/>
      <c r="AD153" s="1430"/>
    </row>
    <row r="154" spans="2:30" s="8" customFormat="1" outlineLevel="1" x14ac:dyDescent="0.4">
      <c r="B154" s="1429"/>
      <c r="C154" s="700" t="s">
        <v>1512</v>
      </c>
      <c r="D154" s="706"/>
      <c r="E154" s="706"/>
      <c r="F154" s="706"/>
      <c r="G154" s="706"/>
      <c r="H154" s="706"/>
      <c r="I154" s="1117"/>
      <c r="J154" s="706"/>
      <c r="K154" s="706"/>
      <c r="L154" s="706"/>
      <c r="M154" s="706"/>
      <c r="N154" s="706"/>
      <c r="O154" s="706"/>
      <c r="P154" s="706"/>
      <c r="Q154" s="7"/>
      <c r="R154" s="1413"/>
      <c r="S154" s="7"/>
      <c r="T154" s="7"/>
      <c r="U154" s="7"/>
      <c r="V154" s="3003"/>
      <c r="W154" s="290"/>
      <c r="X154" s="290"/>
      <c r="Y154" s="290"/>
      <c r="Z154" s="290"/>
      <c r="AA154" s="290"/>
      <c r="AB154" s="290"/>
      <c r="AC154" s="5"/>
      <c r="AD154" s="1430"/>
    </row>
    <row r="155" spans="2:30" s="8" customFormat="1" outlineLevel="1" x14ac:dyDescent="0.4">
      <c r="B155" s="1429"/>
      <c r="C155" s="700"/>
      <c r="D155" s="706"/>
      <c r="E155" s="706"/>
      <c r="F155" s="706"/>
      <c r="G155" s="706"/>
      <c r="H155" s="706"/>
      <c r="I155" s="1117"/>
      <c r="J155" s="706"/>
      <c r="K155" s="706"/>
      <c r="L155" s="706"/>
      <c r="M155" s="706"/>
      <c r="N155" s="706"/>
      <c r="O155" s="706"/>
      <c r="P155" s="706"/>
      <c r="Q155" s="7"/>
      <c r="R155" s="1413"/>
      <c r="S155" s="7"/>
      <c r="T155" s="7"/>
      <c r="U155" s="7"/>
      <c r="V155" s="3003"/>
      <c r="W155" s="290"/>
      <c r="X155" s="290"/>
      <c r="Y155" s="290"/>
      <c r="Z155" s="290"/>
      <c r="AA155" s="290"/>
      <c r="AB155" s="290"/>
      <c r="AC155" s="5"/>
      <c r="AD155" s="1430"/>
    </row>
    <row r="156" spans="2:30" s="8" customFormat="1" outlineLevel="1" x14ac:dyDescent="0.4">
      <c r="B156" s="1429"/>
      <c r="C156" s="700"/>
      <c r="D156" s="706"/>
      <c r="E156" s="706"/>
      <c r="F156" s="706"/>
      <c r="G156" s="706"/>
      <c r="H156" s="706"/>
      <c r="I156" s="1117"/>
      <c r="J156" s="706"/>
      <c r="K156" s="706"/>
      <c r="L156" s="706"/>
      <c r="M156" s="706"/>
      <c r="N156" s="706"/>
      <c r="O156" s="706"/>
      <c r="P156" s="706"/>
      <c r="Q156" s="7"/>
      <c r="R156" s="1413"/>
      <c r="S156" s="7"/>
      <c r="T156" s="7"/>
      <c r="U156" s="7"/>
      <c r="V156" s="3003"/>
      <c r="W156" s="290"/>
      <c r="X156" s="290"/>
      <c r="Y156" s="290"/>
      <c r="Z156" s="290"/>
      <c r="AA156" s="290"/>
      <c r="AB156" s="290"/>
      <c r="AC156" s="5"/>
      <c r="AD156" s="1430"/>
    </row>
    <row r="157" spans="2:30" ht="15" outlineLevel="1" thickBot="1" x14ac:dyDescent="0.45">
      <c r="B157" s="1429"/>
      <c r="C157" s="748" t="s">
        <v>1056</v>
      </c>
      <c r="D157" s="927">
        <f>SUM(D158)</f>
        <v>9.0000000000000006E-5</v>
      </c>
      <c r="E157" s="918"/>
      <c r="F157" s="918"/>
      <c r="G157" s="918"/>
      <c r="H157" s="918"/>
      <c r="I157" s="919"/>
      <c r="J157" s="918"/>
      <c r="K157" s="918"/>
      <c r="L157" s="918"/>
      <c r="M157" s="918"/>
      <c r="N157" s="918"/>
      <c r="O157" s="918"/>
      <c r="P157" s="706"/>
      <c r="Q157" s="7"/>
      <c r="R157" s="1413"/>
      <c r="S157" s="7"/>
      <c r="T157" s="7"/>
      <c r="U157" s="7"/>
      <c r="V157" s="3003"/>
      <c r="W157" s="290"/>
      <c r="X157" s="290"/>
      <c r="Y157" s="290"/>
      <c r="Z157" s="290"/>
      <c r="AA157" s="290"/>
      <c r="AB157" s="1138"/>
      <c r="AD157" s="1467"/>
    </row>
    <row r="158" spans="2:30" outlineLevel="1" x14ac:dyDescent="0.4">
      <c r="B158" s="1429"/>
      <c r="C158" s="7" t="s">
        <v>1513</v>
      </c>
      <c r="D158" s="283">
        <f>Total_Cask_Failure_Rate</f>
        <v>9.0000000000000006E-5</v>
      </c>
      <c r="E158" s="922"/>
      <c r="F158" s="922"/>
      <c r="G158" s="922"/>
      <c r="H158" s="918"/>
      <c r="I158" s="919"/>
      <c r="J158" s="918"/>
      <c r="K158" s="918"/>
      <c r="L158" s="918"/>
      <c r="M158" s="918"/>
      <c r="N158" s="918"/>
      <c r="O158" s="918"/>
      <c r="P158" s="706"/>
      <c r="Q158" s="7"/>
      <c r="R158" s="1413"/>
      <c r="S158" s="7"/>
      <c r="T158" s="7"/>
      <c r="U158" s="7"/>
      <c r="V158" s="3007" t="str">
        <f>C150</f>
        <v>Equipment Cask failure</v>
      </c>
      <c r="W158" s="1119" t="s">
        <v>23</v>
      </c>
      <c r="X158" s="560"/>
      <c r="Y158" s="1446"/>
      <c r="Z158" s="1446"/>
      <c r="AA158" s="1446"/>
      <c r="AB158" s="946"/>
      <c r="AD158" s="1467"/>
    </row>
    <row r="159" spans="2:30" ht="15" outlineLevel="1" thickBot="1" x14ac:dyDescent="0.45">
      <c r="B159" s="1429"/>
      <c r="C159" s="7"/>
      <c r="D159" s="922"/>
      <c r="E159" s="922"/>
      <c r="F159" s="922"/>
      <c r="G159" s="922"/>
      <c r="H159" s="918"/>
      <c r="I159" s="919"/>
      <c r="J159" s="918"/>
      <c r="K159" s="918"/>
      <c r="L159" s="918"/>
      <c r="M159" s="918"/>
      <c r="N159" s="918"/>
      <c r="O159" s="918"/>
      <c r="P159" s="706"/>
      <c r="Q159" s="7"/>
      <c r="R159" s="1413"/>
      <c r="S159" s="7"/>
      <c r="T159" s="7"/>
      <c r="U159" s="7"/>
      <c r="V159" s="3008" t="s">
        <v>1055</v>
      </c>
      <c r="W159" s="1122">
        <v>1</v>
      </c>
      <c r="X159" s="1512">
        <v>1</v>
      </c>
      <c r="Y159" s="916">
        <v>2</v>
      </c>
      <c r="Z159" s="916">
        <v>3</v>
      </c>
      <c r="AA159" s="916">
        <v>4</v>
      </c>
      <c r="AB159" s="1045">
        <v>6</v>
      </c>
      <c r="AD159" s="1467"/>
    </row>
    <row r="160" spans="2:30" ht="15" outlineLevel="1" thickBot="1" x14ac:dyDescent="0.45">
      <c r="B160" s="1429"/>
      <c r="C160" s="7"/>
      <c r="D160" s="7"/>
      <c r="E160" s="7"/>
      <c r="F160" s="7"/>
      <c r="G160" s="1150"/>
      <c r="H160" s="3836" t="s">
        <v>18</v>
      </c>
      <c r="I160" s="3837"/>
      <c r="J160" s="3793" t="s">
        <v>778</v>
      </c>
      <c r="K160" s="3794"/>
      <c r="L160" s="3794"/>
      <c r="M160" s="3794"/>
      <c r="N160" s="3794"/>
      <c r="O160" s="3795"/>
      <c r="P160" s="3793" t="s">
        <v>3</v>
      </c>
      <c r="Q160" s="3795"/>
      <c r="R160" s="3838" t="s">
        <v>779</v>
      </c>
      <c r="S160" s="3839"/>
      <c r="T160" s="3840"/>
      <c r="U160" s="938"/>
      <c r="V160" s="2997" t="s">
        <v>1514</v>
      </c>
      <c r="W160" s="1086">
        <f>SUM('Upper Cask Critical Path'!$E$22:$E$62)+SUM('Upper Cask Critical Path'!$E$213:$E$247)</f>
        <v>188.25111111111104</v>
      </c>
      <c r="X160" s="1415">
        <f>SUM('Upper Cask Critical Path'!$E$22:$E$62)+SUM('Upper Cask Critical Path'!$E$213:$E$247)</f>
        <v>188.25111111111104</v>
      </c>
      <c r="Y160" s="917">
        <f>SUM('Upper Cask Critical Path'!$E$22:$E$62)+SUM('Upper Cask Critical Path'!$E$213:$E$247)</f>
        <v>188.25111111111104</v>
      </c>
      <c r="Z160" s="917">
        <f>SUM('Upper Cask Critical Path'!$E$22:$E$62)+SUM('Upper Cask Critical Path'!$E$213:$E$247)</f>
        <v>188.25111111111104</v>
      </c>
      <c r="AA160" s="917">
        <f>SUM('Upper Cask Critical Path'!$E$22:$E$62)+SUM('Upper Cask Critical Path'!$E$213:$E$247)</f>
        <v>188.25111111111104</v>
      </c>
      <c r="AB160" s="1028">
        <f>SUM('Upper Cask Critical Path'!$E$22:$E$62)+SUM('Upper Cask Critical Path'!$E$213:$E$247)</f>
        <v>188.25111111111104</v>
      </c>
      <c r="AD160" s="1467"/>
    </row>
    <row r="161" spans="2:30" outlineLevel="1" x14ac:dyDescent="0.4">
      <c r="B161" s="1429"/>
      <c r="C161" s="562" t="s">
        <v>1129</v>
      </c>
      <c r="D161" s="563" t="s">
        <v>1061</v>
      </c>
      <c r="E161" s="563" t="s">
        <v>782</v>
      </c>
      <c r="F161" s="942" t="s">
        <v>783</v>
      </c>
      <c r="G161" s="943" t="s">
        <v>784</v>
      </c>
      <c r="H161" s="562" t="s">
        <v>785</v>
      </c>
      <c r="I161" s="944" t="s">
        <v>783</v>
      </c>
      <c r="J161" s="562" t="s">
        <v>786</v>
      </c>
      <c r="K161" s="563" t="s">
        <v>787</v>
      </c>
      <c r="L161" s="563" t="s">
        <v>788</v>
      </c>
      <c r="M161" s="563" t="s">
        <v>789</v>
      </c>
      <c r="N161" s="563" t="s">
        <v>790</v>
      </c>
      <c r="O161" s="945" t="s">
        <v>783</v>
      </c>
      <c r="P161" s="560" t="s">
        <v>785</v>
      </c>
      <c r="Q161" s="1152" t="s">
        <v>783</v>
      </c>
      <c r="R161" s="1447" t="s">
        <v>781</v>
      </c>
      <c r="S161" s="786" t="s">
        <v>791</v>
      </c>
      <c r="T161" s="787" t="s">
        <v>792</v>
      </c>
      <c r="U161" s="938"/>
      <c r="V161" s="2997" t="s">
        <v>1515</v>
      </c>
      <c r="W161" s="1086">
        <f>SUM('Upper Cask Critical Path'!$E$63:$E$113)+SUM('Upper Cask Critical Path'!$E$159:$E$212)</f>
        <v>261.33324041795163</v>
      </c>
      <c r="X161" s="1415">
        <f>SUM('Upper Cask Critical Path'!$E$63:$E$113)+SUM('Upper Cask Critical Path'!$E$159:$E$212)</f>
        <v>261.33324041795163</v>
      </c>
      <c r="Y161" s="917">
        <f>SUM('Upper Cask Critical Path'!$E$63:$E$113)+SUM('Upper Cask Critical Path'!$E$159:$E$212)</f>
        <v>261.33324041795163</v>
      </c>
      <c r="Z161" s="917">
        <f>SUM('Upper Cask Critical Path'!$E$63:$E$113)+SUM('Upper Cask Critical Path'!$E$159:$E$212)</f>
        <v>261.33324041795163</v>
      </c>
      <c r="AA161" s="917">
        <f>SUM('Upper Cask Critical Path'!$E$63:$E$113)+SUM('Upper Cask Critical Path'!$E$159:$E$212)</f>
        <v>261.33324041795163</v>
      </c>
      <c r="AB161" s="1028">
        <f>SUM('Upper Cask Critical Path'!$E$63:$E$113)+SUM('Upper Cask Critical Path'!$E$159:$E$212)</f>
        <v>261.33324041795163</v>
      </c>
      <c r="AD161" s="1467"/>
    </row>
    <row r="162" spans="2:30" outlineLevel="1" x14ac:dyDescent="0.4">
      <c r="B162" s="1429"/>
      <c r="C162" s="1468" t="s">
        <v>1160</v>
      </c>
      <c r="D162" s="1469"/>
      <c r="E162" s="847" t="s">
        <v>778</v>
      </c>
      <c r="F162" s="390">
        <f t="shared" ref="F162:F167" si="45">MAX($Q162,$O162,$I162)</f>
        <v>6.9444444444444448E-2</v>
      </c>
      <c r="G162" s="385">
        <f>F162</f>
        <v>6.9444444444444448E-2</v>
      </c>
      <c r="H162" s="575"/>
      <c r="I162" s="580" t="str">
        <f>IF(E162="operation",VLOOKUP(H162,'Generic Vertical Port Tasks'!$C$4:$D$189,2,FALSE),"N/A")</f>
        <v>N/A</v>
      </c>
      <c r="J162" s="627" t="s">
        <v>1161</v>
      </c>
      <c r="K162" s="582" t="s">
        <v>799</v>
      </c>
      <c r="L162" s="582" t="s">
        <v>452</v>
      </c>
      <c r="M162" s="853">
        <f>IFERROR(INDEX('Upper Cask Movement &amp; Logistics'!$I$24:$O$30,MATCH($K162,'Upper Cask Movement &amp; Logistics'!$H$24:$H$30,0),MATCH($L162,'Upper Cask Movement &amp; Logistics'!$H$24:$H$30,0)),"N/A")</f>
        <v>50</v>
      </c>
      <c r="N162" s="852">
        <f>IFERROR(VLOOKUP($J162,'Upper Cask Movement &amp; Logistics'!$H$3:$I$8,2,FALSE),"N/A")</f>
        <v>0.2</v>
      </c>
      <c r="O162" s="580">
        <f t="shared" ref="O162:O167" si="46">IF(E162="Movement",IFERROR((M162/N162)/(60*60),"Error"),"N/A")</f>
        <v>6.9444444444444448E-2</v>
      </c>
      <c r="P162" s="1470"/>
      <c r="Q162" s="628" t="str">
        <f>IF($E162="Logistics",VLOOKUP($P162,'Upper Cask Movement &amp; Logistics'!$C$2:$D$81,2,FALSE),"N/A")</f>
        <v>N/A</v>
      </c>
      <c r="R162" s="1471"/>
      <c r="S162" s="1472" t="str">
        <f>IFERROR(VLOOKUP($R162,'Upper Cask Recovery Logistics'!$C$5:$F$26,4,FALSE),"N/A")</f>
        <v>N/A</v>
      </c>
      <c r="T162" s="1473" t="str">
        <f>IFERROR(G162-F162-S162,"N/A")</f>
        <v>N/A</v>
      </c>
      <c r="U162" s="938"/>
      <c r="V162" s="2997" t="s">
        <v>1516</v>
      </c>
      <c r="W162" s="1086">
        <f>SUM('Upper Cask Critical Path'!$E$114:$E$130)+SUM('Upper Cask Critical Path'!$E$142:$E$156)</f>
        <v>64.72</v>
      </c>
      <c r="X162" s="1415">
        <f>SUM('Upper Cask Critical Path'!$E$114:$E$130)+SUM('Upper Cask Critical Path'!$E$142:$E$156)</f>
        <v>64.72</v>
      </c>
      <c r="Y162" s="917">
        <f>SUM('Upper Cask Critical Path'!$E$114:$E$130)+SUM('Upper Cask Critical Path'!$E$142:$E$156)</f>
        <v>64.72</v>
      </c>
      <c r="Z162" s="917">
        <f>SUM('Upper Cask Critical Path'!$E$114:$E$130)+SUM('Upper Cask Critical Path'!$E$142:$E$156)</f>
        <v>64.72</v>
      </c>
      <c r="AA162" s="917">
        <f>SUM('Upper Cask Critical Path'!$E$114:$E$130)+SUM('Upper Cask Critical Path'!$E$142:$E$156)</f>
        <v>64.72</v>
      </c>
      <c r="AB162" s="1028">
        <f>SUM('Upper Cask Critical Path'!$E$114:$E$130)+SUM('Upper Cask Critical Path'!$E$142:$E$156)</f>
        <v>64.72</v>
      </c>
      <c r="AD162" s="1467"/>
    </row>
    <row r="163" spans="2:30" outlineLevel="1" x14ac:dyDescent="0.4">
      <c r="B163" s="1429"/>
      <c r="C163" s="1155" t="s">
        <v>1162</v>
      </c>
      <c r="D163" s="1156"/>
      <c r="E163" s="1474" t="s">
        <v>3</v>
      </c>
      <c r="F163" s="1475">
        <f t="shared" si="45"/>
        <v>1.6400000000000001</v>
      </c>
      <c r="G163" s="385">
        <f>IF(T163&lt;0,F163+G162+(-T163),F163+G162)</f>
        <v>1.7094444444444445</v>
      </c>
      <c r="H163" s="627"/>
      <c r="I163" s="1476" t="str">
        <f>IF(E163="operation",VLOOKUP(H163,'Generic Vertical Port Tasks'!$C$4:$D$189,2,FALSE),"N/A")</f>
        <v>N/A</v>
      </c>
      <c r="J163" s="1477"/>
      <c r="K163" s="1156"/>
      <c r="L163" s="1156"/>
      <c r="M163" s="1478" t="str">
        <f>IFERROR(INDEX('Upper Cask Movement &amp; Logistics'!$I$24:$O$30,MATCH($K163,'Upper Cask Movement &amp; Logistics'!$H$24:$H$30,0),MATCH($L163,'Upper Cask Movement &amp; Logistics'!$H$24:$H$30,0)),"N/A")</f>
        <v>N/A</v>
      </c>
      <c r="N163" s="1479" t="str">
        <f>IFERROR(VLOOKUP($J163,'Upper Cask Movement &amp; Logistics'!$H$3:$I$8,2,FALSE),"N/A")</f>
        <v>N/A</v>
      </c>
      <c r="O163" s="632" t="str">
        <f t="shared" si="46"/>
        <v>N/A</v>
      </c>
      <c r="P163" s="1155" t="s">
        <v>1488</v>
      </c>
      <c r="Q163" s="628">
        <f>IF($E163="Logistics",VLOOKUP($P163,'Upper Cask Movement &amp; Logistics'!$C$2:$D$81,2,FALSE),"N/A")</f>
        <v>1.6400000000000001</v>
      </c>
      <c r="R163" s="1471"/>
      <c r="S163" s="1480" t="str">
        <f>IFERROR(VLOOKUP($R163,'Upper Cask Recovery Logistics'!$C$5:$F$26,4,FALSE),"N/A")</f>
        <v>N/A</v>
      </c>
      <c r="T163" s="1481" t="str">
        <f>IFERROR(G162-S163,"N/A")</f>
        <v>N/A</v>
      </c>
      <c r="U163" s="938"/>
      <c r="V163" s="1852" t="s">
        <v>2668</v>
      </c>
      <c r="W163" s="1086">
        <f>SUM(W160:W162)</f>
        <v>514.30435152906273</v>
      </c>
      <c r="X163" s="1415">
        <f>ROUNDUP((Tokamak_Segmts/X159),0)*(X160+X161+X162)</f>
        <v>8228.8696244650037</v>
      </c>
      <c r="Y163" s="917">
        <f>ROUNDUP((Tokamak_Segmts/Y159),0)*(Y160+Y161+Y162)</f>
        <v>4114.4348122325018</v>
      </c>
      <c r="Z163" s="917">
        <f>ROUNDUP((Tokamak_Segmts/Z159),0)*(Z160+Z161+Z162)</f>
        <v>3085.8261091743761</v>
      </c>
      <c r="AA163" s="917">
        <f>ROUNDUP((Tokamak_Segmts/AA159),0)*(AA160+AA161+AA162)</f>
        <v>2057.2174061162509</v>
      </c>
      <c r="AB163" s="1028">
        <f>ROUNDUP((Tokamak_Segmts/AB159),0)*(AB160+AB161+AB162)</f>
        <v>1542.9130545871881</v>
      </c>
      <c r="AD163" s="1467"/>
    </row>
    <row r="164" spans="2:30" ht="15" outlineLevel="1" thickBot="1" x14ac:dyDescent="0.45">
      <c r="B164" s="1429"/>
      <c r="C164" s="1468" t="s">
        <v>1503</v>
      </c>
      <c r="D164" s="1469"/>
      <c r="E164" s="659" t="s">
        <v>251</v>
      </c>
      <c r="F164" s="390">
        <f t="shared" si="45"/>
        <v>3</v>
      </c>
      <c r="G164" s="385">
        <f>IF(T164&lt;0,F164+G163+(-T164),F164+G163)</f>
        <v>4.7094444444444443</v>
      </c>
      <c r="H164" s="575" t="s">
        <v>1135</v>
      </c>
      <c r="I164" s="580">
        <v>3</v>
      </c>
      <c r="J164" s="575" t="s">
        <v>1161</v>
      </c>
      <c r="K164" s="573" t="s">
        <v>799</v>
      </c>
      <c r="L164" s="573" t="s">
        <v>452</v>
      </c>
      <c r="M164" s="853">
        <f>IFERROR(INDEX('Upper Cask Movement &amp; Logistics'!$I$24:$O$30,MATCH($K164,'Upper Cask Movement &amp; Logistics'!$H$24:$H$30,0),MATCH($L164,'Upper Cask Movement &amp; Logistics'!$H$24:$H$30,0)),"N/A")</f>
        <v>50</v>
      </c>
      <c r="N164" s="853">
        <f>IFERROR(VLOOKUP($J164,'Upper Cask Movement &amp; Logistics'!$H$3:$I$8,2,FALSE),"N/A")</f>
        <v>0.2</v>
      </c>
      <c r="O164" s="580" t="str">
        <f t="shared" si="46"/>
        <v>N/A</v>
      </c>
      <c r="P164" s="575" t="s">
        <v>1481</v>
      </c>
      <c r="Q164" s="576" t="str">
        <f>IF($E164="Logistics",VLOOKUP($P164,'Upper Cask Movement &amp; Logistics'!$C$2:$D$81,2,FALSE),"N/A")</f>
        <v>N/A</v>
      </c>
      <c r="R164" s="1448"/>
      <c r="S164" s="320" t="str">
        <f>IFERROR(VLOOKUP($R164,'Upper Cask Recovery Logistics'!$C$5:$F$26,4,FALSE),"N/A")</f>
        <v>N/A</v>
      </c>
      <c r="T164" s="319" t="str">
        <f>IFERROR(G163-S164,"N/A")</f>
        <v>N/A</v>
      </c>
      <c r="U164" s="947"/>
      <c r="V164" s="3141" t="s">
        <v>2693</v>
      </c>
      <c r="W164" s="1089">
        <f>W$163*$D$157</f>
        <v>4.6287391637615652E-2</v>
      </c>
      <c r="X164" s="1416">
        <f t="shared" ref="X164:AB164" si="47">X$163*$D$157</f>
        <v>0.74059826620185043</v>
      </c>
      <c r="Y164" s="920">
        <f t="shared" si="47"/>
        <v>0.37029913310092522</v>
      </c>
      <c r="Z164" s="920">
        <f t="shared" si="47"/>
        <v>0.27772434982569388</v>
      </c>
      <c r="AA164" s="920">
        <f t="shared" si="47"/>
        <v>0.18514956655046261</v>
      </c>
      <c r="AB164" s="1029">
        <f t="shared" si="47"/>
        <v>0.13886217491284694</v>
      </c>
      <c r="AD164" s="1467"/>
    </row>
    <row r="165" spans="2:30" outlineLevel="1" x14ac:dyDescent="0.4">
      <c r="B165" s="1429"/>
      <c r="C165" s="1155" t="s">
        <v>1490</v>
      </c>
      <c r="D165" s="1156"/>
      <c r="E165" s="847" t="s">
        <v>3</v>
      </c>
      <c r="F165" s="459">
        <f t="shared" si="45"/>
        <v>2.5400000000000005</v>
      </c>
      <c r="G165" s="385">
        <f>IF(T165&lt;0,F165+G164+(-T165),F165+G164)</f>
        <v>7.2494444444444444</v>
      </c>
      <c r="H165" s="575"/>
      <c r="I165" s="580" t="str">
        <f>IF(E165="operation",VLOOKUP(H165,'Generic Vertical Port Tasks'!$C$4:$D$189,2,FALSE),"N/A")</f>
        <v>N/A</v>
      </c>
      <c r="J165" s="575"/>
      <c r="K165" s="573"/>
      <c r="L165" s="573"/>
      <c r="M165" s="853" t="str">
        <f>IFERROR(INDEX('Upper Cask Movement &amp; Logistics'!$I$24:$O$30,MATCH($K165,'Upper Cask Movement &amp; Logistics'!$H$24:$H$30,0),MATCH($L165,'Upper Cask Movement &amp; Logistics'!$H$24:$H$30,0)),"N/A")</f>
        <v>N/A</v>
      </c>
      <c r="N165" s="853" t="str">
        <f>IFERROR(VLOOKUP($J165,'Upper Cask Movement &amp; Logistics'!$H$3:$I$8,2,FALSE),"N/A")</f>
        <v>N/A</v>
      </c>
      <c r="O165" s="580" t="str">
        <f t="shared" si="46"/>
        <v>N/A</v>
      </c>
      <c r="P165" s="575" t="s">
        <v>1483</v>
      </c>
      <c r="Q165" s="576">
        <f>IF($E165="Logistics",VLOOKUP($P165,'Upper Cask Movement &amp; Logistics'!$C$2:$D$81,2,FALSE),"N/A")</f>
        <v>2.5400000000000005</v>
      </c>
      <c r="R165" s="1449"/>
      <c r="S165" s="853" t="str">
        <f>IFERROR(VLOOKUP($R165,'Upper Cask Recovery Logistics'!$C$5:$F$26,4,FALSE),"N/A")</f>
        <v>N/A</v>
      </c>
      <c r="T165" s="576" t="str">
        <f>IFERROR(G164-S165,"N/A")</f>
        <v>N/A</v>
      </c>
      <c r="U165" s="947"/>
      <c r="V165" s="2999" t="s">
        <v>1048</v>
      </c>
      <c r="W165" s="1082">
        <f t="shared" ref="W165:AB165" si="48">W164*(SUMIF($E$162:$E$167,"Operation",$F$162:$F$167))</f>
        <v>0.13886217491284697</v>
      </c>
      <c r="X165" s="1083">
        <f t="shared" si="48"/>
        <v>2.2217947986055515</v>
      </c>
      <c r="Y165" s="1084">
        <f t="shared" si="48"/>
        <v>1.1108973993027758</v>
      </c>
      <c r="Z165" s="1084">
        <f t="shared" si="48"/>
        <v>0.83317304947708171</v>
      </c>
      <c r="AA165" s="1084">
        <f t="shared" si="48"/>
        <v>0.55544869965138788</v>
      </c>
      <c r="AB165" s="1085">
        <f t="shared" si="48"/>
        <v>0.41658652473854085</v>
      </c>
      <c r="AD165" s="1467"/>
    </row>
    <row r="166" spans="2:30" outlineLevel="1" x14ac:dyDescent="0.4">
      <c r="B166" s="1429"/>
      <c r="C166" s="1468" t="s">
        <v>1507</v>
      </c>
      <c r="D166" s="1156"/>
      <c r="E166" s="847" t="s">
        <v>3</v>
      </c>
      <c r="F166" s="459">
        <f t="shared" si="45"/>
        <v>2.5400000000000005</v>
      </c>
      <c r="G166" s="385">
        <f>IF(T166&lt;0,F166+G165+(-T166),F166+G165)</f>
        <v>9.7894444444444453</v>
      </c>
      <c r="H166" s="575"/>
      <c r="I166" s="580" t="str">
        <f>IF(E166="operation",VLOOKUP(H166,'Generic Vertical Port Tasks'!$C$4:$D$189,2,FALSE),"N/A")</f>
        <v>N/A</v>
      </c>
      <c r="J166" s="575"/>
      <c r="K166" s="573"/>
      <c r="L166" s="573"/>
      <c r="M166" s="853" t="str">
        <f>IFERROR(INDEX('Upper Cask Movement &amp; Logistics'!$I$24:$O$30,MATCH($K166,'Upper Cask Movement &amp; Logistics'!$H$24:$H$30,0),MATCH($L166,'Upper Cask Movement &amp; Logistics'!$H$24:$H$30,0)),"N/A")</f>
        <v>N/A</v>
      </c>
      <c r="N166" s="853" t="str">
        <f>IFERROR(VLOOKUP($J166,'Upper Cask Movement &amp; Logistics'!$H$3:$I$8,2,FALSE),"N/A")</f>
        <v>N/A</v>
      </c>
      <c r="O166" s="580" t="str">
        <f t="shared" si="46"/>
        <v>N/A</v>
      </c>
      <c r="P166" s="575" t="s">
        <v>1291</v>
      </c>
      <c r="Q166" s="576">
        <f>IF($E166="Logistics",VLOOKUP($P166,'Upper Cask Movement &amp; Logistics'!$C$2:$D$81,2,FALSE),"N/A")</f>
        <v>2.5400000000000005</v>
      </c>
      <c r="R166" s="1449"/>
      <c r="S166" s="853" t="str">
        <f>IFERROR(VLOOKUP($R166,'Upper Cask Recovery Logistics'!$C$5:$F$26,4,FALSE),"N/A")</f>
        <v>N/A</v>
      </c>
      <c r="T166" s="576" t="str">
        <f>IFERROR(G165-S166,"N/A")</f>
        <v>N/A</v>
      </c>
      <c r="U166" s="947"/>
      <c r="V166" s="2997" t="s">
        <v>2658</v>
      </c>
      <c r="W166" s="1086">
        <f t="shared" ref="W166:AB166" si="49">W164*(SUMIF($E$162:$E$167,"Movement",$F$162:$F$167)+(SUMIF($E$162:$E$167,"Logistics",$F$162:$F$167)))</f>
        <v>0.39017699628752356</v>
      </c>
      <c r="X166" s="1087">
        <f t="shared" si="49"/>
        <v>6.2428319406003769</v>
      </c>
      <c r="Y166" s="915">
        <f t="shared" si="49"/>
        <v>3.1214159703001885</v>
      </c>
      <c r="Z166" s="915">
        <f t="shared" si="49"/>
        <v>2.3410619777251411</v>
      </c>
      <c r="AA166" s="915">
        <f t="shared" si="49"/>
        <v>1.5607079851500942</v>
      </c>
      <c r="AB166" s="1088">
        <f t="shared" si="49"/>
        <v>1.1705309888625706</v>
      </c>
      <c r="AD166" s="1467"/>
    </row>
    <row r="167" spans="2:30" ht="15" outlineLevel="1" thickBot="1" x14ac:dyDescent="0.45">
      <c r="B167" s="1429"/>
      <c r="C167" s="1486" t="s">
        <v>1508</v>
      </c>
      <c r="D167" s="808"/>
      <c r="E167" s="808" t="s">
        <v>3</v>
      </c>
      <c r="F167" s="467">
        <f t="shared" si="45"/>
        <v>1.6400000000000001</v>
      </c>
      <c r="G167" s="350">
        <f>IF(T167&lt;0,F167+G166+(-T167),F167+G166)</f>
        <v>11.429444444444446</v>
      </c>
      <c r="H167" s="586"/>
      <c r="I167" s="580" t="str">
        <f>IF(E167="operation",VLOOKUP(H167,'Generic Vertical Port Tasks'!$C$4:$D$189,2,FALSE),"N/A")</f>
        <v>N/A</v>
      </c>
      <c r="J167" s="586"/>
      <c r="K167" s="584"/>
      <c r="L167" s="584"/>
      <c r="M167" s="814" t="str">
        <f>IFERROR(INDEX('Upper Cask Movement &amp; Logistics'!$I$24:$O$30,MATCH($K167,'Upper Cask Movement &amp; Logistics'!$H$24:$H$30,0),MATCH($L167,'Upper Cask Movement &amp; Logistics'!$H$24:$H$30,0)),"N/A")</f>
        <v>N/A</v>
      </c>
      <c r="N167" s="814" t="str">
        <f>IFERROR(VLOOKUP($J167,'Upper Cask Movement &amp; Logistics'!$H$3:$I$8,2,FALSE),"N/A")</f>
        <v>N/A</v>
      </c>
      <c r="O167" s="591" t="str">
        <f t="shared" si="46"/>
        <v>N/A</v>
      </c>
      <c r="P167" s="586" t="s">
        <v>1224</v>
      </c>
      <c r="Q167" s="587">
        <f>IF($E167="Logistics",VLOOKUP($P167,'Upper Cask Movement &amp; Logistics'!$C$2:$D$81,2,FALSE),"N/A")</f>
        <v>1.6400000000000001</v>
      </c>
      <c r="R167" s="1450"/>
      <c r="S167" s="814" t="str">
        <f>IFERROR(VLOOKUP($R167,'Upper Cask Recovery Logistics'!$C$5:$F$26,4,FALSE),"N/A")</f>
        <v>N/A</v>
      </c>
      <c r="T167" s="587" t="str">
        <f>IFERROR(G166-S167,"N/A")</f>
        <v>N/A</v>
      </c>
      <c r="U167" s="947"/>
      <c r="V167" s="3000" t="s">
        <v>2663</v>
      </c>
      <c r="W167" s="1089">
        <f t="shared" ref="W167:AB167" si="50">W164*(-SUMIF($T$162:$T$167,"&lt;0"))</f>
        <v>0</v>
      </c>
      <c r="X167" s="1090">
        <f t="shared" si="50"/>
        <v>0</v>
      </c>
      <c r="Y167" s="1091">
        <f t="shared" si="50"/>
        <v>0</v>
      </c>
      <c r="Z167" s="1091">
        <f t="shared" si="50"/>
        <v>0</v>
      </c>
      <c r="AA167" s="1091">
        <f t="shared" si="50"/>
        <v>0</v>
      </c>
      <c r="AB167" s="1092">
        <f t="shared" si="50"/>
        <v>0</v>
      </c>
      <c r="AD167" s="1467"/>
    </row>
    <row r="168" spans="2:30" ht="15" outlineLevel="1" thickBot="1" x14ac:dyDescent="0.45">
      <c r="B168" s="1429"/>
      <c r="C168" s="5"/>
      <c r="D168" s="892"/>
      <c r="E168" s="1439" t="s">
        <v>11</v>
      </c>
      <c r="F168" s="1439"/>
      <c r="G168" s="894">
        <f>G167</f>
        <v>11.429444444444446</v>
      </c>
      <c r="H168" s="94"/>
      <c r="I168" s="895"/>
      <c r="J168" s="94"/>
      <c r="K168" s="94"/>
      <c r="L168" s="94"/>
      <c r="M168" s="897"/>
      <c r="N168" s="897"/>
      <c r="O168" s="895"/>
      <c r="P168" s="94"/>
      <c r="Q168" s="897"/>
      <c r="R168" s="1444"/>
      <c r="S168" s="897"/>
      <c r="T168" s="897"/>
      <c r="U168" s="897"/>
      <c r="V168" s="3001" t="s">
        <v>2667</v>
      </c>
      <c r="W168" s="2993">
        <f t="shared" ref="W168:AB168" si="51">W164*$G$168</f>
        <v>0.52903917120037047</v>
      </c>
      <c r="X168" s="3593">
        <f t="shared" si="51"/>
        <v>8.4646267392059276</v>
      </c>
      <c r="Y168" s="3592">
        <f t="shared" si="51"/>
        <v>4.2323133696029638</v>
      </c>
      <c r="Z168" s="3592">
        <f t="shared" si="51"/>
        <v>3.1742350272022226</v>
      </c>
      <c r="AA168" s="3592">
        <f t="shared" si="51"/>
        <v>2.1161566848014819</v>
      </c>
      <c r="AB168" s="2974">
        <f t="shared" si="51"/>
        <v>1.5871175136011113</v>
      </c>
      <c r="AD168" s="1467"/>
    </row>
    <row r="169" spans="2:30" outlineLevel="1" x14ac:dyDescent="0.4">
      <c r="B169" s="1429"/>
      <c r="C169" s="705"/>
      <c r="D169" s="7"/>
      <c r="E169" s="7"/>
      <c r="F169" s="894"/>
      <c r="G169" s="894"/>
      <c r="H169" s="94"/>
      <c r="I169" s="895"/>
      <c r="J169" s="94"/>
      <c r="K169" s="94"/>
      <c r="L169" s="94"/>
      <c r="M169" s="897"/>
      <c r="N169" s="897"/>
      <c r="O169" s="895"/>
      <c r="P169" s="94"/>
      <c r="Q169" s="897"/>
      <c r="R169" s="1444"/>
      <c r="S169" s="897"/>
      <c r="T169" s="897"/>
      <c r="U169" s="5"/>
      <c r="AD169" s="1467"/>
    </row>
    <row r="170" spans="2:30" outlineLevel="1" x14ac:dyDescent="0.4">
      <c r="B170" s="1429"/>
      <c r="C170" s="1144"/>
      <c r="D170" s="892"/>
      <c r="E170" s="892"/>
      <c r="F170" s="894"/>
      <c r="G170" s="894"/>
      <c r="H170" s="94"/>
      <c r="I170" s="895"/>
      <c r="J170" s="94"/>
      <c r="K170" s="94"/>
      <c r="L170" s="94"/>
      <c r="M170" s="897"/>
      <c r="N170" s="897"/>
      <c r="O170" s="895"/>
      <c r="P170" s="94"/>
      <c r="Q170" s="897"/>
      <c r="R170" s="1444"/>
      <c r="S170" s="897"/>
      <c r="T170" s="897"/>
      <c r="U170" s="7"/>
      <c r="AD170" s="1467"/>
    </row>
    <row r="171" spans="2:30" outlineLevel="1" x14ac:dyDescent="0.4">
      <c r="B171" s="1429"/>
      <c r="C171" s="1144"/>
      <c r="D171" s="1483"/>
      <c r="E171" s="1483"/>
      <c r="F171" s="894"/>
      <c r="G171" s="894"/>
      <c r="H171" s="94"/>
      <c r="I171" s="895"/>
      <c r="J171" s="94"/>
      <c r="K171" s="94"/>
      <c r="L171" s="94"/>
      <c r="M171" s="897"/>
      <c r="N171" s="897"/>
      <c r="O171" s="895"/>
      <c r="P171" s="94"/>
      <c r="Q171" s="897"/>
      <c r="R171" s="1444"/>
      <c r="S171" s="897"/>
      <c r="T171" s="897"/>
      <c r="U171" s="7"/>
      <c r="AC171" s="290"/>
      <c r="AD171" s="1467"/>
    </row>
    <row r="172" spans="2:30" outlineLevel="1" x14ac:dyDescent="0.4">
      <c r="B172" s="1429"/>
      <c r="C172" s="5"/>
      <c r="D172" s="1139"/>
      <c r="E172" s="1140"/>
      <c r="F172" s="1139"/>
      <c r="G172" s="1139"/>
      <c r="H172" s="1139"/>
      <c r="I172" s="1140"/>
      <c r="J172" s="1139"/>
      <c r="K172" s="1139"/>
      <c r="L172" s="1139"/>
      <c r="M172" s="1139"/>
      <c r="N172" s="1139"/>
      <c r="O172" s="1139"/>
      <c r="P172" s="1141"/>
      <c r="Q172" s="7"/>
      <c r="R172" s="1413"/>
      <c r="S172" s="7"/>
      <c r="T172" s="7"/>
      <c r="U172" s="7"/>
      <c r="AC172" s="290"/>
      <c r="AD172" s="1467"/>
    </row>
    <row r="173" spans="2:30" outlineLevel="1" x14ac:dyDescent="0.4">
      <c r="B173" s="1440"/>
      <c r="C173" s="1015"/>
      <c r="D173" s="1015"/>
      <c r="E173" s="1015"/>
      <c r="F173" s="1015"/>
      <c r="G173" s="1015"/>
      <c r="H173" s="1015"/>
      <c r="I173" s="1018"/>
      <c r="J173" s="1015"/>
      <c r="K173" s="1015"/>
      <c r="L173" s="1015"/>
      <c r="M173" s="1015"/>
      <c r="N173" s="1015"/>
      <c r="O173" s="1015"/>
      <c r="P173" s="1015"/>
      <c r="Q173" s="1015"/>
      <c r="R173" s="1451"/>
      <c r="S173" s="1015"/>
      <c r="T173" s="1015"/>
      <c r="U173" s="1015"/>
      <c r="V173" s="3011"/>
      <c r="W173" s="1015"/>
      <c r="X173" s="1015"/>
      <c r="Y173" s="1015"/>
      <c r="Z173" s="1015"/>
      <c r="AA173" s="1015"/>
      <c r="AB173" s="1015"/>
      <c r="AC173" s="1015"/>
      <c r="AD173" s="289"/>
    </row>
    <row r="174" spans="2:30" x14ac:dyDescent="0.4">
      <c r="C174" s="7"/>
    </row>
    <row r="175" spans="2:30" ht="15.45" x14ac:dyDescent="0.4">
      <c r="B175" s="1425"/>
      <c r="C175" s="2420" t="s">
        <v>1154</v>
      </c>
      <c r="D175" s="2420"/>
      <c r="E175" s="2420"/>
      <c r="F175" s="2420"/>
      <c r="G175" s="2420"/>
      <c r="H175" s="2420"/>
      <c r="I175" s="2420"/>
      <c r="J175" s="2420"/>
      <c r="K175" s="2420"/>
      <c r="L175" s="2420"/>
      <c r="M175" s="2420"/>
      <c r="N175" s="2420"/>
      <c r="O175" s="2420"/>
      <c r="P175" s="2420"/>
      <c r="Q175" s="2420"/>
      <c r="R175" s="2420"/>
      <c r="S175" s="2420"/>
      <c r="T175" s="2420"/>
      <c r="U175" s="2420"/>
      <c r="V175" s="3012"/>
      <c r="W175" s="2420"/>
      <c r="X175" s="2420"/>
      <c r="Y175" s="2420"/>
      <c r="Z175" s="2420"/>
      <c r="AA175" s="2420"/>
      <c r="AB175" s="2421"/>
      <c r="AC175" s="8"/>
    </row>
    <row r="176" spans="2:30" x14ac:dyDescent="0.4">
      <c r="B176" s="1429"/>
      <c r="C176" s="748" t="s">
        <v>1053</v>
      </c>
      <c r="D176" s="706"/>
      <c r="E176" s="706"/>
      <c r="F176" s="706"/>
      <c r="G176" s="706"/>
      <c r="H176" s="706"/>
      <c r="I176" s="1117"/>
      <c r="J176" s="706"/>
      <c r="K176" s="706"/>
      <c r="L176" s="706"/>
      <c r="M176" s="706"/>
      <c r="N176" s="706"/>
      <c r="O176" s="706"/>
      <c r="P176" s="706"/>
      <c r="Q176" s="7"/>
      <c r="R176" s="7"/>
      <c r="S176" s="7"/>
      <c r="T176" s="7"/>
      <c r="U176" s="7"/>
      <c r="V176" s="3003"/>
      <c r="W176" s="290"/>
      <c r="X176" s="290"/>
      <c r="Y176" s="290"/>
      <c r="Z176" s="290"/>
      <c r="AA176" s="290"/>
      <c r="AB176" s="915"/>
      <c r="AC176" s="8"/>
    </row>
    <row r="177" spans="2:30" x14ac:dyDescent="0.4">
      <c r="B177" s="1429"/>
      <c r="C177" s="700" t="s">
        <v>1124</v>
      </c>
      <c r="D177" s="706"/>
      <c r="E177" s="706"/>
      <c r="F177" s="706"/>
      <c r="G177" s="706"/>
      <c r="H177" s="706"/>
      <c r="I177" s="1117"/>
      <c r="J177" s="706"/>
      <c r="K177" s="706"/>
      <c r="L177" s="706"/>
      <c r="M177" s="706"/>
      <c r="N177" s="706"/>
      <c r="O177" s="706"/>
      <c r="P177" s="706"/>
      <c r="Q177" s="7"/>
      <c r="R177" s="7"/>
      <c r="S177" s="7"/>
      <c r="T177" s="7"/>
      <c r="U177" s="7"/>
      <c r="V177" s="3003"/>
      <c r="W177" s="290"/>
      <c r="X177" s="290"/>
      <c r="Y177" s="290"/>
      <c r="Z177" s="290"/>
      <c r="AA177" s="290"/>
      <c r="AB177" s="915"/>
      <c r="AC177" s="8"/>
    </row>
    <row r="178" spans="2:30" x14ac:dyDescent="0.4">
      <c r="B178" s="1429"/>
      <c r="C178" t="s">
        <v>1155</v>
      </c>
      <c r="D178" s="706"/>
      <c r="E178" s="706"/>
      <c r="F178" s="706"/>
      <c r="G178" s="706"/>
      <c r="H178" s="706"/>
      <c r="I178" s="1117"/>
      <c r="J178" s="706"/>
      <c r="K178" s="706"/>
      <c r="L178" s="706"/>
      <c r="M178" s="706"/>
      <c r="N178" s="706"/>
      <c r="O178" s="706"/>
      <c r="P178" s="706"/>
      <c r="Q178" s="7"/>
      <c r="R178" s="7"/>
      <c r="S178" s="7"/>
      <c r="T178" s="7"/>
      <c r="U178" s="7"/>
      <c r="V178" s="3003"/>
      <c r="W178" s="290"/>
      <c r="X178" s="290"/>
      <c r="Y178" s="290"/>
      <c r="Z178" s="290"/>
      <c r="AA178" s="290"/>
      <c r="AB178" s="915"/>
      <c r="AC178" s="8"/>
    </row>
    <row r="179" spans="2:30" x14ac:dyDescent="0.4">
      <c r="B179" s="1429"/>
      <c r="C179" s="700" t="s">
        <v>1125</v>
      </c>
      <c r="D179" s="706"/>
      <c r="E179" s="706"/>
      <c r="F179" s="706"/>
      <c r="G179" s="706"/>
      <c r="H179" s="706"/>
      <c r="I179" s="1117"/>
      <c r="J179" s="706"/>
      <c r="K179" s="706"/>
      <c r="L179" s="706"/>
      <c r="M179" s="706"/>
      <c r="N179" s="706"/>
      <c r="O179" s="706"/>
      <c r="P179" s="706"/>
      <c r="Q179" s="7"/>
      <c r="R179" s="7"/>
      <c r="S179" s="7"/>
      <c r="T179" s="7"/>
      <c r="U179" s="7"/>
      <c r="V179" s="3003"/>
      <c r="W179" s="290"/>
      <c r="X179" s="290"/>
      <c r="Y179" s="290"/>
      <c r="Z179" s="290"/>
      <c r="AA179" s="290"/>
      <c r="AB179" s="915"/>
      <c r="AC179" s="8"/>
    </row>
    <row r="180" spans="2:30" x14ac:dyDescent="0.4">
      <c r="B180" s="1429"/>
      <c r="C180" s="700" t="s">
        <v>1156</v>
      </c>
      <c r="D180" s="706"/>
      <c r="E180" s="706"/>
      <c r="F180" s="706"/>
      <c r="G180" s="706"/>
      <c r="H180" s="706"/>
      <c r="I180" s="1117"/>
      <c r="J180" s="706"/>
      <c r="K180" s="706"/>
      <c r="L180" s="706"/>
      <c r="M180" s="706"/>
      <c r="N180" s="706"/>
      <c r="O180" s="706"/>
      <c r="P180" s="706"/>
      <c r="Q180" s="7"/>
      <c r="R180" s="7"/>
      <c r="S180" s="7"/>
      <c r="T180" s="7"/>
      <c r="U180" s="7"/>
      <c r="V180" s="3003"/>
      <c r="W180" s="290"/>
      <c r="X180" s="290"/>
      <c r="Y180" s="290"/>
      <c r="Z180" s="290"/>
      <c r="AA180" s="290"/>
      <c r="AB180" s="915"/>
      <c r="AC180" s="8"/>
    </row>
    <row r="181" spans="2:30" x14ac:dyDescent="0.4">
      <c r="B181" s="1429"/>
      <c r="C181" s="700"/>
      <c r="D181" s="706"/>
      <c r="E181" s="706"/>
      <c r="F181" s="706"/>
      <c r="G181" s="706"/>
      <c r="H181" s="706"/>
      <c r="I181" s="1117"/>
      <c r="J181" s="706"/>
      <c r="K181" s="706"/>
      <c r="L181" s="706"/>
      <c r="M181" s="706"/>
      <c r="N181" s="706"/>
      <c r="O181" s="706"/>
      <c r="P181" s="706"/>
      <c r="Q181" s="7"/>
      <c r="R181" s="7"/>
      <c r="S181" s="7"/>
      <c r="T181" s="7"/>
      <c r="U181" s="7"/>
      <c r="V181" s="3003"/>
      <c r="W181" s="290"/>
      <c r="X181" s="290"/>
      <c r="Y181" s="290"/>
      <c r="Z181" s="290"/>
      <c r="AA181" s="290"/>
      <c r="AB181" s="915"/>
      <c r="AC181" s="8"/>
    </row>
    <row r="182" spans="2:30" ht="15" thickBot="1" x14ac:dyDescent="0.45">
      <c r="B182" s="1429"/>
      <c r="C182" s="748" t="s">
        <v>1056</v>
      </c>
      <c r="D182" s="927">
        <f>SUM(D183)</f>
        <v>0.05</v>
      </c>
      <c r="E182" s="918"/>
      <c r="F182" s="918"/>
      <c r="G182" s="918"/>
      <c r="H182" s="918"/>
      <c r="I182" s="919"/>
      <c r="J182" s="918"/>
      <c r="K182" s="918"/>
      <c r="L182" s="918"/>
      <c r="M182" s="918"/>
      <c r="N182" s="918"/>
      <c r="O182" s="918"/>
      <c r="P182" s="706"/>
      <c r="Q182" s="7"/>
      <c r="R182" s="7"/>
      <c r="S182" s="7"/>
      <c r="T182" s="7"/>
      <c r="U182" s="7"/>
      <c r="V182" s="3003"/>
      <c r="W182" s="290"/>
      <c r="X182" s="290"/>
      <c r="Y182" s="290"/>
      <c r="Z182" s="290"/>
      <c r="AA182" s="290"/>
      <c r="AB182" s="915"/>
      <c r="AC182" s="8"/>
    </row>
    <row r="183" spans="2:30" x14ac:dyDescent="0.4">
      <c r="B183" s="1429"/>
      <c r="C183" s="7" t="s">
        <v>1157</v>
      </c>
      <c r="D183" s="283">
        <f>total_BT_failure</f>
        <v>0.05</v>
      </c>
      <c r="E183" s="922"/>
      <c r="F183" s="922"/>
      <c r="G183" s="922"/>
      <c r="H183" s="918"/>
      <c r="I183" s="919"/>
      <c r="J183" s="918"/>
      <c r="K183" s="918"/>
      <c r="L183" s="918"/>
      <c r="M183" s="918"/>
      <c r="N183" s="918"/>
      <c r="O183" s="918"/>
      <c r="P183" s="706"/>
      <c r="Q183" s="7"/>
      <c r="R183" s="7"/>
      <c r="S183" s="7"/>
      <c r="T183" s="7"/>
      <c r="U183" s="7"/>
      <c r="V183" s="3013" t="s">
        <v>1154</v>
      </c>
      <c r="W183" s="1119"/>
      <c r="X183" s="1027"/>
      <c r="Y183" s="1120"/>
      <c r="Z183" s="1120"/>
      <c r="AA183" s="1120"/>
      <c r="AB183" s="1121"/>
      <c r="AC183" s="8"/>
    </row>
    <row r="184" spans="2:30" ht="15" thickBot="1" x14ac:dyDescent="0.45">
      <c r="B184" s="1429"/>
      <c r="C184" s="7"/>
      <c r="D184" s="922"/>
      <c r="E184" s="922"/>
      <c r="F184" s="922"/>
      <c r="G184" s="922"/>
      <c r="H184" s="918"/>
      <c r="I184" s="919"/>
      <c r="J184" s="918"/>
      <c r="K184" s="918"/>
      <c r="L184" s="918"/>
      <c r="M184" s="918"/>
      <c r="N184" s="918"/>
      <c r="O184" s="918"/>
      <c r="P184" s="706"/>
      <c r="Q184" s="7"/>
      <c r="R184" s="7"/>
      <c r="S184" s="7"/>
      <c r="T184" s="7"/>
      <c r="U184" s="7"/>
      <c r="V184" s="3008" t="s">
        <v>1055</v>
      </c>
      <c r="W184" s="1122">
        <v>1</v>
      </c>
      <c r="X184" s="1512">
        <v>1</v>
      </c>
      <c r="Y184" s="916">
        <v>2</v>
      </c>
      <c r="Z184" s="916">
        <v>3</v>
      </c>
      <c r="AA184" s="916">
        <v>4</v>
      </c>
      <c r="AB184" s="1045">
        <v>6</v>
      </c>
      <c r="AC184" s="8"/>
    </row>
    <row r="185" spans="2:30" ht="15" thickBot="1" x14ac:dyDescent="0.45">
      <c r="B185" s="1429"/>
      <c r="C185" s="7"/>
      <c r="D185" s="7"/>
      <c r="E185" s="7"/>
      <c r="F185" s="7"/>
      <c r="G185" s="1150"/>
      <c r="H185" s="3836" t="s">
        <v>18</v>
      </c>
      <c r="I185" s="3837"/>
      <c r="J185" s="3793" t="s">
        <v>778</v>
      </c>
      <c r="K185" s="3794"/>
      <c r="L185" s="3794"/>
      <c r="M185" s="3794"/>
      <c r="N185" s="3794"/>
      <c r="O185" s="3795"/>
      <c r="P185" s="3793" t="s">
        <v>3</v>
      </c>
      <c r="Q185" s="3795"/>
      <c r="R185" s="3838" t="s">
        <v>779</v>
      </c>
      <c r="S185" s="3839"/>
      <c r="T185" s="3840"/>
      <c r="U185" s="938"/>
      <c r="V185" s="2997" t="s">
        <v>1158</v>
      </c>
      <c r="W185" s="1086">
        <f>SUM('Upper Cask Critical Path'!$E$114:$E$130)</f>
        <v>38.169999999999995</v>
      </c>
      <c r="X185" s="1415">
        <f>SUM('Upper Cask Critical Path'!$E$114:$E$130)</f>
        <v>38.169999999999995</v>
      </c>
      <c r="Y185" s="917">
        <f>SUM('Upper Cask Critical Path'!$E$114:$E$130)</f>
        <v>38.169999999999995</v>
      </c>
      <c r="Z185" s="917">
        <f>SUM('Upper Cask Critical Path'!$E$114:$E$130)</f>
        <v>38.169999999999995</v>
      </c>
      <c r="AA185" s="917">
        <f>SUM('Upper Cask Critical Path'!$E$114:$E$130)</f>
        <v>38.169999999999995</v>
      </c>
      <c r="AB185" s="1028">
        <f>SUM('Upper Cask Critical Path'!$E$114:$E$130)</f>
        <v>38.169999999999995</v>
      </c>
      <c r="AC185" s="8"/>
    </row>
    <row r="186" spans="2:30" ht="15" thickBot="1" x14ac:dyDescent="0.45">
      <c r="B186" s="1429"/>
      <c r="C186" s="565" t="s">
        <v>1129</v>
      </c>
      <c r="D186" s="559" t="s">
        <v>1061</v>
      </c>
      <c r="E186" s="563" t="s">
        <v>782</v>
      </c>
      <c r="F186" s="942" t="s">
        <v>783</v>
      </c>
      <c r="G186" s="1151" t="s">
        <v>784</v>
      </c>
      <c r="H186" s="562" t="s">
        <v>785</v>
      </c>
      <c r="I186" s="944" t="s">
        <v>783</v>
      </c>
      <c r="J186" s="562" t="s">
        <v>786</v>
      </c>
      <c r="K186" s="563" t="s">
        <v>787</v>
      </c>
      <c r="L186" s="563" t="s">
        <v>788</v>
      </c>
      <c r="M186" s="563" t="s">
        <v>789</v>
      </c>
      <c r="N186" s="563" t="s">
        <v>790</v>
      </c>
      <c r="O186" s="945" t="s">
        <v>783</v>
      </c>
      <c r="P186" s="560" t="s">
        <v>785</v>
      </c>
      <c r="Q186" s="1152" t="s">
        <v>783</v>
      </c>
      <c r="R186" s="782" t="s">
        <v>781</v>
      </c>
      <c r="S186" s="786" t="s">
        <v>791</v>
      </c>
      <c r="T186" s="787" t="s">
        <v>792</v>
      </c>
      <c r="U186" s="947"/>
      <c r="V186" s="2997" t="s">
        <v>1159</v>
      </c>
      <c r="W186" s="1086">
        <f>SUM('Upper Cask Critical Path'!$E$141:$E$158)</f>
        <v>30.87</v>
      </c>
      <c r="X186" s="1415">
        <f>SUM('Upper Cask Critical Path'!$E$141:$E$158)</f>
        <v>30.87</v>
      </c>
      <c r="Y186" s="917">
        <f>SUM('Upper Cask Critical Path'!$E$141:$E$158)</f>
        <v>30.87</v>
      </c>
      <c r="Z186" s="917">
        <f>SUM('Upper Cask Critical Path'!$E$141:$E$158)</f>
        <v>30.87</v>
      </c>
      <c r="AA186" s="917">
        <f>SUM('Upper Cask Critical Path'!$E$141:$E$158)</f>
        <v>30.87</v>
      </c>
      <c r="AB186" s="1028">
        <f>SUM('Upper Cask Critical Path'!$E$141:$E$158)</f>
        <v>30.87</v>
      </c>
      <c r="AC186" s="8"/>
    </row>
    <row r="187" spans="2:30" outlineLevel="1" x14ac:dyDescent="0.4">
      <c r="B187" s="1429"/>
      <c r="C187" s="1468" t="s">
        <v>1160</v>
      </c>
      <c r="D187" s="1469"/>
      <c r="E187" s="847" t="s">
        <v>778</v>
      </c>
      <c r="F187" s="390">
        <f>MAX($Q187,$O187,$I187)</f>
        <v>6.9444444444444448E-2</v>
      </c>
      <c r="G187" s="517">
        <f>F187</f>
        <v>6.9444444444444448E-2</v>
      </c>
      <c r="H187" s="2407"/>
      <c r="I187" s="580" t="str">
        <f>IF(E187="operation",VLOOKUP(H187,'Generic Vertical Port Tasks'!$C$4:$D$189,2,FALSE),"N/A")</f>
        <v>N/A</v>
      </c>
      <c r="J187" s="2408" t="s">
        <v>1161</v>
      </c>
      <c r="K187" s="582" t="s">
        <v>799</v>
      </c>
      <c r="L187" s="582" t="s">
        <v>452</v>
      </c>
      <c r="M187" s="853">
        <f>IFERROR(INDEX('Upper Cask Movement &amp; Logistics'!$I$24:$O$30,MATCH($K187,'Upper Cask Movement &amp; Logistics'!$H$24:$H$30,0),MATCH($L187,'Upper Cask Movement &amp; Logistics'!$H$24:$H$30,0)),"N/A")</f>
        <v>50</v>
      </c>
      <c r="N187" s="852">
        <f>IFERROR(VLOOKUP($J187,'Upper Cask Movement &amp; Logistics'!$H$3:$I$8,2,FALSE),"N/A")</f>
        <v>0.2</v>
      </c>
      <c r="O187" s="580">
        <f>IF(E187="Movement",IFERROR((M187/N187)/(60*60),"Error"),"N/A")</f>
        <v>6.9444444444444448E-2</v>
      </c>
      <c r="P187" s="1470"/>
      <c r="Q187" s="628" t="str">
        <f>IF($E187="Logistics",VLOOKUP($P187,'Upper Cask Movement &amp; Logistics'!$C$2:$D$81,2,FALSE),"N/A")</f>
        <v>N/A</v>
      </c>
      <c r="R187" s="1471"/>
      <c r="S187" s="1472" t="str">
        <f>IFERROR(VLOOKUP($R187,'Upper Cask Recovery Logistics'!$C$5:$F$26,4,FALSE),"N/A")</f>
        <v>N/A</v>
      </c>
      <c r="T187" s="1473" t="str">
        <f>IFERROR(G187-F187-S187,"N/A")</f>
        <v>N/A</v>
      </c>
      <c r="U187" s="947"/>
      <c r="V187" s="2997" t="s">
        <v>2668</v>
      </c>
      <c r="W187" s="1086">
        <f>SUM(W185:W186)</f>
        <v>69.039999999999992</v>
      </c>
      <c r="X187" s="1415">
        <f>ROUNDUP(Tokamak_Segmts/X184,0)*SUM(X185:X186)</f>
        <v>1104.6399999999999</v>
      </c>
      <c r="Y187" s="917">
        <f>ROUNDUP(Tokamak_Segmts/Y184,0)*SUM(Y185:Y186)</f>
        <v>552.31999999999994</v>
      </c>
      <c r="Z187" s="917">
        <f>ROUNDUP(Tokamak_Segmts/Z184,0)*SUM(Z185:Z186)</f>
        <v>414.23999999999995</v>
      </c>
      <c r="AA187" s="917">
        <f>ROUNDUP(Tokamak_Segmts/AA184,0)*SUM(AA185:AA186)</f>
        <v>276.15999999999997</v>
      </c>
      <c r="AB187" s="1028">
        <f>ROUNDUP(Tokamak_Segmts/AB184,0)*SUM(AB185:AB186)</f>
        <v>207.11999999999998</v>
      </c>
      <c r="AD187" s="1467"/>
    </row>
    <row r="188" spans="2:30" ht="15" outlineLevel="1" thickBot="1" x14ac:dyDescent="0.45">
      <c r="B188" s="1429"/>
      <c r="C188" s="1155" t="s">
        <v>1162</v>
      </c>
      <c r="D188" s="1156"/>
      <c r="E188" s="1474" t="s">
        <v>3</v>
      </c>
      <c r="F188" s="1475">
        <f>MAX($Q188,$O188,$I188)</f>
        <v>1.6400000000000001</v>
      </c>
      <c r="G188" s="517">
        <f t="shared" ref="G188:G194" si="52">IF(T188&lt;0,F188+G187+(-T188),F188+G187)</f>
        <v>1.7094444444444445</v>
      </c>
      <c r="H188" s="2408"/>
      <c r="I188" s="1476" t="str">
        <f>IF(E188="operation",VLOOKUP(H188,'Generic Vertical Port Tasks'!$C$4:$D$189,2,FALSE),"N/A")</f>
        <v>N/A</v>
      </c>
      <c r="J188" s="1477"/>
      <c r="K188" s="1156"/>
      <c r="L188" s="1156"/>
      <c r="M188" s="1478" t="str">
        <f>IFERROR(INDEX('Upper Cask Movement &amp; Logistics'!$I$24:$O$30,MATCH($K188,'Upper Cask Movement &amp; Logistics'!$H$24:$H$30,0),MATCH($L188,'Upper Cask Movement &amp; Logistics'!$H$24:$H$30,0)),"N/A")</f>
        <v>N/A</v>
      </c>
      <c r="N188" s="1479" t="str">
        <f>IFERROR(VLOOKUP($J188,'Upper Cask Movement &amp; Logistics'!$H$3:$I$8,2,FALSE),"N/A")</f>
        <v>N/A</v>
      </c>
      <c r="O188" s="632" t="str">
        <f>IF(E188="Movement",IFERROR((M188/N188)/(60*60),"Error"),"N/A")</f>
        <v>N/A</v>
      </c>
      <c r="P188" s="1155" t="s">
        <v>1488</v>
      </c>
      <c r="Q188" s="628">
        <f>IF($E188="Logistics",VLOOKUP($P188,'Upper Cask Movement &amp; Logistics'!$C$2:$D$81,2,FALSE),"N/A")</f>
        <v>1.6400000000000001</v>
      </c>
      <c r="R188" s="1471"/>
      <c r="S188" s="1480" t="str">
        <f>IFERROR(VLOOKUP($R188,'Upper Cask Recovery Logistics'!$C$5:$F$26,4,FALSE),"N/A")</f>
        <v>N/A</v>
      </c>
      <c r="T188" s="1481" t="str">
        <f t="shared" ref="T188:T194" si="53">IFERROR(G187-S188,"N/A")</f>
        <v>N/A</v>
      </c>
      <c r="U188" s="947"/>
      <c r="V188" s="3141" t="s">
        <v>2693</v>
      </c>
      <c r="W188" s="1089">
        <f>W$187*$D$182</f>
        <v>3.452</v>
      </c>
      <c r="X188" s="1416">
        <f t="shared" ref="X188:AB188" si="54">X$187*$D$182</f>
        <v>55.231999999999999</v>
      </c>
      <c r="Y188" s="920">
        <f t="shared" si="54"/>
        <v>27.616</v>
      </c>
      <c r="Z188" s="920">
        <f t="shared" si="54"/>
        <v>20.712</v>
      </c>
      <c r="AA188" s="920">
        <f t="shared" si="54"/>
        <v>13.808</v>
      </c>
      <c r="AB188" s="1029">
        <f t="shared" si="54"/>
        <v>10.356</v>
      </c>
      <c r="AD188" s="1467"/>
    </row>
    <row r="189" spans="2:30" outlineLevel="1" x14ac:dyDescent="0.4">
      <c r="B189" s="1429"/>
      <c r="C189" s="1128" t="s">
        <v>1489</v>
      </c>
      <c r="D189" s="659"/>
      <c r="E189" s="659" t="s">
        <v>251</v>
      </c>
      <c r="F189" s="390">
        <f>MAX($Q189,$O189,$I189)</f>
        <v>3</v>
      </c>
      <c r="G189" s="517">
        <f t="shared" si="52"/>
        <v>4.7094444444444443</v>
      </c>
      <c r="H189" s="1131" t="s">
        <v>1135</v>
      </c>
      <c r="I189" s="580">
        <v>3</v>
      </c>
      <c r="J189" s="1131"/>
      <c r="K189" s="573"/>
      <c r="L189" s="573"/>
      <c r="M189" s="853" t="str">
        <f>IFERROR(INDEX('Upper Cask Movement &amp; Logistics'!$I$24:$O$30,MATCH($K189,'Upper Cask Movement &amp; Logistics'!$H$24:$H$30,0),MATCH($L189,'Upper Cask Movement &amp; Logistics'!$H$24:$H$30,0)),"N/A")</f>
        <v>N/A</v>
      </c>
      <c r="N189" s="852" t="str">
        <f>IFERROR(VLOOKUP($J189,'Upper Cask Movement &amp; Logistics'!$H$3:$I$8,2,FALSE),"N/A")</f>
        <v>N/A</v>
      </c>
      <c r="O189" s="580" t="str">
        <f t="shared" ref="O189:O194" si="55">IF(E189="Movement",IFERROR((M189/N189)/(60*60),"Error"),"N/A")</f>
        <v>N/A</v>
      </c>
      <c r="P189" s="2407"/>
      <c r="Q189" s="576" t="str">
        <f>IF($E189="Logistics",VLOOKUP($P189,'Upper Cask Movement &amp; Logistics'!$C$2:$D$81,2,FALSE),"N/A")</f>
        <v>N/A</v>
      </c>
      <c r="R189" s="1448"/>
      <c r="S189" s="320" t="str">
        <f>IFERROR(VLOOKUP($R189,'Upper Cask Recovery Logistics'!$C$5:$F$26,4,FALSE),"N/A")</f>
        <v>N/A</v>
      </c>
      <c r="T189" s="319" t="str">
        <f t="shared" si="53"/>
        <v>N/A</v>
      </c>
      <c r="U189" s="947"/>
      <c r="V189" s="2999" t="s">
        <v>1048</v>
      </c>
      <c r="W189" s="1082">
        <f t="shared" ref="W189:AB189" si="56">W188*(SUMIF($E$187:$E$194,"Operation",$F$187:$F$194))</f>
        <v>17.259999999999998</v>
      </c>
      <c r="X189" s="1083">
        <f t="shared" si="56"/>
        <v>276.15999999999997</v>
      </c>
      <c r="Y189" s="1084">
        <f t="shared" si="56"/>
        <v>138.07999999999998</v>
      </c>
      <c r="Z189" s="1084">
        <f t="shared" si="56"/>
        <v>103.56</v>
      </c>
      <c r="AA189" s="1084">
        <f t="shared" si="56"/>
        <v>69.039999999999992</v>
      </c>
      <c r="AB189" s="1085">
        <f t="shared" si="56"/>
        <v>51.78</v>
      </c>
      <c r="AD189" s="1467"/>
    </row>
    <row r="190" spans="2:30" outlineLevel="1" x14ac:dyDescent="0.4">
      <c r="B190" s="1429"/>
      <c r="C190" s="1155" t="s">
        <v>1490</v>
      </c>
      <c r="D190" s="1156"/>
      <c r="E190" s="847" t="s">
        <v>3</v>
      </c>
      <c r="F190" s="459">
        <f>MAX($Q190,$O190,$I190)</f>
        <v>2.5400000000000005</v>
      </c>
      <c r="G190" s="517">
        <f t="shared" si="52"/>
        <v>7.2494444444444444</v>
      </c>
      <c r="H190" s="2407"/>
      <c r="I190" s="580" t="str">
        <f>IF(E190="operation",VLOOKUP(H190,'Generic Vertical Port Tasks'!$C$4:$D$189,2,FALSE),"N/A")</f>
        <v>N/A</v>
      </c>
      <c r="J190" s="2407"/>
      <c r="K190" s="573"/>
      <c r="L190" s="573"/>
      <c r="M190" s="853" t="str">
        <f>IFERROR(INDEX('Upper Cask Movement &amp; Logistics'!$I$24:$O$30,MATCH($K190,'Upper Cask Movement &amp; Logistics'!$H$24:$H$30,0),MATCH($L190,'Upper Cask Movement &amp; Logistics'!$H$24:$H$30,0)),"N/A")</f>
        <v>N/A</v>
      </c>
      <c r="N190" s="853" t="str">
        <f>IFERROR(VLOOKUP($J190,'Upper Cask Movement &amp; Logistics'!$H$3:$I$8,2,FALSE),"N/A")</f>
        <v>N/A</v>
      </c>
      <c r="O190" s="580" t="str">
        <f t="shared" si="55"/>
        <v>N/A</v>
      </c>
      <c r="P190" s="2407" t="s">
        <v>1483</v>
      </c>
      <c r="Q190" s="576">
        <f>IF($E190="Logistics",VLOOKUP($P190,'Upper Cask Movement &amp; Logistics'!$C$2:$D$81,2,FALSE),"N/A")</f>
        <v>2.5400000000000005</v>
      </c>
      <c r="R190" s="1449"/>
      <c r="S190" s="853" t="str">
        <f>IFERROR(VLOOKUP($R190,'Upper Cask Recovery Logistics'!$C$5:$F$26,4,FALSE),"N/A")</f>
        <v>N/A</v>
      </c>
      <c r="T190" s="576" t="str">
        <f t="shared" si="53"/>
        <v>N/A</v>
      </c>
      <c r="U190" s="947"/>
      <c r="V190" s="2997" t="s">
        <v>2658</v>
      </c>
      <c r="W190" s="1086">
        <f t="shared" ref="W190:AB190" si="57">W188*(SUMIF($E$187:$E$194,"Movement",$F$187:$F$194)+(SUMIF($E$187:$E$194,"Logistics",$F$187:$F$194)))</f>
        <v>30.410202222222228</v>
      </c>
      <c r="X190" s="1087">
        <f t="shared" si="57"/>
        <v>486.56323555555565</v>
      </c>
      <c r="Y190" s="915">
        <f t="shared" si="57"/>
        <v>243.28161777777783</v>
      </c>
      <c r="Z190" s="915">
        <f t="shared" si="57"/>
        <v>182.46121333333338</v>
      </c>
      <c r="AA190" s="915">
        <f t="shared" si="57"/>
        <v>121.64080888888891</v>
      </c>
      <c r="AB190" s="1088">
        <f t="shared" si="57"/>
        <v>91.230606666666688</v>
      </c>
      <c r="AD190" s="1467"/>
    </row>
    <row r="191" spans="2:30" ht="15" outlineLevel="1" thickBot="1" x14ac:dyDescent="0.45">
      <c r="B191" s="1429"/>
      <c r="C191" s="1128" t="s">
        <v>1483</v>
      </c>
      <c r="D191" s="659"/>
      <c r="E191" s="659" t="s">
        <v>3</v>
      </c>
      <c r="F191" s="459">
        <f>MAX($Q191,$O191,$I191)</f>
        <v>2.5400000000000005</v>
      </c>
      <c r="G191" s="517">
        <f t="shared" si="52"/>
        <v>9.7894444444444453</v>
      </c>
      <c r="H191" s="1131"/>
      <c r="I191" s="850" t="str">
        <f>IF(E191="operation",VLOOKUP(H191,'Generic Vertical Port Tasks'!$C$4:$D$189,2,FALSE),"N/A")</f>
        <v>N/A</v>
      </c>
      <c r="J191" s="1131"/>
      <c r="K191" s="573"/>
      <c r="L191" s="573"/>
      <c r="M191" s="853" t="str">
        <f>IFERROR(INDEX('Upper Cask Movement &amp; Logistics'!$I$24:$O$30,MATCH($K191,'Upper Cask Movement &amp; Logistics'!$H$24:$H$30,0),MATCH($L191,'Upper Cask Movement &amp; Logistics'!$H$24:$H$30,0)),"N/A")</f>
        <v>N/A</v>
      </c>
      <c r="N191" s="852" t="str">
        <f>IFERROR(VLOOKUP($J191,'Upper Cask Movement &amp; Logistics'!$H$3:$I$8,2,FALSE),"N/A")</f>
        <v>N/A</v>
      </c>
      <c r="O191" s="580" t="str">
        <f t="shared" si="55"/>
        <v>N/A</v>
      </c>
      <c r="P191" s="2407" t="s">
        <v>1260</v>
      </c>
      <c r="Q191" s="576">
        <f>IF($E191="Logistics",VLOOKUP($P191,'Upper Cask Movement &amp; Logistics'!$C$2:$D$81,2,FALSE),"N/A")</f>
        <v>2.5400000000000005</v>
      </c>
      <c r="R191" s="1449"/>
      <c r="S191" s="1176" t="str">
        <f>IFERROR(VLOOKUP($R191,'Upper Cask Recovery Logistics'!$C$5:$F$26,4,FALSE),"N/A")</f>
        <v>N/A</v>
      </c>
      <c r="T191" s="580" t="str">
        <f t="shared" si="53"/>
        <v>N/A</v>
      </c>
      <c r="U191" s="947"/>
      <c r="V191" s="3000" t="s">
        <v>2663</v>
      </c>
      <c r="W191" s="1089">
        <f t="shared" ref="W191:AB191" si="58">W188*(-SUMIF($T$187:$T$194,"&lt;0"))</f>
        <v>0</v>
      </c>
      <c r="X191" s="1090">
        <f t="shared" si="58"/>
        <v>0</v>
      </c>
      <c r="Y191" s="1091">
        <f t="shared" si="58"/>
        <v>0</v>
      </c>
      <c r="Z191" s="1091">
        <f t="shared" si="58"/>
        <v>0</v>
      </c>
      <c r="AA191" s="1091">
        <f t="shared" si="58"/>
        <v>0</v>
      </c>
      <c r="AB191" s="1092">
        <f t="shared" si="58"/>
        <v>0</v>
      </c>
      <c r="AD191" s="1467"/>
    </row>
    <row r="192" spans="2:30" ht="15" outlineLevel="1" thickBot="1" x14ac:dyDescent="0.45">
      <c r="B192" s="1429"/>
      <c r="C192" s="1159" t="s">
        <v>1164</v>
      </c>
      <c r="D192" s="847" t="s">
        <v>1152</v>
      </c>
      <c r="E192" s="847" t="s">
        <v>251</v>
      </c>
      <c r="F192" s="459">
        <v>2</v>
      </c>
      <c r="G192" s="517">
        <f t="shared" si="52"/>
        <v>11.789444444444445</v>
      </c>
      <c r="H192" s="2407" t="s">
        <v>1135</v>
      </c>
      <c r="I192" s="850">
        <v>2</v>
      </c>
      <c r="J192" s="2407"/>
      <c r="K192" s="573"/>
      <c r="L192" s="573"/>
      <c r="M192" s="853" t="str">
        <f>IFERROR(INDEX('Upper Cask Movement &amp; Logistics'!$I$24:$O$30,MATCH($K192,'Upper Cask Movement &amp; Logistics'!$H$24:$H$30,0),MATCH($L192,'Upper Cask Movement &amp; Logistics'!$H$24:$H$30,0)),"N/A")</f>
        <v>N/A</v>
      </c>
      <c r="N192" s="852" t="str">
        <f>IFERROR(VLOOKUP($J192,'Upper Cask Movement &amp; Logistics'!$H$3:$I$8,2,FALSE),"N/A")</f>
        <v>N/A</v>
      </c>
      <c r="O192" s="580" t="str">
        <f t="shared" si="55"/>
        <v>N/A</v>
      </c>
      <c r="P192" s="2407"/>
      <c r="Q192" s="576" t="str">
        <f>IF($E192="Logistics",VLOOKUP($P192,'Upper Cask Movement &amp; Logistics'!$C$2:$D$81,2,FALSE),"N/A")</f>
        <v>N/A</v>
      </c>
      <c r="R192" s="1134"/>
      <c r="S192" s="1472" t="str">
        <f>IFERROR(VLOOKUP($R192,'Upper Cask Recovery Logistics'!$C$5:$F$26,4,FALSE),"N/A")</f>
        <v>N/A</v>
      </c>
      <c r="T192" s="1473" t="str">
        <f t="shared" si="53"/>
        <v>N/A</v>
      </c>
      <c r="U192" s="947"/>
      <c r="V192" s="3001" t="s">
        <v>2667</v>
      </c>
      <c r="W192" s="2993">
        <f t="shared" ref="W192:AB192" si="59">W188*$G$195</f>
        <v>47.67020222222223</v>
      </c>
      <c r="X192" s="3593">
        <f t="shared" si="59"/>
        <v>762.72323555555568</v>
      </c>
      <c r="Y192" s="3592">
        <f t="shared" si="59"/>
        <v>381.36161777777784</v>
      </c>
      <c r="Z192" s="3592">
        <f t="shared" si="59"/>
        <v>286.02121333333338</v>
      </c>
      <c r="AA192" s="3592">
        <f t="shared" si="59"/>
        <v>190.68080888888892</v>
      </c>
      <c r="AB192" s="2974">
        <f t="shared" si="59"/>
        <v>143.01060666666669</v>
      </c>
      <c r="AD192" s="1467"/>
    </row>
    <row r="193" spans="2:30" outlineLevel="1" x14ac:dyDescent="0.4">
      <c r="B193" s="1429"/>
      <c r="C193" s="1128" t="s">
        <v>1491</v>
      </c>
      <c r="D193" s="659"/>
      <c r="E193" s="659" t="s">
        <v>3</v>
      </c>
      <c r="F193" s="459">
        <f>MAX($Q193,$O193,$I193)</f>
        <v>1.6400000000000001</v>
      </c>
      <c r="G193" s="517">
        <f t="shared" si="52"/>
        <v>13.429444444444446</v>
      </c>
      <c r="H193" s="1131"/>
      <c r="I193" s="850" t="str">
        <f>IF(E193="operation",VLOOKUP(H193,'Generic Vertical Port Tasks'!$C$4:$D$189,2,FALSE),"N/A")</f>
        <v>N/A</v>
      </c>
      <c r="J193" s="1131"/>
      <c r="K193" s="573"/>
      <c r="L193" s="573"/>
      <c r="M193" s="853" t="str">
        <f>IFERROR(INDEX('Upper Cask Movement &amp; Logistics'!$I$24:$O$30,MATCH($K193,'Upper Cask Movement &amp; Logistics'!$H$24:$H$30,0),MATCH($L193,'Upper Cask Movement &amp; Logistics'!$H$24:$H$30,0)),"N/A")</f>
        <v>N/A</v>
      </c>
      <c r="N193" s="852" t="str">
        <f>IFERROR(VLOOKUP($J193,'Upper Cask Movement &amp; Logistics'!$H$3:$I$8,2,FALSE),"N/A")</f>
        <v>N/A</v>
      </c>
      <c r="O193" s="580" t="str">
        <f t="shared" si="55"/>
        <v>N/A</v>
      </c>
      <c r="P193" s="2407" t="s">
        <v>1276</v>
      </c>
      <c r="Q193" s="576">
        <f>IF($E193="Logistics",VLOOKUP($P193,'Upper Cask Movement &amp; Logistics'!$C$2:$D$81,2,FALSE),"N/A")</f>
        <v>1.6400000000000001</v>
      </c>
      <c r="R193" s="2410" t="s">
        <v>1492</v>
      </c>
      <c r="S193" s="1472">
        <f>IFERROR(VLOOKUP($R193,'Upper Cask Recovery Logistics'!$C$5:$F$26,4,FALSE),"N/A")</f>
        <v>5.8838888888888894</v>
      </c>
      <c r="T193" s="1473">
        <f t="shared" si="53"/>
        <v>5.9055555555555559</v>
      </c>
      <c r="U193" s="897"/>
      <c r="AD193" s="1467"/>
    </row>
    <row r="194" spans="2:30" ht="15" outlineLevel="1" thickBot="1" x14ac:dyDescent="0.45">
      <c r="B194" s="1429"/>
      <c r="C194" s="1437" t="s">
        <v>1493</v>
      </c>
      <c r="D194" s="1438"/>
      <c r="E194" s="1438" t="s">
        <v>3</v>
      </c>
      <c r="F194" s="467">
        <f>MAX($Q194,$O194,$I194)</f>
        <v>0.38</v>
      </c>
      <c r="G194" s="1148">
        <f t="shared" si="52"/>
        <v>13.809444444444447</v>
      </c>
      <c r="H194" s="1136"/>
      <c r="I194" s="811" t="str">
        <f>IF(E194="operation",VLOOKUP(H194,'Generic Vertical Port Tasks'!$C$4:$D$189,2,FALSE),"N/A")</f>
        <v>N/A</v>
      </c>
      <c r="J194" s="1136"/>
      <c r="K194" s="584"/>
      <c r="L194" s="584"/>
      <c r="M194" s="814" t="str">
        <f>IFERROR(INDEX('Upper Cask Movement &amp; Logistics'!$I$24:$O$30,MATCH($K194,'Upper Cask Movement &amp; Logistics'!$H$24:$H$30,0),MATCH($L194,'Upper Cask Movement &amp; Logistics'!$H$24:$H$30,0)),"N/A")</f>
        <v>N/A</v>
      </c>
      <c r="N194" s="813" t="str">
        <f>IFERROR(VLOOKUP($J194,'Upper Cask Movement &amp; Logistics'!$H$3:$I$8,2,FALSE),"N/A")</f>
        <v>N/A</v>
      </c>
      <c r="O194" s="591" t="str">
        <f t="shared" si="55"/>
        <v>N/A</v>
      </c>
      <c r="P194" s="2409" t="s">
        <v>1494</v>
      </c>
      <c r="Q194" s="587">
        <f>IF($E194="Logistics",VLOOKUP($P194,'Upper Cask Movement &amp; Logistics'!$C$2:$D$81,2,FALSE),"N/A")</f>
        <v>0.38</v>
      </c>
      <c r="R194" s="1450"/>
      <c r="S194" s="1179" t="str">
        <f>IFERROR(VLOOKUP($R194,'Upper Cask Recovery Logistics'!$C$5:$F$26,4,FALSE),"N/A")</f>
        <v>N/A</v>
      </c>
      <c r="T194" s="591" t="str">
        <f t="shared" si="53"/>
        <v>N/A</v>
      </c>
      <c r="U194" s="5"/>
      <c r="AD194" s="1467"/>
    </row>
    <row r="195" spans="2:30" outlineLevel="1" x14ac:dyDescent="0.4">
      <c r="B195" s="1429"/>
      <c r="C195" s="705"/>
      <c r="D195" s="7"/>
      <c r="E195" s="1439" t="s">
        <v>11</v>
      </c>
      <c r="F195" s="1439"/>
      <c r="G195" s="894">
        <f>G194</f>
        <v>13.809444444444447</v>
      </c>
      <c r="H195" s="94"/>
      <c r="I195" s="895"/>
      <c r="J195" s="94"/>
      <c r="K195" s="94"/>
      <c r="L195" s="94"/>
      <c r="M195" s="897"/>
      <c r="N195" s="897"/>
      <c r="O195" s="895"/>
      <c r="P195" s="94"/>
      <c r="Q195" s="897"/>
      <c r="R195" s="1444"/>
      <c r="S195" s="897"/>
      <c r="T195" s="897"/>
      <c r="U195" s="7"/>
      <c r="AD195" s="1467"/>
    </row>
    <row r="196" spans="2:30" outlineLevel="1" x14ac:dyDescent="0.4">
      <c r="B196" s="1429"/>
      <c r="C196" s="1144"/>
      <c r="D196" s="1483"/>
      <c r="E196" s="1483"/>
      <c r="F196" s="894"/>
      <c r="G196" s="894"/>
      <c r="H196" s="94"/>
      <c r="I196" s="895"/>
      <c r="J196" s="94"/>
      <c r="K196" s="94"/>
      <c r="L196" s="94"/>
      <c r="M196" s="897"/>
      <c r="N196" s="897"/>
      <c r="O196" s="895"/>
      <c r="P196" s="94"/>
      <c r="Q196" s="897"/>
      <c r="R196" s="1444"/>
      <c r="S196" s="897"/>
      <c r="T196" s="897"/>
      <c r="U196" s="7"/>
      <c r="AD196" s="1467"/>
    </row>
    <row r="198" spans="2:30" x14ac:dyDescent="0.4">
      <c r="AC198" s="273"/>
    </row>
    <row r="199" spans="2:30" x14ac:dyDescent="0.4">
      <c r="AC199" s="273"/>
    </row>
    <row r="200" spans="2:30" x14ac:dyDescent="0.4">
      <c r="AC200" s="273"/>
    </row>
    <row r="201" spans="2:30" x14ac:dyDescent="0.4">
      <c r="AC201" s="273"/>
    </row>
    <row r="202" spans="2:30" x14ac:dyDescent="0.4">
      <c r="AC202" s="273"/>
    </row>
    <row r="203" spans="2:30" x14ac:dyDescent="0.4">
      <c r="AC203" s="273"/>
    </row>
    <row r="204" spans="2:30" x14ac:dyDescent="0.4">
      <c r="AC204" s="273"/>
    </row>
    <row r="205" spans="2:30" x14ac:dyDescent="0.4">
      <c r="AC205" s="273"/>
    </row>
    <row r="206" spans="2:30" x14ac:dyDescent="0.4">
      <c r="AC206" s="273"/>
    </row>
    <row r="207" spans="2:30" x14ac:dyDescent="0.4">
      <c r="AC207" s="273"/>
    </row>
    <row r="208" spans="2:30" x14ac:dyDescent="0.4">
      <c r="AC208" s="273"/>
    </row>
    <row r="209" spans="2:35" x14ac:dyDescent="0.4">
      <c r="AC209" s="273"/>
    </row>
    <row r="210" spans="2:35" x14ac:dyDescent="0.4">
      <c r="AC210" s="273"/>
    </row>
    <row r="211" spans="2:35" x14ac:dyDescent="0.4">
      <c r="AC211" s="273"/>
    </row>
    <row r="217" spans="2:35" s="8" customFormat="1" x14ac:dyDescent="0.4">
      <c r="B217"/>
      <c r="C217"/>
      <c r="D217"/>
      <c r="E217"/>
      <c r="F217"/>
      <c r="G217"/>
      <c r="H217"/>
      <c r="I217" s="177"/>
      <c r="J217"/>
      <c r="K217"/>
      <c r="L217"/>
      <c r="M217"/>
      <c r="N217"/>
      <c r="O217"/>
      <c r="P217"/>
      <c r="Q217"/>
      <c r="R217" s="287"/>
      <c r="S217"/>
      <c r="T217"/>
      <c r="U217"/>
      <c r="V217" s="3014"/>
      <c r="AC217" s="5"/>
      <c r="AD217"/>
      <c r="AE217"/>
      <c r="AF217"/>
      <c r="AG217"/>
      <c r="AH217"/>
      <c r="AI217"/>
    </row>
    <row r="218" spans="2:35" s="8" customFormat="1" x14ac:dyDescent="0.4">
      <c r="B218"/>
      <c r="C218"/>
      <c r="D218"/>
      <c r="E218"/>
      <c r="F218"/>
      <c r="G218"/>
      <c r="H218"/>
      <c r="I218" s="177"/>
      <c r="J218"/>
      <c r="K218"/>
      <c r="L218"/>
      <c r="M218"/>
      <c r="N218"/>
      <c r="O218"/>
      <c r="P218"/>
      <c r="Q218"/>
      <c r="R218" s="287"/>
      <c r="S218"/>
      <c r="T218"/>
      <c r="U218"/>
      <c r="V218" s="3014"/>
      <c r="AC218" s="5"/>
      <c r="AD218"/>
      <c r="AE218"/>
      <c r="AF218"/>
      <c r="AG218"/>
      <c r="AH218"/>
      <c r="AI218"/>
    </row>
  </sheetData>
  <customSheetViews>
    <customSheetView guid="{9C0AA20B-B2A2-4A2C-B279-4A5988F4E71A}" scale="70" hiddenColumns="1" state="hidden">
      <selection activeCell="U23" sqref="U23"/>
      <pageMargins left="0.7" right="0.7" top="0.75" bottom="0.75" header="0.3" footer="0.3"/>
      <pageSetup paperSize="9" orientation="portrait" verticalDpi="0" r:id="rId1"/>
    </customSheetView>
  </customSheetViews>
  <mergeCells count="29">
    <mergeCell ref="H130:I130"/>
    <mergeCell ref="J130:O130"/>
    <mergeCell ref="P130:Q130"/>
    <mergeCell ref="R130:T130"/>
    <mergeCell ref="H160:I160"/>
    <mergeCell ref="J160:O160"/>
    <mergeCell ref="P160:Q160"/>
    <mergeCell ref="R160:T160"/>
    <mergeCell ref="E9:H9"/>
    <mergeCell ref="H27:I27"/>
    <mergeCell ref="J27:O27"/>
    <mergeCell ref="P27:Q27"/>
    <mergeCell ref="R27:T27"/>
    <mergeCell ref="H185:I185"/>
    <mergeCell ref="J185:O185"/>
    <mergeCell ref="P185:Q185"/>
    <mergeCell ref="R185:T185"/>
    <mergeCell ref="H52:I52"/>
    <mergeCell ref="J52:O52"/>
    <mergeCell ref="P52:Q52"/>
    <mergeCell ref="R52:T52"/>
    <mergeCell ref="H77:I77"/>
    <mergeCell ref="J77:O77"/>
    <mergeCell ref="P77:Q77"/>
    <mergeCell ref="R77:T77"/>
    <mergeCell ref="H104:I104"/>
    <mergeCell ref="J104:O104"/>
    <mergeCell ref="P104:Q104"/>
    <mergeCell ref="R104:T104"/>
  </mergeCells>
  <conditionalFormatting sqref="E1:T1048576">
    <cfRule type="cellIs" dxfId="495" priority="402" stopIfTrue="1" operator="equal">
      <formula>"N/A"</formula>
    </cfRule>
  </conditionalFormatting>
  <conditionalFormatting sqref="R1:T1048576">
    <cfRule type="cellIs" dxfId="494" priority="399" stopIfTrue="1" operator="lessThan">
      <formula>0</formula>
    </cfRule>
  </conditionalFormatting>
  <conditionalFormatting sqref="E1:I1048576">
    <cfRule type="cellIs" dxfId="493" priority="400" stopIfTrue="1" operator="equal">
      <formula>"Total"</formula>
    </cfRule>
    <cfRule type="cellIs" dxfId="492" priority="401" stopIfTrue="1" operator="equal">
      <formula>"Operation"</formula>
    </cfRule>
  </conditionalFormatting>
  <conditionalFormatting sqref="V80">
    <cfRule type="cellIs" dxfId="491" priority="14" stopIfTrue="1" operator="equal">
      <formula>"N/A"</formula>
    </cfRule>
  </conditionalFormatting>
  <conditionalFormatting sqref="V80">
    <cfRule type="cellIs" dxfId="490" priority="13" stopIfTrue="1" operator="equal">
      <formula>"N/A"</formula>
    </cfRule>
  </conditionalFormatting>
  <conditionalFormatting sqref="V107">
    <cfRule type="cellIs" dxfId="489" priority="12" stopIfTrue="1" operator="equal">
      <formula>"N/A"</formula>
    </cfRule>
  </conditionalFormatting>
  <conditionalFormatting sqref="V107">
    <cfRule type="cellIs" dxfId="488" priority="11" stopIfTrue="1" operator="equal">
      <formula>"N/A"</formula>
    </cfRule>
  </conditionalFormatting>
  <conditionalFormatting sqref="V137">
    <cfRule type="cellIs" dxfId="487" priority="10" stopIfTrue="1" operator="equal">
      <formula>"N/A"</formula>
    </cfRule>
  </conditionalFormatting>
  <conditionalFormatting sqref="V137">
    <cfRule type="cellIs" dxfId="486" priority="9" stopIfTrue="1" operator="equal">
      <formula>"N/A"</formula>
    </cfRule>
  </conditionalFormatting>
  <conditionalFormatting sqref="V164">
    <cfRule type="cellIs" dxfId="485" priority="8" stopIfTrue="1" operator="equal">
      <formula>"N/A"</formula>
    </cfRule>
  </conditionalFormatting>
  <conditionalFormatting sqref="V164">
    <cfRule type="cellIs" dxfId="484" priority="7" stopIfTrue="1" operator="equal">
      <formula>"N/A"</formula>
    </cfRule>
  </conditionalFormatting>
  <conditionalFormatting sqref="V188">
    <cfRule type="cellIs" dxfId="483" priority="6" stopIfTrue="1" operator="equal">
      <formula>"N/A"</formula>
    </cfRule>
  </conditionalFormatting>
  <conditionalFormatting sqref="V188">
    <cfRule type="cellIs" dxfId="482" priority="5" stopIfTrue="1" operator="equal">
      <formula>"N/A"</formula>
    </cfRule>
  </conditionalFormatting>
  <conditionalFormatting sqref="V55">
    <cfRule type="cellIs" dxfId="481" priority="4" stopIfTrue="1" operator="equal">
      <formula>"N/A"</formula>
    </cfRule>
  </conditionalFormatting>
  <conditionalFormatting sqref="V55">
    <cfRule type="cellIs" dxfId="480" priority="3" stopIfTrue="1" operator="equal">
      <formula>"N/A"</formula>
    </cfRule>
  </conditionalFormatting>
  <conditionalFormatting sqref="V30">
    <cfRule type="cellIs" dxfId="479" priority="2" stopIfTrue="1" operator="equal">
      <formula>"N/A"</formula>
    </cfRule>
  </conditionalFormatting>
  <conditionalFormatting sqref="V30">
    <cfRule type="cellIs" dxfId="478" priority="1" stopIfTrue="1" operator="equal">
      <formula>"N/A"</formula>
    </cfRule>
  </conditionalFormatting>
  <dataValidations disablePrompts="1" count="3">
    <dataValidation type="list" allowBlank="1" showInputMessage="1" showErrorMessage="1" sqref="JN15:JN39 WVZ15:WVZ39 WMD15:WMD39 WCH15:WCH39 VSL15:VSL39 VIP15:VIP39 UYT15:UYT39 UOX15:UOX39 UFB15:UFB39 TVF15:TVF39 TLJ15:TLJ39 TBN15:TBN39 SRR15:SRR39 SHV15:SHV39 RXZ15:RXZ39 ROD15:ROD39 REH15:REH39 QUL15:QUL39 QKP15:QKP39 QAT15:QAT39 PQX15:PQX39 PHB15:PHB39 OXF15:OXF39 ONJ15:ONJ39 ODN15:ODN39 NTR15:NTR39 NJV15:NJV39 MZZ15:MZZ39 MQD15:MQD39 MGH15:MGH39 LWL15:LWL39 LMP15:LMP39 LCT15:LCT39 KSX15:KSX39 KJB15:KJB39 JZF15:JZF39 JPJ15:JPJ39 JFN15:JFN39 IVR15:IVR39 ILV15:ILV39 IBZ15:IBZ39 HSD15:HSD39 HIH15:HIH39 GYL15:GYL39 GOP15:GOP39 GET15:GET39 FUX15:FUX39 FLB15:FLB39 FBF15:FBF39 ERJ15:ERJ39 EHN15:EHN39 DXR15:DXR39 DNV15:DNV39 DDZ15:DDZ39 CUD15:CUD39 CKH15:CKH39 CAL15:CAL39 BQP15:BQP39 BGT15:BGT39 AWX15:AWX39 ANB15:ANB39 ADF15:ADF39 TJ15:TJ39">
      <formula1>$AC$4:$AC$15</formula1>
    </dataValidation>
    <dataValidation type="list" allowBlank="1" showInputMessage="1" showErrorMessage="1" sqref="ADG187:ADG1048576 ANC187:ANC1048576 AWY187:AWY1048576 BGU187:BGU1048576 BQQ187:BQQ1048576 CAM187:CAM1048576 CKI187:CKI1048576 CUE187:CUE1048576 DEA187:DEA1048576 DNW187:DNW1048576 DXS187:DXS1048576 EHO187:EHO1048576 ERK187:ERK1048576 FBG187:FBG1048576 FLC187:FLC1048576 FUY187:FUY1048576 GEU187:GEU1048576 GOQ187:GOQ1048576 GYM187:GYM1048576 HII187:HII1048576 HSE187:HSE1048576 ICA187:ICA1048576 ILW187:ILW1048576 IVS187:IVS1048576 JFO187:JFO1048576 JPK187:JPK1048576 JZG187:JZG1048576 KJC187:KJC1048576 KSY187:KSY1048576 LCU187:LCU1048576 LMQ187:LMQ1048576 LWM187:LWM1048576 MGI187:MGI1048576 MQE187:MQE1048576 NAA187:NAA1048576 NJW187:NJW1048576 NTS187:NTS1048576 ODO187:ODO1048576 ONK187:ONK1048576 OXG187:OXG1048576 PHC187:PHC1048576 PQY187:PQY1048576 QAU187:QAU1048576 QKQ187:QKQ1048576 QUM187:QUM1048576 REI187:REI1048576 ROE187:ROE1048576 RYA187:RYA1048576 SHW187:SHW1048576 SRS187:SRS1048576 TBO187:TBO1048576 TLK187:TLK1048576 TVG187:TVG1048576 UFC187:UFC1048576 UOY187:UOY1048576 UYU187:UYU1048576 VIQ187:VIQ1048576 VSM187:VSM1048576 WCI187:WCI1048576 WME187:WME1048576 WWA187:WWA1048576 JO187:JO1048576 JO40:JO174 WWA40:WWA174 WME40:WME174 WCI40:WCI174 VSM40:VSM174 VIQ40:VIQ174 UYU40:UYU174 UOY40:UOY174 UFC40:UFC174 TVG40:TVG174 TLK40:TLK174 TBO40:TBO174 SRS40:SRS174 SHW40:SHW174 RYA40:RYA174 ROE40:ROE174 REI40:REI174 QUM40:QUM174 QKQ40:QKQ174 QAU40:QAU174 PQY40:PQY174 PHC40:PHC174 OXG40:OXG174 ONK40:ONK174 ODO40:ODO174 NTS40:NTS174 NJW40:NJW174 NAA40:NAA174 MQE40:MQE174 MGI40:MGI174 LWM40:LWM174 LMQ40:LMQ174 LCU40:LCU174 KSY40:KSY174 KJC40:KJC174 JZG40:JZG174 JPK40:JPK174 JFO40:JFO174 IVS40:IVS174 ILW40:ILW174 ICA40:ICA174 HSE40:HSE174 HII40:HII174 GYM40:GYM174 GOQ40:GOQ174 GEU40:GEU174 FUY40:FUY174 FLC40:FLC174 FBG40:FBG174 ERK40:ERK174 EHO40:EHO174 DXS40:DXS174 DNW40:DNW174 DEA40:DEA174 CUE40:CUE174 CKI40:CKI174 CAM40:CAM174 BQQ40:BQQ174 BGU40:BGU174 AWY40:AWY174 ANC40:ANC174 ADG40:ADG174 TK40:TK174 TK187:TK1048576 TK1:TK14 JO1:JO14 WWA1:WWA14 WME1:WME14 WCI1:WCI14 VSM1:VSM14 VIQ1:VIQ14 UYU1:UYU14 UOY1:UOY14 UFC1:UFC14 TVG1:TVG14 TLK1:TLK14 TBO1:TBO14 SRS1:SRS14 SHW1:SHW14 RYA1:RYA14 ROE1:ROE14 REI1:REI14 QUM1:QUM14 QKQ1:QKQ14 QAU1:QAU14 PQY1:PQY14 PHC1:PHC14 OXG1:OXG14 ONK1:ONK14 ODO1:ODO14 NTS1:NTS14 NJW1:NJW14 NAA1:NAA14 MQE1:MQE14 MGI1:MGI14 LWM1:LWM14 LMQ1:LMQ14 LCU1:LCU14 KSY1:KSY14 KJC1:KJC14 JZG1:JZG14 JPK1:JPK14 JFO1:JFO14 IVS1:IVS14 ILW1:ILW14 ICA1:ICA14 HSE1:HSE14 HII1:HII14 GYM1:GYM14 GOQ1:GOQ14 GEU1:GEU14 FUY1:FUY14 FLC1:FLC14 FBG1:FBG14 ERK1:ERK14 EHO1:EHO14 DXS1:DXS14 DNW1:DNW14 DEA1:DEA14 CUE1:CUE14 CKI1:CKI14 CAM1:CAM14 BQQ1:BQQ14 BGU1:BGU14 AWY1:AWY14 ANC1:ANC14 ADG1:ADG14">
      <formula1>$AD$4:$AD$7</formula1>
    </dataValidation>
    <dataValidation type="list" allowBlank="1" showInputMessage="1" showErrorMessage="1" sqref="WWA175:WWA186 JO175:JO186 TK175:TK186 ADG175:ADG186 ANC175:ANC186 AWY175:AWY186 BGU175:BGU186 BQQ175:BQQ186 CAM175:CAM186 CKI175:CKI186 CUE175:CUE186 DEA175:DEA186 DNW175:DNW186 DXS175:DXS186 EHO175:EHO186 ERK175:ERK186 FBG175:FBG186 FLC175:FLC186 FUY175:FUY186 GEU175:GEU186 GOQ175:GOQ186 GYM175:GYM186 HII175:HII186 HSE175:HSE186 ICA175:ICA186 ILW175:ILW186 IVS175:IVS186 JFO175:JFO186 JPK175:JPK186 JZG175:JZG186 KJC175:KJC186 KSY175:KSY186 LCU175:LCU186 LMQ175:LMQ186 LWM175:LWM186 MGI175:MGI186 MQE175:MQE186 NAA175:NAA186 NJW175:NJW186 NTS175:NTS186 ODO175:ODO186 ONK175:ONK186 OXG175:OXG186 PHC175:PHC186 PQY175:PQY186 QAU175:QAU186 QKQ175:QKQ186 QUM175:QUM186 REI175:REI186 ROE175:ROE186 RYA175:RYA186 SHW175:SHW186 SRS175:SRS186 TBO175:TBO186 TLK175:TLK186 TVG175:TVG186 UFC175:UFC186 UOY175:UOY186 UYU175:UYU186 VIQ175:VIQ186 VSM175:VSM186 WCI175:WCI186 WME175:WME186">
      <formula1>$AD$4:$AD$15</formula1>
    </dataValidation>
  </dataValidations>
  <pageMargins left="0.7" right="0.7" top="0.75" bottom="0.75" header="0.3" footer="0.3"/>
  <pageSetup paperSize="9" orientation="portrait" verticalDpi="0" r:id="rId2"/>
  <drawing r:id="rId3"/>
  <legacy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sheetPr>
  <dimension ref="A1:W757"/>
  <sheetViews>
    <sheetView workbookViewId="0">
      <selection activeCell="U23" sqref="U23"/>
    </sheetView>
  </sheetViews>
  <sheetFormatPr defaultColWidth="9.15234375" defaultRowHeight="12.9" outlineLevelRow="1" outlineLevelCol="1" x14ac:dyDescent="0.4"/>
  <cols>
    <col min="1" max="1" width="9.15234375" style="1163" customWidth="1"/>
    <col min="2" max="2" width="44" style="1233" customWidth="1"/>
    <col min="3" max="3" width="46" style="1163" customWidth="1"/>
    <col min="4" max="4" width="12.3828125" style="1163" customWidth="1"/>
    <col min="5" max="5" width="8.3828125" style="1163" customWidth="1"/>
    <col min="6" max="6" width="11.3828125" style="1163" customWidth="1"/>
    <col min="7" max="7" width="26.15234375" style="1163" customWidth="1" outlineLevel="1"/>
    <col min="8" max="8" width="12.3046875" style="1568" customWidth="1"/>
    <col min="9" max="9" width="24.3828125" style="1163" customWidth="1" outlineLevel="1"/>
    <col min="10" max="11" width="23.3046875" style="1163" customWidth="1" outlineLevel="1"/>
    <col min="12" max="12" width="13.3828125" style="1232" customWidth="1" outlineLevel="1"/>
    <col min="13" max="13" width="13.15234375" style="1232" customWidth="1" outlineLevel="1"/>
    <col min="14" max="14" width="10" style="1232" customWidth="1"/>
    <col min="15" max="15" width="34.15234375" style="1163" hidden="1" customWidth="1" outlineLevel="1"/>
    <col min="16" max="16" width="10.3046875" style="1163" customWidth="1" collapsed="1"/>
    <col min="17" max="20" width="9.15234375" style="1163"/>
    <col min="21" max="21" width="10" style="1163" bestFit="1" customWidth="1"/>
    <col min="22" max="16384" width="9.15234375" style="1163"/>
  </cols>
  <sheetData>
    <row r="1" spans="1:16" ht="13.3" thickBot="1" x14ac:dyDescent="0.45">
      <c r="A1" s="1161"/>
      <c r="C1" s="1161"/>
      <c r="D1" s="1161"/>
      <c r="E1" s="1161"/>
      <c r="F1" s="1161"/>
      <c r="G1" s="1161"/>
      <c r="H1" s="556"/>
      <c r="I1" s="1161"/>
      <c r="J1" s="1161"/>
      <c r="K1" s="1161"/>
      <c r="L1" s="1162"/>
      <c r="M1" s="1162"/>
      <c r="N1" s="1162"/>
      <c r="O1" s="1161"/>
      <c r="P1" s="1161"/>
    </row>
    <row r="2" spans="1:16" ht="13.3" thickBot="1" x14ac:dyDescent="0.45">
      <c r="A2" s="1161"/>
      <c r="C2" s="1161"/>
      <c r="D2" s="1161"/>
      <c r="E2" s="1161"/>
      <c r="F2" s="1161"/>
      <c r="G2" s="3793" t="s">
        <v>18</v>
      </c>
      <c r="H2" s="3795"/>
      <c r="I2" s="3793" t="s">
        <v>778</v>
      </c>
      <c r="J2" s="3794"/>
      <c r="K2" s="3794"/>
      <c r="L2" s="3794"/>
      <c r="M2" s="3794"/>
      <c r="N2" s="3794"/>
      <c r="O2" s="3793" t="s">
        <v>3</v>
      </c>
      <c r="P2" s="3795"/>
    </row>
    <row r="3" spans="1:16" ht="13.3" thickBot="1" x14ac:dyDescent="0.45">
      <c r="A3" s="1161"/>
      <c r="B3" s="1301" t="s">
        <v>780</v>
      </c>
      <c r="C3" s="558" t="s">
        <v>781</v>
      </c>
      <c r="D3" s="558" t="s">
        <v>782</v>
      </c>
      <c r="E3" s="559" t="s">
        <v>783</v>
      </c>
      <c r="F3" s="559" t="s">
        <v>769</v>
      </c>
      <c r="G3" s="1127" t="s">
        <v>785</v>
      </c>
      <c r="H3" s="1517" t="s">
        <v>783</v>
      </c>
      <c r="I3" s="565" t="s">
        <v>786</v>
      </c>
      <c r="J3" s="559" t="s">
        <v>787</v>
      </c>
      <c r="K3" s="559" t="s">
        <v>788</v>
      </c>
      <c r="L3" s="1164" t="s">
        <v>789</v>
      </c>
      <c r="M3" s="1164" t="s">
        <v>790</v>
      </c>
      <c r="N3" s="1165" t="s">
        <v>783</v>
      </c>
      <c r="O3" s="565" t="s">
        <v>785</v>
      </c>
      <c r="P3" s="561" t="s">
        <v>783</v>
      </c>
    </row>
    <row r="4" spans="1:16" ht="13.3" thickBot="1" x14ac:dyDescent="0.45">
      <c r="A4" s="1161"/>
      <c r="B4" s="1518"/>
      <c r="C4" s="1446"/>
      <c r="D4" s="1446"/>
      <c r="E4" s="1446"/>
      <c r="F4" s="1446"/>
      <c r="G4" s="1446"/>
      <c r="H4" s="1519"/>
      <c r="I4" s="1446"/>
      <c r="J4" s="1446"/>
      <c r="K4" s="1446"/>
      <c r="L4" s="1520"/>
      <c r="M4" s="1520"/>
      <c r="N4" s="1520"/>
      <c r="O4" s="1446"/>
      <c r="P4" s="946"/>
    </row>
    <row r="5" spans="1:16" x14ac:dyDescent="0.4">
      <c r="A5" s="1521"/>
      <c r="B5" s="1522" t="s">
        <v>1521</v>
      </c>
      <c r="C5" s="1522"/>
      <c r="D5" s="1522"/>
      <c r="E5" s="1522"/>
      <c r="F5" s="1522"/>
      <c r="G5" s="1522"/>
      <c r="H5" s="1522"/>
      <c r="I5" s="1522"/>
      <c r="J5" s="1522"/>
      <c r="K5" s="1522"/>
      <c r="L5" s="1522"/>
      <c r="M5" s="1522"/>
      <c r="N5" s="1522"/>
      <c r="O5" s="1522"/>
      <c r="P5" s="1523"/>
    </row>
    <row r="6" spans="1:16" ht="13.3" outlineLevel="1" thickBot="1" x14ac:dyDescent="0.45">
      <c r="A6" s="1524"/>
      <c r="B6" s="1525"/>
      <c r="C6" s="1526"/>
      <c r="D6" s="1526"/>
      <c r="E6" s="1526"/>
      <c r="F6" s="1526"/>
      <c r="G6" s="1526"/>
      <c r="H6" s="1527"/>
      <c r="I6" s="1526"/>
      <c r="J6" s="1526"/>
      <c r="K6" s="1526"/>
      <c r="L6" s="1528"/>
      <c r="M6" s="1528"/>
      <c r="N6" s="1528"/>
      <c r="O6" s="1526"/>
      <c r="P6" s="1529"/>
    </row>
    <row r="7" spans="1:16" outlineLevel="1" x14ac:dyDescent="0.4">
      <c r="A7" s="1530"/>
      <c r="B7" s="3970" t="s">
        <v>1487</v>
      </c>
      <c r="C7" s="566" t="s">
        <v>1480</v>
      </c>
      <c r="D7" s="566" t="s">
        <v>907</v>
      </c>
      <c r="E7" s="1175">
        <f>MAX($P7,$N7,$H7)</f>
        <v>0</v>
      </c>
      <c r="F7" s="621">
        <f>IF($D7="Trigger",VLOOKUP($C7,'Upper Cask Recovery Scenarios'!$C$54:$G$92,5,FALSE),E7+F6)</f>
        <v>8.0894444444444442</v>
      </c>
      <c r="G7" s="568"/>
      <c r="H7" s="576" t="str">
        <f>IF(D7="operation",VLOOKUP(G7,'Generic Vertical Port Tasks'!$C$6:$D$558,2,FALSE),"N/A")</f>
        <v>N/A</v>
      </c>
      <c r="I7" s="566"/>
      <c r="J7" s="566"/>
      <c r="K7" s="566"/>
      <c r="L7" s="1176" t="str">
        <f>IFERROR(INDEX('Upper Cask Movement &amp; Logistics'!$H$24:$P$32,MATCH($J7,'Upper Cask Movement &amp; Logistics'!$H$23:$H$29,0),MATCH($K7,'Upper Cask Movement &amp; Logistics'!$H$23:$H$29,0)),"N/A")</f>
        <v>N/A</v>
      </c>
      <c r="M7" s="1176" t="str">
        <f>IFERROR(VLOOKUP($I7,'Upper Cask Movement &amp; Logistics'!$H$4:$I$8,2,FALSE),"N/A")</f>
        <v>N/A</v>
      </c>
      <c r="N7" s="1176" t="str">
        <f>IF(D7="Movement",IFERROR((L7/M7)/(60*60),"Error"),"N/A")</f>
        <v>N/A</v>
      </c>
      <c r="O7" s="620"/>
      <c r="P7" s="621" t="str">
        <f>IF($D7="Logistics",VLOOKUP($O7,'Upper Cask Movement &amp; Logistics'!$C$4:$D$32,2,FALSE),"N/A")</f>
        <v>N/A</v>
      </c>
    </row>
    <row r="8" spans="1:16" outlineLevel="1" x14ac:dyDescent="0.4">
      <c r="A8" s="1530"/>
      <c r="B8" s="3972"/>
      <c r="C8" s="573" t="s">
        <v>1522</v>
      </c>
      <c r="D8" s="573" t="s">
        <v>3</v>
      </c>
      <c r="E8" s="1176">
        <f>MAX($P8,$N8,$H8)</f>
        <v>0.48000000000000004</v>
      </c>
      <c r="F8" s="580">
        <f>IF($D8="Trigger",VLOOKUP($C8,'Upper Cask Welding failures'!$E$30:$H$151,5,FALSE),E8+F7)</f>
        <v>8.5694444444444446</v>
      </c>
      <c r="G8" s="575"/>
      <c r="H8" s="576" t="str">
        <f>IF(D8="operation",VLOOKUP(G8,'Generic Vertical Port Tasks'!$C$6:$D$558,2,FALSE),"N/A")</f>
        <v>N/A</v>
      </c>
      <c r="I8" s="573"/>
      <c r="J8" s="573"/>
      <c r="K8" s="573"/>
      <c r="L8" s="1176" t="str">
        <f>IFERROR(INDEX('Upper Cask Movement &amp; Logistics'!$H$24:$P$32,MATCH($J8,'Upper Cask Movement &amp; Logistics'!$H$23:$H$29,0),MATCH($K8,'Upper Cask Movement &amp; Logistics'!$H$23:$H$29,0)),"N/A")</f>
        <v>N/A</v>
      </c>
      <c r="M8" s="1176" t="str">
        <f>IFERROR(VLOOKUP($I8,'Upper Cask Movement &amp; Logistics'!$H$4:$I$8,2,FALSE),"N/A")</f>
        <v>N/A</v>
      </c>
      <c r="N8" s="1176" t="str">
        <f>IF(D8="Movement",IFERROR((L8/M8)/(60*60),"Error"),"N/A")</f>
        <v>N/A</v>
      </c>
      <c r="O8" s="579" t="s">
        <v>1331</v>
      </c>
      <c r="P8" s="580">
        <f>IF($D8="Logistics",VLOOKUP($O8,'Upper Cask Movement &amp; Logistics'!$C$4:$D$32,2,FALSE),"N/A")</f>
        <v>0.48000000000000004</v>
      </c>
    </row>
    <row r="9" spans="1:16" outlineLevel="1" x14ac:dyDescent="0.4">
      <c r="A9" s="1530"/>
      <c r="B9" s="4000"/>
      <c r="C9" s="582" t="s">
        <v>1523</v>
      </c>
      <c r="D9" s="582" t="s">
        <v>778</v>
      </c>
      <c r="E9" s="1176">
        <f>MAX($P9,$N9,$H9)</f>
        <v>0.69444444444444442</v>
      </c>
      <c r="F9" s="580">
        <f>IF($D9="Trigger",VLOOKUP($C9,'Upper Cask Welding failures'!$E$30:$H$151,5,FALSE),E9+F8)</f>
        <v>9.2638888888888893</v>
      </c>
      <c r="G9" s="575"/>
      <c r="H9" s="576" t="str">
        <f>IF(D9="operation",VLOOKUP(G9,'Generic Vertical Port Tasks'!$C$6:$D$558,2,FALSE),"N/A")</f>
        <v>N/A</v>
      </c>
      <c r="I9" s="573" t="s">
        <v>855</v>
      </c>
      <c r="J9" s="573" t="s">
        <v>799</v>
      </c>
      <c r="K9" s="573" t="s">
        <v>452</v>
      </c>
      <c r="L9" s="1176">
        <f>IFERROR(INDEX('Upper Cask Movement &amp; Logistics'!$H$24:$P$32,MATCH($J9,'Upper Cask Movement &amp; Logistics'!$H$23:$H$29,0),MATCH($K9,'Upper Cask Movement &amp; Logistics'!$H$23:$H$29,0)),"N/A")</f>
        <v>50</v>
      </c>
      <c r="M9" s="1176">
        <f>IFERROR(VLOOKUP($I9,'Upper Cask Movement &amp; Logistics'!$H$4:$I$8,2,FALSE),"N/A")</f>
        <v>0.02</v>
      </c>
      <c r="N9" s="1176">
        <f>IF(D9="Movement",IFERROR((L9/M9)/(60*60),"Error"),"N/A")</f>
        <v>0.69444444444444442</v>
      </c>
      <c r="O9" s="579"/>
      <c r="P9" s="580" t="str">
        <f>IF($D9="Logistics",VLOOKUP($O9,'Upper Cask Movement &amp; Logistics'!$C$4:$D$32,2,FALSE),"N/A")</f>
        <v>N/A</v>
      </c>
    </row>
    <row r="10" spans="1:16" ht="13.3" outlineLevel="1" thickBot="1" x14ac:dyDescent="0.45">
      <c r="A10" s="1530"/>
      <c r="B10" s="3973"/>
      <c r="C10" s="584" t="str">
        <f>B7</f>
        <v>Replacement VMC issued from AMF</v>
      </c>
      <c r="D10" s="584" t="s">
        <v>11</v>
      </c>
      <c r="E10" s="1179">
        <f>MAX($P10,$N10,$H10)</f>
        <v>0</v>
      </c>
      <c r="F10" s="591">
        <f>IF($D10="Trigger",VLOOKUP($C10,'Upper Cask Welding failures'!$E$30:$H$151,5,FALSE),E10+F9)</f>
        <v>9.2638888888888893</v>
      </c>
      <c r="G10" s="586"/>
      <c r="H10" s="576" t="str">
        <f>IF(D10="operation",VLOOKUP(G10,'Generic Vertical Port Tasks'!$C$6:$D$558,2,FALSE),"N/A")</f>
        <v>N/A</v>
      </c>
      <c r="I10" s="584"/>
      <c r="J10" s="584"/>
      <c r="K10" s="584"/>
      <c r="L10" s="1176" t="str">
        <f>IFERROR(INDEX('Upper Cask Movement &amp; Logistics'!$H$24:$P$32,MATCH($J10,'Upper Cask Movement &amp; Logistics'!$H$23:$H$29,0),MATCH($K10,'Upper Cask Movement &amp; Logistics'!$H$23:$H$29,0)),"N/A")</f>
        <v>N/A</v>
      </c>
      <c r="M10" s="1176" t="str">
        <f>IFERROR(VLOOKUP($I10,'Upper Cask Movement &amp; Logistics'!$H$4:$I$8,2,FALSE),"N/A")</f>
        <v>N/A</v>
      </c>
      <c r="N10" s="1176" t="str">
        <f>IF(D10="Movement",IFERROR((L10/M10)/(60*60),"Error"),"N/A")</f>
        <v>N/A</v>
      </c>
      <c r="O10" s="590"/>
      <c r="P10" s="591" t="str">
        <f>IF($D10="Logistics",VLOOKUP($O10,'Upper Cask Movement &amp; Logistics'!$C$4:$D$32,2,FALSE),"N/A")</f>
        <v>N/A</v>
      </c>
    </row>
    <row r="11" spans="1:16" ht="13.3" thickBot="1" x14ac:dyDescent="0.45">
      <c r="A11" s="1530"/>
      <c r="B11" s="1531"/>
      <c r="C11" s="1532"/>
      <c r="D11" s="1532"/>
      <c r="E11" s="1533"/>
      <c r="F11" s="1533"/>
      <c r="G11" s="1532"/>
      <c r="H11" s="1534"/>
      <c r="I11" s="1532"/>
      <c r="J11" s="1532"/>
      <c r="K11" s="1532"/>
      <c r="L11" s="1533"/>
      <c r="M11" s="1533"/>
      <c r="N11" s="1533"/>
      <c r="O11" s="1535"/>
      <c r="P11" s="1536"/>
    </row>
    <row r="12" spans="1:16" x14ac:dyDescent="0.4">
      <c r="A12" s="1521"/>
      <c r="B12" s="1522" t="s">
        <v>1154</v>
      </c>
      <c r="C12" s="1522"/>
      <c r="D12" s="1522"/>
      <c r="E12" s="1522"/>
      <c r="F12" s="1522"/>
      <c r="G12" s="1522"/>
      <c r="H12" s="1522"/>
      <c r="I12" s="1522"/>
      <c r="J12" s="1522"/>
      <c r="K12" s="1522"/>
      <c r="L12" s="1522"/>
      <c r="M12" s="1522"/>
      <c r="N12" s="1522"/>
      <c r="O12" s="1522"/>
      <c r="P12" s="1523"/>
    </row>
    <row r="13" spans="1:16" ht="13.3" outlineLevel="1" thickBot="1" x14ac:dyDescent="0.45">
      <c r="A13" s="1524"/>
      <c r="B13" s="1525"/>
      <c r="C13" s="1526"/>
      <c r="D13" s="1526"/>
      <c r="E13" s="1526"/>
      <c r="F13" s="1526"/>
      <c r="G13" s="1526"/>
      <c r="H13" s="1527"/>
      <c r="I13" s="1526"/>
      <c r="J13" s="1526"/>
      <c r="K13" s="1526"/>
      <c r="L13" s="1528"/>
      <c r="M13" s="1528"/>
      <c r="N13" s="1528"/>
      <c r="O13" s="1526"/>
      <c r="P13" s="1529"/>
    </row>
    <row r="14" spans="1:16" outlineLevel="1" x14ac:dyDescent="0.4">
      <c r="A14" s="1530"/>
      <c r="B14" s="3970" t="s">
        <v>1524</v>
      </c>
      <c r="C14" s="566" t="s">
        <v>1503</v>
      </c>
      <c r="D14" s="566" t="s">
        <v>907</v>
      </c>
      <c r="E14" s="1175">
        <f>MAX($P14,$N14,$H14)</f>
        <v>0</v>
      </c>
      <c r="F14" s="621">
        <f>IF($D14="Trigger",VLOOKUP($C14,'Upper Cask Recovery Scenarios'!$C$54:$G$174,5,FALSE),E14+F13)</f>
        <v>4.7094444444444443</v>
      </c>
      <c r="G14" s="568"/>
      <c r="H14" s="576" t="str">
        <f>IF(D14="operation",VLOOKUP(G14,'Generic Vertical Port Tasks'!$C$6:$D$558,2,FALSE),"N/A")</f>
        <v>N/A</v>
      </c>
      <c r="I14" s="566"/>
      <c r="J14" s="566"/>
      <c r="K14" s="566"/>
      <c r="L14" s="1176" t="str">
        <f>IFERROR(INDEX('Upper Cask Movement &amp; Logistics'!$H$24:$P$32,MATCH($J14,'Upper Cask Movement &amp; Logistics'!$H$23:$H$29,0),MATCH($K14,'Upper Cask Movement &amp; Logistics'!$H$23:$H$29,0)),"N/A")</f>
        <v>N/A</v>
      </c>
      <c r="M14" s="1176" t="str">
        <f>IFERROR(VLOOKUP($I14,'Upper Cask Movement &amp; Logistics'!$H$4:$I$8,2,FALSE),"N/A")</f>
        <v>N/A</v>
      </c>
      <c r="N14" s="1176" t="str">
        <f>IF(D14="Movement",IFERROR((L14/M14)/(60*60),"Error"),"N/A")</f>
        <v>N/A</v>
      </c>
      <c r="O14" s="620"/>
      <c r="P14" s="621" t="str">
        <f>IF($D14="Logistics",VLOOKUP($O14,'Upper Cask Movement &amp; Logistics'!$C$4:$D$32,2,FALSE),"N/A")</f>
        <v>N/A</v>
      </c>
    </row>
    <row r="15" spans="1:16" outlineLevel="1" x14ac:dyDescent="0.4">
      <c r="A15" s="1530"/>
      <c r="B15" s="3972"/>
      <c r="C15" s="573" t="s">
        <v>1525</v>
      </c>
      <c r="D15" s="573" t="s">
        <v>3</v>
      </c>
      <c r="E15" s="1176">
        <f>MAX($P15,$N15,$H15)</f>
        <v>0.48000000000000004</v>
      </c>
      <c r="F15" s="580">
        <f>IF($D15="Trigger",VLOOKUP($C15,'Upper Cask Welding failures'!$E$30:$H$151,5,FALSE),E15+F14)</f>
        <v>5.1894444444444447</v>
      </c>
      <c r="G15" s="575"/>
      <c r="H15" s="576" t="str">
        <f>IF(D15="operation",VLOOKUP(G15,'Generic Vertical Port Tasks'!$C$6:$D$558,2,FALSE),"N/A")</f>
        <v>N/A</v>
      </c>
      <c r="I15" s="573"/>
      <c r="J15" s="573"/>
      <c r="K15" s="573"/>
      <c r="L15" s="1176" t="str">
        <f>IFERROR(INDEX('Upper Cask Movement &amp; Logistics'!$H$24:$P$32,MATCH($J15,'Upper Cask Movement &amp; Logistics'!$H$23:$H$29,0),MATCH($K15,'Upper Cask Movement &amp; Logistics'!$H$23:$H$29,0)),"N/A")</f>
        <v>N/A</v>
      </c>
      <c r="M15" s="1176" t="str">
        <f>IFERROR(VLOOKUP($I15,'Upper Cask Movement &amp; Logistics'!$H$4:$I$8,2,FALSE),"N/A")</f>
        <v>N/A</v>
      </c>
      <c r="N15" s="1176" t="str">
        <f>IF(D15="Movement",IFERROR((L15/M15)/(60*60),"Error"),"N/A")</f>
        <v>N/A</v>
      </c>
      <c r="O15" s="579" t="s">
        <v>1331</v>
      </c>
      <c r="P15" s="580">
        <f>IF($D15="Logistics",VLOOKUP($O15,'Upper Cask Movement &amp; Logistics'!$C$4:$D$32,2,FALSE),"N/A")</f>
        <v>0.48000000000000004</v>
      </c>
    </row>
    <row r="16" spans="1:16" outlineLevel="1" x14ac:dyDescent="0.4">
      <c r="A16" s="1530"/>
      <c r="B16" s="4000"/>
      <c r="C16" s="582" t="s">
        <v>1526</v>
      </c>
      <c r="D16" s="582" t="s">
        <v>778</v>
      </c>
      <c r="E16" s="1176">
        <f>MAX($P16,$N16,$H16)</f>
        <v>0.69444444444444442</v>
      </c>
      <c r="F16" s="580">
        <f>IF($D16="Trigger",VLOOKUP($C16,'Upper Cask Welding failures'!$E$30:$H$151,5,FALSE),E16+F15)</f>
        <v>5.8838888888888894</v>
      </c>
      <c r="G16" s="575"/>
      <c r="H16" s="576" t="str">
        <f>IF(D16="operation",VLOOKUP(G16,'Generic Vertical Port Tasks'!$C$6:$D$558,2,FALSE),"N/A")</f>
        <v>N/A</v>
      </c>
      <c r="I16" s="573" t="s">
        <v>855</v>
      </c>
      <c r="J16" s="573" t="s">
        <v>799</v>
      </c>
      <c r="K16" s="573" t="s">
        <v>452</v>
      </c>
      <c r="L16" s="1176">
        <f>IFERROR(INDEX('Upper Cask Movement &amp; Logistics'!$H$24:$P$32,MATCH($J16,'Upper Cask Movement &amp; Logistics'!$H$23:$H$29,0),MATCH($K16,'Upper Cask Movement &amp; Logistics'!$H$23:$H$29,0)),"N/A")</f>
        <v>50</v>
      </c>
      <c r="M16" s="1176">
        <f>IFERROR(VLOOKUP($I16,'Upper Cask Movement &amp; Logistics'!$H$4:$I$8,2,FALSE),"N/A")</f>
        <v>0.02</v>
      </c>
      <c r="N16" s="1176">
        <f>IF(D16="Movement",IFERROR((L16/M16)/(60*60),"Error"),"N/A")</f>
        <v>0.69444444444444442</v>
      </c>
      <c r="O16" s="579"/>
      <c r="P16" s="580" t="str">
        <f>IF($D16="Logistics",VLOOKUP($O16,'Upper Cask Movement &amp; Logistics'!$C$4:$D$32,2,FALSE),"N/A")</f>
        <v>N/A</v>
      </c>
    </row>
    <row r="17" spans="1:16" ht="13.3" outlineLevel="1" thickBot="1" x14ac:dyDescent="0.45">
      <c r="A17" s="1530"/>
      <c r="B17" s="3973"/>
      <c r="C17" s="584" t="str">
        <f>B14</f>
        <v>Replacement blanket transporter cask issued from AMF</v>
      </c>
      <c r="D17" s="584" t="s">
        <v>11</v>
      </c>
      <c r="E17" s="1179">
        <f>MAX($P17,$N17,$H17)</f>
        <v>0</v>
      </c>
      <c r="F17" s="591">
        <f>IF($D17="Trigger",VLOOKUP($C17,'Upper Cask Welding failures'!$E$30:$H$151,5,FALSE),E17+F16)</f>
        <v>5.8838888888888894</v>
      </c>
      <c r="G17" s="586"/>
      <c r="H17" s="576" t="str">
        <f>IF(D17="operation",VLOOKUP(G17,'Generic Vertical Port Tasks'!$C$6:$D$558,2,FALSE),"N/A")</f>
        <v>N/A</v>
      </c>
      <c r="I17" s="584"/>
      <c r="J17" s="584"/>
      <c r="K17" s="584"/>
      <c r="L17" s="1176" t="str">
        <f>IFERROR(INDEX('Upper Cask Movement &amp; Logistics'!$H$24:$P$32,MATCH($J17,'Upper Cask Movement &amp; Logistics'!$H$23:$H$29,0),MATCH($K17,'Upper Cask Movement &amp; Logistics'!$H$23:$H$29,0)),"N/A")</f>
        <v>N/A</v>
      </c>
      <c r="M17" s="1176" t="str">
        <f>IFERROR(VLOOKUP($I17,'Upper Cask Movement &amp; Logistics'!$H$4:$I$8,2,FALSE),"N/A")</f>
        <v>N/A</v>
      </c>
      <c r="N17" s="1176" t="str">
        <f>IF(D17="Movement",IFERROR((L17/M17)/(60*60),"Error"),"N/A")</f>
        <v>N/A</v>
      </c>
      <c r="O17" s="590"/>
      <c r="P17" s="591" t="str">
        <f>IF($D17="Logistics",VLOOKUP($O17,'Upper Cask Movement &amp; Logistics'!$C$4:$D$32,2,FALSE),"N/A")</f>
        <v>N/A</v>
      </c>
    </row>
    <row r="18" spans="1:16" ht="13.3" thickBot="1" x14ac:dyDescent="0.45">
      <c r="A18" s="1530"/>
      <c r="B18" s="1531"/>
      <c r="C18" s="1532"/>
      <c r="D18" s="1532"/>
      <c r="E18" s="1533"/>
      <c r="F18" s="1533"/>
      <c r="G18" s="1532"/>
      <c r="H18" s="1534"/>
      <c r="I18" s="1532"/>
      <c r="J18" s="1532"/>
      <c r="K18" s="1532"/>
      <c r="L18" s="1533"/>
      <c r="M18" s="1533"/>
      <c r="N18" s="1533"/>
      <c r="O18" s="1535"/>
      <c r="P18" s="1536"/>
    </row>
    <row r="19" spans="1:16" x14ac:dyDescent="0.4">
      <c r="A19" s="1521"/>
      <c r="B19" s="1522" t="s">
        <v>1527</v>
      </c>
      <c r="C19" s="1522"/>
      <c r="D19" s="1522"/>
      <c r="E19" s="1522"/>
      <c r="F19" s="1522"/>
      <c r="G19" s="1522"/>
      <c r="H19" s="1522"/>
      <c r="I19" s="1522"/>
      <c r="J19" s="1522"/>
      <c r="K19" s="1522"/>
      <c r="L19" s="1522"/>
      <c r="M19" s="1522"/>
      <c r="N19" s="1522"/>
      <c r="O19" s="1522"/>
      <c r="P19" s="1523"/>
    </row>
    <row r="20" spans="1:16" ht="13.3" outlineLevel="1" thickBot="1" x14ac:dyDescent="0.45">
      <c r="A20" s="1524"/>
      <c r="B20" s="1525"/>
      <c r="C20" s="1526"/>
      <c r="D20" s="1526"/>
      <c r="E20" s="1526"/>
      <c r="F20" s="1526"/>
      <c r="G20" s="1526"/>
      <c r="H20" s="1527"/>
      <c r="I20" s="1526"/>
      <c r="J20" s="1526"/>
      <c r="K20" s="1526"/>
      <c r="L20" s="1528"/>
      <c r="M20" s="1528"/>
      <c r="N20" s="1528"/>
      <c r="O20" s="1526"/>
      <c r="P20" s="1529"/>
    </row>
    <row r="21" spans="1:16" outlineLevel="1" x14ac:dyDescent="0.4">
      <c r="A21" s="1530"/>
      <c r="B21" s="3970" t="s">
        <v>1492</v>
      </c>
      <c r="C21" s="566" t="s">
        <v>1489</v>
      </c>
      <c r="D21" s="566" t="s">
        <v>907</v>
      </c>
      <c r="E21" s="1175">
        <f>MAX($P21,$N21,$H21)</f>
        <v>0</v>
      </c>
      <c r="F21" s="621">
        <f>IF($D21="Trigger",VLOOKUP($C21,'Upper Cask Recovery Scenarios'!$C$54:$G$174,5,FALSE),E21+F20)</f>
        <v>4.7094444444444443</v>
      </c>
      <c r="G21" s="568"/>
      <c r="H21" s="576" t="str">
        <f>IF(D21="operation",VLOOKUP(G21,'Generic Vertical Port Tasks'!$C$6:$D$558,2,FALSE),"N/A")</f>
        <v>N/A</v>
      </c>
      <c r="I21" s="566"/>
      <c r="J21" s="566"/>
      <c r="K21" s="566"/>
      <c r="L21" s="1176" t="str">
        <f>IFERROR(INDEX('Upper Cask Movement &amp; Logistics'!$H$24:$P$32,MATCH($J21,'Upper Cask Movement &amp; Logistics'!$H$23:$H$29,0),MATCH($K21,'Upper Cask Movement &amp; Logistics'!$H$23:$H$29,0)),"N/A")</f>
        <v>N/A</v>
      </c>
      <c r="M21" s="1176" t="str">
        <f>IFERROR(VLOOKUP($I21,'Upper Cask Movement &amp; Logistics'!$H$4:$I$8,2,FALSE),"N/A")</f>
        <v>N/A</v>
      </c>
      <c r="N21" s="1176" t="str">
        <f>IF(D21="Movement",IFERROR((L21/M21)/(60*60),"Error"),"N/A")</f>
        <v>N/A</v>
      </c>
      <c r="O21" s="620"/>
      <c r="P21" s="621" t="str">
        <f>IF($D21="Logistics",VLOOKUP($O21,'Upper Cask Movement &amp; Logistics'!$C$4:$D$32,2,FALSE),"N/A")</f>
        <v>N/A</v>
      </c>
    </row>
    <row r="22" spans="1:16" outlineLevel="1" x14ac:dyDescent="0.4">
      <c r="A22" s="1530"/>
      <c r="B22" s="3972"/>
      <c r="C22" s="573" t="s">
        <v>1528</v>
      </c>
      <c r="D22" s="573" t="s">
        <v>3</v>
      </c>
      <c r="E22" s="1176">
        <f>MAX($P22,$N22,$H22)</f>
        <v>0.48000000000000004</v>
      </c>
      <c r="F22" s="580">
        <f>IF($D22="Trigger",VLOOKUP($C22,'Upper Cask Recovery Scenarios'!$C$54:$G$174,5,FALSE),E22+F21)</f>
        <v>5.1894444444444447</v>
      </c>
      <c r="G22" s="575"/>
      <c r="H22" s="576" t="str">
        <f>IF(D22="operation",VLOOKUP(G22,'Generic Vertical Port Tasks'!$C$6:$D$558,2,FALSE),"N/A")</f>
        <v>N/A</v>
      </c>
      <c r="I22" s="573"/>
      <c r="J22" s="573"/>
      <c r="K22" s="573"/>
      <c r="L22" s="1176" t="str">
        <f>IFERROR(INDEX('Upper Cask Movement &amp; Logistics'!$H$24:$P$32,MATCH($J22,'Upper Cask Movement &amp; Logistics'!$H$23:$H$29,0),MATCH($K22,'Upper Cask Movement &amp; Logistics'!$H$23:$H$29,0)),"N/A")</f>
        <v>N/A</v>
      </c>
      <c r="M22" s="1176" t="str">
        <f>IFERROR(VLOOKUP($I22,'Upper Cask Movement &amp; Logistics'!$H$4:$I$8,2,FALSE),"N/A")</f>
        <v>N/A</v>
      </c>
      <c r="N22" s="1176" t="str">
        <f>IF(D22="Movement",IFERROR((L22/M22)/(60*60),"Error"),"N/A")</f>
        <v>N/A</v>
      </c>
      <c r="O22" s="579" t="s">
        <v>1331</v>
      </c>
      <c r="P22" s="580">
        <f>IF($D22="Logistics",VLOOKUP($O22,'Upper Cask Movement &amp; Logistics'!$C$4:$D$32,2,FALSE),"N/A")</f>
        <v>0.48000000000000004</v>
      </c>
    </row>
    <row r="23" spans="1:16" outlineLevel="1" x14ac:dyDescent="0.4">
      <c r="A23" s="1530"/>
      <c r="B23" s="4000"/>
      <c r="C23" s="582" t="s">
        <v>1529</v>
      </c>
      <c r="D23" s="582" t="s">
        <v>778</v>
      </c>
      <c r="E23" s="1176">
        <f>MAX($P23,$N23,$H23)</f>
        <v>0.69444444444444442</v>
      </c>
      <c r="F23" s="580">
        <f>IF($D23="Trigger",VLOOKUP($C23,'Upper Cask Recovery Scenarios'!$C$54:$G$174,5,FALSE),E23+F22)</f>
        <v>5.8838888888888894</v>
      </c>
      <c r="G23" s="575"/>
      <c r="H23" s="576" t="str">
        <f>IF(D23="operation",VLOOKUP(G23,'Generic Vertical Port Tasks'!$C$6:$D$558,2,FALSE),"N/A")</f>
        <v>N/A</v>
      </c>
      <c r="I23" s="573" t="s">
        <v>855</v>
      </c>
      <c r="J23" s="573" t="s">
        <v>799</v>
      </c>
      <c r="K23" s="573" t="s">
        <v>452</v>
      </c>
      <c r="L23" s="1176">
        <f>IFERROR(INDEX('Upper Cask Movement &amp; Logistics'!$H$24:$P$32,MATCH($J23,'Upper Cask Movement &amp; Logistics'!$H$23:$H$29,0),MATCH($K23,'Upper Cask Movement &amp; Logistics'!$H$23:$H$29,0)),"N/A")</f>
        <v>50</v>
      </c>
      <c r="M23" s="1176">
        <f>IFERROR(VLOOKUP($I23,'Upper Cask Movement &amp; Logistics'!$H$4:$I$8,2,FALSE),"N/A")</f>
        <v>0.02</v>
      </c>
      <c r="N23" s="1176">
        <f>IF(D23="Movement",IFERROR((L23/M23)/(60*60),"Error"),"N/A")</f>
        <v>0.69444444444444442</v>
      </c>
      <c r="O23" s="579"/>
      <c r="P23" s="580" t="str">
        <f>IF($D23="Logistics",VLOOKUP($O23,'Upper Cask Movement &amp; Logistics'!$C$4:$D$32,2,FALSE),"N/A")</f>
        <v>N/A</v>
      </c>
    </row>
    <row r="24" spans="1:16" ht="13.3" outlineLevel="1" thickBot="1" x14ac:dyDescent="0.45">
      <c r="A24" s="1530"/>
      <c r="B24" s="3973"/>
      <c r="C24" s="584" t="str">
        <f>B21</f>
        <v>Replacement MM equipment cask issued from AMF</v>
      </c>
      <c r="D24" s="584" t="s">
        <v>11</v>
      </c>
      <c r="E24" s="1179">
        <f>MAX($P24,$N24,$H24)</f>
        <v>0</v>
      </c>
      <c r="F24" s="591">
        <f>IF($D24="Trigger",VLOOKUP($C24,'Upper Cask Recovery Scenarios'!$C$54:$G$174,5,FALSE),E24+F23)</f>
        <v>5.8838888888888894</v>
      </c>
      <c r="G24" s="586"/>
      <c r="H24" s="576" t="str">
        <f>IF(D24="operation",VLOOKUP(G24,'Generic Vertical Port Tasks'!$C$6:$D$558,2,FALSE),"N/A")</f>
        <v>N/A</v>
      </c>
      <c r="I24" s="584"/>
      <c r="J24" s="584"/>
      <c r="K24" s="584"/>
      <c r="L24" s="1176" t="str">
        <f>IFERROR(INDEX('Upper Cask Movement &amp; Logistics'!$H$24:$P$32,MATCH($J24,'Upper Cask Movement &amp; Logistics'!$H$23:$H$29,0),MATCH($K24,'Upper Cask Movement &amp; Logistics'!$H$23:$H$29,0)),"N/A")</f>
        <v>N/A</v>
      </c>
      <c r="M24" s="1176" t="str">
        <f>IFERROR(VLOOKUP($I24,'Upper Cask Movement &amp; Logistics'!$H$4:$I$8,2,FALSE),"N/A")</f>
        <v>N/A</v>
      </c>
      <c r="N24" s="1176" t="str">
        <f>IF(D24="Movement",IFERROR((L24/M24)/(60*60),"Error"),"N/A")</f>
        <v>N/A</v>
      </c>
      <c r="O24" s="590"/>
      <c r="P24" s="591" t="str">
        <f>IF($D24="Logistics",VLOOKUP($O24,'Upper Cask Movement &amp; Logistics'!$C$4:$D$32,2,FALSE),"N/A")</f>
        <v>N/A</v>
      </c>
    </row>
    <row r="25" spans="1:16" ht="13.3" thickBot="1" x14ac:dyDescent="0.45">
      <c r="A25" s="1537"/>
      <c r="B25" s="1538"/>
      <c r="C25" s="1539"/>
      <c r="D25" s="1539"/>
      <c r="E25" s="1540"/>
      <c r="F25" s="1540"/>
      <c r="G25" s="1539"/>
      <c r="H25" s="1541"/>
      <c r="I25" s="1539"/>
      <c r="J25" s="1539"/>
      <c r="K25" s="1539"/>
      <c r="L25" s="1540"/>
      <c r="M25" s="1540"/>
      <c r="N25" s="1540"/>
      <c r="O25" s="1542"/>
      <c r="P25" s="1543"/>
    </row>
    <row r="26" spans="1:16" ht="13.3" thickBot="1" x14ac:dyDescent="0.45">
      <c r="A26" s="1161"/>
      <c r="B26" s="1544"/>
      <c r="C26" s="947"/>
      <c r="D26" s="947"/>
      <c r="E26" s="947"/>
      <c r="F26" s="947"/>
      <c r="G26" s="947"/>
      <c r="H26" s="938"/>
      <c r="I26" s="947"/>
      <c r="J26" s="947"/>
      <c r="K26" s="947"/>
      <c r="L26" s="1545"/>
      <c r="M26" s="1545"/>
      <c r="N26" s="1545"/>
      <c r="O26" s="947"/>
      <c r="P26" s="1546"/>
    </row>
    <row r="27" spans="1:16" x14ac:dyDescent="0.4">
      <c r="A27" s="1166"/>
      <c r="B27" s="1167" t="s">
        <v>1165</v>
      </c>
      <c r="C27" s="1167"/>
      <c r="D27" s="1167"/>
      <c r="E27" s="1167"/>
      <c r="F27" s="1167"/>
      <c r="G27" s="1167"/>
      <c r="H27" s="1167"/>
      <c r="I27" s="1167"/>
      <c r="J27" s="1167"/>
      <c r="K27" s="1167"/>
      <c r="L27" s="1167"/>
      <c r="M27" s="1167"/>
      <c r="N27" s="1167"/>
      <c r="O27" s="1167"/>
      <c r="P27" s="1168"/>
    </row>
    <row r="28" spans="1:16" ht="13.3" outlineLevel="1" thickBot="1" x14ac:dyDescent="0.45">
      <c r="A28" s="1169"/>
      <c r="B28" s="1547"/>
      <c r="C28" s="1170"/>
      <c r="D28" s="1170"/>
      <c r="E28" s="1170"/>
      <c r="F28" s="1170"/>
      <c r="G28" s="1170"/>
      <c r="H28" s="1548"/>
      <c r="I28" s="1170"/>
      <c r="J28" s="1170"/>
      <c r="K28" s="1170"/>
      <c r="L28" s="1171"/>
      <c r="M28" s="1171"/>
      <c r="N28" s="1171"/>
      <c r="O28" s="1170"/>
      <c r="P28" s="1172"/>
    </row>
    <row r="29" spans="1:16" s="89" customFormat="1" outlineLevel="1" x14ac:dyDescent="0.35">
      <c r="A29" s="1169"/>
      <c r="B29" s="3964" t="s">
        <v>1354</v>
      </c>
      <c r="C29" s="1324" t="str">
        <f>'Upper Cask Welding failures'!E46</f>
        <v>Weld Failure identified at COB/Pipe Module joint</v>
      </c>
      <c r="D29" s="1324" t="s">
        <v>907</v>
      </c>
      <c r="E29" s="1291">
        <f t="shared" ref="E29:E125" si="0">MAX($P29,$N29,$H29)</f>
        <v>0</v>
      </c>
      <c r="F29" s="1291">
        <f>IF($D29="Trigger",VLOOKUP($C29,'Upper Cask Welding failures'!$E$46:$H$564,4,FALSE),E29+F28)</f>
        <v>0</v>
      </c>
      <c r="G29" s="825"/>
      <c r="H29" s="1323" t="str">
        <f>IF(D29="operation",VLOOKUP(G29,'Generic Vertical Port Tasks'!#REF!,2,FALSE),"N/A")</f>
        <v>N/A</v>
      </c>
      <c r="I29" s="1324"/>
      <c r="J29" s="1324"/>
      <c r="K29" s="1324"/>
      <c r="L29" s="1325" t="str">
        <f>IFERROR(INDEX('Upper Cask Movement &amp; Logistics'!$I$24:$O$30,MATCH($J29,'Upper Cask Movement &amp; Logistics'!$H$24:$H$30,0),MATCH($K29,'Upper Cask Movement &amp; Logistics'!$H$24:$H$30,0)),"N/A")</f>
        <v>N/A</v>
      </c>
      <c r="M29" s="1325" t="str">
        <f>IFERROR(VLOOKUP($I29,'Upper Cask Movement &amp; Logistics'!$H$4:$I$8,2,FALSE),"N/A")</f>
        <v>N/A</v>
      </c>
      <c r="N29" s="1326" t="str">
        <f t="shared" ref="N29:N121" si="1">IF(D29="Movement",IFERROR((L29/M29)/(60*60),"Error"),"N/A")</f>
        <v>N/A</v>
      </c>
      <c r="O29" s="1327"/>
      <c r="P29" s="824" t="str">
        <f>IF($D29="Logistics",VLOOKUP($O29,'Upper Cask Movement &amp; Logistics'!$C$4:$D$77,2,FALSE),"N/A")</f>
        <v>N/A</v>
      </c>
    </row>
    <row r="30" spans="1:16" s="89" customFormat="1" outlineLevel="1" x14ac:dyDescent="0.35">
      <c r="A30" s="1169"/>
      <c r="B30" s="3965"/>
      <c r="C30" s="1294" t="s">
        <v>1345</v>
      </c>
      <c r="D30" s="1294" t="s">
        <v>778</v>
      </c>
      <c r="E30" s="1292">
        <f t="shared" si="0"/>
        <v>0.27777777777777779</v>
      </c>
      <c r="F30" s="1292">
        <f>IF($D30="Trigger",VLOOKUP($C30,'Upper Cask Welding failures'!$E$46:$H$564,4,FALSE),E30+F29)</f>
        <v>0.27777777777777779</v>
      </c>
      <c r="G30" s="862"/>
      <c r="H30" s="1328" t="str">
        <f>IF(D30="operation",VLOOKUP(G30,'Generic Vertical Port Tasks'!#REF!,2,FALSE),"N/A")</f>
        <v>N/A</v>
      </c>
      <c r="I30" s="1294" t="s">
        <v>1789</v>
      </c>
      <c r="J30" s="1294" t="s">
        <v>831</v>
      </c>
      <c r="K30" s="1294" t="s">
        <v>914</v>
      </c>
      <c r="L30" s="1329">
        <f>IFERROR(INDEX('Upper Cask Movement &amp; Logistics'!$I$24:$O$30,MATCH($J30,'Upper Cask Movement &amp; Logistics'!$H$24:$H$30,0),MATCH($K30,'Upper Cask Movement &amp; Logistics'!$H$24:$H$30,0)),"N/A")</f>
        <v>20</v>
      </c>
      <c r="M30" s="1329">
        <f>IFERROR(VLOOKUP($I30,'Upper Cask Movement &amp; Logistics'!$H$4:$I$8,2,FALSE),"N/A")</f>
        <v>0.02</v>
      </c>
      <c r="N30" s="1330">
        <f t="shared" si="1"/>
        <v>0.27777777777777779</v>
      </c>
      <c r="O30" s="1331"/>
      <c r="P30" s="1332" t="str">
        <f>IF($D30="Logistics",VLOOKUP($O30,'Upper Cask Movement &amp; Logistics'!$C$4:$D$77,2,FALSE),"N/A")</f>
        <v>N/A</v>
      </c>
    </row>
    <row r="31" spans="1:16" s="89" customFormat="1" outlineLevel="1" x14ac:dyDescent="0.35">
      <c r="A31" s="1169"/>
      <c r="B31" s="3965"/>
      <c r="C31" s="1294" t="s">
        <v>1357</v>
      </c>
      <c r="D31" s="1294" t="s">
        <v>3</v>
      </c>
      <c r="E31" s="1292">
        <f t="shared" si="0"/>
        <v>0.48000000000000004</v>
      </c>
      <c r="F31" s="1292">
        <f>IF($D31="Trigger",VLOOKUP($C31,'Upper Cask Welding failures'!$E$46:$H$564,4,FALSE),E31+F30)</f>
        <v>0.75777777777777788</v>
      </c>
      <c r="G31" s="862"/>
      <c r="H31" s="1328" t="str">
        <f>IF(D31="operation",VLOOKUP(G31,'Generic Vertical Port Tasks'!#REF!,2,FALSE),"N/A")</f>
        <v>N/A</v>
      </c>
      <c r="I31" s="1294"/>
      <c r="J31" s="1294"/>
      <c r="K31" s="1294"/>
      <c r="L31" s="1329" t="str">
        <f>IFERROR(INDEX('Upper Cask Movement &amp; Logistics'!$I$24:$O$30,MATCH($J31,'Upper Cask Movement &amp; Logistics'!$H$24:$H$30,0),MATCH($K31,'Upper Cask Movement &amp; Logistics'!$H$24:$H$30,0)),"N/A")</f>
        <v>N/A</v>
      </c>
      <c r="M31" s="1329" t="str">
        <f>IFERROR(VLOOKUP($I31,'Upper Cask Movement &amp; Logistics'!$H$4:$I$8,2,FALSE),"N/A")</f>
        <v>N/A</v>
      </c>
      <c r="N31" s="1330" t="str">
        <f t="shared" si="1"/>
        <v>N/A</v>
      </c>
      <c r="O31" s="1331" t="s">
        <v>1330</v>
      </c>
      <c r="P31" s="1332">
        <f>IF($D31="Logistics",VLOOKUP($O31,'Upper Cask Movement &amp; Logistics'!$C$4:$D$77,2,FALSE),"N/A")</f>
        <v>0.48000000000000004</v>
      </c>
    </row>
    <row r="32" spans="1:16" s="89" customFormat="1" outlineLevel="1" x14ac:dyDescent="0.35">
      <c r="A32" s="1169"/>
      <c r="B32" s="3965"/>
      <c r="C32" s="1294" t="s">
        <v>1338</v>
      </c>
      <c r="D32" s="1294" t="s">
        <v>778</v>
      </c>
      <c r="E32" s="1292">
        <f t="shared" si="0"/>
        <v>2.7777777777777776E-2</v>
      </c>
      <c r="F32" s="1292">
        <f>IF($D32="Trigger",VLOOKUP($C32,'Upper Cask Welding failures'!$E$46:$H$564,4,FALSE),E32+F31)</f>
        <v>0.78555555555555567</v>
      </c>
      <c r="G32" s="862"/>
      <c r="H32" s="1328" t="str">
        <f>IF(D32="operation",VLOOKUP(G32,'Generic Vertical Port Tasks'!#REF!,2,FALSE),"N/A")</f>
        <v>N/A</v>
      </c>
      <c r="I32" s="1294" t="s">
        <v>2502</v>
      </c>
      <c r="J32" s="1294" t="s">
        <v>914</v>
      </c>
      <c r="K32" s="1294" t="s">
        <v>799</v>
      </c>
      <c r="L32" s="1329">
        <f>IFERROR(INDEX('Upper Cask Movement &amp; Logistics'!$I$24:$O$30,MATCH($J32,'Upper Cask Movement &amp; Logistics'!$H$24:$H$30,0),MATCH($K32,'Upper Cask Movement &amp; Logistics'!$H$24:$H$30,0)),"N/A")</f>
        <v>20</v>
      </c>
      <c r="M32" s="1329">
        <f>IFERROR(VLOOKUP($I32,'Upper Cask Movement &amp; Logistics'!$H$4:$I$8,2,FALSE),"N/A")</f>
        <v>0.2</v>
      </c>
      <c r="N32" s="1330">
        <f t="shared" si="1"/>
        <v>2.7777777777777776E-2</v>
      </c>
      <c r="O32" s="1331"/>
      <c r="P32" s="1332" t="str">
        <f>IF($D32="Logistics",VLOOKUP($O32,'Upper Cask Movement &amp; Logistics'!$C$4:$D$77,2,FALSE),"N/A")</f>
        <v>N/A</v>
      </c>
    </row>
    <row r="33" spans="1:16" s="89" customFormat="1" outlineLevel="1" x14ac:dyDescent="0.35">
      <c r="A33" s="1169"/>
      <c r="B33" s="3967"/>
      <c r="C33" s="1346" t="s">
        <v>1358</v>
      </c>
      <c r="D33" s="1346" t="s">
        <v>3</v>
      </c>
      <c r="E33" s="1347">
        <f t="shared" si="0"/>
        <v>0.48000000000000004</v>
      </c>
      <c r="F33" s="1347">
        <f>IF($D33="Trigger",VLOOKUP($C33,'Upper Cask Welding failures'!$E$46:$H$564,4,FALSE),E33+F32)</f>
        <v>1.2655555555555558</v>
      </c>
      <c r="G33" s="1348"/>
      <c r="H33" s="1328" t="str">
        <f>IF(D33="operation",VLOOKUP(G33,'Generic Vertical Port Tasks'!#REF!,2,FALSE),"N/A")</f>
        <v>N/A</v>
      </c>
      <c r="I33" s="1346"/>
      <c r="J33" s="1346"/>
      <c r="K33" s="1346"/>
      <c r="L33" s="1329" t="str">
        <f>IFERROR(INDEX('Upper Cask Movement &amp; Logistics'!$I$24:$O$30,MATCH($J33,'Upper Cask Movement &amp; Logistics'!$H$24:$H$30,0),MATCH($K33,'Upper Cask Movement &amp; Logistics'!$H$24:$H$30,0)),"N/A")</f>
        <v>N/A</v>
      </c>
      <c r="M33" s="1329" t="str">
        <f>IFERROR(VLOOKUP($I33,'Upper Cask Movement &amp; Logistics'!$H$4:$I$8,2,FALSE),"N/A")</f>
        <v>N/A</v>
      </c>
      <c r="N33" s="1330" t="str">
        <f t="shared" si="1"/>
        <v>N/A</v>
      </c>
      <c r="O33" s="1331" t="s">
        <v>1331</v>
      </c>
      <c r="P33" s="1332">
        <f>IF($D33="Logistics",VLOOKUP($O33,'Upper Cask Movement &amp; Logistics'!$C$4:$D$77,2,FALSE),"N/A")</f>
        <v>0.48000000000000004</v>
      </c>
    </row>
    <row r="34" spans="1:16" s="89" customFormat="1" outlineLevel="1" x14ac:dyDescent="0.35">
      <c r="A34" s="1169"/>
      <c r="B34" s="3967"/>
      <c r="C34" s="1346" t="s">
        <v>1222</v>
      </c>
      <c r="D34" s="1346" t="s">
        <v>778</v>
      </c>
      <c r="E34" s="1347">
        <f t="shared" si="0"/>
        <v>0.69444444444444442</v>
      </c>
      <c r="F34" s="1347">
        <f>IF($D34="Trigger",VLOOKUP($C34,'Upper Cask Welding failures'!$E$46:$H$564,4,FALSE),E34+F33)</f>
        <v>1.9600000000000002</v>
      </c>
      <c r="G34" s="1348"/>
      <c r="H34" s="1328" t="str">
        <f>IF(D34="operation",VLOOKUP(G34,'Generic Vertical Port Tasks'!#REF!,2,FALSE),"N/A")</f>
        <v>N/A</v>
      </c>
      <c r="I34" s="1346" t="s">
        <v>1789</v>
      </c>
      <c r="J34" s="1294" t="s">
        <v>799</v>
      </c>
      <c r="K34" s="1346" t="s">
        <v>816</v>
      </c>
      <c r="L34" s="1329">
        <f>IFERROR(INDEX('Upper Cask Movement &amp; Logistics'!$I$24:$O$30,MATCH($J34,'Upper Cask Movement &amp; Logistics'!$H$24:$H$30,0),MATCH($K34,'Upper Cask Movement &amp; Logistics'!$H$24:$H$30,0)),"N/A")</f>
        <v>50</v>
      </c>
      <c r="M34" s="1329">
        <f>IFERROR(VLOOKUP($I34,'Upper Cask Movement &amp; Logistics'!$H$4:$I$8,2,FALSE),"N/A")</f>
        <v>0.02</v>
      </c>
      <c r="N34" s="1330">
        <f t="shared" si="1"/>
        <v>0.69444444444444442</v>
      </c>
      <c r="O34" s="1331"/>
      <c r="P34" s="1332" t="str">
        <f>IF($D34="Logistics",VLOOKUP($O34,'Upper Cask Movement &amp; Logistics'!$C$4:$D$77,2,FALSE),"N/A")</f>
        <v>N/A</v>
      </c>
    </row>
    <row r="35" spans="1:16" s="89" customFormat="1" outlineLevel="1" x14ac:dyDescent="0.35">
      <c r="A35" s="1169"/>
      <c r="B35" s="3967"/>
      <c r="C35" s="1346" t="s">
        <v>1359</v>
      </c>
      <c r="D35" s="1346" t="s">
        <v>3</v>
      </c>
      <c r="E35" s="1347">
        <f t="shared" si="0"/>
        <v>1.6400000000000001</v>
      </c>
      <c r="F35" s="1347">
        <f>IF($D35="Trigger",VLOOKUP($C35,'Upper Cask Welding failures'!$E$46:$H$564,4,FALSE),E35+F34)</f>
        <v>3.6000000000000005</v>
      </c>
      <c r="G35" s="1348"/>
      <c r="H35" s="1328" t="str">
        <f>IF(D35="operation",VLOOKUP(G35,'Generic Vertical Port Tasks'!#REF!,2,FALSE),"N/A")</f>
        <v>N/A</v>
      </c>
      <c r="I35" s="1346"/>
      <c r="J35" s="1346"/>
      <c r="K35" s="1346"/>
      <c r="L35" s="1329" t="str">
        <f>IFERROR(INDEX('Upper Cask Movement &amp; Logistics'!$I$24:$O$30,MATCH($J35,'Upper Cask Movement &amp; Logistics'!$H$24:$H$30,0),MATCH($K35,'Upper Cask Movement &amp; Logistics'!$H$24:$H$30,0)),"N/A")</f>
        <v>N/A</v>
      </c>
      <c r="M35" s="1329" t="str">
        <f>IFERROR(VLOOKUP($I35,'Upper Cask Movement &amp; Logistics'!$H$4:$I$8,2,FALSE),"N/A")</f>
        <v>N/A</v>
      </c>
      <c r="N35" s="1330" t="str">
        <f t="shared" si="1"/>
        <v>N/A</v>
      </c>
      <c r="O35" s="1331" t="s">
        <v>1224</v>
      </c>
      <c r="P35" s="1332">
        <f>IF($D35="Logistics",VLOOKUP($O35,'Upper Cask Movement &amp; Logistics'!$C$4:$D$77,2,FALSE),"N/A")</f>
        <v>1.6400000000000001</v>
      </c>
    </row>
    <row r="36" spans="1:16" s="89" customFormat="1" ht="26.15" outlineLevel="1" thickBot="1" x14ac:dyDescent="0.4">
      <c r="A36" s="1169"/>
      <c r="B36" s="3967"/>
      <c r="C36" s="1346" t="str">
        <f>B29</f>
        <v>Shield Plug &amp; Fixations &amp; Hardware Cask 3 stored; Equipment Cask 2 collected; Equipment cask 2 docked</v>
      </c>
      <c r="D36" s="1346" t="s">
        <v>11</v>
      </c>
      <c r="E36" s="1347">
        <f t="shared" si="0"/>
        <v>0</v>
      </c>
      <c r="F36" s="1347">
        <f>IF($D36="Trigger",VLOOKUP($C36,'Upper Cask Welding failures'!$E$46:$H$564,4,FALSE),E36+F35)</f>
        <v>3.6000000000000005</v>
      </c>
      <c r="G36" s="1348"/>
      <c r="H36" s="1328" t="str">
        <f>IF(D36="operation",VLOOKUP(G36,'Generic Vertical Port Tasks'!#REF!,2,FALSE),"N/A")</f>
        <v>N/A</v>
      </c>
      <c r="I36" s="1346"/>
      <c r="J36" s="1346"/>
      <c r="K36" s="1346"/>
      <c r="L36" s="1329" t="str">
        <f>IFERROR(INDEX('Upper Cask Movement &amp; Logistics'!$I$24:$O$30,MATCH($J36,'Upper Cask Movement &amp; Logistics'!$H$24:$H$30,0),MATCH($K36,'Upper Cask Movement &amp; Logistics'!$H$24:$H$30,0)),"N/A")</f>
        <v>N/A</v>
      </c>
      <c r="M36" s="1329" t="str">
        <f>IFERROR(VLOOKUP($I36,'Upper Cask Movement &amp; Logistics'!$H$4:$I$8,2,FALSE),"N/A")</f>
        <v>N/A</v>
      </c>
      <c r="N36" s="1330" t="str">
        <f t="shared" si="1"/>
        <v>N/A</v>
      </c>
      <c r="O36" s="1331"/>
      <c r="P36" s="1332" t="str">
        <f>IF($D36="Logistics",VLOOKUP($O36,'Upper Cask Movement &amp; Logistics'!$C$4:$D$77,2,FALSE),"N/A")</f>
        <v>N/A</v>
      </c>
    </row>
    <row r="37" spans="1:16" s="89" customFormat="1" outlineLevel="1" x14ac:dyDescent="0.35">
      <c r="A37" s="1169"/>
      <c r="B37" s="3960" t="s">
        <v>1368</v>
      </c>
      <c r="C37" s="1333" t="str">
        <f>'Upper Cask Critical Path'!C70</f>
        <v>Extract COB Pipe Module</v>
      </c>
      <c r="D37" s="1333" t="s">
        <v>907</v>
      </c>
      <c r="E37" s="1303">
        <f t="shared" si="0"/>
        <v>0</v>
      </c>
      <c r="F37" s="1303">
        <f>IF($D37="Trigger",VLOOKUP($C37,'Upper Cask Welding failures'!$E$46:$H$564,4,FALSE),E37+F36)</f>
        <v>2.1549155317167692</v>
      </c>
      <c r="G37" s="1304"/>
      <c r="H37" s="1305" t="str">
        <f>IF(D37="operation",VLOOKUP(G37,'Generic Vertical Port Tasks'!C91:D174,2,FALSE),"N/A")</f>
        <v>N/A</v>
      </c>
      <c r="I37" s="1333"/>
      <c r="J37" s="1333"/>
      <c r="K37" s="1333"/>
      <c r="L37" s="1334" t="str">
        <f>IFERROR(INDEX('Upper Cask Movement &amp; Logistics'!$I$24:$O$30,MATCH($J37,'Upper Cask Movement &amp; Logistics'!$H$24:$H$30,0),MATCH($K37,'Upper Cask Movement &amp; Logistics'!$H$24:$H$30,0)),"N/A")</f>
        <v>N/A</v>
      </c>
      <c r="M37" s="1334" t="str">
        <f>IFERROR(VLOOKUP($I37,'Upper Cask Movement &amp; Logistics'!$H$4:$I$8,2,FALSE),"N/A")</f>
        <v>N/A</v>
      </c>
      <c r="N37" s="1335" t="str">
        <f t="shared" si="1"/>
        <v>N/A</v>
      </c>
      <c r="O37" s="1336"/>
      <c r="P37" s="1337" t="str">
        <f>IF($D37="Logistics",VLOOKUP($O37,'Upper Cask Movement &amp; Logistics'!$C$4:$D$77,2,FALSE),"N/A")</f>
        <v>N/A</v>
      </c>
    </row>
    <row r="38" spans="1:16" s="89" customFormat="1" outlineLevel="1" x14ac:dyDescent="0.35">
      <c r="A38" s="1169"/>
      <c r="B38" s="3968"/>
      <c r="C38" s="1240" t="s">
        <v>1369</v>
      </c>
      <c r="D38" s="1240" t="s">
        <v>3</v>
      </c>
      <c r="E38" s="1241">
        <f t="shared" si="0"/>
        <v>2.3000000000000003</v>
      </c>
      <c r="F38" s="1241">
        <f>IF($D38="Trigger",VLOOKUP($C38,'Upper Cask Welding failures'!$E$46:$H$564,4,FALSE),E38+F37)</f>
        <v>4.4549155317167699</v>
      </c>
      <c r="G38" s="1354"/>
      <c r="H38" s="1355" t="str">
        <f>IF(D38="operation",VLOOKUP(G38,'Generic Vertical Port Tasks'!C91:D175,2,FALSE),"N/A")</f>
        <v>N/A</v>
      </c>
      <c r="I38" s="1240"/>
      <c r="J38" s="1240"/>
      <c r="K38" s="1240"/>
      <c r="L38" s="1242" t="str">
        <f>IFERROR(INDEX('Upper Cask Movement &amp; Logistics'!$I$24:$O$30,MATCH($J38,'Upper Cask Movement &amp; Logistics'!$H$24:$H$30,0),MATCH($K38,'Upper Cask Movement &amp; Logistics'!$H$24:$H$30,0)),"N/A")</f>
        <v>N/A</v>
      </c>
      <c r="M38" s="1242" t="str">
        <f>IFERROR(VLOOKUP($I38,'Upper Cask Movement &amp; Logistics'!$H$4:$I$8,2,FALSE),"N/A")</f>
        <v>N/A</v>
      </c>
      <c r="N38" s="1356" t="str">
        <f t="shared" si="1"/>
        <v>N/A</v>
      </c>
      <c r="O38" s="1357" t="s">
        <v>1269</v>
      </c>
      <c r="P38" s="1358">
        <f>IF($D38="Logistics",VLOOKUP($O38,'Upper Cask Movement &amp; Logistics'!$C$4:$D$77,2,FALSE),"N/A")</f>
        <v>2.3000000000000003</v>
      </c>
    </row>
    <row r="39" spans="1:16" s="89" customFormat="1" outlineLevel="1" x14ac:dyDescent="0.35">
      <c r="A39" s="1169"/>
      <c r="B39" s="3961"/>
      <c r="C39" s="1243" t="s">
        <v>1370</v>
      </c>
      <c r="D39" s="1243" t="s">
        <v>778</v>
      </c>
      <c r="E39" s="1244">
        <f t="shared" si="0"/>
        <v>0.69444444444444442</v>
      </c>
      <c r="F39" s="1244">
        <f>IF($D39="Trigger",VLOOKUP($C39,'Upper Cask Welding failures'!$E$46:$H$564,4,FALSE),E39+F38)</f>
        <v>5.1493599761612145</v>
      </c>
      <c r="G39" s="1309"/>
      <c r="H39" s="1310" t="str">
        <f>IF(D39="operation",VLOOKUP(G39,'Generic Vertical Port Tasks'!C91:D177,2,FALSE),"N/A")</f>
        <v>N/A</v>
      </c>
      <c r="I39" s="1243" t="s">
        <v>1789</v>
      </c>
      <c r="J39" s="1243" t="s">
        <v>901</v>
      </c>
      <c r="K39" s="1243" t="s">
        <v>831</v>
      </c>
      <c r="L39" s="1245">
        <f>IFERROR(INDEX('Upper Cask Movement &amp; Logistics'!$I$24:$O$30,MATCH($J39,'Upper Cask Movement &amp; Logistics'!$H$24:$H$30,0),MATCH($K39,'Upper Cask Movement &amp; Logistics'!$H$24:$H$30,0)),"N/A")</f>
        <v>50</v>
      </c>
      <c r="M39" s="1245">
        <f>IFERROR(VLOOKUP($I39,'Upper Cask Movement &amp; Logistics'!$H$4:$I$8,2,FALSE),"N/A")</f>
        <v>0.02</v>
      </c>
      <c r="N39" s="1311">
        <f t="shared" si="1"/>
        <v>0.69444444444444442</v>
      </c>
      <c r="O39" s="1312"/>
      <c r="P39" s="1313" t="str">
        <f>IF($D39="Logistics",VLOOKUP($O39,'Upper Cask Movement &amp; Logistics'!$C$4:$D$77,2,FALSE),"N/A")</f>
        <v>N/A</v>
      </c>
    </row>
    <row r="40" spans="1:16" s="89" customFormat="1" outlineLevel="1" x14ac:dyDescent="0.35">
      <c r="A40" s="1169"/>
      <c r="B40" s="3961"/>
      <c r="C40" s="1243" t="s">
        <v>1371</v>
      </c>
      <c r="D40" s="1243" t="s">
        <v>3</v>
      </c>
      <c r="E40" s="1244">
        <f t="shared" si="0"/>
        <v>0.68</v>
      </c>
      <c r="F40" s="1244">
        <f>IF($D40="Trigger",VLOOKUP($C40,'Upper Cask Welding failures'!$E$46:$H$564,4,FALSE),E40+F39)</f>
        <v>5.8293599761612143</v>
      </c>
      <c r="G40" s="1309"/>
      <c r="H40" s="1310" t="str">
        <f>IF(D40="operation",VLOOKUP(G40,'Generic Vertical Port Tasks'!C91:D178,2,FALSE),"N/A")</f>
        <v>N/A</v>
      </c>
      <c r="I40" s="1243"/>
      <c r="J40" s="1243"/>
      <c r="K40" s="1243"/>
      <c r="L40" s="1245" t="str">
        <f>IFERROR(INDEX('Upper Cask Movement &amp; Logistics'!$I$24:$O$30,MATCH($J40,'Upper Cask Movement &amp; Logistics'!$H$24:$H$30,0),MATCH($K40,'Upper Cask Movement &amp; Logistics'!$H$24:$H$30,0)),"N/A")</f>
        <v>N/A</v>
      </c>
      <c r="M40" s="1245" t="str">
        <f>IFERROR(VLOOKUP($I40,'Upper Cask Movement &amp; Logistics'!$H$4:$I$8,2,FALSE),"N/A")</f>
        <v>N/A</v>
      </c>
      <c r="N40" s="1311" t="str">
        <f t="shared" si="1"/>
        <v>N/A</v>
      </c>
      <c r="O40" s="1312" t="s">
        <v>1213</v>
      </c>
      <c r="P40" s="1313">
        <f>IF($D40="Logistics",VLOOKUP($O40,'Upper Cask Movement &amp; Logistics'!$C$4:$D$77,2,FALSE),"N/A")</f>
        <v>0.68</v>
      </c>
    </row>
    <row r="41" spans="1:16" s="89" customFormat="1" outlineLevel="1" x14ac:dyDescent="0.35">
      <c r="A41" s="1169"/>
      <c r="B41" s="3962"/>
      <c r="C41" s="1249" t="s">
        <v>1366</v>
      </c>
      <c r="D41" s="1249" t="s">
        <v>778</v>
      </c>
      <c r="E41" s="1250">
        <f t="shared" si="0"/>
        <v>0.23148148148148148</v>
      </c>
      <c r="F41" s="1250">
        <f>IF($D41="Trigger",VLOOKUP($C41,'Upper Cask Welding failures'!$E$46:$H$564,4,FALSE),E41+F40)</f>
        <v>6.0608414576426961</v>
      </c>
      <c r="G41" s="1338"/>
      <c r="H41" s="1359" t="str">
        <f>IF(D41="operation",VLOOKUP(G41,'Generic Vertical Port Tasks'!C91:D178,2,FALSE),"N/A")</f>
        <v>N/A</v>
      </c>
      <c r="I41" s="1249" t="s">
        <v>2501</v>
      </c>
      <c r="J41" s="1249" t="s">
        <v>831</v>
      </c>
      <c r="K41" s="1249" t="s">
        <v>901</v>
      </c>
      <c r="L41" s="1252">
        <f>IFERROR(INDEX('Upper Cask Movement &amp; Logistics'!$I$24:$O$30,MATCH($J41,'Upper Cask Movement &amp; Logistics'!$H$24:$H$30,0),MATCH($K41,'Upper Cask Movement &amp; Logistics'!$H$24:$H$30,0)),"N/A")</f>
        <v>50</v>
      </c>
      <c r="M41" s="1252">
        <f>IFERROR(VLOOKUP($I41,'Upper Cask Movement &amp; Logistics'!$H$4:$I$8,2,FALSE),"N/A")</f>
        <v>0.06</v>
      </c>
      <c r="N41" s="1360">
        <f t="shared" si="1"/>
        <v>0.23148148148148148</v>
      </c>
      <c r="O41" s="1339"/>
      <c r="P41" s="1361" t="str">
        <f>IF($D41="Logistics",VLOOKUP($O41,'Upper Cask Movement &amp; Logistics'!$C$4:$D$77,2,FALSE),"N/A")</f>
        <v>N/A</v>
      </c>
    </row>
    <row r="42" spans="1:16" s="89" customFormat="1" outlineLevel="1" x14ac:dyDescent="0.35">
      <c r="A42" s="1169"/>
      <c r="B42" s="3962"/>
      <c r="C42" s="1249" t="s">
        <v>1367</v>
      </c>
      <c r="D42" s="1249" t="s">
        <v>3</v>
      </c>
      <c r="E42" s="1250">
        <f t="shared" si="0"/>
        <v>1.4000000000000001</v>
      </c>
      <c r="F42" s="1250">
        <f>IF($D42="Trigger",VLOOKUP($C42,'Upper Cask Welding failures'!$E$46:$H$564,4,FALSE),E42+F41)</f>
        <v>7.4608414576426965</v>
      </c>
      <c r="G42" s="1338"/>
      <c r="H42" s="1359" t="str">
        <f>IF(D42="operation",VLOOKUP(G42,'Generic Vertical Port Tasks'!C91:D178,2,FALSE),"N/A")</f>
        <v>N/A</v>
      </c>
      <c r="I42" s="1249"/>
      <c r="J42" s="1249"/>
      <c r="K42" s="1249"/>
      <c r="L42" s="1252" t="str">
        <f>IFERROR(INDEX('Upper Cask Movement &amp; Logistics'!$I$24:$O$30,MATCH($J42,'Upper Cask Movement &amp; Logistics'!$H$24:$H$30,0),MATCH($K42,'Upper Cask Movement &amp; Logistics'!$H$24:$H$30,0)),"N/A")</f>
        <v>N/A</v>
      </c>
      <c r="M42" s="1252" t="str">
        <f>IFERROR(VLOOKUP($I42,'Upper Cask Movement &amp; Logistics'!$H$4:$I$8,2,FALSE),"N/A")</f>
        <v>N/A</v>
      </c>
      <c r="N42" s="1360" t="str">
        <f t="shared" si="1"/>
        <v>N/A</v>
      </c>
      <c r="O42" s="1339" t="s">
        <v>1277</v>
      </c>
      <c r="P42" s="1361">
        <f>IF($D42="Logistics",VLOOKUP($O42,'Upper Cask Movement &amp; Logistics'!$C$4:$D$77,2,FALSE),"N/A")</f>
        <v>1.4000000000000001</v>
      </c>
    </row>
    <row r="43" spans="1:16" s="89" customFormat="1" ht="13.3" outlineLevel="1" thickBot="1" x14ac:dyDescent="0.4">
      <c r="A43" s="1169"/>
      <c r="B43" s="3963"/>
      <c r="C43" s="1314" t="str">
        <f>B37</f>
        <v>COB Pipe Module stored; Hardware Cask 4 docked</v>
      </c>
      <c r="D43" s="1314" t="s">
        <v>11</v>
      </c>
      <c r="E43" s="1316">
        <f t="shared" si="0"/>
        <v>0</v>
      </c>
      <c r="F43" s="1316">
        <f>IF($D43="Trigger",VLOOKUP($C43,'Upper Cask Welding failures'!$E$46:$H$564,4,FALSE),E43+F42)</f>
        <v>7.4608414576426965</v>
      </c>
      <c r="G43" s="1317"/>
      <c r="H43" s="1318" t="str">
        <f>IF(D43="operation",VLOOKUP(G43,'Generic Vertical Port Tasks'!C91:D178,2,FALSE),"N/A")</f>
        <v>N/A</v>
      </c>
      <c r="I43" s="1314"/>
      <c r="J43" s="1314"/>
      <c r="K43" s="1314"/>
      <c r="L43" s="1319" t="str">
        <f>IFERROR(INDEX('Upper Cask Movement &amp; Logistics'!$I$24:$O$30,MATCH($J43,'Upper Cask Movement &amp; Logistics'!$H$24:$H$30,0),MATCH($K43,'Upper Cask Movement &amp; Logistics'!$H$24:$H$30,0)),"N/A")</f>
        <v>N/A</v>
      </c>
      <c r="M43" s="1319" t="str">
        <f>IFERROR(VLOOKUP($I43,'Upper Cask Movement &amp; Logistics'!$H$4:$I$8,2,FALSE),"N/A")</f>
        <v>N/A</v>
      </c>
      <c r="N43" s="1320" t="str">
        <f t="shared" si="1"/>
        <v>N/A</v>
      </c>
      <c r="O43" s="1321"/>
      <c r="P43" s="1322" t="str">
        <f>IF($D43="Logistics",VLOOKUP($O43,'Upper Cask Movement &amp; Logistics'!$C$4:$D$77,2,FALSE),"N/A")</f>
        <v>N/A</v>
      </c>
    </row>
    <row r="44" spans="1:16" s="89" customFormat="1" outlineLevel="1" x14ac:dyDescent="0.35">
      <c r="A44" s="1169"/>
      <c r="B44" s="3964" t="s">
        <v>1372</v>
      </c>
      <c r="C44" s="1324" t="str">
        <f>'Upper Cask Critical Path'!C80</f>
        <v>Extract LOB Pipe Module</v>
      </c>
      <c r="D44" s="1324" t="s">
        <v>907</v>
      </c>
      <c r="E44" s="1291">
        <f t="shared" si="0"/>
        <v>0</v>
      </c>
      <c r="F44" s="1291">
        <f>IF($D44="Trigger",VLOOKUP($C44,'Upper Cask Welding failures'!$E$46:$H$564,4,FALSE),E44+F43)</f>
        <v>15.114915531716772</v>
      </c>
      <c r="G44" s="825"/>
      <c r="H44" s="1323" t="str">
        <f>IF(D44="operation",VLOOKUP(G44,'Generic Vertical Port Tasks'!C91:D178,2,FALSE),"N/A")</f>
        <v>N/A</v>
      </c>
      <c r="I44" s="1324"/>
      <c r="J44" s="1324"/>
      <c r="K44" s="1324"/>
      <c r="L44" s="1325" t="str">
        <f>IFERROR(INDEX('Upper Cask Movement &amp; Logistics'!$I$24:$O$30,MATCH($J44,'Upper Cask Movement &amp; Logistics'!$H$24:$H$30,0),MATCH($K44,'Upper Cask Movement &amp; Logistics'!$H$24:$H$30,0)),"N/A")</f>
        <v>N/A</v>
      </c>
      <c r="M44" s="1325" t="str">
        <f>IFERROR(VLOOKUP($I44,'Upper Cask Movement &amp; Logistics'!$H$4:$I$8,2,FALSE),"N/A")</f>
        <v>N/A</v>
      </c>
      <c r="N44" s="1326" t="str">
        <f t="shared" si="1"/>
        <v>N/A</v>
      </c>
      <c r="O44" s="1327"/>
      <c r="P44" s="824" t="str">
        <f>IF($D44="Logistics",VLOOKUP($O44,'Upper Cask Movement &amp; Logistics'!$C$4:$D$77,2,FALSE),"N/A")</f>
        <v>N/A</v>
      </c>
    </row>
    <row r="45" spans="1:16" s="89" customFormat="1" outlineLevel="1" x14ac:dyDescent="0.35">
      <c r="A45" s="1169"/>
      <c r="B45" s="3969"/>
      <c r="C45" s="1362" t="s">
        <v>1369</v>
      </c>
      <c r="D45" s="1362" t="s">
        <v>3</v>
      </c>
      <c r="E45" s="1363">
        <f t="shared" si="0"/>
        <v>2.3000000000000003</v>
      </c>
      <c r="F45" s="1363">
        <f>IF($D45="Trigger",VLOOKUP($C45,'Upper Cask Welding failures'!$E$46:$H$564,4,FALSE),E45+F44)</f>
        <v>17.414915531716773</v>
      </c>
      <c r="G45" s="1364"/>
      <c r="H45" s="1365" t="str">
        <f>IF(D45="operation",VLOOKUP(G45,'Generic Vertical Port Tasks'!C91:D178,2,FALSE),"N/A")</f>
        <v>N/A</v>
      </c>
      <c r="I45" s="1362"/>
      <c r="J45" s="1362"/>
      <c r="K45" s="1362"/>
      <c r="L45" s="1366" t="str">
        <f>IFERROR(INDEX('Upper Cask Movement &amp; Logistics'!$I$24:$O$30,MATCH($J45,'Upper Cask Movement &amp; Logistics'!$H$24:$H$30,0),MATCH($K45,'Upper Cask Movement &amp; Logistics'!$H$24:$H$30,0)),"N/A")</f>
        <v>N/A</v>
      </c>
      <c r="M45" s="1366" t="str">
        <f>IFERROR(VLOOKUP($I45,'Upper Cask Movement &amp; Logistics'!$H$4:$I$8,2,FALSE),"N/A")</f>
        <v>N/A</v>
      </c>
      <c r="N45" s="1367" t="str">
        <f t="shared" si="1"/>
        <v>N/A</v>
      </c>
      <c r="O45" s="1368" t="s">
        <v>1269</v>
      </c>
      <c r="P45" s="861">
        <f>IF($D45="Logistics",VLOOKUP($O45,'Upper Cask Movement &amp; Logistics'!$C$4:$D$77,2,FALSE),"N/A")</f>
        <v>2.3000000000000003</v>
      </c>
    </row>
    <row r="46" spans="1:16" s="89" customFormat="1" outlineLevel="1" x14ac:dyDescent="0.35">
      <c r="A46" s="1169"/>
      <c r="B46" s="3965"/>
      <c r="C46" s="1294" t="s">
        <v>1370</v>
      </c>
      <c r="D46" s="1294" t="s">
        <v>778</v>
      </c>
      <c r="E46" s="1292">
        <f t="shared" si="0"/>
        <v>0.69444444444444442</v>
      </c>
      <c r="F46" s="1292">
        <f>IF($D46="Trigger",VLOOKUP($C46,'Upper Cask Welding failures'!$E$46:$H$564,4,FALSE),E46+F45)</f>
        <v>18.109359976161215</v>
      </c>
      <c r="G46" s="862"/>
      <c r="H46" s="1328" t="str">
        <f>IF(D46="operation",VLOOKUP(G46,'Generic Vertical Port Tasks'!C91:D178,2,FALSE),"N/A")</f>
        <v>N/A</v>
      </c>
      <c r="I46" s="1294" t="s">
        <v>1789</v>
      </c>
      <c r="J46" s="1294" t="s">
        <v>901</v>
      </c>
      <c r="K46" s="1294" t="s">
        <v>831</v>
      </c>
      <c r="L46" s="1329">
        <f>IFERROR(INDEX('Upper Cask Movement &amp; Logistics'!$I$24:$O$30,MATCH($J46,'Upper Cask Movement &amp; Logistics'!$H$24:$H$30,0),MATCH($K46,'Upper Cask Movement &amp; Logistics'!$H$24:$H$30,0)),"N/A")</f>
        <v>50</v>
      </c>
      <c r="M46" s="1329">
        <f>IFERROR(VLOOKUP($I46,'Upper Cask Movement &amp; Logistics'!$H$4:$I$8,2,FALSE),"N/A")</f>
        <v>0.02</v>
      </c>
      <c r="N46" s="1330">
        <f t="shared" si="1"/>
        <v>0.69444444444444442</v>
      </c>
      <c r="O46" s="1331"/>
      <c r="P46" s="1332" t="str">
        <f>IF($D46="Logistics",VLOOKUP($O46,'Upper Cask Movement &amp; Logistics'!$C$4:$D$77,2,FALSE),"N/A")</f>
        <v>N/A</v>
      </c>
    </row>
    <row r="47" spans="1:16" s="89" customFormat="1" outlineLevel="1" x14ac:dyDescent="0.35">
      <c r="A47" s="1169"/>
      <c r="B47" s="3965"/>
      <c r="C47" s="1294" t="s">
        <v>1373</v>
      </c>
      <c r="D47" s="1294" t="s">
        <v>3</v>
      </c>
      <c r="E47" s="1292">
        <f t="shared" si="0"/>
        <v>0.68</v>
      </c>
      <c r="F47" s="1292">
        <f>IF($D47="Trigger",VLOOKUP($C47,'Upper Cask Welding failures'!$E$46:$H$564,4,FALSE),E47+F46)</f>
        <v>18.789359976161215</v>
      </c>
      <c r="G47" s="862"/>
      <c r="H47" s="1328" t="str">
        <f>IF(D47="operation",VLOOKUP(G47,'Generic Vertical Port Tasks'!C168:D189,2,FALSE),"N/A")</f>
        <v>N/A</v>
      </c>
      <c r="I47" s="1294"/>
      <c r="J47" s="1294"/>
      <c r="K47" s="1294"/>
      <c r="L47" s="1329" t="str">
        <f>IFERROR(INDEX('Upper Cask Movement &amp; Logistics'!$I$24:$O$30,MATCH($J47,'Upper Cask Movement &amp; Logistics'!$H$24:$H$30,0),MATCH($K47,'Upper Cask Movement &amp; Logistics'!$H$24:$H$30,0)),"N/A")</f>
        <v>N/A</v>
      </c>
      <c r="M47" s="1329" t="str">
        <f>IFERROR(VLOOKUP($I47,'Upper Cask Movement &amp; Logistics'!$H$4:$I$8,2,FALSE),"N/A")</f>
        <v>N/A</v>
      </c>
      <c r="N47" s="1330" t="str">
        <f t="shared" si="1"/>
        <v>N/A</v>
      </c>
      <c r="O47" s="1331" t="s">
        <v>1213</v>
      </c>
      <c r="P47" s="1332">
        <f>IF($D47="Logistics",VLOOKUP($O47,'Upper Cask Movement &amp; Logistics'!$C$4:$D$77,2,FALSE),"N/A")</f>
        <v>0.68</v>
      </c>
    </row>
    <row r="48" spans="1:16" s="89" customFormat="1" outlineLevel="1" x14ac:dyDescent="0.35">
      <c r="A48" s="1169"/>
      <c r="B48" s="3965"/>
      <c r="C48" s="1294" t="s">
        <v>1366</v>
      </c>
      <c r="D48" s="1294" t="s">
        <v>778</v>
      </c>
      <c r="E48" s="1292">
        <f t="shared" si="0"/>
        <v>0.23148148148148148</v>
      </c>
      <c r="F48" s="1292">
        <f>IF($D48="Trigger",VLOOKUP($C48,'Upper Cask Welding failures'!$E$46:$H$564,4,FALSE),E48+F47)</f>
        <v>19.020841457642696</v>
      </c>
      <c r="G48" s="862"/>
      <c r="H48" s="1328" t="str">
        <f>IF(D48="operation",VLOOKUP(G48,'Generic Vertical Port Tasks'!C168:D189,2,FALSE),"N/A")</f>
        <v>N/A</v>
      </c>
      <c r="I48" s="1294" t="s">
        <v>2501</v>
      </c>
      <c r="J48" s="1294" t="s">
        <v>831</v>
      </c>
      <c r="K48" s="1294" t="s">
        <v>901</v>
      </c>
      <c r="L48" s="1329">
        <f>IFERROR(INDEX('Upper Cask Movement &amp; Logistics'!$I$24:$O$30,MATCH($J48,'Upper Cask Movement &amp; Logistics'!$H$24:$H$30,0),MATCH($K48,'Upper Cask Movement &amp; Logistics'!$H$24:$H$30,0)),"N/A")</f>
        <v>50</v>
      </c>
      <c r="M48" s="1329">
        <f>IFERROR(VLOOKUP($I48,'Upper Cask Movement &amp; Logistics'!$H$4:$I$8,2,FALSE),"N/A")</f>
        <v>0.06</v>
      </c>
      <c r="N48" s="1330">
        <f t="shared" si="1"/>
        <v>0.23148148148148148</v>
      </c>
      <c r="O48" s="1331"/>
      <c r="P48" s="1332" t="str">
        <f>IF($D48="Logistics",VLOOKUP($O48,'Upper Cask Movement &amp; Logistics'!$C$4:$D$77,2,FALSE),"N/A")</f>
        <v>N/A</v>
      </c>
    </row>
    <row r="49" spans="1:16" s="89" customFormat="1" outlineLevel="1" x14ac:dyDescent="0.35">
      <c r="A49" s="1169"/>
      <c r="B49" s="3965"/>
      <c r="C49" s="1294" t="s">
        <v>1367</v>
      </c>
      <c r="D49" s="1294" t="s">
        <v>3</v>
      </c>
      <c r="E49" s="1292">
        <f t="shared" si="0"/>
        <v>1.4000000000000001</v>
      </c>
      <c r="F49" s="1292">
        <f>IF($D49="Trigger",VLOOKUP($C49,'Upper Cask Welding failures'!$E$46:$H$564,4,FALSE),E49+F48)</f>
        <v>20.420841457642695</v>
      </c>
      <c r="G49" s="862"/>
      <c r="H49" s="1328" t="str">
        <f>IF(D49="operation",VLOOKUP(G49,'Generic Vertical Port Tasks'!C168:D189,2,FALSE),"N/A")</f>
        <v>N/A</v>
      </c>
      <c r="I49" s="1294"/>
      <c r="J49" s="1294"/>
      <c r="K49" s="1294"/>
      <c r="L49" s="1329" t="str">
        <f>IFERROR(INDEX('Upper Cask Movement &amp; Logistics'!$I$24:$O$30,MATCH($J49,'Upper Cask Movement &amp; Logistics'!$H$24:$H$30,0),MATCH($K49,'Upper Cask Movement &amp; Logistics'!$H$24:$H$30,0)),"N/A")</f>
        <v>N/A</v>
      </c>
      <c r="M49" s="1329" t="str">
        <f>IFERROR(VLOOKUP($I49,'Upper Cask Movement &amp; Logistics'!$H$4:$I$8,2,FALSE),"N/A")</f>
        <v>N/A</v>
      </c>
      <c r="N49" s="1330" t="str">
        <f t="shared" si="1"/>
        <v>N/A</v>
      </c>
      <c r="O49" s="1331" t="s">
        <v>1277</v>
      </c>
      <c r="P49" s="1332">
        <f>IF($D49="Logistics",VLOOKUP($O49,'Upper Cask Movement &amp; Logistics'!$C$4:$D$77,2,FALSE),"N/A")</f>
        <v>1.4000000000000001</v>
      </c>
    </row>
    <row r="50" spans="1:16" s="89" customFormat="1" ht="13.3" outlineLevel="1" thickBot="1" x14ac:dyDescent="0.4">
      <c r="A50" s="1169"/>
      <c r="B50" s="3966"/>
      <c r="C50" s="1340" t="str">
        <f>B44</f>
        <v>LOB Pipe Module stored; Hardware Cask 4 docked</v>
      </c>
      <c r="D50" s="1340" t="s">
        <v>11</v>
      </c>
      <c r="E50" s="1295">
        <f t="shared" si="0"/>
        <v>0</v>
      </c>
      <c r="F50" s="1295">
        <f>IF($D50="Trigger",VLOOKUP($C50,'Upper Cask Welding failures'!$E$46:$H$564,4,FALSE),E50+F49)</f>
        <v>20.420841457642695</v>
      </c>
      <c r="G50" s="839"/>
      <c r="H50" s="1341" t="str">
        <f>IF(D50="operation",VLOOKUP(G50,'Generic Vertical Port Tasks'!C168:D189,2,FALSE),"N/A")</f>
        <v>N/A</v>
      </c>
      <c r="I50" s="1340"/>
      <c r="J50" s="1340"/>
      <c r="K50" s="1340"/>
      <c r="L50" s="1342" t="str">
        <f>IFERROR(INDEX('Upper Cask Movement &amp; Logistics'!$I$24:$O$30,MATCH($J50,'Upper Cask Movement &amp; Logistics'!$H$24:$H$30,0),MATCH($K50,'Upper Cask Movement &amp; Logistics'!$H$24:$H$30,0)),"N/A")</f>
        <v>N/A</v>
      </c>
      <c r="M50" s="1342" t="str">
        <f>IFERROR(VLOOKUP($I50,'Upper Cask Movement &amp; Logistics'!$H$4:$I$8,2,FALSE),"N/A")</f>
        <v>N/A</v>
      </c>
      <c r="N50" s="1343" t="str">
        <f t="shared" si="1"/>
        <v>N/A</v>
      </c>
      <c r="O50" s="1344"/>
      <c r="P50" s="1345" t="str">
        <f>IF($D50="Logistics",VLOOKUP($O50,'Upper Cask Movement &amp; Logistics'!$C$4:$D$77,2,FALSE),"N/A")</f>
        <v>N/A</v>
      </c>
    </row>
    <row r="51" spans="1:16" s="89" customFormat="1" outlineLevel="1" x14ac:dyDescent="0.35">
      <c r="A51" s="1169"/>
      <c r="B51" s="3960" t="s">
        <v>1374</v>
      </c>
      <c r="C51" s="1333" t="str">
        <f>'Upper Cask Critical Path'!C90</f>
        <v>Extract ROB Pipe Module</v>
      </c>
      <c r="D51" s="1333" t="s">
        <v>907</v>
      </c>
      <c r="E51" s="1303">
        <f t="shared" si="0"/>
        <v>0</v>
      </c>
      <c r="F51" s="1303">
        <f>IF($D51="Trigger",VLOOKUP($C51,'Upper Cask Welding failures'!$E$46:$H$564,4,FALSE),E51+F50)</f>
        <v>26.629831063433542</v>
      </c>
      <c r="G51" s="1304"/>
      <c r="H51" s="1305" t="str">
        <f>IF(D51="operation",VLOOKUP(G51,'Generic Vertical Port Tasks'!C168:D189,2,FALSE),"N/A")</f>
        <v>N/A</v>
      </c>
      <c r="I51" s="1333"/>
      <c r="J51" s="1333"/>
      <c r="K51" s="1333"/>
      <c r="L51" s="1334" t="str">
        <f>IFERROR(INDEX('Upper Cask Movement &amp; Logistics'!$I$24:$O$30,MATCH($J51,'Upper Cask Movement &amp; Logistics'!$H$24:$H$30,0),MATCH($K51,'Upper Cask Movement &amp; Logistics'!$H$24:$H$30,0)),"N/A")</f>
        <v>N/A</v>
      </c>
      <c r="M51" s="1334" t="str">
        <f>IFERROR(VLOOKUP($I51,'Upper Cask Movement &amp; Logistics'!$H$4:$I$8,2,FALSE),"N/A")</f>
        <v>N/A</v>
      </c>
      <c r="N51" s="1335" t="str">
        <f t="shared" si="1"/>
        <v>N/A</v>
      </c>
      <c r="O51" s="1336"/>
      <c r="P51" s="1337" t="str">
        <f>IF($D51="Logistics",VLOOKUP($O51,'Upper Cask Movement &amp; Logistics'!$C$4:$D$77,2,FALSE),"N/A")</f>
        <v>N/A</v>
      </c>
    </row>
    <row r="52" spans="1:16" s="89" customFormat="1" outlineLevel="1" x14ac:dyDescent="0.35">
      <c r="A52" s="1169"/>
      <c r="B52" s="3968"/>
      <c r="C52" s="1240" t="s">
        <v>1369</v>
      </c>
      <c r="D52" s="1240" t="s">
        <v>3</v>
      </c>
      <c r="E52" s="1241">
        <f t="shared" si="0"/>
        <v>2.3000000000000003</v>
      </c>
      <c r="F52" s="1241">
        <f>IF($D52="Trigger",VLOOKUP($C52,'Upper Cask Welding failures'!$E$46:$H$564,4,FALSE),E52+F51)</f>
        <v>28.929831063433543</v>
      </c>
      <c r="G52" s="1354"/>
      <c r="H52" s="1355" t="str">
        <f>IF(D52="operation",VLOOKUP(G52,'Generic Vertical Port Tasks'!C168:D189,2,FALSE),"N/A")</f>
        <v>N/A</v>
      </c>
      <c r="I52" s="1240"/>
      <c r="J52" s="1240"/>
      <c r="K52" s="1240"/>
      <c r="L52" s="1242" t="str">
        <f>IFERROR(INDEX('Upper Cask Movement &amp; Logistics'!$I$24:$O$30,MATCH($J52,'Upper Cask Movement &amp; Logistics'!$H$24:$H$30,0),MATCH($K52,'Upper Cask Movement &amp; Logistics'!$H$24:$H$30,0)),"N/A")</f>
        <v>N/A</v>
      </c>
      <c r="M52" s="1242" t="str">
        <f>IFERROR(VLOOKUP($I52,'Upper Cask Movement &amp; Logistics'!$H$4:$I$8,2,FALSE),"N/A")</f>
        <v>N/A</v>
      </c>
      <c r="N52" s="1356" t="str">
        <f t="shared" si="1"/>
        <v>N/A</v>
      </c>
      <c r="O52" s="1357" t="s">
        <v>1269</v>
      </c>
      <c r="P52" s="1358">
        <f>IF($D52="Logistics",VLOOKUP($O52,'Upper Cask Movement &amp; Logistics'!$C$4:$D$77,2,FALSE),"N/A")</f>
        <v>2.3000000000000003</v>
      </c>
    </row>
    <row r="53" spans="1:16" s="89" customFormat="1" outlineLevel="1" x14ac:dyDescent="0.35">
      <c r="A53" s="1169"/>
      <c r="B53" s="3961"/>
      <c r="C53" s="1243" t="s">
        <v>1370</v>
      </c>
      <c r="D53" s="1243" t="s">
        <v>778</v>
      </c>
      <c r="E53" s="1244">
        <f t="shared" si="0"/>
        <v>0.69444444444444442</v>
      </c>
      <c r="F53" s="1244">
        <f>IF($D53="Trigger",VLOOKUP($C53,'Upper Cask Welding failures'!$E$46:$H$564,4,FALSE),E53+F52)</f>
        <v>29.624275507877986</v>
      </c>
      <c r="G53" s="1309"/>
      <c r="H53" s="1310" t="str">
        <f>IF(D53="operation",VLOOKUP(G53,'Generic Vertical Port Tasks'!C168:D189,2,FALSE),"N/A")</f>
        <v>N/A</v>
      </c>
      <c r="I53" s="1243" t="s">
        <v>1789</v>
      </c>
      <c r="J53" s="1243" t="s">
        <v>901</v>
      </c>
      <c r="K53" s="1243" t="s">
        <v>831</v>
      </c>
      <c r="L53" s="1245">
        <f>IFERROR(INDEX('Upper Cask Movement &amp; Logistics'!$I$24:$O$30,MATCH($J53,'Upper Cask Movement &amp; Logistics'!$H$24:$H$30,0),MATCH($K53,'Upper Cask Movement &amp; Logistics'!$H$24:$H$30,0)),"N/A")</f>
        <v>50</v>
      </c>
      <c r="M53" s="1245">
        <f>IFERROR(VLOOKUP($I53,'Upper Cask Movement &amp; Logistics'!$H$4:$I$8,2,FALSE),"N/A")</f>
        <v>0.02</v>
      </c>
      <c r="N53" s="1311">
        <f t="shared" si="1"/>
        <v>0.69444444444444442</v>
      </c>
      <c r="O53" s="1312"/>
      <c r="P53" s="1313" t="str">
        <f>IF($D53="Logistics",VLOOKUP($O53,'Upper Cask Movement &amp; Logistics'!$C$4:$D$77,2,FALSE),"N/A")</f>
        <v>N/A</v>
      </c>
    </row>
    <row r="54" spans="1:16" s="89" customFormat="1" outlineLevel="1" x14ac:dyDescent="0.35">
      <c r="A54" s="1169"/>
      <c r="B54" s="3961"/>
      <c r="C54" s="1243" t="s">
        <v>1375</v>
      </c>
      <c r="D54" s="1243" t="s">
        <v>3</v>
      </c>
      <c r="E54" s="1244">
        <f t="shared" si="0"/>
        <v>0.68</v>
      </c>
      <c r="F54" s="1244">
        <f>IF($D54="Trigger",VLOOKUP($C54,'Upper Cask Welding failures'!$E$46:$H$564,4,FALSE),E54+F53)</f>
        <v>30.304275507877986</v>
      </c>
      <c r="G54" s="1309"/>
      <c r="H54" s="1310" t="str">
        <f>IF(D54="operation",VLOOKUP(G54,'Generic Vertical Port Tasks'!C168:D189,2,FALSE),"N/A")</f>
        <v>N/A</v>
      </c>
      <c r="I54" s="1243"/>
      <c r="J54" s="1243"/>
      <c r="K54" s="1243"/>
      <c r="L54" s="1245" t="str">
        <f>IFERROR(INDEX('Upper Cask Movement &amp; Logistics'!$I$24:$O$30,MATCH($J54,'Upper Cask Movement &amp; Logistics'!$H$24:$H$30,0),MATCH($K54,'Upper Cask Movement &amp; Logistics'!$H$24:$H$30,0)),"N/A")</f>
        <v>N/A</v>
      </c>
      <c r="M54" s="1245" t="str">
        <f>IFERROR(VLOOKUP($I54,'Upper Cask Movement &amp; Logistics'!$H$4:$I$8,2,FALSE),"N/A")</f>
        <v>N/A</v>
      </c>
      <c r="N54" s="1311" t="str">
        <f t="shared" si="1"/>
        <v>N/A</v>
      </c>
      <c r="O54" s="1312" t="s">
        <v>1213</v>
      </c>
      <c r="P54" s="1313">
        <f>IF($D54="Logistics",VLOOKUP($O54,'Upper Cask Movement &amp; Logistics'!$C$4:$D$77,2,FALSE),"N/A")</f>
        <v>0.68</v>
      </c>
    </row>
    <row r="55" spans="1:16" s="89" customFormat="1" outlineLevel="1" x14ac:dyDescent="0.35">
      <c r="A55" s="1169"/>
      <c r="B55" s="3961"/>
      <c r="C55" s="1249" t="s">
        <v>1366</v>
      </c>
      <c r="D55" s="1249" t="s">
        <v>778</v>
      </c>
      <c r="E55" s="1244">
        <f t="shared" si="0"/>
        <v>0.23148148148148148</v>
      </c>
      <c r="F55" s="1244">
        <f>IF($D55="Trigger",VLOOKUP($C55,'Upper Cask Welding failures'!$E$46:$H$564,4,FALSE),E55+F54)</f>
        <v>30.535756989359466</v>
      </c>
      <c r="G55" s="1309"/>
      <c r="H55" s="1310" t="str">
        <f>IF(D55="operation",VLOOKUP(G55,'Generic Vertical Port Tasks'!C168:D189,2,FALSE),"N/A")</f>
        <v>N/A</v>
      </c>
      <c r="I55" s="1249" t="s">
        <v>2501</v>
      </c>
      <c r="J55" s="1249" t="s">
        <v>831</v>
      </c>
      <c r="K55" s="1249" t="s">
        <v>901</v>
      </c>
      <c r="L55" s="1245">
        <f>IFERROR(INDEX('Upper Cask Movement &amp; Logistics'!$I$24:$O$30,MATCH($J55,'Upper Cask Movement &amp; Logistics'!$H$24:$H$30,0),MATCH($K55,'Upper Cask Movement &amp; Logistics'!$H$24:$H$30,0)),"N/A")</f>
        <v>50</v>
      </c>
      <c r="M55" s="1245">
        <f>IFERROR(VLOOKUP($I55,'Upper Cask Movement &amp; Logistics'!$H$4:$I$8,2,FALSE),"N/A")</f>
        <v>0.06</v>
      </c>
      <c r="N55" s="1311">
        <f t="shared" si="1"/>
        <v>0.23148148148148148</v>
      </c>
      <c r="O55" s="1339"/>
      <c r="P55" s="1313" t="str">
        <f>IF($D55="Logistics",VLOOKUP($O55,'Upper Cask Movement &amp; Logistics'!$C$4:$D$77,2,FALSE),"N/A")</f>
        <v>N/A</v>
      </c>
    </row>
    <row r="56" spans="1:16" s="89" customFormat="1" outlineLevel="1" x14ac:dyDescent="0.35">
      <c r="A56" s="1169"/>
      <c r="B56" s="3961"/>
      <c r="C56" s="1249" t="s">
        <v>1367</v>
      </c>
      <c r="D56" s="1249" t="s">
        <v>3</v>
      </c>
      <c r="E56" s="1244">
        <f t="shared" si="0"/>
        <v>1.4000000000000001</v>
      </c>
      <c r="F56" s="1244">
        <f>IF($D56="Trigger",VLOOKUP($C56,'Upper Cask Welding failures'!$E$46:$H$564,4,FALSE),E56+F55)</f>
        <v>31.935756989359465</v>
      </c>
      <c r="G56" s="1309"/>
      <c r="H56" s="1310" t="str">
        <f>IF(D56="operation",VLOOKUP(G56,'Generic Vertical Port Tasks'!C168:D189,2,FALSE),"N/A")</f>
        <v>N/A</v>
      </c>
      <c r="I56" s="1249"/>
      <c r="J56" s="1249"/>
      <c r="K56" s="1249"/>
      <c r="L56" s="1245" t="str">
        <f>IFERROR(INDEX('Upper Cask Movement &amp; Logistics'!$I$24:$O$30,MATCH($J56,'Upper Cask Movement &amp; Logistics'!$H$24:$H$30,0),MATCH($K56,'Upper Cask Movement &amp; Logistics'!$H$24:$H$30,0)),"N/A")</f>
        <v>N/A</v>
      </c>
      <c r="M56" s="1245" t="str">
        <f>IFERROR(VLOOKUP($I56,'Upper Cask Movement &amp; Logistics'!$H$4:$I$8,2,FALSE),"N/A")</f>
        <v>N/A</v>
      </c>
      <c r="N56" s="1311" t="str">
        <f t="shared" si="1"/>
        <v>N/A</v>
      </c>
      <c r="O56" s="1339" t="s">
        <v>1277</v>
      </c>
      <c r="P56" s="1313">
        <f>IF($D56="Logistics",VLOOKUP($O56,'Upper Cask Movement &amp; Logistics'!$C$4:$D$77,2,FALSE),"N/A")</f>
        <v>1.4000000000000001</v>
      </c>
    </row>
    <row r="57" spans="1:16" s="89" customFormat="1" ht="13.3" outlineLevel="1" thickBot="1" x14ac:dyDescent="0.4">
      <c r="A57" s="1169"/>
      <c r="B57" s="3963"/>
      <c r="C57" s="1314" t="str">
        <f>B51</f>
        <v>ROB Pipe Module stored; Hardware Cask 4 docked</v>
      </c>
      <c r="D57" s="1314" t="s">
        <v>11</v>
      </c>
      <c r="E57" s="1316">
        <f t="shared" si="0"/>
        <v>0</v>
      </c>
      <c r="F57" s="1316">
        <f>IF($D57="Trigger",VLOOKUP($C57,'Upper Cask Welding failures'!$E$46:$H$564,4,FALSE),E57+F56)</f>
        <v>31.935756989359465</v>
      </c>
      <c r="G57" s="1317"/>
      <c r="H57" s="1318" t="str">
        <f>IF(D57="operation",VLOOKUP(G57,'Generic Vertical Port Tasks'!C168:D189,2,FALSE),"N/A")</f>
        <v>N/A</v>
      </c>
      <c r="I57" s="1314"/>
      <c r="J57" s="1314"/>
      <c r="K57" s="1314"/>
      <c r="L57" s="1319" t="str">
        <f>IFERROR(INDEX('Upper Cask Movement &amp; Logistics'!$I$24:$O$30,MATCH($J57,'Upper Cask Movement &amp; Logistics'!$H$24:$H$30,0),MATCH($K57,'Upper Cask Movement &amp; Logistics'!$H$24:$H$30,0)),"N/A")</f>
        <v>N/A</v>
      </c>
      <c r="M57" s="1319" t="str">
        <f>IFERROR(VLOOKUP($I57,'Upper Cask Movement &amp; Logistics'!$H$4:$I$8,2,FALSE),"N/A")</f>
        <v>N/A</v>
      </c>
      <c r="N57" s="1320" t="str">
        <f t="shared" si="1"/>
        <v>N/A</v>
      </c>
      <c r="O57" s="1321"/>
      <c r="P57" s="1322" t="str">
        <f>IF($D57="Logistics",VLOOKUP($O57,'Upper Cask Movement &amp; Logistics'!$C$4:$D$77,2,FALSE),"N/A")</f>
        <v>N/A</v>
      </c>
    </row>
    <row r="58" spans="1:16" s="89" customFormat="1" outlineLevel="1" x14ac:dyDescent="0.35">
      <c r="A58" s="1169"/>
      <c r="B58" s="3964" t="s">
        <v>1376</v>
      </c>
      <c r="C58" s="1324" t="str">
        <f>'Upper Cask Critical Path'!C100</f>
        <v>Extract LIB Pipe Module</v>
      </c>
      <c r="D58" s="1324" t="s">
        <v>907</v>
      </c>
      <c r="E58" s="1291">
        <f t="shared" si="0"/>
        <v>0</v>
      </c>
      <c r="F58" s="1291">
        <f>IF($D58="Trigger",VLOOKUP($C58,'Upper Cask Welding failures'!$E$46:$H$564,4,FALSE),E58+F57)</f>
        <v>38.144746595150323</v>
      </c>
      <c r="G58" s="825"/>
      <c r="H58" s="1323" t="str">
        <f>IF(D58="operation",VLOOKUP(G58,'Generic Vertical Port Tasks'!C168:D189,2,FALSE),"N/A")</f>
        <v>N/A</v>
      </c>
      <c r="I58" s="1324"/>
      <c r="J58" s="1324"/>
      <c r="K58" s="1324"/>
      <c r="L58" s="1325" t="str">
        <f>IFERROR(INDEX('Upper Cask Movement &amp; Logistics'!$I$24:$O$30,MATCH($J58,'Upper Cask Movement &amp; Logistics'!$H$24:$H$30,0),MATCH($K58,'Upper Cask Movement &amp; Logistics'!$H$24:$H$30,0)),"N/A")</f>
        <v>N/A</v>
      </c>
      <c r="M58" s="1325" t="str">
        <f>IFERROR(VLOOKUP($I58,'Upper Cask Movement &amp; Logistics'!$H$4:$I$8,2,FALSE),"N/A")</f>
        <v>N/A</v>
      </c>
      <c r="N58" s="1326" t="str">
        <f t="shared" si="1"/>
        <v>N/A</v>
      </c>
      <c r="O58" s="1327"/>
      <c r="P58" s="824" t="str">
        <f>IF($D58="Logistics",VLOOKUP($O58,'Upper Cask Movement &amp; Logistics'!$C$4:$D$77,2,FALSE),"N/A")</f>
        <v>N/A</v>
      </c>
    </row>
    <row r="59" spans="1:16" s="89" customFormat="1" outlineLevel="1" x14ac:dyDescent="0.35">
      <c r="A59" s="1169"/>
      <c r="B59" s="3969"/>
      <c r="C59" s="1362" t="s">
        <v>1377</v>
      </c>
      <c r="D59" s="1362" t="s">
        <v>3</v>
      </c>
      <c r="E59" s="1363">
        <f t="shared" si="0"/>
        <v>2.3000000000000003</v>
      </c>
      <c r="F59" s="1363">
        <f>IF($D59="Trigger",VLOOKUP($C59,'Upper Cask Welding failures'!$E$46:$H$564,4,FALSE),E59+F58)</f>
        <v>40.44474659515032</v>
      </c>
      <c r="G59" s="1364"/>
      <c r="H59" s="1365" t="str">
        <f>IF(D59="operation",VLOOKUP(G59,'Generic Vertical Port Tasks'!C168:D189,2,FALSE),"N/A")</f>
        <v>N/A</v>
      </c>
      <c r="I59" s="1362"/>
      <c r="J59" s="1362"/>
      <c r="K59" s="1362"/>
      <c r="L59" s="1366" t="str">
        <f>IFERROR(INDEX('Upper Cask Movement &amp; Logistics'!$I$24:$O$30,MATCH($J59,'Upper Cask Movement &amp; Logistics'!$H$24:$H$30,0),MATCH($K59,'Upper Cask Movement &amp; Logistics'!$H$24:$H$30,0)),"N/A")</f>
        <v>N/A</v>
      </c>
      <c r="M59" s="1366" t="str">
        <f>IFERROR(VLOOKUP($I59,'Upper Cask Movement &amp; Logistics'!$H$4:$I$8,2,FALSE),"N/A")</f>
        <v>N/A</v>
      </c>
      <c r="N59" s="1367" t="str">
        <f t="shared" si="1"/>
        <v>N/A</v>
      </c>
      <c r="O59" s="1368" t="s">
        <v>1269</v>
      </c>
      <c r="P59" s="861">
        <f>IF($D59="Logistics",VLOOKUP($O59,'Upper Cask Movement &amp; Logistics'!$C$4:$D$77,2,FALSE),"N/A")</f>
        <v>2.3000000000000003</v>
      </c>
    </row>
    <row r="60" spans="1:16" s="89" customFormat="1" outlineLevel="1" x14ac:dyDescent="0.35">
      <c r="A60" s="1169"/>
      <c r="B60" s="3965"/>
      <c r="C60" s="1294" t="s">
        <v>1370</v>
      </c>
      <c r="D60" s="1294" t="s">
        <v>778</v>
      </c>
      <c r="E60" s="1292">
        <f t="shared" si="0"/>
        <v>0.69444444444444442</v>
      </c>
      <c r="F60" s="1292">
        <f>IF($D60="Trigger",VLOOKUP($C60,'Upper Cask Welding failures'!$E$46:$H$564,4,FALSE),E60+F59)</f>
        <v>41.139191039594763</v>
      </c>
      <c r="G60" s="862"/>
      <c r="H60" s="1328" t="str">
        <f>IF(D60="operation",VLOOKUP(G60,'Generic Vertical Port Tasks'!C168:D189,2,FALSE),"N/A")</f>
        <v>N/A</v>
      </c>
      <c r="I60" s="1294" t="s">
        <v>1789</v>
      </c>
      <c r="J60" s="1294" t="s">
        <v>901</v>
      </c>
      <c r="K60" s="1294" t="s">
        <v>831</v>
      </c>
      <c r="L60" s="1329">
        <f>IFERROR(INDEX('Upper Cask Movement &amp; Logistics'!$I$24:$O$30,MATCH($J60,'Upper Cask Movement &amp; Logistics'!$H$24:$H$30,0),MATCH($K60,'Upper Cask Movement &amp; Logistics'!$H$24:$H$30,0)),"N/A")</f>
        <v>50</v>
      </c>
      <c r="M60" s="1329">
        <f>IFERROR(VLOOKUP($I60,'Upper Cask Movement &amp; Logistics'!$H$4:$I$8,2,FALSE),"N/A")</f>
        <v>0.02</v>
      </c>
      <c r="N60" s="1330">
        <f t="shared" si="1"/>
        <v>0.69444444444444442</v>
      </c>
      <c r="O60" s="1331"/>
      <c r="P60" s="1332" t="str">
        <f>IF($D60="Logistics",VLOOKUP($O60,'Upper Cask Movement &amp; Logistics'!$C$4:$D$77,2,FALSE),"N/A")</f>
        <v>N/A</v>
      </c>
    </row>
    <row r="61" spans="1:16" s="89" customFormat="1" outlineLevel="1" x14ac:dyDescent="0.35">
      <c r="A61" s="1169"/>
      <c r="B61" s="3965"/>
      <c r="C61" s="1294" t="s">
        <v>1378</v>
      </c>
      <c r="D61" s="1294" t="s">
        <v>3</v>
      </c>
      <c r="E61" s="1292">
        <f t="shared" si="0"/>
        <v>0.68</v>
      </c>
      <c r="F61" s="1292">
        <f>IF($D61="Trigger",VLOOKUP($C61,'Upper Cask Welding failures'!$E$46:$H$564,4,FALSE),E61+F60)</f>
        <v>41.819191039594763</v>
      </c>
      <c r="G61" s="862"/>
      <c r="H61" s="1328" t="str">
        <f>IF(D61="operation",VLOOKUP(G61,'Generic Vertical Port Tasks'!C168:D189,2,FALSE),"N/A")</f>
        <v>N/A</v>
      </c>
      <c r="I61" s="1294"/>
      <c r="J61" s="1294"/>
      <c r="K61" s="1294"/>
      <c r="L61" s="1329" t="str">
        <f>IFERROR(INDEX('Upper Cask Movement &amp; Logistics'!$I$24:$O$30,MATCH($J61,'Upper Cask Movement &amp; Logistics'!$H$24:$H$30,0),MATCH($K61,'Upper Cask Movement &amp; Logistics'!$H$24:$H$30,0)),"N/A")</f>
        <v>N/A</v>
      </c>
      <c r="M61" s="1329" t="str">
        <f>IFERROR(VLOOKUP($I61,'Upper Cask Movement &amp; Logistics'!$H$4:$I$8,2,FALSE),"N/A")</f>
        <v>N/A</v>
      </c>
      <c r="N61" s="1330" t="str">
        <f t="shared" si="1"/>
        <v>N/A</v>
      </c>
      <c r="O61" s="1331" t="s">
        <v>1213</v>
      </c>
      <c r="P61" s="1332">
        <f>IF($D61="Logistics",VLOOKUP($O61,'Upper Cask Movement &amp; Logistics'!$C$4:$D$77,2,FALSE),"N/A")</f>
        <v>0.68</v>
      </c>
    </row>
    <row r="62" spans="1:16" s="89" customFormat="1" outlineLevel="1" x14ac:dyDescent="0.35">
      <c r="A62" s="1169"/>
      <c r="B62" s="3965"/>
      <c r="C62" s="1294" t="s">
        <v>1366</v>
      </c>
      <c r="D62" s="1294" t="s">
        <v>778</v>
      </c>
      <c r="E62" s="1292">
        <f t="shared" si="0"/>
        <v>0.23148148148148148</v>
      </c>
      <c r="F62" s="1292">
        <f>IF($D62="Trigger",VLOOKUP($C62,'Upper Cask Welding failures'!$E$46:$H$564,4,FALSE),E62+F61)</f>
        <v>42.050672521076244</v>
      </c>
      <c r="G62" s="862"/>
      <c r="H62" s="1328" t="str">
        <f>IF(D62="operation",VLOOKUP(G62,'Generic Vertical Port Tasks'!C168:D189,2,FALSE),"N/A")</f>
        <v>N/A</v>
      </c>
      <c r="I62" s="1294" t="s">
        <v>2501</v>
      </c>
      <c r="J62" s="1294" t="s">
        <v>831</v>
      </c>
      <c r="K62" s="1294" t="s">
        <v>901</v>
      </c>
      <c r="L62" s="1329">
        <f>IFERROR(INDEX('Upper Cask Movement &amp; Logistics'!$I$24:$O$30,MATCH($J62,'Upper Cask Movement &amp; Logistics'!$H$24:$H$30,0),MATCH($K62,'Upper Cask Movement &amp; Logistics'!$H$24:$H$30,0)),"N/A")</f>
        <v>50</v>
      </c>
      <c r="M62" s="1329">
        <f>IFERROR(VLOOKUP($I62,'Upper Cask Movement &amp; Logistics'!$H$4:$I$8,2,FALSE),"N/A")</f>
        <v>0.06</v>
      </c>
      <c r="N62" s="1330">
        <f t="shared" si="1"/>
        <v>0.23148148148148148</v>
      </c>
      <c r="O62" s="1331"/>
      <c r="P62" s="1332" t="str">
        <f>IF($D62="Logistics",VLOOKUP($O62,'Upper Cask Movement &amp; Logistics'!$C$4:$D$77,2,FALSE),"N/A")</f>
        <v>N/A</v>
      </c>
    </row>
    <row r="63" spans="1:16" s="89" customFormat="1" outlineLevel="1" x14ac:dyDescent="0.35">
      <c r="A63" s="1169"/>
      <c r="B63" s="3965"/>
      <c r="C63" s="1294" t="s">
        <v>1367</v>
      </c>
      <c r="D63" s="1294" t="s">
        <v>3</v>
      </c>
      <c r="E63" s="1292">
        <f t="shared" si="0"/>
        <v>1.4000000000000001</v>
      </c>
      <c r="F63" s="1292">
        <f>IF($D63="Trigger",VLOOKUP($C63,'Upper Cask Welding failures'!$E$46:$H$564,4,FALSE),E63+F62)</f>
        <v>43.450672521076243</v>
      </c>
      <c r="G63" s="862"/>
      <c r="H63" s="1328" t="str">
        <f>IF(D63="operation",VLOOKUP(G63,'Generic Vertical Port Tasks'!C168:D189,2,FALSE),"N/A")</f>
        <v>N/A</v>
      </c>
      <c r="I63" s="1294"/>
      <c r="J63" s="1294"/>
      <c r="K63" s="1294"/>
      <c r="L63" s="1329" t="str">
        <f>IFERROR(INDEX('Upper Cask Movement &amp; Logistics'!$I$24:$O$30,MATCH($J63,'Upper Cask Movement &amp; Logistics'!$H$24:$H$30,0),MATCH($K63,'Upper Cask Movement &amp; Logistics'!$H$24:$H$30,0)),"N/A")</f>
        <v>N/A</v>
      </c>
      <c r="M63" s="1329" t="str">
        <f>IFERROR(VLOOKUP($I63,'Upper Cask Movement &amp; Logistics'!$H$4:$I$8,2,FALSE),"N/A")</f>
        <v>N/A</v>
      </c>
      <c r="N63" s="1330" t="str">
        <f t="shared" si="1"/>
        <v>N/A</v>
      </c>
      <c r="O63" s="1331" t="s">
        <v>1277</v>
      </c>
      <c r="P63" s="1332">
        <f>IF($D63="Logistics",VLOOKUP($O63,'Upper Cask Movement &amp; Logistics'!$C$4:$D$77,2,FALSE),"N/A")</f>
        <v>1.4000000000000001</v>
      </c>
    </row>
    <row r="64" spans="1:16" s="89" customFormat="1" ht="13.3" outlineLevel="1" thickBot="1" x14ac:dyDescent="0.4">
      <c r="A64" s="1169"/>
      <c r="B64" s="3966"/>
      <c r="C64" s="1340" t="str">
        <f>B58</f>
        <v>LIB Pipe Module stored; Hardware Cask 4 docked</v>
      </c>
      <c r="D64" s="1340" t="s">
        <v>11</v>
      </c>
      <c r="E64" s="1295">
        <f t="shared" si="0"/>
        <v>0</v>
      </c>
      <c r="F64" s="1295">
        <f>IF($D64="Trigger",VLOOKUP($C64,'Upper Cask Welding failures'!$E$46:$H$564,4,FALSE),E64+F63)</f>
        <v>43.450672521076243</v>
      </c>
      <c r="G64" s="839"/>
      <c r="H64" s="1341" t="str">
        <f>IF(D64="operation",VLOOKUP(G64,'Generic Vertical Port Tasks'!C168:D189,2,FALSE),"N/A")</f>
        <v>N/A</v>
      </c>
      <c r="I64" s="1340"/>
      <c r="J64" s="1340"/>
      <c r="K64" s="1340"/>
      <c r="L64" s="1342" t="str">
        <f>IFERROR(INDEX('Upper Cask Movement &amp; Logistics'!$I$24:$O$30,MATCH($J64,'Upper Cask Movement &amp; Logistics'!$H$24:$H$30,0),MATCH($K64,'Upper Cask Movement &amp; Logistics'!$H$24:$H$30,0)),"N/A")</f>
        <v>N/A</v>
      </c>
      <c r="M64" s="1342" t="str">
        <f>IFERROR(VLOOKUP($I64,'Upper Cask Movement &amp; Logistics'!$H$4:$I$8,2,FALSE),"N/A")</f>
        <v>N/A</v>
      </c>
      <c r="N64" s="1343" t="str">
        <f t="shared" si="1"/>
        <v>N/A</v>
      </c>
      <c r="O64" s="1344"/>
      <c r="P64" s="1345" t="str">
        <f>IF($D64="Logistics",VLOOKUP($O64,'Upper Cask Movement &amp; Logistics'!$C$4:$D$77,2,FALSE),"N/A")</f>
        <v>N/A</v>
      </c>
    </row>
    <row r="65" spans="1:16" s="89" customFormat="1" outlineLevel="1" x14ac:dyDescent="0.35">
      <c r="A65" s="1169"/>
      <c r="B65" s="3960" t="s">
        <v>1379</v>
      </c>
      <c r="C65" s="1333" t="str">
        <f>'Upper Cask Critical Path'!C110</f>
        <v>Extract RIB Pipe Module</v>
      </c>
      <c r="D65" s="1333" t="s">
        <v>907</v>
      </c>
      <c r="E65" s="1303">
        <f t="shared" si="0"/>
        <v>0</v>
      </c>
      <c r="F65" s="1303">
        <f>IF($D65="Trigger",VLOOKUP($C65,'Upper Cask Welding failures'!$E$46:$H$564,4,FALSE),E65+F64)</f>
        <v>49.659662126867111</v>
      </c>
      <c r="G65" s="1304"/>
      <c r="H65" s="1305" t="str">
        <f>IF(D65="operation",VLOOKUP(G65,'Generic Vertical Port Tasks'!C168:D189,2,FALSE),"N/A")</f>
        <v>N/A</v>
      </c>
      <c r="I65" s="1333"/>
      <c r="J65" s="1333"/>
      <c r="K65" s="1333"/>
      <c r="L65" s="1334" t="str">
        <f>IFERROR(INDEX('Upper Cask Movement &amp; Logistics'!$I$24:$O$30,MATCH($J65,'Upper Cask Movement &amp; Logistics'!$H$24:$H$30,0),MATCH($K65,'Upper Cask Movement &amp; Logistics'!$H$24:$H$30,0)),"N/A")</f>
        <v>N/A</v>
      </c>
      <c r="M65" s="1334" t="str">
        <f>IFERROR(VLOOKUP($I65,'Upper Cask Movement &amp; Logistics'!$H$4:$I$8,2,FALSE),"N/A")</f>
        <v>N/A</v>
      </c>
      <c r="N65" s="1335" t="str">
        <f t="shared" si="1"/>
        <v>N/A</v>
      </c>
      <c r="O65" s="1336"/>
      <c r="P65" s="1337" t="str">
        <f>IF($D65="Logistics",VLOOKUP($O65,'Upper Cask Movement &amp; Logistics'!$C$4:$D$77,2,FALSE),"N/A")</f>
        <v>N/A</v>
      </c>
    </row>
    <row r="66" spans="1:16" s="89" customFormat="1" outlineLevel="1" x14ac:dyDescent="0.35">
      <c r="A66" s="1169"/>
      <c r="B66" s="3968"/>
      <c r="C66" s="1240" t="s">
        <v>1369</v>
      </c>
      <c r="D66" s="1240" t="s">
        <v>3</v>
      </c>
      <c r="E66" s="1241">
        <f t="shared" si="0"/>
        <v>2.3000000000000003</v>
      </c>
      <c r="F66" s="1241">
        <f>IF($D66="Trigger",VLOOKUP($C66,'Upper Cask Welding failures'!$E$46:$H$564,4,FALSE),E66+F65)</f>
        <v>51.959662126867109</v>
      </c>
      <c r="G66" s="1354"/>
      <c r="H66" s="1355" t="str">
        <f>IF(D66="operation",VLOOKUP(G66,'Generic Vertical Port Tasks'!C168:D189,2,FALSE),"N/A")</f>
        <v>N/A</v>
      </c>
      <c r="I66" s="1240"/>
      <c r="J66" s="1240"/>
      <c r="K66" s="1240"/>
      <c r="L66" s="1242" t="str">
        <f>IFERROR(INDEX('Upper Cask Movement &amp; Logistics'!$I$24:$O$30,MATCH($J66,'Upper Cask Movement &amp; Logistics'!$H$24:$H$30,0),MATCH($K66,'Upper Cask Movement &amp; Logistics'!$H$24:$H$30,0)),"N/A")</f>
        <v>N/A</v>
      </c>
      <c r="M66" s="1242" t="str">
        <f>IFERROR(VLOOKUP($I66,'Upper Cask Movement &amp; Logistics'!$H$4:$I$8,2,FALSE),"N/A")</f>
        <v>N/A</v>
      </c>
      <c r="N66" s="1356" t="str">
        <f t="shared" si="1"/>
        <v>N/A</v>
      </c>
      <c r="O66" s="1357" t="s">
        <v>1269</v>
      </c>
      <c r="P66" s="1358">
        <f>IF($D66="Logistics",VLOOKUP($O66,'Upper Cask Movement &amp; Logistics'!$C$4:$D$77,2,FALSE),"N/A")</f>
        <v>2.3000000000000003</v>
      </c>
    </row>
    <row r="67" spans="1:16" s="89" customFormat="1" outlineLevel="1" x14ac:dyDescent="0.35">
      <c r="A67" s="1169"/>
      <c r="B67" s="3961"/>
      <c r="C67" s="1243" t="s">
        <v>1370</v>
      </c>
      <c r="D67" s="1243" t="s">
        <v>778</v>
      </c>
      <c r="E67" s="1244">
        <f t="shared" si="0"/>
        <v>0.69444444444444442</v>
      </c>
      <c r="F67" s="1244">
        <f>IF($D67="Trigger",VLOOKUP($C67,'Upper Cask Welding failures'!$E$46:$H$564,4,FALSE),E67+F66)</f>
        <v>52.654106571311551</v>
      </c>
      <c r="G67" s="1309"/>
      <c r="H67" s="1310" t="str">
        <f>IF(D67="operation",VLOOKUP(G67,'Generic Vertical Port Tasks'!C168:D189,2,FALSE),"N/A")</f>
        <v>N/A</v>
      </c>
      <c r="I67" s="1243" t="s">
        <v>1789</v>
      </c>
      <c r="J67" s="1243" t="s">
        <v>901</v>
      </c>
      <c r="K67" s="1243" t="s">
        <v>831</v>
      </c>
      <c r="L67" s="1245">
        <f>IFERROR(INDEX('Upper Cask Movement &amp; Logistics'!$I$24:$O$30,MATCH($J67,'Upper Cask Movement &amp; Logistics'!$H$24:$H$30,0),MATCH($K67,'Upper Cask Movement &amp; Logistics'!$H$24:$H$30,0)),"N/A")</f>
        <v>50</v>
      </c>
      <c r="M67" s="1245">
        <f>IFERROR(VLOOKUP($I67,'Upper Cask Movement &amp; Logistics'!$H$4:$I$8,2,FALSE),"N/A")</f>
        <v>0.02</v>
      </c>
      <c r="N67" s="1311">
        <f t="shared" si="1"/>
        <v>0.69444444444444442</v>
      </c>
      <c r="O67" s="1312"/>
      <c r="P67" s="1313" t="str">
        <f>IF($D67="Logistics",VLOOKUP($O67,'Upper Cask Movement &amp; Logistics'!$C$4:$D$77,2,FALSE),"N/A")</f>
        <v>N/A</v>
      </c>
    </row>
    <row r="68" spans="1:16" s="89" customFormat="1" outlineLevel="1" x14ac:dyDescent="0.35">
      <c r="A68" s="1169"/>
      <c r="B68" s="3961"/>
      <c r="C68" s="1243" t="s">
        <v>1375</v>
      </c>
      <c r="D68" s="1243" t="s">
        <v>3</v>
      </c>
      <c r="E68" s="1244">
        <f t="shared" si="0"/>
        <v>0.68</v>
      </c>
      <c r="F68" s="1244">
        <f>IF($D68="Trigger",VLOOKUP($C68,'Upper Cask Welding failures'!$E$46:$H$564,4,FALSE),E68+F67)</f>
        <v>53.334106571311551</v>
      </c>
      <c r="G68" s="1309"/>
      <c r="H68" s="1310" t="str">
        <f>IF(D68="operation",VLOOKUP(G68,'Generic Vertical Port Tasks'!C168:D189,2,FALSE),"N/A")</f>
        <v>N/A</v>
      </c>
      <c r="I68" s="1243"/>
      <c r="J68" s="1243"/>
      <c r="K68" s="1243"/>
      <c r="L68" s="1245" t="str">
        <f>IFERROR(INDEX('Upper Cask Movement &amp; Logistics'!$I$24:$O$30,MATCH($J68,'Upper Cask Movement &amp; Logistics'!$H$24:$H$30,0),MATCH($K68,'Upper Cask Movement &amp; Logistics'!$H$24:$H$30,0)),"N/A")</f>
        <v>N/A</v>
      </c>
      <c r="M68" s="1245" t="str">
        <f>IFERROR(VLOOKUP($I68,'Upper Cask Movement &amp; Logistics'!$H$4:$I$8,2,FALSE),"N/A")</f>
        <v>N/A</v>
      </c>
      <c r="N68" s="1311" t="str">
        <f t="shared" si="1"/>
        <v>N/A</v>
      </c>
      <c r="O68" s="1312" t="s">
        <v>1213</v>
      </c>
      <c r="P68" s="1313">
        <f>IF($D68="Logistics",VLOOKUP($O68,'Upper Cask Movement &amp; Logistics'!$C$4:$D$77,2,FALSE),"N/A")</f>
        <v>0.68</v>
      </c>
    </row>
    <row r="69" spans="1:16" s="89" customFormat="1" outlineLevel="1" x14ac:dyDescent="0.35">
      <c r="A69" s="1169"/>
      <c r="B69" s="3961"/>
      <c r="C69" s="1249" t="s">
        <v>1362</v>
      </c>
      <c r="D69" s="1249" t="s">
        <v>778</v>
      </c>
      <c r="E69" s="1244">
        <f t="shared" si="0"/>
        <v>9.2592592592592601E-2</v>
      </c>
      <c r="F69" s="1244">
        <f>IF($D69="Trigger",VLOOKUP($C69,'Upper Cask Welding failures'!$E$46:$H$564,4,FALSE),E69+F68)</f>
        <v>53.426699163904146</v>
      </c>
      <c r="G69" s="1309"/>
      <c r="H69" s="1310" t="str">
        <f>IF(D69="operation",VLOOKUP(G69,'Generic Vertical Port Tasks'!C168:D189,2,FALSE),"N/A")</f>
        <v>N/A</v>
      </c>
      <c r="I69" s="1243" t="s">
        <v>2501</v>
      </c>
      <c r="J69" s="1243" t="s">
        <v>831</v>
      </c>
      <c r="K69" s="1243" t="s">
        <v>914</v>
      </c>
      <c r="L69" s="1245">
        <f>IFERROR(INDEX('Upper Cask Movement &amp; Logistics'!$I$24:$O$30,MATCH($J69,'Upper Cask Movement &amp; Logistics'!$H$24:$H$30,0),MATCH($K69,'Upper Cask Movement &amp; Logistics'!$H$24:$H$30,0)),"N/A")</f>
        <v>20</v>
      </c>
      <c r="M69" s="1245">
        <f>IFERROR(VLOOKUP($I69,'Upper Cask Movement &amp; Logistics'!$H$4:$I$8,2,FALSE),"N/A")</f>
        <v>0.06</v>
      </c>
      <c r="N69" s="1311">
        <f t="shared" si="1"/>
        <v>9.2592592592592601E-2</v>
      </c>
      <c r="O69" s="1312"/>
      <c r="P69" s="1313" t="str">
        <f>IF($D69="Logistics",VLOOKUP($O69,'Upper Cask Movement &amp; Logistics'!$C$4:$D$77,2,FALSE),"N/A")</f>
        <v>N/A</v>
      </c>
    </row>
    <row r="70" spans="1:16" s="89" customFormat="1" outlineLevel="1" x14ac:dyDescent="0.35">
      <c r="A70" s="1169"/>
      <c r="B70" s="3961"/>
      <c r="C70" s="1243" t="s">
        <v>1380</v>
      </c>
      <c r="D70" s="1243" t="s">
        <v>3</v>
      </c>
      <c r="E70" s="1244">
        <f t="shared" si="0"/>
        <v>0.48000000000000004</v>
      </c>
      <c r="F70" s="1244">
        <f>IF($D70="Trigger",VLOOKUP($C70,'Upper Cask Welding failures'!$E$46:$H$564,4,FALSE),E70+F69)</f>
        <v>53.906699163904143</v>
      </c>
      <c r="G70" s="1309"/>
      <c r="H70" s="1310" t="str">
        <f>IF(D70="operation",VLOOKUP(G70,'Generic Vertical Port Tasks'!C168:D189,2,FALSE),"N/A")</f>
        <v>N/A</v>
      </c>
      <c r="I70" s="1243"/>
      <c r="J70" s="1243"/>
      <c r="K70" s="1243"/>
      <c r="L70" s="1245" t="str">
        <f>IFERROR(INDEX('Upper Cask Movement &amp; Logistics'!$I$24:$O$30,MATCH($J70,'Upper Cask Movement &amp; Logistics'!$H$24:$H$30,0),MATCH($K70,'Upper Cask Movement &amp; Logistics'!$H$24:$H$30,0)),"N/A")</f>
        <v>N/A</v>
      </c>
      <c r="M70" s="1245" t="str">
        <f>IFERROR(VLOOKUP($I70,'Upper Cask Movement &amp; Logistics'!$H$4:$I$8,2,FALSE),"N/A")</f>
        <v>N/A</v>
      </c>
      <c r="N70" s="1311" t="str">
        <f t="shared" si="1"/>
        <v>N/A</v>
      </c>
      <c r="O70" s="1312" t="s">
        <v>1330</v>
      </c>
      <c r="P70" s="1313">
        <f>IF($D70="Logistics",VLOOKUP($O70,'Upper Cask Movement &amp; Logistics'!$C$4:$D$77,2,FALSE),"N/A")</f>
        <v>0.48000000000000004</v>
      </c>
    </row>
    <row r="71" spans="1:16" s="89" customFormat="1" outlineLevel="1" x14ac:dyDescent="0.35">
      <c r="A71" s="1169"/>
      <c r="B71" s="3961"/>
      <c r="C71" s="1243" t="s">
        <v>1381</v>
      </c>
      <c r="D71" s="1243" t="s">
        <v>778</v>
      </c>
      <c r="E71" s="1244">
        <f t="shared" si="0"/>
        <v>2.7777777777777776E-2</v>
      </c>
      <c r="F71" s="1244">
        <f>IF($D71="Trigger",VLOOKUP($C71,'Upper Cask Welding failures'!$E$46:$H$564,4,FALSE),E71+F70)</f>
        <v>53.934476941681922</v>
      </c>
      <c r="G71" s="1309"/>
      <c r="H71" s="1310" t="str">
        <f>IF(D71="operation",VLOOKUP(G71,'Generic Vertical Port Tasks'!C168:D189,2,FALSE),"N/A")</f>
        <v>N/A</v>
      </c>
      <c r="I71" s="1243" t="s">
        <v>2502</v>
      </c>
      <c r="J71" s="1243" t="s">
        <v>914</v>
      </c>
      <c r="K71" s="1243" t="s">
        <v>799</v>
      </c>
      <c r="L71" s="1245">
        <f>IFERROR(INDEX('Upper Cask Movement &amp; Logistics'!$I$24:$O$30,MATCH($J71,'Upper Cask Movement &amp; Logistics'!$H$24:$H$30,0),MATCH($K71,'Upper Cask Movement &amp; Logistics'!$H$24:$H$30,0)),"N/A")</f>
        <v>20</v>
      </c>
      <c r="M71" s="1245">
        <f>IFERROR(VLOOKUP($I71,'Upper Cask Movement &amp; Logistics'!$H$4:$I$8,2,FALSE),"N/A")</f>
        <v>0.2</v>
      </c>
      <c r="N71" s="1311">
        <f t="shared" si="1"/>
        <v>2.7777777777777776E-2</v>
      </c>
      <c r="O71" s="1312"/>
      <c r="P71" s="1313" t="str">
        <f>IF($D71="Logistics",VLOOKUP($O71,'Upper Cask Movement &amp; Logistics'!$C$4:$D$77,2,FALSE),"N/A")</f>
        <v>N/A</v>
      </c>
    </row>
    <row r="72" spans="1:16" s="89" customFormat="1" outlineLevel="1" x14ac:dyDescent="0.35">
      <c r="A72" s="1169"/>
      <c r="B72" s="3961"/>
      <c r="C72" s="1243" t="s">
        <v>1382</v>
      </c>
      <c r="D72" s="1243" t="s">
        <v>3</v>
      </c>
      <c r="E72" s="1244">
        <f t="shared" si="0"/>
        <v>0.48000000000000004</v>
      </c>
      <c r="F72" s="1244">
        <f>IF($D72="Trigger",VLOOKUP($C72,'Upper Cask Welding failures'!$E$46:$H$564,4,FALSE),E72+F71)</f>
        <v>54.414476941681919</v>
      </c>
      <c r="G72" s="1309"/>
      <c r="H72" s="1310" t="str">
        <f>IF(D72="operation",VLOOKUP(G72,'Generic Vertical Port Tasks'!C168:D189,2,FALSE),"N/A")</f>
        <v>N/A</v>
      </c>
      <c r="I72" s="1243"/>
      <c r="J72" s="1243"/>
      <c r="K72" s="1243"/>
      <c r="L72" s="1245" t="str">
        <f>IFERROR(INDEX('Upper Cask Movement &amp; Logistics'!$I$24:$O$30,MATCH($J72,'Upper Cask Movement &amp; Logistics'!$H$24:$H$30,0),MATCH($K72,'Upper Cask Movement &amp; Logistics'!$H$24:$H$30,0)),"N/A")</f>
        <v>N/A</v>
      </c>
      <c r="M72" s="1245" t="str">
        <f>IFERROR(VLOOKUP($I72,'Upper Cask Movement &amp; Logistics'!$H$4:$I$8,2,FALSE),"N/A")</f>
        <v>N/A</v>
      </c>
      <c r="N72" s="1311" t="str">
        <f t="shared" si="1"/>
        <v>N/A</v>
      </c>
      <c r="O72" s="1312" t="s">
        <v>1331</v>
      </c>
      <c r="P72" s="1313">
        <f>IF($D72="Logistics",VLOOKUP($O72,'Upper Cask Movement &amp; Logistics'!$C$4:$D$77,2,FALSE),"N/A")</f>
        <v>0.48000000000000004</v>
      </c>
    </row>
    <row r="73" spans="1:16" s="89" customFormat="1" outlineLevel="1" x14ac:dyDescent="0.35">
      <c r="A73" s="1169"/>
      <c r="B73" s="3961"/>
      <c r="C73" s="1243" t="s">
        <v>1366</v>
      </c>
      <c r="D73" s="1243" t="s">
        <v>778</v>
      </c>
      <c r="E73" s="1244">
        <f t="shared" si="0"/>
        <v>0.69444444444444442</v>
      </c>
      <c r="F73" s="1244">
        <f>IF($D73="Trigger",VLOOKUP($C73,'Upper Cask Welding failures'!$E$46:$H$564,4,FALSE),E73+F72)</f>
        <v>55.108921386126362</v>
      </c>
      <c r="G73" s="1309"/>
      <c r="H73" s="1310" t="str">
        <f>IF(D73="operation",VLOOKUP(G73,'Generic Vertical Port Tasks'!C168:D189,2,FALSE),"N/A")</f>
        <v>N/A</v>
      </c>
      <c r="I73" s="1243" t="s">
        <v>1789</v>
      </c>
      <c r="J73" s="1243" t="s">
        <v>799</v>
      </c>
      <c r="K73" s="1243" t="s">
        <v>901</v>
      </c>
      <c r="L73" s="1245">
        <f>IFERROR(INDEX('Upper Cask Movement &amp; Logistics'!$I$24:$O$30,MATCH($J73,'Upper Cask Movement &amp; Logistics'!$H$24:$H$30,0),MATCH($K73,'Upper Cask Movement &amp; Logistics'!$H$24:$H$30,0)),"N/A")</f>
        <v>50</v>
      </c>
      <c r="M73" s="1245">
        <f>IFERROR(VLOOKUP($I73,'Upper Cask Movement &amp; Logistics'!$H$4:$I$8,2,FALSE),"N/A")</f>
        <v>0.02</v>
      </c>
      <c r="N73" s="1311">
        <f t="shared" si="1"/>
        <v>0.69444444444444442</v>
      </c>
      <c r="O73" s="1312"/>
      <c r="P73" s="1313" t="str">
        <f>IF($D73="Logistics",VLOOKUP($O73,'Upper Cask Movement &amp; Logistics'!$C$4:$D$77,2,FALSE),"N/A")</f>
        <v>N/A</v>
      </c>
    </row>
    <row r="74" spans="1:16" s="89" customFormat="1" outlineLevel="1" x14ac:dyDescent="0.35">
      <c r="A74" s="1169"/>
      <c r="B74" s="3961"/>
      <c r="C74" s="1243" t="s">
        <v>1383</v>
      </c>
      <c r="D74" s="1243" t="s">
        <v>3</v>
      </c>
      <c r="E74" s="1244">
        <f t="shared" si="0"/>
        <v>1.4000000000000001</v>
      </c>
      <c r="F74" s="1244">
        <f>IF($D74="Trigger",VLOOKUP($C74,'Upper Cask Welding failures'!$E$46:$H$564,4,FALSE),E74+F73)</f>
        <v>56.50892138612636</v>
      </c>
      <c r="G74" s="1309"/>
      <c r="H74" s="1310" t="str">
        <f>IF(D74="operation",VLOOKUP(G74,'Generic Vertical Port Tasks'!C168:D189,2,FALSE),"N/A")</f>
        <v>N/A</v>
      </c>
      <c r="I74" s="1243"/>
      <c r="J74" s="1243"/>
      <c r="K74" s="1243"/>
      <c r="L74" s="1245" t="str">
        <f>IFERROR(INDEX('Upper Cask Movement &amp; Logistics'!$I$24:$O$30,MATCH($J74,'Upper Cask Movement &amp; Logistics'!$H$24:$H$30,0),MATCH($K74,'Upper Cask Movement &amp; Logistics'!$H$24:$H$30,0)),"N/A")</f>
        <v>N/A</v>
      </c>
      <c r="M74" s="1245" t="str">
        <f>IFERROR(VLOOKUP($I74,'Upper Cask Movement &amp; Logistics'!$H$4:$I$8,2,FALSE),"N/A")</f>
        <v>N/A</v>
      </c>
      <c r="N74" s="1311" t="str">
        <f t="shared" si="1"/>
        <v>N/A</v>
      </c>
      <c r="O74" s="1312" t="s">
        <v>1277</v>
      </c>
      <c r="P74" s="1313">
        <f>IF($D74="Logistics",VLOOKUP($O74,'Upper Cask Movement &amp; Logistics'!$C$4:$D$77,2,FALSE),"N/A")</f>
        <v>1.4000000000000001</v>
      </c>
    </row>
    <row r="75" spans="1:16" s="89" customFormat="1" ht="26.15" outlineLevel="1" thickBot="1" x14ac:dyDescent="0.4">
      <c r="A75" s="1169"/>
      <c r="B75" s="3963"/>
      <c r="C75" s="1314" t="str">
        <f>B65</f>
        <v>RIB Pipe Module stored; Hardware Cask 4 stored; Hardware Cask 5 collected; Hardware Cask 5 docked</v>
      </c>
      <c r="D75" s="1314" t="s">
        <v>11</v>
      </c>
      <c r="E75" s="1316">
        <f t="shared" si="0"/>
        <v>0</v>
      </c>
      <c r="F75" s="1316">
        <f>IF($D75="Trigger",VLOOKUP($C75,'Upper Cask Welding failures'!$E$46:$H$564,4,FALSE),E75+F74)</f>
        <v>56.50892138612636</v>
      </c>
      <c r="G75" s="1317"/>
      <c r="H75" s="1318" t="str">
        <f>IF(D75="operation",VLOOKUP(G75,'Generic Vertical Port Tasks'!C168:D189,2,FALSE),"N/A")</f>
        <v>N/A</v>
      </c>
      <c r="I75" s="1314"/>
      <c r="J75" s="1314"/>
      <c r="K75" s="1314"/>
      <c r="L75" s="1319" t="str">
        <f>IFERROR(INDEX('Upper Cask Movement &amp; Logistics'!$I$24:$O$30,MATCH($J75,'Upper Cask Movement &amp; Logistics'!$H$24:$H$30,0),MATCH($K75,'Upper Cask Movement &amp; Logistics'!$H$24:$H$30,0)),"N/A")</f>
        <v>N/A</v>
      </c>
      <c r="M75" s="1319" t="str">
        <f>IFERROR(VLOOKUP($I75,'Upper Cask Movement &amp; Logistics'!$H$4:$I$8,2,FALSE),"N/A")</f>
        <v>N/A</v>
      </c>
      <c r="N75" s="1320" t="str">
        <f t="shared" si="1"/>
        <v>N/A</v>
      </c>
      <c r="O75" s="1321"/>
      <c r="P75" s="1322" t="str">
        <f>IF($D75="Logistics",VLOOKUP($O75,'Upper Cask Movement &amp; Logistics'!$C$4:$D$77,2,FALSE),"N/A")</f>
        <v>N/A</v>
      </c>
    </row>
    <row r="76" spans="1:16" s="89" customFormat="1" outlineLevel="1" x14ac:dyDescent="0.35">
      <c r="A76" s="1169"/>
      <c r="B76" s="3964" t="s">
        <v>1384</v>
      </c>
      <c r="C76" s="1324" t="str">
        <f>'Upper Cask Critical Path'!C112</f>
        <v>Store Pipe Lifter in Equipment Cask 2</v>
      </c>
      <c r="D76" s="1324" t="s">
        <v>907</v>
      </c>
      <c r="E76" s="1291">
        <f t="shared" si="0"/>
        <v>0</v>
      </c>
      <c r="F76" s="1291">
        <f>IF($D76="Trigger",VLOOKUP($C76,'Upper Cask Welding failures'!$E$46:$H$564,4,FALSE),E76+F75)</f>
        <v>4.6100000000000003</v>
      </c>
      <c r="G76" s="825"/>
      <c r="H76" s="1323" t="str">
        <f>IF(D76="operation",VLOOKUP(G76,'Generic Vertical Port Tasks'!C168:D189,2,FALSE),"N/A")</f>
        <v>N/A</v>
      </c>
      <c r="I76" s="1324"/>
      <c r="J76" s="1324"/>
      <c r="K76" s="1324"/>
      <c r="L76" s="1325" t="str">
        <f>IFERROR(INDEX('Upper Cask Movement &amp; Logistics'!$I$24:$O$30,MATCH($J76,'Upper Cask Movement &amp; Logistics'!$H$24:$H$30,0),MATCH($K76,'Upper Cask Movement &amp; Logistics'!$H$24:$H$30,0)),"N/A")</f>
        <v>N/A</v>
      </c>
      <c r="M76" s="1325" t="str">
        <f>IFERROR(VLOOKUP($I76,'Upper Cask Movement &amp; Logistics'!$H$4:$I$8,2,FALSE),"N/A")</f>
        <v>N/A</v>
      </c>
      <c r="N76" s="1326" t="str">
        <f t="shared" si="1"/>
        <v>N/A</v>
      </c>
      <c r="O76" s="1327"/>
      <c r="P76" s="824" t="str">
        <f>IF($D76="Logistics",VLOOKUP($O76,'Upper Cask Movement &amp; Logistics'!$C$4:$D$77,2,FALSE),"N/A")</f>
        <v>N/A</v>
      </c>
    </row>
    <row r="77" spans="1:16" s="89" customFormat="1" outlineLevel="1" x14ac:dyDescent="0.35">
      <c r="A77" s="1169"/>
      <c r="B77" s="3965"/>
      <c r="C77" s="1294" t="s">
        <v>1385</v>
      </c>
      <c r="D77" s="1294" t="s">
        <v>3</v>
      </c>
      <c r="E77" s="1292">
        <f t="shared" si="0"/>
        <v>0.5</v>
      </c>
      <c r="F77" s="1292">
        <f>IF($D77="Trigger",VLOOKUP($C77,'Upper Cask Welding failures'!$E$46:$H$564,4,FALSE),E77+F76)</f>
        <v>5.1100000000000003</v>
      </c>
      <c r="G77" s="862"/>
      <c r="H77" s="1328" t="str">
        <f>IF(D77="operation",VLOOKUP(G77,'Generic Vertical Port Tasks'!C168:D189,2,FALSE),"N/A")</f>
        <v>N/A</v>
      </c>
      <c r="I77" s="1294"/>
      <c r="J77" s="1294"/>
      <c r="K77" s="1294"/>
      <c r="L77" s="1329" t="str">
        <f>IFERROR(INDEX('Upper Cask Movement &amp; Logistics'!$I$24:$O$30,MATCH($J77,'Upper Cask Movement &amp; Logistics'!$H$24:$H$30,0),MATCH($K77,'Upper Cask Movement &amp; Logistics'!$H$24:$H$30,0)),"N/A")</f>
        <v>N/A</v>
      </c>
      <c r="M77" s="1329" t="str">
        <f>IFERROR(VLOOKUP($I77,'Upper Cask Movement &amp; Logistics'!$H$4:$I$8,2,FALSE),"N/A")</f>
        <v>N/A</v>
      </c>
      <c r="N77" s="1330" t="str">
        <f t="shared" si="1"/>
        <v>N/A</v>
      </c>
      <c r="O77" s="1331" t="s">
        <v>1208</v>
      </c>
      <c r="P77" s="1332">
        <f>IF($D77="Logistics",VLOOKUP($O77,'Upper Cask Movement &amp; Logistics'!$C$4:$D$77,2,FALSE),"N/A")</f>
        <v>0.5</v>
      </c>
    </row>
    <row r="78" spans="1:16" s="89" customFormat="1" outlineLevel="1" x14ac:dyDescent="0.35">
      <c r="A78" s="1169"/>
      <c r="B78" s="3965"/>
      <c r="C78" s="1294" t="s">
        <v>1386</v>
      </c>
      <c r="D78" s="1294" t="s">
        <v>3</v>
      </c>
      <c r="E78" s="1292">
        <f t="shared" si="0"/>
        <v>0.48000000000000004</v>
      </c>
      <c r="F78" s="1292">
        <f>IF($D78="Trigger",VLOOKUP($C78,'Upper Cask Welding failures'!$E$46:$H$564,4,FALSE),E78+F77)</f>
        <v>5.5900000000000007</v>
      </c>
      <c r="G78" s="862"/>
      <c r="H78" s="1328" t="str">
        <f>IF(D78="operation",VLOOKUP(G78,'Generic Vertical Port Tasks'!C168:D189,2,FALSE),"N/A")</f>
        <v>N/A</v>
      </c>
      <c r="I78" s="1294"/>
      <c r="J78" s="1294"/>
      <c r="K78" s="1294"/>
      <c r="L78" s="1329" t="str">
        <f>IFERROR(INDEX('Upper Cask Movement &amp; Logistics'!$I$24:$O$30,MATCH($J78,'Upper Cask Movement &amp; Logistics'!$H$24:$H$30,0),MATCH($K78,'Upper Cask Movement &amp; Logistics'!$H$24:$H$30,0)),"N/A")</f>
        <v>N/A</v>
      </c>
      <c r="M78" s="1329" t="str">
        <f>IFERROR(VLOOKUP($I78,'Upper Cask Movement &amp; Logistics'!$H$4:$I$8,2,FALSE),"N/A")</f>
        <v>N/A</v>
      </c>
      <c r="N78" s="1330" t="str">
        <f t="shared" si="1"/>
        <v>N/A</v>
      </c>
      <c r="O78" s="1331" t="s">
        <v>1331</v>
      </c>
      <c r="P78" s="1332">
        <f>IF($D78="Logistics",VLOOKUP($O78,'Upper Cask Movement &amp; Logistics'!$C$4:$D$77,2,FALSE),"N/A")</f>
        <v>0.48000000000000004</v>
      </c>
    </row>
    <row r="79" spans="1:16" s="89" customFormat="1" outlineLevel="1" x14ac:dyDescent="0.35">
      <c r="A79" s="1169"/>
      <c r="B79" s="3965"/>
      <c r="C79" s="1294" t="s">
        <v>1387</v>
      </c>
      <c r="D79" s="1294" t="s">
        <v>778</v>
      </c>
      <c r="E79" s="1292">
        <f t="shared" si="0"/>
        <v>0.69444444444444442</v>
      </c>
      <c r="F79" s="1292">
        <f>IF($D79="Trigger",VLOOKUP($C79,'Upper Cask Welding failures'!$E$46:$H$564,4,FALSE),E79+F78)</f>
        <v>6.2844444444444454</v>
      </c>
      <c r="G79" s="862"/>
      <c r="H79" s="1328" t="str">
        <f>IF(D79="operation",VLOOKUP(G79,'Generic Vertical Port Tasks'!C168:D189,2,FALSE),"N/A")</f>
        <v>N/A</v>
      </c>
      <c r="I79" s="1294" t="s">
        <v>1789</v>
      </c>
      <c r="J79" s="1294" t="s">
        <v>799</v>
      </c>
      <c r="K79" s="1294" t="s">
        <v>816</v>
      </c>
      <c r="L79" s="1329">
        <f>IFERROR(INDEX('Upper Cask Movement &amp; Logistics'!$I$24:$O$30,MATCH($J79,'Upper Cask Movement &amp; Logistics'!$H$24:$H$30,0),MATCH($K79,'Upper Cask Movement &amp; Logistics'!$H$24:$H$30,0)),"N/A")</f>
        <v>50</v>
      </c>
      <c r="M79" s="1329">
        <f>IFERROR(VLOOKUP($I79,'Upper Cask Movement &amp; Logistics'!$H$4:$I$8,2,FALSE),"N/A")</f>
        <v>0.02</v>
      </c>
      <c r="N79" s="1330">
        <f t="shared" si="1"/>
        <v>0.69444444444444442</v>
      </c>
      <c r="O79" s="1331"/>
      <c r="P79" s="1332" t="str">
        <f>IF($D79="Logistics",VLOOKUP($O79,'Upper Cask Movement &amp; Logistics'!$C$4:$D$77,2,FALSE),"N/A")</f>
        <v>N/A</v>
      </c>
    </row>
    <row r="80" spans="1:16" s="89" customFormat="1" ht="26.15" outlineLevel="1" thickBot="1" x14ac:dyDescent="0.4">
      <c r="A80" s="1169"/>
      <c r="B80" s="3965"/>
      <c r="C80" s="1294" t="str">
        <f>B76</f>
        <v>Equipment Cask 3 collected; Equipment Cask 3 moved to equipment stillage</v>
      </c>
      <c r="D80" s="1294" t="s">
        <v>11</v>
      </c>
      <c r="E80" s="1292">
        <f t="shared" si="0"/>
        <v>0</v>
      </c>
      <c r="F80" s="1292">
        <f>IF($D80="Trigger",VLOOKUP($C80,'Upper Cask Welding failures'!$E$46:$H$564,4,FALSE),E80+F79)</f>
        <v>6.2844444444444454</v>
      </c>
      <c r="G80" s="862"/>
      <c r="H80" s="1328" t="str">
        <f>IF(D80="operation",VLOOKUP(G80,'Generic Vertical Port Tasks'!C168:D189,2,FALSE),"N/A")</f>
        <v>N/A</v>
      </c>
      <c r="I80" s="1294"/>
      <c r="J80" s="1294"/>
      <c r="K80" s="1294"/>
      <c r="L80" s="1329" t="str">
        <f>IFERROR(INDEX('Upper Cask Movement &amp; Logistics'!$I$24:$O$30,MATCH($J80,'Upper Cask Movement &amp; Logistics'!$H$24:$H$30,0),MATCH($K80,'Upper Cask Movement &amp; Logistics'!$H$24:$H$30,0)),"N/A")</f>
        <v>N/A</v>
      </c>
      <c r="M80" s="1329" t="str">
        <f>IFERROR(VLOOKUP($I80,'Upper Cask Movement &amp; Logistics'!$H$4:$I$8,2,FALSE),"N/A")</f>
        <v>N/A</v>
      </c>
      <c r="N80" s="1330" t="str">
        <f t="shared" si="1"/>
        <v>N/A</v>
      </c>
      <c r="O80" s="1331"/>
      <c r="P80" s="1332" t="str">
        <f>IF($D80="Logistics",VLOOKUP($O80,'Upper Cask Movement &amp; Logistics'!$C$4:$D$77,2,FALSE),"N/A")</f>
        <v>N/A</v>
      </c>
    </row>
    <row r="81" spans="1:16" ht="12.75" customHeight="1" outlineLevel="1" thickBot="1" x14ac:dyDescent="0.45">
      <c r="A81" s="1173"/>
      <c r="B81" s="4001" t="s">
        <v>1518</v>
      </c>
      <c r="C81" s="566" t="s">
        <v>1181</v>
      </c>
      <c r="D81" s="566" t="s">
        <v>907</v>
      </c>
      <c r="E81" s="1175">
        <f>MAX($P81,$N81,$H81)</f>
        <v>0</v>
      </c>
      <c r="F81" s="621">
        <f>IF($D81="Trigger",VLOOKUP("*"&amp;$C81&amp;"*",'Upper Cask Welding failures'!$E$46:$H$564,4,FALSE),E81+F80)</f>
        <v>0</v>
      </c>
      <c r="G81" s="568"/>
      <c r="H81" s="621" t="str">
        <f>IF(D81="operation",VLOOKUP(G81,'Upper Hot Cell Welding failures'!E107:I184,5,FALSE), "N/A")</f>
        <v>N/A</v>
      </c>
      <c r="I81" s="566"/>
      <c r="J81" s="566"/>
      <c r="K81" s="566"/>
      <c r="L81" s="1175" t="str">
        <f>IFERROR(INDEX(#REF!,MATCH($J81,#REF!,0),MATCH($K81,#REF!,0)),"N/A")</f>
        <v>N/A</v>
      </c>
      <c r="M81" s="1175" t="str">
        <f>IFERROR(VLOOKUP($I81,#REF!,2,FALSE),"N/A")</f>
        <v>N/A</v>
      </c>
      <c r="N81" s="1175" t="str">
        <f t="shared" si="1"/>
        <v>N/A</v>
      </c>
      <c r="O81" s="620"/>
      <c r="P81" s="621" t="str">
        <f>IF($D81="Logistics",VLOOKUP($O81,#REF!,2,FALSE),"N/A")</f>
        <v>N/A</v>
      </c>
    </row>
    <row r="82" spans="1:16" ht="12.75" customHeight="1" outlineLevel="1" x14ac:dyDescent="0.4">
      <c r="A82" s="1173"/>
      <c r="B82" s="4002"/>
      <c r="C82" s="573" t="s">
        <v>1182</v>
      </c>
      <c r="D82" s="573" t="s">
        <v>251</v>
      </c>
      <c r="E82" s="1176">
        <f>MAX($P82,$N82,$H82)</f>
        <v>12.602967059728389</v>
      </c>
      <c r="F82" s="580">
        <f>IF($D82="Trigger",VLOOKUP("*"&amp;$C82&amp;"*",'Upper Cask Welding failures'!$E$46:$H$564,4,FALSE),E82+F81)</f>
        <v>12.602967059728389</v>
      </c>
      <c r="G82" s="575" t="s">
        <v>1064</v>
      </c>
      <c r="H82" s="621">
        <v>12.602967059728389</v>
      </c>
      <c r="I82" s="573"/>
      <c r="J82" s="573"/>
      <c r="K82" s="573"/>
      <c r="L82" s="1176" t="str">
        <f>IFERROR(INDEX(#REF!,MATCH($J82,#REF!,0),MATCH($K82,#REF!,0)),"N/A")</f>
        <v>N/A</v>
      </c>
      <c r="M82" s="1176" t="str">
        <f>IFERROR(VLOOKUP($I82,#REF!,2,FALSE),"N/A")</f>
        <v>N/A</v>
      </c>
      <c r="N82" s="1176" t="str">
        <f t="shared" si="1"/>
        <v>N/A</v>
      </c>
      <c r="O82" s="579"/>
      <c r="P82" s="580" t="str">
        <f>IF($D82="Logistics",VLOOKUP($O82,#REF!,2,FALSE),"N/A")</f>
        <v>N/A</v>
      </c>
    </row>
    <row r="83" spans="1:16" ht="13.5" customHeight="1" outlineLevel="1" thickBot="1" x14ac:dyDescent="0.45">
      <c r="A83" s="1173"/>
      <c r="B83" s="4003"/>
      <c r="C83" s="584" t="str">
        <f>B81</f>
        <v>Disconnect COB Divertor port pipe module</v>
      </c>
      <c r="D83" s="584" t="s">
        <v>11</v>
      </c>
      <c r="E83" s="1179">
        <f>MAX($P83,$N83,$H83)</f>
        <v>0</v>
      </c>
      <c r="F83" s="591">
        <f>IF($D83="Trigger",VLOOKUP("*"&amp;$C83&amp;"*",'Upper Cask Welding failures'!$E$46:$H$564,4,FALSE),E83+F82)</f>
        <v>12.602967059728389</v>
      </c>
      <c r="G83" s="586"/>
      <c r="H83" s="591" t="str">
        <f>IF(D83="operation",VLOOKUP(G83,#REF!,5,FALSE), "N/A")</f>
        <v>N/A</v>
      </c>
      <c r="I83" s="584"/>
      <c r="J83" s="584"/>
      <c r="K83" s="584"/>
      <c r="L83" s="1179" t="str">
        <f>IFERROR(INDEX(#REF!,MATCH($J83,#REF!,0),MATCH($K83,#REF!,0)),"N/A")</f>
        <v>N/A</v>
      </c>
      <c r="M83" s="1179" t="str">
        <f>IFERROR(VLOOKUP($I83,#REF!,2,FALSE),"N/A")</f>
        <v>N/A</v>
      </c>
      <c r="N83" s="1179" t="str">
        <f t="shared" si="1"/>
        <v>N/A</v>
      </c>
      <c r="O83" s="590"/>
      <c r="P83" s="591" t="str">
        <f>IF($D83="Logistics",VLOOKUP($O83,#REF!,2,FALSE),"N/A")</f>
        <v>N/A</v>
      </c>
    </row>
    <row r="84" spans="1:16" s="89" customFormat="1" outlineLevel="1" x14ac:dyDescent="0.35">
      <c r="A84" s="1169"/>
      <c r="B84" s="3964" t="s">
        <v>1392</v>
      </c>
      <c r="C84" s="1324" t="s">
        <v>1263</v>
      </c>
      <c r="D84" s="1324" t="s">
        <v>907</v>
      </c>
      <c r="E84" s="1291">
        <f t="shared" si="0"/>
        <v>0</v>
      </c>
      <c r="F84" s="1291">
        <f>IF($D84="Trigger",VLOOKUP($C84,'Upper Cask Welding failures'!$E$46:$H$564,4,FALSE),E84+F80)</f>
        <v>61.599662126867123</v>
      </c>
      <c r="G84" s="825"/>
      <c r="H84" s="1323" t="str">
        <f>IF(D84="operation",VLOOKUP(G84,'Generic Vertical Port Tasks'!C158:D189,2,FALSE),"N/A")</f>
        <v>N/A</v>
      </c>
      <c r="I84" s="1324"/>
      <c r="J84" s="1324"/>
      <c r="K84" s="1324"/>
      <c r="L84" s="1325" t="str">
        <f>IFERROR(INDEX('Upper Cask Movement &amp; Logistics'!$I$24:$O$30,MATCH($J84,'Upper Cask Movement &amp; Logistics'!$H$24:$H$30,0),MATCH($K84,'Upper Cask Movement &amp; Logistics'!$H$24:$H$30,0)),"N/A")</f>
        <v>N/A</v>
      </c>
      <c r="M84" s="1325" t="str">
        <f>IFERROR(VLOOKUP($I84,'Upper Cask Movement &amp; Logistics'!$H$4:$I$8,2,FALSE),"N/A")</f>
        <v>N/A</v>
      </c>
      <c r="N84" s="1326" t="str">
        <f t="shared" si="1"/>
        <v>N/A</v>
      </c>
      <c r="O84" s="1327"/>
      <c r="P84" s="824" t="str">
        <f>IF($D84="Logistics",VLOOKUP($O84,'Upper Cask Movement &amp; Logistics'!$C$4:$D$77,2,FALSE),"N/A")</f>
        <v>N/A</v>
      </c>
    </row>
    <row r="85" spans="1:16" s="89" customFormat="1" outlineLevel="1" x14ac:dyDescent="0.35">
      <c r="A85" s="1169"/>
      <c r="B85" s="3969"/>
      <c r="C85" s="1362" t="s">
        <v>1268</v>
      </c>
      <c r="D85" s="1362" t="s">
        <v>3</v>
      </c>
      <c r="E85" s="1363">
        <f t="shared" si="0"/>
        <v>2.3000000000000003</v>
      </c>
      <c r="F85" s="1363">
        <f>IF($D85="Trigger",VLOOKUP($C85,'Upper Cask Welding failures'!$E$46:$H$564,4,FALSE),E85+F84)</f>
        <v>63.899662126867121</v>
      </c>
      <c r="G85" s="1364"/>
      <c r="H85" s="1365" t="str">
        <f>IF(D85="operation",VLOOKUP(G85,'Generic Vertical Port Tasks'!C158:D189,2,FALSE),"N/A")</f>
        <v>N/A</v>
      </c>
      <c r="I85" s="1362"/>
      <c r="J85" s="1362"/>
      <c r="K85" s="1362"/>
      <c r="L85" s="1366" t="str">
        <f>IFERROR(INDEX('Upper Cask Movement &amp; Logistics'!$I$24:$O$30,MATCH($J85,'Upper Cask Movement &amp; Logistics'!$H$24:$H$30,0),MATCH($K85,'Upper Cask Movement &amp; Logistics'!$H$24:$H$30,0)),"N/A")</f>
        <v>N/A</v>
      </c>
      <c r="M85" s="1366" t="str">
        <f>IFERROR(VLOOKUP($I85,'Upper Cask Movement &amp; Logistics'!$H$4:$I$8,2,FALSE),"N/A")</f>
        <v>N/A</v>
      </c>
      <c r="N85" s="1367" t="str">
        <f t="shared" si="1"/>
        <v>N/A</v>
      </c>
      <c r="O85" s="1368" t="s">
        <v>1269</v>
      </c>
      <c r="P85" s="861">
        <f>IF($D85="Logistics",VLOOKUP($O85,'Upper Cask Movement &amp; Logistics'!$C$4:$D$77,2,FALSE),"N/A")</f>
        <v>2.3000000000000003</v>
      </c>
    </row>
    <row r="86" spans="1:16" s="89" customFormat="1" outlineLevel="1" x14ac:dyDescent="0.35">
      <c r="A86" s="1169"/>
      <c r="B86" s="3969"/>
      <c r="C86" s="1362" t="s">
        <v>1370</v>
      </c>
      <c r="D86" s="1362" t="s">
        <v>778</v>
      </c>
      <c r="E86" s="1363">
        <f t="shared" si="0"/>
        <v>0.69444444444444442</v>
      </c>
      <c r="F86" s="1363">
        <f>IF($D86="Trigger",VLOOKUP($C86,'Upper Cask Welding failures'!$E$46:$H$564,4,FALSE),E86+F85)</f>
        <v>64.594106571311571</v>
      </c>
      <c r="G86" s="1364"/>
      <c r="H86" s="1365" t="str">
        <f>IF(D86="operation",VLOOKUP(G86,'Generic Vertical Port Tasks'!C158:D189,2,FALSE),"N/A")</f>
        <v>N/A</v>
      </c>
      <c r="I86" s="1362" t="s">
        <v>1789</v>
      </c>
      <c r="J86" s="1362" t="s">
        <v>901</v>
      </c>
      <c r="K86" s="1362" t="s">
        <v>831</v>
      </c>
      <c r="L86" s="1366">
        <f>IFERROR(INDEX('Upper Cask Movement &amp; Logistics'!$I$24:$O$30,MATCH($J86,'Upper Cask Movement &amp; Logistics'!$H$24:$H$30,0),MATCH($K86,'Upper Cask Movement &amp; Logistics'!$H$24:$H$30,0)),"N/A")</f>
        <v>50</v>
      </c>
      <c r="M86" s="1366">
        <f>IFERROR(VLOOKUP($I86,'Upper Cask Movement &amp; Logistics'!$H$4:$I$8,2,FALSE),"N/A")</f>
        <v>0.02</v>
      </c>
      <c r="N86" s="1367">
        <f t="shared" si="1"/>
        <v>0.69444444444444442</v>
      </c>
      <c r="O86" s="1368"/>
      <c r="P86" s="861" t="str">
        <f>IF($D86="Logistics",VLOOKUP($O86,'Upper Cask Movement &amp; Logistics'!$C$4:$D$77,2,FALSE),"N/A")</f>
        <v>N/A</v>
      </c>
    </row>
    <row r="87" spans="1:16" s="89" customFormat="1" outlineLevel="1" x14ac:dyDescent="0.35">
      <c r="A87" s="1169"/>
      <c r="B87" s="3969"/>
      <c r="C87" s="1362" t="s">
        <v>1393</v>
      </c>
      <c r="D87" s="1362" t="s">
        <v>3</v>
      </c>
      <c r="E87" s="1363">
        <f t="shared" si="0"/>
        <v>0.68</v>
      </c>
      <c r="F87" s="1363">
        <f>IF($D87="Trigger",VLOOKUP($C87,'Upper Cask Welding failures'!$E$46:$H$564,4,FALSE),E87+F86)</f>
        <v>65.274106571311577</v>
      </c>
      <c r="G87" s="1364"/>
      <c r="H87" s="1365" t="str">
        <f>IF(D87="operation",VLOOKUP(G87,'Generic Vertical Port Tasks'!C158:D189,2,FALSE),"N/A")</f>
        <v>N/A</v>
      </c>
      <c r="I87" s="1362"/>
      <c r="J87" s="1362"/>
      <c r="K87" s="1362"/>
      <c r="L87" s="1366" t="str">
        <f>IFERROR(INDEX('Upper Cask Movement &amp; Logistics'!$I$24:$O$30,MATCH($J87,'Upper Cask Movement &amp; Logistics'!$H$24:$H$30,0),MATCH($K87,'Upper Cask Movement &amp; Logistics'!$H$24:$H$30,0)),"N/A")</f>
        <v>N/A</v>
      </c>
      <c r="M87" s="1366" t="str">
        <f>IFERROR(VLOOKUP($I87,'Upper Cask Movement &amp; Logistics'!$H$4:$I$8,2,FALSE),"N/A")</f>
        <v>N/A</v>
      </c>
      <c r="N87" s="1367" t="str">
        <f t="shared" si="1"/>
        <v>N/A</v>
      </c>
      <c r="O87" s="1368" t="s">
        <v>1213</v>
      </c>
      <c r="P87" s="861">
        <f>IF($D87="Logistics",VLOOKUP($O87,'Upper Cask Movement &amp; Logistics'!$C$4:$D$77,2,FALSE),"N/A")</f>
        <v>0.68</v>
      </c>
    </row>
    <row r="88" spans="1:16" s="89" customFormat="1" outlineLevel="1" x14ac:dyDescent="0.35">
      <c r="A88" s="1169"/>
      <c r="B88" s="3965"/>
      <c r="C88" s="1294" t="s">
        <v>1366</v>
      </c>
      <c r="D88" s="1294" t="s">
        <v>778</v>
      </c>
      <c r="E88" s="1292">
        <f t="shared" si="0"/>
        <v>0.23148148148148148</v>
      </c>
      <c r="F88" s="1292">
        <f>IF($D88="Trigger",VLOOKUP($C88,'Upper Cask Welding failures'!$E$46:$H$564,4,FALSE),E88+F87)</f>
        <v>65.505588052793058</v>
      </c>
      <c r="G88" s="862"/>
      <c r="H88" s="1328" t="str">
        <f>IF(D88="operation",VLOOKUP(G88,'Generic Vertical Port Tasks'!C158:D189,2,FALSE),"N/A")</f>
        <v>N/A</v>
      </c>
      <c r="I88" s="1294" t="s">
        <v>2501</v>
      </c>
      <c r="J88" s="1294" t="s">
        <v>831</v>
      </c>
      <c r="K88" s="1294" t="s">
        <v>901</v>
      </c>
      <c r="L88" s="1329">
        <f>IFERROR(INDEX('Upper Cask Movement &amp; Logistics'!$I$24:$O$30,MATCH($J88,'Upper Cask Movement &amp; Logistics'!$H$24:$H$30,0),MATCH($K88,'Upper Cask Movement &amp; Logistics'!$H$24:$H$30,0)),"N/A")</f>
        <v>50</v>
      </c>
      <c r="M88" s="1329">
        <f>IFERROR(VLOOKUP($I88,'Upper Cask Movement &amp; Logistics'!$H$4:$I$8,2,FALSE),"N/A")</f>
        <v>0.06</v>
      </c>
      <c r="N88" s="1330">
        <f t="shared" si="1"/>
        <v>0.23148148148148148</v>
      </c>
      <c r="O88" s="1331"/>
      <c r="P88" s="1332" t="str">
        <f>IF($D88="Logistics",VLOOKUP($O88,'Upper Cask Movement &amp; Logistics'!$C$4:$D$77,2,FALSE),"N/A")</f>
        <v>N/A</v>
      </c>
    </row>
    <row r="89" spans="1:16" s="89" customFormat="1" outlineLevel="1" x14ac:dyDescent="0.35">
      <c r="A89" s="1169"/>
      <c r="B89" s="3965"/>
      <c r="C89" s="1294" t="s">
        <v>1383</v>
      </c>
      <c r="D89" s="1294" t="s">
        <v>3</v>
      </c>
      <c r="E89" s="1292">
        <f t="shared" si="0"/>
        <v>1.4000000000000001</v>
      </c>
      <c r="F89" s="1292">
        <f>IF($D89="Trigger",VLOOKUP($C89,'Upper Cask Welding failures'!$E$46:$H$564,4,FALSE),E89+F88)</f>
        <v>66.905588052793064</v>
      </c>
      <c r="G89" s="862"/>
      <c r="H89" s="1328" t="str">
        <f>IF(D89="operation",VLOOKUP(G89,'Generic Vertical Port Tasks'!C158:D189,2,FALSE),"N/A")</f>
        <v>N/A</v>
      </c>
      <c r="I89" s="1294"/>
      <c r="J89" s="1294"/>
      <c r="K89" s="1294"/>
      <c r="L89" s="1329" t="str">
        <f>IFERROR(INDEX('Upper Cask Movement &amp; Logistics'!$I$24:$O$30,MATCH($J89,'Upper Cask Movement &amp; Logistics'!$H$24:$H$30,0),MATCH($K89,'Upper Cask Movement &amp; Logistics'!$H$24:$H$30,0)),"N/A")</f>
        <v>N/A</v>
      </c>
      <c r="M89" s="1329" t="str">
        <f>IFERROR(VLOOKUP($I89,'Upper Cask Movement &amp; Logistics'!$H$4:$I$8,2,FALSE),"N/A")</f>
        <v>N/A</v>
      </c>
      <c r="N89" s="1330" t="str">
        <f t="shared" si="1"/>
        <v>N/A</v>
      </c>
      <c r="O89" s="1331" t="s">
        <v>1277</v>
      </c>
      <c r="P89" s="1332">
        <f>IF($D89="Logistics",VLOOKUP($O89,'Upper Cask Movement &amp; Logistics'!$C$4:$D$77,2,FALSE),"N/A")</f>
        <v>1.4000000000000001</v>
      </c>
    </row>
    <row r="90" spans="1:16" s="89" customFormat="1" ht="13.3" outlineLevel="1" thickBot="1" x14ac:dyDescent="0.4">
      <c r="A90" s="1169"/>
      <c r="B90" s="3966"/>
      <c r="C90" s="1340" t="str">
        <f>B84</f>
        <v>COB Blanket Segment stored; Hardware Cask 5 docked</v>
      </c>
      <c r="D90" s="1340" t="s">
        <v>11</v>
      </c>
      <c r="E90" s="1295">
        <f t="shared" si="0"/>
        <v>0</v>
      </c>
      <c r="F90" s="1295">
        <f>IF($D90="Trigger",VLOOKUP($C90,'Upper Cask Welding failures'!$E$46:$H$564,4,FALSE),E90+F89)</f>
        <v>66.905588052793064</v>
      </c>
      <c r="G90" s="839"/>
      <c r="H90" s="1341" t="str">
        <f>IF(D90="operation",VLOOKUP(G90,'Generic Vertical Port Tasks'!C158:D189,2,FALSE),"N/A")</f>
        <v>N/A</v>
      </c>
      <c r="I90" s="1340"/>
      <c r="J90" s="1340"/>
      <c r="K90" s="1340"/>
      <c r="L90" s="1342" t="str">
        <f>IFERROR(INDEX('Upper Cask Movement &amp; Logistics'!$I$24:$O$30,MATCH($J90,'Upper Cask Movement &amp; Logistics'!$H$24:$H$30,0),MATCH($K90,'Upper Cask Movement &amp; Logistics'!$H$24:$H$30,0)),"N/A")</f>
        <v>N/A</v>
      </c>
      <c r="M90" s="1342" t="str">
        <f>IFERROR(VLOOKUP($I90,'Upper Cask Movement &amp; Logistics'!$H$4:$I$8,2,FALSE),"N/A")</f>
        <v>N/A</v>
      </c>
      <c r="N90" s="1343" t="str">
        <f t="shared" si="1"/>
        <v>N/A</v>
      </c>
      <c r="O90" s="1344"/>
      <c r="P90" s="1345" t="str">
        <f>IF($D90="Logistics",VLOOKUP($O90,'Upper Cask Movement &amp; Logistics'!$C$4:$D$77,2,FALSE),"N/A")</f>
        <v>N/A</v>
      </c>
    </row>
    <row r="91" spans="1:16" s="89" customFormat="1" outlineLevel="1" x14ac:dyDescent="0.35">
      <c r="A91" s="1169"/>
      <c r="B91" s="3960" t="s">
        <v>1394</v>
      </c>
      <c r="C91" s="1333" t="s">
        <v>1264</v>
      </c>
      <c r="D91" s="1333" t="s">
        <v>907</v>
      </c>
      <c r="E91" s="1303">
        <f t="shared" si="0"/>
        <v>0</v>
      </c>
      <c r="F91" s="1303">
        <f>IF($D91="Trigger",VLOOKUP($C91,'Upper Cask Welding failures'!$E$46:$H$564,4,FALSE),E91+F90)</f>
        <v>68.469662126867121</v>
      </c>
      <c r="G91" s="1304"/>
      <c r="H91" s="1305" t="str">
        <f>IF(D91="operation",VLOOKUP(G91,'Generic Vertical Port Tasks'!C158:D189,2,FALSE),"N/A")</f>
        <v>N/A</v>
      </c>
      <c r="I91" s="1333"/>
      <c r="J91" s="1333"/>
      <c r="K91" s="1333"/>
      <c r="L91" s="1334" t="str">
        <f>IFERROR(INDEX('Upper Cask Movement &amp; Logistics'!$I$24:$O$30,MATCH($J91,'Upper Cask Movement &amp; Logistics'!$H$24:$H$30,0),MATCH($K91,'Upper Cask Movement &amp; Logistics'!$H$24:$H$30,0)),"N/A")</f>
        <v>N/A</v>
      </c>
      <c r="M91" s="1334" t="str">
        <f>IFERROR(VLOOKUP($I91,'Upper Cask Movement &amp; Logistics'!$H$4:$I$8,2,FALSE),"N/A")</f>
        <v>N/A</v>
      </c>
      <c r="N91" s="1335" t="str">
        <f t="shared" si="1"/>
        <v>N/A</v>
      </c>
      <c r="O91" s="1336"/>
      <c r="P91" s="1337" t="str">
        <f>IF($D91="Logistics",VLOOKUP($O91,'Upper Cask Movement &amp; Logistics'!$C$4:$D$77,2,FALSE),"N/A")</f>
        <v>N/A</v>
      </c>
    </row>
    <row r="92" spans="1:16" s="89" customFormat="1" outlineLevel="1" x14ac:dyDescent="0.35">
      <c r="A92" s="1169"/>
      <c r="B92" s="3968"/>
      <c r="C92" s="1240" t="s">
        <v>1395</v>
      </c>
      <c r="D92" s="1240" t="s">
        <v>3</v>
      </c>
      <c r="E92" s="1241">
        <f t="shared" si="0"/>
        <v>2.3000000000000003</v>
      </c>
      <c r="F92" s="1241">
        <f>IF($D92="Trigger",VLOOKUP($C92,'Upper Cask Welding failures'!$E$46:$H$564,4,FALSE),E92+F91)</f>
        <v>70.769662126867118</v>
      </c>
      <c r="G92" s="1354"/>
      <c r="H92" s="1355" t="str">
        <f>IF(D92="operation",VLOOKUP(G92,'Generic Vertical Port Tasks'!C158:D189,2,FALSE),"N/A")</f>
        <v>N/A</v>
      </c>
      <c r="I92" s="1240"/>
      <c r="J92" s="1240"/>
      <c r="K92" s="1240"/>
      <c r="L92" s="1242" t="str">
        <f>IFERROR(INDEX('Upper Cask Movement &amp; Logistics'!$I$24:$O$30,MATCH($J92,'Upper Cask Movement &amp; Logistics'!$H$24:$H$30,0),MATCH($K92,'Upper Cask Movement &amp; Logistics'!$H$24:$H$30,0)),"N/A")</f>
        <v>N/A</v>
      </c>
      <c r="M92" s="1242" t="str">
        <f>IFERROR(VLOOKUP($I92,'Upper Cask Movement &amp; Logistics'!$H$4:$I$8,2,FALSE),"N/A")</f>
        <v>N/A</v>
      </c>
      <c r="N92" s="1356" t="str">
        <f t="shared" si="1"/>
        <v>N/A</v>
      </c>
      <c r="O92" s="1357" t="s">
        <v>1269</v>
      </c>
      <c r="P92" s="1358">
        <f>IF($D92="Logistics",VLOOKUP($O92,'Upper Cask Movement &amp; Logistics'!$C$4:$D$77,2,FALSE),"N/A")</f>
        <v>2.3000000000000003</v>
      </c>
    </row>
    <row r="93" spans="1:16" s="89" customFormat="1" outlineLevel="1" x14ac:dyDescent="0.35">
      <c r="A93" s="1169"/>
      <c r="B93" s="3968"/>
      <c r="C93" s="1240" t="s">
        <v>1344</v>
      </c>
      <c r="D93" s="1240" t="s">
        <v>778</v>
      </c>
      <c r="E93" s="1241">
        <f t="shared" si="0"/>
        <v>0.69444444444444442</v>
      </c>
      <c r="F93" s="1241">
        <f>IF($D93="Trigger",VLOOKUP($C93,'Upper Cask Welding failures'!$E$46:$H$564,4,FALSE),E93+F92)</f>
        <v>71.464106571311561</v>
      </c>
      <c r="G93" s="1354"/>
      <c r="H93" s="1355" t="str">
        <f>IF(D93="operation",VLOOKUP(G93,'Generic Vertical Port Tasks'!C158:D189,2,FALSE),"N/A")</f>
        <v>N/A</v>
      </c>
      <c r="I93" s="1240" t="s">
        <v>1789</v>
      </c>
      <c r="J93" s="1240" t="s">
        <v>901</v>
      </c>
      <c r="K93" s="1240" t="s">
        <v>831</v>
      </c>
      <c r="L93" s="1242">
        <f>IFERROR(INDEX('Upper Cask Movement &amp; Logistics'!$I$24:$O$30,MATCH($J93,'Upper Cask Movement &amp; Logistics'!$H$24:$H$30,0),MATCH($K93,'Upper Cask Movement &amp; Logistics'!$H$24:$H$30,0)),"N/A")</f>
        <v>50</v>
      </c>
      <c r="M93" s="1242">
        <f>IFERROR(VLOOKUP($I93,'Upper Cask Movement &amp; Logistics'!$H$4:$I$8,2,FALSE),"N/A")</f>
        <v>0.02</v>
      </c>
      <c r="N93" s="1356">
        <f t="shared" si="1"/>
        <v>0.69444444444444442</v>
      </c>
      <c r="O93" s="1357"/>
      <c r="P93" s="1358" t="str">
        <f>IF($D93="Logistics",VLOOKUP($O93,'Upper Cask Movement &amp; Logistics'!$C$4:$D$77,2,FALSE),"N/A")</f>
        <v>N/A</v>
      </c>
    </row>
    <row r="94" spans="1:16" s="89" customFormat="1" outlineLevel="1" x14ac:dyDescent="0.35">
      <c r="A94" s="1169"/>
      <c r="B94" s="3968"/>
      <c r="C94" s="1240" t="s">
        <v>1396</v>
      </c>
      <c r="D94" s="1240" t="s">
        <v>3</v>
      </c>
      <c r="E94" s="1241">
        <f t="shared" si="0"/>
        <v>0.68</v>
      </c>
      <c r="F94" s="1241">
        <f>IF($D94="Trigger",VLOOKUP($C94,'Upper Cask Welding failures'!$E$46:$H$564,4,FALSE),E94+F93)</f>
        <v>72.144106571311568</v>
      </c>
      <c r="G94" s="1354"/>
      <c r="H94" s="1355" t="str">
        <f>IF(D94="operation",VLOOKUP(G94,'Generic Vertical Port Tasks'!C158:D189,2,FALSE),"N/A")</f>
        <v>N/A</v>
      </c>
      <c r="I94" s="1240"/>
      <c r="J94" s="1240"/>
      <c r="K94" s="1240"/>
      <c r="L94" s="1242" t="str">
        <f>IFERROR(INDEX('Upper Cask Movement &amp; Logistics'!$I$24:$O$30,MATCH($J94,'Upper Cask Movement &amp; Logistics'!$H$24:$H$30,0),MATCH($K94,'Upper Cask Movement &amp; Logistics'!$H$24:$H$30,0)),"N/A")</f>
        <v>N/A</v>
      </c>
      <c r="M94" s="1242" t="str">
        <f>IFERROR(VLOOKUP($I94,'Upper Cask Movement &amp; Logistics'!$H$4:$I$8,2,FALSE),"N/A")</f>
        <v>N/A</v>
      </c>
      <c r="N94" s="1356" t="str">
        <f t="shared" si="1"/>
        <v>N/A</v>
      </c>
      <c r="O94" s="1357" t="s">
        <v>1213</v>
      </c>
      <c r="P94" s="1358">
        <f>IF($D94="Logistics",VLOOKUP($O94,'Upper Cask Movement &amp; Logistics'!$C$4:$D$77,2,FALSE),"N/A")</f>
        <v>0.68</v>
      </c>
    </row>
    <row r="95" spans="1:16" s="89" customFormat="1" outlineLevel="1" x14ac:dyDescent="0.35">
      <c r="A95" s="1169"/>
      <c r="B95" s="3961"/>
      <c r="C95" s="1243" t="s">
        <v>1340</v>
      </c>
      <c r="D95" s="1243" t="s">
        <v>778</v>
      </c>
      <c r="E95" s="1244">
        <f t="shared" si="0"/>
        <v>0.23148148148148148</v>
      </c>
      <c r="F95" s="1244">
        <f>IF($D95="Trigger",VLOOKUP($C95,'Upper Cask Welding failures'!$E$46:$H$564,4,FALSE),E95+F94)</f>
        <v>72.375588052793049</v>
      </c>
      <c r="G95" s="1309"/>
      <c r="H95" s="1310" t="str">
        <f>IF(D95="operation",VLOOKUP(G95,'Generic Vertical Port Tasks'!C158:D189,2,FALSE),"N/A")</f>
        <v>N/A</v>
      </c>
      <c r="I95" s="1243" t="s">
        <v>2501</v>
      </c>
      <c r="J95" s="1243" t="s">
        <v>831</v>
      </c>
      <c r="K95" s="1243" t="s">
        <v>901</v>
      </c>
      <c r="L95" s="1245">
        <f>IFERROR(INDEX('Upper Cask Movement &amp; Logistics'!$I$24:$O$30,MATCH($J95,'Upper Cask Movement &amp; Logistics'!$H$24:$H$30,0),MATCH($K95,'Upper Cask Movement &amp; Logistics'!$H$24:$H$30,0)),"N/A")</f>
        <v>50</v>
      </c>
      <c r="M95" s="1245">
        <f>IFERROR(VLOOKUP($I95,'Upper Cask Movement &amp; Logistics'!$H$4:$I$8,2,FALSE),"N/A")</f>
        <v>0.06</v>
      </c>
      <c r="N95" s="1311">
        <f t="shared" si="1"/>
        <v>0.23148148148148148</v>
      </c>
      <c r="O95" s="1312"/>
      <c r="P95" s="1313" t="str">
        <f>IF($D95="Logistics",VLOOKUP($O95,'Upper Cask Movement &amp; Logistics'!$C$4:$D$77,2,FALSE),"N/A")</f>
        <v>N/A</v>
      </c>
    </row>
    <row r="96" spans="1:16" s="89" customFormat="1" outlineLevel="1" x14ac:dyDescent="0.35">
      <c r="A96" s="1169"/>
      <c r="B96" s="3961"/>
      <c r="C96" s="1243" t="s">
        <v>1391</v>
      </c>
      <c r="D96" s="1243" t="s">
        <v>3</v>
      </c>
      <c r="E96" s="1244">
        <f t="shared" si="0"/>
        <v>1.4000000000000001</v>
      </c>
      <c r="F96" s="1244">
        <f>IF($D96="Trigger",VLOOKUP($C96,'Upper Cask Welding failures'!$E$46:$H$564,4,FALSE),E96+F95)</f>
        <v>73.775588052793054</v>
      </c>
      <c r="G96" s="1309"/>
      <c r="H96" s="1310" t="str">
        <f>IF(D96="operation",VLOOKUP(G96,'Generic Vertical Port Tasks'!C158:D189,2,FALSE),"N/A")</f>
        <v>N/A</v>
      </c>
      <c r="I96" s="1243"/>
      <c r="J96" s="1243"/>
      <c r="K96" s="1243"/>
      <c r="L96" s="1245" t="str">
        <f>IFERROR(INDEX('Upper Cask Movement &amp; Logistics'!$I$24:$O$30,MATCH($J96,'Upper Cask Movement &amp; Logistics'!$H$24:$H$30,0),MATCH($K96,'Upper Cask Movement &amp; Logistics'!$H$24:$H$30,0)),"N/A")</f>
        <v>N/A</v>
      </c>
      <c r="M96" s="1245" t="str">
        <f>IFERROR(VLOOKUP($I96,'Upper Cask Movement &amp; Logistics'!$H$4:$I$8,2,FALSE),"N/A")</f>
        <v>N/A</v>
      </c>
      <c r="N96" s="1311" t="str">
        <f t="shared" si="1"/>
        <v>N/A</v>
      </c>
      <c r="O96" s="1312" t="s">
        <v>1277</v>
      </c>
      <c r="P96" s="1313">
        <f>IF($D96="Logistics",VLOOKUP($O96,'Upper Cask Movement &amp; Logistics'!$C$4:$D$77,2,FALSE),"N/A")</f>
        <v>1.4000000000000001</v>
      </c>
    </row>
    <row r="97" spans="1:17" s="89" customFormat="1" ht="13.3" outlineLevel="1" thickBot="1" x14ac:dyDescent="0.4">
      <c r="A97" s="1169"/>
      <c r="B97" s="3963"/>
      <c r="C97" s="1314" t="str">
        <f>B91</f>
        <v>LOB Blanket Segment stored; Hardware Cask 6 docked</v>
      </c>
      <c r="D97" s="1314" t="s">
        <v>11</v>
      </c>
      <c r="E97" s="1316">
        <f t="shared" si="0"/>
        <v>0</v>
      </c>
      <c r="F97" s="1316">
        <f>IF($D97="Trigger",VLOOKUP($C97,'Upper Cask Welding failures'!$E$46:$H$564,4,FALSE),E97+F96)</f>
        <v>73.775588052793054</v>
      </c>
      <c r="G97" s="1317"/>
      <c r="H97" s="1318" t="str">
        <f>IF(D97="operation",VLOOKUP(G97,'Generic Vertical Port Tasks'!C158:D189,2,FALSE),"N/A")</f>
        <v>N/A</v>
      </c>
      <c r="I97" s="1314"/>
      <c r="J97" s="1314"/>
      <c r="K97" s="1314"/>
      <c r="L97" s="1319" t="str">
        <f>IFERROR(INDEX('Upper Cask Movement &amp; Logistics'!$I$24:$O$30,MATCH($J97,'Upper Cask Movement &amp; Logistics'!$H$24:$H$30,0),MATCH($K97,'Upper Cask Movement &amp; Logistics'!$H$24:$H$30,0)),"N/A")</f>
        <v>N/A</v>
      </c>
      <c r="M97" s="1319" t="str">
        <f>IFERROR(VLOOKUP($I97,'Upper Cask Movement &amp; Logistics'!$H$4:$I$8,2,FALSE),"N/A")</f>
        <v>N/A</v>
      </c>
      <c r="N97" s="1320" t="str">
        <f t="shared" si="1"/>
        <v>N/A</v>
      </c>
      <c r="O97" s="1321"/>
      <c r="P97" s="1322" t="str">
        <f>IF($D97="Logistics",VLOOKUP($O97,'Upper Cask Movement &amp; Logistics'!$C$4:$D$77,2,FALSE),"N/A")</f>
        <v>N/A</v>
      </c>
    </row>
    <row r="98" spans="1:17" s="89" customFormat="1" outlineLevel="1" x14ac:dyDescent="0.35">
      <c r="A98" s="1169"/>
      <c r="B98" s="3964" t="s">
        <v>1397</v>
      </c>
      <c r="C98" s="1324" t="s">
        <v>1265</v>
      </c>
      <c r="D98" s="1324" t="s">
        <v>907</v>
      </c>
      <c r="E98" s="1291">
        <f t="shared" si="0"/>
        <v>0</v>
      </c>
      <c r="F98" s="1291">
        <f>IF($D98="Trigger",VLOOKUP($C98,'Upper Cask Welding failures'!$E$46:$H$564,4,FALSE),E98+F97)</f>
        <v>75.339662126867111</v>
      </c>
      <c r="G98" s="825"/>
      <c r="H98" s="1323" t="str">
        <f>IF(D98="operation",VLOOKUP(G98,'Generic Vertical Port Tasks'!C159:D189,2,FALSE),"N/A")</f>
        <v>N/A</v>
      </c>
      <c r="I98" s="1324"/>
      <c r="J98" s="1324"/>
      <c r="K98" s="1324"/>
      <c r="L98" s="1325" t="str">
        <f>IFERROR(INDEX('Upper Cask Movement &amp; Logistics'!$I$24:$O$30,MATCH($J98,'Upper Cask Movement &amp; Logistics'!$H$24:$H$30,0),MATCH($K98,'Upper Cask Movement &amp; Logistics'!$H$24:$H$30,0)),"N/A")</f>
        <v>N/A</v>
      </c>
      <c r="M98" s="1325" t="str">
        <f>IFERROR(VLOOKUP($I98,'Upper Cask Movement &amp; Logistics'!$H$4:$I$8,2,FALSE),"N/A")</f>
        <v>N/A</v>
      </c>
      <c r="N98" s="1326" t="str">
        <f t="shared" si="1"/>
        <v>N/A</v>
      </c>
      <c r="O98" s="1327"/>
      <c r="P98" s="824" t="str">
        <f>IF($D98="Logistics",VLOOKUP($O98,'Upper Cask Movement &amp; Logistics'!$C$4:$D$77,2,FALSE),"N/A")</f>
        <v>N/A</v>
      </c>
      <c r="Q98" s="88"/>
    </row>
    <row r="99" spans="1:17" s="89" customFormat="1" outlineLevel="1" x14ac:dyDescent="0.35">
      <c r="A99" s="1169"/>
      <c r="B99" s="3969"/>
      <c r="C99" s="1362" t="s">
        <v>1268</v>
      </c>
      <c r="D99" s="1362" t="s">
        <v>3</v>
      </c>
      <c r="E99" s="1363">
        <f t="shared" si="0"/>
        <v>2.3000000000000003</v>
      </c>
      <c r="F99" s="1363">
        <f>IF($D99="Trigger",VLOOKUP($C99,'Upper Cask Welding failures'!$E$46:$H$564,4,FALSE),E99+F98)</f>
        <v>77.639662126867108</v>
      </c>
      <c r="G99" s="1364"/>
      <c r="H99" s="1365" t="str">
        <f>IF(D99="operation",VLOOKUP(G99,'Generic Vertical Port Tasks'!C160:D189,2,FALSE),"N/A")</f>
        <v>N/A</v>
      </c>
      <c r="I99" s="1362"/>
      <c r="J99" s="1362"/>
      <c r="K99" s="1362"/>
      <c r="L99" s="1366" t="str">
        <f>IFERROR(INDEX('Upper Cask Movement &amp; Logistics'!$I$24:$O$30,MATCH($J99,'Upper Cask Movement &amp; Logistics'!$H$24:$H$30,0),MATCH($K99,'Upper Cask Movement &amp; Logistics'!$H$24:$H$30,0)),"N/A")</f>
        <v>N/A</v>
      </c>
      <c r="M99" s="1366" t="str">
        <f>IFERROR(VLOOKUP($I99,'Upper Cask Movement &amp; Logistics'!$H$4:$I$8,2,FALSE),"N/A")</f>
        <v>N/A</v>
      </c>
      <c r="N99" s="1367" t="str">
        <f t="shared" si="1"/>
        <v>N/A</v>
      </c>
      <c r="O99" s="1368" t="s">
        <v>1269</v>
      </c>
      <c r="P99" s="861">
        <f>IF($D99="Logistics",VLOOKUP($O99,'Upper Cask Movement &amp; Logistics'!$C$4:$D$77,2,FALSE),"N/A")</f>
        <v>2.3000000000000003</v>
      </c>
      <c r="Q99" s="88"/>
    </row>
    <row r="100" spans="1:17" s="89" customFormat="1" outlineLevel="1" x14ac:dyDescent="0.35">
      <c r="A100" s="1169"/>
      <c r="B100" s="3969"/>
      <c r="C100" s="1362" t="s">
        <v>1370</v>
      </c>
      <c r="D100" s="1362" t="s">
        <v>778</v>
      </c>
      <c r="E100" s="1363">
        <f t="shared" si="0"/>
        <v>0.69444444444444442</v>
      </c>
      <c r="F100" s="1363">
        <f>IF($D100="Trigger",VLOOKUP($C100,'Upper Cask Welding failures'!$E$46:$H$564,4,FALSE),E100+F99)</f>
        <v>78.334106571311551</v>
      </c>
      <c r="G100" s="1364"/>
      <c r="H100" s="1365" t="str">
        <f>IF(D100="operation",VLOOKUP(G100,'Generic Vertical Port Tasks'!C162:D189,2,FALSE),"N/A")</f>
        <v>N/A</v>
      </c>
      <c r="I100" s="1362" t="s">
        <v>1789</v>
      </c>
      <c r="J100" s="1362" t="s">
        <v>901</v>
      </c>
      <c r="K100" s="1362" t="s">
        <v>831</v>
      </c>
      <c r="L100" s="1366">
        <f>IFERROR(INDEX('Upper Cask Movement &amp; Logistics'!$I$24:$O$30,MATCH($J100,'Upper Cask Movement &amp; Logistics'!$H$24:$H$30,0),MATCH($K100,'Upper Cask Movement &amp; Logistics'!$H$24:$H$30,0)),"N/A")</f>
        <v>50</v>
      </c>
      <c r="M100" s="1366">
        <f>IFERROR(VLOOKUP($I100,'Upper Cask Movement &amp; Logistics'!$H$4:$I$8,2,FALSE),"N/A")</f>
        <v>0.02</v>
      </c>
      <c r="N100" s="1367">
        <f t="shared" si="1"/>
        <v>0.69444444444444442</v>
      </c>
      <c r="O100" s="1368"/>
      <c r="P100" s="861" t="str">
        <f>IF($D100="Logistics",VLOOKUP($O100,'Upper Cask Movement &amp; Logistics'!$C$4:$D$77,2,FALSE),"N/A")</f>
        <v>N/A</v>
      </c>
      <c r="Q100" s="88"/>
    </row>
    <row r="101" spans="1:17" s="89" customFormat="1" outlineLevel="1" x14ac:dyDescent="0.35">
      <c r="A101" s="1169"/>
      <c r="B101" s="3969"/>
      <c r="C101" s="1362" t="s">
        <v>1398</v>
      </c>
      <c r="D101" s="1362" t="s">
        <v>3</v>
      </c>
      <c r="E101" s="1363">
        <f t="shared" si="0"/>
        <v>0.68</v>
      </c>
      <c r="F101" s="1363">
        <f>IF($D101="Trigger",VLOOKUP($C101,'Upper Cask Welding failures'!$E$46:$H$564,4,FALSE),E101+F100)</f>
        <v>79.014106571311558</v>
      </c>
      <c r="G101" s="1364"/>
      <c r="H101" s="1365" t="str">
        <f>IF(D101="operation",VLOOKUP(G101,'Generic Vertical Port Tasks'!C163:D189,2,FALSE),"N/A")</f>
        <v>N/A</v>
      </c>
      <c r="I101" s="1362"/>
      <c r="J101" s="1362"/>
      <c r="K101" s="1362"/>
      <c r="L101" s="1366" t="str">
        <f>IFERROR(INDEX('Upper Cask Movement &amp; Logistics'!$I$24:$O$30,MATCH($J101,'Upper Cask Movement &amp; Logistics'!$H$24:$H$30,0),MATCH($K101,'Upper Cask Movement &amp; Logistics'!$H$24:$H$30,0)),"N/A")</f>
        <v>N/A</v>
      </c>
      <c r="M101" s="1366" t="str">
        <f>IFERROR(VLOOKUP($I101,'Upper Cask Movement &amp; Logistics'!$H$4:$I$8,2,FALSE),"N/A")</f>
        <v>N/A</v>
      </c>
      <c r="N101" s="1367" t="str">
        <f t="shared" si="1"/>
        <v>N/A</v>
      </c>
      <c r="O101" s="1368" t="s">
        <v>1213</v>
      </c>
      <c r="P101" s="861">
        <f>IF($D101="Logistics",VLOOKUP($O101,'Upper Cask Movement &amp; Logistics'!$C$4:$D$77,2,FALSE),"N/A")</f>
        <v>0.68</v>
      </c>
      <c r="Q101" s="88"/>
    </row>
    <row r="102" spans="1:17" s="89" customFormat="1" outlineLevel="1" x14ac:dyDescent="0.35">
      <c r="A102" s="1169"/>
      <c r="B102" s="3965"/>
      <c r="C102" s="1294" t="s">
        <v>1366</v>
      </c>
      <c r="D102" s="1294" t="s">
        <v>778</v>
      </c>
      <c r="E102" s="1292">
        <f t="shared" si="0"/>
        <v>0.23148148148148148</v>
      </c>
      <c r="F102" s="1292">
        <f>IF($D102="Trigger",VLOOKUP($C102,'Upper Cask Welding failures'!$E$46:$H$564,4,FALSE),E102+F101)</f>
        <v>79.245588052793039</v>
      </c>
      <c r="G102" s="862"/>
      <c r="H102" s="1328" t="str">
        <f>IF(D102="operation",VLOOKUP(G102,'Generic Vertical Port Tasks'!C182:D189,2,FALSE),"N/A")</f>
        <v>N/A</v>
      </c>
      <c r="I102" s="1294" t="s">
        <v>2501</v>
      </c>
      <c r="J102" s="1294" t="s">
        <v>831</v>
      </c>
      <c r="K102" s="1294" t="s">
        <v>901</v>
      </c>
      <c r="L102" s="1329">
        <f>IFERROR(INDEX('Upper Cask Movement &amp; Logistics'!$I$24:$O$30,MATCH($J102,'Upper Cask Movement &amp; Logistics'!$H$24:$H$30,0),MATCH($K102,'Upper Cask Movement &amp; Logistics'!$H$24:$H$30,0)),"N/A")</f>
        <v>50</v>
      </c>
      <c r="M102" s="1329">
        <f>IFERROR(VLOOKUP($I102,'Upper Cask Movement &amp; Logistics'!$H$4:$I$8,2,FALSE),"N/A")</f>
        <v>0.06</v>
      </c>
      <c r="N102" s="1330">
        <f t="shared" si="1"/>
        <v>0.23148148148148148</v>
      </c>
      <c r="O102" s="1331"/>
      <c r="P102" s="1332" t="str">
        <f>IF($D102="Logistics",VLOOKUP($O102,'Upper Cask Movement &amp; Logistics'!$C$4:$D$77,2,FALSE),"N/A")</f>
        <v>N/A</v>
      </c>
    </row>
    <row r="103" spans="1:17" s="89" customFormat="1" outlineLevel="1" x14ac:dyDescent="0.35">
      <c r="A103" s="1169"/>
      <c r="B103" s="3965"/>
      <c r="C103" s="1294" t="s">
        <v>1383</v>
      </c>
      <c r="D103" s="1294" t="s">
        <v>3</v>
      </c>
      <c r="E103" s="1292">
        <f t="shared" si="0"/>
        <v>1.4000000000000001</v>
      </c>
      <c r="F103" s="1292">
        <f>IF($D103="Trigger",VLOOKUP($C103,'Upper Cask Welding failures'!$E$46:$H$564,4,FALSE),E103+F102)</f>
        <v>80.645588052793045</v>
      </c>
      <c r="G103" s="862"/>
      <c r="H103" s="1328" t="str">
        <f>IF(D103="operation",VLOOKUP(G103,'Generic Vertical Port Tasks'!#REF!,2,FALSE),"N/A")</f>
        <v>N/A</v>
      </c>
      <c r="I103" s="1294"/>
      <c r="J103" s="1294"/>
      <c r="K103" s="1294"/>
      <c r="L103" s="1329" t="str">
        <f>IFERROR(INDEX('Upper Cask Movement &amp; Logistics'!$I$24:$O$30,MATCH($J103,'Upper Cask Movement &amp; Logistics'!$H$24:$H$30,0),MATCH($K103,'Upper Cask Movement &amp; Logistics'!$H$24:$H$30,0)),"N/A")</f>
        <v>N/A</v>
      </c>
      <c r="M103" s="1329" t="str">
        <f>IFERROR(VLOOKUP($I103,'Upper Cask Movement &amp; Logistics'!$H$4:$I$8,2,FALSE),"N/A")</f>
        <v>N/A</v>
      </c>
      <c r="N103" s="1330" t="str">
        <f t="shared" si="1"/>
        <v>N/A</v>
      </c>
      <c r="O103" s="1331" t="s">
        <v>1277</v>
      </c>
      <c r="P103" s="1332">
        <f>IF($D103="Logistics",VLOOKUP($O103,'Upper Cask Movement &amp; Logistics'!$C$4:$D$77,2,FALSE),"N/A")</f>
        <v>1.4000000000000001</v>
      </c>
    </row>
    <row r="104" spans="1:17" s="89" customFormat="1" ht="13.3" outlineLevel="1" thickBot="1" x14ac:dyDescent="0.4">
      <c r="A104" s="1169"/>
      <c r="B104" s="3966"/>
      <c r="C104" s="1340" t="str">
        <f>B98</f>
        <v>ROB Blanket Segment stored; Hardware Cask 5 docked</v>
      </c>
      <c r="D104" s="1340" t="s">
        <v>11</v>
      </c>
      <c r="E104" s="1295">
        <f t="shared" si="0"/>
        <v>0</v>
      </c>
      <c r="F104" s="1295">
        <f>IF($D104="Trigger",VLOOKUP($C104,'Upper Cask Welding failures'!$E$46:$H$564,4,FALSE),E104+F103)</f>
        <v>80.645588052793045</v>
      </c>
      <c r="G104" s="839"/>
      <c r="H104" s="1341" t="str">
        <f>IF(D104="operation",VLOOKUP(G104,'Generic Vertical Port Tasks'!#REF!,2,FALSE),"N/A")</f>
        <v>N/A</v>
      </c>
      <c r="I104" s="1340"/>
      <c r="J104" s="1340"/>
      <c r="K104" s="1340"/>
      <c r="L104" s="1342" t="str">
        <f>IFERROR(INDEX('Upper Cask Movement &amp; Logistics'!$I$24:$O$30,MATCH($J104,'Upper Cask Movement &amp; Logistics'!$H$24:$H$30,0),MATCH($K104,'Upper Cask Movement &amp; Logistics'!$H$24:$H$30,0)),"N/A")</f>
        <v>N/A</v>
      </c>
      <c r="M104" s="1342" t="str">
        <f>IFERROR(VLOOKUP($I104,'Upper Cask Movement &amp; Logistics'!$H$4:$I$8,2,FALSE),"N/A")</f>
        <v>N/A</v>
      </c>
      <c r="N104" s="1343" t="str">
        <f t="shared" si="1"/>
        <v>N/A</v>
      </c>
      <c r="O104" s="1344"/>
      <c r="P104" s="1345" t="str">
        <f>IF($D104="Logistics",VLOOKUP($O104,'Upper Cask Movement &amp; Logistics'!$C$4:$D$77,2,FALSE),"N/A")</f>
        <v>N/A</v>
      </c>
    </row>
    <row r="105" spans="1:17" s="89" customFormat="1" outlineLevel="1" x14ac:dyDescent="0.35">
      <c r="A105" s="1169"/>
      <c r="B105" s="3960" t="s">
        <v>1399</v>
      </c>
      <c r="C105" s="1333" t="s">
        <v>1266</v>
      </c>
      <c r="D105" s="1333" t="s">
        <v>907</v>
      </c>
      <c r="E105" s="1303">
        <f t="shared" si="0"/>
        <v>0</v>
      </c>
      <c r="F105" s="1549">
        <f>IF($D105="Trigger",VLOOKUP($C105,'Upper Cask Welding failures'!$E$46:$H$564,4,FALSE),E105+F104)</f>
        <v>82.209662126867102</v>
      </c>
      <c r="G105" s="1304"/>
      <c r="H105" s="1305" t="str">
        <f>IF(D105="operation",VLOOKUP(G105,'Generic Vertical Port Tasks'!#REF!,2,FALSE),"N/A")</f>
        <v>N/A</v>
      </c>
      <c r="I105" s="1333"/>
      <c r="J105" s="1333"/>
      <c r="K105" s="1333"/>
      <c r="L105" s="1334" t="str">
        <f>IFERROR(INDEX('Upper Cask Movement &amp; Logistics'!$I$24:$O$30,MATCH($J105,'Upper Cask Movement &amp; Logistics'!$H$24:$H$30,0),MATCH($K105,'Upper Cask Movement &amp; Logistics'!$H$24:$H$30,0)),"N/A")</f>
        <v>N/A</v>
      </c>
      <c r="M105" s="1334" t="str">
        <f>IFERROR(VLOOKUP($I105,'Upper Cask Movement &amp; Logistics'!$H$4:$I$8,2,FALSE),"N/A")</f>
        <v>N/A</v>
      </c>
      <c r="N105" s="1335" t="str">
        <f t="shared" si="1"/>
        <v>N/A</v>
      </c>
      <c r="O105" s="1336"/>
      <c r="P105" s="1337" t="str">
        <f>IF($D105="Logistics",VLOOKUP($O105,'Upper Cask Movement &amp; Logistics'!$C$4:$D$77,2,FALSE),"N/A")</f>
        <v>N/A</v>
      </c>
    </row>
    <row r="106" spans="1:17" s="89" customFormat="1" outlineLevel="1" x14ac:dyDescent="0.35">
      <c r="A106" s="1169"/>
      <c r="B106" s="3968"/>
      <c r="C106" s="1240" t="s">
        <v>1344</v>
      </c>
      <c r="D106" s="1240" t="s">
        <v>778</v>
      </c>
      <c r="E106" s="1241">
        <f t="shared" si="0"/>
        <v>0.34722222222222221</v>
      </c>
      <c r="F106" s="1248">
        <f>IF($D106="Trigger",VLOOKUP($C106,'Upper Cask Welding failures'!$E$46:$H$564,4,FALSE),E106+F105)</f>
        <v>82.55688434908933</v>
      </c>
      <c r="G106" s="1354"/>
      <c r="H106" s="1355" t="str">
        <f>IF(D106="operation",VLOOKUP(G106,'Generic Vertical Port Tasks'!#REF!,2,FALSE),"N/A")</f>
        <v>N/A</v>
      </c>
      <c r="I106" s="1240" t="s">
        <v>1789</v>
      </c>
      <c r="J106" s="1240" t="s">
        <v>901</v>
      </c>
      <c r="K106" s="1240" t="s">
        <v>858</v>
      </c>
      <c r="L106" s="1242">
        <f>IFERROR(INDEX('Upper Cask Movement &amp; Logistics'!$I$24:$O$30,MATCH($J106,'Upper Cask Movement &amp; Logistics'!$H$24:$H$30,0),MATCH($K106,'Upper Cask Movement &amp; Logistics'!$H$24:$H$30,0)),"N/A")</f>
        <v>25</v>
      </c>
      <c r="M106" s="1242">
        <f>IFERROR(VLOOKUP($I106,'Upper Cask Movement &amp; Logistics'!$H$4:$I$8,2,FALSE),"N/A")</f>
        <v>0.02</v>
      </c>
      <c r="N106" s="1356">
        <f t="shared" si="1"/>
        <v>0.34722222222222221</v>
      </c>
      <c r="O106" s="1357"/>
      <c r="P106" s="1358" t="str">
        <f>IF($D106="Logistics",VLOOKUP($O106,'Upper Cask Movement &amp; Logistics'!$C$4:$D$77,2,FALSE),"N/A")</f>
        <v>N/A</v>
      </c>
    </row>
    <row r="107" spans="1:17" s="89" customFormat="1" outlineLevel="1" x14ac:dyDescent="0.35">
      <c r="A107" s="1169"/>
      <c r="B107" s="3968"/>
      <c r="C107" s="1240" t="s">
        <v>1400</v>
      </c>
      <c r="D107" s="1240" t="s">
        <v>3</v>
      </c>
      <c r="E107" s="1241">
        <f t="shared" si="0"/>
        <v>0.68</v>
      </c>
      <c r="F107" s="1241">
        <f>IF($D107="Trigger",VLOOKUP($C107,'Upper Cask Welding failures'!$E$46:$H$564,4,FALSE),E107+F106)</f>
        <v>83.236884349089337</v>
      </c>
      <c r="G107" s="1354"/>
      <c r="H107" s="1355" t="str">
        <f>IF(D107="operation",VLOOKUP(G107,'Generic Vertical Port Tasks'!#REF!,2,FALSE),"N/A")</f>
        <v>N/A</v>
      </c>
      <c r="I107" s="1240"/>
      <c r="J107" s="1240"/>
      <c r="K107" s="1240"/>
      <c r="L107" s="1242" t="str">
        <f>IFERROR(INDEX('Upper Cask Movement &amp; Logistics'!$I$24:$O$30,MATCH($J107,'Upper Cask Movement &amp; Logistics'!$H$24:$H$30,0),MATCH($K107,'Upper Cask Movement &amp; Logistics'!$H$24:$H$30,0)),"N/A")</f>
        <v>N/A</v>
      </c>
      <c r="M107" s="1242" t="str">
        <f>IFERROR(VLOOKUP($I107,'Upper Cask Movement &amp; Logistics'!$H$4:$I$8,2,FALSE),"N/A")</f>
        <v>N/A</v>
      </c>
      <c r="N107" s="1356" t="str">
        <f t="shared" si="1"/>
        <v>N/A</v>
      </c>
      <c r="O107" s="1357" t="s">
        <v>1213</v>
      </c>
      <c r="P107" s="1358">
        <f>IF($D107="Logistics",VLOOKUP($O107,'Upper Cask Movement &amp; Logistics'!$C$4:$D$77,2,FALSE),"N/A")</f>
        <v>0.68</v>
      </c>
    </row>
    <row r="108" spans="1:17" s="89" customFormat="1" outlineLevel="1" x14ac:dyDescent="0.35">
      <c r="A108" s="1169"/>
      <c r="B108" s="3961"/>
      <c r="C108" s="1243" t="s">
        <v>1340</v>
      </c>
      <c r="D108" s="1243" t="s">
        <v>778</v>
      </c>
      <c r="E108" s="1244">
        <f t="shared" si="0"/>
        <v>0.23148148148148148</v>
      </c>
      <c r="F108" s="1244">
        <f>IF($D108="Trigger",VLOOKUP($C108,'Upper Cask Welding failures'!$E$46:$H$564,4,FALSE),E108+F107)</f>
        <v>83.468365830570818</v>
      </c>
      <c r="G108" s="1309"/>
      <c r="H108" s="1310" t="str">
        <f>IF(D108="operation",VLOOKUP(G108,'Generic Vertical Port Tasks'!#REF!,2,FALSE),"N/A")</f>
        <v>N/A</v>
      </c>
      <c r="I108" s="1243" t="s">
        <v>2501</v>
      </c>
      <c r="J108" s="1243" t="s">
        <v>831</v>
      </c>
      <c r="K108" s="1243" t="s">
        <v>901</v>
      </c>
      <c r="L108" s="1245">
        <f>IFERROR(INDEX('Upper Cask Movement &amp; Logistics'!$I$24:$O$30,MATCH($J108,'Upper Cask Movement &amp; Logistics'!$H$24:$H$30,0),MATCH($K108,'Upper Cask Movement &amp; Logistics'!$H$24:$H$30,0)),"N/A")</f>
        <v>50</v>
      </c>
      <c r="M108" s="1245">
        <f>IFERROR(VLOOKUP($I108,'Upper Cask Movement &amp; Logistics'!$H$4:$I$8,2,FALSE),"N/A")</f>
        <v>0.06</v>
      </c>
      <c r="N108" s="1311">
        <f t="shared" si="1"/>
        <v>0.23148148148148148</v>
      </c>
      <c r="O108" s="1312"/>
      <c r="P108" s="1313" t="str">
        <f>IF($D108="Logistics",VLOOKUP($O108,'Upper Cask Movement &amp; Logistics'!$C$4:$D$77,2,FALSE),"N/A")</f>
        <v>N/A</v>
      </c>
    </row>
    <row r="109" spans="1:17" s="89" customFormat="1" outlineLevel="1" x14ac:dyDescent="0.35">
      <c r="A109" s="1169"/>
      <c r="B109" s="3961"/>
      <c r="C109" s="1243" t="s">
        <v>1391</v>
      </c>
      <c r="D109" s="1243" t="s">
        <v>3</v>
      </c>
      <c r="E109" s="1244">
        <f t="shared" si="0"/>
        <v>1.4000000000000001</v>
      </c>
      <c r="F109" s="1244">
        <f>IF($D109="Trigger",VLOOKUP($C109,'Upper Cask Welding failures'!$E$46:$H$564,4,FALSE),E109+F108)</f>
        <v>84.868365830570824</v>
      </c>
      <c r="G109" s="1309"/>
      <c r="H109" s="1310" t="str">
        <f>IF(D109="operation",VLOOKUP(G109,'Generic Vertical Port Tasks'!#REF!,2,FALSE),"N/A")</f>
        <v>N/A</v>
      </c>
      <c r="I109" s="1243"/>
      <c r="J109" s="1243"/>
      <c r="K109" s="1243"/>
      <c r="L109" s="1245" t="str">
        <f>IFERROR(INDEX('Upper Cask Movement &amp; Logistics'!$I$24:$O$30,MATCH($J109,'Upper Cask Movement &amp; Logistics'!$H$24:$H$30,0),MATCH($K109,'Upper Cask Movement &amp; Logistics'!$H$24:$H$30,0)),"N/A")</f>
        <v>N/A</v>
      </c>
      <c r="M109" s="1245" t="str">
        <f>IFERROR(VLOOKUP($I109,'Upper Cask Movement &amp; Logistics'!$H$4:$I$8,2,FALSE),"N/A")</f>
        <v>N/A</v>
      </c>
      <c r="N109" s="1311" t="str">
        <f t="shared" si="1"/>
        <v>N/A</v>
      </c>
      <c r="O109" s="1312" t="s">
        <v>1277</v>
      </c>
      <c r="P109" s="1313">
        <f>IF($D109="Logistics",VLOOKUP($O109,'Upper Cask Movement &amp; Logistics'!$C$4:$D$77,2,FALSE),"N/A")</f>
        <v>1.4000000000000001</v>
      </c>
    </row>
    <row r="110" spans="1:17" s="89" customFormat="1" ht="13.3" outlineLevel="1" thickBot="1" x14ac:dyDescent="0.4">
      <c r="A110" s="1169"/>
      <c r="B110" s="3963"/>
      <c r="C110" s="1314" t="str">
        <f>B105</f>
        <v>LIB Blanket Segment stored; Hardware Cask 6 docked</v>
      </c>
      <c r="D110" s="1314" t="s">
        <v>11</v>
      </c>
      <c r="E110" s="1316">
        <f t="shared" si="0"/>
        <v>0</v>
      </c>
      <c r="F110" s="1316">
        <f>IF($D110="Trigger",VLOOKUP($C110,'Upper Cask Welding failures'!$E$46:$H$564,4,FALSE),E110+F109)</f>
        <v>84.868365830570824</v>
      </c>
      <c r="G110" s="1317"/>
      <c r="H110" s="1318" t="str">
        <f>IF(D110="operation",VLOOKUP(G110,'Generic Vertical Port Tasks'!#REF!,2,FALSE),"N/A")</f>
        <v>N/A</v>
      </c>
      <c r="I110" s="1314"/>
      <c r="J110" s="1314"/>
      <c r="K110" s="1314"/>
      <c r="L110" s="1319" t="str">
        <f>IFERROR(INDEX('Upper Cask Movement &amp; Logistics'!$I$24:$O$30,MATCH($J110,'Upper Cask Movement &amp; Logistics'!$H$24:$H$30,0),MATCH($K110,'Upper Cask Movement &amp; Logistics'!$H$24:$H$30,0)),"N/A")</f>
        <v>N/A</v>
      </c>
      <c r="M110" s="1319" t="str">
        <f>IFERROR(VLOOKUP($I110,'Upper Cask Movement &amp; Logistics'!$H$4:$I$8,2,FALSE),"N/A")</f>
        <v>N/A</v>
      </c>
      <c r="N110" s="1320" t="str">
        <f t="shared" si="1"/>
        <v>N/A</v>
      </c>
      <c r="O110" s="1321"/>
      <c r="P110" s="1322" t="str">
        <f>IF($D110="Logistics",VLOOKUP($O110,'Upper Cask Movement &amp; Logistics'!$C$4:$D$77,2,FALSE),"N/A")</f>
        <v>N/A</v>
      </c>
    </row>
    <row r="111" spans="1:17" s="89" customFormat="1" outlineLevel="1" x14ac:dyDescent="0.35">
      <c r="A111" s="1169"/>
      <c r="B111" s="3964" t="s">
        <v>1401</v>
      </c>
      <c r="C111" s="1324" t="s">
        <v>1530</v>
      </c>
      <c r="D111" s="1324" t="s">
        <v>907</v>
      </c>
      <c r="E111" s="1291">
        <f t="shared" si="0"/>
        <v>0</v>
      </c>
      <c r="F111" s="1291">
        <f>IF($D111="Trigger",VLOOKUP($C111,'Upper Cask Welding failures'!$E$46:$H$564,4,FALSE),E111+F110)</f>
        <v>91.379662126867089</v>
      </c>
      <c r="G111" s="825"/>
      <c r="H111" s="1323" t="str">
        <f>IF(D111="operation",VLOOKUP(G111,'Generic Vertical Port Tasks'!#REF!,2,FALSE),"N/A")</f>
        <v>N/A</v>
      </c>
      <c r="I111" s="1324"/>
      <c r="J111" s="1324"/>
      <c r="K111" s="1324"/>
      <c r="L111" s="1325" t="str">
        <f>IFERROR(INDEX('Upper Cask Movement &amp; Logistics'!$I$24:$O$30,MATCH($J111,'Upper Cask Movement &amp; Logistics'!$H$24:$H$30,0),MATCH($K111,'Upper Cask Movement &amp; Logistics'!$H$24:$H$30,0)),"N/A")</f>
        <v>N/A</v>
      </c>
      <c r="M111" s="1325" t="str">
        <f>IFERROR(VLOOKUP($I111,'Upper Cask Movement &amp; Logistics'!$H$4:$I$8,2,FALSE),"N/A")</f>
        <v>N/A</v>
      </c>
      <c r="N111" s="1326" t="str">
        <f t="shared" si="1"/>
        <v>N/A</v>
      </c>
      <c r="O111" s="1327"/>
      <c r="P111" s="824" t="str">
        <f>IF($D111="Logistics",VLOOKUP($O111,'Upper Cask Movement &amp; Logistics'!$C$4:$D$77,2,FALSE),"N/A")</f>
        <v>N/A</v>
      </c>
    </row>
    <row r="112" spans="1:17" s="89" customFormat="1" outlineLevel="1" x14ac:dyDescent="0.35">
      <c r="A112" s="1169"/>
      <c r="B112" s="3969"/>
      <c r="C112" s="1362" t="s">
        <v>1268</v>
      </c>
      <c r="D112" s="1362" t="s">
        <v>3</v>
      </c>
      <c r="E112" s="1363">
        <f t="shared" si="0"/>
        <v>2.3000000000000003</v>
      </c>
      <c r="F112" s="1363">
        <f>IF($D112="Trigger",VLOOKUP($C112,'Upper Cask Welding failures'!$E$46:$H$564,4,FALSE),E112+F111)</f>
        <v>93.679662126867086</v>
      </c>
      <c r="G112" s="1364"/>
      <c r="H112" s="1365" t="str">
        <f>IF(D112="operation",VLOOKUP(G112,'Generic Vertical Port Tasks'!#REF!,2,FALSE),"N/A")</f>
        <v>N/A</v>
      </c>
      <c r="I112" s="1362"/>
      <c r="J112" s="1362"/>
      <c r="K112" s="1362"/>
      <c r="L112" s="1366" t="str">
        <f>IFERROR(INDEX('Upper Cask Movement &amp; Logistics'!$I$24:$O$30,MATCH($J112,'Upper Cask Movement &amp; Logistics'!$H$24:$H$30,0),MATCH($K112,'Upper Cask Movement &amp; Logistics'!$H$24:$H$30,0)),"N/A")</f>
        <v>N/A</v>
      </c>
      <c r="M112" s="1366" t="str">
        <f>IFERROR(VLOOKUP($I112,'Upper Cask Movement &amp; Logistics'!$H$4:$I$8,2,FALSE),"N/A")</f>
        <v>N/A</v>
      </c>
      <c r="N112" s="1367" t="str">
        <f t="shared" si="1"/>
        <v>N/A</v>
      </c>
      <c r="O112" s="1368" t="s">
        <v>1269</v>
      </c>
      <c r="P112" s="861">
        <f>IF($D112="Logistics",VLOOKUP($O112,'Upper Cask Movement &amp; Logistics'!$C$4:$D$77,2,FALSE),"N/A")</f>
        <v>2.3000000000000003</v>
      </c>
    </row>
    <row r="113" spans="1:16" s="89" customFormat="1" outlineLevel="1" x14ac:dyDescent="0.35">
      <c r="A113" s="1169"/>
      <c r="B113" s="3969"/>
      <c r="C113" s="1362" t="s">
        <v>1344</v>
      </c>
      <c r="D113" s="1362" t="s">
        <v>778</v>
      </c>
      <c r="E113" s="1363">
        <f t="shared" si="0"/>
        <v>0.69444444444444442</v>
      </c>
      <c r="F113" s="1363">
        <f>IF($D113="Trigger",VLOOKUP($C113,'Upper Cask Welding failures'!$E$46:$H$564,4,FALSE),E113+F112)</f>
        <v>94.374106571311529</v>
      </c>
      <c r="G113" s="1364"/>
      <c r="H113" s="1365" t="str">
        <f>IF(D113="operation",VLOOKUP(G113,'Generic Vertical Port Tasks'!#REF!,2,FALSE),"N/A")</f>
        <v>N/A</v>
      </c>
      <c r="I113" s="1362" t="s">
        <v>1789</v>
      </c>
      <c r="J113" s="1362" t="s">
        <v>901</v>
      </c>
      <c r="K113" s="1362" t="s">
        <v>831</v>
      </c>
      <c r="L113" s="1366">
        <f>IFERROR(INDEX('Upper Cask Movement &amp; Logistics'!$I$24:$O$30,MATCH($J113,'Upper Cask Movement &amp; Logistics'!$H$24:$H$30,0),MATCH($K113,'Upper Cask Movement &amp; Logistics'!$H$24:$H$30,0)),"N/A")</f>
        <v>50</v>
      </c>
      <c r="M113" s="1366">
        <f>IFERROR(VLOOKUP($I113,'Upper Cask Movement &amp; Logistics'!$H$4:$I$8,2,FALSE),"N/A")</f>
        <v>0.02</v>
      </c>
      <c r="N113" s="1367">
        <f t="shared" si="1"/>
        <v>0.69444444444444442</v>
      </c>
      <c r="O113" s="1368"/>
      <c r="P113" s="861" t="str">
        <f>IF($D113="Logistics",VLOOKUP($O113,'Upper Cask Movement &amp; Logistics'!$C$4:$D$77,2,FALSE),"N/A")</f>
        <v>N/A</v>
      </c>
    </row>
    <row r="114" spans="1:16" s="89" customFormat="1" outlineLevel="1" x14ac:dyDescent="0.35">
      <c r="A114" s="1169"/>
      <c r="B114" s="3969"/>
      <c r="C114" s="1362" t="s">
        <v>1400</v>
      </c>
      <c r="D114" s="1362" t="s">
        <v>3</v>
      </c>
      <c r="E114" s="1363">
        <f t="shared" si="0"/>
        <v>0.68</v>
      </c>
      <c r="F114" s="1363">
        <f>IF($D114="Trigger",VLOOKUP($C114,'Upper Cask Welding failures'!$E$46:$H$564,4,FALSE),E114+F113)</f>
        <v>95.054106571311536</v>
      </c>
      <c r="G114" s="1364"/>
      <c r="H114" s="1365" t="str">
        <f>IF(D114="operation",VLOOKUP(G114,'Generic Vertical Port Tasks'!#REF!,2,FALSE),"N/A")</f>
        <v>N/A</v>
      </c>
      <c r="I114" s="1362"/>
      <c r="J114" s="1362"/>
      <c r="K114" s="1362"/>
      <c r="L114" s="1366" t="str">
        <f>IFERROR(INDEX('Upper Cask Movement &amp; Logistics'!$I$24:$O$30,MATCH($J114,'Upper Cask Movement &amp; Logistics'!$H$24:$H$30,0),MATCH($K114,'Upper Cask Movement &amp; Logistics'!$H$24:$H$30,0)),"N/A")</f>
        <v>N/A</v>
      </c>
      <c r="M114" s="1366" t="str">
        <f>IFERROR(VLOOKUP($I114,'Upper Cask Movement &amp; Logistics'!$H$4:$I$8,2,FALSE),"N/A")</f>
        <v>N/A</v>
      </c>
      <c r="N114" s="1367" t="str">
        <f t="shared" si="1"/>
        <v>N/A</v>
      </c>
      <c r="O114" s="1368" t="s">
        <v>1213</v>
      </c>
      <c r="P114" s="861">
        <f>IF($D114="Logistics",VLOOKUP($O114,'Upper Cask Movement &amp; Logistics'!$C$4:$D$77,2,FALSE),"N/A")</f>
        <v>0.68</v>
      </c>
    </row>
    <row r="115" spans="1:16" s="89" customFormat="1" outlineLevel="1" x14ac:dyDescent="0.35">
      <c r="A115" s="1169"/>
      <c r="B115" s="3965"/>
      <c r="C115" s="1294" t="s">
        <v>1340</v>
      </c>
      <c r="D115" s="1294" t="s">
        <v>778</v>
      </c>
      <c r="E115" s="1292">
        <f t="shared" si="0"/>
        <v>0.23148148148148148</v>
      </c>
      <c r="F115" s="1292">
        <f>IF($D115="Trigger",VLOOKUP($C115,'Upper Cask Welding failures'!$E$46:$H$564,4,FALSE),E115+F114)</f>
        <v>95.285588052793017</v>
      </c>
      <c r="G115" s="862"/>
      <c r="H115" s="1328" t="str">
        <f>IF(D115="operation",VLOOKUP(G115,'Generic Vertical Port Tasks'!#REF!,2,FALSE),"N/A")</f>
        <v>N/A</v>
      </c>
      <c r="I115" s="1294" t="s">
        <v>2501</v>
      </c>
      <c r="J115" s="1294" t="s">
        <v>831</v>
      </c>
      <c r="K115" s="1294" t="s">
        <v>901</v>
      </c>
      <c r="L115" s="1329">
        <f>IFERROR(INDEX('Upper Cask Movement &amp; Logistics'!$I$24:$O$30,MATCH($J115,'Upper Cask Movement &amp; Logistics'!$H$24:$H$30,0),MATCH($K115,'Upper Cask Movement &amp; Logistics'!$H$24:$H$30,0)),"N/A")</f>
        <v>50</v>
      </c>
      <c r="M115" s="1329">
        <f>IFERROR(VLOOKUP($I115,'Upper Cask Movement &amp; Logistics'!$H$4:$I$8,2,FALSE),"N/A")</f>
        <v>0.06</v>
      </c>
      <c r="N115" s="1330">
        <f t="shared" si="1"/>
        <v>0.23148148148148148</v>
      </c>
      <c r="O115" s="1331"/>
      <c r="P115" s="1332" t="str">
        <f>IF($D115="Logistics",VLOOKUP($O115,'Upper Cask Movement &amp; Logistics'!$C$4:$D$77,2,FALSE),"N/A")</f>
        <v>N/A</v>
      </c>
    </row>
    <row r="116" spans="1:16" s="89" customFormat="1" outlineLevel="1" x14ac:dyDescent="0.35">
      <c r="A116" s="1169"/>
      <c r="B116" s="3965"/>
      <c r="C116" s="1294" t="s">
        <v>1391</v>
      </c>
      <c r="D116" s="1294" t="s">
        <v>3</v>
      </c>
      <c r="E116" s="1292">
        <f t="shared" si="0"/>
        <v>1.4000000000000001</v>
      </c>
      <c r="F116" s="1292">
        <f>IF($D116="Trigger",VLOOKUP($C116,'Upper Cask Welding failures'!$E$46:$H$564,4,FALSE),E116+F115)</f>
        <v>96.685588052793022</v>
      </c>
      <c r="G116" s="862"/>
      <c r="H116" s="1328" t="str">
        <f>IF(D116="operation",VLOOKUP(G116,'Generic Vertical Port Tasks'!#REF!,2,FALSE),"N/A")</f>
        <v>N/A</v>
      </c>
      <c r="I116" s="1294"/>
      <c r="J116" s="1294"/>
      <c r="K116" s="1294"/>
      <c r="L116" s="1329" t="str">
        <f>IFERROR(INDEX('Upper Cask Movement &amp; Logistics'!$I$24:$O$30,MATCH($J116,'Upper Cask Movement &amp; Logistics'!$H$24:$H$30,0),MATCH($K116,'Upper Cask Movement &amp; Logistics'!$H$24:$H$30,0)),"N/A")</f>
        <v>N/A</v>
      </c>
      <c r="M116" s="1329" t="str">
        <f>IFERROR(VLOOKUP($I116,'Upper Cask Movement &amp; Logistics'!$H$4:$I$8,2,FALSE),"N/A")</f>
        <v>N/A</v>
      </c>
      <c r="N116" s="1330" t="str">
        <f t="shared" si="1"/>
        <v>N/A</v>
      </c>
      <c r="O116" s="1331" t="s">
        <v>1277</v>
      </c>
      <c r="P116" s="1332">
        <f>IF($D116="Logistics",VLOOKUP($O116,'Upper Cask Movement &amp; Logistics'!$C$4:$D$77,2,FALSE),"N/A")</f>
        <v>1.4000000000000001</v>
      </c>
    </row>
    <row r="117" spans="1:16" s="89" customFormat="1" ht="13.3" outlineLevel="1" thickBot="1" x14ac:dyDescent="0.4">
      <c r="A117" s="1169"/>
      <c r="B117" s="3966"/>
      <c r="C117" s="1340" t="str">
        <f>B111</f>
        <v>RIB Blanket Segment stored; Hardware Cask 5 docked</v>
      </c>
      <c r="D117" s="1340" t="s">
        <v>11</v>
      </c>
      <c r="E117" s="1295">
        <f t="shared" si="0"/>
        <v>0</v>
      </c>
      <c r="F117" s="1295">
        <f>IF($D117="Trigger",VLOOKUP($C117,'Upper Cask Welding failures'!$E$46:$H$564,4,FALSE),E117+F116)</f>
        <v>96.685588052793022</v>
      </c>
      <c r="G117" s="839"/>
      <c r="H117" s="1341" t="str">
        <f>IF(D117="operation",VLOOKUP(G117,'Generic Vertical Port Tasks'!#REF!,2,FALSE),"N/A")</f>
        <v>N/A</v>
      </c>
      <c r="I117" s="1340"/>
      <c r="J117" s="1340"/>
      <c r="K117" s="1340"/>
      <c r="L117" s="1342" t="str">
        <f>IFERROR(INDEX('Upper Cask Movement &amp; Logistics'!$I$24:$O$30,MATCH($J117,'Upper Cask Movement &amp; Logistics'!$H$24:$H$30,0),MATCH($K117,'Upper Cask Movement &amp; Logistics'!$H$24:$H$30,0)),"N/A")</f>
        <v>N/A</v>
      </c>
      <c r="M117" s="1342" t="str">
        <f>IFERROR(VLOOKUP($I117,'Upper Cask Movement &amp; Logistics'!$H$4:$I$8,2,FALSE),"N/A")</f>
        <v>N/A</v>
      </c>
      <c r="N117" s="1343" t="str">
        <f t="shared" si="1"/>
        <v>N/A</v>
      </c>
      <c r="O117" s="1344"/>
      <c r="P117" s="1345" t="str">
        <f>IF($D117="Logistics",VLOOKUP($O117,'Upper Cask Movement &amp; Logistics'!$C$4:$D$77,2,FALSE),"N/A")</f>
        <v>N/A</v>
      </c>
    </row>
    <row r="118" spans="1:16" s="89" customFormat="1" outlineLevel="1" x14ac:dyDescent="0.35">
      <c r="A118" s="1169"/>
      <c r="B118" s="3960" t="s">
        <v>1388</v>
      </c>
      <c r="C118" s="1333" t="str">
        <f>'Upper Cask Critical Path'!C112</f>
        <v>Store Pipe Lifter in Equipment Cask 2</v>
      </c>
      <c r="D118" s="1333" t="s">
        <v>907</v>
      </c>
      <c r="E118" s="1303">
        <f t="shared" si="0"/>
        <v>0</v>
      </c>
      <c r="F118" s="1303">
        <f>IF($D118="Trigger",VLOOKUP($C118,'Upper Cask Welding failures'!$E$46:$H$564,4,FALSE),E118+F117)</f>
        <v>4.6100000000000003</v>
      </c>
      <c r="G118" s="1304"/>
      <c r="H118" s="1305" t="str">
        <f>IF(D118="operation",VLOOKUP(G118,'Generic Vertical Port Tasks'!C168:D189,2,FALSE),"N/A")</f>
        <v>N/A</v>
      </c>
      <c r="I118" s="1333"/>
      <c r="J118" s="1333"/>
      <c r="K118" s="1333"/>
      <c r="L118" s="1334" t="str">
        <f>IFERROR(INDEX('Upper Cask Movement &amp; Logistics'!$I$24:$O$30,MATCH($J118,'Upper Cask Movement &amp; Logistics'!$H$24:$H$30,0),MATCH($K118,'Upper Cask Movement &amp; Logistics'!$H$24:$H$30,0)),"N/A")</f>
        <v>N/A</v>
      </c>
      <c r="M118" s="1334" t="str">
        <f>IFERROR(VLOOKUP($I118,'Upper Cask Movement &amp; Logistics'!$H$4:$I$8,2,FALSE),"N/A")</f>
        <v>N/A</v>
      </c>
      <c r="N118" s="1335" t="str">
        <f t="shared" si="1"/>
        <v>N/A</v>
      </c>
      <c r="O118" s="1336"/>
      <c r="P118" s="1337" t="str">
        <f>IF($D118="Logistics",VLOOKUP($O118,'Upper Cask Movement &amp; Logistics'!$C$4:$D$77,2,FALSE),"N/A")</f>
        <v>N/A</v>
      </c>
    </row>
    <row r="119" spans="1:16" s="89" customFormat="1" outlineLevel="1" x14ac:dyDescent="0.35">
      <c r="A119" s="1169"/>
      <c r="B119" s="3961"/>
      <c r="C119" s="1243" t="s">
        <v>1345</v>
      </c>
      <c r="D119" s="1243" t="s">
        <v>778</v>
      </c>
      <c r="E119" s="1244">
        <f t="shared" si="0"/>
        <v>0.69444444444444442</v>
      </c>
      <c r="F119" s="1244">
        <f>IF($D119="Trigger",VLOOKUP($C119,'Upper Cask Welding failures'!$E$46:$H$564,4,FALSE),E119+F118)</f>
        <v>5.304444444444445</v>
      </c>
      <c r="G119" s="1309"/>
      <c r="H119" s="1310" t="str">
        <f>IF(D119="operation",VLOOKUP(G119,'Generic Vertical Port Tasks'!C168:D189,2,FALSE),"N/A")</f>
        <v>N/A</v>
      </c>
      <c r="I119" s="1243" t="s">
        <v>1789</v>
      </c>
      <c r="J119" s="1243" t="s">
        <v>816</v>
      </c>
      <c r="K119" s="1243" t="s">
        <v>914</v>
      </c>
      <c r="L119" s="1245">
        <f>IFERROR(INDEX('Upper Cask Movement &amp; Logistics'!$I$24:$O$30,MATCH($J119,'Upper Cask Movement &amp; Logistics'!$H$24:$H$30,0),MATCH($K119,'Upper Cask Movement &amp; Logistics'!$H$24:$H$30,0)),"N/A")</f>
        <v>50</v>
      </c>
      <c r="M119" s="1245">
        <f>IFERROR(VLOOKUP($I119,'Upper Cask Movement &amp; Logistics'!$H$4:$I$8,2,FALSE),"N/A")</f>
        <v>0.02</v>
      </c>
      <c r="N119" s="1311">
        <f t="shared" si="1"/>
        <v>0.69444444444444442</v>
      </c>
      <c r="O119" s="1312"/>
      <c r="P119" s="1313" t="str">
        <f>IF($D119="Logistics",VLOOKUP($O119,'Upper Cask Movement &amp; Logistics'!$C$4:$D$77,2,FALSE),"N/A")</f>
        <v>N/A</v>
      </c>
    </row>
    <row r="120" spans="1:16" s="89" customFormat="1" outlineLevel="1" x14ac:dyDescent="0.35">
      <c r="A120" s="1169"/>
      <c r="B120" s="3962"/>
      <c r="C120" s="1249" t="s">
        <v>1389</v>
      </c>
      <c r="D120" s="1249" t="s">
        <v>3</v>
      </c>
      <c r="E120" s="1250">
        <f t="shared" si="0"/>
        <v>0.48000000000000004</v>
      </c>
      <c r="F120" s="1250">
        <f>IF($D120="Trigger",VLOOKUP($C120,'Upper Cask Welding failures'!$E$46:$H$564,4,FALSE),E120+F119)</f>
        <v>5.7844444444444454</v>
      </c>
      <c r="G120" s="1338"/>
      <c r="H120" s="1359" t="str">
        <f>IF(D120="operation",VLOOKUP(G120,'Generic Vertical Port Tasks'!C168:D189,2,FALSE),"N/A")</f>
        <v>N/A</v>
      </c>
      <c r="I120" s="1249"/>
      <c r="J120" s="1249"/>
      <c r="K120" s="1249"/>
      <c r="L120" s="1245" t="str">
        <f>IFERROR(INDEX('Upper Cask Movement &amp; Logistics'!$I$24:$O$30,MATCH($J120,'Upper Cask Movement &amp; Logistics'!$H$24:$H$30,0),MATCH($K120,'Upper Cask Movement &amp; Logistics'!$H$24:$H$30,0)),"N/A")</f>
        <v>N/A</v>
      </c>
      <c r="M120" s="1245" t="str">
        <f>IFERROR(VLOOKUP($I120,'Upper Cask Movement &amp; Logistics'!$H$4:$I$8,2,FALSE),"N/A")</f>
        <v>N/A</v>
      </c>
      <c r="N120" s="1311" t="str">
        <f t="shared" si="1"/>
        <v>N/A</v>
      </c>
      <c r="O120" s="1339" t="s">
        <v>1330</v>
      </c>
      <c r="P120" s="1313">
        <f>IF($D120="Logistics",VLOOKUP($O120,'Upper Cask Movement &amp; Logistics'!$C$4:$D$77,2,FALSE),"N/A")</f>
        <v>0.48000000000000004</v>
      </c>
    </row>
    <row r="121" spans="1:16" s="89" customFormat="1" outlineLevel="1" x14ac:dyDescent="0.35">
      <c r="A121" s="1169"/>
      <c r="B121" s="3962"/>
      <c r="C121" s="1249" t="s">
        <v>1338</v>
      </c>
      <c r="D121" s="1249" t="s">
        <v>778</v>
      </c>
      <c r="E121" s="1250">
        <f t="shared" si="0"/>
        <v>2.7777777777777776E-2</v>
      </c>
      <c r="F121" s="1250">
        <f>IF($D121="Trigger",VLOOKUP($C121,'Upper Cask Welding failures'!$E$46:$H$564,4,FALSE),E121+F120)</f>
        <v>5.8122222222222231</v>
      </c>
      <c r="G121" s="1338"/>
      <c r="H121" s="1359" t="str">
        <f>IF(D121="operation",VLOOKUP(G121,'Generic Vertical Port Tasks'!C168:D189,2,FALSE),"N/A")</f>
        <v>N/A</v>
      </c>
      <c r="I121" s="1243" t="s">
        <v>2502</v>
      </c>
      <c r="J121" s="1249" t="s">
        <v>914</v>
      </c>
      <c r="K121" s="1249" t="s">
        <v>799</v>
      </c>
      <c r="L121" s="1245">
        <f>IFERROR(INDEX('Upper Cask Movement &amp; Logistics'!$I$24:$O$30,MATCH($J121,'Upper Cask Movement &amp; Logistics'!$H$24:$H$30,0),MATCH($K121,'Upper Cask Movement &amp; Logistics'!$H$24:$H$30,0)),"N/A")</f>
        <v>20</v>
      </c>
      <c r="M121" s="1245">
        <f>IFERROR(VLOOKUP($I121,'Upper Cask Movement &amp; Logistics'!$H$4:$I$8,2,FALSE),"N/A")</f>
        <v>0.2</v>
      </c>
      <c r="N121" s="1311">
        <f t="shared" si="1"/>
        <v>2.7777777777777776E-2</v>
      </c>
      <c r="O121" s="1339"/>
      <c r="P121" s="1313" t="str">
        <f>IF($D121="Logistics",VLOOKUP($O121,'Upper Cask Movement &amp; Logistics'!$C$4:$D$77,2,FALSE),"N/A")</f>
        <v>N/A</v>
      </c>
    </row>
    <row r="122" spans="1:16" s="89" customFormat="1" outlineLevel="1" x14ac:dyDescent="0.35">
      <c r="A122" s="1169"/>
      <c r="B122" s="3962"/>
      <c r="C122" s="1249" t="s">
        <v>1390</v>
      </c>
      <c r="D122" s="1249" t="s">
        <v>3</v>
      </c>
      <c r="E122" s="1250">
        <f t="shared" si="0"/>
        <v>0.48000000000000004</v>
      </c>
      <c r="F122" s="1250">
        <f>IF($D122="Trigger",VLOOKUP($C122,'Upper Cask Welding failures'!$E$46:$H$564,4,FALSE),E122+F121)</f>
        <v>6.2922222222222235</v>
      </c>
      <c r="G122" s="1338"/>
      <c r="H122" s="1359" t="str">
        <f>IF(D122="operation",VLOOKUP(G122,'Generic Vertical Port Tasks'!C168:D189,2,FALSE),"N/A")</f>
        <v>N/A</v>
      </c>
      <c r="I122" s="1249"/>
      <c r="J122" s="1249"/>
      <c r="K122" s="1249"/>
      <c r="L122" s="1245" t="str">
        <f>IFERROR(INDEX('Upper Cask Movement &amp; Logistics'!$I$24:$O$30,MATCH($J122,'Upper Cask Movement &amp; Logistics'!$H$24:$H$30,0),MATCH($K122,'Upper Cask Movement &amp; Logistics'!$H$24:$H$30,0)),"N/A")</f>
        <v>N/A</v>
      </c>
      <c r="M122" s="1245" t="str">
        <f>IFERROR(VLOOKUP($I122,'Upper Cask Movement &amp; Logistics'!$H$4:$I$8,2,FALSE),"N/A")</f>
        <v>N/A</v>
      </c>
      <c r="N122" s="1311" t="str">
        <f>IF(D122="Movement",IFERROR((L122/M122)/(60*60),"Error"),"N/A")</f>
        <v>N/A</v>
      </c>
      <c r="O122" s="1339" t="s">
        <v>1331</v>
      </c>
      <c r="P122" s="1313">
        <f>IF($D122="Logistics",VLOOKUP($O122,'Upper Cask Movement &amp; Logistics'!$C$4:$D$77,2,FALSE),"N/A")</f>
        <v>0.48000000000000004</v>
      </c>
    </row>
    <row r="123" spans="1:16" s="89" customFormat="1" outlineLevel="1" x14ac:dyDescent="0.35">
      <c r="A123" s="1169"/>
      <c r="B123" s="3962"/>
      <c r="C123" s="1249" t="s">
        <v>1340</v>
      </c>
      <c r="D123" s="1249" t="s">
        <v>778</v>
      </c>
      <c r="E123" s="1250">
        <f t="shared" si="0"/>
        <v>0.69444444444444442</v>
      </c>
      <c r="F123" s="1250">
        <f>IF($D123="Trigger",VLOOKUP($C123,'Upper Cask Welding failures'!$E$46:$H$564,4,FALSE),E123+F122)</f>
        <v>6.9866666666666681</v>
      </c>
      <c r="G123" s="1338"/>
      <c r="H123" s="1359" t="str">
        <f>IF(D123="operation",VLOOKUP(G123,'Generic Vertical Port Tasks'!C168:D189,2,FALSE),"N/A")</f>
        <v>N/A</v>
      </c>
      <c r="I123" s="1249" t="s">
        <v>1789</v>
      </c>
      <c r="J123" s="1249" t="s">
        <v>799</v>
      </c>
      <c r="K123" s="1249" t="s">
        <v>901</v>
      </c>
      <c r="L123" s="1245">
        <f>IFERROR(INDEX('Upper Cask Movement &amp; Logistics'!$I$24:$O$30,MATCH($J123,'Upper Cask Movement &amp; Logistics'!$H$24:$H$30,0),MATCH($K123,'Upper Cask Movement &amp; Logistics'!$H$24:$H$30,0)),"N/A")</f>
        <v>50</v>
      </c>
      <c r="M123" s="1245">
        <f>IFERROR(VLOOKUP($I123,'Upper Cask Movement &amp; Logistics'!$H$4:$I$8,2,FALSE),"N/A")</f>
        <v>0.02</v>
      </c>
      <c r="N123" s="1311">
        <f>IF(D123="Movement",IFERROR((L123/M123)/(60*60),"Error"),"N/A")</f>
        <v>0.69444444444444442</v>
      </c>
      <c r="O123" s="1339"/>
      <c r="P123" s="1313" t="str">
        <f>IF($D123="Logistics",VLOOKUP($O123,'Upper Cask Movement &amp; Logistics'!$C$4:$D$77,2,FALSE),"N/A")</f>
        <v>N/A</v>
      </c>
    </row>
    <row r="124" spans="1:16" s="89" customFormat="1" outlineLevel="1" x14ac:dyDescent="0.35">
      <c r="A124" s="1169"/>
      <c r="B124" s="3962"/>
      <c r="C124" s="1249" t="s">
        <v>1391</v>
      </c>
      <c r="D124" s="1249" t="s">
        <v>3</v>
      </c>
      <c r="E124" s="1250">
        <f t="shared" si="0"/>
        <v>1.4000000000000001</v>
      </c>
      <c r="F124" s="1250">
        <f>IF($D124="Trigger",VLOOKUP($C124,'Upper Cask Welding failures'!$E$46:$H$564,4,FALSE),E124+F123)</f>
        <v>8.3866666666666685</v>
      </c>
      <c r="G124" s="1338"/>
      <c r="H124" s="1359" t="str">
        <f>IF(D124="operation",VLOOKUP(G124,'Generic Vertical Port Tasks'!C168:D189,2,FALSE),"N/A")</f>
        <v>N/A</v>
      </c>
      <c r="I124" s="1249"/>
      <c r="J124" s="1249"/>
      <c r="K124" s="1249"/>
      <c r="L124" s="1245" t="str">
        <f>IFERROR(INDEX('Upper Cask Movement &amp; Logistics'!$I$24:$O$30,MATCH($J124,'Upper Cask Movement &amp; Logistics'!$H$24:$H$30,0),MATCH($K124,'Upper Cask Movement &amp; Logistics'!$H$24:$H$30,0)),"N/A")</f>
        <v>N/A</v>
      </c>
      <c r="M124" s="1245" t="str">
        <f>IFERROR(VLOOKUP($I124,'Upper Cask Movement &amp; Logistics'!$H$4:$I$8,2,FALSE),"N/A")</f>
        <v>N/A</v>
      </c>
      <c r="N124" s="1311" t="str">
        <f>IF(D124="Movement",IFERROR((L124/M124)/(60*60),"Error"),"N/A")</f>
        <v>N/A</v>
      </c>
      <c r="O124" s="1339" t="s">
        <v>1277</v>
      </c>
      <c r="P124" s="1313">
        <f>IF($D124="Logistics",VLOOKUP($O124,'Upper Cask Movement &amp; Logistics'!$C$4:$D$77,2,FALSE),"N/A")</f>
        <v>1.4000000000000001</v>
      </c>
    </row>
    <row r="125" spans="1:16" s="89" customFormat="1" ht="26.15" outlineLevel="1" thickBot="1" x14ac:dyDescent="0.4">
      <c r="A125" s="1169"/>
      <c r="B125" s="3963"/>
      <c r="C125" s="1314" t="str">
        <f>B118</f>
        <v>Equipment Cask 2 stored; Hardware Cask 6 Collected; Hardware Cask 6 docked</v>
      </c>
      <c r="D125" s="1314" t="s">
        <v>11</v>
      </c>
      <c r="E125" s="1316">
        <f t="shared" si="0"/>
        <v>0</v>
      </c>
      <c r="F125" s="1316">
        <f>IF($D125="Trigger",VLOOKUP($C125,'Upper Cask Welding failures'!$E$46:$H$564,4,FALSE),E125+F124)</f>
        <v>8.3866666666666685</v>
      </c>
      <c r="G125" s="1317"/>
      <c r="H125" s="1318" t="str">
        <f>IF(D125="operation",VLOOKUP(G125,'Generic Vertical Port Tasks'!C168:D189,2,FALSE),"N/A")</f>
        <v>N/A</v>
      </c>
      <c r="I125" s="1314"/>
      <c r="J125" s="1314"/>
      <c r="K125" s="1314"/>
      <c r="L125" s="1319" t="str">
        <f>IFERROR(INDEX('Upper Cask Movement &amp; Logistics'!$I$24:$O$30,MATCH($J125,'Upper Cask Movement &amp; Logistics'!$H$24:$H$30,0),MATCH($K125,'Upper Cask Movement &amp; Logistics'!$H$24:$H$30,0)),"N/A")</f>
        <v>N/A</v>
      </c>
      <c r="M125" s="1319" t="str">
        <f>IFERROR(VLOOKUP($I125,'Upper Cask Movement &amp; Logistics'!$H$4:$I$8,2,FALSE),"N/A")</f>
        <v>N/A</v>
      </c>
      <c r="N125" s="1320" t="str">
        <f t="shared" ref="N125:N164" si="2">IF(D125="Movement",IFERROR((L125/M125)/(60*60),"Error"),"N/A")</f>
        <v>N/A</v>
      </c>
      <c r="O125" s="1321"/>
      <c r="P125" s="1322" t="str">
        <f>IF($D125="Logistics",VLOOKUP($O125,'Upper Cask Movement &amp; Logistics'!$C$4:$D$77,2,FALSE),"N/A")</f>
        <v>N/A</v>
      </c>
    </row>
    <row r="126" spans="1:16" s="89" customFormat="1" outlineLevel="1" x14ac:dyDescent="0.35">
      <c r="A126" s="1169"/>
      <c r="B126" s="3960" t="s">
        <v>1280</v>
      </c>
      <c r="C126" s="1333" t="s">
        <v>1278</v>
      </c>
      <c r="D126" s="1333" t="s">
        <v>907</v>
      </c>
      <c r="E126" s="1303">
        <f t="shared" ref="E126:E189" si="3">MAX($P126,$N126,$H126)</f>
        <v>0</v>
      </c>
      <c r="F126" s="1303">
        <f>IF($D126="Trigger",VLOOKUP($C126,'Upper Cask Welding failures'!$E$46:$H$564,4,FALSE),E126+F125)</f>
        <v>91.979662126867083</v>
      </c>
      <c r="G126" s="1304"/>
      <c r="H126" s="1305" t="str">
        <f>IF(D126="operation",VLOOKUP(G126,'Generic Vertical Port Tasks'!#REF!,2,FALSE),"N/A")</f>
        <v>N/A</v>
      </c>
      <c r="I126" s="1333"/>
      <c r="J126" s="1333"/>
      <c r="K126" s="1333"/>
      <c r="L126" s="1334" t="str">
        <f>IFERROR(INDEX('Upper Cask Movement &amp; Logistics'!$I$24:$O$30,MATCH($J126,'Upper Cask Movement &amp; Logistics'!$H$24:$H$30,0),MATCH($K126,'Upper Cask Movement &amp; Logistics'!$H$24:$H$30,0)),"N/A")</f>
        <v>N/A</v>
      </c>
      <c r="M126" s="1334" t="str">
        <f>IFERROR(VLOOKUP($I126,'Upper Cask Movement &amp; Logistics'!$H$4:$I$8,2,FALSE),"N/A")</f>
        <v>N/A</v>
      </c>
      <c r="N126" s="1335" t="str">
        <f t="shared" si="2"/>
        <v>N/A</v>
      </c>
      <c r="O126" s="1336"/>
      <c r="P126" s="1337" t="str">
        <f>IF($D126="Logistics",VLOOKUP($O126,'Upper Cask Movement &amp; Logistics'!$C$4:$D$77,2,FALSE),"N/A")</f>
        <v>N/A</v>
      </c>
    </row>
    <row r="127" spans="1:16" s="89" customFormat="1" outlineLevel="1" x14ac:dyDescent="0.35">
      <c r="A127" s="1169"/>
      <c r="B127" s="3968"/>
      <c r="C127" s="1240" t="s">
        <v>1405</v>
      </c>
      <c r="D127" s="1240" t="s">
        <v>3</v>
      </c>
      <c r="E127" s="1241">
        <f t="shared" si="3"/>
        <v>2.3000000000000003</v>
      </c>
      <c r="F127" s="1241">
        <f>IF($D127="Trigger",VLOOKUP($C127,'Upper Cask Welding failures'!$E$46:$H$564,4,FALSE),E127+F126)</f>
        <v>94.27966212686708</v>
      </c>
      <c r="G127" s="1354"/>
      <c r="H127" s="1355" t="str">
        <f>IF(D127="operation",VLOOKUP(G127,'Generic Vertical Port Tasks'!#REF!,2,FALSE),"N/A")</f>
        <v>N/A</v>
      </c>
      <c r="I127" s="1240"/>
      <c r="J127" s="1240"/>
      <c r="K127" s="1240"/>
      <c r="L127" s="1242" t="str">
        <f>IFERROR(INDEX('Upper Cask Movement &amp; Logistics'!$I$24:$O$30,MATCH($J127,'Upper Cask Movement &amp; Logistics'!$H$24:$H$30,0),MATCH($K127,'Upper Cask Movement &amp; Logistics'!$H$24:$H$30,0)),"N/A")</f>
        <v>N/A</v>
      </c>
      <c r="M127" s="1242" t="str">
        <f>IFERROR(VLOOKUP($I127,'Upper Cask Movement &amp; Logistics'!$H$4:$I$8,2,FALSE),"N/A")</f>
        <v>N/A</v>
      </c>
      <c r="N127" s="1356" t="str">
        <f t="shared" si="2"/>
        <v>N/A</v>
      </c>
      <c r="O127" s="1357" t="s">
        <v>1269</v>
      </c>
      <c r="P127" s="1358">
        <f>IF($D127="Logistics",VLOOKUP($O127,'Upper Cask Movement &amp; Logistics'!$C$4:$D$77,2,FALSE),"N/A")</f>
        <v>2.3000000000000003</v>
      </c>
    </row>
    <row r="128" spans="1:16" s="89" customFormat="1" outlineLevel="1" x14ac:dyDescent="0.35">
      <c r="A128" s="1169"/>
      <c r="B128" s="3968"/>
      <c r="C128" s="1240" t="s">
        <v>1402</v>
      </c>
      <c r="D128" s="1240" t="s">
        <v>778</v>
      </c>
      <c r="E128" s="1241">
        <f t="shared" si="3"/>
        <v>0.11574074074074074</v>
      </c>
      <c r="F128" s="1241">
        <f>IF($D128="Trigger",VLOOKUP($C128,'Upper Cask Welding failures'!$E$46:$H$564,4,FALSE),E128+F127)</f>
        <v>94.395402867607828</v>
      </c>
      <c r="G128" s="1354"/>
      <c r="H128" s="1355" t="str">
        <f>IF(D128="operation",VLOOKUP(G128,'Generic Vertical Port Tasks'!#REF!,2,FALSE),"N/A")</f>
        <v>N/A</v>
      </c>
      <c r="I128" s="1240" t="s">
        <v>2501</v>
      </c>
      <c r="J128" s="1240" t="s">
        <v>901</v>
      </c>
      <c r="K128" s="1240" t="s">
        <v>858</v>
      </c>
      <c r="L128" s="1242">
        <f>IFERROR(INDEX('Upper Cask Movement &amp; Logistics'!$I$24:$O$30,MATCH($J128,'Upper Cask Movement &amp; Logistics'!$H$24:$H$30,0),MATCH($K128,'Upper Cask Movement &amp; Logistics'!$H$24:$H$30,0)),"N/A")</f>
        <v>25</v>
      </c>
      <c r="M128" s="1242">
        <f>IFERROR(VLOOKUP($I128,'Upper Cask Movement &amp; Logistics'!$H$4:$I$8,2,FALSE),"N/A")</f>
        <v>0.06</v>
      </c>
      <c r="N128" s="1356">
        <f t="shared" si="2"/>
        <v>0.11574074074074074</v>
      </c>
      <c r="O128" s="1357"/>
      <c r="P128" s="1358" t="str">
        <f>IF($D128="Logistics",VLOOKUP($O128,'Upper Cask Movement &amp; Logistics'!$C$4:$D$77,2,FALSE),"N/A")</f>
        <v>N/A</v>
      </c>
    </row>
    <row r="129" spans="1:16" s="89" customFormat="1" outlineLevel="1" x14ac:dyDescent="0.35">
      <c r="A129" s="1169"/>
      <c r="B129" s="3968"/>
      <c r="C129" s="1240" t="s">
        <v>1406</v>
      </c>
      <c r="D129" s="1240" t="s">
        <v>3</v>
      </c>
      <c r="E129" s="1241">
        <f t="shared" si="3"/>
        <v>0.63000000000000012</v>
      </c>
      <c r="F129" s="1241">
        <f>IF($D129="Trigger",VLOOKUP($C129,'Upper Cask Welding failures'!$E$46:$H$564,4,FALSE),E129+F128)</f>
        <v>95.025402867607824</v>
      </c>
      <c r="G129" s="1354"/>
      <c r="H129" s="1355" t="str">
        <f>IF(D129="operation",VLOOKUP(G129,'Generic Vertical Port Tasks'!#REF!,2,FALSE),"N/A")</f>
        <v>N/A</v>
      </c>
      <c r="I129" s="1240"/>
      <c r="J129" s="1240"/>
      <c r="K129" s="1240"/>
      <c r="L129" s="1242" t="str">
        <f>IFERROR(INDEX('Upper Cask Movement &amp; Logistics'!$I$24:$O$30,MATCH($J129,'Upper Cask Movement &amp; Logistics'!$H$24:$H$30,0),MATCH($K129,'Upper Cask Movement &amp; Logistics'!$H$24:$H$30,0)),"N/A")</f>
        <v>N/A</v>
      </c>
      <c r="M129" s="1242" t="str">
        <f>IFERROR(VLOOKUP($I129,'Upper Cask Movement &amp; Logistics'!$H$4:$I$8,2,FALSE),"N/A")</f>
        <v>N/A</v>
      </c>
      <c r="N129" s="1356" t="str">
        <f t="shared" si="2"/>
        <v>N/A</v>
      </c>
      <c r="O129" s="1357" t="s">
        <v>1228</v>
      </c>
      <c r="P129" s="1358">
        <f>IF($D129="Logistics",VLOOKUP($O129,'Upper Cask Movement &amp; Logistics'!$C$4:$D$77,2,FALSE),"N/A")</f>
        <v>0.63000000000000012</v>
      </c>
    </row>
    <row r="130" spans="1:16" s="89" customFormat="1" outlineLevel="1" x14ac:dyDescent="0.35">
      <c r="A130" s="1169"/>
      <c r="B130" s="3961"/>
      <c r="C130" s="1243" t="s">
        <v>1340</v>
      </c>
      <c r="D130" s="1243" t="s">
        <v>778</v>
      </c>
      <c r="E130" s="1244">
        <f t="shared" si="3"/>
        <v>0.69444444444444442</v>
      </c>
      <c r="F130" s="1244">
        <f>IF($D130="Trigger",VLOOKUP($C130,'Upper Cask Welding failures'!$E$46:$H$564,4,FALSE),E130+F129)</f>
        <v>95.719847312052266</v>
      </c>
      <c r="G130" s="1309"/>
      <c r="H130" s="1310" t="str">
        <f>IF(D130="operation",VLOOKUP(G130,'Generic Vertical Port Tasks'!#REF!,2,FALSE),"N/A")</f>
        <v>N/A</v>
      </c>
      <c r="I130" s="1243" t="s">
        <v>1789</v>
      </c>
      <c r="J130" s="1243" t="s">
        <v>831</v>
      </c>
      <c r="K130" s="1243" t="s">
        <v>901</v>
      </c>
      <c r="L130" s="1245">
        <f>IFERROR(INDEX('Upper Cask Movement &amp; Logistics'!$I$24:$O$30,MATCH($J130,'Upper Cask Movement &amp; Logistics'!$H$24:$H$30,0),MATCH($K130,'Upper Cask Movement &amp; Logistics'!$H$24:$H$30,0)),"N/A")</f>
        <v>50</v>
      </c>
      <c r="M130" s="1245">
        <f>IFERROR(VLOOKUP($I130,'Upper Cask Movement &amp; Logistics'!$H$4:$I$8,2,FALSE),"N/A")</f>
        <v>0.02</v>
      </c>
      <c r="N130" s="1311">
        <f t="shared" si="2"/>
        <v>0.69444444444444442</v>
      </c>
      <c r="O130" s="1312"/>
      <c r="P130" s="1313" t="str">
        <f>IF($D130="Logistics",VLOOKUP($O130,'Upper Cask Movement &amp; Logistics'!$C$4:$D$77,2,FALSE),"N/A")</f>
        <v>N/A</v>
      </c>
    </row>
    <row r="131" spans="1:16" s="89" customFormat="1" outlineLevel="1" x14ac:dyDescent="0.35">
      <c r="A131" s="1169"/>
      <c r="B131" s="3961"/>
      <c r="C131" s="1243" t="s">
        <v>1391</v>
      </c>
      <c r="D131" s="1243" t="s">
        <v>3</v>
      </c>
      <c r="E131" s="1244">
        <f t="shared" si="3"/>
        <v>1.4000000000000001</v>
      </c>
      <c r="F131" s="1244">
        <f>IF($D131="Trigger",VLOOKUP($C131,'Upper Cask Welding failures'!$E$46:$H$564,4,FALSE),E131+F130)</f>
        <v>97.119847312052272</v>
      </c>
      <c r="G131" s="1309"/>
      <c r="H131" s="1310" t="str">
        <f>IF(D131="operation",VLOOKUP(G131,'Generic Vertical Port Tasks'!#REF!,2,FALSE),"N/A")</f>
        <v>N/A</v>
      </c>
      <c r="I131" s="1243"/>
      <c r="J131" s="1243"/>
      <c r="K131" s="1243"/>
      <c r="L131" s="1245" t="str">
        <f>IFERROR(INDEX('Upper Cask Movement &amp; Logistics'!$I$24:$O$30,MATCH($J131,'Upper Cask Movement &amp; Logistics'!$H$24:$H$30,0),MATCH($K131,'Upper Cask Movement &amp; Logistics'!$H$24:$H$30,0)),"N/A")</f>
        <v>N/A</v>
      </c>
      <c r="M131" s="1245" t="str">
        <f>IFERROR(VLOOKUP($I131,'Upper Cask Movement &amp; Logistics'!$H$4:$I$8,2,FALSE),"N/A")</f>
        <v>N/A</v>
      </c>
      <c r="N131" s="1311" t="str">
        <f t="shared" si="2"/>
        <v>N/A</v>
      </c>
      <c r="O131" s="1312" t="s">
        <v>1277</v>
      </c>
      <c r="P131" s="1313">
        <f>IF($D131="Logistics",VLOOKUP($O131,'Upper Cask Movement &amp; Logistics'!$C$4:$D$77,2,FALSE),"N/A")</f>
        <v>1.4000000000000001</v>
      </c>
    </row>
    <row r="132" spans="1:16" s="89" customFormat="1" ht="13.3" outlineLevel="1" thickBot="1" x14ac:dyDescent="0.4">
      <c r="A132" s="1169"/>
      <c r="B132" s="3963"/>
      <c r="C132" s="1314" t="str">
        <f>B126</f>
        <v>RIB Blanket Segment Collected; Hardware Cask 6 docked</v>
      </c>
      <c r="D132" s="1314" t="s">
        <v>11</v>
      </c>
      <c r="E132" s="1316">
        <f t="shared" si="3"/>
        <v>0</v>
      </c>
      <c r="F132" s="1316">
        <f>IF($D132="Trigger",VLOOKUP($C132,'Upper Cask Welding failures'!$E$46:$H$564,4,FALSE),E132+F131)</f>
        <v>97.119847312052272</v>
      </c>
      <c r="G132" s="1317"/>
      <c r="H132" s="1318" t="str">
        <f>IF(D132="operation",VLOOKUP(G132,'Generic Vertical Port Tasks'!#REF!,2,FALSE),"N/A")</f>
        <v>N/A</v>
      </c>
      <c r="I132" s="1314"/>
      <c r="J132" s="1314"/>
      <c r="K132" s="1314"/>
      <c r="L132" s="1319" t="str">
        <f>IFERROR(INDEX('Upper Cask Movement &amp; Logistics'!$I$24:$O$30,MATCH($J132,'Upper Cask Movement &amp; Logistics'!$H$24:$H$30,0),MATCH($K132,'Upper Cask Movement &amp; Logistics'!$H$24:$H$30,0)),"N/A")</f>
        <v>N/A</v>
      </c>
      <c r="M132" s="1319" t="str">
        <f>IFERROR(VLOOKUP($I132,'Upper Cask Movement &amp; Logistics'!$H$4:$I$8,2,FALSE),"N/A")</f>
        <v>N/A</v>
      </c>
      <c r="N132" s="1320" t="str">
        <f t="shared" si="2"/>
        <v>N/A</v>
      </c>
      <c r="O132" s="1321"/>
      <c r="P132" s="1322" t="str">
        <f>IF($D132="Logistics",VLOOKUP($O132,'Upper Cask Movement &amp; Logistics'!$C$4:$D$77,2,FALSE),"N/A")</f>
        <v>N/A</v>
      </c>
    </row>
    <row r="133" spans="1:16" s="89" customFormat="1" outlineLevel="1" x14ac:dyDescent="0.35">
      <c r="A133" s="1169"/>
      <c r="B133" s="3964" t="s">
        <v>1282</v>
      </c>
      <c r="C133" s="1324" t="s">
        <v>1281</v>
      </c>
      <c r="D133" s="1324" t="s">
        <v>907</v>
      </c>
      <c r="E133" s="1291">
        <f t="shared" si="3"/>
        <v>0</v>
      </c>
      <c r="F133" s="1291">
        <f>IF($D133="Trigger",VLOOKUP($C133,'Upper Cask Welding failures'!$E$46:$H$564,4,FALSE),E133+F132)</f>
        <v>102.04984731205226</v>
      </c>
      <c r="G133" s="825"/>
      <c r="H133" s="1323" t="str">
        <f>IF(D133="operation",VLOOKUP(G133,'Generic Vertical Port Tasks'!#REF!,2,FALSE),"N/A")</f>
        <v>N/A</v>
      </c>
      <c r="I133" s="1324"/>
      <c r="J133" s="1324"/>
      <c r="K133" s="1324"/>
      <c r="L133" s="1325" t="str">
        <f>IFERROR(INDEX('Upper Cask Movement &amp; Logistics'!$I$24:$O$30,MATCH($J133,'Upper Cask Movement &amp; Logistics'!$H$24:$H$30,0),MATCH($K133,'Upper Cask Movement &amp; Logistics'!$H$24:$H$30,0)),"N/A")</f>
        <v>N/A</v>
      </c>
      <c r="M133" s="1325" t="str">
        <f>IFERROR(VLOOKUP($I133,'Upper Cask Movement &amp; Logistics'!$H$4:$I$8,2,FALSE),"N/A")</f>
        <v>N/A</v>
      </c>
      <c r="N133" s="1326" t="str">
        <f t="shared" si="2"/>
        <v>N/A</v>
      </c>
      <c r="O133" s="1327"/>
      <c r="P133" s="824" t="str">
        <f>IF($D133="Logistics",VLOOKUP($O133,'Upper Cask Movement &amp; Logistics'!$C$4:$D$77,2,FALSE),"N/A")</f>
        <v>N/A</v>
      </c>
    </row>
    <row r="134" spans="1:16" s="89" customFormat="1" outlineLevel="1" x14ac:dyDescent="0.35">
      <c r="A134" s="1169"/>
      <c r="B134" s="3969"/>
      <c r="C134" s="1362" t="s">
        <v>1395</v>
      </c>
      <c r="D134" s="1362" t="s">
        <v>3</v>
      </c>
      <c r="E134" s="1363">
        <f t="shared" si="3"/>
        <v>2.3000000000000003</v>
      </c>
      <c r="F134" s="1363">
        <f>IF($D134="Trigger",VLOOKUP($C134,'Upper Cask Welding failures'!$E$46:$H$564,4,FALSE),E134+F133)</f>
        <v>104.34984731205226</v>
      </c>
      <c r="G134" s="1364"/>
      <c r="H134" s="1365" t="str">
        <f>IF(D134="operation",VLOOKUP(G134,'Generic Vertical Port Tasks'!#REF!,2,FALSE),"N/A")</f>
        <v>N/A</v>
      </c>
      <c r="I134" s="1362"/>
      <c r="J134" s="1362"/>
      <c r="K134" s="1362"/>
      <c r="L134" s="1366" t="str">
        <f>IFERROR(INDEX('Upper Cask Movement &amp; Logistics'!$I$24:$O$30,MATCH($J134,'Upper Cask Movement &amp; Logistics'!$H$24:$H$30,0),MATCH($K134,'Upper Cask Movement &amp; Logistics'!$H$24:$H$30,0)),"N/A")</f>
        <v>N/A</v>
      </c>
      <c r="M134" s="1366" t="str">
        <f>IFERROR(VLOOKUP($I134,'Upper Cask Movement &amp; Logistics'!$H$4:$I$8,2,FALSE),"N/A")</f>
        <v>N/A</v>
      </c>
      <c r="N134" s="1367" t="str">
        <f t="shared" si="2"/>
        <v>N/A</v>
      </c>
      <c r="O134" s="1368" t="s">
        <v>1269</v>
      </c>
      <c r="P134" s="861">
        <f>IF($D134="Logistics",VLOOKUP($O134,'Upper Cask Movement &amp; Logistics'!$C$4:$D$77,2,FALSE),"N/A")</f>
        <v>2.3000000000000003</v>
      </c>
    </row>
    <row r="135" spans="1:16" s="89" customFormat="1" outlineLevel="1" x14ac:dyDescent="0.35">
      <c r="A135" s="1169"/>
      <c r="B135" s="3969"/>
      <c r="C135" s="1362" t="s">
        <v>1402</v>
      </c>
      <c r="D135" s="1362" t="s">
        <v>778</v>
      </c>
      <c r="E135" s="1363">
        <f t="shared" si="3"/>
        <v>0.11574074074074074</v>
      </c>
      <c r="F135" s="1363">
        <f>IF($D135="Trigger",VLOOKUP($C135,'Upper Cask Welding failures'!$E$46:$H$564,4,FALSE),E135+F134)</f>
        <v>104.46558805279301</v>
      </c>
      <c r="G135" s="1364"/>
      <c r="H135" s="1365" t="str">
        <f>IF(D135="operation",VLOOKUP(G135,'Generic Vertical Port Tasks'!#REF!,2,FALSE),"N/A")</f>
        <v>N/A</v>
      </c>
      <c r="I135" s="1362" t="s">
        <v>2501</v>
      </c>
      <c r="J135" s="1362" t="s">
        <v>901</v>
      </c>
      <c r="K135" s="1362" t="s">
        <v>858</v>
      </c>
      <c r="L135" s="1366">
        <f>IFERROR(INDEX('Upper Cask Movement &amp; Logistics'!$I$24:$O$30,MATCH($J135,'Upper Cask Movement &amp; Logistics'!$H$24:$H$30,0),MATCH($K135,'Upper Cask Movement &amp; Logistics'!$H$24:$H$30,0)),"N/A")</f>
        <v>25</v>
      </c>
      <c r="M135" s="1366">
        <f>IFERROR(VLOOKUP($I135,'Upper Cask Movement &amp; Logistics'!$H$4:$I$8,2,FALSE),"N/A")</f>
        <v>0.06</v>
      </c>
      <c r="N135" s="1367">
        <f t="shared" si="2"/>
        <v>0.11574074074074074</v>
      </c>
      <c r="O135" s="1368"/>
      <c r="P135" s="861" t="str">
        <f>IF($D135="Logistics",VLOOKUP($O135,'Upper Cask Movement &amp; Logistics'!$C$4:$D$77,2,FALSE),"N/A")</f>
        <v>N/A</v>
      </c>
    </row>
    <row r="136" spans="1:16" s="89" customFormat="1" outlineLevel="1" x14ac:dyDescent="0.35">
      <c r="A136" s="1169"/>
      <c r="B136" s="3969"/>
      <c r="C136" s="1362" t="s">
        <v>1407</v>
      </c>
      <c r="D136" s="1362" t="s">
        <v>3</v>
      </c>
      <c r="E136" s="1363">
        <f t="shared" si="3"/>
        <v>0.63000000000000012</v>
      </c>
      <c r="F136" s="1363">
        <f>IF($D136="Trigger",VLOOKUP($C136,'Upper Cask Welding failures'!$E$46:$H$564,4,FALSE),E136+F135)</f>
        <v>105.095588052793</v>
      </c>
      <c r="G136" s="1364"/>
      <c r="H136" s="1365" t="str">
        <f>IF(D136="operation",VLOOKUP(G136,'Generic Vertical Port Tasks'!#REF!,2,FALSE),"N/A")</f>
        <v>N/A</v>
      </c>
      <c r="I136" s="1362"/>
      <c r="J136" s="1362"/>
      <c r="K136" s="1362"/>
      <c r="L136" s="1366" t="str">
        <f>IFERROR(INDEX('Upper Cask Movement &amp; Logistics'!$I$24:$O$30,MATCH($J136,'Upper Cask Movement &amp; Logistics'!$H$24:$H$30,0),MATCH($K136,'Upper Cask Movement &amp; Logistics'!$H$24:$H$30,0)),"N/A")</f>
        <v>N/A</v>
      </c>
      <c r="M136" s="1366" t="str">
        <f>IFERROR(VLOOKUP($I136,'Upper Cask Movement &amp; Logistics'!$H$4:$I$8,2,FALSE),"N/A")</f>
        <v>N/A</v>
      </c>
      <c r="N136" s="1367" t="str">
        <f t="shared" si="2"/>
        <v>N/A</v>
      </c>
      <c r="O136" s="1368" t="s">
        <v>1228</v>
      </c>
      <c r="P136" s="861">
        <f>IF($D136="Logistics",VLOOKUP($O136,'Upper Cask Movement &amp; Logistics'!$C$4:$D$77,2,FALSE),"N/A")</f>
        <v>0.63000000000000012</v>
      </c>
    </row>
    <row r="137" spans="1:16" s="89" customFormat="1" outlineLevel="1" x14ac:dyDescent="0.35">
      <c r="A137" s="1169"/>
      <c r="B137" s="3965"/>
      <c r="C137" s="1294" t="s">
        <v>1340</v>
      </c>
      <c r="D137" s="1294" t="s">
        <v>778</v>
      </c>
      <c r="E137" s="1292">
        <f t="shared" si="3"/>
        <v>0.69444444444444442</v>
      </c>
      <c r="F137" s="1292">
        <f>IF($D137="Trigger",VLOOKUP($C137,'Upper Cask Welding failures'!$E$46:$H$564,4,FALSE),E137+F136)</f>
        <v>105.79003249723745</v>
      </c>
      <c r="G137" s="862"/>
      <c r="H137" s="1328" t="str">
        <f>IF(D137="operation",VLOOKUP(G137,'Generic Vertical Port Tasks'!#REF!,2,FALSE),"N/A")</f>
        <v>N/A</v>
      </c>
      <c r="I137" s="1294" t="s">
        <v>1789</v>
      </c>
      <c r="J137" s="1294" t="s">
        <v>831</v>
      </c>
      <c r="K137" s="1294" t="s">
        <v>901</v>
      </c>
      <c r="L137" s="1329">
        <f>IFERROR(INDEX('Upper Cask Movement &amp; Logistics'!$I$24:$O$30,MATCH($J137,'Upper Cask Movement &amp; Logistics'!$H$24:$H$30,0),MATCH($K137,'Upper Cask Movement &amp; Logistics'!$H$24:$H$30,0)),"N/A")</f>
        <v>50</v>
      </c>
      <c r="M137" s="1329">
        <f>IFERROR(VLOOKUP($I137,'Upper Cask Movement &amp; Logistics'!$H$4:$I$8,2,FALSE),"N/A")</f>
        <v>0.02</v>
      </c>
      <c r="N137" s="1330">
        <f t="shared" si="2"/>
        <v>0.69444444444444442</v>
      </c>
      <c r="O137" s="1331"/>
      <c r="P137" s="1332" t="str">
        <f>IF($D137="Logistics",VLOOKUP($O137,'Upper Cask Movement &amp; Logistics'!$C$4:$D$77,2,FALSE),"N/A")</f>
        <v>N/A</v>
      </c>
    </row>
    <row r="138" spans="1:16" s="89" customFormat="1" outlineLevel="1" x14ac:dyDescent="0.35">
      <c r="A138" s="1169"/>
      <c r="B138" s="3965"/>
      <c r="C138" s="1294" t="s">
        <v>1391</v>
      </c>
      <c r="D138" s="1294" t="s">
        <v>3</v>
      </c>
      <c r="E138" s="1292">
        <f t="shared" si="3"/>
        <v>1.4000000000000001</v>
      </c>
      <c r="F138" s="1292">
        <f>IF($D138="Trigger",VLOOKUP($C138,'Upper Cask Welding failures'!$E$46:$H$564,4,FALSE),E138+F137)</f>
        <v>107.19003249723745</v>
      </c>
      <c r="G138" s="862"/>
      <c r="H138" s="1328" t="str">
        <f>IF(D138="operation",VLOOKUP(G138,'Generic Vertical Port Tasks'!#REF!,2,FALSE),"N/A")</f>
        <v>N/A</v>
      </c>
      <c r="I138" s="1294"/>
      <c r="J138" s="1294"/>
      <c r="K138" s="1294"/>
      <c r="L138" s="1329" t="str">
        <f>IFERROR(INDEX('Upper Cask Movement &amp; Logistics'!$I$24:$O$30,MATCH($J138,'Upper Cask Movement &amp; Logistics'!$H$24:$H$30,0),MATCH($K138,'Upper Cask Movement &amp; Logistics'!$H$24:$H$30,0)),"N/A")</f>
        <v>N/A</v>
      </c>
      <c r="M138" s="1329" t="str">
        <f>IFERROR(VLOOKUP($I138,'Upper Cask Movement &amp; Logistics'!$H$4:$I$8,2,FALSE),"N/A")</f>
        <v>N/A</v>
      </c>
      <c r="N138" s="1330" t="str">
        <f t="shared" si="2"/>
        <v>N/A</v>
      </c>
      <c r="O138" s="1331" t="s">
        <v>1277</v>
      </c>
      <c r="P138" s="1332">
        <f>IF($D138="Logistics",VLOOKUP($O138,'Upper Cask Movement &amp; Logistics'!$C$4:$D$77,2,FALSE),"N/A")</f>
        <v>1.4000000000000001</v>
      </c>
    </row>
    <row r="139" spans="1:16" s="89" customFormat="1" ht="13.3" outlineLevel="1" thickBot="1" x14ac:dyDescent="0.4">
      <c r="A139" s="1169"/>
      <c r="B139" s="3966"/>
      <c r="C139" s="1340" t="str">
        <f>B133</f>
        <v>LIB Blanket Segment Collected; Hardware Cask 5 docked</v>
      </c>
      <c r="D139" s="1340" t="s">
        <v>11</v>
      </c>
      <c r="E139" s="1295">
        <f t="shared" si="3"/>
        <v>0</v>
      </c>
      <c r="F139" s="1295">
        <f>IF($D139="Trigger",VLOOKUP($C139,'Upper Cask Welding failures'!$E$46:$H$564,4,FALSE),E139+F138)</f>
        <v>107.19003249723745</v>
      </c>
      <c r="G139" s="839"/>
      <c r="H139" s="1341" t="str">
        <f>IF(D139="operation",VLOOKUP(G139,'Generic Vertical Port Tasks'!#REF!,2,FALSE),"N/A")</f>
        <v>N/A</v>
      </c>
      <c r="I139" s="1340"/>
      <c r="J139" s="1340"/>
      <c r="K139" s="1340"/>
      <c r="L139" s="1342" t="str">
        <f>IFERROR(INDEX('Upper Cask Movement &amp; Logistics'!$I$24:$O$30,MATCH($J139,'Upper Cask Movement &amp; Logistics'!$H$24:$H$30,0),MATCH($K139,'Upper Cask Movement &amp; Logistics'!$H$24:$H$30,0)),"N/A")</f>
        <v>N/A</v>
      </c>
      <c r="M139" s="1342" t="str">
        <f>IFERROR(VLOOKUP($I139,'Upper Cask Movement &amp; Logistics'!$H$4:$I$8,2,FALSE),"N/A")</f>
        <v>N/A</v>
      </c>
      <c r="N139" s="1343" t="str">
        <f t="shared" si="2"/>
        <v>N/A</v>
      </c>
      <c r="O139" s="1344"/>
      <c r="P139" s="1345" t="str">
        <f>IF($D139="Logistics",VLOOKUP($O139,'Upper Cask Movement &amp; Logistics'!$C$4:$D$77,2,FALSE),"N/A")</f>
        <v>N/A</v>
      </c>
    </row>
    <row r="140" spans="1:16" s="89" customFormat="1" outlineLevel="1" x14ac:dyDescent="0.35">
      <c r="A140" s="1169"/>
      <c r="B140" s="3960" t="s">
        <v>1284</v>
      </c>
      <c r="C140" s="1333" t="s">
        <v>1283</v>
      </c>
      <c r="D140" s="1333" t="s">
        <v>907</v>
      </c>
      <c r="E140" s="1303">
        <f t="shared" si="3"/>
        <v>0</v>
      </c>
      <c r="F140" s="1303">
        <f>IF($D140="Trigger",VLOOKUP($C140,'Upper Cask Welding failures'!$E$46:$H$564,4,FALSE),E140+F139)</f>
        <v>112.12003249723745</v>
      </c>
      <c r="G140" s="1304"/>
      <c r="H140" s="1305" t="str">
        <f>IF(D140="operation",VLOOKUP(G140,'Generic Vertical Port Tasks'!#REF!,2,FALSE),"N/A")</f>
        <v>N/A</v>
      </c>
      <c r="I140" s="1333"/>
      <c r="J140" s="1333"/>
      <c r="K140" s="1333"/>
      <c r="L140" s="1334" t="str">
        <f>IFERROR(INDEX('Upper Cask Movement &amp; Logistics'!$I$24:$O$30,MATCH($J140,'Upper Cask Movement &amp; Logistics'!$H$24:$H$30,0),MATCH($K140,'Upper Cask Movement &amp; Logistics'!$H$24:$H$30,0)),"N/A")</f>
        <v>N/A</v>
      </c>
      <c r="M140" s="1334" t="str">
        <f>IFERROR(VLOOKUP($I140,'Upper Cask Movement &amp; Logistics'!$H$4:$I$8,2,FALSE),"N/A")</f>
        <v>N/A</v>
      </c>
      <c r="N140" s="1335" t="str">
        <f t="shared" si="2"/>
        <v>N/A</v>
      </c>
      <c r="O140" s="1336"/>
      <c r="P140" s="1337" t="str">
        <f>IF($D140="Logistics",VLOOKUP($O140,'Upper Cask Movement &amp; Logistics'!$C$4:$D$77,2,FALSE),"N/A")</f>
        <v>N/A</v>
      </c>
    </row>
    <row r="141" spans="1:16" s="89" customFormat="1" outlineLevel="1" x14ac:dyDescent="0.35">
      <c r="A141" s="1169"/>
      <c r="B141" s="3968"/>
      <c r="C141" s="1240" t="s">
        <v>1268</v>
      </c>
      <c r="D141" s="1240" t="s">
        <v>3</v>
      </c>
      <c r="E141" s="1241">
        <f t="shared" si="3"/>
        <v>2.3000000000000003</v>
      </c>
      <c r="F141" s="1241">
        <f>IF($D141="Trigger",VLOOKUP($C141,'Upper Cask Welding failures'!$E$46:$H$564,4,FALSE),E141+F140)</f>
        <v>114.42003249723744</v>
      </c>
      <c r="G141" s="1354"/>
      <c r="H141" s="1355" t="str">
        <f>IF(D141="operation",VLOOKUP(G141,'Generic Vertical Port Tasks'!#REF!,2,FALSE),"N/A")</f>
        <v>N/A</v>
      </c>
      <c r="I141" s="1240"/>
      <c r="J141" s="1240"/>
      <c r="K141" s="1240"/>
      <c r="L141" s="1242" t="str">
        <f>IFERROR(INDEX('Upper Cask Movement &amp; Logistics'!$I$24:$O$30,MATCH($J141,'Upper Cask Movement &amp; Logistics'!$H$24:$H$30,0),MATCH($K141,'Upper Cask Movement &amp; Logistics'!$H$24:$H$30,0)),"N/A")</f>
        <v>N/A</v>
      </c>
      <c r="M141" s="1242" t="str">
        <f>IFERROR(VLOOKUP($I141,'Upper Cask Movement &amp; Logistics'!$H$4:$I$8,2,FALSE),"N/A")</f>
        <v>N/A</v>
      </c>
      <c r="N141" s="1356" t="str">
        <f t="shared" si="2"/>
        <v>N/A</v>
      </c>
      <c r="O141" s="1357" t="s">
        <v>1269</v>
      </c>
      <c r="P141" s="1358">
        <f>IF($D141="Logistics",VLOOKUP($O141,'Upper Cask Movement &amp; Logistics'!$C$4:$D$77,2,FALSE),"N/A")</f>
        <v>2.3000000000000003</v>
      </c>
    </row>
    <row r="142" spans="1:16" s="89" customFormat="1" outlineLevel="1" x14ac:dyDescent="0.35">
      <c r="A142" s="1169"/>
      <c r="B142" s="3968"/>
      <c r="C142" s="1240" t="s">
        <v>1402</v>
      </c>
      <c r="D142" s="1240" t="s">
        <v>778</v>
      </c>
      <c r="E142" s="1241">
        <f t="shared" si="3"/>
        <v>0.11574074074074074</v>
      </c>
      <c r="F142" s="1241">
        <f>IF($D142="Trigger",VLOOKUP($C142,'Upper Cask Welding failures'!$E$46:$H$564,4,FALSE),E142+F141)</f>
        <v>114.53577323797819</v>
      </c>
      <c r="G142" s="1354"/>
      <c r="H142" s="1355" t="str">
        <f>IF(D142="operation",VLOOKUP(G142,'Generic Vertical Port Tasks'!#REF!,2,FALSE),"N/A")</f>
        <v>N/A</v>
      </c>
      <c r="I142" s="1240" t="s">
        <v>2501</v>
      </c>
      <c r="J142" s="1240" t="s">
        <v>901</v>
      </c>
      <c r="K142" s="1240" t="s">
        <v>858</v>
      </c>
      <c r="L142" s="1242">
        <f>IFERROR(INDEX('Upper Cask Movement &amp; Logistics'!$I$24:$O$30,MATCH($J142,'Upper Cask Movement &amp; Logistics'!$H$24:$H$30,0),MATCH($K142,'Upper Cask Movement &amp; Logistics'!$H$24:$H$30,0)),"N/A")</f>
        <v>25</v>
      </c>
      <c r="M142" s="1242">
        <f>IFERROR(VLOOKUP($I142,'Upper Cask Movement &amp; Logistics'!$H$4:$I$8,2,FALSE),"N/A")</f>
        <v>0.06</v>
      </c>
      <c r="N142" s="1356">
        <f t="shared" si="2"/>
        <v>0.11574074074074074</v>
      </c>
      <c r="O142" s="1357"/>
      <c r="P142" s="1358" t="str">
        <f>IF($D142="Logistics",VLOOKUP($O142,'Upper Cask Movement &amp; Logistics'!$C$4:$D$77,2,FALSE),"N/A")</f>
        <v>N/A</v>
      </c>
    </row>
    <row r="143" spans="1:16" s="89" customFormat="1" outlineLevel="1" x14ac:dyDescent="0.35">
      <c r="A143" s="1169"/>
      <c r="B143" s="3968"/>
      <c r="C143" s="1240" t="s">
        <v>1408</v>
      </c>
      <c r="D143" s="1240" t="s">
        <v>3</v>
      </c>
      <c r="E143" s="1241">
        <f t="shared" si="3"/>
        <v>0.63000000000000012</v>
      </c>
      <c r="F143" s="1241">
        <f>IF($D143="Trigger",VLOOKUP($C143,'Upper Cask Welding failures'!$E$46:$H$564,4,FALSE),E143+F142)</f>
        <v>115.16577323797819</v>
      </c>
      <c r="G143" s="1354"/>
      <c r="H143" s="1355" t="str">
        <f>IF(D143="operation",VLOOKUP(G143,'Generic Vertical Port Tasks'!#REF!,2,FALSE),"N/A")</f>
        <v>N/A</v>
      </c>
      <c r="I143" s="1240"/>
      <c r="J143" s="1240"/>
      <c r="K143" s="1240"/>
      <c r="L143" s="1242" t="str">
        <f>IFERROR(INDEX('Upper Cask Movement &amp; Logistics'!$I$24:$O$30,MATCH($J143,'Upper Cask Movement &amp; Logistics'!$H$24:$H$30,0),MATCH($K143,'Upper Cask Movement &amp; Logistics'!$H$24:$H$30,0)),"N/A")</f>
        <v>N/A</v>
      </c>
      <c r="M143" s="1242" t="str">
        <f>IFERROR(VLOOKUP($I143,'Upper Cask Movement &amp; Logistics'!$H$4:$I$8,2,FALSE),"N/A")</f>
        <v>N/A</v>
      </c>
      <c r="N143" s="1356" t="str">
        <f t="shared" si="2"/>
        <v>N/A</v>
      </c>
      <c r="O143" s="1357" t="s">
        <v>1228</v>
      </c>
      <c r="P143" s="1358">
        <f>IF($D143="Logistics",VLOOKUP($O143,'Upper Cask Movement &amp; Logistics'!$C$4:$D$77,2,FALSE),"N/A")</f>
        <v>0.63000000000000012</v>
      </c>
    </row>
    <row r="144" spans="1:16" s="89" customFormat="1" outlineLevel="1" x14ac:dyDescent="0.35">
      <c r="A144" s="1169"/>
      <c r="B144" s="3961"/>
      <c r="C144" s="1243" t="s">
        <v>1366</v>
      </c>
      <c r="D144" s="1243" t="s">
        <v>778</v>
      </c>
      <c r="E144" s="1244">
        <f t="shared" si="3"/>
        <v>0.69444444444444442</v>
      </c>
      <c r="F144" s="1244">
        <f>IF($D144="Trigger",VLOOKUP($C144,'Upper Cask Welding failures'!$E$46:$H$564,4,FALSE),E144+F143)</f>
        <v>115.86021768242263</v>
      </c>
      <c r="G144" s="1309"/>
      <c r="H144" s="1310" t="str">
        <f>IF(D144="operation",VLOOKUP(G144,'Generic Vertical Port Tasks'!#REF!,2,FALSE),"N/A")</f>
        <v>N/A</v>
      </c>
      <c r="I144" s="1243" t="s">
        <v>1789</v>
      </c>
      <c r="J144" s="1243" t="s">
        <v>831</v>
      </c>
      <c r="K144" s="1243" t="s">
        <v>901</v>
      </c>
      <c r="L144" s="1245">
        <f>IFERROR(INDEX('Upper Cask Movement &amp; Logistics'!$I$24:$O$30,MATCH($J144,'Upper Cask Movement &amp; Logistics'!$H$24:$H$30,0),MATCH($K144,'Upper Cask Movement &amp; Logistics'!$H$24:$H$30,0)),"N/A")</f>
        <v>50</v>
      </c>
      <c r="M144" s="1245">
        <f>IFERROR(VLOOKUP($I144,'Upper Cask Movement &amp; Logistics'!$H$4:$I$8,2,FALSE),"N/A")</f>
        <v>0.02</v>
      </c>
      <c r="N144" s="1311">
        <f t="shared" si="2"/>
        <v>0.69444444444444442</v>
      </c>
      <c r="O144" s="1312"/>
      <c r="P144" s="1313" t="str">
        <f>IF($D144="Logistics",VLOOKUP($O144,'Upper Cask Movement &amp; Logistics'!$C$4:$D$77,2,FALSE),"N/A")</f>
        <v>N/A</v>
      </c>
    </row>
    <row r="145" spans="1:16" s="89" customFormat="1" outlineLevel="1" x14ac:dyDescent="0.35">
      <c r="A145" s="1169"/>
      <c r="B145" s="3961"/>
      <c r="C145" s="1243" t="s">
        <v>1391</v>
      </c>
      <c r="D145" s="1243" t="s">
        <v>3</v>
      </c>
      <c r="E145" s="1244">
        <f t="shared" si="3"/>
        <v>1.4000000000000001</v>
      </c>
      <c r="F145" s="1244">
        <f>IF($D145="Trigger",VLOOKUP($C145,'Upper Cask Welding failures'!$E$46:$H$564,4,FALSE),E145+F144)</f>
        <v>117.26021768242263</v>
      </c>
      <c r="G145" s="1309"/>
      <c r="H145" s="1310" t="str">
        <f>IF(D145="operation",VLOOKUP(G145,'Generic Vertical Port Tasks'!#REF!,2,FALSE),"N/A")</f>
        <v>N/A</v>
      </c>
      <c r="I145" s="1243"/>
      <c r="J145" s="1243"/>
      <c r="K145" s="1243"/>
      <c r="L145" s="1245" t="str">
        <f>IFERROR(INDEX('Upper Cask Movement &amp; Logistics'!$I$24:$O$30,MATCH($J145,'Upper Cask Movement &amp; Logistics'!$H$24:$H$30,0),MATCH($K145,'Upper Cask Movement &amp; Logistics'!$H$24:$H$30,0)),"N/A")</f>
        <v>N/A</v>
      </c>
      <c r="M145" s="1245" t="str">
        <f>IFERROR(VLOOKUP($I145,'Upper Cask Movement &amp; Logistics'!$H$4:$I$8,2,FALSE),"N/A")</f>
        <v>N/A</v>
      </c>
      <c r="N145" s="1311" t="str">
        <f t="shared" si="2"/>
        <v>N/A</v>
      </c>
      <c r="O145" s="1312" t="s">
        <v>1277</v>
      </c>
      <c r="P145" s="1313">
        <f>IF($D145="Logistics",VLOOKUP($O145,'Upper Cask Movement &amp; Logistics'!$C$4:$D$77,2,FALSE),"N/A")</f>
        <v>1.4000000000000001</v>
      </c>
    </row>
    <row r="146" spans="1:16" s="89" customFormat="1" ht="13.3" outlineLevel="1" thickBot="1" x14ac:dyDescent="0.4">
      <c r="A146" s="1169"/>
      <c r="B146" s="3963"/>
      <c r="C146" s="1314" t="str">
        <f>B140</f>
        <v>ROB Blanket Segment Collected; Hardware Cask 6 docked</v>
      </c>
      <c r="D146" s="1314" t="s">
        <v>11</v>
      </c>
      <c r="E146" s="1316">
        <f t="shared" si="3"/>
        <v>0</v>
      </c>
      <c r="F146" s="1316">
        <f>IF($D146="Trigger",VLOOKUP($C146,'Upper Cask Welding failures'!$E$46:$H$564,4,FALSE),E146+F145)</f>
        <v>117.26021768242263</v>
      </c>
      <c r="G146" s="1317"/>
      <c r="H146" s="1318" t="str">
        <f>IF(D146="operation",VLOOKUP(G146,'Generic Vertical Port Tasks'!#REF!,2,FALSE),"N/A")</f>
        <v>N/A</v>
      </c>
      <c r="I146" s="1314"/>
      <c r="J146" s="1314"/>
      <c r="K146" s="1314"/>
      <c r="L146" s="1319" t="str">
        <f>IFERROR(INDEX('Upper Cask Movement &amp; Logistics'!$I$24:$O$30,MATCH($J146,'Upper Cask Movement &amp; Logistics'!$H$24:$H$30,0),MATCH($K146,'Upper Cask Movement &amp; Logistics'!$H$24:$H$30,0)),"N/A")</f>
        <v>N/A</v>
      </c>
      <c r="M146" s="1319" t="str">
        <f>IFERROR(VLOOKUP($I146,'Upper Cask Movement &amp; Logistics'!$H$4:$I$8,2,FALSE),"N/A")</f>
        <v>N/A</v>
      </c>
      <c r="N146" s="1320" t="str">
        <f t="shared" si="2"/>
        <v>N/A</v>
      </c>
      <c r="O146" s="1321"/>
      <c r="P146" s="1322" t="str">
        <f>IF($D146="Logistics",VLOOKUP($O146,'Upper Cask Movement &amp; Logistics'!$C$4:$D$77,2,FALSE),"N/A")</f>
        <v>N/A</v>
      </c>
    </row>
    <row r="147" spans="1:16" s="89" customFormat="1" outlineLevel="1" x14ac:dyDescent="0.35">
      <c r="A147" s="1169"/>
      <c r="B147" s="3964" t="s">
        <v>1286</v>
      </c>
      <c r="C147" s="1324" t="s">
        <v>1285</v>
      </c>
      <c r="D147" s="1324" t="s">
        <v>907</v>
      </c>
      <c r="E147" s="1291">
        <f t="shared" si="3"/>
        <v>0</v>
      </c>
      <c r="F147" s="1291">
        <f>IF($D147="Trigger",VLOOKUP($C147,'Upper Cask Welding failures'!$E$46:$H$564,4,FALSE),E147+F146)</f>
        <v>122.19021768242263</v>
      </c>
      <c r="G147" s="825"/>
      <c r="H147" s="1323" t="str">
        <f>IF(D147="operation",VLOOKUP(G147,'Generic Vertical Port Tasks'!#REF!,2,FALSE),"N/A")</f>
        <v>N/A</v>
      </c>
      <c r="I147" s="1324"/>
      <c r="J147" s="1324"/>
      <c r="K147" s="1324"/>
      <c r="L147" s="1325" t="str">
        <f>IFERROR(INDEX('Upper Cask Movement &amp; Logistics'!$I$24:$O$30,MATCH($J147,'Upper Cask Movement &amp; Logistics'!$H$24:$H$30,0),MATCH($K147,'Upper Cask Movement &amp; Logistics'!$H$24:$H$30,0)),"N/A")</f>
        <v>N/A</v>
      </c>
      <c r="M147" s="1325" t="str">
        <f>IFERROR(VLOOKUP($I147,'Upper Cask Movement &amp; Logistics'!$H$4:$I$8,2,FALSE),"N/A")</f>
        <v>N/A</v>
      </c>
      <c r="N147" s="1326" t="str">
        <f t="shared" si="2"/>
        <v>N/A</v>
      </c>
      <c r="O147" s="1327"/>
      <c r="P147" s="824" t="str">
        <f>IF($D147="Logistics",VLOOKUP($O147,'Upper Cask Movement &amp; Logistics'!$C$4:$D$77,2,FALSE),"N/A")</f>
        <v>N/A</v>
      </c>
    </row>
    <row r="148" spans="1:16" s="89" customFormat="1" outlineLevel="1" x14ac:dyDescent="0.35">
      <c r="A148" s="1169"/>
      <c r="B148" s="3969"/>
      <c r="C148" s="1362" t="s">
        <v>1395</v>
      </c>
      <c r="D148" s="1362" t="s">
        <v>3</v>
      </c>
      <c r="E148" s="1363">
        <f t="shared" si="3"/>
        <v>2.3000000000000003</v>
      </c>
      <c r="F148" s="1363">
        <f>IF($D148="Trigger",VLOOKUP($C148,'Upper Cask Welding failures'!$E$46:$H$564,4,FALSE),E148+F147)</f>
        <v>124.49021768242262</v>
      </c>
      <c r="G148" s="1364"/>
      <c r="H148" s="1365" t="str">
        <f>IF(D148="operation",VLOOKUP(G148,'Generic Vertical Port Tasks'!#REF!,2,FALSE),"N/A")</f>
        <v>N/A</v>
      </c>
      <c r="I148" s="1362"/>
      <c r="J148" s="1362"/>
      <c r="K148" s="1362"/>
      <c r="L148" s="1366" t="str">
        <f>IFERROR(INDEX('Upper Cask Movement &amp; Logistics'!$I$24:$O$30,MATCH($J148,'Upper Cask Movement &amp; Logistics'!$H$24:$H$30,0),MATCH($K148,'Upper Cask Movement &amp; Logistics'!$H$24:$H$30,0)),"N/A")</f>
        <v>N/A</v>
      </c>
      <c r="M148" s="1366" t="str">
        <f>IFERROR(VLOOKUP($I148,'Upper Cask Movement &amp; Logistics'!$H$4:$I$8,2,FALSE),"N/A")</f>
        <v>N/A</v>
      </c>
      <c r="N148" s="1367" t="str">
        <f t="shared" si="2"/>
        <v>N/A</v>
      </c>
      <c r="O148" s="1368" t="s">
        <v>1269</v>
      </c>
      <c r="P148" s="861">
        <f>IF($D148="Logistics",VLOOKUP($O148,'Upper Cask Movement &amp; Logistics'!$C$4:$D$77,2,FALSE),"N/A")</f>
        <v>2.3000000000000003</v>
      </c>
    </row>
    <row r="149" spans="1:16" s="89" customFormat="1" outlineLevel="1" x14ac:dyDescent="0.35">
      <c r="A149" s="1169"/>
      <c r="B149" s="3969"/>
      <c r="C149" s="1362" t="s">
        <v>1402</v>
      </c>
      <c r="D149" s="1362" t="s">
        <v>778</v>
      </c>
      <c r="E149" s="1363">
        <f t="shared" si="3"/>
        <v>0.11574074074074074</v>
      </c>
      <c r="F149" s="1363">
        <f>IF($D149="Trigger",VLOOKUP($C149,'Upper Cask Welding failures'!$E$46:$H$564,4,FALSE),E149+F148)</f>
        <v>124.60595842316337</v>
      </c>
      <c r="G149" s="1364"/>
      <c r="H149" s="1365" t="str">
        <f>IF(D149="operation",VLOOKUP(G149,'Generic Vertical Port Tasks'!#REF!,2,FALSE),"N/A")</f>
        <v>N/A</v>
      </c>
      <c r="I149" s="1362" t="s">
        <v>2501</v>
      </c>
      <c r="J149" s="1362" t="s">
        <v>901</v>
      </c>
      <c r="K149" s="1362" t="s">
        <v>858</v>
      </c>
      <c r="L149" s="1366">
        <f>IFERROR(INDEX('Upper Cask Movement &amp; Logistics'!$I$24:$O$30,MATCH($J149,'Upper Cask Movement &amp; Logistics'!$H$24:$H$30,0),MATCH($K149,'Upper Cask Movement &amp; Logistics'!$H$24:$H$30,0)),"N/A")</f>
        <v>25</v>
      </c>
      <c r="M149" s="1366">
        <f>IFERROR(VLOOKUP($I149,'Upper Cask Movement &amp; Logistics'!$H$4:$I$8,2,FALSE),"N/A")</f>
        <v>0.06</v>
      </c>
      <c r="N149" s="1367">
        <f t="shared" si="2"/>
        <v>0.11574074074074074</v>
      </c>
      <c r="O149" s="1368"/>
      <c r="P149" s="861" t="str">
        <f>IF($D149="Logistics",VLOOKUP($O149,'Upper Cask Movement &amp; Logistics'!$C$4:$D$77,2,FALSE),"N/A")</f>
        <v>N/A</v>
      </c>
    </row>
    <row r="150" spans="1:16" s="89" customFormat="1" outlineLevel="1" x14ac:dyDescent="0.35">
      <c r="A150" s="1169"/>
      <c r="B150" s="3969"/>
      <c r="C150" s="1362" t="s">
        <v>1409</v>
      </c>
      <c r="D150" s="1362" t="s">
        <v>3</v>
      </c>
      <c r="E150" s="1363">
        <f t="shared" si="3"/>
        <v>0.63000000000000012</v>
      </c>
      <c r="F150" s="1363">
        <f>IF($D150="Trigger",VLOOKUP($C150,'Upper Cask Welding failures'!$E$46:$H$564,4,FALSE),E150+F149)</f>
        <v>125.23595842316337</v>
      </c>
      <c r="G150" s="1364"/>
      <c r="H150" s="1365" t="str">
        <f>IF(D150="operation",VLOOKUP(G150,'Generic Vertical Port Tasks'!#REF!,2,FALSE),"N/A")</f>
        <v>N/A</v>
      </c>
      <c r="I150" s="1362"/>
      <c r="J150" s="1362"/>
      <c r="K150" s="1362"/>
      <c r="L150" s="1366" t="str">
        <f>IFERROR(INDEX('Upper Cask Movement &amp; Logistics'!$I$24:$O$30,MATCH($J150,'Upper Cask Movement &amp; Logistics'!$H$24:$H$30,0),MATCH($K150,'Upper Cask Movement &amp; Logistics'!$H$24:$H$30,0)),"N/A")</f>
        <v>N/A</v>
      </c>
      <c r="M150" s="1366" t="str">
        <f>IFERROR(VLOOKUP($I150,'Upper Cask Movement &amp; Logistics'!$H$4:$I$8,2,FALSE),"N/A")</f>
        <v>N/A</v>
      </c>
      <c r="N150" s="1367" t="str">
        <f t="shared" si="2"/>
        <v>N/A</v>
      </c>
      <c r="O150" s="1368" t="s">
        <v>1228</v>
      </c>
      <c r="P150" s="861">
        <f>IF($D150="Logistics",VLOOKUP($O150,'Upper Cask Movement &amp; Logistics'!$C$4:$D$77,2,FALSE),"N/A")</f>
        <v>0.63000000000000012</v>
      </c>
    </row>
    <row r="151" spans="1:16" s="89" customFormat="1" outlineLevel="1" x14ac:dyDescent="0.35">
      <c r="A151" s="1169"/>
      <c r="B151" s="3965"/>
      <c r="C151" s="1294" t="s">
        <v>1340</v>
      </c>
      <c r="D151" s="1294" t="s">
        <v>778</v>
      </c>
      <c r="E151" s="1292">
        <f t="shared" si="3"/>
        <v>0.69444444444444442</v>
      </c>
      <c r="F151" s="1292">
        <f>IF($D151="Trigger",VLOOKUP($C151,'Upper Cask Welding failures'!$E$46:$H$564,4,FALSE),E151+F150)</f>
        <v>125.93040286760781</v>
      </c>
      <c r="G151" s="862"/>
      <c r="H151" s="1328" t="str">
        <f>IF(D151="operation",VLOOKUP(G151,'Generic Vertical Port Tasks'!#REF!,2,FALSE),"N/A")</f>
        <v>N/A</v>
      </c>
      <c r="I151" s="1294" t="s">
        <v>1789</v>
      </c>
      <c r="J151" s="1294" t="s">
        <v>831</v>
      </c>
      <c r="K151" s="1294" t="s">
        <v>901</v>
      </c>
      <c r="L151" s="1329">
        <f>IFERROR(INDEX('Upper Cask Movement &amp; Logistics'!$I$24:$O$30,MATCH($J151,'Upper Cask Movement &amp; Logistics'!$H$24:$H$30,0),MATCH($K151,'Upper Cask Movement &amp; Logistics'!$H$24:$H$30,0)),"N/A")</f>
        <v>50</v>
      </c>
      <c r="M151" s="1329">
        <f>IFERROR(VLOOKUP($I151,'Upper Cask Movement &amp; Logistics'!$H$4:$I$8,2,FALSE),"N/A")</f>
        <v>0.02</v>
      </c>
      <c r="N151" s="1330">
        <f t="shared" si="2"/>
        <v>0.69444444444444442</v>
      </c>
      <c r="O151" s="1331"/>
      <c r="P151" s="1332" t="str">
        <f>IF($D151="Logistics",VLOOKUP($O151,'Upper Cask Movement &amp; Logistics'!$C$4:$D$77,2,FALSE),"N/A")</f>
        <v>N/A</v>
      </c>
    </row>
    <row r="152" spans="1:16" s="89" customFormat="1" outlineLevel="1" x14ac:dyDescent="0.35">
      <c r="A152" s="1169"/>
      <c r="B152" s="3965"/>
      <c r="C152" s="1294" t="s">
        <v>1391</v>
      </c>
      <c r="D152" s="1294" t="s">
        <v>3</v>
      </c>
      <c r="E152" s="1292">
        <f t="shared" si="3"/>
        <v>1.4000000000000001</v>
      </c>
      <c r="F152" s="1292">
        <f>IF($D152="Trigger",VLOOKUP($C152,'Upper Cask Welding failures'!$E$46:$H$564,4,FALSE),E152+F151)</f>
        <v>127.33040286760782</v>
      </c>
      <c r="G152" s="862"/>
      <c r="H152" s="1328" t="str">
        <f>IF(D152="operation",VLOOKUP(G152,'Generic Vertical Port Tasks'!#REF!,2,FALSE),"N/A")</f>
        <v>N/A</v>
      </c>
      <c r="I152" s="1294"/>
      <c r="J152" s="1294"/>
      <c r="K152" s="1294"/>
      <c r="L152" s="1329" t="str">
        <f>IFERROR(INDEX('Upper Cask Movement &amp; Logistics'!$I$24:$O$30,MATCH($J152,'Upper Cask Movement &amp; Logistics'!$H$24:$H$30,0),MATCH($K152,'Upper Cask Movement &amp; Logistics'!$H$24:$H$30,0)),"N/A")</f>
        <v>N/A</v>
      </c>
      <c r="M152" s="1329" t="str">
        <f>IFERROR(VLOOKUP($I152,'Upper Cask Movement &amp; Logistics'!$H$4:$I$8,2,FALSE),"N/A")</f>
        <v>N/A</v>
      </c>
      <c r="N152" s="1330" t="str">
        <f t="shared" si="2"/>
        <v>N/A</v>
      </c>
      <c r="O152" s="1331" t="s">
        <v>1277</v>
      </c>
      <c r="P152" s="1332">
        <f>IF($D152="Logistics",VLOOKUP($O152,'Upper Cask Movement &amp; Logistics'!$C$4:$D$77,2,FALSE),"N/A")</f>
        <v>1.4000000000000001</v>
      </c>
    </row>
    <row r="153" spans="1:16" s="89" customFormat="1" ht="13.3" outlineLevel="1" thickBot="1" x14ac:dyDescent="0.4">
      <c r="A153" s="1169"/>
      <c r="B153" s="3966"/>
      <c r="C153" s="1340" t="str">
        <f>B147</f>
        <v>LOB Blanket Segment Collected; Hardware Cask 5 docked</v>
      </c>
      <c r="D153" s="1340" t="s">
        <v>11</v>
      </c>
      <c r="E153" s="1295">
        <f t="shared" si="3"/>
        <v>0</v>
      </c>
      <c r="F153" s="1295">
        <f>IF($D153="Trigger",VLOOKUP($C153,'Upper Cask Welding failures'!$E$46:$H$564,4,FALSE),E153+F152)</f>
        <v>127.33040286760782</v>
      </c>
      <c r="G153" s="839"/>
      <c r="H153" s="1341" t="str">
        <f>IF(D153="operation",VLOOKUP(G153,'Generic Vertical Port Tasks'!#REF!,2,FALSE),"N/A")</f>
        <v>N/A</v>
      </c>
      <c r="I153" s="1340"/>
      <c r="J153" s="1340"/>
      <c r="K153" s="1340"/>
      <c r="L153" s="1342" t="str">
        <f>IFERROR(INDEX('Upper Cask Movement &amp; Logistics'!$I$24:$O$30,MATCH($J153,'Upper Cask Movement &amp; Logistics'!$H$24:$H$30,0),MATCH($K153,'Upper Cask Movement &amp; Logistics'!$H$24:$H$30,0)),"N/A")</f>
        <v>N/A</v>
      </c>
      <c r="M153" s="1342" t="str">
        <f>IFERROR(VLOOKUP($I153,'Upper Cask Movement &amp; Logistics'!$H$4:$I$8,2,FALSE),"N/A")</f>
        <v>N/A</v>
      </c>
      <c r="N153" s="1343" t="str">
        <f t="shared" si="2"/>
        <v>N/A</v>
      </c>
      <c r="O153" s="1344"/>
      <c r="P153" s="1345" t="str">
        <f>IF($D153="Logistics",VLOOKUP($O153,'Upper Cask Movement &amp; Logistics'!$C$4:$D$77,2,FALSE),"N/A")</f>
        <v>N/A</v>
      </c>
    </row>
    <row r="154" spans="1:16" s="89" customFormat="1" outlineLevel="1" x14ac:dyDescent="0.35">
      <c r="A154" s="1169"/>
      <c r="B154" s="3960" t="s">
        <v>1288</v>
      </c>
      <c r="C154" s="1333" t="s">
        <v>1287</v>
      </c>
      <c r="D154" s="1333" t="s">
        <v>907</v>
      </c>
      <c r="E154" s="1303">
        <f t="shared" si="3"/>
        <v>0</v>
      </c>
      <c r="F154" s="1303">
        <f>IF($D154="Trigger",VLOOKUP($C154,'Upper Cask Welding failures'!$E$46:$H$564,4,FALSE),E154+F153)</f>
        <v>132.26040286760781</v>
      </c>
      <c r="G154" s="1304"/>
      <c r="H154" s="1305" t="str">
        <f>IF(D154="operation",VLOOKUP(G154,'Generic Vertical Port Tasks'!#REF!,2,FALSE),"N/A")</f>
        <v>N/A</v>
      </c>
      <c r="I154" s="1333"/>
      <c r="J154" s="1333"/>
      <c r="K154" s="1333"/>
      <c r="L154" s="1334" t="str">
        <f>IFERROR(INDEX('Upper Cask Movement &amp; Logistics'!$I$24:$O$30,MATCH($J154,'Upper Cask Movement &amp; Logistics'!$H$24:$H$30,0),MATCH($K154,'Upper Cask Movement &amp; Logistics'!$H$24:$H$30,0)),"N/A")</f>
        <v>N/A</v>
      </c>
      <c r="M154" s="1334" t="str">
        <f>IFERROR(VLOOKUP($I154,'Upper Cask Movement &amp; Logistics'!$H$4:$I$8,2,FALSE),"N/A")</f>
        <v>N/A</v>
      </c>
      <c r="N154" s="1335" t="str">
        <f t="shared" si="2"/>
        <v>N/A</v>
      </c>
      <c r="O154" s="1336"/>
      <c r="P154" s="1337" t="str">
        <f>IF($D154="Logistics",VLOOKUP($O154,'Upper Cask Movement &amp; Logistics'!$C$4:$D$77,2,FALSE),"N/A")</f>
        <v>N/A</v>
      </c>
    </row>
    <row r="155" spans="1:16" s="89" customFormat="1" outlineLevel="1" x14ac:dyDescent="0.35">
      <c r="A155" s="1169"/>
      <c r="B155" s="3968"/>
      <c r="C155" s="1240" t="s">
        <v>1268</v>
      </c>
      <c r="D155" s="1240" t="s">
        <v>3</v>
      </c>
      <c r="E155" s="1241">
        <f t="shared" si="3"/>
        <v>2.3000000000000003</v>
      </c>
      <c r="F155" s="1241">
        <f>IF($D155="Trigger",VLOOKUP($C155,'Upper Cask Welding failures'!$E$46:$H$564,4,FALSE),E155+F154)</f>
        <v>134.56040286760782</v>
      </c>
      <c r="G155" s="1354"/>
      <c r="H155" s="1355" t="str">
        <f>IF(D155="operation",VLOOKUP(G155,'Generic Vertical Port Tasks'!#REF!,2,FALSE),"N/A")</f>
        <v>N/A</v>
      </c>
      <c r="I155" s="1240"/>
      <c r="J155" s="1240"/>
      <c r="K155" s="1240"/>
      <c r="L155" s="1242" t="str">
        <f>IFERROR(INDEX('Upper Cask Movement &amp; Logistics'!$I$24:$O$30,MATCH($J155,'Upper Cask Movement &amp; Logistics'!$H$24:$H$30,0),MATCH($K155,'Upper Cask Movement &amp; Logistics'!$H$24:$H$30,0)),"N/A")</f>
        <v>N/A</v>
      </c>
      <c r="M155" s="1242" t="str">
        <f>IFERROR(VLOOKUP($I155,'Upper Cask Movement &amp; Logistics'!$H$4:$I$8,2,FALSE),"N/A")</f>
        <v>N/A</v>
      </c>
      <c r="N155" s="1356" t="str">
        <f t="shared" si="2"/>
        <v>N/A</v>
      </c>
      <c r="O155" s="1357" t="s">
        <v>1269</v>
      </c>
      <c r="P155" s="1358">
        <f>IF($D155="Logistics",VLOOKUP($O155,'Upper Cask Movement &amp; Logistics'!$C$4:$D$77,2,FALSE),"N/A")</f>
        <v>2.3000000000000003</v>
      </c>
    </row>
    <row r="156" spans="1:16" s="89" customFormat="1" outlineLevel="1" x14ac:dyDescent="0.35">
      <c r="A156" s="1169"/>
      <c r="B156" s="3968"/>
      <c r="C156" s="1240" t="s">
        <v>1410</v>
      </c>
      <c r="D156" s="1240" t="s">
        <v>778</v>
      </c>
      <c r="E156" s="1241">
        <f t="shared" si="3"/>
        <v>0.11574074074074074</v>
      </c>
      <c r="F156" s="1241">
        <f>IF($D156="Trigger",VLOOKUP($C156,'Upper Cask Welding failures'!$E$46:$H$564,4,FALSE),E156+F155)</f>
        <v>134.67614360834855</v>
      </c>
      <c r="G156" s="1354"/>
      <c r="H156" s="1355" t="str">
        <f>IF(D156="operation",VLOOKUP(G156,'Generic Vertical Port Tasks'!#REF!,2,FALSE),"N/A")</f>
        <v>N/A</v>
      </c>
      <c r="I156" s="1240" t="s">
        <v>2501</v>
      </c>
      <c r="J156" s="1240" t="s">
        <v>901</v>
      </c>
      <c r="K156" s="1240" t="s">
        <v>858</v>
      </c>
      <c r="L156" s="1242">
        <f>IFERROR(INDEX('Upper Cask Movement &amp; Logistics'!$I$24:$O$30,MATCH($J156,'Upper Cask Movement &amp; Logistics'!$H$24:$H$30,0),MATCH($K156,'Upper Cask Movement &amp; Logistics'!$H$24:$H$30,0)),"N/A")</f>
        <v>25</v>
      </c>
      <c r="M156" s="1242">
        <f>IFERROR(VLOOKUP($I156,'Upper Cask Movement &amp; Logistics'!$H$4:$I$8,2,FALSE),"N/A")</f>
        <v>0.06</v>
      </c>
      <c r="N156" s="1356">
        <f t="shared" si="2"/>
        <v>0.11574074074074074</v>
      </c>
      <c r="O156" s="1357"/>
      <c r="P156" s="1358" t="str">
        <f>IF($D156="Logistics",VLOOKUP($O156,'Upper Cask Movement &amp; Logistics'!$C$4:$D$77,2,FALSE),"N/A")</f>
        <v>N/A</v>
      </c>
    </row>
    <row r="157" spans="1:16" s="89" customFormat="1" outlineLevel="1" x14ac:dyDescent="0.35">
      <c r="A157" s="1169"/>
      <c r="B157" s="3968"/>
      <c r="C157" s="1240" t="s">
        <v>1411</v>
      </c>
      <c r="D157" s="1240" t="s">
        <v>3</v>
      </c>
      <c r="E157" s="1241">
        <f t="shared" si="3"/>
        <v>0.63000000000000012</v>
      </c>
      <c r="F157" s="1241">
        <f>IF($D157="Trigger",VLOOKUP($C157,'Upper Cask Welding failures'!$E$46:$H$564,4,FALSE),E157+F156)</f>
        <v>135.30614360834855</v>
      </c>
      <c r="G157" s="1354"/>
      <c r="H157" s="1355" t="str">
        <f>IF(D157="operation",VLOOKUP(G157,'Generic Vertical Port Tasks'!#REF!,2,FALSE),"N/A")</f>
        <v>N/A</v>
      </c>
      <c r="I157" s="1240"/>
      <c r="J157" s="1240"/>
      <c r="K157" s="1240"/>
      <c r="L157" s="1242" t="str">
        <f>IFERROR(INDEX('Upper Cask Movement &amp; Logistics'!$I$24:$O$30,MATCH($J157,'Upper Cask Movement &amp; Logistics'!$H$24:$H$30,0),MATCH($K157,'Upper Cask Movement &amp; Logistics'!$H$24:$H$30,0)),"N/A")</f>
        <v>N/A</v>
      </c>
      <c r="M157" s="1242" t="str">
        <f>IFERROR(VLOOKUP($I157,'Upper Cask Movement &amp; Logistics'!$H$4:$I$8,2,FALSE),"N/A")</f>
        <v>N/A</v>
      </c>
      <c r="N157" s="1356" t="str">
        <f t="shared" si="2"/>
        <v>N/A</v>
      </c>
      <c r="O157" s="1357" t="s">
        <v>1228</v>
      </c>
      <c r="P157" s="1358">
        <f>IF($D157="Logistics",VLOOKUP($O157,'Upper Cask Movement &amp; Logistics'!$C$4:$D$77,2,FALSE),"N/A")</f>
        <v>0.63000000000000012</v>
      </c>
    </row>
    <row r="158" spans="1:16" s="89" customFormat="1" outlineLevel="1" x14ac:dyDescent="0.35">
      <c r="A158" s="1169"/>
      <c r="B158" s="3961"/>
      <c r="C158" s="1243" t="s">
        <v>1366</v>
      </c>
      <c r="D158" s="1243" t="s">
        <v>778</v>
      </c>
      <c r="E158" s="1244">
        <f t="shared" si="3"/>
        <v>0.69444444444444442</v>
      </c>
      <c r="F158" s="1244">
        <f>IF($D158="Trigger",VLOOKUP($C158,'Upper Cask Welding failures'!$E$46:$H$564,4,FALSE),E158+F157)</f>
        <v>136.00058805279301</v>
      </c>
      <c r="G158" s="1309"/>
      <c r="H158" s="1310" t="str">
        <f>IF(D158="operation",VLOOKUP(G158,'Generic Vertical Port Tasks'!#REF!,2,FALSE),"N/A")</f>
        <v>N/A</v>
      </c>
      <c r="I158" s="1243" t="s">
        <v>1789</v>
      </c>
      <c r="J158" s="1243" t="s">
        <v>831</v>
      </c>
      <c r="K158" s="1243" t="s">
        <v>901</v>
      </c>
      <c r="L158" s="1245">
        <f>IFERROR(INDEX('Upper Cask Movement &amp; Logistics'!$I$24:$O$30,MATCH($J158,'Upper Cask Movement &amp; Logistics'!$H$24:$H$30,0),MATCH($K158,'Upper Cask Movement &amp; Logistics'!$H$24:$H$30,0)),"N/A")</f>
        <v>50</v>
      </c>
      <c r="M158" s="1245">
        <f>IFERROR(VLOOKUP($I158,'Upper Cask Movement &amp; Logistics'!$H$4:$I$8,2,FALSE),"N/A")</f>
        <v>0.02</v>
      </c>
      <c r="N158" s="1311">
        <f t="shared" si="2"/>
        <v>0.69444444444444442</v>
      </c>
      <c r="O158" s="1312"/>
      <c r="P158" s="1313" t="str">
        <f>IF($D158="Logistics",VLOOKUP($O158,'Upper Cask Movement &amp; Logistics'!$C$4:$D$77,2,FALSE),"N/A")</f>
        <v>N/A</v>
      </c>
    </row>
    <row r="159" spans="1:16" s="89" customFormat="1" outlineLevel="1" x14ac:dyDescent="0.35">
      <c r="A159" s="1169"/>
      <c r="B159" s="3961"/>
      <c r="C159" s="1243" t="s">
        <v>1391</v>
      </c>
      <c r="D159" s="1243" t="s">
        <v>3</v>
      </c>
      <c r="E159" s="1244">
        <f t="shared" si="3"/>
        <v>1.4000000000000001</v>
      </c>
      <c r="F159" s="1244">
        <f>IF($D159="Trigger",VLOOKUP($C159,'Upper Cask Welding failures'!$E$46:$H$564,4,FALSE),E159+F158)</f>
        <v>137.40058805279301</v>
      </c>
      <c r="G159" s="1309"/>
      <c r="H159" s="1310" t="str">
        <f>IF(D159="operation",VLOOKUP(G159,'Generic Vertical Port Tasks'!#REF!,2,FALSE),"N/A")</f>
        <v>N/A</v>
      </c>
      <c r="I159" s="1243"/>
      <c r="J159" s="1243"/>
      <c r="K159" s="1243"/>
      <c r="L159" s="1245" t="str">
        <f>IFERROR(INDEX('Upper Cask Movement &amp; Logistics'!$I$24:$O$30,MATCH($J159,'Upper Cask Movement &amp; Logistics'!$H$24:$H$30,0),MATCH($K159,'Upper Cask Movement &amp; Logistics'!$H$24:$H$30,0)),"N/A")</f>
        <v>N/A</v>
      </c>
      <c r="M159" s="1245" t="str">
        <f>IFERROR(VLOOKUP($I159,'Upper Cask Movement &amp; Logistics'!$H$4:$I$8,2,FALSE),"N/A")</f>
        <v>N/A</v>
      </c>
      <c r="N159" s="1311" t="str">
        <f t="shared" si="2"/>
        <v>N/A</v>
      </c>
      <c r="O159" s="1312" t="s">
        <v>1277</v>
      </c>
      <c r="P159" s="1313">
        <f>IF($D159="Logistics",VLOOKUP($O159,'Upper Cask Movement &amp; Logistics'!$C$4:$D$77,2,FALSE),"N/A")</f>
        <v>1.4000000000000001</v>
      </c>
    </row>
    <row r="160" spans="1:16" s="89" customFormat="1" ht="13.3" outlineLevel="1" thickBot="1" x14ac:dyDescent="0.4">
      <c r="A160" s="1169"/>
      <c r="B160" s="3963"/>
      <c r="C160" s="1378" t="str">
        <f>B154</f>
        <v>COB Blanket Segment Collected; Hardware Cask 6 docked</v>
      </c>
      <c r="D160" s="1314" t="s">
        <v>11</v>
      </c>
      <c r="E160" s="1316">
        <f t="shared" si="3"/>
        <v>0</v>
      </c>
      <c r="F160" s="1316">
        <f>IF($D160="Trigger",VLOOKUP($C160,'Upper Cask Welding failures'!$E$46:$H$564,4,FALSE),E160+F159)</f>
        <v>137.40058805279301</v>
      </c>
      <c r="G160" s="1317"/>
      <c r="H160" s="1318" t="str">
        <f>IF(D160="operation",VLOOKUP(G160,'Generic Vertical Port Tasks'!#REF!,2,FALSE),"N/A")</f>
        <v>N/A</v>
      </c>
      <c r="I160" s="1314"/>
      <c r="J160" s="1314"/>
      <c r="K160" s="1314"/>
      <c r="L160" s="1319" t="str">
        <f>IFERROR(INDEX('Upper Cask Movement &amp; Logistics'!$I$24:$O$30,MATCH($J160,'Upper Cask Movement &amp; Logistics'!$H$24:$H$30,0),MATCH($K160,'Upper Cask Movement &amp; Logistics'!$H$24:$H$30,0)),"N/A")</f>
        <v>N/A</v>
      </c>
      <c r="M160" s="1319" t="str">
        <f>IFERROR(VLOOKUP($I160,'Upper Cask Movement &amp; Logistics'!$H$4:$I$8,2,FALSE),"N/A")</f>
        <v>N/A</v>
      </c>
      <c r="N160" s="1320" t="str">
        <f t="shared" si="2"/>
        <v>N/A</v>
      </c>
      <c r="O160" s="1321"/>
      <c r="P160" s="1322" t="str">
        <f>IF($D160="Logistics",VLOOKUP($O160,'Upper Cask Movement &amp; Logistics'!$C$4:$D$77,2,FALSE),"N/A")</f>
        <v>N/A</v>
      </c>
    </row>
    <row r="161" spans="1:16" s="89" customFormat="1" outlineLevel="1" x14ac:dyDescent="0.35">
      <c r="A161" s="1169"/>
      <c r="B161" s="3814" t="s">
        <v>1295</v>
      </c>
      <c r="C161" s="1324" t="str">
        <f>'Upper Cask Welding failures'!E124</f>
        <v>Install COB Blanket Segment</v>
      </c>
      <c r="D161" s="1324" t="s">
        <v>907</v>
      </c>
      <c r="E161" s="1291">
        <f t="shared" si="3"/>
        <v>0</v>
      </c>
      <c r="F161" s="1291">
        <f>IF($D161="Trigger",VLOOKUP($C161,'Upper Cask Welding failures'!$E$46:$H$564,4,FALSE),E161+F160)</f>
        <v>141.73058805279302</v>
      </c>
      <c r="G161" s="825"/>
      <c r="H161" s="1323" t="str">
        <f>IF(D161="operation",VLOOKUP(G161,'Generic Vertical Port Tasks'!C190:D208,2,FALSE),"N/A")</f>
        <v>N/A</v>
      </c>
      <c r="I161" s="1324"/>
      <c r="J161" s="1324"/>
      <c r="K161" s="1324"/>
      <c r="L161" s="1325" t="str">
        <f>IFERROR(INDEX('Upper Cask Movement &amp; Logistics'!$I$24:$O$30,MATCH($J161,'Upper Cask Movement &amp; Logistics'!$H$24:$H$30,0),MATCH($K161,'Upper Cask Movement &amp; Logistics'!$H$24:$H$30,0)),"N/A")</f>
        <v>N/A</v>
      </c>
      <c r="M161" s="1325" t="str">
        <f>IFERROR(VLOOKUP($I161,'Upper Cask Movement &amp; Logistics'!$H$4:$I$8,2,FALSE),"N/A")</f>
        <v>N/A</v>
      </c>
      <c r="N161" s="1326" t="str">
        <f t="shared" si="2"/>
        <v>N/A</v>
      </c>
      <c r="O161" s="1327"/>
      <c r="P161" s="824" t="str">
        <f>IF($D161="Logistics",VLOOKUP($O161,'Upper Cask Movement &amp; Logistics'!$C$4:$D$77,2,FALSE),"N/A")</f>
        <v>N/A</v>
      </c>
    </row>
    <row r="162" spans="1:16" s="89" customFormat="1" outlineLevel="1" x14ac:dyDescent="0.35">
      <c r="A162" s="1169"/>
      <c r="B162" s="3815"/>
      <c r="C162" s="1294" t="s">
        <v>1345</v>
      </c>
      <c r="D162" s="1294" t="s">
        <v>778</v>
      </c>
      <c r="E162" s="1292">
        <f t="shared" si="3"/>
        <v>0.23148148148148148</v>
      </c>
      <c r="F162" s="1292">
        <f>IF($D162="Trigger",VLOOKUP($C162,'Upper Cask Welding failures'!$E$46:$H$564,4,FALSE),E162+F161)</f>
        <v>141.96206953427452</v>
      </c>
      <c r="G162" s="862"/>
      <c r="H162" s="1328" t="str">
        <f>IF(D162="operation",VLOOKUP(G162,'Generic Vertical Port Tasks'!C190:D208,2,FALSE),"N/A")</f>
        <v>N/A</v>
      </c>
      <c r="I162" s="1294" t="s">
        <v>2501</v>
      </c>
      <c r="J162" s="1294" t="s">
        <v>816</v>
      </c>
      <c r="K162" s="1294" t="s">
        <v>914</v>
      </c>
      <c r="L162" s="1329">
        <f>IFERROR(INDEX('Upper Cask Movement &amp; Logistics'!$I$24:$O$30,MATCH($J162,'Upper Cask Movement &amp; Logistics'!$H$24:$H$30,0),MATCH($K162,'Upper Cask Movement &amp; Logistics'!$H$24:$H$30,0)),"N/A")</f>
        <v>50</v>
      </c>
      <c r="M162" s="1329">
        <f>IFERROR(VLOOKUP($I162,'Upper Cask Movement &amp; Logistics'!$H$4:$I$8,2,FALSE),"N/A")</f>
        <v>0.06</v>
      </c>
      <c r="N162" s="1330">
        <f t="shared" si="2"/>
        <v>0.23148148148148148</v>
      </c>
      <c r="O162" s="1331"/>
      <c r="P162" s="1332" t="str">
        <f>IF($D162="Logistics",VLOOKUP($O162,'Upper Cask Movement &amp; Logistics'!$C$4:$D$77,2,FALSE),"N/A")</f>
        <v>N/A</v>
      </c>
    </row>
    <row r="163" spans="1:16" s="89" customFormat="1" outlineLevel="1" x14ac:dyDescent="0.35">
      <c r="A163" s="1169"/>
      <c r="B163" s="3815"/>
      <c r="C163" s="1346" t="s">
        <v>1412</v>
      </c>
      <c r="D163" s="1346" t="s">
        <v>3</v>
      </c>
      <c r="E163" s="1347">
        <f t="shared" si="3"/>
        <v>0.48000000000000004</v>
      </c>
      <c r="F163" s="1347">
        <f>IF($D163="Trigger",VLOOKUP($C163,'Upper Cask Welding failures'!$E$46:$H$564,4,FALSE),E163+F162)</f>
        <v>142.44206953427451</v>
      </c>
      <c r="G163" s="1348"/>
      <c r="H163" s="1349" t="str">
        <f>IF(D163="operation",VLOOKUP(G163,'Generic Vertical Port Tasks'!C190:D208,2,FALSE),"N/A")</f>
        <v>N/A</v>
      </c>
      <c r="I163" s="1346"/>
      <c r="J163" s="1346"/>
      <c r="K163" s="1346"/>
      <c r="L163" s="1329" t="str">
        <f>IFERROR(INDEX('Upper Cask Movement &amp; Logistics'!$I$24:$O$30,MATCH($J163,'Upper Cask Movement &amp; Logistics'!$H$24:$H$30,0),MATCH($K163,'Upper Cask Movement &amp; Logistics'!$H$24:$H$30,0)),"N/A")</f>
        <v>N/A</v>
      </c>
      <c r="M163" s="1329" t="str">
        <f>IFERROR(VLOOKUP($I163,'Upper Cask Movement &amp; Logistics'!$H$4:$I$8,2,FALSE),"N/A")</f>
        <v>N/A</v>
      </c>
      <c r="N163" s="1330" t="str">
        <f t="shared" si="2"/>
        <v>N/A</v>
      </c>
      <c r="O163" s="1352" t="s">
        <v>1330</v>
      </c>
      <c r="P163" s="1332">
        <f>IF($D163="Logistics",VLOOKUP($O163,'Upper Cask Movement &amp; Logistics'!$C$4:$D$77,2,FALSE),"N/A")</f>
        <v>0.48000000000000004</v>
      </c>
    </row>
    <row r="164" spans="1:16" s="89" customFormat="1" outlineLevel="1" x14ac:dyDescent="0.35">
      <c r="A164" s="1169"/>
      <c r="B164" s="3815"/>
      <c r="C164" s="1346" t="s">
        <v>1338</v>
      </c>
      <c r="D164" s="1346" t="s">
        <v>778</v>
      </c>
      <c r="E164" s="1347">
        <f t="shared" si="3"/>
        <v>2.7777777777777776E-2</v>
      </c>
      <c r="F164" s="1347">
        <f>IF($D164="Trigger",VLOOKUP($C164,'Upper Cask Welding failures'!$E$46:$H$564,4,FALSE),E164+F163)</f>
        <v>142.46984731205228</v>
      </c>
      <c r="G164" s="1348"/>
      <c r="H164" s="1349" t="str">
        <f>IF(D164="operation",VLOOKUP(G164,'Generic Vertical Port Tasks'!C190:D208,2,FALSE),"N/A")</f>
        <v>N/A</v>
      </c>
      <c r="I164" s="1294" t="s">
        <v>2502</v>
      </c>
      <c r="J164" s="1346" t="s">
        <v>914</v>
      </c>
      <c r="K164" s="1346" t="s">
        <v>799</v>
      </c>
      <c r="L164" s="1329">
        <f>IFERROR(INDEX('Upper Cask Movement &amp; Logistics'!$I$24:$O$30,MATCH($J164,'Upper Cask Movement &amp; Logistics'!$H$24:$H$30,0),MATCH($K164,'Upper Cask Movement &amp; Logistics'!$H$24:$H$30,0)),"N/A")</f>
        <v>20</v>
      </c>
      <c r="M164" s="1329">
        <f>IFERROR(VLOOKUP($I164,'Upper Cask Movement &amp; Logistics'!$H$4:$I$8,2,FALSE),"N/A")</f>
        <v>0.2</v>
      </c>
      <c r="N164" s="1330">
        <f t="shared" si="2"/>
        <v>2.7777777777777776E-2</v>
      </c>
      <c r="O164" s="1352"/>
      <c r="P164" s="1332" t="str">
        <f>IF($D164="Logistics",VLOOKUP($O164,'Upper Cask Movement &amp; Logistics'!$C$4:$D$77,2,FALSE),"N/A")</f>
        <v>N/A</v>
      </c>
    </row>
    <row r="165" spans="1:16" s="89" customFormat="1" outlineLevel="1" x14ac:dyDescent="0.35">
      <c r="A165" s="1169"/>
      <c r="B165" s="3815"/>
      <c r="C165" s="1346" t="s">
        <v>1358</v>
      </c>
      <c r="D165" s="1346" t="s">
        <v>3</v>
      </c>
      <c r="E165" s="1347">
        <f t="shared" si="3"/>
        <v>0.48000000000000004</v>
      </c>
      <c r="F165" s="1347">
        <f>IF($D165="Trigger",VLOOKUP($C165,'Upper Cask Welding failures'!$E$46:$H$564,4,FALSE),E165+F164)</f>
        <v>142.94984731205227</v>
      </c>
      <c r="G165" s="1348"/>
      <c r="H165" s="1349" t="str">
        <f>IF(D165="operation",VLOOKUP(G165,'Generic Vertical Port Tasks'!C190:D208,2,FALSE),"N/A")</f>
        <v>N/A</v>
      </c>
      <c r="I165" s="1346"/>
      <c r="J165" s="1346"/>
      <c r="K165" s="1346"/>
      <c r="L165" s="1329" t="str">
        <f>IFERROR(INDEX('Upper Cask Movement &amp; Logistics'!$I$24:$O$30,MATCH($J165,'Upper Cask Movement &amp; Logistics'!$H$24:$H$30,0),MATCH($K165,'Upper Cask Movement &amp; Logistics'!$H$24:$H$30,0)),"N/A")</f>
        <v>N/A</v>
      </c>
      <c r="M165" s="1329" t="str">
        <f>IFERROR(VLOOKUP($I165,'Upper Cask Movement &amp; Logistics'!$H$4:$I$8,2,FALSE),"N/A")</f>
        <v>N/A</v>
      </c>
      <c r="N165" s="1330" t="str">
        <f>IF(D165="Movement",IFERROR((L165/M165)/(60*60),"Error"),"N/A")</f>
        <v>N/A</v>
      </c>
      <c r="O165" s="1352" t="s">
        <v>1331</v>
      </c>
      <c r="P165" s="1332">
        <f>IF($D165="Logistics",VLOOKUP($O165,'Upper Cask Movement &amp; Logistics'!$C$4:$D$77,2,FALSE),"N/A")</f>
        <v>0.48000000000000004</v>
      </c>
    </row>
    <row r="166" spans="1:16" s="89" customFormat="1" outlineLevel="1" x14ac:dyDescent="0.35">
      <c r="A166" s="1169"/>
      <c r="B166" s="3815"/>
      <c r="C166" s="1346" t="s">
        <v>1340</v>
      </c>
      <c r="D166" s="1346" t="s">
        <v>778</v>
      </c>
      <c r="E166" s="1347">
        <f t="shared" si="3"/>
        <v>0.23148148148148148</v>
      </c>
      <c r="F166" s="1347">
        <f>IF($D166="Trigger",VLOOKUP($C166,'Upper Cask Welding failures'!$E$46:$H$564,4,FALSE),E166+F165)</f>
        <v>143.18132879353377</v>
      </c>
      <c r="G166" s="1348"/>
      <c r="H166" s="1349" t="str">
        <f>IF(D166="operation",VLOOKUP(G166,'Generic Vertical Port Tasks'!C190:D208,2,FALSE),"N/A")</f>
        <v>N/A</v>
      </c>
      <c r="I166" s="1346" t="s">
        <v>2501</v>
      </c>
      <c r="J166" s="1346" t="s">
        <v>799</v>
      </c>
      <c r="K166" s="1346" t="s">
        <v>901</v>
      </c>
      <c r="L166" s="1329">
        <f>IFERROR(INDEX('Upper Cask Movement &amp; Logistics'!$I$24:$O$30,MATCH($J166,'Upper Cask Movement &amp; Logistics'!$H$24:$H$30,0),MATCH($K166,'Upper Cask Movement &amp; Logistics'!$H$24:$H$30,0)),"N/A")</f>
        <v>50</v>
      </c>
      <c r="M166" s="1329">
        <f>IFERROR(VLOOKUP($I166,'Upper Cask Movement &amp; Logistics'!$H$4:$I$8,2,FALSE),"N/A")</f>
        <v>0.06</v>
      </c>
      <c r="N166" s="1330">
        <f>IF(D166="Movement",IFERROR((L166/M166)/(60*60),"Error"),"N/A")</f>
        <v>0.23148148148148148</v>
      </c>
      <c r="O166" s="1352"/>
      <c r="P166" s="1332" t="str">
        <f>IF($D166="Logistics",VLOOKUP($O166,'Upper Cask Movement &amp; Logistics'!$C$4:$D$77,2,FALSE),"N/A")</f>
        <v>N/A</v>
      </c>
    </row>
    <row r="167" spans="1:16" s="89" customFormat="1" outlineLevel="1" x14ac:dyDescent="0.35">
      <c r="A167" s="1169"/>
      <c r="B167" s="3815"/>
      <c r="C167" s="1346" t="s">
        <v>1359</v>
      </c>
      <c r="D167" s="1346" t="s">
        <v>3</v>
      </c>
      <c r="E167" s="1347">
        <f t="shared" si="3"/>
        <v>1.4000000000000001</v>
      </c>
      <c r="F167" s="1347">
        <f>IF($D167="Trigger",VLOOKUP($C167,'Upper Cask Welding failures'!$E$46:$H$564,4,FALSE),E167+F166)</f>
        <v>144.58132879353377</v>
      </c>
      <c r="G167" s="1348"/>
      <c r="H167" s="1349" t="str">
        <f>IF(D167="operation",VLOOKUP(G167,'Generic Vertical Port Tasks'!C190:D208,2,FALSE),"N/A")</f>
        <v>N/A</v>
      </c>
      <c r="I167" s="1346"/>
      <c r="J167" s="1346"/>
      <c r="K167" s="1346"/>
      <c r="L167" s="1329" t="str">
        <f>IFERROR(INDEX('Upper Cask Movement &amp; Logistics'!$I$24:$O$30,MATCH($J167,'Upper Cask Movement &amp; Logistics'!$H$24:$H$30,0),MATCH($K167,'Upper Cask Movement &amp; Logistics'!$H$24:$H$30,0)),"N/A")</f>
        <v>N/A</v>
      </c>
      <c r="M167" s="1329" t="str">
        <f>IFERROR(VLOOKUP($I167,'Upper Cask Movement &amp; Logistics'!$H$4:$I$8,2,FALSE),"N/A")</f>
        <v>N/A</v>
      </c>
      <c r="N167" s="1330" t="str">
        <f>IF(D167="Movement",IFERROR((L167/M167)/(60*60),"Error"),"N/A")</f>
        <v>N/A</v>
      </c>
      <c r="O167" s="1352" t="s">
        <v>1277</v>
      </c>
      <c r="P167" s="1332">
        <f>IF($D167="Logistics",VLOOKUP($O167,'Upper Cask Movement &amp; Logistics'!$C$4:$D$77,2,FALSE),"N/A")</f>
        <v>1.4000000000000001</v>
      </c>
    </row>
    <row r="168" spans="1:16" s="89" customFormat="1" outlineLevel="1" x14ac:dyDescent="0.35">
      <c r="A168" s="1169"/>
      <c r="B168" s="3815"/>
      <c r="C168" s="1294" t="s">
        <v>1410</v>
      </c>
      <c r="D168" s="1294" t="s">
        <v>778</v>
      </c>
      <c r="E168" s="1292">
        <f t="shared" si="3"/>
        <v>0.23148148148148148</v>
      </c>
      <c r="F168" s="1347">
        <f>IF($D168="Trigger",VLOOKUP($C168,'Upper Cask Welding failures'!$E$46:$H$564,4,FALSE),E168+F167)</f>
        <v>144.81281027501527</v>
      </c>
      <c r="G168" s="862"/>
      <c r="H168" s="1328" t="str">
        <f>IF(D168="operation",VLOOKUP(G168,'Generic Vertical Port Tasks'!C190:D239,2,FALSE),"N/A")</f>
        <v>N/A</v>
      </c>
      <c r="I168" s="1294" t="s">
        <v>2501</v>
      </c>
      <c r="J168" s="1294" t="s">
        <v>901</v>
      </c>
      <c r="K168" s="1294" t="s">
        <v>831</v>
      </c>
      <c r="L168" s="1329">
        <f>IFERROR(INDEX('Upper Cask Movement &amp; Logistics'!$I$24:$O$30,MATCH($J168,'Upper Cask Movement &amp; Logistics'!$H$24:$H$30,0),MATCH($K168,'Upper Cask Movement &amp; Logistics'!$H$24:$H$30,0)),"N/A")</f>
        <v>50</v>
      </c>
      <c r="M168" s="1329">
        <f>IFERROR(VLOOKUP($I168,'Upper Cask Movement &amp; Logistics'!$H$4:$I$8,2,FALSE),"N/A")</f>
        <v>0.06</v>
      </c>
      <c r="N168" s="1330">
        <f t="shared" ref="N168:N203" si="4">IF(D168="Movement",IFERROR((L168/M168)/(60*60),"Error"),"N/A")</f>
        <v>0.23148148148148148</v>
      </c>
      <c r="O168" s="1331"/>
      <c r="P168" s="1332" t="str">
        <f>IF($D168="Logistics",VLOOKUP($O168,'Upper Cask Movement &amp; Logistics'!$C$4:$D$77,2,FALSE),"N/A")</f>
        <v>N/A</v>
      </c>
    </row>
    <row r="169" spans="1:16" s="89" customFormat="1" outlineLevel="1" x14ac:dyDescent="0.35">
      <c r="A169" s="1169"/>
      <c r="B169" s="3815"/>
      <c r="C169" s="1294" t="s">
        <v>1413</v>
      </c>
      <c r="D169" s="1294" t="s">
        <v>3</v>
      </c>
      <c r="E169" s="1292">
        <f t="shared" si="3"/>
        <v>0.68</v>
      </c>
      <c r="F169" s="1347">
        <f>IF($D169="Trigger",VLOOKUP($C169,'Upper Cask Welding failures'!$E$46:$H$564,4,FALSE),E169+F168)</f>
        <v>145.49281027501527</v>
      </c>
      <c r="G169" s="862"/>
      <c r="H169" s="1328" t="str">
        <f>IF(D169="operation",VLOOKUP(G169,'Generic Vertical Port Tasks'!C190:D239,2,FALSE),"N/A")</f>
        <v>N/A</v>
      </c>
      <c r="I169" s="1294"/>
      <c r="J169" s="1294"/>
      <c r="K169" s="1294"/>
      <c r="L169" s="1329" t="str">
        <f>IFERROR(INDEX('Upper Cask Movement &amp; Logistics'!$I$24:$O$30,MATCH($J169,'Upper Cask Movement &amp; Logistics'!$H$24:$H$30,0),MATCH($K169,'Upper Cask Movement &amp; Logistics'!$H$24:$H$30,0)),"N/A")</f>
        <v>N/A</v>
      </c>
      <c r="M169" s="1329" t="str">
        <f>IFERROR(VLOOKUP($I169,'Upper Cask Movement &amp; Logistics'!$H$4:$I$8,2,FALSE),"N/A")</f>
        <v>N/A</v>
      </c>
      <c r="N169" s="1330" t="str">
        <f t="shared" si="4"/>
        <v>N/A</v>
      </c>
      <c r="O169" s="1331" t="s">
        <v>1213</v>
      </c>
      <c r="P169" s="1332">
        <f>IF($D169="Logistics",VLOOKUP($O169,'Upper Cask Movement &amp; Logistics'!$C$4:$D$77,2,FALSE),"N/A")</f>
        <v>0.68</v>
      </c>
    </row>
    <row r="170" spans="1:16" s="89" customFormat="1" outlineLevel="1" x14ac:dyDescent="0.35">
      <c r="A170" s="1169"/>
      <c r="B170" s="3815"/>
      <c r="C170" s="1294" t="s">
        <v>1366</v>
      </c>
      <c r="D170" s="1294" t="s">
        <v>778</v>
      </c>
      <c r="E170" s="1292">
        <f t="shared" si="3"/>
        <v>0.69444444444444442</v>
      </c>
      <c r="F170" s="1347">
        <f>IF($D170="Trigger",VLOOKUP($C170,'Upper Cask Welding failures'!$E$46:$H$564,4,FALSE),E170+F169)</f>
        <v>146.18725471945973</v>
      </c>
      <c r="G170" s="862"/>
      <c r="H170" s="1328" t="str">
        <f>IF(D170="operation",VLOOKUP(G170,'Generic Vertical Port Tasks'!C190:D239,2,FALSE),"N/A")</f>
        <v>N/A</v>
      </c>
      <c r="I170" s="1294" t="s">
        <v>1789</v>
      </c>
      <c r="J170" s="1294" t="s">
        <v>831</v>
      </c>
      <c r="K170" s="1294" t="s">
        <v>901</v>
      </c>
      <c r="L170" s="1329">
        <f>IFERROR(INDEX('Upper Cask Movement &amp; Logistics'!$I$24:$O$30,MATCH($J170,'Upper Cask Movement &amp; Logistics'!$H$24:$H$30,0),MATCH($K170,'Upper Cask Movement &amp; Logistics'!$H$24:$H$30,0)),"N/A")</f>
        <v>50</v>
      </c>
      <c r="M170" s="1329">
        <f>IFERROR(VLOOKUP($I170,'Upper Cask Movement &amp; Logistics'!$H$4:$I$8,2,FALSE),"N/A")</f>
        <v>0.02</v>
      </c>
      <c r="N170" s="1330">
        <f t="shared" si="4"/>
        <v>0.69444444444444442</v>
      </c>
      <c r="O170" s="1331"/>
      <c r="P170" s="1332" t="str">
        <f>IF($D170="Logistics",VLOOKUP($O170,'Upper Cask Movement &amp; Logistics'!$C$4:$D$77,2,FALSE),"N/A")</f>
        <v>N/A</v>
      </c>
    </row>
    <row r="171" spans="1:16" s="89" customFormat="1" outlineLevel="1" x14ac:dyDescent="0.35">
      <c r="A171" s="1169"/>
      <c r="B171" s="3815"/>
      <c r="C171" s="1294" t="s">
        <v>1367</v>
      </c>
      <c r="D171" s="1294" t="s">
        <v>3</v>
      </c>
      <c r="E171" s="1292">
        <f t="shared" si="3"/>
        <v>1.4000000000000001</v>
      </c>
      <c r="F171" s="1347">
        <f>IF($D171="Trigger",VLOOKUP($C171,'Upper Cask Welding failures'!$E$46:$H$564,4,FALSE),E171+F170)</f>
        <v>147.58725471945974</v>
      </c>
      <c r="G171" s="862"/>
      <c r="H171" s="1328" t="str">
        <f>IF(D171="operation",VLOOKUP(G171,'Generic Vertical Port Tasks'!C190:D239,2,FALSE),"N/A")</f>
        <v>N/A</v>
      </c>
      <c r="I171" s="1294"/>
      <c r="J171" s="1294"/>
      <c r="K171" s="1294"/>
      <c r="L171" s="1329" t="str">
        <f>IFERROR(INDEX('Upper Cask Movement &amp; Logistics'!$I$24:$O$30,MATCH($J171,'Upper Cask Movement &amp; Logistics'!$H$24:$H$30,0),MATCH($K171,'Upper Cask Movement &amp; Logistics'!$H$24:$H$30,0)),"N/A")</f>
        <v>N/A</v>
      </c>
      <c r="M171" s="1329" t="str">
        <f>IFERROR(VLOOKUP($I171,'Upper Cask Movement &amp; Logistics'!$H$4:$I$8,2,FALSE),"N/A")</f>
        <v>N/A</v>
      </c>
      <c r="N171" s="1330" t="str">
        <f t="shared" si="4"/>
        <v>N/A</v>
      </c>
      <c r="O171" s="1331" t="s">
        <v>1277</v>
      </c>
      <c r="P171" s="1332">
        <f>IF($D171="Logistics",VLOOKUP($O171,'Upper Cask Movement &amp; Logistics'!$C$4:$D$77,2,FALSE),"N/A")</f>
        <v>1.4000000000000001</v>
      </c>
    </row>
    <row r="172" spans="1:16" s="89" customFormat="1" ht="26.15" outlineLevel="1" thickBot="1" x14ac:dyDescent="0.4">
      <c r="A172" s="1169"/>
      <c r="B172" s="3816"/>
      <c r="C172" s="1340" t="str">
        <f>B161</f>
        <v>Equipment Cask 6 stored; Equipment Cask 2 Collected; Hardware Cask 2 docked; RIB Pipe Module Collected</v>
      </c>
      <c r="D172" s="1340" t="s">
        <v>11</v>
      </c>
      <c r="E172" s="1295">
        <f t="shared" si="3"/>
        <v>0</v>
      </c>
      <c r="F172" s="1295">
        <f>IF($D172="Trigger",VLOOKUP($C172,'Upper Cask Welding failures'!$E$46:$H$564,4,FALSE),E172+F171)</f>
        <v>147.58725471945974</v>
      </c>
      <c r="G172" s="839"/>
      <c r="H172" s="1341" t="str">
        <f>IF(D172="operation",VLOOKUP(G172,'Generic Vertical Port Tasks'!C190:D239,2,FALSE),"N/A")</f>
        <v>N/A</v>
      </c>
      <c r="I172" s="1340"/>
      <c r="J172" s="1340"/>
      <c r="K172" s="1340"/>
      <c r="L172" s="1342" t="str">
        <f>IFERROR(INDEX('Upper Cask Movement &amp; Logistics'!$I$24:$O$30,MATCH($J172,'Upper Cask Movement &amp; Logistics'!$H$24:$H$30,0),MATCH($K172,'Upper Cask Movement &amp; Logistics'!$H$24:$H$30,0)),"N/A")</f>
        <v>N/A</v>
      </c>
      <c r="M172" s="1342" t="str">
        <f>IFERROR(VLOOKUP($I172,'Upper Cask Movement &amp; Logistics'!$H$4:$I$8,2,FALSE),"N/A")</f>
        <v>N/A</v>
      </c>
      <c r="N172" s="1343" t="str">
        <f t="shared" si="4"/>
        <v>N/A</v>
      </c>
      <c r="O172" s="1344"/>
      <c r="P172" s="1345" t="str">
        <f>IF($D172="Logistics",VLOOKUP($O172,'Upper Cask Movement &amp; Logistics'!$C$4:$D$77,2,FALSE),"N/A")</f>
        <v>N/A</v>
      </c>
    </row>
    <row r="173" spans="1:16" s="89" customFormat="1" outlineLevel="1" x14ac:dyDescent="0.35">
      <c r="A173" s="1169"/>
      <c r="B173" s="3970" t="s">
        <v>1414</v>
      </c>
      <c r="C173" s="617" t="s">
        <v>117</v>
      </c>
      <c r="D173" s="617" t="s">
        <v>907</v>
      </c>
      <c r="E173" s="567">
        <f t="shared" si="3"/>
        <v>0</v>
      </c>
      <c r="F173" s="567">
        <f>IF($D173="Trigger",VLOOKUP($C173,'Upper Cask Welding failures'!$E$46:$H$564,4,FALSE),E173+F172)</f>
        <v>152.66225471945972</v>
      </c>
      <c r="G173" s="568"/>
      <c r="H173" s="569" t="str">
        <f>IF(D173="operation",VLOOKUP(G173,'Generic Vertical Port Tasks'!C190:D243,2,FALSE),"N/A")</f>
        <v>N/A</v>
      </c>
      <c r="I173" s="617"/>
      <c r="J173" s="617"/>
      <c r="K173" s="617"/>
      <c r="L173" s="618" t="str">
        <f>IFERROR(INDEX('Upper Cask Movement &amp; Logistics'!$I$24:$O$30,MATCH($J173,'Upper Cask Movement &amp; Logistics'!$H$24:$H$30,0),MATCH($K173,'Upper Cask Movement &amp; Logistics'!$H$24:$H$30,0)),"N/A")</f>
        <v>N/A</v>
      </c>
      <c r="M173" s="618" t="str">
        <f>IFERROR(VLOOKUP($I173,'Upper Cask Movement &amp; Logistics'!$H$4:$I$8,2,FALSE),"N/A")</f>
        <v>N/A</v>
      </c>
      <c r="N173" s="619" t="str">
        <f t="shared" si="4"/>
        <v>N/A</v>
      </c>
      <c r="O173" s="620"/>
      <c r="P173" s="621" t="str">
        <f>IF($D173="Logistics",VLOOKUP($O173,'Upper Cask Movement &amp; Logistics'!$C$4:$D$77,2,FALSE),"N/A")</f>
        <v>N/A</v>
      </c>
    </row>
    <row r="174" spans="1:16" s="89" customFormat="1" outlineLevel="1" x14ac:dyDescent="0.35">
      <c r="A174" s="1169"/>
      <c r="B174" s="3971"/>
      <c r="C174" s="1275" t="s">
        <v>1377</v>
      </c>
      <c r="D174" s="1275" t="s">
        <v>3</v>
      </c>
      <c r="E174" s="1276">
        <f t="shared" si="3"/>
        <v>2.3000000000000003</v>
      </c>
      <c r="F174" s="1276">
        <f>IF($D174="Trigger",VLOOKUP($C174,'Upper Cask Welding failures'!$E$46:$H$564,4,FALSE),E174+F173)</f>
        <v>154.96225471945974</v>
      </c>
      <c r="G174" s="879"/>
      <c r="H174" s="1379" t="str">
        <f>IF(D174="operation",VLOOKUP(G174,'Generic Vertical Port Tasks'!C190:D243,2,FALSE),"N/A")</f>
        <v>N/A</v>
      </c>
      <c r="I174" s="1275"/>
      <c r="J174" s="1275"/>
      <c r="K174" s="1275"/>
      <c r="L174" s="1277" t="str">
        <f>IFERROR(INDEX('Upper Cask Movement &amp; Logistics'!$I$24:$O$30,MATCH($J174,'Upper Cask Movement &amp; Logistics'!$H$24:$H$30,0),MATCH($K174,'Upper Cask Movement &amp; Logistics'!$H$24:$H$30,0)),"N/A")</f>
        <v>N/A</v>
      </c>
      <c r="M174" s="1277" t="str">
        <f>IFERROR(VLOOKUP($I174,'Upper Cask Movement &amp; Logistics'!$H$4:$I$8,2,FALSE),"N/A")</f>
        <v>N/A</v>
      </c>
      <c r="N174" s="1380" t="str">
        <f t="shared" si="4"/>
        <v>N/A</v>
      </c>
      <c r="O174" s="1381" t="s">
        <v>1269</v>
      </c>
      <c r="P174" s="850">
        <f>IF($D174="Logistics",VLOOKUP($O174,'Upper Cask Movement &amp; Logistics'!$C$4:$D$77,2,FALSE),"N/A")</f>
        <v>2.3000000000000003</v>
      </c>
    </row>
    <row r="175" spans="1:16" s="89" customFormat="1" outlineLevel="1" x14ac:dyDescent="0.35">
      <c r="A175" s="1169"/>
      <c r="B175" s="3972"/>
      <c r="C175" s="572" t="s">
        <v>1410</v>
      </c>
      <c r="D175" s="572" t="s">
        <v>778</v>
      </c>
      <c r="E175" s="574">
        <f t="shared" si="3"/>
        <v>0.23148148148148148</v>
      </c>
      <c r="F175" s="574">
        <f>IF($D175="Trigger",VLOOKUP($C175,'Upper Cask Welding failures'!$E$46:$H$564,4,FALSE),E175+F174)</f>
        <v>155.19373620094123</v>
      </c>
      <c r="G175" s="575"/>
      <c r="H175" s="576" t="str">
        <f>IF(D175="operation",VLOOKUP(G175,'Generic Vertical Port Tasks'!C190:D243,2,FALSE),"N/A")</f>
        <v>N/A</v>
      </c>
      <c r="I175" s="572" t="s">
        <v>2501</v>
      </c>
      <c r="J175" s="572" t="s">
        <v>901</v>
      </c>
      <c r="K175" s="572" t="s">
        <v>831</v>
      </c>
      <c r="L175" s="577">
        <f>IFERROR(INDEX('Upper Cask Movement &amp; Logistics'!$I$24:$O$30,MATCH($J175,'Upper Cask Movement &amp; Logistics'!$H$24:$H$30,0),MATCH($K175,'Upper Cask Movement &amp; Logistics'!$H$24:$H$30,0)),"N/A")</f>
        <v>50</v>
      </c>
      <c r="M175" s="577">
        <f>IFERROR(VLOOKUP($I175,'Upper Cask Movement &amp; Logistics'!$H$4:$I$8,2,FALSE),"N/A")</f>
        <v>0.06</v>
      </c>
      <c r="N175" s="578">
        <f t="shared" si="4"/>
        <v>0.23148148148148148</v>
      </c>
      <c r="O175" s="579"/>
      <c r="P175" s="580" t="str">
        <f>IF($D175="Logistics",VLOOKUP($O175,'Upper Cask Movement &amp; Logistics'!$C$4:$D$77,2,FALSE),"N/A")</f>
        <v>N/A</v>
      </c>
    </row>
    <row r="176" spans="1:16" s="89" customFormat="1" outlineLevel="1" x14ac:dyDescent="0.35">
      <c r="A176" s="1169"/>
      <c r="B176" s="3972"/>
      <c r="C176" s="572" t="s">
        <v>1415</v>
      </c>
      <c r="D176" s="572" t="s">
        <v>3</v>
      </c>
      <c r="E176" s="574">
        <f t="shared" si="3"/>
        <v>0.68</v>
      </c>
      <c r="F176" s="574">
        <f>IF($D176="Trigger",VLOOKUP($C176,'Upper Cask Welding failures'!$E$46:$H$564,4,FALSE),E176+F175)</f>
        <v>155.87373620094124</v>
      </c>
      <c r="G176" s="575"/>
      <c r="H176" s="576" t="str">
        <f>IF(D176="operation",VLOOKUP(G176,'Generic Vertical Port Tasks'!C190:D243,2,FALSE),"N/A")</f>
        <v>N/A</v>
      </c>
      <c r="I176" s="572"/>
      <c r="J176" s="572"/>
      <c r="K176" s="572"/>
      <c r="L176" s="577" t="str">
        <f>IFERROR(INDEX('Upper Cask Movement &amp; Logistics'!$I$24:$O$30,MATCH($J176,'Upper Cask Movement &amp; Logistics'!$H$24:$H$30,0),MATCH($K176,'Upper Cask Movement &amp; Logistics'!$H$24:$H$30,0)),"N/A")</f>
        <v>N/A</v>
      </c>
      <c r="M176" s="577" t="str">
        <f>IFERROR(VLOOKUP($I176,'Upper Cask Movement &amp; Logistics'!$H$4:$I$8,2,FALSE),"N/A")</f>
        <v>N/A</v>
      </c>
      <c r="N176" s="578" t="str">
        <f t="shared" si="4"/>
        <v>N/A</v>
      </c>
      <c r="O176" s="579" t="s">
        <v>1213</v>
      </c>
      <c r="P176" s="580">
        <f>IF($D176="Logistics",VLOOKUP($O176,'Upper Cask Movement &amp; Logistics'!$C$4:$D$77,2,FALSE),"N/A")</f>
        <v>0.68</v>
      </c>
    </row>
    <row r="177" spans="1:16" s="89" customFormat="1" outlineLevel="1" x14ac:dyDescent="0.35">
      <c r="A177" s="1169"/>
      <c r="B177" s="3972"/>
      <c r="C177" s="572" t="s">
        <v>1366</v>
      </c>
      <c r="D177" s="572" t="s">
        <v>778</v>
      </c>
      <c r="E177" s="574">
        <f t="shared" si="3"/>
        <v>0.69444444444444442</v>
      </c>
      <c r="F177" s="574">
        <f>IF($D177="Trigger",VLOOKUP($C177,'Upper Cask Welding failures'!$E$46:$H$564,4,FALSE),E177+F176)</f>
        <v>156.5681806453857</v>
      </c>
      <c r="G177" s="575"/>
      <c r="H177" s="576" t="str">
        <f>IF(D177="operation",VLOOKUP(G177,'Generic Vertical Port Tasks'!C190:D243,2,FALSE),"N/A")</f>
        <v>N/A</v>
      </c>
      <c r="I177" s="572" t="s">
        <v>1789</v>
      </c>
      <c r="J177" s="572" t="s">
        <v>831</v>
      </c>
      <c r="K177" s="572" t="s">
        <v>901</v>
      </c>
      <c r="L177" s="577">
        <f>IFERROR(INDEX('Upper Cask Movement &amp; Logistics'!$I$24:$O$30,MATCH($J177,'Upper Cask Movement &amp; Logistics'!$H$24:$H$30,0),MATCH($K177,'Upper Cask Movement &amp; Logistics'!$H$24:$H$30,0)),"N/A")</f>
        <v>50</v>
      </c>
      <c r="M177" s="577">
        <f>IFERROR(VLOOKUP($I177,'Upper Cask Movement &amp; Logistics'!$H$4:$I$8,2,FALSE),"N/A")</f>
        <v>0.02</v>
      </c>
      <c r="N177" s="578">
        <f t="shared" si="4"/>
        <v>0.69444444444444442</v>
      </c>
      <c r="O177" s="579"/>
      <c r="P177" s="580" t="str">
        <f>IF($D177="Logistics",VLOOKUP($O177,'Upper Cask Movement &amp; Logistics'!$C$4:$D$77,2,FALSE),"N/A")</f>
        <v>N/A</v>
      </c>
    </row>
    <row r="178" spans="1:16" s="89" customFormat="1" outlineLevel="1" x14ac:dyDescent="0.35">
      <c r="A178" s="1169"/>
      <c r="B178" s="3972"/>
      <c r="C178" s="572" t="s">
        <v>1367</v>
      </c>
      <c r="D178" s="572" t="s">
        <v>3</v>
      </c>
      <c r="E178" s="574">
        <f t="shared" si="3"/>
        <v>1.4000000000000001</v>
      </c>
      <c r="F178" s="574">
        <f>IF($D178="Trigger",VLOOKUP($C178,'Upper Cask Welding failures'!$E$46:$H$564,4,FALSE),E178+F177)</f>
        <v>157.9681806453857</v>
      </c>
      <c r="G178" s="575"/>
      <c r="H178" s="576" t="str">
        <f>IF(D178="operation",VLOOKUP(G178,'Generic Vertical Port Tasks'!C190:D243,2,FALSE),"N/A")</f>
        <v>N/A</v>
      </c>
      <c r="I178" s="572"/>
      <c r="J178" s="572"/>
      <c r="K178" s="572"/>
      <c r="L178" s="577" t="str">
        <f>IFERROR(INDEX('Upper Cask Movement &amp; Logistics'!$I$24:$O$30,MATCH($J178,'Upper Cask Movement &amp; Logistics'!$H$24:$H$30,0),MATCH($K178,'Upper Cask Movement &amp; Logistics'!$H$24:$H$30,0)),"N/A")</f>
        <v>N/A</v>
      </c>
      <c r="M178" s="577" t="str">
        <f>IFERROR(VLOOKUP($I178,'Upper Cask Movement &amp; Logistics'!$H$4:$I$8,2,FALSE),"N/A")</f>
        <v>N/A</v>
      </c>
      <c r="N178" s="578" t="str">
        <f t="shared" si="4"/>
        <v>N/A</v>
      </c>
      <c r="O178" s="579" t="s">
        <v>1277</v>
      </c>
      <c r="P178" s="580">
        <f>IF($D178="Logistics",VLOOKUP($O178,'Upper Cask Movement &amp; Logistics'!$C$4:$D$77,2,FALSE),"N/A")</f>
        <v>1.4000000000000001</v>
      </c>
    </row>
    <row r="179" spans="1:16" s="89" customFormat="1" ht="26.15" outlineLevel="1" thickBot="1" x14ac:dyDescent="0.4">
      <c r="A179" s="1169"/>
      <c r="B179" s="3973"/>
      <c r="C179" s="583" t="str">
        <f>B173</f>
        <v>Hardware Cask 2 Un-Docked; LIB Pipe Module Collected; Hardware Cask 4 docked</v>
      </c>
      <c r="D179" s="583" t="s">
        <v>11</v>
      </c>
      <c r="E179" s="585">
        <f t="shared" si="3"/>
        <v>0</v>
      </c>
      <c r="F179" s="585">
        <f>IF($D179="Trigger",VLOOKUP($C179,'Upper Cask Welding failures'!$E$46:$H$564,4,FALSE),E179+F178)</f>
        <v>157.9681806453857</v>
      </c>
      <c r="G179" s="586"/>
      <c r="H179" s="587" t="str">
        <f>IF(D179="operation",VLOOKUP(G179,'Generic Vertical Port Tasks'!C190:D243,2,FALSE),"N/A")</f>
        <v>N/A</v>
      </c>
      <c r="I179" s="583"/>
      <c r="J179" s="583"/>
      <c r="K179" s="583"/>
      <c r="L179" s="588" t="str">
        <f>IFERROR(INDEX('Upper Cask Movement &amp; Logistics'!$I$24:$O$30,MATCH($J179,'Upper Cask Movement &amp; Logistics'!$H$24:$H$30,0),MATCH($K179,'Upper Cask Movement &amp; Logistics'!$H$24:$H$30,0)),"N/A")</f>
        <v>N/A</v>
      </c>
      <c r="M179" s="588" t="str">
        <f>IFERROR(VLOOKUP($I179,'Upper Cask Movement &amp; Logistics'!$H$4:$I$8,2,FALSE),"N/A")</f>
        <v>N/A</v>
      </c>
      <c r="N179" s="589" t="str">
        <f t="shared" si="4"/>
        <v>N/A</v>
      </c>
      <c r="O179" s="590"/>
      <c r="P179" s="591" t="str">
        <f>IF($D179="Logistics",VLOOKUP($O179,'Upper Cask Movement &amp; Logistics'!$C$4:$D$77,2,FALSE),"N/A")</f>
        <v>N/A</v>
      </c>
    </row>
    <row r="180" spans="1:16" s="89" customFormat="1" outlineLevel="1" x14ac:dyDescent="0.35">
      <c r="A180" s="1169"/>
      <c r="B180" s="3964" t="s">
        <v>1416</v>
      </c>
      <c r="C180" s="1324" t="s">
        <v>118</v>
      </c>
      <c r="D180" s="1324" t="s">
        <v>907</v>
      </c>
      <c r="E180" s="1291">
        <f t="shared" si="3"/>
        <v>0</v>
      </c>
      <c r="F180" s="1291">
        <f>IF($D180="Trigger",VLOOKUP($C180,'Upper Cask Welding failures'!$E$46:$H$564,4,FALSE),E180+F179)</f>
        <v>191.48998727133326</v>
      </c>
      <c r="G180" s="825"/>
      <c r="H180" s="1323" t="str">
        <f>IF(D180="operation",VLOOKUP(G180,'Generic Vertical Port Tasks'!C190:D246,2,FALSE),"N/A")</f>
        <v>N/A</v>
      </c>
      <c r="I180" s="1324"/>
      <c r="J180" s="1324"/>
      <c r="K180" s="1324"/>
      <c r="L180" s="1325" t="str">
        <f>IFERROR(INDEX('Upper Cask Movement &amp; Logistics'!$I$24:$O$30,MATCH($J180,'Upper Cask Movement &amp; Logistics'!$H$24:$H$30,0),MATCH($K180,'Upper Cask Movement &amp; Logistics'!$H$24:$H$30,0)),"N/A")</f>
        <v>N/A</v>
      </c>
      <c r="M180" s="1325" t="str">
        <f>IFERROR(VLOOKUP($I180,'Upper Cask Movement &amp; Logistics'!$H$4:$I$8,2,FALSE),"N/A")</f>
        <v>N/A</v>
      </c>
      <c r="N180" s="1326" t="str">
        <f t="shared" si="4"/>
        <v>N/A</v>
      </c>
      <c r="O180" s="1327"/>
      <c r="P180" s="824" t="str">
        <f>IF($D180="Logistics",VLOOKUP($O180,'Upper Cask Movement &amp; Logistics'!$C$4:$D$77,2,FALSE),"N/A")</f>
        <v>N/A</v>
      </c>
    </row>
    <row r="181" spans="1:16" s="89" customFormat="1" outlineLevel="1" x14ac:dyDescent="0.35">
      <c r="A181" s="1169"/>
      <c r="B181" s="3969"/>
      <c r="C181" s="1362" t="s">
        <v>1377</v>
      </c>
      <c r="D181" s="1362" t="s">
        <v>3</v>
      </c>
      <c r="E181" s="1363">
        <f t="shared" si="3"/>
        <v>2.3000000000000003</v>
      </c>
      <c r="F181" s="1363">
        <f>IF($D181="Trigger",VLOOKUP($C181,'Upper Cask Welding failures'!$E$46:$H$564,4,FALSE),E181+F180)</f>
        <v>193.78998727133327</v>
      </c>
      <c r="G181" s="1364"/>
      <c r="H181" s="1365" t="str">
        <f>IF(D181="operation",VLOOKUP(G181,'Generic Vertical Port Tasks'!C190:D246,2,FALSE),"N/A")</f>
        <v>N/A</v>
      </c>
      <c r="I181" s="1362"/>
      <c r="J181" s="1362"/>
      <c r="K181" s="1362"/>
      <c r="L181" s="1366" t="str">
        <f>IFERROR(INDEX('Upper Cask Movement &amp; Logistics'!$I$24:$O$30,MATCH($J181,'Upper Cask Movement &amp; Logistics'!$H$24:$H$30,0),MATCH($K181,'Upper Cask Movement &amp; Logistics'!$H$24:$H$30,0)),"N/A")</f>
        <v>N/A</v>
      </c>
      <c r="M181" s="1366" t="str">
        <f>IFERROR(VLOOKUP($I181,'Upper Cask Movement &amp; Logistics'!$H$4:$I$8,2,FALSE),"N/A")</f>
        <v>N/A</v>
      </c>
      <c r="N181" s="1367" t="str">
        <f t="shared" si="4"/>
        <v>N/A</v>
      </c>
      <c r="O181" s="1368" t="s">
        <v>1269</v>
      </c>
      <c r="P181" s="861">
        <f>IF($D181="Logistics",VLOOKUP($O181,'Upper Cask Movement &amp; Logistics'!$C$4:$D$77,2,FALSE),"N/A")</f>
        <v>2.3000000000000003</v>
      </c>
    </row>
    <row r="182" spans="1:16" s="89" customFormat="1" outlineLevel="1" x14ac:dyDescent="0.35">
      <c r="A182" s="1169"/>
      <c r="B182" s="3965"/>
      <c r="C182" s="1294" t="s">
        <v>1402</v>
      </c>
      <c r="D182" s="1294" t="s">
        <v>778</v>
      </c>
      <c r="E182" s="1292">
        <f t="shared" si="3"/>
        <v>0.23148148148148148</v>
      </c>
      <c r="F182" s="1292">
        <f>IF($D182="Trigger",VLOOKUP($C182,'Upper Cask Welding failures'!$E$46:$H$564,4,FALSE),E182+F181)</f>
        <v>194.02146875281477</v>
      </c>
      <c r="G182" s="862"/>
      <c r="H182" s="1328" t="str">
        <f>IF(D182="operation",VLOOKUP(G182,'Generic Vertical Port Tasks'!C190:D246,2,FALSE),"N/A")</f>
        <v>N/A</v>
      </c>
      <c r="I182" s="1294" t="s">
        <v>2501</v>
      </c>
      <c r="J182" s="1294" t="s">
        <v>901</v>
      </c>
      <c r="K182" s="1294" t="s">
        <v>831</v>
      </c>
      <c r="L182" s="1329">
        <f>IFERROR(INDEX('Upper Cask Movement &amp; Logistics'!$I$24:$O$30,MATCH($J182,'Upper Cask Movement &amp; Logistics'!$H$24:$H$30,0),MATCH($K182,'Upper Cask Movement &amp; Logistics'!$H$24:$H$30,0)),"N/A")</f>
        <v>50</v>
      </c>
      <c r="M182" s="1329">
        <f>IFERROR(VLOOKUP($I182,'Upper Cask Movement &amp; Logistics'!$H$4:$I$8,2,FALSE),"N/A")</f>
        <v>0.06</v>
      </c>
      <c r="N182" s="1330">
        <f t="shared" si="4"/>
        <v>0.23148148148148148</v>
      </c>
      <c r="O182" s="1331"/>
      <c r="P182" s="1332" t="str">
        <f>IF($D182="Logistics",VLOOKUP($O182,'Upper Cask Movement &amp; Logistics'!$C$4:$D$77,2,FALSE),"N/A")</f>
        <v>N/A</v>
      </c>
    </row>
    <row r="183" spans="1:16" s="89" customFormat="1" outlineLevel="1" x14ac:dyDescent="0.35">
      <c r="A183" s="1169"/>
      <c r="B183" s="3965"/>
      <c r="C183" s="1294" t="s">
        <v>1415</v>
      </c>
      <c r="D183" s="1294" t="s">
        <v>3</v>
      </c>
      <c r="E183" s="1292">
        <f t="shared" si="3"/>
        <v>0.68</v>
      </c>
      <c r="F183" s="1292">
        <f>IF($D183="Trigger",VLOOKUP($C183,'Upper Cask Welding failures'!$E$46:$H$564,4,FALSE),E183+F182)</f>
        <v>194.70146875281478</v>
      </c>
      <c r="G183" s="862"/>
      <c r="H183" s="1328" t="str">
        <f>IF(D183="operation",VLOOKUP(G183,'Generic Vertical Port Tasks'!C190:D246,2,FALSE),"N/A")</f>
        <v>N/A</v>
      </c>
      <c r="I183" s="1294"/>
      <c r="J183" s="1294"/>
      <c r="K183" s="1294"/>
      <c r="L183" s="1329" t="str">
        <f>IFERROR(INDEX('Upper Cask Movement &amp; Logistics'!$I$24:$O$30,MATCH($J183,'Upper Cask Movement &amp; Logistics'!$H$24:$H$30,0),MATCH($K183,'Upper Cask Movement &amp; Logistics'!$H$24:$H$30,0)),"N/A")</f>
        <v>N/A</v>
      </c>
      <c r="M183" s="1329" t="str">
        <f>IFERROR(VLOOKUP($I183,'Upper Cask Movement &amp; Logistics'!$H$4:$I$8,2,FALSE),"N/A")</f>
        <v>N/A</v>
      </c>
      <c r="N183" s="1330" t="str">
        <f t="shared" si="4"/>
        <v>N/A</v>
      </c>
      <c r="O183" s="1331" t="s">
        <v>1213</v>
      </c>
      <c r="P183" s="1332">
        <f>IF($D183="Logistics",VLOOKUP($O183,'Upper Cask Movement &amp; Logistics'!$C$4:$D$77,2,FALSE),"N/A")</f>
        <v>0.68</v>
      </c>
    </row>
    <row r="184" spans="1:16" s="89" customFormat="1" outlineLevel="1" x14ac:dyDescent="0.35">
      <c r="A184" s="1169"/>
      <c r="B184" s="3965"/>
      <c r="C184" s="1294" t="s">
        <v>1340</v>
      </c>
      <c r="D184" s="1294" t="s">
        <v>778</v>
      </c>
      <c r="E184" s="1292">
        <f t="shared" si="3"/>
        <v>0.69444444444444442</v>
      </c>
      <c r="F184" s="1292">
        <f>IF($D184="Trigger",VLOOKUP($C184,'Upper Cask Welding failures'!$E$46:$H$564,4,FALSE),E184+F183)</f>
        <v>195.39591319725923</v>
      </c>
      <c r="G184" s="862"/>
      <c r="H184" s="1328" t="str">
        <f>IF(D184="operation",VLOOKUP(G184,'Generic Vertical Port Tasks'!C190:D246,2,FALSE),"N/A")</f>
        <v>N/A</v>
      </c>
      <c r="I184" s="1294" t="s">
        <v>1789</v>
      </c>
      <c r="J184" s="1294" t="s">
        <v>831</v>
      </c>
      <c r="K184" s="1294" t="s">
        <v>901</v>
      </c>
      <c r="L184" s="1329">
        <f>IFERROR(INDEX('Upper Cask Movement &amp; Logistics'!$I$24:$O$30,MATCH($J184,'Upper Cask Movement &amp; Logistics'!$H$24:$H$30,0),MATCH($K184,'Upper Cask Movement &amp; Logistics'!$H$24:$H$30,0)),"N/A")</f>
        <v>50</v>
      </c>
      <c r="M184" s="1329">
        <f>IFERROR(VLOOKUP($I184,'Upper Cask Movement &amp; Logistics'!$H$4:$I$8,2,FALSE),"N/A")</f>
        <v>0.02</v>
      </c>
      <c r="N184" s="1330">
        <f t="shared" si="4"/>
        <v>0.69444444444444442</v>
      </c>
      <c r="O184" s="1331"/>
      <c r="P184" s="1332" t="str">
        <f>IF($D184="Logistics",VLOOKUP($O184,'Upper Cask Movement &amp; Logistics'!$C$4:$D$77,2,FALSE),"N/A")</f>
        <v>N/A</v>
      </c>
    </row>
    <row r="185" spans="1:16" s="89" customFormat="1" outlineLevel="1" x14ac:dyDescent="0.35">
      <c r="A185" s="1169"/>
      <c r="B185" s="3965"/>
      <c r="C185" s="1294" t="s">
        <v>1367</v>
      </c>
      <c r="D185" s="1294" t="s">
        <v>3</v>
      </c>
      <c r="E185" s="1292">
        <f t="shared" si="3"/>
        <v>1.4000000000000001</v>
      </c>
      <c r="F185" s="1292">
        <f>IF($D185="Trigger",VLOOKUP($C185,'Upper Cask Welding failures'!$E$46:$H$564,4,FALSE),E185+F184)</f>
        <v>196.79591319725924</v>
      </c>
      <c r="G185" s="862"/>
      <c r="H185" s="1328" t="str">
        <f>IF(D185="operation",VLOOKUP(G185,'Generic Vertical Port Tasks'!C190:D246,2,FALSE),"N/A")</f>
        <v>N/A</v>
      </c>
      <c r="I185" s="1294"/>
      <c r="J185" s="1294"/>
      <c r="K185" s="1294"/>
      <c r="L185" s="1329" t="str">
        <f>IFERROR(INDEX('Upper Cask Movement &amp; Logistics'!$I$24:$O$30,MATCH($J185,'Upper Cask Movement &amp; Logistics'!$H$24:$H$30,0),MATCH($K185,'Upper Cask Movement &amp; Logistics'!$H$24:$H$30,0)),"N/A")</f>
        <v>N/A</v>
      </c>
      <c r="M185" s="1329" t="str">
        <f>IFERROR(VLOOKUP($I185,'Upper Cask Movement &amp; Logistics'!$H$4:$I$8,2,FALSE),"N/A")</f>
        <v>N/A</v>
      </c>
      <c r="N185" s="1330" t="str">
        <f t="shared" si="4"/>
        <v>N/A</v>
      </c>
      <c r="O185" s="1331" t="s">
        <v>1277</v>
      </c>
      <c r="P185" s="1332">
        <f>IF($D185="Logistics",VLOOKUP($O185,'Upper Cask Movement &amp; Logistics'!$C$4:$D$77,2,FALSE),"N/A")</f>
        <v>1.4000000000000001</v>
      </c>
    </row>
    <row r="186" spans="1:16" s="89" customFormat="1" ht="26.15" outlineLevel="1" thickBot="1" x14ac:dyDescent="0.4">
      <c r="A186" s="1169"/>
      <c r="B186" s="3966"/>
      <c r="C186" s="1340" t="str">
        <f>B180</f>
        <v>Hardware Cask 4 Un-Docked; ROB Pipe Module Collected; Hardware Cask 2 docked</v>
      </c>
      <c r="D186" s="1340" t="s">
        <v>11</v>
      </c>
      <c r="E186" s="1295">
        <f t="shared" si="3"/>
        <v>0</v>
      </c>
      <c r="F186" s="1295">
        <f>IF($D186="Trigger",VLOOKUP($C186,'Upper Cask Welding failures'!$E$46:$H$564,4,FALSE),E186+F185)</f>
        <v>196.79591319725924</v>
      </c>
      <c r="G186" s="839"/>
      <c r="H186" s="1341" t="str">
        <f>IF(D186="operation",VLOOKUP(G186,'Generic Vertical Port Tasks'!C190:D246,2,FALSE),"N/A")</f>
        <v>N/A</v>
      </c>
      <c r="I186" s="1340"/>
      <c r="J186" s="1340"/>
      <c r="K186" s="1340"/>
      <c r="L186" s="1342" t="str">
        <f>IFERROR(INDEX('Upper Cask Movement &amp; Logistics'!$I$24:$O$30,MATCH($J186,'Upper Cask Movement &amp; Logistics'!$H$24:$H$30,0),MATCH($K186,'Upper Cask Movement &amp; Logistics'!$H$24:$H$30,0)),"N/A")</f>
        <v>N/A</v>
      </c>
      <c r="M186" s="1342" t="str">
        <f>IFERROR(VLOOKUP($I186,'Upper Cask Movement &amp; Logistics'!$H$4:$I$8,2,FALSE),"N/A")</f>
        <v>N/A</v>
      </c>
      <c r="N186" s="1343" t="str">
        <f t="shared" si="4"/>
        <v>N/A</v>
      </c>
      <c r="O186" s="1344"/>
      <c r="P186" s="1345" t="str">
        <f>IF($D186="Logistics",VLOOKUP($O186,'Upper Cask Movement &amp; Logistics'!$C$4:$D$77,2,FALSE),"N/A")</f>
        <v>N/A</v>
      </c>
    </row>
    <row r="187" spans="1:16" s="89" customFormat="1" outlineLevel="1" x14ac:dyDescent="0.35">
      <c r="A187" s="1169"/>
      <c r="B187" s="3970" t="s">
        <v>1417</v>
      </c>
      <c r="C187" s="617" t="s">
        <v>119</v>
      </c>
      <c r="D187" s="617" t="s">
        <v>907</v>
      </c>
      <c r="E187" s="567">
        <f t="shared" si="3"/>
        <v>0</v>
      </c>
      <c r="F187" s="567">
        <f>IF($D187="Trigger",VLOOKUP($C187,'Upper Cask Welding failures'!$E$46:$H$564,4,FALSE),E187+F186)</f>
        <v>230.3177198232068</v>
      </c>
      <c r="G187" s="568"/>
      <c r="H187" s="569" t="str">
        <f>IF(D187="operation",VLOOKUP(G187,'Generic Vertical Port Tasks'!C197:D247,2,FALSE),"N/A")</f>
        <v>N/A</v>
      </c>
      <c r="I187" s="617"/>
      <c r="J187" s="617"/>
      <c r="K187" s="617"/>
      <c r="L187" s="618" t="str">
        <f>IFERROR(INDEX('Upper Cask Movement &amp; Logistics'!$I$24:$O$30,MATCH($J187,'Upper Cask Movement &amp; Logistics'!$H$24:$H$30,0),MATCH($K187,'Upper Cask Movement &amp; Logistics'!$H$24:$H$30,0)),"N/A")</f>
        <v>N/A</v>
      </c>
      <c r="M187" s="618" t="str">
        <f>IFERROR(VLOOKUP($I187,'Upper Cask Movement &amp; Logistics'!$H$4:$I$8,2,FALSE),"N/A")</f>
        <v>N/A</v>
      </c>
      <c r="N187" s="619" t="str">
        <f t="shared" si="4"/>
        <v>N/A</v>
      </c>
      <c r="O187" s="620"/>
      <c r="P187" s="621" t="str">
        <f>IF($D187="Logistics",VLOOKUP($O187,'Upper Cask Movement &amp; Logistics'!$C$4:$D$77,2,FALSE),"N/A")</f>
        <v>N/A</v>
      </c>
    </row>
    <row r="188" spans="1:16" s="89" customFormat="1" outlineLevel="1" x14ac:dyDescent="0.35">
      <c r="A188" s="1169"/>
      <c r="B188" s="3971"/>
      <c r="C188" s="1275" t="s">
        <v>1377</v>
      </c>
      <c r="D188" s="1275" t="s">
        <v>3</v>
      </c>
      <c r="E188" s="1276">
        <f t="shared" si="3"/>
        <v>2.3000000000000003</v>
      </c>
      <c r="F188" s="1276">
        <f>IF($D188="Trigger",VLOOKUP($C188,'Upper Cask Welding failures'!$E$46:$H$564,4,FALSE),E188+F187)</f>
        <v>232.61771982320681</v>
      </c>
      <c r="G188" s="879"/>
      <c r="H188" s="1379" t="str">
        <f>IF(D188="operation",VLOOKUP(G188,'Generic Vertical Port Tasks'!C197:D247,2,FALSE),"N/A")</f>
        <v>N/A</v>
      </c>
      <c r="I188" s="1275"/>
      <c r="J188" s="1275"/>
      <c r="K188" s="1275"/>
      <c r="L188" s="1277" t="str">
        <f>IFERROR(INDEX('Upper Cask Movement &amp; Logistics'!$I$24:$O$30,MATCH($J188,'Upper Cask Movement &amp; Logistics'!$H$24:$H$30,0),MATCH($K188,'Upper Cask Movement &amp; Logistics'!$H$24:$H$30,0)),"N/A")</f>
        <v>N/A</v>
      </c>
      <c r="M188" s="1277" t="str">
        <f>IFERROR(VLOOKUP($I188,'Upper Cask Movement &amp; Logistics'!$H$4:$I$8,2,FALSE),"N/A")</f>
        <v>N/A</v>
      </c>
      <c r="N188" s="1380" t="str">
        <f t="shared" si="4"/>
        <v>N/A</v>
      </c>
      <c r="O188" s="1381" t="s">
        <v>1269</v>
      </c>
      <c r="P188" s="850">
        <f>IF($D188="Logistics",VLOOKUP($O188,'Upper Cask Movement &amp; Logistics'!$C$4:$D$77,2,FALSE),"N/A")</f>
        <v>2.3000000000000003</v>
      </c>
    </row>
    <row r="189" spans="1:16" s="89" customFormat="1" outlineLevel="1" x14ac:dyDescent="0.35">
      <c r="A189" s="1169"/>
      <c r="B189" s="3972"/>
      <c r="C189" s="572" t="s">
        <v>1410</v>
      </c>
      <c r="D189" s="572" t="s">
        <v>778</v>
      </c>
      <c r="E189" s="574">
        <f t="shared" si="3"/>
        <v>0.23148148148148148</v>
      </c>
      <c r="F189" s="574">
        <f>IF($D189="Trigger",VLOOKUP($C189,'Upper Cask Welding failures'!$E$46:$H$564,4,FALSE),E189+F188)</f>
        <v>232.84920130468831</v>
      </c>
      <c r="G189" s="575"/>
      <c r="H189" s="576" t="str">
        <f>IF(D189="operation",VLOOKUP(G189,'Generic Vertical Port Tasks'!C197:D247,2,FALSE),"N/A")</f>
        <v>N/A</v>
      </c>
      <c r="I189" s="572" t="s">
        <v>2501</v>
      </c>
      <c r="J189" s="572" t="s">
        <v>901</v>
      </c>
      <c r="K189" s="572" t="s">
        <v>831</v>
      </c>
      <c r="L189" s="577">
        <f>IFERROR(INDEX('Upper Cask Movement &amp; Logistics'!$I$24:$O$30,MATCH($J189,'Upper Cask Movement &amp; Logistics'!$H$24:$H$30,0),MATCH($K189,'Upper Cask Movement &amp; Logistics'!$H$24:$H$30,0)),"N/A")</f>
        <v>50</v>
      </c>
      <c r="M189" s="577">
        <f>IFERROR(VLOOKUP($I189,'Upper Cask Movement &amp; Logistics'!$H$4:$I$8,2,FALSE),"N/A")</f>
        <v>0.06</v>
      </c>
      <c r="N189" s="578">
        <f t="shared" si="4"/>
        <v>0.23148148148148148</v>
      </c>
      <c r="O189" s="579"/>
      <c r="P189" s="580" t="str">
        <f>IF($D189="Logistics",VLOOKUP($O189,'Upper Cask Movement &amp; Logistics'!$C$4:$D$77,2,FALSE),"N/A")</f>
        <v>N/A</v>
      </c>
    </row>
    <row r="190" spans="1:16" s="89" customFormat="1" outlineLevel="1" x14ac:dyDescent="0.35">
      <c r="A190" s="1169"/>
      <c r="B190" s="3972"/>
      <c r="C190" s="572" t="s">
        <v>1415</v>
      </c>
      <c r="D190" s="572" t="s">
        <v>3</v>
      </c>
      <c r="E190" s="574">
        <f t="shared" ref="E190:E203" si="5">MAX($P190,$N190,$H190)</f>
        <v>0.68</v>
      </c>
      <c r="F190" s="574">
        <f>IF($D190="Trigger",VLOOKUP($C190,'Upper Cask Welding failures'!$E$46:$H$564,4,FALSE),E190+F189)</f>
        <v>233.52920130468831</v>
      </c>
      <c r="G190" s="575"/>
      <c r="H190" s="576" t="str">
        <f>IF(D190="operation",VLOOKUP(G190,'Generic Vertical Port Tasks'!C197:D247,2,FALSE),"N/A")</f>
        <v>N/A</v>
      </c>
      <c r="I190" s="572"/>
      <c r="J190" s="572"/>
      <c r="K190" s="572"/>
      <c r="L190" s="577" t="str">
        <f>IFERROR(INDEX('Upper Cask Movement &amp; Logistics'!$I$24:$O$30,MATCH($J190,'Upper Cask Movement &amp; Logistics'!$H$24:$H$30,0),MATCH($K190,'Upper Cask Movement &amp; Logistics'!$H$24:$H$30,0)),"N/A")</f>
        <v>N/A</v>
      </c>
      <c r="M190" s="577" t="str">
        <f>IFERROR(VLOOKUP($I190,'Upper Cask Movement &amp; Logistics'!$H$4:$I$8,2,FALSE),"N/A")</f>
        <v>N/A</v>
      </c>
      <c r="N190" s="578" t="str">
        <f t="shared" si="4"/>
        <v>N/A</v>
      </c>
      <c r="O190" s="579" t="s">
        <v>1213</v>
      </c>
      <c r="P190" s="580">
        <f>IF($D190="Logistics",VLOOKUP($O190,'Upper Cask Movement &amp; Logistics'!$C$4:$D$77,2,FALSE),"N/A")</f>
        <v>0.68</v>
      </c>
    </row>
    <row r="191" spans="1:16" s="89" customFormat="1" outlineLevel="1" x14ac:dyDescent="0.35">
      <c r="A191" s="1169"/>
      <c r="B191" s="3972"/>
      <c r="C191" s="572" t="s">
        <v>1366</v>
      </c>
      <c r="D191" s="572" t="s">
        <v>778</v>
      </c>
      <c r="E191" s="574">
        <f t="shared" si="5"/>
        <v>0.69444444444444442</v>
      </c>
      <c r="F191" s="574">
        <f>IF($D191="Trigger",VLOOKUP($C191,'Upper Cask Welding failures'!$E$46:$H$564,4,FALSE),E191+F190)</f>
        <v>234.22364574913277</v>
      </c>
      <c r="G191" s="575"/>
      <c r="H191" s="576" t="str">
        <f>IF(D191="operation",VLOOKUP(G191,'Generic Vertical Port Tasks'!C197:D247,2,FALSE),"N/A")</f>
        <v>N/A</v>
      </c>
      <c r="I191" s="572" t="s">
        <v>1789</v>
      </c>
      <c r="J191" s="572" t="s">
        <v>831</v>
      </c>
      <c r="K191" s="572" t="s">
        <v>901</v>
      </c>
      <c r="L191" s="577">
        <f>IFERROR(INDEX('Upper Cask Movement &amp; Logistics'!$I$24:$O$30,MATCH($J191,'Upper Cask Movement &amp; Logistics'!$H$24:$H$30,0),MATCH($K191,'Upper Cask Movement &amp; Logistics'!$H$24:$H$30,0)),"N/A")</f>
        <v>50</v>
      </c>
      <c r="M191" s="577">
        <f>IFERROR(VLOOKUP($I191,'Upper Cask Movement &amp; Logistics'!$H$4:$I$8,2,FALSE),"N/A")</f>
        <v>0.02</v>
      </c>
      <c r="N191" s="578">
        <f t="shared" si="4"/>
        <v>0.69444444444444442</v>
      </c>
      <c r="O191" s="579"/>
      <c r="P191" s="580" t="str">
        <f>IF($D191="Logistics",VLOOKUP($O191,'Upper Cask Movement &amp; Logistics'!$C$4:$D$77,2,FALSE),"N/A")</f>
        <v>N/A</v>
      </c>
    </row>
    <row r="192" spans="1:16" s="89" customFormat="1" outlineLevel="1" x14ac:dyDescent="0.35">
      <c r="A192" s="1169"/>
      <c r="B192" s="3972"/>
      <c r="C192" s="572" t="s">
        <v>1367</v>
      </c>
      <c r="D192" s="572" t="s">
        <v>3</v>
      </c>
      <c r="E192" s="574">
        <f t="shared" si="5"/>
        <v>1.4000000000000001</v>
      </c>
      <c r="F192" s="574">
        <f>IF($D192="Trigger",VLOOKUP($C192,'Upper Cask Welding failures'!$E$46:$H$564,4,FALSE),E192+F191)</f>
        <v>235.62364574913278</v>
      </c>
      <c r="G192" s="575"/>
      <c r="H192" s="576" t="str">
        <f>IF(D192="operation",VLOOKUP(G192,'Generic Vertical Port Tasks'!C197:D247,2,FALSE),"N/A")</f>
        <v>N/A</v>
      </c>
      <c r="I192" s="572"/>
      <c r="J192" s="572"/>
      <c r="K192" s="572"/>
      <c r="L192" s="577" t="str">
        <f>IFERROR(INDEX('Upper Cask Movement &amp; Logistics'!$I$24:$O$30,MATCH($J192,'Upper Cask Movement &amp; Logistics'!$H$24:$H$30,0),MATCH($K192,'Upper Cask Movement &amp; Logistics'!$H$24:$H$30,0)),"N/A")</f>
        <v>N/A</v>
      </c>
      <c r="M192" s="577" t="str">
        <f>IFERROR(VLOOKUP($I192,'Upper Cask Movement &amp; Logistics'!$H$4:$I$8,2,FALSE),"N/A")</f>
        <v>N/A</v>
      </c>
      <c r="N192" s="578" t="str">
        <f t="shared" si="4"/>
        <v>N/A</v>
      </c>
      <c r="O192" s="579" t="s">
        <v>1277</v>
      </c>
      <c r="P192" s="580">
        <f>IF($D192="Logistics",VLOOKUP($O192,'Upper Cask Movement &amp; Logistics'!$C$4:$D$77,2,FALSE),"N/A")</f>
        <v>1.4000000000000001</v>
      </c>
    </row>
    <row r="193" spans="1:23" s="89" customFormat="1" ht="26.15" outlineLevel="1" thickBot="1" x14ac:dyDescent="0.4">
      <c r="A193" s="1169"/>
      <c r="B193" s="3973"/>
      <c r="C193" s="583" t="str">
        <f>B187</f>
        <v>Hardware Cask 2 Un-Docked; LOB Pipe Module Collected; Hardware Cask 4 docked</v>
      </c>
      <c r="D193" s="583" t="s">
        <v>11</v>
      </c>
      <c r="E193" s="585">
        <f t="shared" si="5"/>
        <v>0</v>
      </c>
      <c r="F193" s="585">
        <f>IF($D193="Trigger",VLOOKUP($C193,'Upper Cask Welding failures'!$E$46:$H$564,4,FALSE),E193+F192)</f>
        <v>235.62364574913278</v>
      </c>
      <c r="G193" s="586"/>
      <c r="H193" s="587" t="str">
        <f>IF(D193="operation",VLOOKUP(G193,'Generic Vertical Port Tasks'!C197:D247,2,FALSE),"N/A")</f>
        <v>N/A</v>
      </c>
      <c r="I193" s="583"/>
      <c r="J193" s="583"/>
      <c r="K193" s="583"/>
      <c r="L193" s="588" t="str">
        <f>IFERROR(INDEX('Upper Cask Movement &amp; Logistics'!$I$24:$O$30,MATCH($J193,'Upper Cask Movement &amp; Logistics'!$H$24:$H$30,0),MATCH($K193,'Upper Cask Movement &amp; Logistics'!$H$24:$H$30,0)),"N/A")</f>
        <v>N/A</v>
      </c>
      <c r="M193" s="588" t="str">
        <f>IFERROR(VLOOKUP($I193,'Upper Cask Movement &amp; Logistics'!$H$4:$I$8,2,FALSE),"N/A")</f>
        <v>N/A</v>
      </c>
      <c r="N193" s="589" t="str">
        <f t="shared" si="4"/>
        <v>N/A</v>
      </c>
      <c r="O193" s="590"/>
      <c r="P193" s="591" t="str">
        <f>IF($D193="Logistics",VLOOKUP($O193,'Upper Cask Movement &amp; Logistics'!$C$4:$D$77,2,FALSE),"N/A")</f>
        <v>N/A</v>
      </c>
    </row>
    <row r="194" spans="1:23" s="89" customFormat="1" outlineLevel="1" x14ac:dyDescent="0.35">
      <c r="A194" s="1169"/>
      <c r="B194" s="3964" t="s">
        <v>1418</v>
      </c>
      <c r="C194" s="1324" t="s">
        <v>120</v>
      </c>
      <c r="D194" s="1324" t="s">
        <v>907</v>
      </c>
      <c r="E194" s="1291">
        <f t="shared" si="5"/>
        <v>0</v>
      </c>
      <c r="F194" s="1291">
        <f>IF($D194="Trigger",VLOOKUP($C194,'Upper Cask Welding failures'!$E$46:$H$564,4,FALSE),E194+F193)</f>
        <v>269.14545237508037</v>
      </c>
      <c r="G194" s="825"/>
      <c r="H194" s="1323" t="str">
        <f>IF(D194="operation",VLOOKUP(G194,'Generic Vertical Port Tasks'!C204:D248,2,FALSE),"N/A")</f>
        <v>N/A</v>
      </c>
      <c r="I194" s="1324"/>
      <c r="J194" s="1324"/>
      <c r="K194" s="1324"/>
      <c r="L194" s="1325" t="str">
        <f>IFERROR(INDEX('Upper Cask Movement &amp; Logistics'!$I$24:$O$30,MATCH($J194,'Upper Cask Movement &amp; Logistics'!$H$24:$H$30,0),MATCH($K194,'Upper Cask Movement &amp; Logistics'!$H$24:$H$30,0)),"N/A")</f>
        <v>N/A</v>
      </c>
      <c r="M194" s="1325" t="str">
        <f>IFERROR(VLOOKUP($I194,'Upper Cask Movement &amp; Logistics'!$H$4:$I$8,2,FALSE),"N/A")</f>
        <v>N/A</v>
      </c>
      <c r="N194" s="1326" t="str">
        <f t="shared" si="4"/>
        <v>N/A</v>
      </c>
      <c r="O194" s="1327"/>
      <c r="P194" s="824" t="str">
        <f>IF($D194="Logistics",VLOOKUP($O194,'Upper Cask Movement &amp; Logistics'!$C$4:$D$77,2,FALSE),"N/A")</f>
        <v>N/A</v>
      </c>
    </row>
    <row r="195" spans="1:23" s="89" customFormat="1" outlineLevel="1" x14ac:dyDescent="0.35">
      <c r="A195" s="1169"/>
      <c r="B195" s="3969"/>
      <c r="C195" s="1362" t="s">
        <v>1377</v>
      </c>
      <c r="D195" s="1362" t="s">
        <v>3</v>
      </c>
      <c r="E195" s="1363">
        <f t="shared" si="5"/>
        <v>2.3000000000000003</v>
      </c>
      <c r="F195" s="1363">
        <f>IF($D195="Trigger",VLOOKUP($C195,'Upper Cask Welding failures'!$E$46:$H$564,4,FALSE),E195+F194)</f>
        <v>271.44545237508038</v>
      </c>
      <c r="G195" s="1364"/>
      <c r="H195" s="1365" t="str">
        <f>IF(D195="operation",VLOOKUP(G195,'Generic Vertical Port Tasks'!C204:D248,2,FALSE),"N/A")</f>
        <v>N/A</v>
      </c>
      <c r="I195" s="1362"/>
      <c r="J195" s="1362"/>
      <c r="K195" s="1362"/>
      <c r="L195" s="1366" t="str">
        <f>IFERROR(INDEX('Upper Cask Movement &amp; Logistics'!$I$24:$O$30,MATCH($J195,'Upper Cask Movement &amp; Logistics'!$H$24:$H$30,0),MATCH($K195,'Upper Cask Movement &amp; Logistics'!$H$24:$H$30,0)),"N/A")</f>
        <v>N/A</v>
      </c>
      <c r="M195" s="1366" t="str">
        <f>IFERROR(VLOOKUP($I195,'Upper Cask Movement &amp; Logistics'!$H$4:$I$8,2,FALSE),"N/A")</f>
        <v>N/A</v>
      </c>
      <c r="N195" s="1367" t="str">
        <f t="shared" si="4"/>
        <v>N/A</v>
      </c>
      <c r="O195" s="1368" t="s">
        <v>1269</v>
      </c>
      <c r="P195" s="861">
        <f>IF($D195="Logistics",VLOOKUP($O195,'Upper Cask Movement &amp; Logistics'!$C$4:$D$77,2,FALSE),"N/A")</f>
        <v>2.3000000000000003</v>
      </c>
    </row>
    <row r="196" spans="1:23" s="89" customFormat="1" outlineLevel="1" x14ac:dyDescent="0.35">
      <c r="A196" s="1169"/>
      <c r="B196" s="3965"/>
      <c r="C196" s="1294" t="s">
        <v>1410</v>
      </c>
      <c r="D196" s="1294" t="s">
        <v>778</v>
      </c>
      <c r="E196" s="1292">
        <f t="shared" si="5"/>
        <v>0.23148148148148148</v>
      </c>
      <c r="F196" s="1292">
        <f>IF($D196="Trigger",VLOOKUP($C196,'Upper Cask Welding failures'!$E$46:$H$564,4,FALSE),E196+F195)</f>
        <v>271.67693385656185</v>
      </c>
      <c r="G196" s="862"/>
      <c r="H196" s="1328" t="str">
        <f>IF(D196="operation",VLOOKUP(G196,'Generic Vertical Port Tasks'!C204:D248,2,FALSE),"N/A")</f>
        <v>N/A</v>
      </c>
      <c r="I196" s="1294" t="s">
        <v>2501</v>
      </c>
      <c r="J196" s="1294" t="s">
        <v>901</v>
      </c>
      <c r="K196" s="1294" t="s">
        <v>831</v>
      </c>
      <c r="L196" s="1329">
        <f>IFERROR(INDEX('Upper Cask Movement &amp; Logistics'!$I$24:$O$30,MATCH($J196,'Upper Cask Movement &amp; Logistics'!$H$24:$H$30,0),MATCH($K196,'Upper Cask Movement &amp; Logistics'!$H$24:$H$30,0)),"N/A")</f>
        <v>50</v>
      </c>
      <c r="M196" s="1329">
        <f>IFERROR(VLOOKUP($I196,'Upper Cask Movement &amp; Logistics'!$H$4:$I$8,2,FALSE),"N/A")</f>
        <v>0.06</v>
      </c>
      <c r="N196" s="1330">
        <f t="shared" si="4"/>
        <v>0.23148148148148148</v>
      </c>
      <c r="O196" s="1331"/>
      <c r="P196" s="1332" t="str">
        <f>IF($D196="Logistics",VLOOKUP($O196,'Upper Cask Movement &amp; Logistics'!$C$4:$D$77,2,FALSE),"N/A")</f>
        <v>N/A</v>
      </c>
    </row>
    <row r="197" spans="1:23" s="89" customFormat="1" outlineLevel="1" x14ac:dyDescent="0.35">
      <c r="A197" s="1169"/>
      <c r="B197" s="3965"/>
      <c r="C197" s="1294" t="s">
        <v>1419</v>
      </c>
      <c r="D197" s="1294" t="s">
        <v>3</v>
      </c>
      <c r="E197" s="1292">
        <f t="shared" si="5"/>
        <v>0.68</v>
      </c>
      <c r="F197" s="1292">
        <f>IF($D197="Trigger",VLOOKUP($C197,'Upper Cask Welding failures'!$E$46:$H$564,4,FALSE),E197+F196)</f>
        <v>272.35693385656185</v>
      </c>
      <c r="G197" s="862"/>
      <c r="H197" s="1328" t="str">
        <f>IF(D197="operation",VLOOKUP(G197,'Generic Vertical Port Tasks'!C204:D248,2,FALSE),"N/A")</f>
        <v>N/A</v>
      </c>
      <c r="I197" s="1294"/>
      <c r="J197" s="1294"/>
      <c r="K197" s="1294"/>
      <c r="L197" s="1329" t="str">
        <f>IFERROR(INDEX('Upper Cask Movement &amp; Logistics'!$I$24:$O$30,MATCH($J197,'Upper Cask Movement &amp; Logistics'!$H$24:$H$30,0),MATCH($K197,'Upper Cask Movement &amp; Logistics'!$H$24:$H$30,0)),"N/A")</f>
        <v>N/A</v>
      </c>
      <c r="M197" s="1329" t="str">
        <f>IFERROR(VLOOKUP($I197,'Upper Cask Movement &amp; Logistics'!$H$4:$I$8,2,FALSE),"N/A")</f>
        <v>N/A</v>
      </c>
      <c r="N197" s="1330" t="str">
        <f t="shared" si="4"/>
        <v>N/A</v>
      </c>
      <c r="O197" s="1331" t="s">
        <v>1213</v>
      </c>
      <c r="P197" s="1332">
        <f>IF($D197="Logistics",VLOOKUP($O197,'Upper Cask Movement &amp; Logistics'!$C$4:$D$77,2,FALSE),"N/A")</f>
        <v>0.68</v>
      </c>
    </row>
    <row r="198" spans="1:23" s="89" customFormat="1" outlineLevel="1" x14ac:dyDescent="0.35">
      <c r="A198" s="1169"/>
      <c r="B198" s="3965"/>
      <c r="C198" s="1294" t="s">
        <v>1366</v>
      </c>
      <c r="D198" s="1294" t="s">
        <v>778</v>
      </c>
      <c r="E198" s="1292">
        <f t="shared" si="5"/>
        <v>0.69444444444444442</v>
      </c>
      <c r="F198" s="1292">
        <f>IF($D198="Trigger",VLOOKUP($C198,'Upper Cask Welding failures'!$E$46:$H$564,4,FALSE),E198+F197)</f>
        <v>273.05137830100631</v>
      </c>
      <c r="G198" s="862"/>
      <c r="H198" s="1328" t="str">
        <f>IF(D198="operation",VLOOKUP(G198,'Generic Vertical Port Tasks'!C204:D248,2,FALSE),"N/A")</f>
        <v>N/A</v>
      </c>
      <c r="I198" s="1294" t="s">
        <v>1789</v>
      </c>
      <c r="J198" s="1294" t="s">
        <v>831</v>
      </c>
      <c r="K198" s="1294" t="s">
        <v>901</v>
      </c>
      <c r="L198" s="1329">
        <f>IFERROR(INDEX('Upper Cask Movement &amp; Logistics'!$I$24:$O$30,MATCH($J198,'Upper Cask Movement &amp; Logistics'!$H$24:$H$30,0),MATCH($K198,'Upper Cask Movement &amp; Logistics'!$H$24:$H$30,0)),"N/A")</f>
        <v>50</v>
      </c>
      <c r="M198" s="1329">
        <f>IFERROR(VLOOKUP($I198,'Upper Cask Movement &amp; Logistics'!$H$4:$I$8,2,FALSE),"N/A")</f>
        <v>0.02</v>
      </c>
      <c r="N198" s="1330">
        <f t="shared" si="4"/>
        <v>0.69444444444444442</v>
      </c>
      <c r="O198" s="1331"/>
      <c r="P198" s="1332" t="str">
        <f>IF($D198="Logistics",VLOOKUP($O198,'Upper Cask Movement &amp; Logistics'!$C$4:$D$77,2,FALSE),"N/A")</f>
        <v>N/A</v>
      </c>
    </row>
    <row r="199" spans="1:23" s="89" customFormat="1" outlineLevel="1" x14ac:dyDescent="0.35">
      <c r="A199" s="1169"/>
      <c r="B199" s="3965"/>
      <c r="C199" s="1294" t="s">
        <v>1367</v>
      </c>
      <c r="D199" s="1294" t="s">
        <v>3</v>
      </c>
      <c r="E199" s="1292">
        <f t="shared" si="5"/>
        <v>1.4000000000000001</v>
      </c>
      <c r="F199" s="1292">
        <f>IF($D199="Trigger",VLOOKUP($C199,'Upper Cask Welding failures'!$E$46:$H$564,4,FALSE),E199+F198)</f>
        <v>274.45137830100629</v>
      </c>
      <c r="G199" s="862"/>
      <c r="H199" s="1328" t="str">
        <f>IF(D199="operation",VLOOKUP(G199,'Generic Vertical Port Tasks'!C204:D248,2,FALSE),"N/A")</f>
        <v>N/A</v>
      </c>
      <c r="I199" s="1294"/>
      <c r="J199" s="1294"/>
      <c r="K199" s="1294"/>
      <c r="L199" s="1329" t="str">
        <f>IFERROR(INDEX('Upper Cask Movement &amp; Logistics'!$I$24:$O$30,MATCH($J199,'Upper Cask Movement &amp; Logistics'!$H$24:$H$30,0),MATCH($K199,'Upper Cask Movement &amp; Logistics'!$H$24:$H$30,0)),"N/A")</f>
        <v>N/A</v>
      </c>
      <c r="M199" s="1329" t="str">
        <f>IFERROR(VLOOKUP($I199,'Upper Cask Movement &amp; Logistics'!$H$4:$I$8,2,FALSE),"N/A")</f>
        <v>N/A</v>
      </c>
      <c r="N199" s="1330" t="str">
        <f t="shared" si="4"/>
        <v>N/A</v>
      </c>
      <c r="O199" s="1331" t="s">
        <v>1277</v>
      </c>
      <c r="P199" s="1332">
        <f>IF($D199="Logistics",VLOOKUP($O199,'Upper Cask Movement &amp; Logistics'!$C$4:$D$77,2,FALSE),"N/A")</f>
        <v>1.4000000000000001</v>
      </c>
    </row>
    <row r="200" spans="1:23" s="89" customFormat="1" ht="26.15" outlineLevel="1" thickBot="1" x14ac:dyDescent="0.4">
      <c r="A200" s="1169"/>
      <c r="B200" s="3966"/>
      <c r="C200" s="1340" t="str">
        <f>B194</f>
        <v>Hardware Cask 4 Un-Docked; COB Pipe Module Collected; Hardware Cask 2 docked</v>
      </c>
      <c r="D200" s="1340" t="s">
        <v>11</v>
      </c>
      <c r="E200" s="1295">
        <f t="shared" si="5"/>
        <v>0</v>
      </c>
      <c r="F200" s="1295">
        <f>IF($D200="Trigger",VLOOKUP($C200,'Upper Cask Welding failures'!$E$46:$H$564,4,FALSE),E200+F199)</f>
        <v>274.45137830100629</v>
      </c>
      <c r="G200" s="839"/>
      <c r="H200" s="1341" t="str">
        <f>IF(D200="operation",VLOOKUP(G200,'Generic Vertical Port Tasks'!C204:D248,2,FALSE),"N/A")</f>
        <v>N/A</v>
      </c>
      <c r="I200" s="1340"/>
      <c r="J200" s="1340"/>
      <c r="K200" s="1340"/>
      <c r="L200" s="1342" t="str">
        <f>IFERROR(INDEX('Upper Cask Movement &amp; Logistics'!$I$24:$O$30,MATCH($J200,'Upper Cask Movement &amp; Logistics'!$H$24:$H$30,0),MATCH($K200,'Upper Cask Movement &amp; Logistics'!$H$24:$H$30,0)),"N/A")</f>
        <v>N/A</v>
      </c>
      <c r="M200" s="1342" t="str">
        <f>IFERROR(VLOOKUP($I200,'Upper Cask Movement &amp; Logistics'!$H$4:$I$8,2,FALSE),"N/A")</f>
        <v>N/A</v>
      </c>
      <c r="N200" s="1343" t="str">
        <f t="shared" si="4"/>
        <v>N/A</v>
      </c>
      <c r="O200" s="1344"/>
      <c r="P200" s="1345" t="str">
        <f>IF($D200="Logistics",VLOOKUP($O200,'Upper Cask Movement &amp; Logistics'!$C$4:$D$77,2,FALSE),"N/A")</f>
        <v>N/A</v>
      </c>
    </row>
    <row r="201" spans="1:23" ht="12.75" customHeight="1" outlineLevel="1" thickBot="1" x14ac:dyDescent="0.4">
      <c r="A201" s="1173"/>
      <c r="B201" s="4001" t="s">
        <v>1099</v>
      </c>
      <c r="C201" s="566" t="s">
        <v>1181</v>
      </c>
      <c r="D201" s="566" t="s">
        <v>907</v>
      </c>
      <c r="E201" s="1175">
        <f t="shared" si="5"/>
        <v>0</v>
      </c>
      <c r="F201" s="621">
        <f>IF($D201="Trigger",VLOOKUP("*"&amp;$C201&amp;"*",'Upper Cask Welding failures'!$E$46:$H$564,4,FALSE),E201+#REF!)</f>
        <v>0</v>
      </c>
      <c r="G201" s="568"/>
      <c r="H201" s="621" t="str">
        <f>IF(D201="operation",VLOOKUP(G201,'Upper Hot Cell Welding failures'!E240:I317,5,FALSE), "N/A")</f>
        <v>N/A</v>
      </c>
      <c r="I201" s="566"/>
      <c r="J201" s="566"/>
      <c r="K201" s="566"/>
      <c r="L201" s="1175" t="str">
        <f>IFERROR(INDEX(#REF!,MATCH($J201,#REF!,0),MATCH($K201,#REF!,0)),"N/A")</f>
        <v>N/A</v>
      </c>
      <c r="M201" s="1175" t="str">
        <f>IFERROR(VLOOKUP($I201,#REF!,2,FALSE),"N/A")</f>
        <v>N/A</v>
      </c>
      <c r="N201" s="1175" t="str">
        <f t="shared" si="4"/>
        <v>N/A</v>
      </c>
      <c r="O201" s="620"/>
      <c r="P201" s="621" t="str">
        <f>IF($D201="Logistics",VLOOKUP($O201,#REF!,2,FALSE),"N/A")</f>
        <v>N/A</v>
      </c>
      <c r="T201" s="89"/>
      <c r="U201" s="89"/>
      <c r="V201" s="89"/>
      <c r="W201" s="89"/>
    </row>
    <row r="202" spans="1:23" ht="12.75" customHeight="1" outlineLevel="1" x14ac:dyDescent="0.35">
      <c r="A202" s="1173"/>
      <c r="B202" s="4002"/>
      <c r="C202" s="573" t="s">
        <v>1182</v>
      </c>
      <c r="D202" s="573" t="s">
        <v>251</v>
      </c>
      <c r="E202" s="1176" t="e">
        <f t="shared" si="5"/>
        <v>#N/A</v>
      </c>
      <c r="F202" s="580" t="e">
        <f>IF($D202="Trigger",VLOOKUP("*"&amp;$C202&amp;"*",'Upper Cask Welding failures'!$E$46:$H$564,4,FALSE),E202+F201)</f>
        <v>#N/A</v>
      </c>
      <c r="G202" s="575" t="s">
        <v>1187</v>
      </c>
      <c r="H202" s="621" t="e">
        <v>#N/A</v>
      </c>
      <c r="I202" s="573"/>
      <c r="J202" s="573"/>
      <c r="K202" s="573"/>
      <c r="L202" s="1176" t="str">
        <f>IFERROR(INDEX(#REF!,MATCH($J202,#REF!,0),MATCH($K202,#REF!,0)),"N/A")</f>
        <v>N/A</v>
      </c>
      <c r="M202" s="1176" t="str">
        <f>IFERROR(VLOOKUP($I202,#REF!,2,FALSE),"N/A")</f>
        <v>N/A</v>
      </c>
      <c r="N202" s="1176" t="str">
        <f t="shared" si="4"/>
        <v>N/A</v>
      </c>
      <c r="O202" s="579"/>
      <c r="P202" s="580" t="str">
        <f>IF($D202="Logistics",VLOOKUP($O202,#REF!,2,FALSE),"N/A")</f>
        <v>N/A</v>
      </c>
      <c r="T202" s="89"/>
      <c r="U202" s="89"/>
      <c r="V202" s="89"/>
      <c r="W202" s="89"/>
    </row>
    <row r="203" spans="1:23" ht="13.5" customHeight="1" outlineLevel="1" thickBot="1" x14ac:dyDescent="0.45">
      <c r="A203" s="1173"/>
      <c r="B203" s="4003"/>
      <c r="C203" s="584" t="str">
        <f>B201</f>
        <v>COB Lower Port Pipe Module installed</v>
      </c>
      <c r="D203" s="584" t="s">
        <v>11</v>
      </c>
      <c r="E203" s="1179">
        <f t="shared" si="5"/>
        <v>0</v>
      </c>
      <c r="F203" s="591" t="e">
        <f>IF($D203="Trigger",VLOOKUP("*"&amp;$C203&amp;"*",'Upper Cask Welding failures'!$E$46:$H$564,4,FALSE),E203+F202)</f>
        <v>#N/A</v>
      </c>
      <c r="G203" s="586"/>
      <c r="H203" s="591" t="str">
        <f>IF(D203="operation",VLOOKUP(G203,#REF!,5,FALSE), "N/A")</f>
        <v>N/A</v>
      </c>
      <c r="I203" s="584"/>
      <c r="J203" s="584"/>
      <c r="K203" s="584"/>
      <c r="L203" s="1179" t="str">
        <f>IFERROR(INDEX(#REF!,MATCH($J203,#REF!,0),MATCH($K203,#REF!,0)),"N/A")</f>
        <v>N/A</v>
      </c>
      <c r="M203" s="1179" t="str">
        <f>IFERROR(VLOOKUP($I203,#REF!,2,FALSE),"N/A")</f>
        <v>N/A</v>
      </c>
      <c r="N203" s="1179" t="str">
        <f t="shared" si="4"/>
        <v>N/A</v>
      </c>
      <c r="O203" s="590"/>
      <c r="P203" s="591" t="str">
        <f>IF($D203="Logistics",VLOOKUP($O203,#REF!,2,FALSE),"N/A")</f>
        <v>N/A</v>
      </c>
    </row>
    <row r="204" spans="1:23" ht="13.3" thickBot="1" x14ac:dyDescent="0.45">
      <c r="A204" s="1184"/>
      <c r="B204" s="1550"/>
      <c r="C204" s="1185"/>
      <c r="D204" s="1185"/>
      <c r="E204" s="1185"/>
      <c r="F204" s="1185"/>
      <c r="G204" s="1185"/>
      <c r="H204" s="1551"/>
      <c r="I204" s="1185"/>
      <c r="J204" s="1185"/>
      <c r="K204" s="1185"/>
      <c r="L204" s="1186"/>
      <c r="M204" s="1186"/>
      <c r="N204" s="1186"/>
      <c r="O204" s="1185"/>
      <c r="P204" s="1187"/>
    </row>
    <row r="205" spans="1:23" x14ac:dyDescent="0.4">
      <c r="A205" s="1188"/>
      <c r="B205" s="1189" t="s">
        <v>1188</v>
      </c>
      <c r="C205" s="1189"/>
      <c r="D205" s="1189"/>
      <c r="E205" s="1189"/>
      <c r="F205" s="1189"/>
      <c r="G205" s="1189"/>
      <c r="H205" s="1189"/>
      <c r="I205" s="1189"/>
      <c r="J205" s="1189"/>
      <c r="K205" s="1189"/>
      <c r="L205" s="1189"/>
      <c r="M205" s="1189"/>
      <c r="N205" s="1189"/>
      <c r="O205" s="1189"/>
      <c r="P205" s="1190"/>
    </row>
    <row r="206" spans="1:23" ht="13.3" outlineLevel="1" thickBot="1" x14ac:dyDescent="0.45">
      <c r="A206" s="1191"/>
      <c r="B206" s="1552"/>
      <c r="C206" s="1192"/>
      <c r="D206" s="1192"/>
      <c r="E206" s="1192"/>
      <c r="F206" s="1192"/>
      <c r="G206" s="1192"/>
      <c r="H206" s="1553"/>
      <c r="I206" s="1192"/>
      <c r="J206" s="1192"/>
      <c r="K206" s="1192"/>
      <c r="L206" s="1193"/>
      <c r="M206" s="1193"/>
      <c r="N206" s="1193"/>
      <c r="O206" s="1192"/>
      <c r="P206" s="1194"/>
    </row>
    <row r="207" spans="1:23" s="89" customFormat="1" outlineLevel="1" x14ac:dyDescent="0.35">
      <c r="A207" s="1191"/>
      <c r="B207" s="3964" t="s">
        <v>1372</v>
      </c>
      <c r="C207" s="1324" t="s">
        <v>125</v>
      </c>
      <c r="D207" s="1324" t="s">
        <v>907</v>
      </c>
      <c r="E207" s="1291">
        <f t="shared" ref="E207:E300" si="6">MAX($P207,$N207,$H207)</f>
        <v>0</v>
      </c>
      <c r="F207" s="1291">
        <f>IF($D207="Trigger",VLOOKUP($C207,'Upper Cask Welding failures'!$E$192:$H$294,4,FALSE),E207+#REF!)</f>
        <v>2.1549155317167692</v>
      </c>
      <c r="G207" s="825"/>
      <c r="H207" s="1323" t="str">
        <f>IF(D207="operation",VLOOKUP(G207,'Generic Vertical Port Tasks'!C190:D220,2,FALSE),"N/A")</f>
        <v>N/A</v>
      </c>
      <c r="I207" s="1324"/>
      <c r="J207" s="1324"/>
      <c r="K207" s="1324"/>
      <c r="L207" s="1325" t="str">
        <f>IFERROR(INDEX('Upper Cask Movement &amp; Logistics'!$I$24:$O$30,MATCH($J207,'Upper Cask Movement &amp; Logistics'!$H$24:$H$30,0),MATCH($K207,'Upper Cask Movement &amp; Logistics'!$H$24:$H$30,0)),"N/A")</f>
        <v>N/A</v>
      </c>
      <c r="M207" s="1325" t="str">
        <f>IFERROR(VLOOKUP($I207,'Upper Cask Movement &amp; Logistics'!$H$4:$I$8,2,FALSE),"N/A")</f>
        <v>N/A</v>
      </c>
      <c r="N207" s="1326" t="str">
        <f t="shared" ref="N207:N281" si="7">IF(D207="Movement",IFERROR((L207/M207)/(60*60),"Error"),"N/A")</f>
        <v>N/A</v>
      </c>
      <c r="O207" s="1327"/>
      <c r="P207" s="824" t="str">
        <f>IF($D207="Logistics",VLOOKUP($O207,'Upper Cask Movement &amp; Logistics'!$C$4:$D$77,2,FALSE),"N/A")</f>
        <v>N/A</v>
      </c>
    </row>
    <row r="208" spans="1:23" s="89" customFormat="1" outlineLevel="1" x14ac:dyDescent="0.35">
      <c r="A208" s="1191"/>
      <c r="B208" s="3969"/>
      <c r="C208" s="1362" t="s">
        <v>1369</v>
      </c>
      <c r="D208" s="1362" t="s">
        <v>3</v>
      </c>
      <c r="E208" s="1363">
        <f t="shared" si="6"/>
        <v>2.3000000000000003</v>
      </c>
      <c r="F208" s="1363">
        <f>IF($D208="Trigger",VLOOKUP($C208,'Upper Cask Welding failures'!$E$192:$H$294,4,FALSE),E208+F207)</f>
        <v>4.4549155317167699</v>
      </c>
      <c r="G208" s="1364"/>
      <c r="H208" s="1365" t="str">
        <f>IF(D208="operation",VLOOKUP(G208,'Generic Vertical Port Tasks'!C190:D220,2,FALSE),"N/A")</f>
        <v>N/A</v>
      </c>
      <c r="I208" s="1362"/>
      <c r="J208" s="1362"/>
      <c r="K208" s="1362"/>
      <c r="L208" s="1366" t="str">
        <f>IFERROR(INDEX('Upper Cask Movement &amp; Logistics'!$I$24:$O$30,MATCH($J208,'Upper Cask Movement &amp; Logistics'!$H$24:$H$30,0),MATCH($K208,'Upper Cask Movement &amp; Logistics'!$H$24:$H$30,0)),"N/A")</f>
        <v>N/A</v>
      </c>
      <c r="M208" s="1366" t="str">
        <f>IFERROR(VLOOKUP($I208,'Upper Cask Movement &amp; Logistics'!$H$4:$I$8,2,FALSE),"N/A")</f>
        <v>N/A</v>
      </c>
      <c r="N208" s="1367" t="str">
        <f t="shared" si="7"/>
        <v>N/A</v>
      </c>
      <c r="O208" s="1368" t="s">
        <v>1269</v>
      </c>
      <c r="P208" s="861">
        <f>IF($D208="Logistics",VLOOKUP($O208,'Upper Cask Movement &amp; Logistics'!$C$4:$D$77,2,FALSE),"N/A")</f>
        <v>2.3000000000000003</v>
      </c>
    </row>
    <row r="209" spans="1:16" s="89" customFormat="1" outlineLevel="1" x14ac:dyDescent="0.35">
      <c r="A209" s="1191"/>
      <c r="B209" s="3965"/>
      <c r="C209" s="1294" t="s">
        <v>1370</v>
      </c>
      <c r="D209" s="1294" t="s">
        <v>778</v>
      </c>
      <c r="E209" s="1292">
        <f t="shared" si="6"/>
        <v>0.69444444444444442</v>
      </c>
      <c r="F209" s="1292">
        <f>IF($D209="Trigger",VLOOKUP($C209,'Upper Cask Welding failures'!$E$192:$H$294,4,FALSE),E209+F208)</f>
        <v>5.1493599761612145</v>
      </c>
      <c r="G209" s="862"/>
      <c r="H209" s="1328" t="str">
        <f>IF(D209="operation",VLOOKUP(G209,'Generic Vertical Port Tasks'!C190:D220,2,FALSE),"N/A")</f>
        <v>N/A</v>
      </c>
      <c r="I209" s="1294" t="s">
        <v>1789</v>
      </c>
      <c r="J209" s="1294" t="s">
        <v>901</v>
      </c>
      <c r="K209" s="1294" t="s">
        <v>831</v>
      </c>
      <c r="L209" s="1329">
        <f>IFERROR(INDEX('Upper Cask Movement &amp; Logistics'!$I$24:$O$30,MATCH($J209,'Upper Cask Movement &amp; Logistics'!$H$24:$H$30,0),MATCH($K209,'Upper Cask Movement &amp; Logistics'!$H$24:$H$30,0)),"N/A")</f>
        <v>50</v>
      </c>
      <c r="M209" s="1329">
        <f>IFERROR(VLOOKUP($I209,'Upper Cask Movement &amp; Logistics'!$H$4:$I$8,2,FALSE),"N/A")</f>
        <v>0.02</v>
      </c>
      <c r="N209" s="1330">
        <f t="shared" si="7"/>
        <v>0.69444444444444442</v>
      </c>
      <c r="O209" s="1331"/>
      <c r="P209" s="1332" t="str">
        <f>IF($D209="Logistics",VLOOKUP($O209,'Upper Cask Movement &amp; Logistics'!$C$4:$D$77,2,FALSE),"N/A")</f>
        <v>N/A</v>
      </c>
    </row>
    <row r="210" spans="1:16" s="89" customFormat="1" outlineLevel="1" x14ac:dyDescent="0.35">
      <c r="A210" s="1191"/>
      <c r="B210" s="3965"/>
      <c r="C210" s="1294" t="s">
        <v>1373</v>
      </c>
      <c r="D210" s="1294" t="s">
        <v>3</v>
      </c>
      <c r="E210" s="1292">
        <f t="shared" si="6"/>
        <v>0.68</v>
      </c>
      <c r="F210" s="1292">
        <f>IF($D210="Trigger",VLOOKUP($C210,'Upper Cask Welding failures'!$E$192:$H$294,4,FALSE),E210+F209)</f>
        <v>5.8293599761612143</v>
      </c>
      <c r="G210" s="862"/>
      <c r="H210" s="1328" t="str">
        <f>IF(D210="operation",VLOOKUP(G210,'Generic Vertical Port Tasks'!C215:D250,2,FALSE),"N/A")</f>
        <v>N/A</v>
      </c>
      <c r="I210" s="1294"/>
      <c r="J210" s="1294"/>
      <c r="K210" s="1294"/>
      <c r="L210" s="1329" t="str">
        <f>IFERROR(INDEX('Upper Cask Movement &amp; Logistics'!$I$24:$O$30,MATCH($J210,'Upper Cask Movement &amp; Logistics'!$H$24:$H$30,0),MATCH($K210,'Upper Cask Movement &amp; Logistics'!$H$24:$H$30,0)),"N/A")</f>
        <v>N/A</v>
      </c>
      <c r="M210" s="1329" t="str">
        <f>IFERROR(VLOOKUP($I210,'Upper Cask Movement &amp; Logistics'!$H$4:$I$8,2,FALSE),"N/A")</f>
        <v>N/A</v>
      </c>
      <c r="N210" s="1330" t="str">
        <f t="shared" si="7"/>
        <v>N/A</v>
      </c>
      <c r="O210" s="1331" t="s">
        <v>1213</v>
      </c>
      <c r="P210" s="1332">
        <f>IF($D210="Logistics",VLOOKUP($O210,'Upper Cask Movement &amp; Logistics'!$C$4:$D$77,2,FALSE),"N/A")</f>
        <v>0.68</v>
      </c>
    </row>
    <row r="211" spans="1:16" s="89" customFormat="1" outlineLevel="1" x14ac:dyDescent="0.35">
      <c r="A211" s="1191"/>
      <c r="B211" s="3965"/>
      <c r="C211" s="1294" t="s">
        <v>1366</v>
      </c>
      <c r="D211" s="1294" t="s">
        <v>778</v>
      </c>
      <c r="E211" s="1292">
        <f t="shared" si="6"/>
        <v>0.23148148148148148</v>
      </c>
      <c r="F211" s="1292">
        <f>IF($D211="Trigger",VLOOKUP($C211,'Upper Cask Welding failures'!$E$192:$H$294,4,FALSE),E211+F210)</f>
        <v>6.0608414576426961</v>
      </c>
      <c r="G211" s="862"/>
      <c r="H211" s="1328" t="str">
        <f>IF(D211="operation",VLOOKUP(G211,'Generic Vertical Port Tasks'!C215:D250,2,FALSE),"N/A")</f>
        <v>N/A</v>
      </c>
      <c r="I211" s="1294" t="s">
        <v>2501</v>
      </c>
      <c r="J211" s="1294" t="s">
        <v>831</v>
      </c>
      <c r="K211" s="1294" t="s">
        <v>901</v>
      </c>
      <c r="L211" s="1329">
        <f>IFERROR(INDEX('Upper Cask Movement &amp; Logistics'!$I$24:$O$30,MATCH($J211,'Upper Cask Movement &amp; Logistics'!$H$24:$H$30,0),MATCH($K211,'Upper Cask Movement &amp; Logistics'!$H$24:$H$30,0)),"N/A")</f>
        <v>50</v>
      </c>
      <c r="M211" s="1329">
        <f>IFERROR(VLOOKUP($I211,'Upper Cask Movement &amp; Logistics'!$H$4:$I$8,2,FALSE),"N/A")</f>
        <v>0.06</v>
      </c>
      <c r="N211" s="1330">
        <f t="shared" si="7"/>
        <v>0.23148148148148148</v>
      </c>
      <c r="O211" s="1331"/>
      <c r="P211" s="1332" t="str">
        <f>IF($D211="Logistics",VLOOKUP($O211,'Upper Cask Movement &amp; Logistics'!$C$4:$D$77,2,FALSE),"N/A")</f>
        <v>N/A</v>
      </c>
    </row>
    <row r="212" spans="1:16" s="89" customFormat="1" outlineLevel="1" x14ac:dyDescent="0.35">
      <c r="A212" s="1191"/>
      <c r="B212" s="3965"/>
      <c r="C212" s="1294" t="s">
        <v>1367</v>
      </c>
      <c r="D212" s="1294" t="s">
        <v>3</v>
      </c>
      <c r="E212" s="1292">
        <f t="shared" si="6"/>
        <v>1.4000000000000001</v>
      </c>
      <c r="F212" s="1292">
        <f>IF($D212="Trigger",VLOOKUP($C212,'Upper Cask Welding failures'!$E$192:$H$294,4,FALSE),E212+F211)</f>
        <v>7.4608414576426965</v>
      </c>
      <c r="G212" s="862"/>
      <c r="H212" s="1328" t="str">
        <f>IF(D212="operation",VLOOKUP(G212,'Generic Vertical Port Tasks'!C215:D250,2,FALSE),"N/A")</f>
        <v>N/A</v>
      </c>
      <c r="I212" s="1294"/>
      <c r="J212" s="1294"/>
      <c r="K212" s="1294"/>
      <c r="L212" s="1329" t="str">
        <f>IFERROR(INDEX('Upper Cask Movement &amp; Logistics'!$I$24:$O$30,MATCH($J212,'Upper Cask Movement &amp; Logistics'!$H$24:$H$30,0),MATCH($K212,'Upper Cask Movement &amp; Logistics'!$H$24:$H$30,0)),"N/A")</f>
        <v>N/A</v>
      </c>
      <c r="M212" s="1329" t="str">
        <f>IFERROR(VLOOKUP($I212,'Upper Cask Movement &amp; Logistics'!$H$4:$I$8,2,FALSE),"N/A")</f>
        <v>N/A</v>
      </c>
      <c r="N212" s="1330" t="str">
        <f t="shared" si="7"/>
        <v>N/A</v>
      </c>
      <c r="O212" s="1331" t="s">
        <v>1277</v>
      </c>
      <c r="P212" s="1332">
        <f>IF($D212="Logistics",VLOOKUP($O212,'Upper Cask Movement &amp; Logistics'!$C$4:$D$77,2,FALSE),"N/A")</f>
        <v>1.4000000000000001</v>
      </c>
    </row>
    <row r="213" spans="1:16" s="89" customFormat="1" ht="13.3" outlineLevel="1" thickBot="1" x14ac:dyDescent="0.4">
      <c r="A213" s="1191"/>
      <c r="B213" s="3966"/>
      <c r="C213" s="1340" t="s">
        <v>1372</v>
      </c>
      <c r="D213" s="1340" t="s">
        <v>11</v>
      </c>
      <c r="E213" s="1295">
        <f t="shared" si="6"/>
        <v>0</v>
      </c>
      <c r="F213" s="1295">
        <f>IF($D213="Trigger",VLOOKUP($C213,'Upper Cask Welding failures'!$E$192:$H$294,4,FALSE),E213+F212)</f>
        <v>7.4608414576426965</v>
      </c>
      <c r="G213" s="839"/>
      <c r="H213" s="1341" t="str">
        <f>IF(D213="operation",VLOOKUP(G213,'Generic Vertical Port Tasks'!C215:D250,2,FALSE),"N/A")</f>
        <v>N/A</v>
      </c>
      <c r="I213" s="1340"/>
      <c r="J213" s="1340"/>
      <c r="K213" s="1340"/>
      <c r="L213" s="1342" t="str">
        <f>IFERROR(INDEX('Upper Cask Movement &amp; Logistics'!$I$24:$O$30,MATCH($J213,'Upper Cask Movement &amp; Logistics'!$H$24:$H$30,0),MATCH($K213,'Upper Cask Movement &amp; Logistics'!$H$24:$H$30,0)),"N/A")</f>
        <v>N/A</v>
      </c>
      <c r="M213" s="1342" t="str">
        <f>IFERROR(VLOOKUP($I213,'Upper Cask Movement &amp; Logistics'!$H$4:$I$8,2,FALSE),"N/A")</f>
        <v>N/A</v>
      </c>
      <c r="N213" s="1343" t="str">
        <f t="shared" si="7"/>
        <v>N/A</v>
      </c>
      <c r="O213" s="1344"/>
      <c r="P213" s="1345" t="str">
        <f>IF($D213="Logistics",VLOOKUP($O213,'Upper Cask Movement &amp; Logistics'!$C$4:$D$77,2,FALSE),"N/A")</f>
        <v>N/A</v>
      </c>
    </row>
    <row r="214" spans="1:16" s="89" customFormat="1" outlineLevel="1" x14ac:dyDescent="0.35">
      <c r="A214" s="1191"/>
      <c r="B214" s="3960" t="s">
        <v>1374</v>
      </c>
      <c r="C214" s="1333" t="s">
        <v>127</v>
      </c>
      <c r="D214" s="1333" t="s">
        <v>907</v>
      </c>
      <c r="E214" s="1303">
        <f t="shared" si="6"/>
        <v>0</v>
      </c>
      <c r="F214" s="1303">
        <f>IF($D214="Trigger",VLOOKUP($C214,'Upper Cask Welding failures'!$E$192:$H$294,4,FALSE),E214+F213)</f>
        <v>13.669831063433541</v>
      </c>
      <c r="G214" s="1304"/>
      <c r="H214" s="1305" t="str">
        <f>IF(D214="operation",VLOOKUP(G214,'Generic Vertical Port Tasks'!C215:D250,2,FALSE),"N/A")</f>
        <v>N/A</v>
      </c>
      <c r="I214" s="1333"/>
      <c r="J214" s="1333"/>
      <c r="K214" s="1333"/>
      <c r="L214" s="1334" t="str">
        <f>IFERROR(INDEX('Upper Cask Movement &amp; Logistics'!$I$24:$O$30,MATCH($J214,'Upper Cask Movement &amp; Logistics'!$H$24:$H$30,0),MATCH($K214,'Upper Cask Movement &amp; Logistics'!$H$24:$H$30,0)),"N/A")</f>
        <v>N/A</v>
      </c>
      <c r="M214" s="1334" t="str">
        <f>IFERROR(VLOOKUP($I214,'Upper Cask Movement &amp; Logistics'!$H$4:$I$8,2,FALSE),"N/A")</f>
        <v>N/A</v>
      </c>
      <c r="N214" s="1335" t="str">
        <f t="shared" si="7"/>
        <v>N/A</v>
      </c>
      <c r="O214" s="1336"/>
      <c r="P214" s="1337" t="str">
        <f>IF($D214="Logistics",VLOOKUP($O214,'Upper Cask Movement &amp; Logistics'!$C$4:$D$77,2,FALSE),"N/A")</f>
        <v>N/A</v>
      </c>
    </row>
    <row r="215" spans="1:16" s="89" customFormat="1" outlineLevel="1" x14ac:dyDescent="0.35">
      <c r="A215" s="1191"/>
      <c r="B215" s="3968"/>
      <c r="C215" s="1240" t="s">
        <v>1369</v>
      </c>
      <c r="D215" s="1240" t="s">
        <v>3</v>
      </c>
      <c r="E215" s="1241">
        <f t="shared" si="6"/>
        <v>2.3000000000000003</v>
      </c>
      <c r="F215" s="1241">
        <f>IF($D215="Trigger",VLOOKUP($C215,'Upper Cask Welding failures'!$E$192:$H$294,4,FALSE),E215+F214)</f>
        <v>15.969831063433542</v>
      </c>
      <c r="G215" s="1354"/>
      <c r="H215" s="1355" t="str">
        <f>IF(D215="operation",VLOOKUP(G215,'Generic Vertical Port Tasks'!C215:D250,2,FALSE),"N/A")</f>
        <v>N/A</v>
      </c>
      <c r="I215" s="1240"/>
      <c r="J215" s="1240"/>
      <c r="K215" s="1240"/>
      <c r="L215" s="1242" t="str">
        <f>IFERROR(INDEX('Upper Cask Movement &amp; Logistics'!$I$24:$O$30,MATCH($J215,'Upper Cask Movement &amp; Logistics'!$H$24:$H$30,0),MATCH($K215,'Upper Cask Movement &amp; Logistics'!$H$24:$H$30,0)),"N/A")</f>
        <v>N/A</v>
      </c>
      <c r="M215" s="1242" t="str">
        <f>IFERROR(VLOOKUP($I215,'Upper Cask Movement &amp; Logistics'!$H$4:$I$8,2,FALSE),"N/A")</f>
        <v>N/A</v>
      </c>
      <c r="N215" s="1356" t="str">
        <f t="shared" si="7"/>
        <v>N/A</v>
      </c>
      <c r="O215" s="1357" t="s">
        <v>1269</v>
      </c>
      <c r="P215" s="1358">
        <f>IF($D215="Logistics",VLOOKUP($O215,'Upper Cask Movement &amp; Logistics'!$C$4:$D$77,2,FALSE),"N/A")</f>
        <v>2.3000000000000003</v>
      </c>
    </row>
    <row r="216" spans="1:16" s="89" customFormat="1" outlineLevel="1" x14ac:dyDescent="0.35">
      <c r="A216" s="1191"/>
      <c r="B216" s="3961"/>
      <c r="C216" s="1243" t="s">
        <v>1370</v>
      </c>
      <c r="D216" s="1243" t="s">
        <v>778</v>
      </c>
      <c r="E216" s="1244">
        <f t="shared" si="6"/>
        <v>0.69444444444444442</v>
      </c>
      <c r="F216" s="1244">
        <f>IF($D216="Trigger",VLOOKUP($C216,'Upper Cask Welding failures'!$E$192:$H$294,4,FALSE),E216+F215)</f>
        <v>16.664275507877985</v>
      </c>
      <c r="G216" s="1309"/>
      <c r="H216" s="1310" t="str">
        <f>IF(D216="operation",VLOOKUP(G216,'Generic Vertical Port Tasks'!C215:D250,2,FALSE),"N/A")</f>
        <v>N/A</v>
      </c>
      <c r="I216" s="1243" t="s">
        <v>1789</v>
      </c>
      <c r="J216" s="1243" t="s">
        <v>901</v>
      </c>
      <c r="K216" s="1243" t="s">
        <v>831</v>
      </c>
      <c r="L216" s="1245">
        <f>IFERROR(INDEX('Upper Cask Movement &amp; Logistics'!$I$24:$O$30,MATCH($J216,'Upper Cask Movement &amp; Logistics'!$H$24:$H$30,0),MATCH($K216,'Upper Cask Movement &amp; Logistics'!$H$24:$H$30,0)),"N/A")</f>
        <v>50</v>
      </c>
      <c r="M216" s="1245">
        <f>IFERROR(VLOOKUP($I216,'Upper Cask Movement &amp; Logistics'!$H$4:$I$8,2,FALSE),"N/A")</f>
        <v>0.02</v>
      </c>
      <c r="N216" s="1311">
        <f t="shared" si="7"/>
        <v>0.69444444444444442</v>
      </c>
      <c r="O216" s="1312"/>
      <c r="P216" s="1313" t="str">
        <f>IF($D216="Logistics",VLOOKUP($O216,'Upper Cask Movement &amp; Logistics'!$C$4:$D$77,2,FALSE),"N/A")</f>
        <v>N/A</v>
      </c>
    </row>
    <row r="217" spans="1:16" s="89" customFormat="1" outlineLevel="1" x14ac:dyDescent="0.35">
      <c r="A217" s="1191"/>
      <c r="B217" s="3961"/>
      <c r="C217" s="1243" t="s">
        <v>1375</v>
      </c>
      <c r="D217" s="1243" t="s">
        <v>3</v>
      </c>
      <c r="E217" s="1244">
        <f t="shared" si="6"/>
        <v>0.68</v>
      </c>
      <c r="F217" s="1244">
        <f>IF($D217="Trigger",VLOOKUP($C217,'Upper Cask Welding failures'!$E$192:$H$294,4,FALSE),E217+F216)</f>
        <v>17.344275507877985</v>
      </c>
      <c r="G217" s="1309"/>
      <c r="H217" s="1310" t="str">
        <f>IF(D217="operation",VLOOKUP(G217,'Generic Vertical Port Tasks'!C215:D250,2,FALSE),"N/A")</f>
        <v>N/A</v>
      </c>
      <c r="I217" s="1243"/>
      <c r="J217" s="1243"/>
      <c r="K217" s="1243"/>
      <c r="L217" s="1245" t="str">
        <f>IFERROR(INDEX('Upper Cask Movement &amp; Logistics'!$I$24:$O$30,MATCH($J217,'Upper Cask Movement &amp; Logistics'!$H$24:$H$30,0),MATCH($K217,'Upper Cask Movement &amp; Logistics'!$H$24:$H$30,0)),"N/A")</f>
        <v>N/A</v>
      </c>
      <c r="M217" s="1245" t="str">
        <f>IFERROR(VLOOKUP($I217,'Upper Cask Movement &amp; Logistics'!$H$4:$I$8,2,FALSE),"N/A")</f>
        <v>N/A</v>
      </c>
      <c r="N217" s="1311" t="str">
        <f t="shared" si="7"/>
        <v>N/A</v>
      </c>
      <c r="O217" s="1312" t="s">
        <v>1213</v>
      </c>
      <c r="P217" s="1313">
        <f>IF($D217="Logistics",VLOOKUP($O217,'Upper Cask Movement &amp; Logistics'!$C$4:$D$77,2,FALSE),"N/A")</f>
        <v>0.68</v>
      </c>
    </row>
    <row r="218" spans="1:16" s="89" customFormat="1" outlineLevel="1" x14ac:dyDescent="0.35">
      <c r="A218" s="1191"/>
      <c r="B218" s="3961"/>
      <c r="C218" s="1249" t="s">
        <v>1366</v>
      </c>
      <c r="D218" s="1249" t="s">
        <v>778</v>
      </c>
      <c r="E218" s="1244">
        <f t="shared" si="6"/>
        <v>0.23148148148148148</v>
      </c>
      <c r="F218" s="1244">
        <f>IF($D218="Trigger",VLOOKUP($C218,'Upper Cask Welding failures'!$E$192:$H$294,4,FALSE),E218+F217)</f>
        <v>17.575756989359466</v>
      </c>
      <c r="G218" s="1309"/>
      <c r="H218" s="1310" t="str">
        <f>IF(D218="operation",VLOOKUP(G218,'Generic Vertical Port Tasks'!C215:D250,2,FALSE),"N/A")</f>
        <v>N/A</v>
      </c>
      <c r="I218" s="1249" t="s">
        <v>2501</v>
      </c>
      <c r="J218" s="1249" t="s">
        <v>831</v>
      </c>
      <c r="K218" s="1249" t="s">
        <v>901</v>
      </c>
      <c r="L218" s="1245">
        <f>IFERROR(INDEX('Upper Cask Movement &amp; Logistics'!$I$24:$O$30,MATCH($J218,'Upper Cask Movement &amp; Logistics'!$H$24:$H$30,0),MATCH($K218,'Upper Cask Movement &amp; Logistics'!$H$24:$H$30,0)),"N/A")</f>
        <v>50</v>
      </c>
      <c r="M218" s="1245">
        <f>IFERROR(VLOOKUP($I218,'Upper Cask Movement &amp; Logistics'!$H$4:$I$8,2,FALSE),"N/A")</f>
        <v>0.06</v>
      </c>
      <c r="N218" s="1311">
        <f t="shared" si="7"/>
        <v>0.23148148148148148</v>
      </c>
      <c r="O218" s="1339"/>
      <c r="P218" s="1313" t="str">
        <f>IF($D218="Logistics",VLOOKUP($O218,'Upper Cask Movement &amp; Logistics'!$C$4:$D$77,2,FALSE),"N/A")</f>
        <v>N/A</v>
      </c>
    </row>
    <row r="219" spans="1:16" s="89" customFormat="1" outlineLevel="1" x14ac:dyDescent="0.35">
      <c r="A219" s="1191"/>
      <c r="B219" s="3961"/>
      <c r="C219" s="1249" t="s">
        <v>1367</v>
      </c>
      <c r="D219" s="1249" t="s">
        <v>3</v>
      </c>
      <c r="E219" s="1244">
        <f t="shared" si="6"/>
        <v>1.4000000000000001</v>
      </c>
      <c r="F219" s="1244">
        <f>IF($D219="Trigger",VLOOKUP($C219,'Upper Cask Welding failures'!$E$192:$H$294,4,FALSE),E219+F218)</f>
        <v>18.975756989359464</v>
      </c>
      <c r="G219" s="1309"/>
      <c r="H219" s="1310" t="str">
        <f>IF(D219="operation",VLOOKUP(G219,'Generic Vertical Port Tasks'!C215:D250,2,FALSE),"N/A")</f>
        <v>N/A</v>
      </c>
      <c r="I219" s="1249"/>
      <c r="J219" s="1249"/>
      <c r="K219" s="1249"/>
      <c r="L219" s="1245" t="str">
        <f>IFERROR(INDEX('Upper Cask Movement &amp; Logistics'!$I$24:$O$30,MATCH($J219,'Upper Cask Movement &amp; Logistics'!$H$24:$H$30,0),MATCH($K219,'Upper Cask Movement &amp; Logistics'!$H$24:$H$30,0)),"N/A")</f>
        <v>N/A</v>
      </c>
      <c r="M219" s="1245" t="str">
        <f>IFERROR(VLOOKUP($I219,'Upper Cask Movement &amp; Logistics'!$H$4:$I$8,2,FALSE),"N/A")</f>
        <v>N/A</v>
      </c>
      <c r="N219" s="1311" t="str">
        <f t="shared" si="7"/>
        <v>N/A</v>
      </c>
      <c r="O219" s="1339" t="s">
        <v>1277</v>
      </c>
      <c r="P219" s="1313">
        <f>IF($D219="Logistics",VLOOKUP($O219,'Upper Cask Movement &amp; Logistics'!$C$4:$D$77,2,FALSE),"N/A")</f>
        <v>1.4000000000000001</v>
      </c>
    </row>
    <row r="220" spans="1:16" s="89" customFormat="1" ht="13.3" outlineLevel="1" thickBot="1" x14ac:dyDescent="0.4">
      <c r="A220" s="1191"/>
      <c r="B220" s="3963"/>
      <c r="C220" s="1314" t="s">
        <v>1374</v>
      </c>
      <c r="D220" s="1314" t="s">
        <v>11</v>
      </c>
      <c r="E220" s="1316">
        <f t="shared" si="6"/>
        <v>0</v>
      </c>
      <c r="F220" s="1316">
        <f>IF($D220="Trigger",VLOOKUP($C220,'Upper Cask Welding failures'!$E$192:$H$294,4,FALSE),E220+F219)</f>
        <v>18.975756989359464</v>
      </c>
      <c r="G220" s="1317"/>
      <c r="H220" s="1318" t="str">
        <f>IF(D220="operation",VLOOKUP(G220,'Generic Vertical Port Tasks'!C215:D250,2,FALSE),"N/A")</f>
        <v>N/A</v>
      </c>
      <c r="I220" s="1314"/>
      <c r="J220" s="1314"/>
      <c r="K220" s="1314"/>
      <c r="L220" s="1319" t="str">
        <f>IFERROR(INDEX('Upper Cask Movement &amp; Logistics'!$I$24:$O$30,MATCH($J220,'Upper Cask Movement &amp; Logistics'!$H$24:$H$30,0),MATCH($K220,'Upper Cask Movement &amp; Logistics'!$H$24:$H$30,0)),"N/A")</f>
        <v>N/A</v>
      </c>
      <c r="M220" s="1319" t="str">
        <f>IFERROR(VLOOKUP($I220,'Upper Cask Movement &amp; Logistics'!$H$4:$I$8,2,FALSE),"N/A")</f>
        <v>N/A</v>
      </c>
      <c r="N220" s="1320" t="str">
        <f t="shared" si="7"/>
        <v>N/A</v>
      </c>
      <c r="O220" s="1321"/>
      <c r="P220" s="1322" t="str">
        <f>IF($D220="Logistics",VLOOKUP($O220,'Upper Cask Movement &amp; Logistics'!$C$4:$D$77,2,FALSE),"N/A")</f>
        <v>N/A</v>
      </c>
    </row>
    <row r="221" spans="1:16" s="89" customFormat="1" outlineLevel="1" x14ac:dyDescent="0.35">
      <c r="A221" s="1191"/>
      <c r="B221" s="3964" t="s">
        <v>1376</v>
      </c>
      <c r="C221" s="1324" t="s">
        <v>129</v>
      </c>
      <c r="D221" s="1324" t="s">
        <v>907</v>
      </c>
      <c r="E221" s="1291">
        <f t="shared" si="6"/>
        <v>0</v>
      </c>
      <c r="F221" s="1291">
        <f>IF($D221="Trigger",VLOOKUP($C221,'Upper Cask Welding failures'!$E$192:$H$294,4,FALSE),E221+F220)</f>
        <v>25.184746595150312</v>
      </c>
      <c r="G221" s="825"/>
      <c r="H221" s="1323" t="str">
        <f>IF(D221="operation",VLOOKUP(G221,'Generic Vertical Port Tasks'!C215:D250,2,FALSE),"N/A")</f>
        <v>N/A</v>
      </c>
      <c r="I221" s="1324"/>
      <c r="J221" s="1324"/>
      <c r="K221" s="1324"/>
      <c r="L221" s="1325" t="str">
        <f>IFERROR(INDEX('Upper Cask Movement &amp; Logistics'!$I$24:$O$30,MATCH($J221,'Upper Cask Movement &amp; Logistics'!$H$24:$H$30,0),MATCH($K221,'Upper Cask Movement &amp; Logistics'!$H$24:$H$30,0)),"N/A")</f>
        <v>N/A</v>
      </c>
      <c r="M221" s="1325" t="str">
        <f>IFERROR(VLOOKUP($I221,'Upper Cask Movement &amp; Logistics'!$H$4:$I$8,2,FALSE),"N/A")</f>
        <v>N/A</v>
      </c>
      <c r="N221" s="1326" t="str">
        <f t="shared" si="7"/>
        <v>N/A</v>
      </c>
      <c r="O221" s="1327"/>
      <c r="P221" s="824" t="str">
        <f>IF($D221="Logistics",VLOOKUP($O221,'Upper Cask Movement &amp; Logistics'!$C$4:$D$77,2,FALSE),"N/A")</f>
        <v>N/A</v>
      </c>
    </row>
    <row r="222" spans="1:16" s="89" customFormat="1" outlineLevel="1" x14ac:dyDescent="0.35">
      <c r="A222" s="1191"/>
      <c r="B222" s="3969"/>
      <c r="C222" s="1362" t="s">
        <v>1377</v>
      </c>
      <c r="D222" s="1362" t="s">
        <v>3</v>
      </c>
      <c r="E222" s="1363">
        <f t="shared" si="6"/>
        <v>2.3000000000000003</v>
      </c>
      <c r="F222" s="1363">
        <f>IF($D222="Trigger",VLOOKUP($C222,'Upper Cask Welding failures'!$E$192:$H$294,4,FALSE),E222+F221)</f>
        <v>27.484746595150312</v>
      </c>
      <c r="G222" s="1364"/>
      <c r="H222" s="1365" t="str">
        <f>IF(D222="operation",VLOOKUP(G222,'Generic Vertical Port Tasks'!C215:D250,2,FALSE),"N/A")</f>
        <v>N/A</v>
      </c>
      <c r="I222" s="1362"/>
      <c r="J222" s="1362"/>
      <c r="K222" s="1362"/>
      <c r="L222" s="1366" t="str">
        <f>IFERROR(INDEX('Upper Cask Movement &amp; Logistics'!$I$24:$O$30,MATCH($J222,'Upper Cask Movement &amp; Logistics'!$H$24:$H$30,0),MATCH($K222,'Upper Cask Movement &amp; Logistics'!$H$24:$H$30,0)),"N/A")</f>
        <v>N/A</v>
      </c>
      <c r="M222" s="1366" t="str">
        <f>IFERROR(VLOOKUP($I222,'Upper Cask Movement &amp; Logistics'!$H$4:$I$8,2,FALSE),"N/A")</f>
        <v>N/A</v>
      </c>
      <c r="N222" s="1367" t="str">
        <f t="shared" si="7"/>
        <v>N/A</v>
      </c>
      <c r="O222" s="1368" t="s">
        <v>1269</v>
      </c>
      <c r="P222" s="861">
        <f>IF($D222="Logistics",VLOOKUP($O222,'Upper Cask Movement &amp; Logistics'!$C$4:$D$77,2,FALSE),"N/A")</f>
        <v>2.3000000000000003</v>
      </c>
    </row>
    <row r="223" spans="1:16" s="89" customFormat="1" outlineLevel="1" x14ac:dyDescent="0.35">
      <c r="A223" s="1191"/>
      <c r="B223" s="3965"/>
      <c r="C223" s="1294" t="s">
        <v>1370</v>
      </c>
      <c r="D223" s="1294" t="s">
        <v>778</v>
      </c>
      <c r="E223" s="1292">
        <f t="shared" si="6"/>
        <v>0.69444444444444442</v>
      </c>
      <c r="F223" s="1292">
        <f>IF($D223="Trigger",VLOOKUP($C223,'Upper Cask Welding failures'!$E$192:$H$294,4,FALSE),E223+F222)</f>
        <v>28.179191039594755</v>
      </c>
      <c r="G223" s="862"/>
      <c r="H223" s="1328" t="str">
        <f>IF(D223="operation",VLOOKUP(G223,'Generic Vertical Port Tasks'!C215:D250,2,FALSE),"N/A")</f>
        <v>N/A</v>
      </c>
      <c r="I223" s="1294" t="s">
        <v>1789</v>
      </c>
      <c r="J223" s="1294" t="s">
        <v>901</v>
      </c>
      <c r="K223" s="1294" t="s">
        <v>831</v>
      </c>
      <c r="L223" s="1329">
        <f>IFERROR(INDEX('Upper Cask Movement &amp; Logistics'!$I$24:$O$30,MATCH($J223,'Upper Cask Movement &amp; Logistics'!$H$24:$H$30,0),MATCH($K223,'Upper Cask Movement &amp; Logistics'!$H$24:$H$30,0)),"N/A")</f>
        <v>50</v>
      </c>
      <c r="M223" s="1329">
        <f>IFERROR(VLOOKUP($I223,'Upper Cask Movement &amp; Logistics'!$H$4:$I$8,2,FALSE),"N/A")</f>
        <v>0.02</v>
      </c>
      <c r="N223" s="1330">
        <f t="shared" si="7"/>
        <v>0.69444444444444442</v>
      </c>
      <c r="O223" s="1331"/>
      <c r="P223" s="1332" t="str">
        <f>IF($D223="Logistics",VLOOKUP($O223,'Upper Cask Movement &amp; Logistics'!$C$4:$D$77,2,FALSE),"N/A")</f>
        <v>N/A</v>
      </c>
    </row>
    <row r="224" spans="1:16" s="89" customFormat="1" outlineLevel="1" x14ac:dyDescent="0.35">
      <c r="A224" s="1191"/>
      <c r="B224" s="3965"/>
      <c r="C224" s="1294" t="s">
        <v>1378</v>
      </c>
      <c r="D224" s="1294" t="s">
        <v>3</v>
      </c>
      <c r="E224" s="1292">
        <f t="shared" si="6"/>
        <v>0.68</v>
      </c>
      <c r="F224" s="1292">
        <f>IF($D224="Trigger",VLOOKUP($C224,'Upper Cask Welding failures'!$E$192:$H$294,4,FALSE),E224+F223)</f>
        <v>28.859191039594755</v>
      </c>
      <c r="G224" s="862"/>
      <c r="H224" s="1328" t="str">
        <f>IF(D224="operation",VLOOKUP(G224,'Generic Vertical Port Tasks'!C215:D250,2,FALSE),"N/A")</f>
        <v>N/A</v>
      </c>
      <c r="I224" s="1294"/>
      <c r="J224" s="1294"/>
      <c r="K224" s="1294"/>
      <c r="L224" s="1329" t="str">
        <f>IFERROR(INDEX('Upper Cask Movement &amp; Logistics'!$I$24:$O$30,MATCH($J224,'Upper Cask Movement &amp; Logistics'!$H$24:$H$30,0),MATCH($K224,'Upper Cask Movement &amp; Logistics'!$H$24:$H$30,0)),"N/A")</f>
        <v>N/A</v>
      </c>
      <c r="M224" s="1329" t="str">
        <f>IFERROR(VLOOKUP($I224,'Upper Cask Movement &amp; Logistics'!$H$4:$I$8,2,FALSE),"N/A")</f>
        <v>N/A</v>
      </c>
      <c r="N224" s="1330" t="str">
        <f t="shared" si="7"/>
        <v>N/A</v>
      </c>
      <c r="O224" s="1331" t="s">
        <v>1213</v>
      </c>
      <c r="P224" s="1332">
        <f>IF($D224="Logistics",VLOOKUP($O224,'Upper Cask Movement &amp; Logistics'!$C$4:$D$77,2,FALSE),"N/A")</f>
        <v>0.68</v>
      </c>
    </row>
    <row r="225" spans="1:16" s="89" customFormat="1" outlineLevel="1" x14ac:dyDescent="0.35">
      <c r="A225" s="1191"/>
      <c r="B225" s="3965"/>
      <c r="C225" s="1294" t="s">
        <v>1366</v>
      </c>
      <c r="D225" s="1294" t="s">
        <v>778</v>
      </c>
      <c r="E225" s="1292">
        <f t="shared" si="6"/>
        <v>0.23148148148148148</v>
      </c>
      <c r="F225" s="1292">
        <f>IF($D225="Trigger",VLOOKUP($C225,'Upper Cask Welding failures'!$E$192:$H$294,4,FALSE),E225+F224)</f>
        <v>29.090672521076236</v>
      </c>
      <c r="G225" s="862"/>
      <c r="H225" s="1328" t="str">
        <f>IF(D225="operation",VLOOKUP(G225,'Generic Vertical Port Tasks'!C215:D250,2,FALSE),"N/A")</f>
        <v>N/A</v>
      </c>
      <c r="I225" s="1294" t="s">
        <v>2501</v>
      </c>
      <c r="J225" s="1294" t="s">
        <v>831</v>
      </c>
      <c r="K225" s="1294" t="s">
        <v>901</v>
      </c>
      <c r="L225" s="1329">
        <f>IFERROR(INDEX('Upper Cask Movement &amp; Logistics'!$I$24:$O$30,MATCH($J225,'Upper Cask Movement &amp; Logistics'!$H$24:$H$30,0),MATCH($K225,'Upper Cask Movement &amp; Logistics'!$H$24:$H$30,0)),"N/A")</f>
        <v>50</v>
      </c>
      <c r="M225" s="1329">
        <f>IFERROR(VLOOKUP($I225,'Upper Cask Movement &amp; Logistics'!$H$4:$I$8,2,FALSE),"N/A")</f>
        <v>0.06</v>
      </c>
      <c r="N225" s="1330">
        <f t="shared" si="7"/>
        <v>0.23148148148148148</v>
      </c>
      <c r="O225" s="1331"/>
      <c r="P225" s="1332" t="str">
        <f>IF($D225="Logistics",VLOOKUP($O225,'Upper Cask Movement &amp; Logistics'!$C$4:$D$77,2,FALSE),"N/A")</f>
        <v>N/A</v>
      </c>
    </row>
    <row r="226" spans="1:16" s="89" customFormat="1" outlineLevel="1" x14ac:dyDescent="0.35">
      <c r="A226" s="1191"/>
      <c r="B226" s="3965"/>
      <c r="C226" s="1294" t="s">
        <v>1367</v>
      </c>
      <c r="D226" s="1294" t="s">
        <v>3</v>
      </c>
      <c r="E226" s="1292">
        <f t="shared" si="6"/>
        <v>1.4000000000000001</v>
      </c>
      <c r="F226" s="1292">
        <f>IF($D226="Trigger",VLOOKUP($C226,'Upper Cask Welding failures'!$E$192:$H$294,4,FALSE),E226+F225)</f>
        <v>30.490672521076235</v>
      </c>
      <c r="G226" s="862"/>
      <c r="H226" s="1328" t="str">
        <f>IF(D226="operation",VLOOKUP(G226,'Generic Vertical Port Tasks'!C215:D250,2,FALSE),"N/A")</f>
        <v>N/A</v>
      </c>
      <c r="I226" s="1294"/>
      <c r="J226" s="1294"/>
      <c r="K226" s="1294"/>
      <c r="L226" s="1329" t="str">
        <f>IFERROR(INDEX('Upper Cask Movement &amp; Logistics'!$I$24:$O$30,MATCH($J226,'Upper Cask Movement &amp; Logistics'!$H$24:$H$30,0),MATCH($K226,'Upper Cask Movement &amp; Logistics'!$H$24:$H$30,0)),"N/A")</f>
        <v>N/A</v>
      </c>
      <c r="M226" s="1329" t="str">
        <f>IFERROR(VLOOKUP($I226,'Upper Cask Movement &amp; Logistics'!$H$4:$I$8,2,FALSE),"N/A")</f>
        <v>N/A</v>
      </c>
      <c r="N226" s="1330" t="str">
        <f t="shared" si="7"/>
        <v>N/A</v>
      </c>
      <c r="O226" s="1331" t="s">
        <v>1277</v>
      </c>
      <c r="P226" s="1332">
        <f>IF($D226="Logistics",VLOOKUP($O226,'Upper Cask Movement &amp; Logistics'!$C$4:$D$77,2,FALSE),"N/A")</f>
        <v>1.4000000000000001</v>
      </c>
    </row>
    <row r="227" spans="1:16" s="89" customFormat="1" ht="13.3" outlineLevel="1" thickBot="1" x14ac:dyDescent="0.4">
      <c r="A227" s="1191"/>
      <c r="B227" s="3966"/>
      <c r="C227" s="1340" t="s">
        <v>1376</v>
      </c>
      <c r="D227" s="1340" t="s">
        <v>11</v>
      </c>
      <c r="E227" s="1295">
        <f t="shared" si="6"/>
        <v>0</v>
      </c>
      <c r="F227" s="1295">
        <f>IF($D227="Trigger",VLOOKUP($C227,'Upper Cask Welding failures'!$E$192:$H$294,4,FALSE),E227+F226)</f>
        <v>30.490672521076235</v>
      </c>
      <c r="G227" s="839"/>
      <c r="H227" s="1341" t="str">
        <f>IF(D227="operation",VLOOKUP(G227,'Generic Vertical Port Tasks'!C215:D250,2,FALSE),"N/A")</f>
        <v>N/A</v>
      </c>
      <c r="I227" s="1340"/>
      <c r="J227" s="1340"/>
      <c r="K227" s="1340"/>
      <c r="L227" s="1342" t="str">
        <f>IFERROR(INDEX('Upper Cask Movement &amp; Logistics'!$I$24:$O$30,MATCH($J227,'Upper Cask Movement &amp; Logistics'!$H$24:$H$30,0),MATCH($K227,'Upper Cask Movement &amp; Logistics'!$H$24:$H$30,0)),"N/A")</f>
        <v>N/A</v>
      </c>
      <c r="M227" s="1342" t="str">
        <f>IFERROR(VLOOKUP($I227,'Upper Cask Movement &amp; Logistics'!$H$4:$I$8,2,FALSE),"N/A")</f>
        <v>N/A</v>
      </c>
      <c r="N227" s="1343" t="str">
        <f t="shared" si="7"/>
        <v>N/A</v>
      </c>
      <c r="O227" s="1344"/>
      <c r="P227" s="1345" t="str">
        <f>IF($D227="Logistics",VLOOKUP($O227,'Upper Cask Movement &amp; Logistics'!$C$4:$D$77,2,FALSE),"N/A")</f>
        <v>N/A</v>
      </c>
    </row>
    <row r="228" spans="1:16" s="89" customFormat="1" outlineLevel="1" x14ac:dyDescent="0.35">
      <c r="A228" s="1191"/>
      <c r="B228" s="3960" t="s">
        <v>1379</v>
      </c>
      <c r="C228" s="1333" t="s">
        <v>131</v>
      </c>
      <c r="D228" s="1333" t="s">
        <v>907</v>
      </c>
      <c r="E228" s="1303">
        <f t="shared" si="6"/>
        <v>0</v>
      </c>
      <c r="F228" s="1303">
        <f>IF($D228="Trigger",VLOOKUP($C228,'Upper Cask Welding failures'!$E$192:$H$294,4,FALSE),E228+F227)</f>
        <v>36.699662126867089</v>
      </c>
      <c r="G228" s="1304"/>
      <c r="H228" s="1305" t="str">
        <f>IF(D228="operation",VLOOKUP(G228,'Generic Vertical Port Tasks'!C215:D250,2,FALSE),"N/A")</f>
        <v>N/A</v>
      </c>
      <c r="I228" s="1333"/>
      <c r="J228" s="1333"/>
      <c r="K228" s="1333"/>
      <c r="L228" s="1334" t="str">
        <f>IFERROR(INDEX('Upper Cask Movement &amp; Logistics'!$I$24:$O$30,MATCH($J228,'Upper Cask Movement &amp; Logistics'!$H$24:$H$30,0),MATCH($K228,'Upper Cask Movement &amp; Logistics'!$H$24:$H$30,0)),"N/A")</f>
        <v>N/A</v>
      </c>
      <c r="M228" s="1334" t="str">
        <f>IFERROR(VLOOKUP($I228,'Upper Cask Movement &amp; Logistics'!$H$4:$I$8,2,FALSE),"N/A")</f>
        <v>N/A</v>
      </c>
      <c r="N228" s="1335" t="str">
        <f t="shared" si="7"/>
        <v>N/A</v>
      </c>
      <c r="O228" s="1336"/>
      <c r="P228" s="1337" t="str">
        <f>IF($D228="Logistics",VLOOKUP($O228,'Upper Cask Movement &amp; Logistics'!$C$4:$D$77,2,FALSE),"N/A")</f>
        <v>N/A</v>
      </c>
    </row>
    <row r="229" spans="1:16" s="89" customFormat="1" outlineLevel="1" x14ac:dyDescent="0.35">
      <c r="A229" s="1191"/>
      <c r="B229" s="3968"/>
      <c r="C229" s="1240" t="s">
        <v>1369</v>
      </c>
      <c r="D229" s="1240" t="s">
        <v>3</v>
      </c>
      <c r="E229" s="1241">
        <f t="shared" si="6"/>
        <v>2.3000000000000003</v>
      </c>
      <c r="F229" s="1241">
        <f>IF($D229="Trigger",VLOOKUP($C229,'Upper Cask Welding failures'!$E$192:$H$294,4,FALSE),E229+F228)</f>
        <v>38.999662126867086</v>
      </c>
      <c r="G229" s="1354"/>
      <c r="H229" s="1355" t="str">
        <f>IF(D229="operation",VLOOKUP(G229,'Generic Vertical Port Tasks'!C215:D250,2,FALSE),"N/A")</f>
        <v>N/A</v>
      </c>
      <c r="I229" s="1240"/>
      <c r="J229" s="1240"/>
      <c r="K229" s="1240"/>
      <c r="L229" s="1242" t="str">
        <f>IFERROR(INDEX('Upper Cask Movement &amp; Logistics'!$I$24:$O$30,MATCH($J229,'Upper Cask Movement &amp; Logistics'!$H$24:$H$30,0),MATCH($K229,'Upper Cask Movement &amp; Logistics'!$H$24:$H$30,0)),"N/A")</f>
        <v>N/A</v>
      </c>
      <c r="M229" s="1242" t="str">
        <f>IFERROR(VLOOKUP($I229,'Upper Cask Movement &amp; Logistics'!$H$4:$I$8,2,FALSE),"N/A")</f>
        <v>N/A</v>
      </c>
      <c r="N229" s="1356" t="str">
        <f t="shared" si="7"/>
        <v>N/A</v>
      </c>
      <c r="O229" s="1357" t="s">
        <v>1269</v>
      </c>
      <c r="P229" s="1358">
        <f>IF($D229="Logistics",VLOOKUP($O229,'Upper Cask Movement &amp; Logistics'!$C$4:$D$77,2,FALSE),"N/A")</f>
        <v>2.3000000000000003</v>
      </c>
    </row>
    <row r="230" spans="1:16" s="89" customFormat="1" outlineLevel="1" x14ac:dyDescent="0.35">
      <c r="A230" s="1191"/>
      <c r="B230" s="3961"/>
      <c r="C230" s="1243" t="s">
        <v>1370</v>
      </c>
      <c r="D230" s="1243" t="s">
        <v>778</v>
      </c>
      <c r="E230" s="1244">
        <f t="shared" si="6"/>
        <v>0.69444444444444442</v>
      </c>
      <c r="F230" s="1244">
        <f>IF($D230="Trigger",VLOOKUP($C230,'Upper Cask Welding failures'!$E$192:$H$294,4,FALSE),E230+F229)</f>
        <v>39.694106571311529</v>
      </c>
      <c r="G230" s="1309"/>
      <c r="H230" s="1310" t="str">
        <f>IF(D230="operation",VLOOKUP(G230,'Generic Vertical Port Tasks'!C215:D250,2,FALSE),"N/A")</f>
        <v>N/A</v>
      </c>
      <c r="I230" s="1243" t="s">
        <v>1789</v>
      </c>
      <c r="J230" s="1243" t="s">
        <v>901</v>
      </c>
      <c r="K230" s="1243" t="s">
        <v>831</v>
      </c>
      <c r="L230" s="1245">
        <f>IFERROR(INDEX('Upper Cask Movement &amp; Logistics'!$I$24:$O$30,MATCH($J230,'Upper Cask Movement &amp; Logistics'!$H$24:$H$30,0),MATCH($K230,'Upper Cask Movement &amp; Logistics'!$H$24:$H$30,0)),"N/A")</f>
        <v>50</v>
      </c>
      <c r="M230" s="1245">
        <f>IFERROR(VLOOKUP($I230,'Upper Cask Movement &amp; Logistics'!$H$4:$I$8,2,FALSE),"N/A")</f>
        <v>0.02</v>
      </c>
      <c r="N230" s="1311">
        <f t="shared" si="7"/>
        <v>0.69444444444444442</v>
      </c>
      <c r="O230" s="1312"/>
      <c r="P230" s="1313" t="str">
        <f>IF($D230="Logistics",VLOOKUP($O230,'Upper Cask Movement &amp; Logistics'!$C$4:$D$77,2,FALSE),"N/A")</f>
        <v>N/A</v>
      </c>
    </row>
    <row r="231" spans="1:16" s="89" customFormat="1" outlineLevel="1" x14ac:dyDescent="0.35">
      <c r="A231" s="1191"/>
      <c r="B231" s="3961"/>
      <c r="C231" s="1243" t="s">
        <v>1375</v>
      </c>
      <c r="D231" s="1243" t="s">
        <v>3</v>
      </c>
      <c r="E231" s="1244">
        <f t="shared" si="6"/>
        <v>0.68</v>
      </c>
      <c r="F231" s="1244">
        <f>IF($D231="Trigger",VLOOKUP($C231,'Upper Cask Welding failures'!$E$192:$H$294,4,FALSE),E231+F230)</f>
        <v>40.374106571311529</v>
      </c>
      <c r="G231" s="1309"/>
      <c r="H231" s="1310" t="str">
        <f>IF(D231="operation",VLOOKUP(G231,'Generic Vertical Port Tasks'!C215:D250,2,FALSE),"N/A")</f>
        <v>N/A</v>
      </c>
      <c r="I231" s="1243"/>
      <c r="J231" s="1243"/>
      <c r="K231" s="1243"/>
      <c r="L231" s="1245" t="str">
        <f>IFERROR(INDEX('Upper Cask Movement &amp; Logistics'!$I$24:$O$30,MATCH($J231,'Upper Cask Movement &amp; Logistics'!$H$24:$H$30,0),MATCH($K231,'Upper Cask Movement &amp; Logistics'!$H$24:$H$30,0)),"N/A")</f>
        <v>N/A</v>
      </c>
      <c r="M231" s="1245" t="str">
        <f>IFERROR(VLOOKUP($I231,'Upper Cask Movement &amp; Logistics'!$H$4:$I$8,2,FALSE),"N/A")</f>
        <v>N/A</v>
      </c>
      <c r="N231" s="1311" t="str">
        <f t="shared" si="7"/>
        <v>N/A</v>
      </c>
      <c r="O231" s="1312" t="s">
        <v>1213</v>
      </c>
      <c r="P231" s="1313">
        <f>IF($D231="Logistics",VLOOKUP($O231,'Upper Cask Movement &amp; Logistics'!$C$4:$D$77,2,FALSE),"N/A")</f>
        <v>0.68</v>
      </c>
    </row>
    <row r="232" spans="1:16" s="89" customFormat="1" outlineLevel="1" x14ac:dyDescent="0.35">
      <c r="A232" s="1191"/>
      <c r="B232" s="3961"/>
      <c r="C232" s="1249" t="s">
        <v>1362</v>
      </c>
      <c r="D232" s="1249" t="s">
        <v>778</v>
      </c>
      <c r="E232" s="1244">
        <f t="shared" si="6"/>
        <v>9.2592592592592601E-2</v>
      </c>
      <c r="F232" s="1244">
        <f>IF($D232="Trigger",VLOOKUP($C232,'Upper Cask Welding failures'!$E$192:$H$294,4,FALSE),E232+F231)</f>
        <v>40.466699163904124</v>
      </c>
      <c r="G232" s="1309"/>
      <c r="H232" s="1310" t="str">
        <f>IF(D232="operation",VLOOKUP(G232,'Generic Vertical Port Tasks'!C215:D250,2,FALSE),"N/A")</f>
        <v>N/A</v>
      </c>
      <c r="I232" s="1243" t="s">
        <v>2501</v>
      </c>
      <c r="J232" s="1243" t="s">
        <v>831</v>
      </c>
      <c r="K232" s="1243" t="s">
        <v>914</v>
      </c>
      <c r="L232" s="1245">
        <f>IFERROR(INDEX('Upper Cask Movement &amp; Logistics'!$I$24:$O$30,MATCH($J232,'Upper Cask Movement &amp; Logistics'!$H$24:$H$30,0),MATCH($K232,'Upper Cask Movement &amp; Logistics'!$H$24:$H$30,0)),"N/A")</f>
        <v>20</v>
      </c>
      <c r="M232" s="1245">
        <f>IFERROR(VLOOKUP($I232,'Upper Cask Movement &amp; Logistics'!$H$4:$I$8,2,FALSE),"N/A")</f>
        <v>0.06</v>
      </c>
      <c r="N232" s="1311">
        <f t="shared" si="7"/>
        <v>9.2592592592592601E-2</v>
      </c>
      <c r="O232" s="1312"/>
      <c r="P232" s="1313" t="str">
        <f>IF($D232="Logistics",VLOOKUP($O232,'Upper Cask Movement &amp; Logistics'!$C$4:$D$77,2,FALSE),"N/A")</f>
        <v>N/A</v>
      </c>
    </row>
    <row r="233" spans="1:16" s="89" customFormat="1" outlineLevel="1" x14ac:dyDescent="0.35">
      <c r="A233" s="1191"/>
      <c r="B233" s="3961"/>
      <c r="C233" s="1243" t="s">
        <v>1380</v>
      </c>
      <c r="D233" s="1243" t="s">
        <v>3</v>
      </c>
      <c r="E233" s="1244">
        <f t="shared" si="6"/>
        <v>0.48000000000000004</v>
      </c>
      <c r="F233" s="1244">
        <f>IF($D233="Trigger",VLOOKUP($C233,'Upper Cask Welding failures'!$E$192:$H$294,4,FALSE),E233+F232)</f>
        <v>40.946699163904121</v>
      </c>
      <c r="G233" s="1309"/>
      <c r="H233" s="1310" t="str">
        <f>IF(D233="operation",VLOOKUP(G233,'Generic Vertical Port Tasks'!C215:D250,2,FALSE),"N/A")</f>
        <v>N/A</v>
      </c>
      <c r="I233" s="1243"/>
      <c r="J233" s="1243"/>
      <c r="K233" s="1243"/>
      <c r="L233" s="1245" t="str">
        <f>IFERROR(INDEX('Upper Cask Movement &amp; Logistics'!$I$24:$O$30,MATCH($J233,'Upper Cask Movement &amp; Logistics'!$H$24:$H$30,0),MATCH($K233,'Upper Cask Movement &amp; Logistics'!$H$24:$H$30,0)),"N/A")</f>
        <v>N/A</v>
      </c>
      <c r="M233" s="1245" t="str">
        <f>IFERROR(VLOOKUP($I233,'Upper Cask Movement &amp; Logistics'!$H$4:$I$8,2,FALSE),"N/A")</f>
        <v>N/A</v>
      </c>
      <c r="N233" s="1311" t="str">
        <f t="shared" si="7"/>
        <v>N/A</v>
      </c>
      <c r="O233" s="1312" t="s">
        <v>1330</v>
      </c>
      <c r="P233" s="1313">
        <f>IF($D233="Logistics",VLOOKUP($O233,'Upper Cask Movement &amp; Logistics'!$C$4:$D$77,2,FALSE),"N/A")</f>
        <v>0.48000000000000004</v>
      </c>
    </row>
    <row r="234" spans="1:16" s="89" customFormat="1" outlineLevel="1" x14ac:dyDescent="0.35">
      <c r="A234" s="1191"/>
      <c r="B234" s="3961"/>
      <c r="C234" s="1243" t="s">
        <v>1381</v>
      </c>
      <c r="D234" s="1243" t="s">
        <v>778</v>
      </c>
      <c r="E234" s="1244">
        <f t="shared" si="6"/>
        <v>2.7777777777777776E-2</v>
      </c>
      <c r="F234" s="1244">
        <f>IF($D234="Trigger",VLOOKUP($C234,'Upper Cask Welding failures'!$E$192:$H$294,4,FALSE),E234+F233)</f>
        <v>40.9744769416819</v>
      </c>
      <c r="G234" s="1309"/>
      <c r="H234" s="1310" t="str">
        <f>IF(D234="operation",VLOOKUP(G234,'Generic Vertical Port Tasks'!C215:D250,2,FALSE),"N/A")</f>
        <v>N/A</v>
      </c>
      <c r="I234" s="1243" t="s">
        <v>2502</v>
      </c>
      <c r="J234" s="1243" t="s">
        <v>914</v>
      </c>
      <c r="K234" s="1243" t="s">
        <v>799</v>
      </c>
      <c r="L234" s="1245">
        <f>IFERROR(INDEX('Upper Cask Movement &amp; Logistics'!$I$24:$O$30,MATCH($J234,'Upper Cask Movement &amp; Logistics'!$H$24:$H$30,0),MATCH($K234,'Upper Cask Movement &amp; Logistics'!$H$24:$H$30,0)),"N/A")</f>
        <v>20</v>
      </c>
      <c r="M234" s="1245">
        <f>IFERROR(VLOOKUP($I234,'Upper Cask Movement &amp; Logistics'!$H$4:$I$8,2,FALSE),"N/A")</f>
        <v>0.2</v>
      </c>
      <c r="N234" s="1311">
        <f t="shared" si="7"/>
        <v>2.7777777777777776E-2</v>
      </c>
      <c r="O234" s="1312"/>
      <c r="P234" s="1313" t="str">
        <f>IF($D234="Logistics",VLOOKUP($O234,'Upper Cask Movement &amp; Logistics'!$C$4:$D$77,2,FALSE),"N/A")</f>
        <v>N/A</v>
      </c>
    </row>
    <row r="235" spans="1:16" s="89" customFormat="1" outlineLevel="1" x14ac:dyDescent="0.35">
      <c r="A235" s="1191"/>
      <c r="B235" s="3961"/>
      <c r="C235" s="1243" t="s">
        <v>1382</v>
      </c>
      <c r="D235" s="1243" t="s">
        <v>3</v>
      </c>
      <c r="E235" s="1244">
        <f t="shared" si="6"/>
        <v>0.48000000000000004</v>
      </c>
      <c r="F235" s="1244">
        <f>IF($D235="Trigger",VLOOKUP($C235,'Upper Cask Welding failures'!$E$192:$H$294,4,FALSE),E235+F234)</f>
        <v>41.454476941681897</v>
      </c>
      <c r="G235" s="1309"/>
      <c r="H235" s="1310" t="str">
        <f>IF(D235="operation",VLOOKUP(G235,'Generic Vertical Port Tasks'!C215:D250,2,FALSE),"N/A")</f>
        <v>N/A</v>
      </c>
      <c r="I235" s="1243"/>
      <c r="J235" s="1243"/>
      <c r="K235" s="1243"/>
      <c r="L235" s="1245" t="str">
        <f>IFERROR(INDEX('Upper Cask Movement &amp; Logistics'!$I$24:$O$30,MATCH($J235,'Upper Cask Movement &amp; Logistics'!$H$24:$H$30,0),MATCH($K235,'Upper Cask Movement &amp; Logistics'!$H$24:$H$30,0)),"N/A")</f>
        <v>N/A</v>
      </c>
      <c r="M235" s="1245" t="str">
        <f>IFERROR(VLOOKUP($I235,'Upper Cask Movement &amp; Logistics'!$H$4:$I$8,2,FALSE),"N/A")</f>
        <v>N/A</v>
      </c>
      <c r="N235" s="1311" t="str">
        <f t="shared" si="7"/>
        <v>N/A</v>
      </c>
      <c r="O235" s="1312" t="s">
        <v>1331</v>
      </c>
      <c r="P235" s="1313">
        <f>IF($D235="Logistics",VLOOKUP($O235,'Upper Cask Movement &amp; Logistics'!$C$4:$D$77,2,FALSE),"N/A")</f>
        <v>0.48000000000000004</v>
      </c>
    </row>
    <row r="236" spans="1:16" s="89" customFormat="1" outlineLevel="1" x14ac:dyDescent="0.35">
      <c r="A236" s="1191"/>
      <c r="B236" s="3961"/>
      <c r="C236" s="1243" t="s">
        <v>1366</v>
      </c>
      <c r="D236" s="1243" t="s">
        <v>778</v>
      </c>
      <c r="E236" s="1244">
        <f t="shared" si="6"/>
        <v>0.69444444444444442</v>
      </c>
      <c r="F236" s="1244">
        <f>IF($D236="Trigger",VLOOKUP($C236,'Upper Cask Welding failures'!$E$192:$H$294,4,FALSE),E236+F235)</f>
        <v>42.148921386126339</v>
      </c>
      <c r="G236" s="1309"/>
      <c r="H236" s="1310" t="str">
        <f>IF(D236="operation",VLOOKUP(G236,'Generic Vertical Port Tasks'!C215:D250,2,FALSE),"N/A")</f>
        <v>N/A</v>
      </c>
      <c r="I236" s="1243" t="s">
        <v>1789</v>
      </c>
      <c r="J236" s="1243" t="s">
        <v>799</v>
      </c>
      <c r="K236" s="1243" t="s">
        <v>901</v>
      </c>
      <c r="L236" s="1245">
        <f>IFERROR(INDEX('Upper Cask Movement &amp; Logistics'!$I$24:$O$30,MATCH($J236,'Upper Cask Movement &amp; Logistics'!$H$24:$H$30,0),MATCH($K236,'Upper Cask Movement &amp; Logistics'!$H$24:$H$30,0)),"N/A")</f>
        <v>50</v>
      </c>
      <c r="M236" s="1245">
        <f>IFERROR(VLOOKUP($I236,'Upper Cask Movement &amp; Logistics'!$H$4:$I$8,2,FALSE),"N/A")</f>
        <v>0.02</v>
      </c>
      <c r="N236" s="1311">
        <f t="shared" si="7"/>
        <v>0.69444444444444442</v>
      </c>
      <c r="O236" s="1312"/>
      <c r="P236" s="1313" t="str">
        <f>IF($D236="Logistics",VLOOKUP($O236,'Upper Cask Movement &amp; Logistics'!$C$4:$D$77,2,FALSE),"N/A")</f>
        <v>N/A</v>
      </c>
    </row>
    <row r="237" spans="1:16" s="89" customFormat="1" outlineLevel="1" x14ac:dyDescent="0.35">
      <c r="A237" s="1191"/>
      <c r="B237" s="3961"/>
      <c r="C237" s="1243" t="s">
        <v>1383</v>
      </c>
      <c r="D237" s="1243" t="s">
        <v>3</v>
      </c>
      <c r="E237" s="1244">
        <f t="shared" si="6"/>
        <v>1.4000000000000001</v>
      </c>
      <c r="F237" s="1244">
        <f>IF($D237="Trigger",VLOOKUP($C237,'Upper Cask Welding failures'!$E$192:$H$294,4,FALSE),E237+F236)</f>
        <v>43.548921386126338</v>
      </c>
      <c r="G237" s="1309"/>
      <c r="H237" s="1310" t="str">
        <f>IF(D237="operation",VLOOKUP(G237,'Generic Vertical Port Tasks'!C215:D250,2,FALSE),"N/A")</f>
        <v>N/A</v>
      </c>
      <c r="I237" s="1243"/>
      <c r="J237" s="1243"/>
      <c r="K237" s="1243"/>
      <c r="L237" s="1245" t="str">
        <f>IFERROR(INDEX('Upper Cask Movement &amp; Logistics'!$I$24:$O$30,MATCH($J237,'Upper Cask Movement &amp; Logistics'!$H$24:$H$30,0),MATCH($K237,'Upper Cask Movement &amp; Logistics'!$H$24:$H$30,0)),"N/A")</f>
        <v>N/A</v>
      </c>
      <c r="M237" s="1245" t="str">
        <f>IFERROR(VLOOKUP($I237,'Upper Cask Movement &amp; Logistics'!$H$4:$I$8,2,FALSE),"N/A")</f>
        <v>N/A</v>
      </c>
      <c r="N237" s="1311" t="str">
        <f t="shared" si="7"/>
        <v>N/A</v>
      </c>
      <c r="O237" s="1312" t="s">
        <v>1277</v>
      </c>
      <c r="P237" s="1313">
        <f>IF($D237="Logistics",VLOOKUP($O237,'Upper Cask Movement &amp; Logistics'!$C$4:$D$77,2,FALSE),"N/A")</f>
        <v>1.4000000000000001</v>
      </c>
    </row>
    <row r="238" spans="1:16" s="89" customFormat="1" ht="26.15" outlineLevel="1" thickBot="1" x14ac:dyDescent="0.4">
      <c r="A238" s="1191"/>
      <c r="B238" s="3963"/>
      <c r="C238" s="1314" t="s">
        <v>1379</v>
      </c>
      <c r="D238" s="1314" t="s">
        <v>11</v>
      </c>
      <c r="E238" s="1316">
        <f t="shared" si="6"/>
        <v>0</v>
      </c>
      <c r="F238" s="1316">
        <f>IF($D238="Trigger",VLOOKUP($C238,'Upper Cask Welding failures'!$E$192:$H$294,4,FALSE),E238+F237)</f>
        <v>43.548921386126338</v>
      </c>
      <c r="G238" s="1317"/>
      <c r="H238" s="1318" t="str">
        <f>IF(D238="operation",VLOOKUP(G238,'Generic Vertical Port Tasks'!C215:D250,2,FALSE),"N/A")</f>
        <v>N/A</v>
      </c>
      <c r="I238" s="1314"/>
      <c r="J238" s="1314"/>
      <c r="K238" s="1314"/>
      <c r="L238" s="1319" t="str">
        <f>IFERROR(INDEX('Upper Cask Movement &amp; Logistics'!$I$24:$O$30,MATCH($J238,'Upper Cask Movement &amp; Logistics'!$H$24:$H$30,0),MATCH($K238,'Upper Cask Movement &amp; Logistics'!$H$24:$H$30,0)),"N/A")</f>
        <v>N/A</v>
      </c>
      <c r="M238" s="1319" t="str">
        <f>IFERROR(VLOOKUP($I238,'Upper Cask Movement &amp; Logistics'!$H$4:$I$8,2,FALSE),"N/A")</f>
        <v>N/A</v>
      </c>
      <c r="N238" s="1320" t="str">
        <f t="shared" si="7"/>
        <v>N/A</v>
      </c>
      <c r="O238" s="1321"/>
      <c r="P238" s="1322" t="str">
        <f>IF($D238="Logistics",VLOOKUP($O238,'Upper Cask Movement &amp; Logistics'!$C$4:$D$77,2,FALSE),"N/A")</f>
        <v>N/A</v>
      </c>
    </row>
    <row r="239" spans="1:16" s="89" customFormat="1" outlineLevel="1" x14ac:dyDescent="0.35">
      <c r="A239" s="1191"/>
      <c r="B239" s="3964" t="s">
        <v>1384</v>
      </c>
      <c r="C239" s="1324" t="s">
        <v>1531</v>
      </c>
      <c r="D239" s="1324" t="s">
        <v>907</v>
      </c>
      <c r="E239" s="1291">
        <f t="shared" si="6"/>
        <v>0</v>
      </c>
      <c r="F239" s="1291">
        <f>IF($D239="Trigger",VLOOKUP($C239,'Upper Cask Welding failures'!$E$192:$H$294,4,FALSE),E239+F238)</f>
        <v>40.249662126867094</v>
      </c>
      <c r="G239" s="825"/>
      <c r="H239" s="1323" t="str">
        <f>IF(D239="operation",VLOOKUP(G239,'Generic Vertical Port Tasks'!C215:D250,2,FALSE),"N/A")</f>
        <v>N/A</v>
      </c>
      <c r="I239" s="1324"/>
      <c r="J239" s="1324"/>
      <c r="K239" s="1324"/>
      <c r="L239" s="1325" t="str">
        <f>IFERROR(INDEX('Upper Cask Movement &amp; Logistics'!$I$24:$O$30,MATCH($J239,'Upper Cask Movement &amp; Logistics'!$H$24:$H$30,0),MATCH($K239,'Upper Cask Movement &amp; Logistics'!$H$24:$H$30,0)),"N/A")</f>
        <v>N/A</v>
      </c>
      <c r="M239" s="1325" t="str">
        <f>IFERROR(VLOOKUP($I239,'Upper Cask Movement &amp; Logistics'!$H$4:$I$8,2,FALSE),"N/A")</f>
        <v>N/A</v>
      </c>
      <c r="N239" s="1326" t="str">
        <f t="shared" si="7"/>
        <v>N/A</v>
      </c>
      <c r="O239" s="1327"/>
      <c r="P239" s="824" t="str">
        <f>IF($D239="Logistics",VLOOKUP($O239,'Upper Cask Movement &amp; Logistics'!$C$4:$D$77,2,FALSE),"N/A")</f>
        <v>N/A</v>
      </c>
    </row>
    <row r="240" spans="1:16" s="89" customFormat="1" outlineLevel="1" x14ac:dyDescent="0.35">
      <c r="A240" s="1191"/>
      <c r="B240" s="3965"/>
      <c r="C240" s="1294" t="s">
        <v>1385</v>
      </c>
      <c r="D240" s="1294" t="s">
        <v>3</v>
      </c>
      <c r="E240" s="1292">
        <f t="shared" si="6"/>
        <v>0.5</v>
      </c>
      <c r="F240" s="1292">
        <f>IF($D240="Trigger",VLOOKUP($C240,'Upper Cask Welding failures'!$E$192:$H$294,4,FALSE),E240+F239)</f>
        <v>40.749662126867094</v>
      </c>
      <c r="G240" s="862"/>
      <c r="H240" s="1328" t="str">
        <f>IF(D240="operation",VLOOKUP(G240,'Generic Vertical Port Tasks'!C215:D250,2,FALSE),"N/A")</f>
        <v>N/A</v>
      </c>
      <c r="I240" s="1294"/>
      <c r="J240" s="1294"/>
      <c r="K240" s="1294"/>
      <c r="L240" s="1329" t="str">
        <f>IFERROR(INDEX('Upper Cask Movement &amp; Logistics'!$I$24:$O$30,MATCH($J240,'Upper Cask Movement &amp; Logistics'!$H$24:$H$30,0),MATCH($K240,'Upper Cask Movement &amp; Logistics'!$H$24:$H$30,0)),"N/A")</f>
        <v>N/A</v>
      </c>
      <c r="M240" s="1329" t="str">
        <f>IFERROR(VLOOKUP($I240,'Upper Cask Movement &amp; Logistics'!$H$4:$I$8,2,FALSE),"N/A")</f>
        <v>N/A</v>
      </c>
      <c r="N240" s="1330" t="str">
        <f t="shared" si="7"/>
        <v>N/A</v>
      </c>
      <c r="O240" s="1331" t="s">
        <v>1208</v>
      </c>
      <c r="P240" s="1332">
        <f>IF($D240="Logistics",VLOOKUP($O240,'Upper Cask Movement &amp; Logistics'!$C$4:$D$77,2,FALSE),"N/A")</f>
        <v>0.5</v>
      </c>
    </row>
    <row r="241" spans="1:16" s="89" customFormat="1" outlineLevel="1" x14ac:dyDescent="0.35">
      <c r="A241" s="1191"/>
      <c r="B241" s="3965"/>
      <c r="C241" s="1294" t="s">
        <v>1386</v>
      </c>
      <c r="D241" s="1294" t="s">
        <v>3</v>
      </c>
      <c r="E241" s="1292">
        <f t="shared" si="6"/>
        <v>0.48000000000000004</v>
      </c>
      <c r="F241" s="1292">
        <f>IF($D241="Trigger",VLOOKUP($C241,'Upper Cask Welding failures'!$E$192:$H$294,4,FALSE),E241+F240)</f>
        <v>41.22966212686709</v>
      </c>
      <c r="G241" s="862"/>
      <c r="H241" s="1328" t="str">
        <f>IF(D241="operation",VLOOKUP(G241,'Generic Vertical Port Tasks'!C215:D250,2,FALSE),"N/A")</f>
        <v>N/A</v>
      </c>
      <c r="I241" s="1294"/>
      <c r="J241" s="1294"/>
      <c r="K241" s="1294"/>
      <c r="L241" s="1329" t="str">
        <f>IFERROR(INDEX('Upper Cask Movement &amp; Logistics'!$I$24:$O$30,MATCH($J241,'Upper Cask Movement &amp; Logistics'!$H$24:$H$30,0),MATCH($K241,'Upper Cask Movement &amp; Logistics'!$H$24:$H$30,0)),"N/A")</f>
        <v>N/A</v>
      </c>
      <c r="M241" s="1329" t="str">
        <f>IFERROR(VLOOKUP($I241,'Upper Cask Movement &amp; Logistics'!$H$4:$I$8,2,FALSE),"N/A")</f>
        <v>N/A</v>
      </c>
      <c r="N241" s="1330" t="str">
        <f t="shared" si="7"/>
        <v>N/A</v>
      </c>
      <c r="O241" s="1331" t="s">
        <v>1331</v>
      </c>
      <c r="P241" s="1332">
        <f>IF($D241="Logistics",VLOOKUP($O241,'Upper Cask Movement &amp; Logistics'!$C$4:$D$77,2,FALSE),"N/A")</f>
        <v>0.48000000000000004</v>
      </c>
    </row>
    <row r="242" spans="1:16" s="89" customFormat="1" outlineLevel="1" x14ac:dyDescent="0.35">
      <c r="A242" s="1191"/>
      <c r="B242" s="3965"/>
      <c r="C242" s="1294" t="s">
        <v>1387</v>
      </c>
      <c r="D242" s="1294" t="s">
        <v>778</v>
      </c>
      <c r="E242" s="1292">
        <f t="shared" si="6"/>
        <v>0.69444444444444442</v>
      </c>
      <c r="F242" s="1292">
        <f>IF($D242="Trigger",VLOOKUP($C242,'Upper Cask Welding failures'!$E$192:$H$294,4,FALSE),E242+F241)</f>
        <v>41.924106571311533</v>
      </c>
      <c r="G242" s="862"/>
      <c r="H242" s="1328" t="str">
        <f>IF(D242="operation",VLOOKUP(G242,'Generic Vertical Port Tasks'!C215:D250,2,FALSE),"N/A")</f>
        <v>N/A</v>
      </c>
      <c r="I242" s="1294" t="s">
        <v>1789</v>
      </c>
      <c r="J242" s="1294" t="s">
        <v>799</v>
      </c>
      <c r="K242" s="1294" t="s">
        <v>816</v>
      </c>
      <c r="L242" s="1329">
        <f>IFERROR(INDEX('Upper Cask Movement &amp; Logistics'!$I$24:$O$30,MATCH($J242,'Upper Cask Movement &amp; Logistics'!$H$24:$H$30,0),MATCH($K242,'Upper Cask Movement &amp; Logistics'!$H$24:$H$30,0)),"N/A")</f>
        <v>50</v>
      </c>
      <c r="M242" s="1329">
        <f>IFERROR(VLOOKUP($I242,'Upper Cask Movement &amp; Logistics'!$H$4:$I$8,2,FALSE),"N/A")</f>
        <v>0.02</v>
      </c>
      <c r="N242" s="1330">
        <f t="shared" si="7"/>
        <v>0.69444444444444442</v>
      </c>
      <c r="O242" s="1331"/>
      <c r="P242" s="1332" t="str">
        <f>IF($D242="Logistics",VLOOKUP($O242,'Upper Cask Movement &amp; Logistics'!$C$4:$D$77,2,FALSE),"N/A")</f>
        <v>N/A</v>
      </c>
    </row>
    <row r="243" spans="1:16" s="89" customFormat="1" ht="26.15" outlineLevel="1" thickBot="1" x14ac:dyDescent="0.4">
      <c r="A243" s="1191"/>
      <c r="B243" s="3965"/>
      <c r="C243" s="1294" t="s">
        <v>1384</v>
      </c>
      <c r="D243" s="1294" t="s">
        <v>11</v>
      </c>
      <c r="E243" s="1292">
        <f t="shared" si="6"/>
        <v>0</v>
      </c>
      <c r="F243" s="1292">
        <f>IF($D243="Trigger",VLOOKUP($C243,'Upper Cask Welding failures'!$E$192:$H$294,4,FALSE),E243+F242)</f>
        <v>41.924106571311533</v>
      </c>
      <c r="G243" s="862"/>
      <c r="H243" s="1328" t="str">
        <f>IF(D243="operation",VLOOKUP(G243,'Generic Vertical Port Tasks'!C215:D250,2,FALSE),"N/A")</f>
        <v>N/A</v>
      </c>
      <c r="I243" s="1294"/>
      <c r="J243" s="1294"/>
      <c r="K243" s="1294"/>
      <c r="L243" s="1329" t="str">
        <f>IFERROR(INDEX('Upper Cask Movement &amp; Logistics'!$I$24:$O$30,MATCH($J243,'Upper Cask Movement &amp; Logistics'!$H$24:$H$30,0),MATCH($K243,'Upper Cask Movement &amp; Logistics'!$H$24:$H$30,0)),"N/A")</f>
        <v>N/A</v>
      </c>
      <c r="M243" s="1329" t="str">
        <f>IFERROR(VLOOKUP($I243,'Upper Cask Movement &amp; Logistics'!$H$4:$I$8,2,FALSE),"N/A")</f>
        <v>N/A</v>
      </c>
      <c r="N243" s="1330" t="str">
        <f t="shared" si="7"/>
        <v>N/A</v>
      </c>
      <c r="O243" s="1331"/>
      <c r="P243" s="1332" t="str">
        <f>IF($D243="Logistics",VLOOKUP($O243,'Upper Cask Movement &amp; Logistics'!$C$4:$D$77,2,FALSE),"N/A")</f>
        <v>N/A</v>
      </c>
    </row>
    <row r="244" spans="1:16" s="89" customFormat="1" outlineLevel="1" x14ac:dyDescent="0.35">
      <c r="A244" s="1191"/>
      <c r="B244" s="3964" t="s">
        <v>1392</v>
      </c>
      <c r="C244" s="1324" t="s">
        <v>1263</v>
      </c>
      <c r="D244" s="1324" t="s">
        <v>907</v>
      </c>
      <c r="E244" s="1291">
        <f t="shared" si="6"/>
        <v>0</v>
      </c>
      <c r="F244" s="1291">
        <f>IF($D244="Trigger",VLOOKUP($C244,'Upper Cask Welding failures'!$E$192:$H$294,4,FALSE),E244+F243)</f>
        <v>50.314106571311541</v>
      </c>
      <c r="G244" s="825"/>
      <c r="H244" s="1323" t="str">
        <f>IF(D244="operation",VLOOKUP(G244,'Generic Vertical Port Tasks'!C207:D248,2,FALSE),"N/A")</f>
        <v>N/A</v>
      </c>
      <c r="I244" s="1324"/>
      <c r="J244" s="1324"/>
      <c r="K244" s="1324"/>
      <c r="L244" s="1325" t="str">
        <f>IFERROR(INDEX('Upper Cask Movement &amp; Logistics'!$I$24:$O$30,MATCH($J244,'Upper Cask Movement &amp; Logistics'!$H$24:$H$30,0),MATCH($K244,'Upper Cask Movement &amp; Logistics'!$H$24:$H$30,0)),"N/A")</f>
        <v>N/A</v>
      </c>
      <c r="M244" s="1325" t="str">
        <f>IFERROR(VLOOKUP($I244,'Upper Cask Movement &amp; Logistics'!$H$4:$I$8,2,FALSE),"N/A")</f>
        <v>N/A</v>
      </c>
      <c r="N244" s="1326" t="str">
        <f t="shared" si="7"/>
        <v>N/A</v>
      </c>
      <c r="O244" s="1327"/>
      <c r="P244" s="824" t="str">
        <f>IF($D244="Logistics",VLOOKUP($O244,'Upper Cask Movement &amp; Logistics'!$C$4:$D$77,2,FALSE),"N/A")</f>
        <v>N/A</v>
      </c>
    </row>
    <row r="245" spans="1:16" s="89" customFormat="1" outlineLevel="1" x14ac:dyDescent="0.35">
      <c r="A245" s="1191"/>
      <c r="B245" s="3969"/>
      <c r="C245" s="1362" t="s">
        <v>1268</v>
      </c>
      <c r="D245" s="1362" t="s">
        <v>3</v>
      </c>
      <c r="E245" s="1363">
        <f t="shared" si="6"/>
        <v>2.3000000000000003</v>
      </c>
      <c r="F245" s="1363">
        <f>IF($D245="Trigger",VLOOKUP($C245,'Upper Cask Welding failures'!$E$192:$H$294,4,FALSE),E245+F244)</f>
        <v>52.614106571311538</v>
      </c>
      <c r="G245" s="1364"/>
      <c r="H245" s="1365" t="str">
        <f>IF(D245="operation",VLOOKUP(G245,'Generic Vertical Port Tasks'!C207:D248,2,FALSE),"N/A")</f>
        <v>N/A</v>
      </c>
      <c r="I245" s="1362"/>
      <c r="J245" s="1362"/>
      <c r="K245" s="1362"/>
      <c r="L245" s="1366" t="str">
        <f>IFERROR(INDEX('Upper Cask Movement &amp; Logistics'!$I$24:$O$30,MATCH($J245,'Upper Cask Movement &amp; Logistics'!$H$24:$H$30,0),MATCH($K245,'Upper Cask Movement &amp; Logistics'!$H$24:$H$30,0)),"N/A")</f>
        <v>N/A</v>
      </c>
      <c r="M245" s="1366" t="str">
        <f>IFERROR(VLOOKUP($I245,'Upper Cask Movement &amp; Logistics'!$H$4:$I$8,2,FALSE),"N/A")</f>
        <v>N/A</v>
      </c>
      <c r="N245" s="1367" t="str">
        <f t="shared" si="7"/>
        <v>N/A</v>
      </c>
      <c r="O245" s="1368" t="s">
        <v>1269</v>
      </c>
      <c r="P245" s="861">
        <f>IF($D245="Logistics",VLOOKUP($O245,'Upper Cask Movement &amp; Logistics'!$C$4:$D$77,2,FALSE),"N/A")</f>
        <v>2.3000000000000003</v>
      </c>
    </row>
    <row r="246" spans="1:16" s="89" customFormat="1" outlineLevel="1" x14ac:dyDescent="0.35">
      <c r="A246" s="1191"/>
      <c r="B246" s="3969"/>
      <c r="C246" s="1362" t="s">
        <v>1370</v>
      </c>
      <c r="D246" s="1362" t="s">
        <v>778</v>
      </c>
      <c r="E246" s="1363">
        <f t="shared" si="6"/>
        <v>0.69444444444444442</v>
      </c>
      <c r="F246" s="1363">
        <f>IF($D246="Trigger",VLOOKUP($C246,'Upper Cask Welding failures'!$E$192:$H$294,4,FALSE),E246+F245)</f>
        <v>53.308551015755981</v>
      </c>
      <c r="G246" s="1364"/>
      <c r="H246" s="1365" t="str">
        <f>IF(D246="operation",VLOOKUP(G246,'Generic Vertical Port Tasks'!C207:D248,2,FALSE),"N/A")</f>
        <v>N/A</v>
      </c>
      <c r="I246" s="1362" t="s">
        <v>1789</v>
      </c>
      <c r="J246" s="1362" t="s">
        <v>901</v>
      </c>
      <c r="K246" s="1362" t="s">
        <v>831</v>
      </c>
      <c r="L246" s="1366">
        <f>IFERROR(INDEX('Upper Cask Movement &amp; Logistics'!$I$24:$O$30,MATCH($J246,'Upper Cask Movement &amp; Logistics'!$H$24:$H$30,0),MATCH($K246,'Upper Cask Movement &amp; Logistics'!$H$24:$H$30,0)),"N/A")</f>
        <v>50</v>
      </c>
      <c r="M246" s="1366">
        <f>IFERROR(VLOOKUP($I246,'Upper Cask Movement &amp; Logistics'!$H$4:$I$8,2,FALSE),"N/A")</f>
        <v>0.02</v>
      </c>
      <c r="N246" s="1367">
        <f t="shared" si="7"/>
        <v>0.69444444444444442</v>
      </c>
      <c r="O246" s="1368"/>
      <c r="P246" s="861" t="str">
        <f>IF($D246="Logistics",VLOOKUP($O246,'Upper Cask Movement &amp; Logistics'!$C$4:$D$77,2,FALSE),"N/A")</f>
        <v>N/A</v>
      </c>
    </row>
    <row r="247" spans="1:16" s="89" customFormat="1" outlineLevel="1" x14ac:dyDescent="0.35">
      <c r="A247" s="1191"/>
      <c r="B247" s="3969"/>
      <c r="C247" s="1362" t="s">
        <v>1393</v>
      </c>
      <c r="D247" s="1362" t="s">
        <v>3</v>
      </c>
      <c r="E247" s="1363">
        <f t="shared" si="6"/>
        <v>0.68</v>
      </c>
      <c r="F247" s="1363">
        <f>IF($D247="Trigger",VLOOKUP($C247,'Upper Cask Welding failures'!$E$192:$H$294,4,FALSE),E247+F246)</f>
        <v>53.988551015755981</v>
      </c>
      <c r="G247" s="1364"/>
      <c r="H247" s="1365" t="str">
        <f>IF(D247="operation",VLOOKUP(G247,'Generic Vertical Port Tasks'!C207:D248,2,FALSE),"N/A")</f>
        <v>N/A</v>
      </c>
      <c r="I247" s="1362"/>
      <c r="J247" s="1362"/>
      <c r="K247" s="1362"/>
      <c r="L247" s="1366" t="str">
        <f>IFERROR(INDEX('Upper Cask Movement &amp; Logistics'!$I$24:$O$30,MATCH($J247,'Upper Cask Movement &amp; Logistics'!$H$24:$H$30,0),MATCH($K247,'Upper Cask Movement &amp; Logistics'!$H$24:$H$30,0)),"N/A")</f>
        <v>N/A</v>
      </c>
      <c r="M247" s="1366" t="str">
        <f>IFERROR(VLOOKUP($I247,'Upper Cask Movement &amp; Logistics'!$H$4:$I$8,2,FALSE),"N/A")</f>
        <v>N/A</v>
      </c>
      <c r="N247" s="1367" t="str">
        <f t="shared" si="7"/>
        <v>N/A</v>
      </c>
      <c r="O247" s="1368" t="s">
        <v>1213</v>
      </c>
      <c r="P247" s="861">
        <f>IF($D247="Logistics",VLOOKUP($O247,'Upper Cask Movement &amp; Logistics'!$C$4:$D$77,2,FALSE),"N/A")</f>
        <v>0.68</v>
      </c>
    </row>
    <row r="248" spans="1:16" s="89" customFormat="1" outlineLevel="1" x14ac:dyDescent="0.35">
      <c r="A248" s="1191"/>
      <c r="B248" s="3965"/>
      <c r="C248" s="1294" t="s">
        <v>1366</v>
      </c>
      <c r="D248" s="1294" t="s">
        <v>778</v>
      </c>
      <c r="E248" s="1292">
        <f t="shared" si="6"/>
        <v>0.23148148148148148</v>
      </c>
      <c r="F248" s="1292">
        <f>IF($D248="Trigger",VLOOKUP($C248,'Upper Cask Welding failures'!$E$192:$H$294,4,FALSE),E248+F247)</f>
        <v>54.220032497237462</v>
      </c>
      <c r="G248" s="862"/>
      <c r="H248" s="1328" t="str">
        <f>IF(D248="operation",VLOOKUP(G248,'Generic Vertical Port Tasks'!C207:D248,2,FALSE),"N/A")</f>
        <v>N/A</v>
      </c>
      <c r="I248" s="1294" t="s">
        <v>2501</v>
      </c>
      <c r="J248" s="1294" t="s">
        <v>831</v>
      </c>
      <c r="K248" s="1294" t="s">
        <v>901</v>
      </c>
      <c r="L248" s="1329">
        <f>IFERROR(INDEX('Upper Cask Movement &amp; Logistics'!$I$24:$O$30,MATCH($J248,'Upper Cask Movement &amp; Logistics'!$H$24:$H$30,0),MATCH($K248,'Upper Cask Movement &amp; Logistics'!$H$24:$H$30,0)),"N/A")</f>
        <v>50</v>
      </c>
      <c r="M248" s="1329">
        <f>IFERROR(VLOOKUP($I248,'Upper Cask Movement &amp; Logistics'!$H$4:$I$8,2,FALSE),"N/A")</f>
        <v>0.06</v>
      </c>
      <c r="N248" s="1330">
        <f t="shared" si="7"/>
        <v>0.23148148148148148</v>
      </c>
      <c r="O248" s="1331"/>
      <c r="P248" s="1332" t="str">
        <f>IF($D248="Logistics",VLOOKUP($O248,'Upper Cask Movement &amp; Logistics'!$C$4:$D$77,2,FALSE),"N/A")</f>
        <v>N/A</v>
      </c>
    </row>
    <row r="249" spans="1:16" s="89" customFormat="1" outlineLevel="1" x14ac:dyDescent="0.35">
      <c r="A249" s="1191"/>
      <c r="B249" s="3965"/>
      <c r="C249" s="1294" t="s">
        <v>1383</v>
      </c>
      <c r="D249" s="1294" t="s">
        <v>3</v>
      </c>
      <c r="E249" s="1292">
        <f t="shared" si="6"/>
        <v>1.4000000000000001</v>
      </c>
      <c r="F249" s="1292">
        <f>IF($D249="Trigger",VLOOKUP($C249,'Upper Cask Welding failures'!$E$192:$H$294,4,FALSE),E249+F248)</f>
        <v>55.62003249723746</v>
      </c>
      <c r="G249" s="862"/>
      <c r="H249" s="1328" t="str">
        <f>IF(D249="operation",VLOOKUP(G249,'Generic Vertical Port Tasks'!C207:D248,2,FALSE),"N/A")</f>
        <v>N/A</v>
      </c>
      <c r="I249" s="1294"/>
      <c r="J249" s="1294"/>
      <c r="K249" s="1294"/>
      <c r="L249" s="1329" t="str">
        <f>IFERROR(INDEX('Upper Cask Movement &amp; Logistics'!$I$24:$O$30,MATCH($J249,'Upper Cask Movement &amp; Logistics'!$H$24:$H$30,0),MATCH($K249,'Upper Cask Movement &amp; Logistics'!$H$24:$H$30,0)),"N/A")</f>
        <v>N/A</v>
      </c>
      <c r="M249" s="1329" t="str">
        <f>IFERROR(VLOOKUP($I249,'Upper Cask Movement &amp; Logistics'!$H$4:$I$8,2,FALSE),"N/A")</f>
        <v>N/A</v>
      </c>
      <c r="N249" s="1330" t="str">
        <f t="shared" si="7"/>
        <v>N/A</v>
      </c>
      <c r="O249" s="1331" t="s">
        <v>1277</v>
      </c>
      <c r="P249" s="1332">
        <f>IF($D249="Logistics",VLOOKUP($O249,'Upper Cask Movement &amp; Logistics'!$C$4:$D$77,2,FALSE),"N/A")</f>
        <v>1.4000000000000001</v>
      </c>
    </row>
    <row r="250" spans="1:16" s="89" customFormat="1" ht="13.3" outlineLevel="1" thickBot="1" x14ac:dyDescent="0.4">
      <c r="A250" s="1191"/>
      <c r="B250" s="3966"/>
      <c r="C250" s="1340" t="s">
        <v>1392</v>
      </c>
      <c r="D250" s="1340" t="s">
        <v>11</v>
      </c>
      <c r="E250" s="1295">
        <f t="shared" si="6"/>
        <v>0</v>
      </c>
      <c r="F250" s="1295">
        <f>IF($D250="Trigger",VLOOKUP($C250,'Upper Cask Welding failures'!$E$192:$H$294,4,FALSE),E250+F249)</f>
        <v>55.62003249723746</v>
      </c>
      <c r="G250" s="839"/>
      <c r="H250" s="1341" t="str">
        <f>IF(D250="operation",VLOOKUP(G250,'Generic Vertical Port Tasks'!C207:D248,2,FALSE),"N/A")</f>
        <v>N/A</v>
      </c>
      <c r="I250" s="1340"/>
      <c r="J250" s="1340"/>
      <c r="K250" s="1340"/>
      <c r="L250" s="1342" t="str">
        <f>IFERROR(INDEX('Upper Cask Movement &amp; Logistics'!$I$24:$O$30,MATCH($J250,'Upper Cask Movement &amp; Logistics'!$H$24:$H$30,0),MATCH($K250,'Upper Cask Movement &amp; Logistics'!$H$24:$H$30,0)),"N/A")</f>
        <v>N/A</v>
      </c>
      <c r="M250" s="1342" t="str">
        <f>IFERROR(VLOOKUP($I250,'Upper Cask Movement &amp; Logistics'!$H$4:$I$8,2,FALSE),"N/A")</f>
        <v>N/A</v>
      </c>
      <c r="N250" s="1343" t="str">
        <f t="shared" si="7"/>
        <v>N/A</v>
      </c>
      <c r="O250" s="1344"/>
      <c r="P250" s="1345" t="str">
        <f>IF($D250="Logistics",VLOOKUP($O250,'Upper Cask Movement &amp; Logistics'!$C$4:$D$77,2,FALSE),"N/A")</f>
        <v>N/A</v>
      </c>
    </row>
    <row r="251" spans="1:16" s="89" customFormat="1" outlineLevel="1" x14ac:dyDescent="0.35">
      <c r="A251" s="1191"/>
      <c r="B251" s="3960" t="s">
        <v>1394</v>
      </c>
      <c r="C251" s="1333" t="s">
        <v>1264</v>
      </c>
      <c r="D251" s="1333" t="s">
        <v>907</v>
      </c>
      <c r="E251" s="1303">
        <f t="shared" si="6"/>
        <v>0</v>
      </c>
      <c r="F251" s="1303">
        <f>IF($D251="Trigger",VLOOKUP($C251,'Upper Cask Welding failures'!$E$192:$H$294,4,FALSE),E251+F250)</f>
        <v>57.184106571311546</v>
      </c>
      <c r="G251" s="1304"/>
      <c r="H251" s="1305" t="str">
        <f>IF(D251="operation",VLOOKUP(G251,'Generic Vertical Port Tasks'!C207:D248,2,FALSE),"N/A")</f>
        <v>N/A</v>
      </c>
      <c r="I251" s="1333"/>
      <c r="J251" s="1333"/>
      <c r="K251" s="1333"/>
      <c r="L251" s="1334" t="str">
        <f>IFERROR(INDEX('Upper Cask Movement &amp; Logistics'!$I$24:$O$30,MATCH($J251,'Upper Cask Movement &amp; Logistics'!$H$24:$H$30,0),MATCH($K251,'Upper Cask Movement &amp; Logistics'!$H$24:$H$30,0)),"N/A")</f>
        <v>N/A</v>
      </c>
      <c r="M251" s="1334" t="str">
        <f>IFERROR(VLOOKUP($I251,'Upper Cask Movement &amp; Logistics'!$H$4:$I$8,2,FALSE),"N/A")</f>
        <v>N/A</v>
      </c>
      <c r="N251" s="1335" t="str">
        <f t="shared" si="7"/>
        <v>N/A</v>
      </c>
      <c r="O251" s="1336"/>
      <c r="P251" s="1337" t="str">
        <f>IF($D251="Logistics",VLOOKUP($O251,'Upper Cask Movement &amp; Logistics'!$C$4:$D$77,2,FALSE),"N/A")</f>
        <v>N/A</v>
      </c>
    </row>
    <row r="252" spans="1:16" s="89" customFormat="1" outlineLevel="1" x14ac:dyDescent="0.35">
      <c r="A252" s="1191"/>
      <c r="B252" s="3968"/>
      <c r="C252" s="1240" t="s">
        <v>1395</v>
      </c>
      <c r="D252" s="1240" t="s">
        <v>3</v>
      </c>
      <c r="E252" s="1241">
        <f t="shared" si="6"/>
        <v>2.3000000000000003</v>
      </c>
      <c r="F252" s="1241">
        <f>IF($D252="Trigger",VLOOKUP($C252,'Upper Cask Welding failures'!$E$192:$H$294,4,FALSE),E252+F251)</f>
        <v>59.484106571311543</v>
      </c>
      <c r="G252" s="1354"/>
      <c r="H252" s="1355" t="str">
        <f>IF(D252="operation",VLOOKUP(G252,'Generic Vertical Port Tasks'!C207:D248,2,FALSE),"N/A")</f>
        <v>N/A</v>
      </c>
      <c r="I252" s="1240"/>
      <c r="J252" s="1240"/>
      <c r="K252" s="1240"/>
      <c r="L252" s="1242" t="str">
        <f>IFERROR(INDEX('Upper Cask Movement &amp; Logistics'!$I$24:$O$30,MATCH($J252,'Upper Cask Movement &amp; Logistics'!$H$24:$H$30,0),MATCH($K252,'Upper Cask Movement &amp; Logistics'!$H$24:$H$30,0)),"N/A")</f>
        <v>N/A</v>
      </c>
      <c r="M252" s="1242" t="str">
        <f>IFERROR(VLOOKUP($I252,'Upper Cask Movement &amp; Logistics'!$H$4:$I$8,2,FALSE),"N/A")</f>
        <v>N/A</v>
      </c>
      <c r="N252" s="1356" t="str">
        <f t="shared" si="7"/>
        <v>N/A</v>
      </c>
      <c r="O252" s="1357" t="s">
        <v>1269</v>
      </c>
      <c r="P252" s="1358">
        <f>IF($D252="Logistics",VLOOKUP($O252,'Upper Cask Movement &amp; Logistics'!$C$4:$D$77,2,FALSE),"N/A")</f>
        <v>2.3000000000000003</v>
      </c>
    </row>
    <row r="253" spans="1:16" s="89" customFormat="1" outlineLevel="1" x14ac:dyDescent="0.35">
      <c r="A253" s="1191"/>
      <c r="B253" s="3968"/>
      <c r="C253" s="1240" t="s">
        <v>1344</v>
      </c>
      <c r="D253" s="1240" t="s">
        <v>778</v>
      </c>
      <c r="E253" s="1241">
        <f t="shared" si="6"/>
        <v>0.69444444444444442</v>
      </c>
      <c r="F253" s="1241">
        <f>IF($D253="Trigger",VLOOKUP($C253,'Upper Cask Welding failures'!$E$192:$H$294,4,FALSE),E253+F252)</f>
        <v>60.178551015755986</v>
      </c>
      <c r="G253" s="1354"/>
      <c r="H253" s="1355" t="str">
        <f>IF(D253="operation",VLOOKUP(G253,'Generic Vertical Port Tasks'!C207:D248,2,FALSE),"N/A")</f>
        <v>N/A</v>
      </c>
      <c r="I253" s="1240" t="s">
        <v>1789</v>
      </c>
      <c r="J253" s="1240" t="s">
        <v>901</v>
      </c>
      <c r="K253" s="1240" t="s">
        <v>831</v>
      </c>
      <c r="L253" s="1242">
        <f>IFERROR(INDEX('Upper Cask Movement &amp; Logistics'!$I$24:$O$30,MATCH($J253,'Upper Cask Movement &amp; Logistics'!$H$24:$H$30,0),MATCH($K253,'Upper Cask Movement &amp; Logistics'!$H$24:$H$30,0)),"N/A")</f>
        <v>50</v>
      </c>
      <c r="M253" s="1242">
        <f>IFERROR(VLOOKUP($I253,'Upper Cask Movement &amp; Logistics'!$H$4:$I$8,2,FALSE),"N/A")</f>
        <v>0.02</v>
      </c>
      <c r="N253" s="1356">
        <f t="shared" si="7"/>
        <v>0.69444444444444442</v>
      </c>
      <c r="O253" s="1357"/>
      <c r="P253" s="1358" t="str">
        <f>IF($D253="Logistics",VLOOKUP($O253,'Upper Cask Movement &amp; Logistics'!$C$4:$D$77,2,FALSE),"N/A")</f>
        <v>N/A</v>
      </c>
    </row>
    <row r="254" spans="1:16" s="89" customFormat="1" outlineLevel="1" x14ac:dyDescent="0.35">
      <c r="A254" s="1191"/>
      <c r="B254" s="3968"/>
      <c r="C254" s="1240" t="s">
        <v>1396</v>
      </c>
      <c r="D254" s="1240" t="s">
        <v>3</v>
      </c>
      <c r="E254" s="1241">
        <f t="shared" si="6"/>
        <v>0.68</v>
      </c>
      <c r="F254" s="1241">
        <f>IF($D254="Trigger",VLOOKUP($C254,'Upper Cask Welding failures'!$E$192:$H$294,4,FALSE),E254+F253)</f>
        <v>60.858551015755985</v>
      </c>
      <c r="G254" s="1354"/>
      <c r="H254" s="1355" t="str">
        <f>IF(D254="operation",VLOOKUP(G254,'Generic Vertical Port Tasks'!C207:D248,2,FALSE),"N/A")</f>
        <v>N/A</v>
      </c>
      <c r="I254" s="1240"/>
      <c r="J254" s="1240"/>
      <c r="K254" s="1240"/>
      <c r="L254" s="1242" t="str">
        <f>IFERROR(INDEX('Upper Cask Movement &amp; Logistics'!$I$24:$O$30,MATCH($J254,'Upper Cask Movement &amp; Logistics'!$H$24:$H$30,0),MATCH($K254,'Upper Cask Movement &amp; Logistics'!$H$24:$H$30,0)),"N/A")</f>
        <v>N/A</v>
      </c>
      <c r="M254" s="1242" t="str">
        <f>IFERROR(VLOOKUP($I254,'Upper Cask Movement &amp; Logistics'!$H$4:$I$8,2,FALSE),"N/A")</f>
        <v>N/A</v>
      </c>
      <c r="N254" s="1356" t="str">
        <f t="shared" si="7"/>
        <v>N/A</v>
      </c>
      <c r="O254" s="1357" t="s">
        <v>1213</v>
      </c>
      <c r="P254" s="1358">
        <f>IF($D254="Logistics",VLOOKUP($O254,'Upper Cask Movement &amp; Logistics'!$C$4:$D$77,2,FALSE),"N/A")</f>
        <v>0.68</v>
      </c>
    </row>
    <row r="255" spans="1:16" s="89" customFormat="1" outlineLevel="1" x14ac:dyDescent="0.35">
      <c r="A255" s="1191"/>
      <c r="B255" s="3961"/>
      <c r="C255" s="1243" t="s">
        <v>1340</v>
      </c>
      <c r="D255" s="1243" t="s">
        <v>778</v>
      </c>
      <c r="E255" s="1244">
        <f t="shared" si="6"/>
        <v>0.23148148148148148</v>
      </c>
      <c r="F255" s="1244">
        <f>IF($D255="Trigger",VLOOKUP($C255,'Upper Cask Welding failures'!$E$192:$H$294,4,FALSE),E255+F254)</f>
        <v>61.090032497237466</v>
      </c>
      <c r="G255" s="1309"/>
      <c r="H255" s="1310" t="str">
        <f>IF(D255="operation",VLOOKUP(G255,'Generic Vertical Port Tasks'!C207:D248,2,FALSE),"N/A")</f>
        <v>N/A</v>
      </c>
      <c r="I255" s="1243" t="s">
        <v>2501</v>
      </c>
      <c r="J255" s="1243" t="s">
        <v>831</v>
      </c>
      <c r="K255" s="1243" t="s">
        <v>901</v>
      </c>
      <c r="L255" s="1245">
        <f>IFERROR(INDEX('Upper Cask Movement &amp; Logistics'!$I$24:$O$30,MATCH($J255,'Upper Cask Movement &amp; Logistics'!$H$24:$H$30,0),MATCH($K255,'Upper Cask Movement &amp; Logistics'!$H$24:$H$30,0)),"N/A")</f>
        <v>50</v>
      </c>
      <c r="M255" s="1245">
        <f>IFERROR(VLOOKUP($I255,'Upper Cask Movement &amp; Logistics'!$H$4:$I$8,2,FALSE),"N/A")</f>
        <v>0.06</v>
      </c>
      <c r="N255" s="1311">
        <f t="shared" si="7"/>
        <v>0.23148148148148148</v>
      </c>
      <c r="O255" s="1312"/>
      <c r="P255" s="1313" t="str">
        <f>IF($D255="Logistics",VLOOKUP($O255,'Upper Cask Movement &amp; Logistics'!$C$4:$D$77,2,FALSE),"N/A")</f>
        <v>N/A</v>
      </c>
    </row>
    <row r="256" spans="1:16" s="89" customFormat="1" outlineLevel="1" x14ac:dyDescent="0.35">
      <c r="A256" s="1191"/>
      <c r="B256" s="3961"/>
      <c r="C256" s="1243" t="s">
        <v>1391</v>
      </c>
      <c r="D256" s="1243" t="s">
        <v>3</v>
      </c>
      <c r="E256" s="1244">
        <f t="shared" si="6"/>
        <v>1.4000000000000001</v>
      </c>
      <c r="F256" s="1244">
        <f>IF($D256="Trigger",VLOOKUP($C256,'Upper Cask Welding failures'!$E$192:$H$294,4,FALSE),E256+F255)</f>
        <v>62.490032497237465</v>
      </c>
      <c r="G256" s="1309"/>
      <c r="H256" s="1310" t="str">
        <f>IF(D256="operation",VLOOKUP(G256,'Generic Vertical Port Tasks'!C207:D248,2,FALSE),"N/A")</f>
        <v>N/A</v>
      </c>
      <c r="I256" s="1243"/>
      <c r="J256" s="1243"/>
      <c r="K256" s="1243"/>
      <c r="L256" s="1245" t="str">
        <f>IFERROR(INDEX('Upper Cask Movement &amp; Logistics'!$I$24:$O$30,MATCH($J256,'Upper Cask Movement &amp; Logistics'!$H$24:$H$30,0),MATCH($K256,'Upper Cask Movement &amp; Logistics'!$H$24:$H$30,0)),"N/A")</f>
        <v>N/A</v>
      </c>
      <c r="M256" s="1245" t="str">
        <f>IFERROR(VLOOKUP($I256,'Upper Cask Movement &amp; Logistics'!$H$4:$I$8,2,FALSE),"N/A")</f>
        <v>N/A</v>
      </c>
      <c r="N256" s="1311" t="str">
        <f t="shared" si="7"/>
        <v>N/A</v>
      </c>
      <c r="O256" s="1312" t="s">
        <v>1277</v>
      </c>
      <c r="P256" s="1313">
        <f>IF($D256="Logistics",VLOOKUP($O256,'Upper Cask Movement &amp; Logistics'!$C$4:$D$77,2,FALSE),"N/A")</f>
        <v>1.4000000000000001</v>
      </c>
    </row>
    <row r="257" spans="1:17" s="89" customFormat="1" ht="13.3" outlineLevel="1" thickBot="1" x14ac:dyDescent="0.4">
      <c r="A257" s="1191"/>
      <c r="B257" s="3963"/>
      <c r="C257" s="1314" t="s">
        <v>1394</v>
      </c>
      <c r="D257" s="1314" t="s">
        <v>11</v>
      </c>
      <c r="E257" s="1316">
        <f t="shared" si="6"/>
        <v>0</v>
      </c>
      <c r="F257" s="1316">
        <f>IF($D257="Trigger",VLOOKUP($C257,'Upper Cask Welding failures'!$E$192:$H$294,4,FALSE),E257+F256)</f>
        <v>62.490032497237465</v>
      </c>
      <c r="G257" s="1317"/>
      <c r="H257" s="1318" t="str">
        <f>IF(D257="operation",VLOOKUP(G257,'Generic Vertical Port Tasks'!C207:D248,2,FALSE),"N/A")</f>
        <v>N/A</v>
      </c>
      <c r="I257" s="1314"/>
      <c r="J257" s="1314"/>
      <c r="K257" s="1314"/>
      <c r="L257" s="1319" t="str">
        <f>IFERROR(INDEX('Upper Cask Movement &amp; Logistics'!$I$24:$O$30,MATCH($J257,'Upper Cask Movement &amp; Logistics'!$H$24:$H$30,0),MATCH($K257,'Upper Cask Movement &amp; Logistics'!$H$24:$H$30,0)),"N/A")</f>
        <v>N/A</v>
      </c>
      <c r="M257" s="1319" t="str">
        <f>IFERROR(VLOOKUP($I257,'Upper Cask Movement &amp; Logistics'!$H$4:$I$8,2,FALSE),"N/A")</f>
        <v>N/A</v>
      </c>
      <c r="N257" s="1320" t="str">
        <f t="shared" si="7"/>
        <v>N/A</v>
      </c>
      <c r="O257" s="1321"/>
      <c r="P257" s="1322" t="str">
        <f>IF($D257="Logistics",VLOOKUP($O257,'Upper Cask Movement &amp; Logistics'!$C$4:$D$77,2,FALSE),"N/A")</f>
        <v>N/A</v>
      </c>
    </row>
    <row r="258" spans="1:17" s="89" customFormat="1" outlineLevel="1" x14ac:dyDescent="0.35">
      <c r="A258" s="1191"/>
      <c r="B258" s="3964" t="s">
        <v>1397</v>
      </c>
      <c r="C258" s="1324" t="s">
        <v>1265</v>
      </c>
      <c r="D258" s="1324" t="s">
        <v>907</v>
      </c>
      <c r="E258" s="1291">
        <f t="shared" si="6"/>
        <v>0</v>
      </c>
      <c r="F258" s="1291">
        <f>IF($D258="Trigger",VLOOKUP($C258,'Upper Cask Welding failures'!$E$192:$H$294,4,FALSE),E258+F257)</f>
        <v>64.05410657131155</v>
      </c>
      <c r="G258" s="825"/>
      <c r="H258" s="1323" t="str">
        <f>IF(D258="operation",VLOOKUP(G258,'Generic Vertical Port Tasks'!C208:D249,2,FALSE),"N/A")</f>
        <v>N/A</v>
      </c>
      <c r="I258" s="1324"/>
      <c r="J258" s="1324"/>
      <c r="K258" s="1324"/>
      <c r="L258" s="1325" t="str">
        <f>IFERROR(INDEX('Upper Cask Movement &amp; Logistics'!$I$24:$O$30,MATCH($J258,'Upper Cask Movement &amp; Logistics'!$H$24:$H$30,0),MATCH($K258,'Upper Cask Movement &amp; Logistics'!$H$24:$H$30,0)),"N/A")</f>
        <v>N/A</v>
      </c>
      <c r="M258" s="1325" t="str">
        <f>IFERROR(VLOOKUP($I258,'Upper Cask Movement &amp; Logistics'!$H$4:$I$8,2,FALSE),"N/A")</f>
        <v>N/A</v>
      </c>
      <c r="N258" s="1326" t="str">
        <f t="shared" si="7"/>
        <v>N/A</v>
      </c>
      <c r="O258" s="1327"/>
      <c r="P258" s="824" t="str">
        <f>IF($D258="Logistics",VLOOKUP($O258,'Upper Cask Movement &amp; Logistics'!$C$4:$D$77,2,FALSE),"N/A")</f>
        <v>N/A</v>
      </c>
      <c r="Q258" s="88"/>
    </row>
    <row r="259" spans="1:17" s="89" customFormat="1" outlineLevel="1" x14ac:dyDescent="0.35">
      <c r="A259" s="1191"/>
      <c r="B259" s="3969"/>
      <c r="C259" s="1362" t="s">
        <v>1268</v>
      </c>
      <c r="D259" s="1362" t="s">
        <v>3</v>
      </c>
      <c r="E259" s="1363">
        <f t="shared" si="6"/>
        <v>2.3000000000000003</v>
      </c>
      <c r="F259" s="1363">
        <f>IF($D259="Trigger",VLOOKUP($C259,'Upper Cask Welding failures'!$E$192:$H$294,4,FALSE),E259+F258)</f>
        <v>66.354106571311547</v>
      </c>
      <c r="G259" s="1364"/>
      <c r="H259" s="1365" t="str">
        <f>IF(D259="operation",VLOOKUP(G259,'Generic Vertical Port Tasks'!C209:D249,2,FALSE),"N/A")</f>
        <v>N/A</v>
      </c>
      <c r="I259" s="1362"/>
      <c r="J259" s="1362"/>
      <c r="K259" s="1362"/>
      <c r="L259" s="1366" t="str">
        <f>IFERROR(INDEX('Upper Cask Movement &amp; Logistics'!$I$24:$O$30,MATCH($J259,'Upper Cask Movement &amp; Logistics'!$H$24:$H$30,0),MATCH($K259,'Upper Cask Movement &amp; Logistics'!$H$24:$H$30,0)),"N/A")</f>
        <v>N/A</v>
      </c>
      <c r="M259" s="1366" t="str">
        <f>IFERROR(VLOOKUP($I259,'Upper Cask Movement &amp; Logistics'!$H$4:$I$8,2,FALSE),"N/A")</f>
        <v>N/A</v>
      </c>
      <c r="N259" s="1367" t="str">
        <f t="shared" si="7"/>
        <v>N/A</v>
      </c>
      <c r="O259" s="1368" t="s">
        <v>1269</v>
      </c>
      <c r="P259" s="861">
        <f>IF($D259="Logistics",VLOOKUP($O259,'Upper Cask Movement &amp; Logistics'!$C$4:$D$77,2,FALSE),"N/A")</f>
        <v>2.3000000000000003</v>
      </c>
      <c r="Q259" s="88"/>
    </row>
    <row r="260" spans="1:17" s="89" customFormat="1" outlineLevel="1" x14ac:dyDescent="0.35">
      <c r="A260" s="1191"/>
      <c r="B260" s="3969"/>
      <c r="C260" s="1362" t="s">
        <v>1370</v>
      </c>
      <c r="D260" s="1362" t="s">
        <v>778</v>
      </c>
      <c r="E260" s="1363">
        <f t="shared" si="6"/>
        <v>0.69444444444444442</v>
      </c>
      <c r="F260" s="1363">
        <f>IF($D260="Trigger",VLOOKUP($C260,'Upper Cask Welding failures'!$E$192:$H$294,4,FALSE),E260+F259)</f>
        <v>67.04855101575599</v>
      </c>
      <c r="G260" s="1364"/>
      <c r="H260" s="1365" t="str">
        <f>IF(D260="operation",VLOOKUP(G260,'Generic Vertical Port Tasks'!C211:D250,2,FALSE),"N/A")</f>
        <v>N/A</v>
      </c>
      <c r="I260" s="1362" t="s">
        <v>1789</v>
      </c>
      <c r="J260" s="1362" t="s">
        <v>901</v>
      </c>
      <c r="K260" s="1362" t="s">
        <v>831</v>
      </c>
      <c r="L260" s="1366">
        <f>IFERROR(INDEX('Upper Cask Movement &amp; Logistics'!$I$24:$O$30,MATCH($J260,'Upper Cask Movement &amp; Logistics'!$H$24:$H$30,0),MATCH($K260,'Upper Cask Movement &amp; Logistics'!$H$24:$H$30,0)),"N/A")</f>
        <v>50</v>
      </c>
      <c r="M260" s="1366">
        <f>IFERROR(VLOOKUP($I260,'Upper Cask Movement &amp; Logistics'!$H$4:$I$8,2,FALSE),"N/A")</f>
        <v>0.02</v>
      </c>
      <c r="N260" s="1367">
        <f t="shared" si="7"/>
        <v>0.69444444444444442</v>
      </c>
      <c r="O260" s="1368"/>
      <c r="P260" s="861" t="str">
        <f>IF($D260="Logistics",VLOOKUP($O260,'Upper Cask Movement &amp; Logistics'!$C$4:$D$77,2,FALSE),"N/A")</f>
        <v>N/A</v>
      </c>
      <c r="Q260" s="88"/>
    </row>
    <row r="261" spans="1:17" s="89" customFormat="1" outlineLevel="1" x14ac:dyDescent="0.35">
      <c r="A261" s="1191"/>
      <c r="B261" s="3969"/>
      <c r="C261" s="1362" t="s">
        <v>1398</v>
      </c>
      <c r="D261" s="1362" t="s">
        <v>3</v>
      </c>
      <c r="E261" s="1363">
        <f t="shared" si="6"/>
        <v>0.68</v>
      </c>
      <c r="F261" s="1363">
        <f>IF($D261="Trigger",VLOOKUP($C261,'Upper Cask Welding failures'!$E$192:$H$294,4,FALSE),E261+F260)</f>
        <v>67.728551015755997</v>
      </c>
      <c r="G261" s="1364"/>
      <c r="H261" s="1365" t="str">
        <f>IF(D261="operation",VLOOKUP(G261,'Generic Vertical Port Tasks'!C212:D250,2,FALSE),"N/A")</f>
        <v>N/A</v>
      </c>
      <c r="I261" s="1362"/>
      <c r="J261" s="1362"/>
      <c r="K261" s="1362"/>
      <c r="L261" s="1366" t="str">
        <f>IFERROR(INDEX('Upper Cask Movement &amp; Logistics'!$I$24:$O$30,MATCH($J261,'Upper Cask Movement &amp; Logistics'!$H$24:$H$30,0),MATCH($K261,'Upper Cask Movement &amp; Logistics'!$H$24:$H$30,0)),"N/A")</f>
        <v>N/A</v>
      </c>
      <c r="M261" s="1366" t="str">
        <f>IFERROR(VLOOKUP($I261,'Upper Cask Movement &amp; Logistics'!$H$4:$I$8,2,FALSE),"N/A")</f>
        <v>N/A</v>
      </c>
      <c r="N261" s="1367" t="str">
        <f t="shared" si="7"/>
        <v>N/A</v>
      </c>
      <c r="O261" s="1368" t="s">
        <v>1213</v>
      </c>
      <c r="P261" s="861">
        <f>IF($D261="Logistics",VLOOKUP($O261,'Upper Cask Movement &amp; Logistics'!$C$4:$D$77,2,FALSE),"N/A")</f>
        <v>0.68</v>
      </c>
      <c r="Q261" s="88"/>
    </row>
    <row r="262" spans="1:17" s="89" customFormat="1" outlineLevel="1" x14ac:dyDescent="0.35">
      <c r="A262" s="1191"/>
      <c r="B262" s="3965"/>
      <c r="C262" s="1294" t="s">
        <v>1366</v>
      </c>
      <c r="D262" s="1294" t="s">
        <v>778</v>
      </c>
      <c r="E262" s="1292">
        <f t="shared" si="6"/>
        <v>0.23148148148148148</v>
      </c>
      <c r="F262" s="1292">
        <f>IF($D262="Trigger",VLOOKUP($C262,'Upper Cask Welding failures'!$E$192:$H$294,4,FALSE),E262+F261)</f>
        <v>67.960032497237478</v>
      </c>
      <c r="G262" s="862"/>
      <c r="H262" s="1328" t="str">
        <f>IF(D262="operation",VLOOKUP(G262,'Generic Vertical Port Tasks'!C224:D250,2,FALSE),"N/A")</f>
        <v>N/A</v>
      </c>
      <c r="I262" s="1294" t="s">
        <v>2501</v>
      </c>
      <c r="J262" s="1294" t="s">
        <v>831</v>
      </c>
      <c r="K262" s="1294" t="s">
        <v>901</v>
      </c>
      <c r="L262" s="1329">
        <f>IFERROR(INDEX('Upper Cask Movement &amp; Logistics'!$I$24:$O$30,MATCH($J262,'Upper Cask Movement &amp; Logistics'!$H$24:$H$30,0),MATCH($K262,'Upper Cask Movement &amp; Logistics'!$H$24:$H$30,0)),"N/A")</f>
        <v>50</v>
      </c>
      <c r="M262" s="1329">
        <f>IFERROR(VLOOKUP($I262,'Upper Cask Movement &amp; Logistics'!$H$4:$I$8,2,FALSE),"N/A")</f>
        <v>0.06</v>
      </c>
      <c r="N262" s="1330">
        <f t="shared" si="7"/>
        <v>0.23148148148148148</v>
      </c>
      <c r="O262" s="1331"/>
      <c r="P262" s="1332" t="str">
        <f>IF($D262="Logistics",VLOOKUP($O262,'Upper Cask Movement &amp; Logistics'!$C$4:$D$77,2,FALSE),"N/A")</f>
        <v>N/A</v>
      </c>
    </row>
    <row r="263" spans="1:17" s="89" customFormat="1" outlineLevel="1" x14ac:dyDescent="0.35">
      <c r="A263" s="1191"/>
      <c r="B263" s="3965"/>
      <c r="C263" s="1294" t="s">
        <v>1383</v>
      </c>
      <c r="D263" s="1294" t="s">
        <v>3</v>
      </c>
      <c r="E263" s="1292">
        <f t="shared" si="6"/>
        <v>1.4000000000000001</v>
      </c>
      <c r="F263" s="1292">
        <f>IF($D263="Trigger",VLOOKUP($C263,'Upper Cask Welding failures'!$E$192:$H$294,4,FALSE),E263+F262)</f>
        <v>69.360032497237484</v>
      </c>
      <c r="G263" s="862"/>
      <c r="H263" s="1328" t="str">
        <f>IF(D263="operation",VLOOKUP(G263,'Generic Vertical Port Tasks'!C249:D250,2,FALSE),"N/A")</f>
        <v>N/A</v>
      </c>
      <c r="I263" s="1294"/>
      <c r="J263" s="1294"/>
      <c r="K263" s="1294"/>
      <c r="L263" s="1329" t="str">
        <f>IFERROR(INDEX('Upper Cask Movement &amp; Logistics'!$I$24:$O$30,MATCH($J263,'Upper Cask Movement &amp; Logistics'!$H$24:$H$30,0),MATCH($K263,'Upper Cask Movement &amp; Logistics'!$H$24:$H$30,0)),"N/A")</f>
        <v>N/A</v>
      </c>
      <c r="M263" s="1329" t="str">
        <f>IFERROR(VLOOKUP($I263,'Upper Cask Movement &amp; Logistics'!$H$4:$I$8,2,FALSE),"N/A")</f>
        <v>N/A</v>
      </c>
      <c r="N263" s="1330" t="str">
        <f t="shared" si="7"/>
        <v>N/A</v>
      </c>
      <c r="O263" s="1331" t="s">
        <v>1277</v>
      </c>
      <c r="P263" s="1332">
        <f>IF($D263="Logistics",VLOOKUP($O263,'Upper Cask Movement &amp; Logistics'!$C$4:$D$77,2,FALSE),"N/A")</f>
        <v>1.4000000000000001</v>
      </c>
    </row>
    <row r="264" spans="1:17" s="89" customFormat="1" ht="13.3" outlineLevel="1" thickBot="1" x14ac:dyDescent="0.4">
      <c r="A264" s="1191"/>
      <c r="B264" s="3966"/>
      <c r="C264" s="1340" t="s">
        <v>1397</v>
      </c>
      <c r="D264" s="1340" t="s">
        <v>11</v>
      </c>
      <c r="E264" s="1295">
        <f t="shared" si="6"/>
        <v>0</v>
      </c>
      <c r="F264" s="1295">
        <f>IF($D264="Trigger",VLOOKUP($C264,'Upper Cask Welding failures'!$E$192:$H$294,4,FALSE),E264+F263)</f>
        <v>69.360032497237484</v>
      </c>
      <c r="G264" s="839"/>
      <c r="H264" s="1341" t="str">
        <f>IF(D264="operation",VLOOKUP(G264,'Generic Vertical Port Tasks'!C249:D251,2,FALSE),"N/A")</f>
        <v>N/A</v>
      </c>
      <c r="I264" s="1340"/>
      <c r="J264" s="1340"/>
      <c r="K264" s="1340"/>
      <c r="L264" s="1342" t="str">
        <f>IFERROR(INDEX('Upper Cask Movement &amp; Logistics'!$I$24:$O$30,MATCH($J264,'Upper Cask Movement &amp; Logistics'!$H$24:$H$30,0),MATCH($K264,'Upper Cask Movement &amp; Logistics'!$H$24:$H$30,0)),"N/A")</f>
        <v>N/A</v>
      </c>
      <c r="M264" s="1342" t="str">
        <f>IFERROR(VLOOKUP($I264,'Upper Cask Movement &amp; Logistics'!$H$4:$I$8,2,FALSE),"N/A")</f>
        <v>N/A</v>
      </c>
      <c r="N264" s="1343" t="str">
        <f t="shared" si="7"/>
        <v>N/A</v>
      </c>
      <c r="O264" s="1344"/>
      <c r="P264" s="1345" t="str">
        <f>IF($D264="Logistics",VLOOKUP($O264,'Upper Cask Movement &amp; Logistics'!$C$4:$D$77,2,FALSE),"N/A")</f>
        <v>N/A</v>
      </c>
    </row>
    <row r="265" spans="1:17" s="89" customFormat="1" outlineLevel="1" x14ac:dyDescent="0.35">
      <c r="A265" s="1191"/>
      <c r="B265" s="3960" t="s">
        <v>1399</v>
      </c>
      <c r="C265" s="1333" t="s">
        <v>1266</v>
      </c>
      <c r="D265" s="1333" t="s">
        <v>907</v>
      </c>
      <c r="E265" s="1303">
        <f t="shared" si="6"/>
        <v>0</v>
      </c>
      <c r="F265" s="1549">
        <f>IF($D265="Trigger",VLOOKUP($C265,'Upper Cask Welding failures'!$E$192:$H$294,4,FALSE),E265+F264)</f>
        <v>70.92410657131154</v>
      </c>
      <c r="G265" s="1304"/>
      <c r="H265" s="1305" t="str">
        <f>IF(D265="operation",VLOOKUP(G265,'Generic Vertical Port Tasks'!C240:D252,2,FALSE),"N/A")</f>
        <v>N/A</v>
      </c>
      <c r="I265" s="1333"/>
      <c r="J265" s="1333"/>
      <c r="K265" s="1333"/>
      <c r="L265" s="1334" t="str">
        <f>IFERROR(INDEX('Upper Cask Movement &amp; Logistics'!$I$24:$O$30,MATCH($J265,'Upper Cask Movement &amp; Logistics'!$H$24:$H$30,0),MATCH($K265,'Upper Cask Movement &amp; Logistics'!$H$24:$H$30,0)),"N/A")</f>
        <v>N/A</v>
      </c>
      <c r="M265" s="1334" t="str">
        <f>IFERROR(VLOOKUP($I265,'Upper Cask Movement &amp; Logistics'!$H$4:$I$8,2,FALSE),"N/A")</f>
        <v>N/A</v>
      </c>
      <c r="N265" s="1335" t="str">
        <f t="shared" si="7"/>
        <v>N/A</v>
      </c>
      <c r="O265" s="1336"/>
      <c r="P265" s="1337" t="str">
        <f>IF($D265="Logistics",VLOOKUP($O265,'Upper Cask Movement &amp; Logistics'!$C$4:$D$77,2,FALSE),"N/A")</f>
        <v>N/A</v>
      </c>
    </row>
    <row r="266" spans="1:17" s="89" customFormat="1" outlineLevel="1" x14ac:dyDescent="0.35">
      <c r="A266" s="1191"/>
      <c r="B266" s="3968"/>
      <c r="C266" s="1240" t="s">
        <v>1344</v>
      </c>
      <c r="D266" s="1240" t="s">
        <v>778</v>
      </c>
      <c r="E266" s="1241">
        <f t="shared" si="6"/>
        <v>0.34722222222222221</v>
      </c>
      <c r="F266" s="1248">
        <f>IF($D266="Trigger",VLOOKUP($C266,'Upper Cask Welding failures'!$E$192:$H$294,4,FALSE),E266+F265)</f>
        <v>71.271328793533769</v>
      </c>
      <c r="G266" s="1354"/>
      <c r="H266" s="1355" t="str">
        <f>IF(D266="operation",VLOOKUP(G266,'Generic Vertical Port Tasks'!C240:D252,2,FALSE),"N/A")</f>
        <v>N/A</v>
      </c>
      <c r="I266" s="1240" t="s">
        <v>1789</v>
      </c>
      <c r="J266" s="1240" t="s">
        <v>901</v>
      </c>
      <c r="K266" s="1240" t="s">
        <v>858</v>
      </c>
      <c r="L266" s="1242">
        <f>IFERROR(INDEX('Upper Cask Movement &amp; Logistics'!$I$24:$O$30,MATCH($J266,'Upper Cask Movement &amp; Logistics'!$H$24:$H$30,0),MATCH($K266,'Upper Cask Movement &amp; Logistics'!$H$24:$H$30,0)),"N/A")</f>
        <v>25</v>
      </c>
      <c r="M266" s="1242">
        <f>IFERROR(VLOOKUP($I266,'Upper Cask Movement &amp; Logistics'!$H$4:$I$8,2,FALSE),"N/A")</f>
        <v>0.02</v>
      </c>
      <c r="N266" s="1356">
        <f t="shared" si="7"/>
        <v>0.34722222222222221</v>
      </c>
      <c r="O266" s="1357"/>
      <c r="P266" s="1358" t="str">
        <f>IF($D266="Logistics",VLOOKUP($O266,'Upper Cask Movement &amp; Logistics'!$C$4:$D$77,2,FALSE),"N/A")</f>
        <v>N/A</v>
      </c>
    </row>
    <row r="267" spans="1:17" s="89" customFormat="1" outlineLevel="1" x14ac:dyDescent="0.35">
      <c r="A267" s="1191"/>
      <c r="B267" s="3968"/>
      <c r="C267" s="1240" t="s">
        <v>1400</v>
      </c>
      <c r="D267" s="1240" t="s">
        <v>3</v>
      </c>
      <c r="E267" s="1241">
        <f t="shared" si="6"/>
        <v>0.68</v>
      </c>
      <c r="F267" s="1241">
        <f>IF($D267="Trigger",VLOOKUP($C267,'Upper Cask Welding failures'!$E$192:$H$294,4,FALSE),E267+F266)</f>
        <v>71.951328793533776</v>
      </c>
      <c r="G267" s="1354"/>
      <c r="H267" s="1355" t="str">
        <f>IF(D267="operation",VLOOKUP(G267,'Generic Vertical Port Tasks'!C240:D252,2,FALSE),"N/A")</f>
        <v>N/A</v>
      </c>
      <c r="I267" s="1240"/>
      <c r="J267" s="1240"/>
      <c r="K267" s="1240"/>
      <c r="L267" s="1242" t="str">
        <f>IFERROR(INDEX('Upper Cask Movement &amp; Logistics'!$I$24:$O$30,MATCH($J267,'Upper Cask Movement &amp; Logistics'!$H$24:$H$30,0),MATCH($K267,'Upper Cask Movement &amp; Logistics'!$H$24:$H$30,0)),"N/A")</f>
        <v>N/A</v>
      </c>
      <c r="M267" s="1242" t="str">
        <f>IFERROR(VLOOKUP($I267,'Upper Cask Movement &amp; Logistics'!$H$4:$I$8,2,FALSE),"N/A")</f>
        <v>N/A</v>
      </c>
      <c r="N267" s="1356" t="str">
        <f t="shared" si="7"/>
        <v>N/A</v>
      </c>
      <c r="O267" s="1357" t="s">
        <v>1213</v>
      </c>
      <c r="P267" s="1358">
        <f>IF($D267="Logistics",VLOOKUP($O267,'Upper Cask Movement &amp; Logistics'!$C$4:$D$77,2,FALSE),"N/A")</f>
        <v>0.68</v>
      </c>
    </row>
    <row r="268" spans="1:17" s="89" customFormat="1" outlineLevel="1" x14ac:dyDescent="0.35">
      <c r="A268" s="1191"/>
      <c r="B268" s="3961"/>
      <c r="C268" s="1243" t="s">
        <v>1340</v>
      </c>
      <c r="D268" s="1243" t="s">
        <v>778</v>
      </c>
      <c r="E268" s="1244">
        <f t="shared" si="6"/>
        <v>0.23148148148148148</v>
      </c>
      <c r="F268" s="1244">
        <f>IF($D268="Trigger",VLOOKUP($C268,'Upper Cask Welding failures'!$E$192:$H$294,4,FALSE),E268+F267)</f>
        <v>72.182810275015257</v>
      </c>
      <c r="G268" s="1309"/>
      <c r="H268" s="1310" t="str">
        <f>IF(D268="operation",VLOOKUP(G268,'Generic Vertical Port Tasks'!C240:D252,2,FALSE),"N/A")</f>
        <v>N/A</v>
      </c>
      <c r="I268" s="1243" t="s">
        <v>2501</v>
      </c>
      <c r="J268" s="1243" t="s">
        <v>831</v>
      </c>
      <c r="K268" s="1243" t="s">
        <v>901</v>
      </c>
      <c r="L268" s="1245">
        <f>IFERROR(INDEX('Upper Cask Movement &amp; Logistics'!$I$24:$O$30,MATCH($J268,'Upper Cask Movement &amp; Logistics'!$H$24:$H$30,0),MATCH($K268,'Upper Cask Movement &amp; Logistics'!$H$24:$H$30,0)),"N/A")</f>
        <v>50</v>
      </c>
      <c r="M268" s="1245">
        <f>IFERROR(VLOOKUP($I268,'Upper Cask Movement &amp; Logistics'!$H$4:$I$8,2,FALSE),"N/A")</f>
        <v>0.06</v>
      </c>
      <c r="N268" s="1311">
        <f t="shared" si="7"/>
        <v>0.23148148148148148</v>
      </c>
      <c r="O268" s="1312"/>
      <c r="P268" s="1313" t="str">
        <f>IF($D268="Logistics",VLOOKUP($O268,'Upper Cask Movement &amp; Logistics'!$C$4:$D$77,2,FALSE),"N/A")</f>
        <v>N/A</v>
      </c>
    </row>
    <row r="269" spans="1:17" s="89" customFormat="1" outlineLevel="1" x14ac:dyDescent="0.35">
      <c r="A269" s="1191"/>
      <c r="B269" s="3961"/>
      <c r="C269" s="1243" t="s">
        <v>1391</v>
      </c>
      <c r="D269" s="1243" t="s">
        <v>3</v>
      </c>
      <c r="E269" s="1244">
        <f t="shared" si="6"/>
        <v>1.4000000000000001</v>
      </c>
      <c r="F269" s="1244">
        <f>IF($D269="Trigger",VLOOKUP($C269,'Upper Cask Welding failures'!$E$192:$H$294,4,FALSE),E269+F268)</f>
        <v>73.582810275015262</v>
      </c>
      <c r="G269" s="1309"/>
      <c r="H269" s="1310" t="str">
        <f>IF(D269="operation",VLOOKUP(G269,'Generic Vertical Port Tasks'!C240:D252,2,FALSE),"N/A")</f>
        <v>N/A</v>
      </c>
      <c r="I269" s="1243"/>
      <c r="J269" s="1243"/>
      <c r="K269" s="1243"/>
      <c r="L269" s="1245" t="str">
        <f>IFERROR(INDEX('Upper Cask Movement &amp; Logistics'!$I$24:$O$30,MATCH($J269,'Upper Cask Movement &amp; Logistics'!$H$24:$H$30,0),MATCH($K269,'Upper Cask Movement &amp; Logistics'!$H$24:$H$30,0)),"N/A")</f>
        <v>N/A</v>
      </c>
      <c r="M269" s="1245" t="str">
        <f>IFERROR(VLOOKUP($I269,'Upper Cask Movement &amp; Logistics'!$H$4:$I$8,2,FALSE),"N/A")</f>
        <v>N/A</v>
      </c>
      <c r="N269" s="1311" t="str">
        <f t="shared" si="7"/>
        <v>N/A</v>
      </c>
      <c r="O269" s="1312" t="s">
        <v>1277</v>
      </c>
      <c r="P269" s="1313">
        <f>IF($D269="Logistics",VLOOKUP($O269,'Upper Cask Movement &amp; Logistics'!$C$4:$D$77,2,FALSE),"N/A")</f>
        <v>1.4000000000000001</v>
      </c>
    </row>
    <row r="270" spans="1:17" s="89" customFormat="1" ht="13.3" outlineLevel="1" thickBot="1" x14ac:dyDescent="0.4">
      <c r="A270" s="1191"/>
      <c r="B270" s="3963"/>
      <c r="C270" s="1314" t="s">
        <v>1399</v>
      </c>
      <c r="D270" s="1314" t="s">
        <v>11</v>
      </c>
      <c r="E270" s="1316">
        <f t="shared" si="6"/>
        <v>0</v>
      </c>
      <c r="F270" s="1316">
        <f>IF($D270="Trigger",VLOOKUP($C270,'Upper Cask Welding failures'!$E$192:$H$294,4,FALSE),E270+F269)</f>
        <v>73.582810275015262</v>
      </c>
      <c r="G270" s="1317"/>
      <c r="H270" s="1318" t="str">
        <f>IF(D270="operation",VLOOKUP(G270,'Generic Vertical Port Tasks'!C240:D252,2,FALSE),"N/A")</f>
        <v>N/A</v>
      </c>
      <c r="I270" s="1314"/>
      <c r="J270" s="1314"/>
      <c r="K270" s="1314"/>
      <c r="L270" s="1319" t="str">
        <f>IFERROR(INDEX('Upper Cask Movement &amp; Logistics'!$I$24:$O$30,MATCH($J270,'Upper Cask Movement &amp; Logistics'!$H$24:$H$30,0),MATCH($K270,'Upper Cask Movement &amp; Logistics'!$H$24:$H$30,0)),"N/A")</f>
        <v>N/A</v>
      </c>
      <c r="M270" s="1319" t="str">
        <f>IFERROR(VLOOKUP($I270,'Upper Cask Movement &amp; Logistics'!$H$4:$I$8,2,FALSE),"N/A")</f>
        <v>N/A</v>
      </c>
      <c r="N270" s="1320" t="str">
        <f t="shared" si="7"/>
        <v>N/A</v>
      </c>
      <c r="O270" s="1321"/>
      <c r="P270" s="1322" t="str">
        <f>IF($D270="Logistics",VLOOKUP($O270,'Upper Cask Movement &amp; Logistics'!$C$4:$D$77,2,FALSE),"N/A")</f>
        <v>N/A</v>
      </c>
    </row>
    <row r="271" spans="1:17" s="89" customFormat="1" outlineLevel="1" x14ac:dyDescent="0.35">
      <c r="A271" s="1191"/>
      <c r="B271" s="3964" t="s">
        <v>1401</v>
      </c>
      <c r="C271" s="1324" t="s">
        <v>1530</v>
      </c>
      <c r="D271" s="1324" t="s">
        <v>907</v>
      </c>
      <c r="E271" s="1291">
        <f t="shared" si="6"/>
        <v>0</v>
      </c>
      <c r="F271" s="1291">
        <f>IF($D271="Trigger",VLOOKUP($C271,'Upper Cask Welding failures'!$E$192:$H$294,4,FALSE),E271+F270)</f>
        <v>80.094106571311528</v>
      </c>
      <c r="G271" s="825"/>
      <c r="H271" s="1323" t="str">
        <f>IF(D271="operation",VLOOKUP(G271,'Generic Vertical Port Tasks'!C242:D263,2,FALSE),"N/A")</f>
        <v>N/A</v>
      </c>
      <c r="I271" s="1324"/>
      <c r="J271" s="1324"/>
      <c r="K271" s="1324"/>
      <c r="L271" s="1325" t="str">
        <f>IFERROR(INDEX('Upper Cask Movement &amp; Logistics'!$I$24:$O$30,MATCH($J271,'Upper Cask Movement &amp; Logistics'!$H$24:$H$30,0),MATCH($K271,'Upper Cask Movement &amp; Logistics'!$H$24:$H$30,0)),"N/A")</f>
        <v>N/A</v>
      </c>
      <c r="M271" s="1325" t="str">
        <f>IFERROR(VLOOKUP($I271,'Upper Cask Movement &amp; Logistics'!$H$4:$I$8,2,FALSE),"N/A")</f>
        <v>N/A</v>
      </c>
      <c r="N271" s="1326" t="str">
        <f t="shared" si="7"/>
        <v>N/A</v>
      </c>
      <c r="O271" s="1327"/>
      <c r="P271" s="824" t="str">
        <f>IF($D271="Logistics",VLOOKUP($O271,'Upper Cask Movement &amp; Logistics'!$C$4:$D$77,2,FALSE),"N/A")</f>
        <v>N/A</v>
      </c>
    </row>
    <row r="272" spans="1:17" s="89" customFormat="1" outlineLevel="1" x14ac:dyDescent="0.35">
      <c r="A272" s="1191"/>
      <c r="B272" s="3969"/>
      <c r="C272" s="1362" t="s">
        <v>1268</v>
      </c>
      <c r="D272" s="1362" t="s">
        <v>3</v>
      </c>
      <c r="E272" s="1363">
        <f t="shared" si="6"/>
        <v>2.3000000000000003</v>
      </c>
      <c r="F272" s="1363">
        <f>IF($D272="Trigger",VLOOKUP($C272,'Upper Cask Welding failures'!$E$192:$H$294,4,FALSE),E272+F271)</f>
        <v>82.394106571311525</v>
      </c>
      <c r="G272" s="1364"/>
      <c r="H272" s="1365" t="str">
        <f>IF(D272="operation",VLOOKUP(G272,'Generic Vertical Port Tasks'!C242:D263,2,FALSE),"N/A")</f>
        <v>N/A</v>
      </c>
      <c r="I272" s="1362"/>
      <c r="J272" s="1362"/>
      <c r="K272" s="1362"/>
      <c r="L272" s="1366" t="str">
        <f>IFERROR(INDEX('Upper Cask Movement &amp; Logistics'!$I$24:$O$30,MATCH($J272,'Upper Cask Movement &amp; Logistics'!$H$24:$H$30,0),MATCH($K272,'Upper Cask Movement &amp; Logistics'!$H$24:$H$30,0)),"N/A")</f>
        <v>N/A</v>
      </c>
      <c r="M272" s="1366" t="str">
        <f>IFERROR(VLOOKUP($I272,'Upper Cask Movement &amp; Logistics'!$H$4:$I$8,2,FALSE),"N/A")</f>
        <v>N/A</v>
      </c>
      <c r="N272" s="1367" t="str">
        <f t="shared" si="7"/>
        <v>N/A</v>
      </c>
      <c r="O272" s="1368" t="s">
        <v>1269</v>
      </c>
      <c r="P272" s="861">
        <f>IF($D272="Logistics",VLOOKUP($O272,'Upper Cask Movement &amp; Logistics'!$C$4:$D$77,2,FALSE),"N/A")</f>
        <v>2.3000000000000003</v>
      </c>
    </row>
    <row r="273" spans="1:16" s="89" customFormat="1" outlineLevel="1" x14ac:dyDescent="0.35">
      <c r="A273" s="1191"/>
      <c r="B273" s="3969"/>
      <c r="C273" s="1362" t="s">
        <v>1344</v>
      </c>
      <c r="D273" s="1362" t="s">
        <v>778</v>
      </c>
      <c r="E273" s="1363">
        <f t="shared" si="6"/>
        <v>0.69444444444444442</v>
      </c>
      <c r="F273" s="1363">
        <f>IF($D273="Trigger",VLOOKUP($C273,'Upper Cask Welding failures'!$E$192:$H$294,4,FALSE),E273+F272)</f>
        <v>83.088551015755968</v>
      </c>
      <c r="G273" s="1364"/>
      <c r="H273" s="1365" t="str">
        <f>IF(D273="operation",VLOOKUP(G273,'Generic Vertical Port Tasks'!C242:D263,2,FALSE),"N/A")</f>
        <v>N/A</v>
      </c>
      <c r="I273" s="1362" t="s">
        <v>1789</v>
      </c>
      <c r="J273" s="1362" t="s">
        <v>901</v>
      </c>
      <c r="K273" s="1362" t="s">
        <v>831</v>
      </c>
      <c r="L273" s="1366">
        <f>IFERROR(INDEX('Upper Cask Movement &amp; Logistics'!$I$24:$O$30,MATCH($J273,'Upper Cask Movement &amp; Logistics'!$H$24:$H$30,0),MATCH($K273,'Upper Cask Movement &amp; Logistics'!$H$24:$H$30,0)),"N/A")</f>
        <v>50</v>
      </c>
      <c r="M273" s="1366">
        <f>IFERROR(VLOOKUP($I273,'Upper Cask Movement &amp; Logistics'!$H$4:$I$8,2,FALSE),"N/A")</f>
        <v>0.02</v>
      </c>
      <c r="N273" s="1367">
        <f t="shared" si="7"/>
        <v>0.69444444444444442</v>
      </c>
      <c r="O273" s="1368"/>
      <c r="P273" s="861" t="str">
        <f>IF($D273="Logistics",VLOOKUP($O273,'Upper Cask Movement &amp; Logistics'!$C$4:$D$77,2,FALSE),"N/A")</f>
        <v>N/A</v>
      </c>
    </row>
    <row r="274" spans="1:16" s="89" customFormat="1" outlineLevel="1" x14ac:dyDescent="0.35">
      <c r="A274" s="1191"/>
      <c r="B274" s="3969"/>
      <c r="C274" s="1362" t="s">
        <v>1400</v>
      </c>
      <c r="D274" s="1362" t="s">
        <v>3</v>
      </c>
      <c r="E274" s="1363">
        <f t="shared" si="6"/>
        <v>0.68</v>
      </c>
      <c r="F274" s="1363">
        <f>IF($D274="Trigger",VLOOKUP($C274,'Upper Cask Welding failures'!$E$192:$H$294,4,FALSE),E274+F273)</f>
        <v>83.768551015755975</v>
      </c>
      <c r="G274" s="1364"/>
      <c r="H274" s="1365" t="str">
        <f>IF(D274="operation",VLOOKUP(G274,'Generic Vertical Port Tasks'!C242:D263,2,FALSE),"N/A")</f>
        <v>N/A</v>
      </c>
      <c r="I274" s="1362"/>
      <c r="J274" s="1362"/>
      <c r="K274" s="1362"/>
      <c r="L274" s="1366" t="str">
        <f>IFERROR(INDEX('Upper Cask Movement &amp; Logistics'!$I$24:$O$30,MATCH($J274,'Upper Cask Movement &amp; Logistics'!$H$24:$H$30,0),MATCH($K274,'Upper Cask Movement &amp; Logistics'!$H$24:$H$30,0)),"N/A")</f>
        <v>N/A</v>
      </c>
      <c r="M274" s="1366" t="str">
        <f>IFERROR(VLOOKUP($I274,'Upper Cask Movement &amp; Logistics'!$H$4:$I$8,2,FALSE),"N/A")</f>
        <v>N/A</v>
      </c>
      <c r="N274" s="1367" t="str">
        <f t="shared" si="7"/>
        <v>N/A</v>
      </c>
      <c r="O274" s="1368" t="s">
        <v>1213</v>
      </c>
      <c r="P274" s="861">
        <f>IF($D274="Logistics",VLOOKUP($O274,'Upper Cask Movement &amp; Logistics'!$C$4:$D$77,2,FALSE),"N/A")</f>
        <v>0.68</v>
      </c>
    </row>
    <row r="275" spans="1:16" s="89" customFormat="1" outlineLevel="1" x14ac:dyDescent="0.35">
      <c r="A275" s="1191"/>
      <c r="B275" s="3965"/>
      <c r="C275" s="1294" t="s">
        <v>1340</v>
      </c>
      <c r="D275" s="1294" t="s">
        <v>778</v>
      </c>
      <c r="E275" s="1292">
        <f t="shared" si="6"/>
        <v>0.23148148148148148</v>
      </c>
      <c r="F275" s="1292">
        <f>IF($D275="Trigger",VLOOKUP($C275,'Upper Cask Welding failures'!$E$192:$H$294,4,FALSE),E275+F274)</f>
        <v>84.000032497237456</v>
      </c>
      <c r="G275" s="862"/>
      <c r="H275" s="1328" t="str">
        <f>IF(D275="operation",VLOOKUP(G275,'Generic Vertical Port Tasks'!C242:D263,2,FALSE),"N/A")</f>
        <v>N/A</v>
      </c>
      <c r="I275" s="1294" t="s">
        <v>2501</v>
      </c>
      <c r="J275" s="1294" t="s">
        <v>831</v>
      </c>
      <c r="K275" s="1294" t="s">
        <v>901</v>
      </c>
      <c r="L275" s="1329">
        <f>IFERROR(INDEX('Upper Cask Movement &amp; Logistics'!$I$24:$O$30,MATCH($J275,'Upper Cask Movement &amp; Logistics'!$H$24:$H$30,0),MATCH($K275,'Upper Cask Movement &amp; Logistics'!$H$24:$H$30,0)),"N/A")</f>
        <v>50</v>
      </c>
      <c r="M275" s="1329">
        <f>IFERROR(VLOOKUP($I275,'Upper Cask Movement &amp; Logistics'!$H$4:$I$8,2,FALSE),"N/A")</f>
        <v>0.06</v>
      </c>
      <c r="N275" s="1330">
        <f t="shared" si="7"/>
        <v>0.23148148148148148</v>
      </c>
      <c r="O275" s="1331"/>
      <c r="P275" s="1332" t="str">
        <f>IF($D275="Logistics",VLOOKUP($O275,'Upper Cask Movement &amp; Logistics'!$C$4:$D$77,2,FALSE),"N/A")</f>
        <v>N/A</v>
      </c>
    </row>
    <row r="276" spans="1:16" s="89" customFormat="1" outlineLevel="1" x14ac:dyDescent="0.35">
      <c r="A276" s="1191"/>
      <c r="B276" s="3965"/>
      <c r="C276" s="1294" t="s">
        <v>1391</v>
      </c>
      <c r="D276" s="1294" t="s">
        <v>3</v>
      </c>
      <c r="E276" s="1292">
        <f t="shared" si="6"/>
        <v>1.4000000000000001</v>
      </c>
      <c r="F276" s="1292">
        <f>IF($D276="Trigger",VLOOKUP($C276,'Upper Cask Welding failures'!$E$192:$H$294,4,FALSE),E276+F275)</f>
        <v>85.400032497237461</v>
      </c>
      <c r="G276" s="862"/>
      <c r="H276" s="1328" t="str">
        <f>IF(D276="operation",VLOOKUP(G276,'Generic Vertical Port Tasks'!C242:D263,2,FALSE),"N/A")</f>
        <v>N/A</v>
      </c>
      <c r="I276" s="1294"/>
      <c r="J276" s="1294"/>
      <c r="K276" s="1294"/>
      <c r="L276" s="1329" t="str">
        <f>IFERROR(INDEX('Upper Cask Movement &amp; Logistics'!$I$24:$O$30,MATCH($J276,'Upper Cask Movement &amp; Logistics'!$H$24:$H$30,0),MATCH($K276,'Upper Cask Movement &amp; Logistics'!$H$24:$H$30,0)),"N/A")</f>
        <v>N/A</v>
      </c>
      <c r="M276" s="1329" t="str">
        <f>IFERROR(VLOOKUP($I276,'Upper Cask Movement &amp; Logistics'!$H$4:$I$8,2,FALSE),"N/A")</f>
        <v>N/A</v>
      </c>
      <c r="N276" s="1330" t="str">
        <f t="shared" si="7"/>
        <v>N/A</v>
      </c>
      <c r="O276" s="1331" t="s">
        <v>1277</v>
      </c>
      <c r="P276" s="1332">
        <f>IF($D276="Logistics",VLOOKUP($O276,'Upper Cask Movement &amp; Logistics'!$C$4:$D$77,2,FALSE),"N/A")</f>
        <v>1.4000000000000001</v>
      </c>
    </row>
    <row r="277" spans="1:16" s="89" customFormat="1" ht="13.3" outlineLevel="1" thickBot="1" x14ac:dyDescent="0.4">
      <c r="A277" s="1191"/>
      <c r="B277" s="3966"/>
      <c r="C277" s="1340" t="s">
        <v>1401</v>
      </c>
      <c r="D277" s="1340" t="s">
        <v>11</v>
      </c>
      <c r="E277" s="1295">
        <f t="shared" si="6"/>
        <v>0</v>
      </c>
      <c r="F277" s="1295">
        <f>IF($D277="Trigger",VLOOKUP($C277,'Upper Cask Welding failures'!$E$192:$H$294,4,FALSE),E277+F276)</f>
        <v>85.400032497237461</v>
      </c>
      <c r="G277" s="839"/>
      <c r="H277" s="1341" t="str">
        <f>IF(D277="operation",VLOOKUP(G277,'Generic Vertical Port Tasks'!C242:D263,2,FALSE),"N/A")</f>
        <v>N/A</v>
      </c>
      <c r="I277" s="1340"/>
      <c r="J277" s="1340"/>
      <c r="K277" s="1340"/>
      <c r="L277" s="1342" t="str">
        <f>IFERROR(INDEX('Upper Cask Movement &amp; Logistics'!$I$24:$O$30,MATCH($J277,'Upper Cask Movement &amp; Logistics'!$H$24:$H$30,0),MATCH($K277,'Upper Cask Movement &amp; Logistics'!$H$24:$H$30,0)),"N/A")</f>
        <v>N/A</v>
      </c>
      <c r="M277" s="1342" t="str">
        <f>IFERROR(VLOOKUP($I277,'Upper Cask Movement &amp; Logistics'!$H$4:$I$8,2,FALSE),"N/A")</f>
        <v>N/A</v>
      </c>
      <c r="N277" s="1343" t="str">
        <f t="shared" si="7"/>
        <v>N/A</v>
      </c>
      <c r="O277" s="1344"/>
      <c r="P277" s="1345" t="str">
        <f>IF($D277="Logistics",VLOOKUP($O277,'Upper Cask Movement &amp; Logistics'!$C$4:$D$77,2,FALSE),"N/A")</f>
        <v>N/A</v>
      </c>
    </row>
    <row r="278" spans="1:16" s="89" customFormat="1" outlineLevel="1" x14ac:dyDescent="0.35">
      <c r="A278" s="1191"/>
      <c r="B278" s="3960" t="s">
        <v>1388</v>
      </c>
      <c r="C278" s="1333" t="s">
        <v>1531</v>
      </c>
      <c r="D278" s="1333" t="s">
        <v>907</v>
      </c>
      <c r="E278" s="1303">
        <f t="shared" si="6"/>
        <v>0</v>
      </c>
      <c r="F278" s="1303">
        <f>IF($D278="Trigger",VLOOKUP($C278,'Upper Cask Welding failures'!$E$192:$H$294,4,FALSE),E278+F277)</f>
        <v>40.249662126867094</v>
      </c>
      <c r="G278" s="1304"/>
      <c r="H278" s="1305" t="str">
        <f>IF(D278="operation",VLOOKUP(G278,'Generic Vertical Port Tasks'!C215:D250,2,FALSE),"N/A")</f>
        <v>N/A</v>
      </c>
      <c r="I278" s="1333"/>
      <c r="J278" s="1333"/>
      <c r="K278" s="1333"/>
      <c r="L278" s="1334" t="str">
        <f>IFERROR(INDEX('Upper Cask Movement &amp; Logistics'!$I$24:$O$30,MATCH($J278,'Upper Cask Movement &amp; Logistics'!$H$24:$H$30,0),MATCH($K278,'Upper Cask Movement &amp; Logistics'!$H$24:$H$30,0)),"N/A")</f>
        <v>N/A</v>
      </c>
      <c r="M278" s="1334" t="str">
        <f>IFERROR(VLOOKUP($I278,'Upper Cask Movement &amp; Logistics'!$H$4:$I$8,2,FALSE),"N/A")</f>
        <v>N/A</v>
      </c>
      <c r="N278" s="1335" t="str">
        <f t="shared" si="7"/>
        <v>N/A</v>
      </c>
      <c r="O278" s="1336"/>
      <c r="P278" s="1337" t="str">
        <f>IF($D278="Logistics",VLOOKUP($O278,'Upper Cask Movement &amp; Logistics'!$C$4:$D$77,2,FALSE),"N/A")</f>
        <v>N/A</v>
      </c>
    </row>
    <row r="279" spans="1:16" s="89" customFormat="1" outlineLevel="1" x14ac:dyDescent="0.35">
      <c r="A279" s="1191"/>
      <c r="B279" s="3961"/>
      <c r="C279" s="1243" t="s">
        <v>1345</v>
      </c>
      <c r="D279" s="1243" t="s">
        <v>778</v>
      </c>
      <c r="E279" s="1244">
        <f t="shared" si="6"/>
        <v>0.69444444444444442</v>
      </c>
      <c r="F279" s="1244">
        <f>IF($D279="Trigger",VLOOKUP($C279,'Upper Cask Welding failures'!$E$192:$H$294,4,FALSE),E279+F278)</f>
        <v>40.944106571311536</v>
      </c>
      <c r="G279" s="1309"/>
      <c r="H279" s="1310" t="str">
        <f>IF(D279="operation",VLOOKUP(G279,'Generic Vertical Port Tasks'!C215:D250,2,FALSE),"N/A")</f>
        <v>N/A</v>
      </c>
      <c r="I279" s="1243" t="s">
        <v>1789</v>
      </c>
      <c r="J279" s="1243" t="s">
        <v>816</v>
      </c>
      <c r="K279" s="1243" t="s">
        <v>914</v>
      </c>
      <c r="L279" s="1245">
        <f>IFERROR(INDEX('Upper Cask Movement &amp; Logistics'!$I$24:$O$30,MATCH($J279,'Upper Cask Movement &amp; Logistics'!$H$24:$H$30,0),MATCH($K279,'Upper Cask Movement &amp; Logistics'!$H$24:$H$30,0)),"N/A")</f>
        <v>50</v>
      </c>
      <c r="M279" s="1245">
        <f>IFERROR(VLOOKUP($I279,'Upper Cask Movement &amp; Logistics'!$H$4:$I$8,2,FALSE),"N/A")</f>
        <v>0.02</v>
      </c>
      <c r="N279" s="1311">
        <f t="shared" si="7"/>
        <v>0.69444444444444442</v>
      </c>
      <c r="O279" s="1312"/>
      <c r="P279" s="1313" t="str">
        <f>IF($D279="Logistics",VLOOKUP($O279,'Upper Cask Movement &amp; Logistics'!$C$4:$D$77,2,FALSE),"N/A")</f>
        <v>N/A</v>
      </c>
    </row>
    <row r="280" spans="1:16" s="89" customFormat="1" outlineLevel="1" x14ac:dyDescent="0.35">
      <c r="A280" s="1191"/>
      <c r="B280" s="3962"/>
      <c r="C280" s="1249" t="s">
        <v>1389</v>
      </c>
      <c r="D280" s="1249" t="s">
        <v>3</v>
      </c>
      <c r="E280" s="1250">
        <f t="shared" si="6"/>
        <v>0.48000000000000004</v>
      </c>
      <c r="F280" s="1250">
        <f>IF($D280="Trigger",VLOOKUP($C280,'Upper Cask Welding failures'!$E$192:$H$294,4,FALSE),E280+F279)</f>
        <v>41.424106571311533</v>
      </c>
      <c r="G280" s="1338"/>
      <c r="H280" s="1359" t="str">
        <f>IF(D280="operation",VLOOKUP(G280,'Generic Vertical Port Tasks'!C215:D250,2,FALSE),"N/A")</f>
        <v>N/A</v>
      </c>
      <c r="I280" s="1249"/>
      <c r="J280" s="1249"/>
      <c r="K280" s="1249"/>
      <c r="L280" s="1245" t="str">
        <f>IFERROR(INDEX('Upper Cask Movement &amp; Logistics'!$I$24:$O$30,MATCH($J280,'Upper Cask Movement &amp; Logistics'!$H$24:$H$30,0),MATCH($K280,'Upper Cask Movement &amp; Logistics'!$H$24:$H$30,0)),"N/A")</f>
        <v>N/A</v>
      </c>
      <c r="M280" s="1245" t="str">
        <f>IFERROR(VLOOKUP($I280,'Upper Cask Movement &amp; Logistics'!$H$4:$I$8,2,FALSE),"N/A")</f>
        <v>N/A</v>
      </c>
      <c r="N280" s="1311" t="str">
        <f t="shared" si="7"/>
        <v>N/A</v>
      </c>
      <c r="O280" s="1339" t="s">
        <v>1330</v>
      </c>
      <c r="P280" s="1313">
        <f>IF($D280="Logistics",VLOOKUP($O280,'Upper Cask Movement &amp; Logistics'!$C$4:$D$77,2,FALSE),"N/A")</f>
        <v>0.48000000000000004</v>
      </c>
    </row>
    <row r="281" spans="1:16" s="89" customFormat="1" outlineLevel="1" x14ac:dyDescent="0.35">
      <c r="A281" s="1191"/>
      <c r="B281" s="3962"/>
      <c r="C281" s="1249" t="s">
        <v>1338</v>
      </c>
      <c r="D281" s="1249" t="s">
        <v>778</v>
      </c>
      <c r="E281" s="1250">
        <f t="shared" si="6"/>
        <v>2.7777777777777776E-2</v>
      </c>
      <c r="F281" s="1250">
        <f>IF($D281="Trigger",VLOOKUP($C281,'Upper Cask Welding failures'!$E$192:$H$294,4,FALSE),E281+F280)</f>
        <v>41.451884349089312</v>
      </c>
      <c r="G281" s="1338"/>
      <c r="H281" s="1359" t="str">
        <f>IF(D281="operation",VLOOKUP(G281,'Generic Vertical Port Tasks'!C215:D250,2,FALSE),"N/A")</f>
        <v>N/A</v>
      </c>
      <c r="I281" s="1243" t="s">
        <v>2502</v>
      </c>
      <c r="J281" s="1249" t="s">
        <v>914</v>
      </c>
      <c r="K281" s="1249" t="s">
        <v>799</v>
      </c>
      <c r="L281" s="1245">
        <f>IFERROR(INDEX('Upper Cask Movement &amp; Logistics'!$I$24:$O$30,MATCH($J281,'Upper Cask Movement &amp; Logistics'!$H$24:$H$30,0),MATCH($K281,'Upper Cask Movement &amp; Logistics'!$H$24:$H$30,0)),"N/A")</f>
        <v>20</v>
      </c>
      <c r="M281" s="1245">
        <f>IFERROR(VLOOKUP($I281,'Upper Cask Movement &amp; Logistics'!$H$4:$I$8,2,FALSE),"N/A")</f>
        <v>0.2</v>
      </c>
      <c r="N281" s="1311">
        <f t="shared" si="7"/>
        <v>2.7777777777777776E-2</v>
      </c>
      <c r="O281" s="1339"/>
      <c r="P281" s="1313" t="str">
        <f>IF($D281="Logistics",VLOOKUP($O281,'Upper Cask Movement &amp; Logistics'!$C$4:$D$77,2,FALSE),"N/A")</f>
        <v>N/A</v>
      </c>
    </row>
    <row r="282" spans="1:16" s="89" customFormat="1" outlineLevel="1" x14ac:dyDescent="0.35">
      <c r="A282" s="1191"/>
      <c r="B282" s="3962"/>
      <c r="C282" s="1249" t="s">
        <v>1390</v>
      </c>
      <c r="D282" s="1249" t="s">
        <v>3</v>
      </c>
      <c r="E282" s="1250">
        <f t="shared" si="6"/>
        <v>0.48000000000000004</v>
      </c>
      <c r="F282" s="1250">
        <f>IF($D282="Trigger",VLOOKUP($C282,'Upper Cask Welding failures'!$E$192:$H$294,4,FALSE),E282+F281)</f>
        <v>41.931884349089309</v>
      </c>
      <c r="G282" s="1338"/>
      <c r="H282" s="1359" t="str">
        <f>IF(D282="operation",VLOOKUP(G282,'Generic Vertical Port Tasks'!C215:D250,2,FALSE),"N/A")</f>
        <v>N/A</v>
      </c>
      <c r="I282" s="1249"/>
      <c r="J282" s="1249"/>
      <c r="K282" s="1249"/>
      <c r="L282" s="1245" t="str">
        <f>IFERROR(INDEX('Upper Cask Movement &amp; Logistics'!$I$24:$O$30,MATCH($J282,'Upper Cask Movement &amp; Logistics'!$H$24:$H$30,0),MATCH($K282,'Upper Cask Movement &amp; Logistics'!$H$24:$H$30,0)),"N/A")</f>
        <v>N/A</v>
      </c>
      <c r="M282" s="1245" t="str">
        <f>IFERROR(VLOOKUP($I282,'Upper Cask Movement &amp; Logistics'!$H$4:$I$8,2,FALSE),"N/A")</f>
        <v>N/A</v>
      </c>
      <c r="N282" s="1311" t="str">
        <f>IF(D282="Movement",IFERROR((L282/M282)/(60*60),"Error"),"N/A")</f>
        <v>N/A</v>
      </c>
      <c r="O282" s="1339" t="s">
        <v>1331</v>
      </c>
      <c r="P282" s="1313">
        <f>IF($D282="Logistics",VLOOKUP($O282,'Upper Cask Movement &amp; Logistics'!$C$4:$D$77,2,FALSE),"N/A")</f>
        <v>0.48000000000000004</v>
      </c>
    </row>
    <row r="283" spans="1:16" s="89" customFormat="1" outlineLevel="1" x14ac:dyDescent="0.35">
      <c r="A283" s="1191"/>
      <c r="B283" s="3962"/>
      <c r="C283" s="1249" t="s">
        <v>1340</v>
      </c>
      <c r="D283" s="1249" t="s">
        <v>778</v>
      </c>
      <c r="E283" s="1250">
        <f t="shared" si="6"/>
        <v>0.69444444444444442</v>
      </c>
      <c r="F283" s="1250">
        <f>IF($D283="Trigger",VLOOKUP($C283,'Upper Cask Welding failures'!$E$192:$H$294,4,FALSE),E283+F282)</f>
        <v>42.626328793533752</v>
      </c>
      <c r="G283" s="1338"/>
      <c r="H283" s="1359" t="str">
        <f>IF(D283="operation",VLOOKUP(G283,'Generic Vertical Port Tasks'!C215:D250,2,FALSE),"N/A")</f>
        <v>N/A</v>
      </c>
      <c r="I283" s="1249" t="s">
        <v>1789</v>
      </c>
      <c r="J283" s="1249" t="s">
        <v>799</v>
      </c>
      <c r="K283" s="1249" t="s">
        <v>901</v>
      </c>
      <c r="L283" s="1245">
        <f>IFERROR(INDEX('Upper Cask Movement &amp; Logistics'!$I$24:$O$30,MATCH($J283,'Upper Cask Movement &amp; Logistics'!$H$24:$H$30,0),MATCH($K283,'Upper Cask Movement &amp; Logistics'!$H$24:$H$30,0)),"N/A")</f>
        <v>50</v>
      </c>
      <c r="M283" s="1245">
        <f>IFERROR(VLOOKUP($I283,'Upper Cask Movement &amp; Logistics'!$H$4:$I$8,2,FALSE),"N/A")</f>
        <v>0.02</v>
      </c>
      <c r="N283" s="1311">
        <f>IF(D283="Movement",IFERROR((L283/M283)/(60*60),"Error"),"N/A")</f>
        <v>0.69444444444444442</v>
      </c>
      <c r="O283" s="1339"/>
      <c r="P283" s="1313" t="str">
        <f>IF($D283="Logistics",VLOOKUP($O283,'Upper Cask Movement &amp; Logistics'!$C$4:$D$77,2,FALSE),"N/A")</f>
        <v>N/A</v>
      </c>
    </row>
    <row r="284" spans="1:16" s="89" customFormat="1" outlineLevel="1" x14ac:dyDescent="0.35">
      <c r="A284" s="1191"/>
      <c r="B284" s="3962"/>
      <c r="C284" s="1249" t="s">
        <v>1391</v>
      </c>
      <c r="D284" s="1249" t="s">
        <v>3</v>
      </c>
      <c r="E284" s="1250">
        <f t="shared" si="6"/>
        <v>1.4000000000000001</v>
      </c>
      <c r="F284" s="1250">
        <f>IF($D284="Trigger",VLOOKUP($C284,'Upper Cask Welding failures'!$E$192:$H$294,4,FALSE),E284+F283)</f>
        <v>44.02632879353375</v>
      </c>
      <c r="G284" s="1338"/>
      <c r="H284" s="1359" t="str">
        <f>IF(D284="operation",VLOOKUP(G284,'Generic Vertical Port Tasks'!C215:D250,2,FALSE),"N/A")</f>
        <v>N/A</v>
      </c>
      <c r="I284" s="1249"/>
      <c r="J284" s="1249"/>
      <c r="K284" s="1249"/>
      <c r="L284" s="1245" t="str">
        <f>IFERROR(INDEX('Upper Cask Movement &amp; Logistics'!$I$24:$O$30,MATCH($J284,'Upper Cask Movement &amp; Logistics'!$H$24:$H$30,0),MATCH($K284,'Upper Cask Movement &amp; Logistics'!$H$24:$H$30,0)),"N/A")</f>
        <v>N/A</v>
      </c>
      <c r="M284" s="1245" t="str">
        <f>IFERROR(VLOOKUP($I284,'Upper Cask Movement &amp; Logistics'!$H$4:$I$8,2,FALSE),"N/A")</f>
        <v>N/A</v>
      </c>
      <c r="N284" s="1311" t="str">
        <f>IF(D284="Movement",IFERROR((L284/M284)/(60*60),"Error"),"N/A")</f>
        <v>N/A</v>
      </c>
      <c r="O284" s="1339" t="s">
        <v>1277</v>
      </c>
      <c r="P284" s="1313">
        <f>IF($D284="Logistics",VLOOKUP($O284,'Upper Cask Movement &amp; Logistics'!$C$4:$D$77,2,FALSE),"N/A")</f>
        <v>1.4000000000000001</v>
      </c>
    </row>
    <row r="285" spans="1:16" s="89" customFormat="1" ht="26.15" outlineLevel="1" thickBot="1" x14ac:dyDescent="0.4">
      <c r="A285" s="1191"/>
      <c r="B285" s="3963"/>
      <c r="C285" s="1314" t="s">
        <v>1388</v>
      </c>
      <c r="D285" s="1314" t="s">
        <v>11</v>
      </c>
      <c r="E285" s="1316">
        <f t="shared" si="6"/>
        <v>0</v>
      </c>
      <c r="F285" s="1316">
        <f>IF($D285="Trigger",VLOOKUP($C285,'Upper Cask Welding failures'!$E$192:$H$294,4,FALSE),E285+F284)</f>
        <v>44.02632879353375</v>
      </c>
      <c r="G285" s="1317"/>
      <c r="H285" s="1318" t="str">
        <f>IF(D285="operation",VLOOKUP(G285,'Generic Vertical Port Tasks'!C215:D250,2,FALSE),"N/A")</f>
        <v>N/A</v>
      </c>
      <c r="I285" s="1314"/>
      <c r="J285" s="1314"/>
      <c r="K285" s="1314"/>
      <c r="L285" s="1319" t="str">
        <f>IFERROR(INDEX('Upper Cask Movement &amp; Logistics'!$I$24:$O$30,MATCH($J285,'Upper Cask Movement &amp; Logistics'!$H$24:$H$30,0),MATCH($K285,'Upper Cask Movement &amp; Logistics'!$H$24:$H$30,0)),"N/A")</f>
        <v>N/A</v>
      </c>
      <c r="M285" s="1319" t="str">
        <f>IFERROR(VLOOKUP($I285,'Upper Cask Movement &amp; Logistics'!$H$4:$I$8,2,FALSE),"N/A")</f>
        <v>N/A</v>
      </c>
      <c r="N285" s="1320" t="str">
        <f t="shared" ref="N285:N324" si="8">IF(D285="Movement",IFERROR((L285/M285)/(60*60),"Error"),"N/A")</f>
        <v>N/A</v>
      </c>
      <c r="O285" s="1321"/>
      <c r="P285" s="1322" t="str">
        <f>IF($D285="Logistics",VLOOKUP($O285,'Upper Cask Movement &amp; Logistics'!$C$4:$D$77,2,FALSE),"N/A")</f>
        <v>N/A</v>
      </c>
    </row>
    <row r="286" spans="1:16" s="89" customFormat="1" outlineLevel="1" x14ac:dyDescent="0.35">
      <c r="A286" s="1191"/>
      <c r="B286" s="3960" t="s">
        <v>1280</v>
      </c>
      <c r="C286" s="1333" t="s">
        <v>1278</v>
      </c>
      <c r="D286" s="1333" t="s">
        <v>907</v>
      </c>
      <c r="E286" s="1303">
        <f t="shared" si="6"/>
        <v>0</v>
      </c>
      <c r="F286" s="1303">
        <f>IF($D286="Trigger",VLOOKUP($C286,'Upper Cask Welding failures'!$E$192:$H$294,4,FALSE),E286+F285)</f>
        <v>80.694106571311522</v>
      </c>
      <c r="G286" s="1304"/>
      <c r="H286" s="1305" t="str">
        <f>IF(D286="operation",VLOOKUP(G286,'Generic Vertical Port Tasks'!C239:D267,2,FALSE),"N/A")</f>
        <v>N/A</v>
      </c>
      <c r="I286" s="1333"/>
      <c r="J286" s="1333"/>
      <c r="K286" s="1333"/>
      <c r="L286" s="1334" t="str">
        <f>IFERROR(INDEX('Upper Cask Movement &amp; Logistics'!$I$24:$O$30,MATCH($J286,'Upper Cask Movement &amp; Logistics'!$H$24:$H$30,0),MATCH($K286,'Upper Cask Movement &amp; Logistics'!$H$24:$H$30,0)),"N/A")</f>
        <v>N/A</v>
      </c>
      <c r="M286" s="1334" t="str">
        <f>IFERROR(VLOOKUP($I286,'Upper Cask Movement &amp; Logistics'!$H$4:$I$8,2,FALSE),"N/A")</f>
        <v>N/A</v>
      </c>
      <c r="N286" s="1335" t="str">
        <f t="shared" si="8"/>
        <v>N/A</v>
      </c>
      <c r="O286" s="1336"/>
      <c r="P286" s="1337" t="str">
        <f>IF($D286="Logistics",VLOOKUP($O286,'Upper Cask Movement &amp; Logistics'!$C$4:$D$77,2,FALSE),"N/A")</f>
        <v>N/A</v>
      </c>
    </row>
    <row r="287" spans="1:16" s="89" customFormat="1" outlineLevel="1" x14ac:dyDescent="0.35">
      <c r="A287" s="1191"/>
      <c r="B287" s="3968"/>
      <c r="C287" s="1240" t="s">
        <v>1405</v>
      </c>
      <c r="D287" s="1240" t="s">
        <v>3</v>
      </c>
      <c r="E287" s="1241">
        <f t="shared" si="6"/>
        <v>2.3000000000000003</v>
      </c>
      <c r="F287" s="1241">
        <f>IF($D287="Trigger",VLOOKUP($C287,'Upper Cask Welding failures'!$E$192:$H$294,4,FALSE),E287+F286)</f>
        <v>82.994106571311519</v>
      </c>
      <c r="G287" s="1354"/>
      <c r="H287" s="1355" t="str">
        <f>IF(D287="operation",VLOOKUP(G287,'Generic Vertical Port Tasks'!C239:D267,2,FALSE),"N/A")</f>
        <v>N/A</v>
      </c>
      <c r="I287" s="1240"/>
      <c r="J287" s="1240"/>
      <c r="K287" s="1240"/>
      <c r="L287" s="1242" t="str">
        <f>IFERROR(INDEX('Upper Cask Movement &amp; Logistics'!$I$24:$O$30,MATCH($J287,'Upper Cask Movement &amp; Logistics'!$H$24:$H$30,0),MATCH($K287,'Upper Cask Movement &amp; Logistics'!$H$24:$H$30,0)),"N/A")</f>
        <v>N/A</v>
      </c>
      <c r="M287" s="1242" t="str">
        <f>IFERROR(VLOOKUP($I287,'Upper Cask Movement &amp; Logistics'!$H$4:$I$8,2,FALSE),"N/A")</f>
        <v>N/A</v>
      </c>
      <c r="N287" s="1356" t="str">
        <f t="shared" si="8"/>
        <v>N/A</v>
      </c>
      <c r="O287" s="1357" t="s">
        <v>1269</v>
      </c>
      <c r="P287" s="1358">
        <f>IF($D287="Logistics",VLOOKUP($O287,'Upper Cask Movement &amp; Logistics'!$C$4:$D$77,2,FALSE),"N/A")</f>
        <v>2.3000000000000003</v>
      </c>
    </row>
    <row r="288" spans="1:16" s="89" customFormat="1" outlineLevel="1" x14ac:dyDescent="0.35">
      <c r="A288" s="1191"/>
      <c r="B288" s="3968"/>
      <c r="C288" s="1240" t="s">
        <v>1402</v>
      </c>
      <c r="D288" s="1240" t="s">
        <v>778</v>
      </c>
      <c r="E288" s="1241">
        <f t="shared" si="6"/>
        <v>0.11574074074074074</v>
      </c>
      <c r="F288" s="1241">
        <f>IF($D288="Trigger",VLOOKUP($C288,'Upper Cask Welding failures'!$E$192:$H$294,4,FALSE),E288+F287)</f>
        <v>83.109847312052267</v>
      </c>
      <c r="G288" s="1354"/>
      <c r="H288" s="1355" t="str">
        <f>IF(D288="operation",VLOOKUP(G288,'Generic Vertical Port Tasks'!C239:D267,2,FALSE),"N/A")</f>
        <v>N/A</v>
      </c>
      <c r="I288" s="1240" t="s">
        <v>2501</v>
      </c>
      <c r="J288" s="1240" t="s">
        <v>901</v>
      </c>
      <c r="K288" s="1240" t="s">
        <v>858</v>
      </c>
      <c r="L288" s="1242">
        <f>IFERROR(INDEX('Upper Cask Movement &amp; Logistics'!$I$24:$O$30,MATCH($J288,'Upper Cask Movement &amp; Logistics'!$H$24:$H$30,0),MATCH($K288,'Upper Cask Movement &amp; Logistics'!$H$24:$H$30,0)),"N/A")</f>
        <v>25</v>
      </c>
      <c r="M288" s="1242">
        <f>IFERROR(VLOOKUP($I288,'Upper Cask Movement &amp; Logistics'!$H$4:$I$8,2,FALSE),"N/A")</f>
        <v>0.06</v>
      </c>
      <c r="N288" s="1356">
        <f t="shared" si="8"/>
        <v>0.11574074074074074</v>
      </c>
      <c r="O288" s="1357"/>
      <c r="P288" s="1358" t="str">
        <f>IF($D288="Logistics",VLOOKUP($O288,'Upper Cask Movement &amp; Logistics'!$C$4:$D$77,2,FALSE),"N/A")</f>
        <v>N/A</v>
      </c>
    </row>
    <row r="289" spans="1:16" s="89" customFormat="1" outlineLevel="1" x14ac:dyDescent="0.35">
      <c r="A289" s="1191"/>
      <c r="B289" s="3968"/>
      <c r="C289" s="1240" t="s">
        <v>1406</v>
      </c>
      <c r="D289" s="1240" t="s">
        <v>3</v>
      </c>
      <c r="E289" s="1241">
        <f t="shared" si="6"/>
        <v>0.63000000000000012</v>
      </c>
      <c r="F289" s="1241">
        <f>IF($D289="Trigger",VLOOKUP($C289,'Upper Cask Welding failures'!$E$192:$H$294,4,FALSE),E289+F288)</f>
        <v>83.739847312052262</v>
      </c>
      <c r="G289" s="1354"/>
      <c r="H289" s="1355" t="str">
        <f>IF(D289="operation",VLOOKUP(G289,'Generic Vertical Port Tasks'!C239:D267,2,FALSE),"N/A")</f>
        <v>N/A</v>
      </c>
      <c r="I289" s="1240"/>
      <c r="J289" s="1240"/>
      <c r="K289" s="1240"/>
      <c r="L289" s="1242" t="str">
        <f>IFERROR(INDEX('Upper Cask Movement &amp; Logistics'!$I$24:$O$30,MATCH($J289,'Upper Cask Movement &amp; Logistics'!$H$24:$H$30,0),MATCH($K289,'Upper Cask Movement &amp; Logistics'!$H$24:$H$30,0)),"N/A")</f>
        <v>N/A</v>
      </c>
      <c r="M289" s="1242" t="str">
        <f>IFERROR(VLOOKUP($I289,'Upper Cask Movement &amp; Logistics'!$H$4:$I$8,2,FALSE),"N/A")</f>
        <v>N/A</v>
      </c>
      <c r="N289" s="1356" t="str">
        <f t="shared" si="8"/>
        <v>N/A</v>
      </c>
      <c r="O289" s="1357" t="s">
        <v>1228</v>
      </c>
      <c r="P289" s="1358">
        <f>IF($D289="Logistics",VLOOKUP($O289,'Upper Cask Movement &amp; Logistics'!$C$4:$D$77,2,FALSE),"N/A")</f>
        <v>0.63000000000000012</v>
      </c>
    </row>
    <row r="290" spans="1:16" s="89" customFormat="1" outlineLevel="1" x14ac:dyDescent="0.35">
      <c r="A290" s="1191"/>
      <c r="B290" s="3961"/>
      <c r="C290" s="1243" t="s">
        <v>1340</v>
      </c>
      <c r="D290" s="1243" t="s">
        <v>778</v>
      </c>
      <c r="E290" s="1244">
        <f t="shared" si="6"/>
        <v>0.69444444444444442</v>
      </c>
      <c r="F290" s="1244">
        <f>IF($D290="Trigger",VLOOKUP($C290,'Upper Cask Welding failures'!$E$192:$H$294,4,FALSE),E290+F289)</f>
        <v>84.434291756496705</v>
      </c>
      <c r="G290" s="1309"/>
      <c r="H290" s="1310" t="str">
        <f>IF(D290="operation",VLOOKUP(G290,'Generic Vertical Port Tasks'!C239:D267,2,FALSE),"N/A")</f>
        <v>N/A</v>
      </c>
      <c r="I290" s="1243" t="s">
        <v>1789</v>
      </c>
      <c r="J290" s="1243" t="s">
        <v>831</v>
      </c>
      <c r="K290" s="1243" t="s">
        <v>901</v>
      </c>
      <c r="L290" s="1245">
        <f>IFERROR(INDEX('Upper Cask Movement &amp; Logistics'!$I$24:$O$30,MATCH($J290,'Upper Cask Movement &amp; Logistics'!$H$24:$H$30,0),MATCH($K290,'Upper Cask Movement &amp; Logistics'!$H$24:$H$30,0)),"N/A")</f>
        <v>50</v>
      </c>
      <c r="M290" s="1245">
        <f>IFERROR(VLOOKUP($I290,'Upper Cask Movement &amp; Logistics'!$H$4:$I$8,2,FALSE),"N/A")</f>
        <v>0.02</v>
      </c>
      <c r="N290" s="1311">
        <f t="shared" si="8"/>
        <v>0.69444444444444442</v>
      </c>
      <c r="O290" s="1312"/>
      <c r="P290" s="1313" t="str">
        <f>IF($D290="Logistics",VLOOKUP($O290,'Upper Cask Movement &amp; Logistics'!$C$4:$D$77,2,FALSE),"N/A")</f>
        <v>N/A</v>
      </c>
    </row>
    <row r="291" spans="1:16" s="89" customFormat="1" outlineLevel="1" x14ac:dyDescent="0.35">
      <c r="A291" s="1191"/>
      <c r="B291" s="3961"/>
      <c r="C291" s="1243" t="s">
        <v>1391</v>
      </c>
      <c r="D291" s="1243" t="s">
        <v>3</v>
      </c>
      <c r="E291" s="1244">
        <f t="shared" si="6"/>
        <v>1.4000000000000001</v>
      </c>
      <c r="F291" s="1244">
        <f>IF($D291="Trigger",VLOOKUP($C291,'Upper Cask Welding failures'!$E$192:$H$294,4,FALSE),E291+F290)</f>
        <v>85.834291756496711</v>
      </c>
      <c r="G291" s="1309"/>
      <c r="H291" s="1310" t="str">
        <f>IF(D291="operation",VLOOKUP(G291,'Generic Vertical Port Tasks'!C239:D267,2,FALSE),"N/A")</f>
        <v>N/A</v>
      </c>
      <c r="I291" s="1243"/>
      <c r="J291" s="1243"/>
      <c r="K291" s="1243"/>
      <c r="L291" s="1245" t="str">
        <f>IFERROR(INDEX('Upper Cask Movement &amp; Logistics'!$I$24:$O$30,MATCH($J291,'Upper Cask Movement &amp; Logistics'!$H$24:$H$30,0),MATCH($K291,'Upper Cask Movement &amp; Logistics'!$H$24:$H$30,0)),"N/A")</f>
        <v>N/A</v>
      </c>
      <c r="M291" s="1245" t="str">
        <f>IFERROR(VLOOKUP($I291,'Upper Cask Movement &amp; Logistics'!$H$4:$I$8,2,FALSE),"N/A")</f>
        <v>N/A</v>
      </c>
      <c r="N291" s="1311" t="str">
        <f t="shared" si="8"/>
        <v>N/A</v>
      </c>
      <c r="O291" s="1312" t="s">
        <v>1277</v>
      </c>
      <c r="P291" s="1313">
        <f>IF($D291="Logistics",VLOOKUP($O291,'Upper Cask Movement &amp; Logistics'!$C$4:$D$77,2,FALSE),"N/A")</f>
        <v>1.4000000000000001</v>
      </c>
    </row>
    <row r="292" spans="1:16" s="89" customFormat="1" ht="13.3" outlineLevel="1" thickBot="1" x14ac:dyDescent="0.4">
      <c r="A292" s="1191"/>
      <c r="B292" s="3963"/>
      <c r="C292" s="1314" t="s">
        <v>1280</v>
      </c>
      <c r="D292" s="1314" t="s">
        <v>11</v>
      </c>
      <c r="E292" s="1316">
        <f t="shared" si="6"/>
        <v>0</v>
      </c>
      <c r="F292" s="1316">
        <f>IF($D292="Trigger",VLOOKUP($C292,'Upper Cask Welding failures'!$E$192:$H$294,4,FALSE),E292+F291)</f>
        <v>85.834291756496711</v>
      </c>
      <c r="G292" s="1317"/>
      <c r="H292" s="1318" t="str">
        <f>IF(D292="operation",VLOOKUP(G292,'Generic Vertical Port Tasks'!C239:D267,2,FALSE),"N/A")</f>
        <v>N/A</v>
      </c>
      <c r="I292" s="1314"/>
      <c r="J292" s="1314"/>
      <c r="K292" s="1314"/>
      <c r="L292" s="1319" t="str">
        <f>IFERROR(INDEX('Upper Cask Movement &amp; Logistics'!$I$24:$O$30,MATCH($J292,'Upper Cask Movement &amp; Logistics'!$H$24:$H$30,0),MATCH($K292,'Upper Cask Movement &amp; Logistics'!$H$24:$H$30,0)),"N/A")</f>
        <v>N/A</v>
      </c>
      <c r="M292" s="1319" t="str">
        <f>IFERROR(VLOOKUP($I292,'Upper Cask Movement &amp; Logistics'!$H$4:$I$8,2,FALSE),"N/A")</f>
        <v>N/A</v>
      </c>
      <c r="N292" s="1320" t="str">
        <f t="shared" si="8"/>
        <v>N/A</v>
      </c>
      <c r="O292" s="1321"/>
      <c r="P292" s="1322" t="str">
        <f>IF($D292="Logistics",VLOOKUP($O292,'Upper Cask Movement &amp; Logistics'!$C$4:$D$77,2,FALSE),"N/A")</f>
        <v>N/A</v>
      </c>
    </row>
    <row r="293" spans="1:16" s="89" customFormat="1" outlineLevel="1" x14ac:dyDescent="0.35">
      <c r="A293" s="1191"/>
      <c r="B293" s="3964" t="s">
        <v>1282</v>
      </c>
      <c r="C293" s="1324" t="s">
        <v>1281</v>
      </c>
      <c r="D293" s="1324" t="s">
        <v>907</v>
      </c>
      <c r="E293" s="1291">
        <f t="shared" si="6"/>
        <v>0</v>
      </c>
      <c r="F293" s="1291">
        <f>IF($D293="Trigger",VLOOKUP($C293,'Upper Cask Welding failures'!$E$192:$H$294,4,FALSE),E293+F292)</f>
        <v>90.764291756496704</v>
      </c>
      <c r="G293" s="825"/>
      <c r="H293" s="1323" t="str">
        <f>IF(D293="operation",VLOOKUP(G293,'Generic Vertical Port Tasks'!C246:D296,2,FALSE),"N/A")</f>
        <v>N/A</v>
      </c>
      <c r="I293" s="1324"/>
      <c r="J293" s="1324"/>
      <c r="K293" s="1324"/>
      <c r="L293" s="1325" t="str">
        <f>IFERROR(INDEX('Upper Cask Movement &amp; Logistics'!$I$24:$O$30,MATCH($J293,'Upper Cask Movement &amp; Logistics'!$H$24:$H$30,0),MATCH($K293,'Upper Cask Movement &amp; Logistics'!$H$24:$H$30,0)),"N/A")</f>
        <v>N/A</v>
      </c>
      <c r="M293" s="1325" t="str">
        <f>IFERROR(VLOOKUP($I293,'Upper Cask Movement &amp; Logistics'!$H$4:$I$8,2,FALSE),"N/A")</f>
        <v>N/A</v>
      </c>
      <c r="N293" s="1326" t="str">
        <f t="shared" si="8"/>
        <v>N/A</v>
      </c>
      <c r="O293" s="1327"/>
      <c r="P293" s="824" t="str">
        <f>IF($D293="Logistics",VLOOKUP($O293,'Upper Cask Movement &amp; Logistics'!$C$4:$D$77,2,FALSE),"N/A")</f>
        <v>N/A</v>
      </c>
    </row>
    <row r="294" spans="1:16" s="89" customFormat="1" outlineLevel="1" x14ac:dyDescent="0.35">
      <c r="A294" s="1191"/>
      <c r="B294" s="3969"/>
      <c r="C294" s="1362" t="s">
        <v>1395</v>
      </c>
      <c r="D294" s="1362" t="s">
        <v>3</v>
      </c>
      <c r="E294" s="1363">
        <f t="shared" si="6"/>
        <v>2.3000000000000003</v>
      </c>
      <c r="F294" s="1363">
        <f>IF($D294="Trigger",VLOOKUP($C294,'Upper Cask Welding failures'!$E$192:$H$294,4,FALSE),E294+F293)</f>
        <v>93.064291756496701</v>
      </c>
      <c r="G294" s="1364"/>
      <c r="H294" s="1365" t="str">
        <f>IF(D294="operation",VLOOKUP(G294,'Generic Vertical Port Tasks'!C246:D296,2,FALSE),"N/A")</f>
        <v>N/A</v>
      </c>
      <c r="I294" s="1362"/>
      <c r="J294" s="1362"/>
      <c r="K294" s="1362"/>
      <c r="L294" s="1366" t="str">
        <f>IFERROR(INDEX('Upper Cask Movement &amp; Logistics'!$I$24:$O$30,MATCH($J294,'Upper Cask Movement &amp; Logistics'!$H$24:$H$30,0),MATCH($K294,'Upper Cask Movement &amp; Logistics'!$H$24:$H$30,0)),"N/A")</f>
        <v>N/A</v>
      </c>
      <c r="M294" s="1366" t="str">
        <f>IFERROR(VLOOKUP($I294,'Upper Cask Movement &amp; Logistics'!$H$4:$I$8,2,FALSE),"N/A")</f>
        <v>N/A</v>
      </c>
      <c r="N294" s="1367" t="str">
        <f t="shared" si="8"/>
        <v>N/A</v>
      </c>
      <c r="O294" s="1368" t="s">
        <v>1269</v>
      </c>
      <c r="P294" s="861">
        <f>IF($D294="Logistics",VLOOKUP($O294,'Upper Cask Movement &amp; Logistics'!$C$4:$D$77,2,FALSE),"N/A")</f>
        <v>2.3000000000000003</v>
      </c>
    </row>
    <row r="295" spans="1:16" s="89" customFormat="1" outlineLevel="1" x14ac:dyDescent="0.35">
      <c r="A295" s="1191"/>
      <c r="B295" s="3969"/>
      <c r="C295" s="1362" t="s">
        <v>1402</v>
      </c>
      <c r="D295" s="1362" t="s">
        <v>778</v>
      </c>
      <c r="E295" s="1363">
        <f t="shared" si="6"/>
        <v>0.11574074074074074</v>
      </c>
      <c r="F295" s="1363">
        <f>IF($D295="Trigger",VLOOKUP($C295,'Upper Cask Welding failures'!$E$192:$H$294,4,FALSE),E295+F294)</f>
        <v>93.180032497237448</v>
      </c>
      <c r="G295" s="1364"/>
      <c r="H295" s="1365" t="str">
        <f>IF(D295="operation",VLOOKUP(G295,'Generic Vertical Port Tasks'!C246:D296,2,FALSE),"N/A")</f>
        <v>N/A</v>
      </c>
      <c r="I295" s="1362" t="s">
        <v>2501</v>
      </c>
      <c r="J295" s="1362" t="s">
        <v>901</v>
      </c>
      <c r="K295" s="1362" t="s">
        <v>858</v>
      </c>
      <c r="L295" s="1366">
        <f>IFERROR(INDEX('Upper Cask Movement &amp; Logistics'!$I$24:$O$30,MATCH($J295,'Upper Cask Movement &amp; Logistics'!$H$24:$H$30,0),MATCH($K295,'Upper Cask Movement &amp; Logistics'!$H$24:$H$30,0)),"N/A")</f>
        <v>25</v>
      </c>
      <c r="M295" s="1366">
        <f>IFERROR(VLOOKUP($I295,'Upper Cask Movement &amp; Logistics'!$H$4:$I$8,2,FALSE),"N/A")</f>
        <v>0.06</v>
      </c>
      <c r="N295" s="1367">
        <f t="shared" si="8"/>
        <v>0.11574074074074074</v>
      </c>
      <c r="O295" s="1368"/>
      <c r="P295" s="861" t="str">
        <f>IF($D295="Logistics",VLOOKUP($O295,'Upper Cask Movement &amp; Logistics'!$C$4:$D$77,2,FALSE),"N/A")</f>
        <v>N/A</v>
      </c>
    </row>
    <row r="296" spans="1:16" s="89" customFormat="1" outlineLevel="1" x14ac:dyDescent="0.35">
      <c r="A296" s="1191"/>
      <c r="B296" s="3969"/>
      <c r="C296" s="1362" t="s">
        <v>1407</v>
      </c>
      <c r="D296" s="1362" t="s">
        <v>3</v>
      </c>
      <c r="E296" s="1363">
        <f t="shared" si="6"/>
        <v>0.63000000000000012</v>
      </c>
      <c r="F296" s="1363">
        <f>IF($D296="Trigger",VLOOKUP($C296,'Upper Cask Welding failures'!$E$192:$H$294,4,FALSE),E296+F295)</f>
        <v>93.810032497237444</v>
      </c>
      <c r="G296" s="1364"/>
      <c r="H296" s="1365" t="str">
        <f>IF(D296="operation",VLOOKUP(G296,'Generic Vertical Port Tasks'!C246:D296,2,FALSE),"N/A")</f>
        <v>N/A</v>
      </c>
      <c r="I296" s="1362"/>
      <c r="J296" s="1362"/>
      <c r="K296" s="1362"/>
      <c r="L296" s="1366" t="str">
        <f>IFERROR(INDEX('Upper Cask Movement &amp; Logistics'!$I$24:$O$30,MATCH($J296,'Upper Cask Movement &amp; Logistics'!$H$24:$H$30,0),MATCH($K296,'Upper Cask Movement &amp; Logistics'!$H$24:$H$30,0)),"N/A")</f>
        <v>N/A</v>
      </c>
      <c r="M296" s="1366" t="str">
        <f>IFERROR(VLOOKUP($I296,'Upper Cask Movement &amp; Logistics'!$H$4:$I$8,2,FALSE),"N/A")</f>
        <v>N/A</v>
      </c>
      <c r="N296" s="1367" t="str">
        <f t="shared" si="8"/>
        <v>N/A</v>
      </c>
      <c r="O296" s="1368" t="s">
        <v>1228</v>
      </c>
      <c r="P296" s="861">
        <f>IF($D296="Logistics",VLOOKUP($O296,'Upper Cask Movement &amp; Logistics'!$C$4:$D$77,2,FALSE),"N/A")</f>
        <v>0.63000000000000012</v>
      </c>
    </row>
    <row r="297" spans="1:16" s="89" customFormat="1" outlineLevel="1" x14ac:dyDescent="0.35">
      <c r="A297" s="1191"/>
      <c r="B297" s="3965"/>
      <c r="C297" s="1294" t="s">
        <v>1340</v>
      </c>
      <c r="D297" s="1294" t="s">
        <v>778</v>
      </c>
      <c r="E297" s="1292">
        <f t="shared" si="6"/>
        <v>0.69444444444444442</v>
      </c>
      <c r="F297" s="1292">
        <f>IF($D297="Trigger",VLOOKUP($C297,'Upper Cask Welding failures'!$E$192:$H$294,4,FALSE),E297+F296)</f>
        <v>94.504476941681887</v>
      </c>
      <c r="G297" s="862"/>
      <c r="H297" s="1328" t="str">
        <f>IF(D297="operation",VLOOKUP(G297,'Generic Vertical Port Tasks'!C246:D296,2,FALSE),"N/A")</f>
        <v>N/A</v>
      </c>
      <c r="I297" s="1294" t="s">
        <v>1789</v>
      </c>
      <c r="J297" s="1294" t="s">
        <v>831</v>
      </c>
      <c r="K297" s="1294" t="s">
        <v>901</v>
      </c>
      <c r="L297" s="1329">
        <f>IFERROR(INDEX('Upper Cask Movement &amp; Logistics'!$I$24:$O$30,MATCH($J297,'Upper Cask Movement &amp; Logistics'!$H$24:$H$30,0),MATCH($K297,'Upper Cask Movement &amp; Logistics'!$H$24:$H$30,0)),"N/A")</f>
        <v>50</v>
      </c>
      <c r="M297" s="1329">
        <f>IFERROR(VLOOKUP($I297,'Upper Cask Movement &amp; Logistics'!$H$4:$I$8,2,FALSE),"N/A")</f>
        <v>0.02</v>
      </c>
      <c r="N297" s="1330">
        <f t="shared" si="8"/>
        <v>0.69444444444444442</v>
      </c>
      <c r="O297" s="1331"/>
      <c r="P297" s="1332" t="str">
        <f>IF($D297="Logistics",VLOOKUP($O297,'Upper Cask Movement &amp; Logistics'!$C$4:$D$77,2,FALSE),"N/A")</f>
        <v>N/A</v>
      </c>
    </row>
    <row r="298" spans="1:16" s="89" customFormat="1" outlineLevel="1" x14ac:dyDescent="0.35">
      <c r="A298" s="1191"/>
      <c r="B298" s="3965"/>
      <c r="C298" s="1294" t="s">
        <v>1391</v>
      </c>
      <c r="D298" s="1294" t="s">
        <v>3</v>
      </c>
      <c r="E298" s="1292">
        <f t="shared" si="6"/>
        <v>1.4000000000000001</v>
      </c>
      <c r="F298" s="1292">
        <f>IF($D298="Trigger",VLOOKUP($C298,'Upper Cask Welding failures'!$E$192:$H$294,4,FALSE),E298+F297)</f>
        <v>95.904476941681892</v>
      </c>
      <c r="G298" s="862"/>
      <c r="H298" s="1328" t="str">
        <f>IF(D298="operation",VLOOKUP(G298,'Generic Vertical Port Tasks'!C246:D296,2,FALSE),"N/A")</f>
        <v>N/A</v>
      </c>
      <c r="I298" s="1294"/>
      <c r="J298" s="1294"/>
      <c r="K298" s="1294"/>
      <c r="L298" s="1329" t="str">
        <f>IFERROR(INDEX('Upper Cask Movement &amp; Logistics'!$I$24:$O$30,MATCH($J298,'Upper Cask Movement &amp; Logistics'!$H$24:$H$30,0),MATCH($K298,'Upper Cask Movement &amp; Logistics'!$H$24:$H$30,0)),"N/A")</f>
        <v>N/A</v>
      </c>
      <c r="M298" s="1329" t="str">
        <f>IFERROR(VLOOKUP($I298,'Upper Cask Movement &amp; Logistics'!$H$4:$I$8,2,FALSE),"N/A")</f>
        <v>N/A</v>
      </c>
      <c r="N298" s="1330" t="str">
        <f t="shared" si="8"/>
        <v>N/A</v>
      </c>
      <c r="O298" s="1331" t="s">
        <v>1277</v>
      </c>
      <c r="P298" s="1332">
        <f>IF($D298="Logistics",VLOOKUP($O298,'Upper Cask Movement &amp; Logistics'!$C$4:$D$77,2,FALSE),"N/A")</f>
        <v>1.4000000000000001</v>
      </c>
    </row>
    <row r="299" spans="1:16" s="89" customFormat="1" ht="13.3" outlineLevel="1" thickBot="1" x14ac:dyDescent="0.4">
      <c r="A299" s="1191"/>
      <c r="B299" s="3966"/>
      <c r="C299" s="1340" t="s">
        <v>1282</v>
      </c>
      <c r="D299" s="1340" t="s">
        <v>11</v>
      </c>
      <c r="E299" s="1295">
        <f t="shared" si="6"/>
        <v>0</v>
      </c>
      <c r="F299" s="1295">
        <f>IF($D299="Trigger",VLOOKUP($C299,'Upper Cask Welding failures'!$E$192:$H$294,4,FALSE),E299+F298)</f>
        <v>95.904476941681892</v>
      </c>
      <c r="G299" s="839"/>
      <c r="H299" s="1341" t="str">
        <f>IF(D299="operation",VLOOKUP(G299,'Generic Vertical Port Tasks'!C246:D296,2,FALSE),"N/A")</f>
        <v>N/A</v>
      </c>
      <c r="I299" s="1340"/>
      <c r="J299" s="1340"/>
      <c r="K299" s="1340"/>
      <c r="L299" s="1342" t="str">
        <f>IFERROR(INDEX('Upper Cask Movement &amp; Logistics'!$I$24:$O$30,MATCH($J299,'Upper Cask Movement &amp; Logistics'!$H$24:$H$30,0),MATCH($K299,'Upper Cask Movement &amp; Logistics'!$H$24:$H$30,0)),"N/A")</f>
        <v>N/A</v>
      </c>
      <c r="M299" s="1342" t="str">
        <f>IFERROR(VLOOKUP($I299,'Upper Cask Movement &amp; Logistics'!$H$4:$I$8,2,FALSE),"N/A")</f>
        <v>N/A</v>
      </c>
      <c r="N299" s="1343" t="str">
        <f t="shared" si="8"/>
        <v>N/A</v>
      </c>
      <c r="O299" s="1344"/>
      <c r="P299" s="1345" t="str">
        <f>IF($D299="Logistics",VLOOKUP($O299,'Upper Cask Movement &amp; Logistics'!$C$4:$D$77,2,FALSE),"N/A")</f>
        <v>N/A</v>
      </c>
    </row>
    <row r="300" spans="1:16" s="89" customFormat="1" outlineLevel="1" x14ac:dyDescent="0.35">
      <c r="A300" s="1191"/>
      <c r="B300" s="3960" t="s">
        <v>1284</v>
      </c>
      <c r="C300" s="1333" t="s">
        <v>1283</v>
      </c>
      <c r="D300" s="1333" t="s">
        <v>907</v>
      </c>
      <c r="E300" s="1303">
        <f t="shared" si="6"/>
        <v>0</v>
      </c>
      <c r="F300" s="1303">
        <f>IF($D300="Trigger",VLOOKUP($C300,'Upper Cask Welding failures'!$E$192:$H$294,4,FALSE),E300+F299)</f>
        <v>100.83447694168188</v>
      </c>
      <c r="G300" s="1304"/>
      <c r="H300" s="1305" t="str">
        <f>IF(D300="operation",VLOOKUP(G300,'Generic Vertical Port Tasks'!C248:D296,2,FALSE),"N/A")</f>
        <v>N/A</v>
      </c>
      <c r="I300" s="1333"/>
      <c r="J300" s="1333"/>
      <c r="K300" s="1333"/>
      <c r="L300" s="1334" t="str">
        <f>IFERROR(INDEX('Upper Cask Movement &amp; Logistics'!$I$24:$O$30,MATCH($J300,'Upper Cask Movement &amp; Logistics'!$H$24:$H$30,0),MATCH($K300,'Upper Cask Movement &amp; Logistics'!$H$24:$H$30,0)),"N/A")</f>
        <v>N/A</v>
      </c>
      <c r="M300" s="1334" t="str">
        <f>IFERROR(VLOOKUP($I300,'Upper Cask Movement &amp; Logistics'!$H$4:$I$8,2,FALSE),"N/A")</f>
        <v>N/A</v>
      </c>
      <c r="N300" s="1335" t="str">
        <f t="shared" si="8"/>
        <v>N/A</v>
      </c>
      <c r="O300" s="1336"/>
      <c r="P300" s="1337" t="str">
        <f>IF($D300="Logistics",VLOOKUP($O300,'Upper Cask Movement &amp; Logistics'!$C$4:$D$77,2,FALSE),"N/A")</f>
        <v>N/A</v>
      </c>
    </row>
    <row r="301" spans="1:16" s="89" customFormat="1" outlineLevel="1" x14ac:dyDescent="0.35">
      <c r="A301" s="1191"/>
      <c r="B301" s="3968"/>
      <c r="C301" s="1240" t="s">
        <v>1268</v>
      </c>
      <c r="D301" s="1240" t="s">
        <v>3</v>
      </c>
      <c r="E301" s="1241">
        <f t="shared" ref="E301:E353" si="9">MAX($P301,$N301,$H301)</f>
        <v>2.3000000000000003</v>
      </c>
      <c r="F301" s="1241">
        <f>IF($D301="Trigger",VLOOKUP($C301,'Upper Cask Welding failures'!$E$192:$H$294,4,FALSE),E301+F300)</f>
        <v>103.13447694168188</v>
      </c>
      <c r="G301" s="1354"/>
      <c r="H301" s="1355" t="str">
        <f>IF(D301="operation",VLOOKUP(G301,'Generic Vertical Port Tasks'!C248:D296,2,FALSE),"N/A")</f>
        <v>N/A</v>
      </c>
      <c r="I301" s="1240"/>
      <c r="J301" s="1240"/>
      <c r="K301" s="1240"/>
      <c r="L301" s="1242" t="str">
        <f>IFERROR(INDEX('Upper Cask Movement &amp; Logistics'!$I$24:$O$30,MATCH($J301,'Upper Cask Movement &amp; Logistics'!$H$24:$H$30,0),MATCH($K301,'Upper Cask Movement &amp; Logistics'!$H$24:$H$30,0)),"N/A")</f>
        <v>N/A</v>
      </c>
      <c r="M301" s="1242" t="str">
        <f>IFERROR(VLOOKUP($I301,'Upper Cask Movement &amp; Logistics'!$H$4:$I$8,2,FALSE),"N/A")</f>
        <v>N/A</v>
      </c>
      <c r="N301" s="1356" t="str">
        <f t="shared" si="8"/>
        <v>N/A</v>
      </c>
      <c r="O301" s="1357" t="s">
        <v>1269</v>
      </c>
      <c r="P301" s="1358">
        <f>IF($D301="Logistics",VLOOKUP($O301,'Upper Cask Movement &amp; Logistics'!$C$4:$D$77,2,FALSE),"N/A")</f>
        <v>2.3000000000000003</v>
      </c>
    </row>
    <row r="302" spans="1:16" s="89" customFormat="1" outlineLevel="1" x14ac:dyDescent="0.35">
      <c r="A302" s="1191"/>
      <c r="B302" s="3968"/>
      <c r="C302" s="1240" t="s">
        <v>1402</v>
      </c>
      <c r="D302" s="1240" t="s">
        <v>778</v>
      </c>
      <c r="E302" s="1241">
        <f t="shared" si="9"/>
        <v>0.11574074074074074</v>
      </c>
      <c r="F302" s="1241">
        <f>IF($D302="Trigger",VLOOKUP($C302,'Upper Cask Welding failures'!$E$192:$H$294,4,FALSE),E302+F301)</f>
        <v>103.25021768242263</v>
      </c>
      <c r="G302" s="1354"/>
      <c r="H302" s="1355" t="str">
        <f>IF(D302="operation",VLOOKUP(G302,'Generic Vertical Port Tasks'!C248:D296,2,FALSE),"N/A")</f>
        <v>N/A</v>
      </c>
      <c r="I302" s="1240" t="s">
        <v>2501</v>
      </c>
      <c r="J302" s="1240" t="s">
        <v>901</v>
      </c>
      <c r="K302" s="1240" t="s">
        <v>858</v>
      </c>
      <c r="L302" s="1242">
        <f>IFERROR(INDEX('Upper Cask Movement &amp; Logistics'!$I$24:$O$30,MATCH($J302,'Upper Cask Movement &amp; Logistics'!$H$24:$H$30,0),MATCH($K302,'Upper Cask Movement &amp; Logistics'!$H$24:$H$30,0)),"N/A")</f>
        <v>25</v>
      </c>
      <c r="M302" s="1242">
        <f>IFERROR(VLOOKUP($I302,'Upper Cask Movement &amp; Logistics'!$H$4:$I$8,2,FALSE),"N/A")</f>
        <v>0.06</v>
      </c>
      <c r="N302" s="1356">
        <f t="shared" si="8"/>
        <v>0.11574074074074074</v>
      </c>
      <c r="O302" s="1357"/>
      <c r="P302" s="1358" t="str">
        <f>IF($D302="Logistics",VLOOKUP($O302,'Upper Cask Movement &amp; Logistics'!$C$4:$D$77,2,FALSE),"N/A")</f>
        <v>N/A</v>
      </c>
    </row>
    <row r="303" spans="1:16" s="89" customFormat="1" outlineLevel="1" x14ac:dyDescent="0.35">
      <c r="A303" s="1191"/>
      <c r="B303" s="3968"/>
      <c r="C303" s="1240" t="s">
        <v>1408</v>
      </c>
      <c r="D303" s="1240" t="s">
        <v>3</v>
      </c>
      <c r="E303" s="1241">
        <f t="shared" si="9"/>
        <v>0.63000000000000012</v>
      </c>
      <c r="F303" s="1241">
        <f>IF($D303="Trigger",VLOOKUP($C303,'Upper Cask Welding failures'!$E$192:$H$294,4,FALSE),E303+F302)</f>
        <v>103.88021768242263</v>
      </c>
      <c r="G303" s="1354"/>
      <c r="H303" s="1355" t="str">
        <f>IF(D303="operation",VLOOKUP(G303,'Generic Vertical Port Tasks'!C248:D296,2,FALSE),"N/A")</f>
        <v>N/A</v>
      </c>
      <c r="I303" s="1240"/>
      <c r="J303" s="1240"/>
      <c r="K303" s="1240"/>
      <c r="L303" s="1242" t="str">
        <f>IFERROR(INDEX('Upper Cask Movement &amp; Logistics'!$I$24:$O$30,MATCH($J303,'Upper Cask Movement &amp; Logistics'!$H$24:$H$30,0),MATCH($K303,'Upper Cask Movement &amp; Logistics'!$H$24:$H$30,0)),"N/A")</f>
        <v>N/A</v>
      </c>
      <c r="M303" s="1242" t="str">
        <f>IFERROR(VLOOKUP($I303,'Upper Cask Movement &amp; Logistics'!$H$4:$I$8,2,FALSE),"N/A")</f>
        <v>N/A</v>
      </c>
      <c r="N303" s="1356" t="str">
        <f t="shared" si="8"/>
        <v>N/A</v>
      </c>
      <c r="O303" s="1357" t="s">
        <v>1228</v>
      </c>
      <c r="P303" s="1358">
        <f>IF($D303="Logistics",VLOOKUP($O303,'Upper Cask Movement &amp; Logistics'!$C$4:$D$77,2,FALSE),"N/A")</f>
        <v>0.63000000000000012</v>
      </c>
    </row>
    <row r="304" spans="1:16" s="89" customFormat="1" outlineLevel="1" x14ac:dyDescent="0.35">
      <c r="A304" s="1191"/>
      <c r="B304" s="3961"/>
      <c r="C304" s="1243" t="s">
        <v>1366</v>
      </c>
      <c r="D304" s="1243" t="s">
        <v>778</v>
      </c>
      <c r="E304" s="1244">
        <f t="shared" si="9"/>
        <v>0.69444444444444442</v>
      </c>
      <c r="F304" s="1244">
        <f>IF($D304="Trigger",VLOOKUP($C304,'Upper Cask Welding failures'!$E$192:$H$294,4,FALSE),E304+F303)</f>
        <v>104.57466212686707</v>
      </c>
      <c r="G304" s="1309"/>
      <c r="H304" s="1310" t="str">
        <f>IF(D304="operation",VLOOKUP(G304,'Generic Vertical Port Tasks'!C248:D296,2,FALSE),"N/A")</f>
        <v>N/A</v>
      </c>
      <c r="I304" s="1243" t="s">
        <v>1789</v>
      </c>
      <c r="J304" s="1243" t="s">
        <v>831</v>
      </c>
      <c r="K304" s="1243" t="s">
        <v>901</v>
      </c>
      <c r="L304" s="1245">
        <f>IFERROR(INDEX('Upper Cask Movement &amp; Logistics'!$I$24:$O$30,MATCH($J304,'Upper Cask Movement &amp; Logistics'!$H$24:$H$30,0),MATCH($K304,'Upper Cask Movement &amp; Logistics'!$H$24:$H$30,0)),"N/A")</f>
        <v>50</v>
      </c>
      <c r="M304" s="1245">
        <f>IFERROR(VLOOKUP($I304,'Upper Cask Movement &amp; Logistics'!$H$4:$I$8,2,FALSE),"N/A")</f>
        <v>0.02</v>
      </c>
      <c r="N304" s="1311">
        <f t="shared" si="8"/>
        <v>0.69444444444444442</v>
      </c>
      <c r="O304" s="1312"/>
      <c r="P304" s="1313" t="str">
        <f>IF($D304="Logistics",VLOOKUP($O304,'Upper Cask Movement &amp; Logistics'!$C$4:$D$77,2,FALSE),"N/A")</f>
        <v>N/A</v>
      </c>
    </row>
    <row r="305" spans="1:21" s="89" customFormat="1" outlineLevel="1" x14ac:dyDescent="0.35">
      <c r="A305" s="1191"/>
      <c r="B305" s="3961"/>
      <c r="C305" s="1243" t="s">
        <v>1391</v>
      </c>
      <c r="D305" s="1243" t="s">
        <v>3</v>
      </c>
      <c r="E305" s="1244">
        <f t="shared" si="9"/>
        <v>1.4000000000000001</v>
      </c>
      <c r="F305" s="1244">
        <f>IF($D305="Trigger",VLOOKUP($C305,'Upper Cask Welding failures'!$E$192:$H$294,4,FALSE),E305+F304)</f>
        <v>105.97466212686707</v>
      </c>
      <c r="G305" s="1309"/>
      <c r="H305" s="1310" t="str">
        <f>IF(D305="operation",VLOOKUP(G305,'Generic Vertical Port Tasks'!C248:D296,2,FALSE),"N/A")</f>
        <v>N/A</v>
      </c>
      <c r="I305" s="1243"/>
      <c r="J305" s="1243"/>
      <c r="K305" s="1243"/>
      <c r="L305" s="1245" t="str">
        <f>IFERROR(INDEX('Upper Cask Movement &amp; Logistics'!$I$24:$O$30,MATCH($J305,'Upper Cask Movement &amp; Logistics'!$H$24:$H$30,0),MATCH($K305,'Upper Cask Movement &amp; Logistics'!$H$24:$H$30,0)),"N/A")</f>
        <v>N/A</v>
      </c>
      <c r="M305" s="1245" t="str">
        <f>IFERROR(VLOOKUP($I305,'Upper Cask Movement &amp; Logistics'!$H$4:$I$8,2,FALSE),"N/A")</f>
        <v>N/A</v>
      </c>
      <c r="N305" s="1311" t="str">
        <f t="shared" si="8"/>
        <v>N/A</v>
      </c>
      <c r="O305" s="1312" t="s">
        <v>1277</v>
      </c>
      <c r="P305" s="1313">
        <f>IF($D305="Logistics",VLOOKUP($O305,'Upper Cask Movement &amp; Logistics'!$C$4:$D$77,2,FALSE),"N/A")</f>
        <v>1.4000000000000001</v>
      </c>
    </row>
    <row r="306" spans="1:21" s="89" customFormat="1" ht="13.3" outlineLevel="1" thickBot="1" x14ac:dyDescent="0.4">
      <c r="A306" s="1191"/>
      <c r="B306" s="3963"/>
      <c r="C306" s="1314" t="s">
        <v>1284</v>
      </c>
      <c r="D306" s="1314" t="s">
        <v>11</v>
      </c>
      <c r="E306" s="1316">
        <f t="shared" si="9"/>
        <v>0</v>
      </c>
      <c r="F306" s="1316">
        <f>IF($D306="Trigger",VLOOKUP($C306,'Upper Cask Welding failures'!$E$192:$H$294,4,FALSE),E306+F305)</f>
        <v>105.97466212686707</v>
      </c>
      <c r="G306" s="1317"/>
      <c r="H306" s="1318" t="str">
        <f>IF(D306="operation",VLOOKUP(G306,'Generic Vertical Port Tasks'!C248:D296,2,FALSE),"N/A")</f>
        <v>N/A</v>
      </c>
      <c r="I306" s="1314"/>
      <c r="J306" s="1314"/>
      <c r="K306" s="1314"/>
      <c r="L306" s="1319" t="str">
        <f>IFERROR(INDEX('Upper Cask Movement &amp; Logistics'!$I$24:$O$30,MATCH($J306,'Upper Cask Movement &amp; Logistics'!$H$24:$H$30,0),MATCH($K306,'Upper Cask Movement &amp; Logistics'!$H$24:$H$30,0)),"N/A")</f>
        <v>N/A</v>
      </c>
      <c r="M306" s="1319" t="str">
        <f>IFERROR(VLOOKUP($I306,'Upper Cask Movement &amp; Logistics'!$H$4:$I$8,2,FALSE),"N/A")</f>
        <v>N/A</v>
      </c>
      <c r="N306" s="1320" t="str">
        <f t="shared" si="8"/>
        <v>N/A</v>
      </c>
      <c r="O306" s="1321"/>
      <c r="P306" s="1322" t="str">
        <f>IF($D306="Logistics",VLOOKUP($O306,'Upper Cask Movement &amp; Logistics'!$C$4:$D$77,2,FALSE),"N/A")</f>
        <v>N/A</v>
      </c>
    </row>
    <row r="307" spans="1:21" s="89" customFormat="1" outlineLevel="1" x14ac:dyDescent="0.35">
      <c r="A307" s="1191"/>
      <c r="B307" s="3964" t="s">
        <v>1286</v>
      </c>
      <c r="C307" s="1324" t="s">
        <v>1285</v>
      </c>
      <c r="D307" s="1324" t="s">
        <v>907</v>
      </c>
      <c r="E307" s="1291">
        <f t="shared" si="9"/>
        <v>0</v>
      </c>
      <c r="F307" s="1291">
        <f>IF($D307="Trigger",VLOOKUP($C307,'Upper Cask Welding failures'!$E$192:$H$294,4,FALSE),E307+F306)</f>
        <v>110.90466212686707</v>
      </c>
      <c r="G307" s="825"/>
      <c r="H307" s="1323" t="str">
        <f>IF(D307="operation",VLOOKUP(G307,'Generic Vertical Port Tasks'!C249:D303,2,FALSE),"N/A")</f>
        <v>N/A</v>
      </c>
      <c r="I307" s="1324"/>
      <c r="J307" s="1324"/>
      <c r="K307" s="1324"/>
      <c r="L307" s="1325" t="str">
        <f>IFERROR(INDEX('Upper Cask Movement &amp; Logistics'!$I$24:$O$30,MATCH($J307,'Upper Cask Movement &amp; Logistics'!$H$24:$H$30,0),MATCH($K307,'Upper Cask Movement &amp; Logistics'!$H$24:$H$30,0)),"N/A")</f>
        <v>N/A</v>
      </c>
      <c r="M307" s="1325" t="str">
        <f>IFERROR(VLOOKUP($I307,'Upper Cask Movement &amp; Logistics'!$H$4:$I$8,2,FALSE),"N/A")</f>
        <v>N/A</v>
      </c>
      <c r="N307" s="1326" t="str">
        <f t="shared" si="8"/>
        <v>N/A</v>
      </c>
      <c r="O307" s="1327"/>
      <c r="P307" s="824" t="str">
        <f>IF($D307="Logistics",VLOOKUP($O307,'Upper Cask Movement &amp; Logistics'!$C$4:$D$77,2,FALSE),"N/A")</f>
        <v>N/A</v>
      </c>
    </row>
    <row r="308" spans="1:21" s="89" customFormat="1" outlineLevel="1" x14ac:dyDescent="0.35">
      <c r="A308" s="1191"/>
      <c r="B308" s="3969"/>
      <c r="C308" s="1362" t="s">
        <v>1395</v>
      </c>
      <c r="D308" s="1362" t="s">
        <v>3</v>
      </c>
      <c r="E308" s="1363">
        <f t="shared" si="9"/>
        <v>2.3000000000000003</v>
      </c>
      <c r="F308" s="1363">
        <f>IF($D308="Trigger",VLOOKUP($C308,'Upper Cask Welding failures'!$E$192:$H$294,4,FALSE),E308+F307)</f>
        <v>113.20466212686706</v>
      </c>
      <c r="G308" s="1364"/>
      <c r="H308" s="1365" t="str">
        <f>IF(D308="operation",VLOOKUP(G308,'Generic Vertical Port Tasks'!C249:D303,2,FALSE),"N/A")</f>
        <v>N/A</v>
      </c>
      <c r="I308" s="1362"/>
      <c r="J308" s="1362"/>
      <c r="K308" s="1362"/>
      <c r="L308" s="1366" t="str">
        <f>IFERROR(INDEX('Upper Cask Movement &amp; Logistics'!$I$24:$O$30,MATCH($J308,'Upper Cask Movement &amp; Logistics'!$H$24:$H$30,0),MATCH($K308,'Upper Cask Movement &amp; Logistics'!$H$24:$H$30,0)),"N/A")</f>
        <v>N/A</v>
      </c>
      <c r="M308" s="1366" t="str">
        <f>IFERROR(VLOOKUP($I308,'Upper Cask Movement &amp; Logistics'!$H$4:$I$8,2,FALSE),"N/A")</f>
        <v>N/A</v>
      </c>
      <c r="N308" s="1367" t="str">
        <f t="shared" si="8"/>
        <v>N/A</v>
      </c>
      <c r="O308" s="1368" t="s">
        <v>1269</v>
      </c>
      <c r="P308" s="861">
        <f>IF($D308="Logistics",VLOOKUP($O308,'Upper Cask Movement &amp; Logistics'!$C$4:$D$77,2,FALSE),"N/A")</f>
        <v>2.3000000000000003</v>
      </c>
    </row>
    <row r="309" spans="1:21" s="89" customFormat="1" outlineLevel="1" x14ac:dyDescent="0.35">
      <c r="A309" s="1191"/>
      <c r="B309" s="3969"/>
      <c r="C309" s="1362" t="s">
        <v>1402</v>
      </c>
      <c r="D309" s="1362" t="s">
        <v>778</v>
      </c>
      <c r="E309" s="1363">
        <f t="shared" si="9"/>
        <v>0.11574074074074074</v>
      </c>
      <c r="F309" s="1363">
        <f>IF($D309="Trigger",VLOOKUP($C309,'Upper Cask Welding failures'!$E$192:$H$294,4,FALSE),E309+F308)</f>
        <v>113.32040286760781</v>
      </c>
      <c r="G309" s="1364"/>
      <c r="H309" s="1365" t="str">
        <f>IF(D309="operation",VLOOKUP(G309,'Generic Vertical Port Tasks'!C249:D303,2,FALSE),"N/A")</f>
        <v>N/A</v>
      </c>
      <c r="I309" s="1362" t="s">
        <v>2501</v>
      </c>
      <c r="J309" s="1362" t="s">
        <v>901</v>
      </c>
      <c r="K309" s="1362" t="s">
        <v>858</v>
      </c>
      <c r="L309" s="1366">
        <f>IFERROR(INDEX('Upper Cask Movement &amp; Logistics'!$I$24:$O$30,MATCH($J309,'Upper Cask Movement &amp; Logistics'!$H$24:$H$30,0),MATCH($K309,'Upper Cask Movement &amp; Logistics'!$H$24:$H$30,0)),"N/A")</f>
        <v>25</v>
      </c>
      <c r="M309" s="1366">
        <f>IFERROR(VLOOKUP($I309,'Upper Cask Movement &amp; Logistics'!$H$4:$I$8,2,FALSE),"N/A")</f>
        <v>0.06</v>
      </c>
      <c r="N309" s="1367">
        <f t="shared" si="8"/>
        <v>0.11574074074074074</v>
      </c>
      <c r="O309" s="1368"/>
      <c r="P309" s="861" t="str">
        <f>IF($D309="Logistics",VLOOKUP($O309,'Upper Cask Movement &amp; Logistics'!$C$4:$D$77,2,FALSE),"N/A")</f>
        <v>N/A</v>
      </c>
    </row>
    <row r="310" spans="1:21" s="89" customFormat="1" outlineLevel="1" x14ac:dyDescent="0.35">
      <c r="A310" s="1191"/>
      <c r="B310" s="3969"/>
      <c r="C310" s="1362" t="s">
        <v>1409</v>
      </c>
      <c r="D310" s="1362" t="s">
        <v>3</v>
      </c>
      <c r="E310" s="1363">
        <f t="shared" si="9"/>
        <v>0.63000000000000012</v>
      </c>
      <c r="F310" s="1363">
        <f>IF($D310="Trigger",VLOOKUP($C310,'Upper Cask Welding failures'!$E$192:$H$294,4,FALSE),E310+F309)</f>
        <v>113.95040286760781</v>
      </c>
      <c r="G310" s="1364"/>
      <c r="H310" s="1365" t="str">
        <f>IF(D310="operation",VLOOKUP(G310,'Generic Vertical Port Tasks'!C249:D303,2,FALSE),"N/A")</f>
        <v>N/A</v>
      </c>
      <c r="I310" s="1362"/>
      <c r="J310" s="1362"/>
      <c r="K310" s="1362"/>
      <c r="L310" s="1366" t="str">
        <f>IFERROR(INDEX('Upper Cask Movement &amp; Logistics'!$I$24:$O$30,MATCH($J310,'Upper Cask Movement &amp; Logistics'!$H$24:$H$30,0),MATCH($K310,'Upper Cask Movement &amp; Logistics'!$H$24:$H$30,0)),"N/A")</f>
        <v>N/A</v>
      </c>
      <c r="M310" s="1366" t="str">
        <f>IFERROR(VLOOKUP($I310,'Upper Cask Movement &amp; Logistics'!$H$4:$I$8,2,FALSE),"N/A")</f>
        <v>N/A</v>
      </c>
      <c r="N310" s="1367" t="str">
        <f t="shared" si="8"/>
        <v>N/A</v>
      </c>
      <c r="O310" s="1368" t="s">
        <v>1228</v>
      </c>
      <c r="P310" s="861">
        <f>IF($D310="Logistics",VLOOKUP($O310,'Upper Cask Movement &amp; Logistics'!$C$4:$D$77,2,FALSE),"N/A")</f>
        <v>0.63000000000000012</v>
      </c>
      <c r="U310" s="89">
        <v>515151221</v>
      </c>
    </row>
    <row r="311" spans="1:21" s="89" customFormat="1" outlineLevel="1" x14ac:dyDescent="0.35">
      <c r="A311" s="1191"/>
      <c r="B311" s="3965"/>
      <c r="C311" s="1294" t="s">
        <v>1340</v>
      </c>
      <c r="D311" s="1294" t="s">
        <v>778</v>
      </c>
      <c r="E311" s="1292">
        <f t="shared" si="9"/>
        <v>0.69444444444444442</v>
      </c>
      <c r="F311" s="1292">
        <f>IF($D311="Trigger",VLOOKUP($C311,'Upper Cask Welding failures'!$E$192:$H$294,4,FALSE),E311+F310)</f>
        <v>114.64484731205225</v>
      </c>
      <c r="G311" s="862"/>
      <c r="H311" s="1328" t="str">
        <f>IF(D311="operation",VLOOKUP(G311,'Generic Vertical Port Tasks'!C249:D303,2,FALSE),"N/A")</f>
        <v>N/A</v>
      </c>
      <c r="I311" s="1294" t="s">
        <v>1789</v>
      </c>
      <c r="J311" s="1294" t="s">
        <v>831</v>
      </c>
      <c r="K311" s="1294" t="s">
        <v>901</v>
      </c>
      <c r="L311" s="1329">
        <f>IFERROR(INDEX('Upper Cask Movement &amp; Logistics'!$I$24:$O$30,MATCH($J311,'Upper Cask Movement &amp; Logistics'!$H$24:$H$30,0),MATCH($K311,'Upper Cask Movement &amp; Logistics'!$H$24:$H$30,0)),"N/A")</f>
        <v>50</v>
      </c>
      <c r="M311" s="1329">
        <f>IFERROR(VLOOKUP($I311,'Upper Cask Movement &amp; Logistics'!$H$4:$I$8,2,FALSE),"N/A")</f>
        <v>0.02</v>
      </c>
      <c r="N311" s="1330">
        <f t="shared" si="8"/>
        <v>0.69444444444444442</v>
      </c>
      <c r="O311" s="1331"/>
      <c r="P311" s="1332" t="str">
        <f>IF($D311="Logistics",VLOOKUP($O311,'Upper Cask Movement &amp; Logistics'!$C$4:$D$77,2,FALSE),"N/A")</f>
        <v>N/A</v>
      </c>
    </row>
    <row r="312" spans="1:21" s="89" customFormat="1" outlineLevel="1" x14ac:dyDescent="0.35">
      <c r="A312" s="1191"/>
      <c r="B312" s="3965"/>
      <c r="C312" s="1294" t="s">
        <v>1391</v>
      </c>
      <c r="D312" s="1294" t="s">
        <v>3</v>
      </c>
      <c r="E312" s="1292">
        <f t="shared" si="9"/>
        <v>1.4000000000000001</v>
      </c>
      <c r="F312" s="1292">
        <f>IF($D312="Trigger",VLOOKUP($C312,'Upper Cask Welding failures'!$E$192:$H$294,4,FALSE),E312+F311)</f>
        <v>116.04484731205226</v>
      </c>
      <c r="G312" s="862"/>
      <c r="H312" s="1328" t="str">
        <f>IF(D312="operation",VLOOKUP(G312,'Generic Vertical Port Tasks'!C249:D303,2,FALSE),"N/A")</f>
        <v>N/A</v>
      </c>
      <c r="I312" s="1294"/>
      <c r="J312" s="1294"/>
      <c r="K312" s="1294"/>
      <c r="L312" s="1329" t="str">
        <f>IFERROR(INDEX('Upper Cask Movement &amp; Logistics'!$I$24:$O$30,MATCH($J312,'Upper Cask Movement &amp; Logistics'!$H$24:$H$30,0),MATCH($K312,'Upper Cask Movement &amp; Logistics'!$H$24:$H$30,0)),"N/A")</f>
        <v>N/A</v>
      </c>
      <c r="M312" s="1329" t="str">
        <f>IFERROR(VLOOKUP($I312,'Upper Cask Movement &amp; Logistics'!$H$4:$I$8,2,FALSE),"N/A")</f>
        <v>N/A</v>
      </c>
      <c r="N312" s="1330" t="str">
        <f t="shared" si="8"/>
        <v>N/A</v>
      </c>
      <c r="O312" s="1331" t="s">
        <v>1277</v>
      </c>
      <c r="P312" s="1332">
        <f>IF($D312="Logistics",VLOOKUP($O312,'Upper Cask Movement &amp; Logistics'!$C$4:$D$77,2,FALSE),"N/A")</f>
        <v>1.4000000000000001</v>
      </c>
    </row>
    <row r="313" spans="1:21" s="89" customFormat="1" ht="13.3" outlineLevel="1" thickBot="1" x14ac:dyDescent="0.4">
      <c r="A313" s="1191"/>
      <c r="B313" s="3966"/>
      <c r="C313" s="1340" t="s">
        <v>1286</v>
      </c>
      <c r="D313" s="1340" t="s">
        <v>11</v>
      </c>
      <c r="E313" s="1295">
        <f t="shared" si="9"/>
        <v>0</v>
      </c>
      <c r="F313" s="1295">
        <f>IF($D313="Trigger",VLOOKUP($C313,'Upper Cask Welding failures'!$E$192:$H$294,4,FALSE),E313+F312)</f>
        <v>116.04484731205226</v>
      </c>
      <c r="G313" s="839"/>
      <c r="H313" s="1341" t="str">
        <f>IF(D313="operation",VLOOKUP(G313,'Generic Vertical Port Tasks'!C249:D303,2,FALSE),"N/A")</f>
        <v>N/A</v>
      </c>
      <c r="I313" s="1340"/>
      <c r="J313" s="1340"/>
      <c r="K313" s="1340"/>
      <c r="L313" s="1342" t="str">
        <f>IFERROR(INDEX('Upper Cask Movement &amp; Logistics'!$I$24:$O$30,MATCH($J313,'Upper Cask Movement &amp; Logistics'!$H$24:$H$30,0),MATCH($K313,'Upper Cask Movement &amp; Logistics'!$H$24:$H$30,0)),"N/A")</f>
        <v>N/A</v>
      </c>
      <c r="M313" s="1342" t="str">
        <f>IFERROR(VLOOKUP($I313,'Upper Cask Movement &amp; Logistics'!$H$4:$I$8,2,FALSE),"N/A")</f>
        <v>N/A</v>
      </c>
      <c r="N313" s="1343" t="str">
        <f t="shared" si="8"/>
        <v>N/A</v>
      </c>
      <c r="O313" s="1344"/>
      <c r="P313" s="1345" t="str">
        <f>IF($D313="Logistics",VLOOKUP($O313,'Upper Cask Movement &amp; Logistics'!$C$4:$D$77,2,FALSE),"N/A")</f>
        <v>N/A</v>
      </c>
    </row>
    <row r="314" spans="1:21" s="89" customFormat="1" outlineLevel="1" x14ac:dyDescent="0.35">
      <c r="A314" s="1191"/>
      <c r="B314" s="3960" t="s">
        <v>1288</v>
      </c>
      <c r="C314" s="1333" t="s">
        <v>1287</v>
      </c>
      <c r="D314" s="1333" t="s">
        <v>907</v>
      </c>
      <c r="E314" s="1303">
        <f t="shared" si="9"/>
        <v>0</v>
      </c>
      <c r="F314" s="1303">
        <f>IF($D314="Trigger",VLOOKUP($C314,'Upper Cask Welding failures'!$E$192:$H$294,4,FALSE),E314+F313)</f>
        <v>120.97484731205225</v>
      </c>
      <c r="G314" s="1304"/>
      <c r="H314" s="1305" t="str">
        <f>IF(D314="operation",VLOOKUP(G314,'Generic Vertical Port Tasks'!C249:D310,2,FALSE),"N/A")</f>
        <v>N/A</v>
      </c>
      <c r="I314" s="1333"/>
      <c r="J314" s="1333"/>
      <c r="K314" s="1333"/>
      <c r="L314" s="1334" t="str">
        <f>IFERROR(INDEX('Upper Cask Movement &amp; Logistics'!$I$24:$O$30,MATCH($J314,'Upper Cask Movement &amp; Logistics'!$H$24:$H$30,0),MATCH($K314,'Upper Cask Movement &amp; Logistics'!$H$24:$H$30,0)),"N/A")</f>
        <v>N/A</v>
      </c>
      <c r="M314" s="1334" t="str">
        <f>IFERROR(VLOOKUP($I314,'Upper Cask Movement &amp; Logistics'!$H$4:$I$8,2,FALSE),"N/A")</f>
        <v>N/A</v>
      </c>
      <c r="N314" s="1335" t="str">
        <f t="shared" si="8"/>
        <v>N/A</v>
      </c>
      <c r="O314" s="1336"/>
      <c r="P314" s="1337" t="str">
        <f>IF($D314="Logistics",VLOOKUP($O314,'Upper Cask Movement &amp; Logistics'!$C$4:$D$77,2,FALSE),"N/A")</f>
        <v>N/A</v>
      </c>
    </row>
    <row r="315" spans="1:21" s="89" customFormat="1" outlineLevel="1" x14ac:dyDescent="0.35">
      <c r="A315" s="1191"/>
      <c r="B315" s="3968"/>
      <c r="C315" s="1240" t="s">
        <v>1268</v>
      </c>
      <c r="D315" s="1240" t="s">
        <v>3</v>
      </c>
      <c r="E315" s="1241">
        <f t="shared" si="9"/>
        <v>2.3000000000000003</v>
      </c>
      <c r="F315" s="1241">
        <f>IF($D315="Trigger",VLOOKUP($C315,'Upper Cask Welding failures'!$E$192:$H$294,4,FALSE),E315+F314)</f>
        <v>123.27484731205224</v>
      </c>
      <c r="G315" s="1354"/>
      <c r="H315" s="1355" t="str">
        <f>IF(D315="operation",VLOOKUP(G315,'Generic Vertical Port Tasks'!C249:D310,2,FALSE),"N/A")</f>
        <v>N/A</v>
      </c>
      <c r="I315" s="1240"/>
      <c r="J315" s="1240"/>
      <c r="K315" s="1240"/>
      <c r="L315" s="1242" t="str">
        <f>IFERROR(INDEX('Upper Cask Movement &amp; Logistics'!$I$24:$O$30,MATCH($J315,'Upper Cask Movement &amp; Logistics'!$H$24:$H$30,0),MATCH($K315,'Upper Cask Movement &amp; Logistics'!$H$24:$H$30,0)),"N/A")</f>
        <v>N/A</v>
      </c>
      <c r="M315" s="1242" t="str">
        <f>IFERROR(VLOOKUP($I315,'Upper Cask Movement &amp; Logistics'!$H$4:$I$8,2,FALSE),"N/A")</f>
        <v>N/A</v>
      </c>
      <c r="N315" s="1356" t="str">
        <f t="shared" si="8"/>
        <v>N/A</v>
      </c>
      <c r="O315" s="1357" t="s">
        <v>1269</v>
      </c>
      <c r="P315" s="1358">
        <f>IF($D315="Logistics",VLOOKUP($O315,'Upper Cask Movement &amp; Logistics'!$C$4:$D$77,2,FALSE),"N/A")</f>
        <v>2.3000000000000003</v>
      </c>
    </row>
    <row r="316" spans="1:21" s="89" customFormat="1" outlineLevel="1" x14ac:dyDescent="0.35">
      <c r="A316" s="1191"/>
      <c r="B316" s="3968"/>
      <c r="C316" s="1240" t="s">
        <v>1410</v>
      </c>
      <c r="D316" s="1240" t="s">
        <v>778</v>
      </c>
      <c r="E316" s="1241">
        <f t="shared" si="9"/>
        <v>0.11574074074074074</v>
      </c>
      <c r="F316" s="1241">
        <f>IF($D316="Trigger",VLOOKUP($C316,'Upper Cask Welding failures'!$E$192:$H$294,4,FALSE),E316+F315)</f>
        <v>123.39058805279299</v>
      </c>
      <c r="G316" s="1354"/>
      <c r="H316" s="1355" t="str">
        <f>IF(D316="operation",VLOOKUP(G316,'Generic Vertical Port Tasks'!C249:D310,2,FALSE),"N/A")</f>
        <v>N/A</v>
      </c>
      <c r="I316" s="1240" t="s">
        <v>2501</v>
      </c>
      <c r="J316" s="1240" t="s">
        <v>901</v>
      </c>
      <c r="K316" s="1240" t="s">
        <v>858</v>
      </c>
      <c r="L316" s="1242">
        <f>IFERROR(INDEX('Upper Cask Movement &amp; Logistics'!$I$24:$O$30,MATCH($J316,'Upper Cask Movement &amp; Logistics'!$H$24:$H$30,0),MATCH($K316,'Upper Cask Movement &amp; Logistics'!$H$24:$H$30,0)),"N/A")</f>
        <v>25</v>
      </c>
      <c r="M316" s="1242">
        <f>IFERROR(VLOOKUP($I316,'Upper Cask Movement &amp; Logistics'!$H$4:$I$8,2,FALSE),"N/A")</f>
        <v>0.06</v>
      </c>
      <c r="N316" s="1356">
        <f t="shared" si="8"/>
        <v>0.11574074074074074</v>
      </c>
      <c r="O316" s="1357"/>
      <c r="P316" s="1358" t="str">
        <f>IF($D316="Logistics",VLOOKUP($O316,'Upper Cask Movement &amp; Logistics'!$C$4:$D$77,2,FALSE),"N/A")</f>
        <v>N/A</v>
      </c>
    </row>
    <row r="317" spans="1:21" s="89" customFormat="1" outlineLevel="1" x14ac:dyDescent="0.35">
      <c r="A317" s="1191"/>
      <c r="B317" s="3968"/>
      <c r="C317" s="1240" t="s">
        <v>1411</v>
      </c>
      <c r="D317" s="1240" t="s">
        <v>3</v>
      </c>
      <c r="E317" s="1241">
        <f t="shared" si="9"/>
        <v>0.63000000000000012</v>
      </c>
      <c r="F317" s="1241">
        <f>IF($D317="Trigger",VLOOKUP($C317,'Upper Cask Welding failures'!$E$192:$H$294,4,FALSE),E317+F316)</f>
        <v>124.02058805279299</v>
      </c>
      <c r="G317" s="1354"/>
      <c r="H317" s="1355" t="str">
        <f>IF(D317="operation",VLOOKUP(G317,'Generic Vertical Port Tasks'!C249:D310,2,FALSE),"N/A")</f>
        <v>N/A</v>
      </c>
      <c r="I317" s="1240"/>
      <c r="J317" s="1240"/>
      <c r="K317" s="1240"/>
      <c r="L317" s="1242" t="str">
        <f>IFERROR(INDEX('Upper Cask Movement &amp; Logistics'!$I$24:$O$30,MATCH($J317,'Upper Cask Movement &amp; Logistics'!$H$24:$H$30,0),MATCH($K317,'Upper Cask Movement &amp; Logistics'!$H$24:$H$30,0)),"N/A")</f>
        <v>N/A</v>
      </c>
      <c r="M317" s="1242" t="str">
        <f>IFERROR(VLOOKUP($I317,'Upper Cask Movement &amp; Logistics'!$H$4:$I$8,2,FALSE),"N/A")</f>
        <v>N/A</v>
      </c>
      <c r="N317" s="1356" t="str">
        <f t="shared" si="8"/>
        <v>N/A</v>
      </c>
      <c r="O317" s="1357" t="s">
        <v>1228</v>
      </c>
      <c r="P317" s="1358">
        <f>IF($D317="Logistics",VLOOKUP($O317,'Upper Cask Movement &amp; Logistics'!$C$4:$D$77,2,FALSE),"N/A")</f>
        <v>0.63000000000000012</v>
      </c>
    </row>
    <row r="318" spans="1:21" s="89" customFormat="1" outlineLevel="1" x14ac:dyDescent="0.35">
      <c r="A318" s="1191"/>
      <c r="B318" s="3961"/>
      <c r="C318" s="1243" t="s">
        <v>1366</v>
      </c>
      <c r="D318" s="1243" t="s">
        <v>778</v>
      </c>
      <c r="E318" s="1244">
        <f t="shared" si="9"/>
        <v>0.69444444444444442</v>
      </c>
      <c r="F318" s="1244">
        <f>IF($D318="Trigger",VLOOKUP($C318,'Upper Cask Welding failures'!$E$192:$H$294,4,FALSE),E318+F317)</f>
        <v>124.71503249723743</v>
      </c>
      <c r="G318" s="1309"/>
      <c r="H318" s="1310" t="str">
        <f>IF(D318="operation",VLOOKUP(G318,'Generic Vertical Port Tasks'!C249:D310,2,FALSE),"N/A")</f>
        <v>N/A</v>
      </c>
      <c r="I318" s="1243" t="s">
        <v>1789</v>
      </c>
      <c r="J318" s="1243" t="s">
        <v>831</v>
      </c>
      <c r="K318" s="1243" t="s">
        <v>901</v>
      </c>
      <c r="L318" s="1245">
        <f>IFERROR(INDEX('Upper Cask Movement &amp; Logistics'!$I$24:$O$30,MATCH($J318,'Upper Cask Movement &amp; Logistics'!$H$24:$H$30,0),MATCH($K318,'Upper Cask Movement &amp; Logistics'!$H$24:$H$30,0)),"N/A")</f>
        <v>50</v>
      </c>
      <c r="M318" s="1245">
        <f>IFERROR(VLOOKUP($I318,'Upper Cask Movement &amp; Logistics'!$H$4:$I$8,2,FALSE),"N/A")</f>
        <v>0.02</v>
      </c>
      <c r="N318" s="1311">
        <f t="shared" si="8"/>
        <v>0.69444444444444442</v>
      </c>
      <c r="O318" s="1312"/>
      <c r="P318" s="1313" t="str">
        <f>IF($D318="Logistics",VLOOKUP($O318,'Upper Cask Movement &amp; Logistics'!$C$4:$D$77,2,FALSE),"N/A")</f>
        <v>N/A</v>
      </c>
    </row>
    <row r="319" spans="1:21" s="89" customFormat="1" outlineLevel="1" x14ac:dyDescent="0.35">
      <c r="A319" s="1191"/>
      <c r="B319" s="3961"/>
      <c r="C319" s="1243" t="s">
        <v>1391</v>
      </c>
      <c r="D319" s="1243" t="s">
        <v>3</v>
      </c>
      <c r="E319" s="1244">
        <f t="shared" si="9"/>
        <v>1.4000000000000001</v>
      </c>
      <c r="F319" s="1244">
        <f>IF($D319="Trigger",VLOOKUP($C319,'Upper Cask Welding failures'!$E$192:$H$294,4,FALSE),E319+F318)</f>
        <v>126.11503249723744</v>
      </c>
      <c r="G319" s="1309"/>
      <c r="H319" s="1310" t="str">
        <f>IF(D319="operation",VLOOKUP(G319,'Generic Vertical Port Tasks'!C249:D310,2,FALSE),"N/A")</f>
        <v>N/A</v>
      </c>
      <c r="I319" s="1243"/>
      <c r="J319" s="1243"/>
      <c r="K319" s="1243"/>
      <c r="L319" s="1245" t="str">
        <f>IFERROR(INDEX('Upper Cask Movement &amp; Logistics'!$I$24:$O$30,MATCH($J319,'Upper Cask Movement &amp; Logistics'!$H$24:$H$30,0),MATCH($K319,'Upper Cask Movement &amp; Logistics'!$H$24:$H$30,0)),"N/A")</f>
        <v>N/A</v>
      </c>
      <c r="M319" s="1245" t="str">
        <f>IFERROR(VLOOKUP($I319,'Upper Cask Movement &amp; Logistics'!$H$4:$I$8,2,FALSE),"N/A")</f>
        <v>N/A</v>
      </c>
      <c r="N319" s="1311" t="str">
        <f t="shared" si="8"/>
        <v>N/A</v>
      </c>
      <c r="O319" s="1312" t="s">
        <v>1277</v>
      </c>
      <c r="P319" s="1313">
        <f>IF($D319="Logistics",VLOOKUP($O319,'Upper Cask Movement &amp; Logistics'!$C$4:$D$77,2,FALSE),"N/A")</f>
        <v>1.4000000000000001</v>
      </c>
    </row>
    <row r="320" spans="1:21" s="89" customFormat="1" ht="13.3" outlineLevel="1" thickBot="1" x14ac:dyDescent="0.4">
      <c r="A320" s="1191"/>
      <c r="B320" s="3963"/>
      <c r="C320" s="1378" t="s">
        <v>1288</v>
      </c>
      <c r="D320" s="1314" t="s">
        <v>11</v>
      </c>
      <c r="E320" s="1316">
        <f t="shared" si="9"/>
        <v>0</v>
      </c>
      <c r="F320" s="1316">
        <f>IF($D320="Trigger",VLOOKUP($C320,'Upper Cask Welding failures'!$E$192:$H$294,4,FALSE),E320+F319)</f>
        <v>126.11503249723744</v>
      </c>
      <c r="G320" s="1317"/>
      <c r="H320" s="1318" t="str">
        <f>IF(D320="operation",VLOOKUP(G320,'Generic Vertical Port Tasks'!C249:D310,2,FALSE),"N/A")</f>
        <v>N/A</v>
      </c>
      <c r="I320" s="1314"/>
      <c r="J320" s="1314"/>
      <c r="K320" s="1314"/>
      <c r="L320" s="1319" t="str">
        <f>IFERROR(INDEX('Upper Cask Movement &amp; Logistics'!$I$24:$O$30,MATCH($J320,'Upper Cask Movement &amp; Logistics'!$H$24:$H$30,0),MATCH($K320,'Upper Cask Movement &amp; Logistics'!$H$24:$H$30,0)),"N/A")</f>
        <v>N/A</v>
      </c>
      <c r="M320" s="1319" t="str">
        <f>IFERROR(VLOOKUP($I320,'Upper Cask Movement &amp; Logistics'!$H$4:$I$8,2,FALSE),"N/A")</f>
        <v>N/A</v>
      </c>
      <c r="N320" s="1320" t="str">
        <f t="shared" si="8"/>
        <v>N/A</v>
      </c>
      <c r="O320" s="1321"/>
      <c r="P320" s="1322" t="str">
        <f>IF($D320="Logistics",VLOOKUP($O320,'Upper Cask Movement &amp; Logistics'!$C$4:$D$77,2,FALSE),"N/A")</f>
        <v>N/A</v>
      </c>
    </row>
    <row r="321" spans="1:16" s="89" customFormat="1" outlineLevel="1" x14ac:dyDescent="0.35">
      <c r="A321" s="1191"/>
      <c r="B321" s="3814" t="s">
        <v>1295</v>
      </c>
      <c r="C321" s="1324" t="s">
        <v>134</v>
      </c>
      <c r="D321" s="1324" t="s">
        <v>907</v>
      </c>
      <c r="E321" s="1291">
        <f t="shared" si="9"/>
        <v>0</v>
      </c>
      <c r="F321" s="1291">
        <f>IF($D321="Trigger",VLOOKUP($C321,'Upper Cask Welding failures'!$E$192:$H$294,4,FALSE),E321+F320)</f>
        <v>130.44503249723743</v>
      </c>
      <c r="G321" s="825"/>
      <c r="H321" s="1323" t="str">
        <f>IF(D321="operation",VLOOKUP(G321,'Generic Vertical Port Tasks'!C253:D332,2,FALSE),"N/A")</f>
        <v>N/A</v>
      </c>
      <c r="I321" s="1324"/>
      <c r="J321" s="1324"/>
      <c r="K321" s="1324"/>
      <c r="L321" s="1325" t="str">
        <f>IFERROR(INDEX('Upper Cask Movement &amp; Logistics'!$I$24:$O$30,MATCH($J321,'Upper Cask Movement &amp; Logistics'!$H$24:$H$30,0),MATCH($K321,'Upper Cask Movement &amp; Logistics'!$H$24:$H$30,0)),"N/A")</f>
        <v>N/A</v>
      </c>
      <c r="M321" s="1325" t="str">
        <f>IFERROR(VLOOKUP($I321,'Upper Cask Movement &amp; Logistics'!$H$4:$I$8,2,FALSE),"N/A")</f>
        <v>N/A</v>
      </c>
      <c r="N321" s="1326" t="str">
        <f t="shared" si="8"/>
        <v>N/A</v>
      </c>
      <c r="O321" s="1327"/>
      <c r="P321" s="824" t="str">
        <f>IF($D321="Logistics",VLOOKUP($O321,'Upper Cask Movement &amp; Logistics'!$C$4:$D$77,2,FALSE),"N/A")</f>
        <v>N/A</v>
      </c>
    </row>
    <row r="322" spans="1:16" s="89" customFormat="1" outlineLevel="1" x14ac:dyDescent="0.35">
      <c r="A322" s="1191"/>
      <c r="B322" s="3815"/>
      <c r="C322" s="1294" t="s">
        <v>1345</v>
      </c>
      <c r="D322" s="1294" t="s">
        <v>778</v>
      </c>
      <c r="E322" s="1292">
        <f t="shared" si="9"/>
        <v>0.23148148148148148</v>
      </c>
      <c r="F322" s="1292">
        <f>IF($D322="Trigger",VLOOKUP($C322,'Upper Cask Welding failures'!$E$192:$H$294,4,FALSE),E322+F321)</f>
        <v>130.67651397871893</v>
      </c>
      <c r="G322" s="862"/>
      <c r="H322" s="1328" t="str">
        <f>IF(D322="operation",VLOOKUP(G322,'Generic Vertical Port Tasks'!C253:D332,2,FALSE),"N/A")</f>
        <v>N/A</v>
      </c>
      <c r="I322" s="1294" t="s">
        <v>2501</v>
      </c>
      <c r="J322" s="1294" t="s">
        <v>816</v>
      </c>
      <c r="K322" s="1294" t="s">
        <v>914</v>
      </c>
      <c r="L322" s="1329">
        <f>IFERROR(INDEX('Upper Cask Movement &amp; Logistics'!$I$24:$O$30,MATCH($J322,'Upper Cask Movement &amp; Logistics'!$H$24:$H$30,0),MATCH($K322,'Upper Cask Movement &amp; Logistics'!$H$24:$H$30,0)),"N/A")</f>
        <v>50</v>
      </c>
      <c r="M322" s="1329">
        <f>IFERROR(VLOOKUP($I322,'Upper Cask Movement &amp; Logistics'!$H$4:$I$8,2,FALSE),"N/A")</f>
        <v>0.06</v>
      </c>
      <c r="N322" s="1330">
        <f t="shared" si="8"/>
        <v>0.23148148148148148</v>
      </c>
      <c r="O322" s="1331"/>
      <c r="P322" s="1332" t="str">
        <f>IF($D322="Logistics",VLOOKUP($O322,'Upper Cask Movement &amp; Logistics'!$C$4:$D$77,2,FALSE),"N/A")</f>
        <v>N/A</v>
      </c>
    </row>
    <row r="323" spans="1:16" s="89" customFormat="1" outlineLevel="1" x14ac:dyDescent="0.35">
      <c r="A323" s="1191"/>
      <c r="B323" s="3815"/>
      <c r="C323" s="1346" t="s">
        <v>1412</v>
      </c>
      <c r="D323" s="1346" t="s">
        <v>3</v>
      </c>
      <c r="E323" s="1347">
        <f t="shared" si="9"/>
        <v>0.48000000000000004</v>
      </c>
      <c r="F323" s="1347">
        <f>IF($D323="Trigger",VLOOKUP($C323,'Upper Cask Welding failures'!$E$192:$H$294,4,FALSE),E323+F322)</f>
        <v>131.15651397871892</v>
      </c>
      <c r="G323" s="1348"/>
      <c r="H323" s="1349" t="str">
        <f>IF(D323="operation",VLOOKUP(G323,'Generic Vertical Port Tasks'!C253:D332,2,FALSE),"N/A")</f>
        <v>N/A</v>
      </c>
      <c r="I323" s="1346"/>
      <c r="J323" s="1346"/>
      <c r="K323" s="1346"/>
      <c r="L323" s="1329" t="str">
        <f>IFERROR(INDEX('Upper Cask Movement &amp; Logistics'!$I$24:$O$30,MATCH($J323,'Upper Cask Movement &amp; Logistics'!$H$24:$H$30,0),MATCH($K323,'Upper Cask Movement &amp; Logistics'!$H$24:$H$30,0)),"N/A")</f>
        <v>N/A</v>
      </c>
      <c r="M323" s="1329" t="str">
        <f>IFERROR(VLOOKUP($I323,'Upper Cask Movement &amp; Logistics'!$H$4:$I$8,2,FALSE),"N/A")</f>
        <v>N/A</v>
      </c>
      <c r="N323" s="1330" t="str">
        <f t="shared" si="8"/>
        <v>N/A</v>
      </c>
      <c r="O323" s="1352" t="s">
        <v>1330</v>
      </c>
      <c r="P323" s="1332">
        <f>IF($D323="Logistics",VLOOKUP($O323,'Upper Cask Movement &amp; Logistics'!$C$4:$D$77,2,FALSE),"N/A")</f>
        <v>0.48000000000000004</v>
      </c>
    </row>
    <row r="324" spans="1:16" s="89" customFormat="1" outlineLevel="1" x14ac:dyDescent="0.35">
      <c r="A324" s="1191"/>
      <c r="B324" s="3815"/>
      <c r="C324" s="1346" t="s">
        <v>1338</v>
      </c>
      <c r="D324" s="1346" t="s">
        <v>778</v>
      </c>
      <c r="E324" s="1347">
        <f t="shared" si="9"/>
        <v>2.7777777777777776E-2</v>
      </c>
      <c r="F324" s="1347">
        <f>IF($D324="Trigger",VLOOKUP($C324,'Upper Cask Welding failures'!$E$192:$H$294,4,FALSE),E324+F323)</f>
        <v>131.18429175649669</v>
      </c>
      <c r="G324" s="1348"/>
      <c r="H324" s="1349" t="str">
        <f>IF(D324="operation",VLOOKUP(G324,'Generic Vertical Port Tasks'!C253:D332,2,FALSE),"N/A")</f>
        <v>N/A</v>
      </c>
      <c r="I324" s="1294" t="s">
        <v>2502</v>
      </c>
      <c r="J324" s="1346" t="s">
        <v>914</v>
      </c>
      <c r="K324" s="1346" t="s">
        <v>799</v>
      </c>
      <c r="L324" s="1329">
        <f>IFERROR(INDEX('Upper Cask Movement &amp; Logistics'!$I$24:$O$30,MATCH($J324,'Upper Cask Movement &amp; Logistics'!$H$24:$H$30,0),MATCH($K324,'Upper Cask Movement &amp; Logistics'!$H$24:$H$30,0)),"N/A")</f>
        <v>20</v>
      </c>
      <c r="M324" s="1329">
        <f>IFERROR(VLOOKUP($I324,'Upper Cask Movement &amp; Logistics'!$H$4:$I$8,2,FALSE),"N/A")</f>
        <v>0.2</v>
      </c>
      <c r="N324" s="1330">
        <f t="shared" si="8"/>
        <v>2.7777777777777776E-2</v>
      </c>
      <c r="O324" s="1352"/>
      <c r="P324" s="1332" t="str">
        <f>IF($D324="Logistics",VLOOKUP($O324,'Upper Cask Movement &amp; Logistics'!$C$4:$D$77,2,FALSE),"N/A")</f>
        <v>N/A</v>
      </c>
    </row>
    <row r="325" spans="1:16" s="89" customFormat="1" outlineLevel="1" x14ac:dyDescent="0.35">
      <c r="A325" s="1191"/>
      <c r="B325" s="3815"/>
      <c r="C325" s="1346" t="s">
        <v>1358</v>
      </c>
      <c r="D325" s="1346" t="s">
        <v>3</v>
      </c>
      <c r="E325" s="1347">
        <f t="shared" si="9"/>
        <v>0.48000000000000004</v>
      </c>
      <c r="F325" s="1347">
        <f>IF($D325="Trigger",VLOOKUP($C325,'Upper Cask Welding failures'!$E$192:$H$294,4,FALSE),E325+F324)</f>
        <v>131.66429175649668</v>
      </c>
      <c r="G325" s="1348"/>
      <c r="H325" s="1349" t="str">
        <f>IF(D325="operation",VLOOKUP(G325,'Generic Vertical Port Tasks'!C253:D332,2,FALSE),"N/A")</f>
        <v>N/A</v>
      </c>
      <c r="I325" s="1346"/>
      <c r="J325" s="1346"/>
      <c r="K325" s="1346"/>
      <c r="L325" s="1329" t="str">
        <f>IFERROR(INDEX('Upper Cask Movement &amp; Logistics'!$I$24:$O$30,MATCH($J325,'Upper Cask Movement &amp; Logistics'!$H$24:$H$30,0),MATCH($K325,'Upper Cask Movement &amp; Logistics'!$H$24:$H$30,0)),"N/A")</f>
        <v>N/A</v>
      </c>
      <c r="M325" s="1329" t="str">
        <f>IFERROR(VLOOKUP($I325,'Upper Cask Movement &amp; Logistics'!$H$4:$I$8,2,FALSE),"N/A")</f>
        <v>N/A</v>
      </c>
      <c r="N325" s="1330" t="str">
        <f>IF(D325="Movement",IFERROR((L325/M325)/(60*60),"Error"),"N/A")</f>
        <v>N/A</v>
      </c>
      <c r="O325" s="1352" t="s">
        <v>1331</v>
      </c>
      <c r="P325" s="1332">
        <f>IF($D325="Logistics",VLOOKUP($O325,'Upper Cask Movement &amp; Logistics'!$C$4:$D$77,2,FALSE),"N/A")</f>
        <v>0.48000000000000004</v>
      </c>
    </row>
    <row r="326" spans="1:16" s="89" customFormat="1" outlineLevel="1" x14ac:dyDescent="0.35">
      <c r="A326" s="1191"/>
      <c r="B326" s="3815"/>
      <c r="C326" s="1346" t="s">
        <v>1340</v>
      </c>
      <c r="D326" s="1346" t="s">
        <v>778</v>
      </c>
      <c r="E326" s="1347">
        <f t="shared" si="9"/>
        <v>0.23148148148148148</v>
      </c>
      <c r="F326" s="1347">
        <f>IF($D326="Trigger",VLOOKUP($C326,'Upper Cask Welding failures'!$E$192:$H$294,4,FALSE),E326+F325)</f>
        <v>131.89577323797818</v>
      </c>
      <c r="G326" s="1348"/>
      <c r="H326" s="1349" t="str">
        <f>IF(D326="operation",VLOOKUP(G326,'Generic Vertical Port Tasks'!C253:D332,2,FALSE),"N/A")</f>
        <v>N/A</v>
      </c>
      <c r="I326" s="1346" t="s">
        <v>2501</v>
      </c>
      <c r="J326" s="1346" t="s">
        <v>799</v>
      </c>
      <c r="K326" s="1346" t="s">
        <v>901</v>
      </c>
      <c r="L326" s="1329">
        <f>IFERROR(INDEX('Upper Cask Movement &amp; Logistics'!$I$24:$O$30,MATCH($J326,'Upper Cask Movement &amp; Logistics'!$H$24:$H$30,0),MATCH($K326,'Upper Cask Movement &amp; Logistics'!$H$24:$H$30,0)),"N/A")</f>
        <v>50</v>
      </c>
      <c r="M326" s="1329">
        <f>IFERROR(VLOOKUP($I326,'Upper Cask Movement &amp; Logistics'!$H$4:$I$8,2,FALSE),"N/A")</f>
        <v>0.06</v>
      </c>
      <c r="N326" s="1330">
        <f>IF(D326="Movement",IFERROR((L326/M326)/(60*60),"Error"),"N/A")</f>
        <v>0.23148148148148148</v>
      </c>
      <c r="O326" s="1352"/>
      <c r="P326" s="1332" t="str">
        <f>IF($D326="Logistics",VLOOKUP($O326,'Upper Cask Movement &amp; Logistics'!$C$4:$D$77,2,FALSE),"N/A")</f>
        <v>N/A</v>
      </c>
    </row>
    <row r="327" spans="1:16" s="89" customFormat="1" outlineLevel="1" x14ac:dyDescent="0.35">
      <c r="A327" s="1191"/>
      <c r="B327" s="3815"/>
      <c r="C327" s="1346" t="s">
        <v>1359</v>
      </c>
      <c r="D327" s="1346" t="s">
        <v>3</v>
      </c>
      <c r="E327" s="1347">
        <f t="shared" si="9"/>
        <v>1.4000000000000001</v>
      </c>
      <c r="F327" s="1347">
        <f>IF($D327="Trigger",VLOOKUP($C327,'Upper Cask Welding failures'!$E$192:$H$294,4,FALSE),E327+F326)</f>
        <v>133.29577323797818</v>
      </c>
      <c r="G327" s="1348"/>
      <c r="H327" s="1349" t="str">
        <f>IF(D327="operation",VLOOKUP(G327,'Generic Vertical Port Tasks'!C253:D332,2,FALSE),"N/A")</f>
        <v>N/A</v>
      </c>
      <c r="I327" s="1346"/>
      <c r="J327" s="1346"/>
      <c r="K327" s="1346"/>
      <c r="L327" s="1329" t="str">
        <f>IFERROR(INDEX('Upper Cask Movement &amp; Logistics'!$I$24:$O$30,MATCH($J327,'Upper Cask Movement &amp; Logistics'!$H$24:$H$30,0),MATCH($K327,'Upper Cask Movement &amp; Logistics'!$H$24:$H$30,0)),"N/A")</f>
        <v>N/A</v>
      </c>
      <c r="M327" s="1329" t="str">
        <f>IFERROR(VLOOKUP($I327,'Upper Cask Movement &amp; Logistics'!$H$4:$I$8,2,FALSE),"N/A")</f>
        <v>N/A</v>
      </c>
      <c r="N327" s="1330" t="str">
        <f>IF(D327="Movement",IFERROR((L327/M327)/(60*60),"Error"),"N/A")</f>
        <v>N/A</v>
      </c>
      <c r="O327" s="1352" t="s">
        <v>1277</v>
      </c>
      <c r="P327" s="1332">
        <f>IF($D327="Logistics",VLOOKUP($O327,'Upper Cask Movement &amp; Logistics'!$C$4:$D$77,2,FALSE),"N/A")</f>
        <v>1.4000000000000001</v>
      </c>
    </row>
    <row r="328" spans="1:16" s="89" customFormat="1" outlineLevel="1" x14ac:dyDescent="0.35">
      <c r="A328" s="1191"/>
      <c r="B328" s="3815"/>
      <c r="C328" s="1294" t="s">
        <v>1410</v>
      </c>
      <c r="D328" s="1294" t="s">
        <v>778</v>
      </c>
      <c r="E328" s="1292">
        <f t="shared" si="9"/>
        <v>0.23148148148148148</v>
      </c>
      <c r="F328" s="1347">
        <f>IF($D328="Trigger",VLOOKUP($C328,'Upper Cask Welding failures'!$E$192:$H$294,4,FALSE),E328+F327)</f>
        <v>133.52725471945968</v>
      </c>
      <c r="G328" s="862"/>
      <c r="H328" s="1328" t="str">
        <f>IF(D328="operation",VLOOKUP(G328,'Generic Vertical Port Tasks'!C303:D363,2,FALSE),"N/A")</f>
        <v>N/A</v>
      </c>
      <c r="I328" s="1294" t="s">
        <v>2501</v>
      </c>
      <c r="J328" s="1294" t="s">
        <v>901</v>
      </c>
      <c r="K328" s="1294" t="s">
        <v>831</v>
      </c>
      <c r="L328" s="1329">
        <f>IFERROR(INDEX('Upper Cask Movement &amp; Logistics'!$I$24:$O$30,MATCH($J328,'Upper Cask Movement &amp; Logistics'!$H$24:$H$30,0),MATCH($K328,'Upper Cask Movement &amp; Logistics'!$H$24:$H$30,0)),"N/A")</f>
        <v>50</v>
      </c>
      <c r="M328" s="1329">
        <f>IFERROR(VLOOKUP($I328,'Upper Cask Movement &amp; Logistics'!$H$4:$I$8,2,FALSE),"N/A")</f>
        <v>0.06</v>
      </c>
      <c r="N328" s="1330">
        <f t="shared" ref="N328:N365" si="10">IF(D328="Movement",IFERROR((L328/M328)/(60*60),"Error"),"N/A")</f>
        <v>0.23148148148148148</v>
      </c>
      <c r="O328" s="1331"/>
      <c r="P328" s="1332" t="str">
        <f>IF($D328="Logistics",VLOOKUP($O328,'Upper Cask Movement &amp; Logistics'!$C$4:$D$77,2,FALSE),"N/A")</f>
        <v>N/A</v>
      </c>
    </row>
    <row r="329" spans="1:16" s="89" customFormat="1" outlineLevel="1" x14ac:dyDescent="0.35">
      <c r="A329" s="1191"/>
      <c r="B329" s="3815"/>
      <c r="C329" s="1294" t="s">
        <v>1413</v>
      </c>
      <c r="D329" s="1294" t="s">
        <v>3</v>
      </c>
      <c r="E329" s="1292">
        <f t="shared" si="9"/>
        <v>0.68</v>
      </c>
      <c r="F329" s="1347">
        <f>IF($D329="Trigger",VLOOKUP($C329,'Upper Cask Welding failures'!$E$192:$H$294,4,FALSE),E329+F328)</f>
        <v>134.20725471945968</v>
      </c>
      <c r="G329" s="862"/>
      <c r="H329" s="1328" t="str">
        <f>IF(D329="operation",VLOOKUP(G329,'Generic Vertical Port Tasks'!C303:D363,2,FALSE),"N/A")</f>
        <v>N/A</v>
      </c>
      <c r="I329" s="1294"/>
      <c r="J329" s="1294"/>
      <c r="K329" s="1294"/>
      <c r="L329" s="1329" t="str">
        <f>IFERROR(INDEX('Upper Cask Movement &amp; Logistics'!$I$24:$O$30,MATCH($J329,'Upper Cask Movement &amp; Logistics'!$H$24:$H$30,0),MATCH($K329,'Upper Cask Movement &amp; Logistics'!$H$24:$H$30,0)),"N/A")</f>
        <v>N/A</v>
      </c>
      <c r="M329" s="1329" t="str">
        <f>IFERROR(VLOOKUP($I329,'Upper Cask Movement &amp; Logistics'!$H$4:$I$8,2,FALSE),"N/A")</f>
        <v>N/A</v>
      </c>
      <c r="N329" s="1330" t="str">
        <f t="shared" si="10"/>
        <v>N/A</v>
      </c>
      <c r="O329" s="1331" t="s">
        <v>1213</v>
      </c>
      <c r="P329" s="1332">
        <f>IF($D329="Logistics",VLOOKUP($O329,'Upper Cask Movement &amp; Logistics'!$C$4:$D$77,2,FALSE),"N/A")</f>
        <v>0.68</v>
      </c>
    </row>
    <row r="330" spans="1:16" s="89" customFormat="1" outlineLevel="1" x14ac:dyDescent="0.35">
      <c r="A330" s="1191"/>
      <c r="B330" s="3815"/>
      <c r="C330" s="1294" t="s">
        <v>1366</v>
      </c>
      <c r="D330" s="1294" t="s">
        <v>778</v>
      </c>
      <c r="E330" s="1292">
        <f t="shared" si="9"/>
        <v>0.69444444444444442</v>
      </c>
      <c r="F330" s="1347">
        <f>IF($D330="Trigger",VLOOKUP($C330,'Upper Cask Welding failures'!$E$192:$H$294,4,FALSE),E330+F329)</f>
        <v>134.90169916390414</v>
      </c>
      <c r="G330" s="862"/>
      <c r="H330" s="1328" t="str">
        <f>IF(D330="operation",VLOOKUP(G330,'Generic Vertical Port Tasks'!C303:D363,2,FALSE),"N/A")</f>
        <v>N/A</v>
      </c>
      <c r="I330" s="1294" t="s">
        <v>1789</v>
      </c>
      <c r="J330" s="1294" t="s">
        <v>831</v>
      </c>
      <c r="K330" s="1294" t="s">
        <v>901</v>
      </c>
      <c r="L330" s="1329">
        <f>IFERROR(INDEX('Upper Cask Movement &amp; Logistics'!$I$24:$O$30,MATCH($J330,'Upper Cask Movement &amp; Logistics'!$H$24:$H$30,0),MATCH($K330,'Upper Cask Movement &amp; Logistics'!$H$24:$H$30,0)),"N/A")</f>
        <v>50</v>
      </c>
      <c r="M330" s="1329">
        <f>IFERROR(VLOOKUP($I330,'Upper Cask Movement &amp; Logistics'!$H$4:$I$8,2,FALSE),"N/A")</f>
        <v>0.02</v>
      </c>
      <c r="N330" s="1330">
        <f t="shared" si="10"/>
        <v>0.69444444444444442</v>
      </c>
      <c r="O330" s="1331"/>
      <c r="P330" s="1332" t="str">
        <f>IF($D330="Logistics",VLOOKUP($O330,'Upper Cask Movement &amp; Logistics'!$C$4:$D$77,2,FALSE),"N/A")</f>
        <v>N/A</v>
      </c>
    </row>
    <row r="331" spans="1:16" s="89" customFormat="1" outlineLevel="1" x14ac:dyDescent="0.35">
      <c r="A331" s="1191"/>
      <c r="B331" s="3815"/>
      <c r="C331" s="1294" t="s">
        <v>1367</v>
      </c>
      <c r="D331" s="1294" t="s">
        <v>3</v>
      </c>
      <c r="E331" s="1292">
        <f t="shared" si="9"/>
        <v>1.4000000000000001</v>
      </c>
      <c r="F331" s="1347">
        <f>IF($D331="Trigger",VLOOKUP($C331,'Upper Cask Welding failures'!$E$192:$H$294,4,FALSE),E331+F330)</f>
        <v>136.30169916390415</v>
      </c>
      <c r="G331" s="862"/>
      <c r="H331" s="1328" t="str">
        <f>IF(D331="operation",VLOOKUP(G331,'Generic Vertical Port Tasks'!C303:D363,2,FALSE),"N/A")</f>
        <v>N/A</v>
      </c>
      <c r="I331" s="1294"/>
      <c r="J331" s="1294"/>
      <c r="K331" s="1294"/>
      <c r="L331" s="1329" t="str">
        <f>IFERROR(INDEX('Upper Cask Movement &amp; Logistics'!$I$24:$O$30,MATCH($J331,'Upper Cask Movement &amp; Logistics'!$H$24:$H$30,0),MATCH($K331,'Upper Cask Movement &amp; Logistics'!$H$24:$H$30,0)),"N/A")</f>
        <v>N/A</v>
      </c>
      <c r="M331" s="1329" t="str">
        <f>IFERROR(VLOOKUP($I331,'Upper Cask Movement &amp; Logistics'!$H$4:$I$8,2,FALSE),"N/A")</f>
        <v>N/A</v>
      </c>
      <c r="N331" s="1330" t="str">
        <f t="shared" si="10"/>
        <v>N/A</v>
      </c>
      <c r="O331" s="1331" t="s">
        <v>1277</v>
      </c>
      <c r="P331" s="1332">
        <f>IF($D331="Logistics",VLOOKUP($O331,'Upper Cask Movement &amp; Logistics'!$C$4:$D$77,2,FALSE),"N/A")</f>
        <v>1.4000000000000001</v>
      </c>
    </row>
    <row r="332" spans="1:16" s="89" customFormat="1" ht="26.15" outlineLevel="1" thickBot="1" x14ac:dyDescent="0.4">
      <c r="A332" s="1191"/>
      <c r="B332" s="3816"/>
      <c r="C332" s="1340" t="s">
        <v>1295</v>
      </c>
      <c r="D332" s="1340" t="s">
        <v>11</v>
      </c>
      <c r="E332" s="1295">
        <f t="shared" si="9"/>
        <v>0</v>
      </c>
      <c r="F332" s="1295">
        <f>IF($D332="Trigger",VLOOKUP($C332,'Upper Cask Welding failures'!$E$192:$H$294,4,FALSE),E332+F331)</f>
        <v>136.30169916390415</v>
      </c>
      <c r="G332" s="839"/>
      <c r="H332" s="1341" t="str">
        <f>IF(D332="operation",VLOOKUP(G332,'Generic Vertical Port Tasks'!C303:D363,2,FALSE),"N/A")</f>
        <v>N/A</v>
      </c>
      <c r="I332" s="1340"/>
      <c r="J332" s="1340"/>
      <c r="K332" s="1340"/>
      <c r="L332" s="1342" t="str">
        <f>IFERROR(INDEX('Upper Cask Movement &amp; Logistics'!$I$24:$O$30,MATCH($J332,'Upper Cask Movement &amp; Logistics'!$H$24:$H$30,0),MATCH($K332,'Upper Cask Movement &amp; Logistics'!$H$24:$H$30,0)),"N/A")</f>
        <v>N/A</v>
      </c>
      <c r="M332" s="1342" t="str">
        <f>IFERROR(VLOOKUP($I332,'Upper Cask Movement &amp; Logistics'!$H$4:$I$8,2,FALSE),"N/A")</f>
        <v>N/A</v>
      </c>
      <c r="N332" s="1343" t="str">
        <f t="shared" si="10"/>
        <v>N/A</v>
      </c>
      <c r="O332" s="1344"/>
      <c r="P332" s="1345" t="str">
        <f>IF($D332="Logistics",VLOOKUP($O332,'Upper Cask Movement &amp; Logistics'!$C$4:$D$77,2,FALSE),"N/A")</f>
        <v>N/A</v>
      </c>
    </row>
    <row r="333" spans="1:16" s="89" customFormat="1" outlineLevel="1" x14ac:dyDescent="0.35">
      <c r="A333" s="1191"/>
      <c r="B333" s="3970" t="s">
        <v>1414</v>
      </c>
      <c r="C333" s="617" t="s">
        <v>117</v>
      </c>
      <c r="D333" s="617" t="s">
        <v>907</v>
      </c>
      <c r="E333" s="567">
        <f t="shared" si="9"/>
        <v>0</v>
      </c>
      <c r="F333" s="567">
        <f>IF($D333="Trigger",VLOOKUP($C333,'Upper Cask Welding failures'!$E$192:$H$294,4,FALSE),E333+F332)</f>
        <v>141.37669916390414</v>
      </c>
      <c r="G333" s="568"/>
      <c r="H333" s="569" t="str">
        <f>IF(D333="operation",VLOOKUP(G333,'Generic Vertical Port Tasks'!C307:D367,2,FALSE),"N/A")</f>
        <v>N/A</v>
      </c>
      <c r="I333" s="617"/>
      <c r="J333" s="617"/>
      <c r="K333" s="617"/>
      <c r="L333" s="618" t="str">
        <f>IFERROR(INDEX('Upper Cask Movement &amp; Logistics'!$I$24:$O$30,MATCH($J333,'Upper Cask Movement &amp; Logistics'!$H$24:$H$30,0),MATCH($K333,'Upper Cask Movement &amp; Logistics'!$H$24:$H$30,0)),"N/A")</f>
        <v>N/A</v>
      </c>
      <c r="M333" s="618" t="str">
        <f>IFERROR(VLOOKUP($I333,'Upper Cask Movement &amp; Logistics'!$H$4:$I$8,2,FALSE),"N/A")</f>
        <v>N/A</v>
      </c>
      <c r="N333" s="619" t="str">
        <f t="shared" si="10"/>
        <v>N/A</v>
      </c>
      <c r="O333" s="620"/>
      <c r="P333" s="621" t="str">
        <f>IF($D333="Logistics",VLOOKUP($O333,'Upper Cask Movement &amp; Logistics'!$C$4:$D$77,2,FALSE),"N/A")</f>
        <v>N/A</v>
      </c>
    </row>
    <row r="334" spans="1:16" s="89" customFormat="1" outlineLevel="1" x14ac:dyDescent="0.35">
      <c r="A334" s="1191"/>
      <c r="B334" s="3971"/>
      <c r="C334" s="1275" t="s">
        <v>1377</v>
      </c>
      <c r="D334" s="1275" t="s">
        <v>3</v>
      </c>
      <c r="E334" s="1276">
        <f t="shared" si="9"/>
        <v>2.3000000000000003</v>
      </c>
      <c r="F334" s="1276">
        <f>IF($D334="Trigger",VLOOKUP($C334,'Upper Cask Welding failures'!$E$192:$H$294,4,FALSE),E334+F333)</f>
        <v>143.67669916390415</v>
      </c>
      <c r="G334" s="879"/>
      <c r="H334" s="1379" t="str">
        <f>IF(D334="operation",VLOOKUP(G334,'Generic Vertical Port Tasks'!C307:D367,2,FALSE),"N/A")</f>
        <v>N/A</v>
      </c>
      <c r="I334" s="1275"/>
      <c r="J334" s="1275"/>
      <c r="K334" s="1275"/>
      <c r="L334" s="1277" t="str">
        <f>IFERROR(INDEX('Upper Cask Movement &amp; Logistics'!$I$24:$O$30,MATCH($J334,'Upper Cask Movement &amp; Logistics'!$H$24:$H$30,0),MATCH($K334,'Upper Cask Movement &amp; Logistics'!$H$24:$H$30,0)),"N/A")</f>
        <v>N/A</v>
      </c>
      <c r="M334" s="1277" t="str">
        <f>IFERROR(VLOOKUP($I334,'Upper Cask Movement &amp; Logistics'!$H$4:$I$8,2,FALSE),"N/A")</f>
        <v>N/A</v>
      </c>
      <c r="N334" s="1380" t="str">
        <f t="shared" si="10"/>
        <v>N/A</v>
      </c>
      <c r="O334" s="1381" t="s">
        <v>1269</v>
      </c>
      <c r="P334" s="850">
        <f>IF($D334="Logistics",VLOOKUP($O334,'Upper Cask Movement &amp; Logistics'!$C$4:$D$77,2,FALSE),"N/A")</f>
        <v>2.3000000000000003</v>
      </c>
    </row>
    <row r="335" spans="1:16" s="89" customFormat="1" outlineLevel="1" x14ac:dyDescent="0.35">
      <c r="A335" s="1191"/>
      <c r="B335" s="3972"/>
      <c r="C335" s="572" t="s">
        <v>1410</v>
      </c>
      <c r="D335" s="572" t="s">
        <v>778</v>
      </c>
      <c r="E335" s="574">
        <f t="shared" si="9"/>
        <v>0.23148148148148148</v>
      </c>
      <c r="F335" s="574">
        <f>IF($D335="Trigger",VLOOKUP($C335,'Upper Cask Welding failures'!$E$192:$H$294,4,FALSE),E335+F334)</f>
        <v>143.90818064538564</v>
      </c>
      <c r="G335" s="575"/>
      <c r="H335" s="576" t="str">
        <f>IF(D335="operation",VLOOKUP(G335,'Generic Vertical Port Tasks'!C307:D367,2,FALSE),"N/A")</f>
        <v>N/A</v>
      </c>
      <c r="I335" s="572" t="s">
        <v>2501</v>
      </c>
      <c r="J335" s="572" t="s">
        <v>901</v>
      </c>
      <c r="K335" s="572" t="s">
        <v>831</v>
      </c>
      <c r="L335" s="577">
        <f>IFERROR(INDEX('Upper Cask Movement &amp; Logistics'!$I$24:$O$30,MATCH($J335,'Upper Cask Movement &amp; Logistics'!$H$24:$H$30,0),MATCH($K335,'Upper Cask Movement &amp; Logistics'!$H$24:$H$30,0)),"N/A")</f>
        <v>50</v>
      </c>
      <c r="M335" s="577">
        <f>IFERROR(VLOOKUP($I335,'Upper Cask Movement &amp; Logistics'!$H$4:$I$8,2,FALSE),"N/A")</f>
        <v>0.06</v>
      </c>
      <c r="N335" s="578">
        <f t="shared" si="10"/>
        <v>0.23148148148148148</v>
      </c>
      <c r="O335" s="579"/>
      <c r="P335" s="580" t="str">
        <f>IF($D335="Logistics",VLOOKUP($O335,'Upper Cask Movement &amp; Logistics'!$C$4:$D$77,2,FALSE),"N/A")</f>
        <v>N/A</v>
      </c>
    </row>
    <row r="336" spans="1:16" s="89" customFormat="1" outlineLevel="1" x14ac:dyDescent="0.35">
      <c r="A336" s="1191"/>
      <c r="B336" s="3972"/>
      <c r="C336" s="572" t="s">
        <v>1415</v>
      </c>
      <c r="D336" s="572" t="s">
        <v>3</v>
      </c>
      <c r="E336" s="574">
        <f t="shared" si="9"/>
        <v>0.68</v>
      </c>
      <c r="F336" s="574">
        <f>IF($D336="Trigger",VLOOKUP($C336,'Upper Cask Welding failures'!$E$192:$H$294,4,FALSE),E336+F335)</f>
        <v>144.58818064538565</v>
      </c>
      <c r="G336" s="575"/>
      <c r="H336" s="576" t="str">
        <f>IF(D336="operation",VLOOKUP(G336,'Generic Vertical Port Tasks'!C307:D367,2,FALSE),"N/A")</f>
        <v>N/A</v>
      </c>
      <c r="I336" s="572"/>
      <c r="J336" s="572"/>
      <c r="K336" s="572"/>
      <c r="L336" s="577" t="str">
        <f>IFERROR(INDEX('Upper Cask Movement &amp; Logistics'!$I$24:$O$30,MATCH($J336,'Upper Cask Movement &amp; Logistics'!$H$24:$H$30,0),MATCH($K336,'Upper Cask Movement &amp; Logistics'!$H$24:$H$30,0)),"N/A")</f>
        <v>N/A</v>
      </c>
      <c r="M336" s="577" t="str">
        <f>IFERROR(VLOOKUP($I336,'Upper Cask Movement &amp; Logistics'!$H$4:$I$8,2,FALSE),"N/A")</f>
        <v>N/A</v>
      </c>
      <c r="N336" s="578" t="str">
        <f t="shared" si="10"/>
        <v>N/A</v>
      </c>
      <c r="O336" s="579" t="s">
        <v>1213</v>
      </c>
      <c r="P336" s="580">
        <f>IF($D336="Logistics",VLOOKUP($O336,'Upper Cask Movement &amp; Logistics'!$C$4:$D$77,2,FALSE),"N/A")</f>
        <v>0.68</v>
      </c>
    </row>
    <row r="337" spans="1:16" s="89" customFormat="1" outlineLevel="1" x14ac:dyDescent="0.35">
      <c r="A337" s="1191"/>
      <c r="B337" s="3972"/>
      <c r="C337" s="572" t="s">
        <v>1366</v>
      </c>
      <c r="D337" s="572" t="s">
        <v>778</v>
      </c>
      <c r="E337" s="574">
        <f t="shared" si="9"/>
        <v>0.69444444444444442</v>
      </c>
      <c r="F337" s="574">
        <f>IF($D337="Trigger",VLOOKUP($C337,'Upper Cask Welding failures'!$E$192:$H$294,4,FALSE),E337+F336)</f>
        <v>145.28262508983011</v>
      </c>
      <c r="G337" s="575"/>
      <c r="H337" s="576" t="str">
        <f>IF(D337="operation",VLOOKUP(G337,'Generic Vertical Port Tasks'!C307:D367,2,FALSE),"N/A")</f>
        <v>N/A</v>
      </c>
      <c r="I337" s="572" t="s">
        <v>1789</v>
      </c>
      <c r="J337" s="572" t="s">
        <v>831</v>
      </c>
      <c r="K337" s="572" t="s">
        <v>901</v>
      </c>
      <c r="L337" s="577">
        <f>IFERROR(INDEX('Upper Cask Movement &amp; Logistics'!$I$24:$O$30,MATCH($J337,'Upper Cask Movement &amp; Logistics'!$H$24:$H$30,0),MATCH($K337,'Upper Cask Movement &amp; Logistics'!$H$24:$H$30,0)),"N/A")</f>
        <v>50</v>
      </c>
      <c r="M337" s="577">
        <f>IFERROR(VLOOKUP($I337,'Upper Cask Movement &amp; Logistics'!$H$4:$I$8,2,FALSE),"N/A")</f>
        <v>0.02</v>
      </c>
      <c r="N337" s="578">
        <f t="shared" si="10"/>
        <v>0.69444444444444442</v>
      </c>
      <c r="O337" s="579"/>
      <c r="P337" s="580" t="str">
        <f>IF($D337="Logistics",VLOOKUP($O337,'Upper Cask Movement &amp; Logistics'!$C$4:$D$77,2,FALSE),"N/A")</f>
        <v>N/A</v>
      </c>
    </row>
    <row r="338" spans="1:16" s="89" customFormat="1" outlineLevel="1" x14ac:dyDescent="0.35">
      <c r="A338" s="1191"/>
      <c r="B338" s="3972"/>
      <c r="C338" s="572" t="s">
        <v>1367</v>
      </c>
      <c r="D338" s="572" t="s">
        <v>3</v>
      </c>
      <c r="E338" s="574">
        <f t="shared" si="9"/>
        <v>1.4000000000000001</v>
      </c>
      <c r="F338" s="574">
        <f>IF($D338="Trigger",VLOOKUP($C338,'Upper Cask Welding failures'!$E$192:$H$294,4,FALSE),E338+F337)</f>
        <v>146.68262508983011</v>
      </c>
      <c r="G338" s="575"/>
      <c r="H338" s="576" t="str">
        <f>IF(D338="operation",VLOOKUP(G338,'Generic Vertical Port Tasks'!C307:D367,2,FALSE),"N/A")</f>
        <v>N/A</v>
      </c>
      <c r="I338" s="572"/>
      <c r="J338" s="572"/>
      <c r="K338" s="572"/>
      <c r="L338" s="577" t="str">
        <f>IFERROR(INDEX('Upper Cask Movement &amp; Logistics'!$I$24:$O$30,MATCH($J338,'Upper Cask Movement &amp; Logistics'!$H$24:$H$30,0),MATCH($K338,'Upper Cask Movement &amp; Logistics'!$H$24:$H$30,0)),"N/A")</f>
        <v>N/A</v>
      </c>
      <c r="M338" s="577" t="str">
        <f>IFERROR(VLOOKUP($I338,'Upper Cask Movement &amp; Logistics'!$H$4:$I$8,2,FALSE),"N/A")</f>
        <v>N/A</v>
      </c>
      <c r="N338" s="578" t="str">
        <f t="shared" si="10"/>
        <v>N/A</v>
      </c>
      <c r="O338" s="579" t="s">
        <v>1277</v>
      </c>
      <c r="P338" s="580">
        <f>IF($D338="Logistics",VLOOKUP($O338,'Upper Cask Movement &amp; Logistics'!$C$4:$D$77,2,FALSE),"N/A")</f>
        <v>1.4000000000000001</v>
      </c>
    </row>
    <row r="339" spans="1:16" s="89" customFormat="1" ht="26.15" outlineLevel="1" thickBot="1" x14ac:dyDescent="0.4">
      <c r="A339" s="1191"/>
      <c r="B339" s="3973"/>
      <c r="C339" s="583" t="s">
        <v>1414</v>
      </c>
      <c r="D339" s="583" t="s">
        <v>11</v>
      </c>
      <c r="E339" s="585">
        <f t="shared" si="9"/>
        <v>0</v>
      </c>
      <c r="F339" s="585">
        <f>IF($D339="Trigger",VLOOKUP($C339,'Upper Cask Welding failures'!$E$192:$H$294,4,FALSE),E339+F338)</f>
        <v>146.68262508983011</v>
      </c>
      <c r="G339" s="586"/>
      <c r="H339" s="587" t="str">
        <f>IF(D339="operation",VLOOKUP(G339,'Generic Vertical Port Tasks'!C307:D367,2,FALSE),"N/A")</f>
        <v>N/A</v>
      </c>
      <c r="I339" s="583"/>
      <c r="J339" s="583"/>
      <c r="K339" s="583"/>
      <c r="L339" s="588" t="str">
        <f>IFERROR(INDEX('Upper Cask Movement &amp; Logistics'!$I$24:$O$30,MATCH($J339,'Upper Cask Movement &amp; Logistics'!$H$24:$H$30,0),MATCH($K339,'Upper Cask Movement &amp; Logistics'!$H$24:$H$30,0)),"N/A")</f>
        <v>N/A</v>
      </c>
      <c r="M339" s="588" t="str">
        <f>IFERROR(VLOOKUP($I339,'Upper Cask Movement &amp; Logistics'!$H$4:$I$8,2,FALSE),"N/A")</f>
        <v>N/A</v>
      </c>
      <c r="N339" s="589" t="str">
        <f t="shared" si="10"/>
        <v>N/A</v>
      </c>
      <c r="O339" s="590"/>
      <c r="P339" s="591" t="str">
        <f>IF($D339="Logistics",VLOOKUP($O339,'Upper Cask Movement &amp; Logistics'!$C$4:$D$77,2,FALSE),"N/A")</f>
        <v>N/A</v>
      </c>
    </row>
    <row r="340" spans="1:16" s="89" customFormat="1" outlineLevel="1" x14ac:dyDescent="0.35">
      <c r="A340" s="1191"/>
      <c r="B340" s="3964" t="s">
        <v>1416</v>
      </c>
      <c r="C340" s="1324" t="s">
        <v>118</v>
      </c>
      <c r="D340" s="1324" t="s">
        <v>907</v>
      </c>
      <c r="E340" s="1291">
        <f t="shared" si="9"/>
        <v>0</v>
      </c>
      <c r="F340" s="1291">
        <f>IF($D340="Trigger",VLOOKUP($C340,'Upper Cask Welding failures'!$E$192:$H$294,4,FALSE),E340+F339)</f>
        <v>180.20443171577767</v>
      </c>
      <c r="G340" s="825"/>
      <c r="H340" s="1323" t="str">
        <f>IF(D340="operation",VLOOKUP(G340,'Generic Vertical Port Tasks'!C314:D374,2,FALSE),"N/A")</f>
        <v>N/A</v>
      </c>
      <c r="I340" s="1324"/>
      <c r="J340" s="1324"/>
      <c r="K340" s="1324"/>
      <c r="L340" s="1325" t="str">
        <f>IFERROR(INDEX('Upper Cask Movement &amp; Logistics'!$I$24:$O$30,MATCH($J340,'Upper Cask Movement &amp; Logistics'!$H$24:$H$30,0),MATCH($K340,'Upper Cask Movement &amp; Logistics'!$H$24:$H$30,0)),"N/A")</f>
        <v>N/A</v>
      </c>
      <c r="M340" s="1325" t="str">
        <f>IFERROR(VLOOKUP($I340,'Upper Cask Movement &amp; Logistics'!$H$4:$I$8,2,FALSE),"N/A")</f>
        <v>N/A</v>
      </c>
      <c r="N340" s="1326" t="str">
        <f t="shared" si="10"/>
        <v>N/A</v>
      </c>
      <c r="O340" s="1327"/>
      <c r="P340" s="824" t="str">
        <f>IF($D340="Logistics",VLOOKUP($O340,'Upper Cask Movement &amp; Logistics'!$C$4:$D$77,2,FALSE),"N/A")</f>
        <v>N/A</v>
      </c>
    </row>
    <row r="341" spans="1:16" s="89" customFormat="1" outlineLevel="1" x14ac:dyDescent="0.35">
      <c r="A341" s="1191"/>
      <c r="B341" s="3969"/>
      <c r="C341" s="1362" t="s">
        <v>1377</v>
      </c>
      <c r="D341" s="1362" t="s">
        <v>3</v>
      </c>
      <c r="E341" s="1363">
        <f t="shared" si="9"/>
        <v>2.3000000000000003</v>
      </c>
      <c r="F341" s="1363">
        <f>IF($D341="Trigger",VLOOKUP($C341,'Upper Cask Welding failures'!$E$192:$H$294,4,FALSE),E341+F340)</f>
        <v>182.50443171577768</v>
      </c>
      <c r="G341" s="1364"/>
      <c r="H341" s="1365" t="str">
        <f>IF(D341="operation",VLOOKUP(G341,'Generic Vertical Port Tasks'!C314:D374,2,FALSE),"N/A")</f>
        <v>N/A</v>
      </c>
      <c r="I341" s="1362"/>
      <c r="J341" s="1362"/>
      <c r="K341" s="1362"/>
      <c r="L341" s="1366" t="str">
        <f>IFERROR(INDEX('Upper Cask Movement &amp; Logistics'!$I$24:$O$30,MATCH($J341,'Upper Cask Movement &amp; Logistics'!$H$24:$H$30,0),MATCH($K341,'Upper Cask Movement &amp; Logistics'!$H$24:$H$30,0)),"N/A")</f>
        <v>N/A</v>
      </c>
      <c r="M341" s="1366" t="str">
        <f>IFERROR(VLOOKUP($I341,'Upper Cask Movement &amp; Logistics'!$H$4:$I$8,2,FALSE),"N/A")</f>
        <v>N/A</v>
      </c>
      <c r="N341" s="1367" t="str">
        <f t="shared" si="10"/>
        <v>N/A</v>
      </c>
      <c r="O341" s="1368" t="s">
        <v>1269</v>
      </c>
      <c r="P341" s="861">
        <f>IF($D341="Logistics",VLOOKUP($O341,'Upper Cask Movement &amp; Logistics'!$C$4:$D$77,2,FALSE),"N/A")</f>
        <v>2.3000000000000003</v>
      </c>
    </row>
    <row r="342" spans="1:16" s="89" customFormat="1" outlineLevel="1" x14ac:dyDescent="0.35">
      <c r="A342" s="1191"/>
      <c r="B342" s="3965"/>
      <c r="C342" s="1294" t="s">
        <v>1402</v>
      </c>
      <c r="D342" s="1294" t="s">
        <v>778</v>
      </c>
      <c r="E342" s="1292">
        <f t="shared" si="9"/>
        <v>0.23148148148148148</v>
      </c>
      <c r="F342" s="1292">
        <f>IF($D342="Trigger",VLOOKUP($C342,'Upper Cask Welding failures'!$E$192:$H$294,4,FALSE),E342+F341)</f>
        <v>182.73591319725918</v>
      </c>
      <c r="G342" s="862"/>
      <c r="H342" s="1328" t="str">
        <f>IF(D342="operation",VLOOKUP(G342,'Generic Vertical Port Tasks'!C314:D374,2,FALSE),"N/A")</f>
        <v>N/A</v>
      </c>
      <c r="I342" s="1294" t="s">
        <v>2501</v>
      </c>
      <c r="J342" s="1294" t="s">
        <v>901</v>
      </c>
      <c r="K342" s="1294" t="s">
        <v>831</v>
      </c>
      <c r="L342" s="1329">
        <f>IFERROR(INDEX('Upper Cask Movement &amp; Logistics'!$I$24:$O$30,MATCH($J342,'Upper Cask Movement &amp; Logistics'!$H$24:$H$30,0),MATCH($K342,'Upper Cask Movement &amp; Logistics'!$H$24:$H$30,0)),"N/A")</f>
        <v>50</v>
      </c>
      <c r="M342" s="1329">
        <f>IFERROR(VLOOKUP($I342,'Upper Cask Movement &amp; Logistics'!$H$4:$I$8,2,FALSE),"N/A")</f>
        <v>0.06</v>
      </c>
      <c r="N342" s="1330">
        <f t="shared" si="10"/>
        <v>0.23148148148148148</v>
      </c>
      <c r="O342" s="1331"/>
      <c r="P342" s="1332" t="str">
        <f>IF($D342="Logistics",VLOOKUP($O342,'Upper Cask Movement &amp; Logistics'!$C$4:$D$77,2,FALSE),"N/A")</f>
        <v>N/A</v>
      </c>
    </row>
    <row r="343" spans="1:16" s="89" customFormat="1" outlineLevel="1" x14ac:dyDescent="0.35">
      <c r="A343" s="1191"/>
      <c r="B343" s="3965"/>
      <c r="C343" s="1294" t="s">
        <v>1415</v>
      </c>
      <c r="D343" s="1294" t="s">
        <v>3</v>
      </c>
      <c r="E343" s="1292">
        <f t="shared" si="9"/>
        <v>0.68</v>
      </c>
      <c r="F343" s="1292">
        <f>IF($D343="Trigger",VLOOKUP($C343,'Upper Cask Welding failures'!$E$192:$H$294,4,FALSE),E343+F342)</f>
        <v>183.41591319725919</v>
      </c>
      <c r="G343" s="862"/>
      <c r="H343" s="1328" t="str">
        <f>IF(D343="operation",VLOOKUP(G343,'Generic Vertical Port Tasks'!C314:D374,2,FALSE),"N/A")</f>
        <v>N/A</v>
      </c>
      <c r="I343" s="1294"/>
      <c r="J343" s="1294"/>
      <c r="K343" s="1294"/>
      <c r="L343" s="1329" t="str">
        <f>IFERROR(INDEX('Upper Cask Movement &amp; Logistics'!$I$24:$O$30,MATCH($J343,'Upper Cask Movement &amp; Logistics'!$H$24:$H$30,0),MATCH($K343,'Upper Cask Movement &amp; Logistics'!$H$24:$H$30,0)),"N/A")</f>
        <v>N/A</v>
      </c>
      <c r="M343" s="1329" t="str">
        <f>IFERROR(VLOOKUP($I343,'Upper Cask Movement &amp; Logistics'!$H$4:$I$8,2,FALSE),"N/A")</f>
        <v>N/A</v>
      </c>
      <c r="N343" s="1330" t="str">
        <f t="shared" si="10"/>
        <v>N/A</v>
      </c>
      <c r="O343" s="1331" t="s">
        <v>1213</v>
      </c>
      <c r="P343" s="1332">
        <f>IF($D343="Logistics",VLOOKUP($O343,'Upper Cask Movement &amp; Logistics'!$C$4:$D$77,2,FALSE),"N/A")</f>
        <v>0.68</v>
      </c>
    </row>
    <row r="344" spans="1:16" s="89" customFormat="1" outlineLevel="1" x14ac:dyDescent="0.35">
      <c r="A344" s="1191"/>
      <c r="B344" s="3965"/>
      <c r="C344" s="1294" t="s">
        <v>1340</v>
      </c>
      <c r="D344" s="1294" t="s">
        <v>778</v>
      </c>
      <c r="E344" s="1292">
        <f t="shared" si="9"/>
        <v>0.69444444444444442</v>
      </c>
      <c r="F344" s="1292">
        <f>IF($D344="Trigger",VLOOKUP($C344,'Upper Cask Welding failures'!$E$192:$H$294,4,FALSE),E344+F343)</f>
        <v>184.11035764170364</v>
      </c>
      <c r="G344" s="862"/>
      <c r="H344" s="1328" t="str">
        <f>IF(D344="operation",VLOOKUP(G344,'Generic Vertical Port Tasks'!C314:D374,2,FALSE),"N/A")</f>
        <v>N/A</v>
      </c>
      <c r="I344" s="1294" t="s">
        <v>1789</v>
      </c>
      <c r="J344" s="1294" t="s">
        <v>831</v>
      </c>
      <c r="K344" s="1294" t="s">
        <v>901</v>
      </c>
      <c r="L344" s="1329">
        <f>IFERROR(INDEX('Upper Cask Movement &amp; Logistics'!$I$24:$O$30,MATCH($J344,'Upper Cask Movement &amp; Logistics'!$H$24:$H$30,0),MATCH($K344,'Upper Cask Movement &amp; Logistics'!$H$24:$H$30,0)),"N/A")</f>
        <v>50</v>
      </c>
      <c r="M344" s="1329">
        <f>IFERROR(VLOOKUP($I344,'Upper Cask Movement &amp; Logistics'!$H$4:$I$8,2,FALSE),"N/A")</f>
        <v>0.02</v>
      </c>
      <c r="N344" s="1330">
        <f t="shared" si="10"/>
        <v>0.69444444444444442</v>
      </c>
      <c r="O344" s="1331"/>
      <c r="P344" s="1332" t="str">
        <f>IF($D344="Logistics",VLOOKUP($O344,'Upper Cask Movement &amp; Logistics'!$C$4:$D$77,2,FALSE),"N/A")</f>
        <v>N/A</v>
      </c>
    </row>
    <row r="345" spans="1:16" s="89" customFormat="1" outlineLevel="1" x14ac:dyDescent="0.35">
      <c r="A345" s="1191"/>
      <c r="B345" s="3965"/>
      <c r="C345" s="1294" t="s">
        <v>1367</v>
      </c>
      <c r="D345" s="1294" t="s">
        <v>3</v>
      </c>
      <c r="E345" s="1292">
        <f t="shared" si="9"/>
        <v>1.4000000000000001</v>
      </c>
      <c r="F345" s="1292">
        <f>IF($D345="Trigger",VLOOKUP($C345,'Upper Cask Welding failures'!$E$192:$H$294,4,FALSE),E345+F344)</f>
        <v>185.51035764170365</v>
      </c>
      <c r="G345" s="862"/>
      <c r="H345" s="1328" t="str">
        <f>IF(D345="operation",VLOOKUP(G345,'Generic Vertical Port Tasks'!C314:D374,2,FALSE),"N/A")</f>
        <v>N/A</v>
      </c>
      <c r="I345" s="1294"/>
      <c r="J345" s="1294"/>
      <c r="K345" s="1294"/>
      <c r="L345" s="1329" t="str">
        <f>IFERROR(INDEX('Upper Cask Movement &amp; Logistics'!$I$24:$O$30,MATCH($J345,'Upper Cask Movement &amp; Logistics'!$H$24:$H$30,0),MATCH($K345,'Upper Cask Movement &amp; Logistics'!$H$24:$H$30,0)),"N/A")</f>
        <v>N/A</v>
      </c>
      <c r="M345" s="1329" t="str">
        <f>IFERROR(VLOOKUP($I345,'Upper Cask Movement &amp; Logistics'!$H$4:$I$8,2,FALSE),"N/A")</f>
        <v>N/A</v>
      </c>
      <c r="N345" s="1330" t="str">
        <f t="shared" si="10"/>
        <v>N/A</v>
      </c>
      <c r="O345" s="1331" t="s">
        <v>1277</v>
      </c>
      <c r="P345" s="1332">
        <f>IF($D345="Logistics",VLOOKUP($O345,'Upper Cask Movement &amp; Logistics'!$C$4:$D$77,2,FALSE),"N/A")</f>
        <v>1.4000000000000001</v>
      </c>
    </row>
    <row r="346" spans="1:16" s="89" customFormat="1" ht="26.15" outlineLevel="1" thickBot="1" x14ac:dyDescent="0.4">
      <c r="A346" s="1191"/>
      <c r="B346" s="3966"/>
      <c r="C346" s="1340" t="s">
        <v>1416</v>
      </c>
      <c r="D346" s="1340" t="s">
        <v>11</v>
      </c>
      <c r="E346" s="1295">
        <f t="shared" si="9"/>
        <v>0</v>
      </c>
      <c r="F346" s="1295">
        <f>IF($D346="Trigger",VLOOKUP($C346,'Upper Cask Welding failures'!$E$192:$H$294,4,FALSE),E346+F345)</f>
        <v>185.51035764170365</v>
      </c>
      <c r="G346" s="839"/>
      <c r="H346" s="1341" t="str">
        <f>IF(D346="operation",VLOOKUP(G346,'Generic Vertical Port Tasks'!C314:D374,2,FALSE),"N/A")</f>
        <v>N/A</v>
      </c>
      <c r="I346" s="1340"/>
      <c r="J346" s="1340"/>
      <c r="K346" s="1340"/>
      <c r="L346" s="1342" t="str">
        <f>IFERROR(INDEX('Upper Cask Movement &amp; Logistics'!$I$24:$O$30,MATCH($J346,'Upper Cask Movement &amp; Logistics'!$H$24:$H$30,0),MATCH($K346,'Upper Cask Movement &amp; Logistics'!$H$24:$H$30,0)),"N/A")</f>
        <v>N/A</v>
      </c>
      <c r="M346" s="1342" t="str">
        <f>IFERROR(VLOOKUP($I346,'Upper Cask Movement &amp; Logistics'!$H$4:$I$8,2,FALSE),"N/A")</f>
        <v>N/A</v>
      </c>
      <c r="N346" s="1343" t="str">
        <f t="shared" si="10"/>
        <v>N/A</v>
      </c>
      <c r="O346" s="1344"/>
      <c r="P346" s="1345" t="str">
        <f>IF($D346="Logistics",VLOOKUP($O346,'Upper Cask Movement &amp; Logistics'!$C$4:$D$77,2,FALSE),"N/A")</f>
        <v>N/A</v>
      </c>
    </row>
    <row r="347" spans="1:16" s="89" customFormat="1" outlineLevel="1" x14ac:dyDescent="0.35">
      <c r="A347" s="1191"/>
      <c r="B347" s="3970" t="s">
        <v>1417</v>
      </c>
      <c r="C347" s="617" t="s">
        <v>119</v>
      </c>
      <c r="D347" s="617" t="s">
        <v>907</v>
      </c>
      <c r="E347" s="567">
        <f t="shared" si="9"/>
        <v>0</v>
      </c>
      <c r="F347" s="567">
        <f>IF($D347="Trigger",VLOOKUP($C347,'Upper Cask Welding failures'!$E$192:$H$294,4,FALSE),E347+F346)</f>
        <v>219.03216426765121</v>
      </c>
      <c r="G347" s="568"/>
      <c r="H347" s="569" t="str">
        <f>IF(D347="operation",VLOOKUP(G347,'Generic Vertical Port Tasks'!C321:D381,2,FALSE),"N/A")</f>
        <v>N/A</v>
      </c>
      <c r="I347" s="617"/>
      <c r="J347" s="617"/>
      <c r="K347" s="617"/>
      <c r="L347" s="618" t="str">
        <f>IFERROR(INDEX('Upper Cask Movement &amp; Logistics'!$I$24:$O$30,MATCH($J347,'Upper Cask Movement &amp; Logistics'!$H$24:$H$30,0),MATCH($K347,'Upper Cask Movement &amp; Logistics'!$H$24:$H$30,0)),"N/A")</f>
        <v>N/A</v>
      </c>
      <c r="M347" s="618" t="str">
        <f>IFERROR(VLOOKUP($I347,'Upper Cask Movement &amp; Logistics'!$H$4:$I$8,2,FALSE),"N/A")</f>
        <v>N/A</v>
      </c>
      <c r="N347" s="619" t="str">
        <f t="shared" si="10"/>
        <v>N/A</v>
      </c>
      <c r="O347" s="620"/>
      <c r="P347" s="621" t="str">
        <f>IF($D347="Logistics",VLOOKUP($O347,'Upper Cask Movement &amp; Logistics'!$C$4:$D$77,2,FALSE),"N/A")</f>
        <v>N/A</v>
      </c>
    </row>
    <row r="348" spans="1:16" s="89" customFormat="1" outlineLevel="1" x14ac:dyDescent="0.35">
      <c r="A348" s="1191"/>
      <c r="B348" s="3971"/>
      <c r="C348" s="1275" t="s">
        <v>1377</v>
      </c>
      <c r="D348" s="1275" t="s">
        <v>3</v>
      </c>
      <c r="E348" s="1276">
        <f t="shared" si="9"/>
        <v>2.3000000000000003</v>
      </c>
      <c r="F348" s="1276">
        <f>IF($D348="Trigger",VLOOKUP($C348,'Upper Cask Welding failures'!$E$192:$H$294,4,FALSE),E348+F347)</f>
        <v>221.33216426765122</v>
      </c>
      <c r="G348" s="879"/>
      <c r="H348" s="1379" t="str">
        <f>IF(D348="operation",VLOOKUP(G348,'Generic Vertical Port Tasks'!C321:D381,2,FALSE),"N/A")</f>
        <v>N/A</v>
      </c>
      <c r="I348" s="1275"/>
      <c r="J348" s="1275"/>
      <c r="K348" s="1275"/>
      <c r="L348" s="1277" t="str">
        <f>IFERROR(INDEX('Upper Cask Movement &amp; Logistics'!$I$24:$O$30,MATCH($J348,'Upper Cask Movement &amp; Logistics'!$H$24:$H$30,0),MATCH($K348,'Upper Cask Movement &amp; Logistics'!$H$24:$H$30,0)),"N/A")</f>
        <v>N/A</v>
      </c>
      <c r="M348" s="1277" t="str">
        <f>IFERROR(VLOOKUP($I348,'Upper Cask Movement &amp; Logistics'!$H$4:$I$8,2,FALSE),"N/A")</f>
        <v>N/A</v>
      </c>
      <c r="N348" s="1380" t="str">
        <f t="shared" si="10"/>
        <v>N/A</v>
      </c>
      <c r="O348" s="1381" t="s">
        <v>1269</v>
      </c>
      <c r="P348" s="850">
        <f>IF($D348="Logistics",VLOOKUP($O348,'Upper Cask Movement &amp; Logistics'!$C$4:$D$77,2,FALSE),"N/A")</f>
        <v>2.3000000000000003</v>
      </c>
    </row>
    <row r="349" spans="1:16" s="89" customFormat="1" outlineLevel="1" x14ac:dyDescent="0.35">
      <c r="A349" s="1191"/>
      <c r="B349" s="3972"/>
      <c r="C349" s="572" t="s">
        <v>1410</v>
      </c>
      <c r="D349" s="572" t="s">
        <v>778</v>
      </c>
      <c r="E349" s="574">
        <f t="shared" si="9"/>
        <v>0.23148148148148148</v>
      </c>
      <c r="F349" s="574">
        <f>IF($D349="Trigger",VLOOKUP($C349,'Upper Cask Welding failures'!$E$192:$H$294,4,FALSE),E349+F348)</f>
        <v>221.56364574913272</v>
      </c>
      <c r="G349" s="575"/>
      <c r="H349" s="576" t="str">
        <f>IF(D349="operation",VLOOKUP(G349,'Generic Vertical Port Tasks'!C321:D381,2,FALSE),"N/A")</f>
        <v>N/A</v>
      </c>
      <c r="I349" s="572" t="s">
        <v>2501</v>
      </c>
      <c r="J349" s="572" t="s">
        <v>901</v>
      </c>
      <c r="K349" s="572" t="s">
        <v>831</v>
      </c>
      <c r="L349" s="577">
        <f>IFERROR(INDEX('Upper Cask Movement &amp; Logistics'!$I$24:$O$30,MATCH($J349,'Upper Cask Movement &amp; Logistics'!$H$24:$H$30,0),MATCH($K349,'Upper Cask Movement &amp; Logistics'!$H$24:$H$30,0)),"N/A")</f>
        <v>50</v>
      </c>
      <c r="M349" s="577">
        <f>IFERROR(VLOOKUP($I349,'Upper Cask Movement &amp; Logistics'!$H$4:$I$8,2,FALSE),"N/A")</f>
        <v>0.06</v>
      </c>
      <c r="N349" s="578">
        <f t="shared" si="10"/>
        <v>0.23148148148148148</v>
      </c>
      <c r="O349" s="579"/>
      <c r="P349" s="580" t="str">
        <f>IF($D349="Logistics",VLOOKUP($O349,'Upper Cask Movement &amp; Logistics'!$C$4:$D$77,2,FALSE),"N/A")</f>
        <v>N/A</v>
      </c>
    </row>
    <row r="350" spans="1:16" s="89" customFormat="1" outlineLevel="1" x14ac:dyDescent="0.35">
      <c r="A350" s="1191"/>
      <c r="B350" s="3972"/>
      <c r="C350" s="572" t="s">
        <v>1415</v>
      </c>
      <c r="D350" s="572" t="s">
        <v>3</v>
      </c>
      <c r="E350" s="574">
        <f t="shared" si="9"/>
        <v>0.68</v>
      </c>
      <c r="F350" s="574">
        <f>IF($D350="Trigger",VLOOKUP($C350,'Upper Cask Welding failures'!$E$192:$H$294,4,FALSE),E350+F349)</f>
        <v>222.24364574913272</v>
      </c>
      <c r="G350" s="575"/>
      <c r="H350" s="576" t="str">
        <f>IF(D350="operation",VLOOKUP(G350,'Generic Vertical Port Tasks'!C321:D381,2,FALSE),"N/A")</f>
        <v>N/A</v>
      </c>
      <c r="I350" s="572"/>
      <c r="J350" s="572"/>
      <c r="K350" s="572"/>
      <c r="L350" s="577" t="str">
        <f>IFERROR(INDEX('Upper Cask Movement &amp; Logistics'!$I$24:$O$30,MATCH($J350,'Upper Cask Movement &amp; Logistics'!$H$24:$H$30,0),MATCH($K350,'Upper Cask Movement &amp; Logistics'!$H$24:$H$30,0)),"N/A")</f>
        <v>N/A</v>
      </c>
      <c r="M350" s="577" t="str">
        <f>IFERROR(VLOOKUP($I350,'Upper Cask Movement &amp; Logistics'!$H$4:$I$8,2,FALSE),"N/A")</f>
        <v>N/A</v>
      </c>
      <c r="N350" s="578" t="str">
        <f t="shared" si="10"/>
        <v>N/A</v>
      </c>
      <c r="O350" s="579" t="s">
        <v>1213</v>
      </c>
      <c r="P350" s="580">
        <f>IF($D350="Logistics",VLOOKUP($O350,'Upper Cask Movement &amp; Logistics'!$C$4:$D$77,2,FALSE),"N/A")</f>
        <v>0.68</v>
      </c>
    </row>
    <row r="351" spans="1:16" s="89" customFormat="1" outlineLevel="1" x14ac:dyDescent="0.35">
      <c r="A351" s="1191"/>
      <c r="B351" s="3972"/>
      <c r="C351" s="572" t="s">
        <v>1366</v>
      </c>
      <c r="D351" s="572" t="s">
        <v>778</v>
      </c>
      <c r="E351" s="574">
        <f t="shared" si="9"/>
        <v>0.69444444444444442</v>
      </c>
      <c r="F351" s="574">
        <f>IF($D351="Trigger",VLOOKUP($C351,'Upper Cask Welding failures'!$E$192:$H$294,4,FALSE),E351+F350)</f>
        <v>222.93809019357718</v>
      </c>
      <c r="G351" s="575"/>
      <c r="H351" s="576" t="str">
        <f>IF(D351="operation",VLOOKUP(G351,'Generic Vertical Port Tasks'!C321:D381,2,FALSE),"N/A")</f>
        <v>N/A</v>
      </c>
      <c r="I351" s="572" t="s">
        <v>1789</v>
      </c>
      <c r="J351" s="572" t="s">
        <v>831</v>
      </c>
      <c r="K351" s="572" t="s">
        <v>901</v>
      </c>
      <c r="L351" s="577">
        <f>IFERROR(INDEX('Upper Cask Movement &amp; Logistics'!$I$24:$O$30,MATCH($J351,'Upper Cask Movement &amp; Logistics'!$H$24:$H$30,0),MATCH($K351,'Upper Cask Movement &amp; Logistics'!$H$24:$H$30,0)),"N/A")</f>
        <v>50</v>
      </c>
      <c r="M351" s="577">
        <f>IFERROR(VLOOKUP($I351,'Upper Cask Movement &amp; Logistics'!$H$4:$I$8,2,FALSE),"N/A")</f>
        <v>0.02</v>
      </c>
      <c r="N351" s="578">
        <f t="shared" si="10"/>
        <v>0.69444444444444442</v>
      </c>
      <c r="O351" s="579"/>
      <c r="P351" s="580" t="str">
        <f>IF($D351="Logistics",VLOOKUP($O351,'Upper Cask Movement &amp; Logistics'!$C$4:$D$77,2,FALSE),"N/A")</f>
        <v>N/A</v>
      </c>
    </row>
    <row r="352" spans="1:16" s="89" customFormat="1" outlineLevel="1" x14ac:dyDescent="0.35">
      <c r="A352" s="1191"/>
      <c r="B352" s="3972"/>
      <c r="C352" s="572" t="s">
        <v>1367</v>
      </c>
      <c r="D352" s="572" t="s">
        <v>3</v>
      </c>
      <c r="E352" s="574">
        <f t="shared" si="9"/>
        <v>1.4000000000000001</v>
      </c>
      <c r="F352" s="574">
        <f>IF($D352="Trigger",VLOOKUP($C352,'Upper Cask Welding failures'!$E$192:$H$294,4,FALSE),E352+F351)</f>
        <v>224.33809019357719</v>
      </c>
      <c r="G352" s="575"/>
      <c r="H352" s="576" t="str">
        <f>IF(D352="operation",VLOOKUP(G352,'Generic Vertical Port Tasks'!C321:D381,2,FALSE),"N/A")</f>
        <v>N/A</v>
      </c>
      <c r="I352" s="572"/>
      <c r="J352" s="572"/>
      <c r="K352" s="572"/>
      <c r="L352" s="577" t="str">
        <f>IFERROR(INDEX('Upper Cask Movement &amp; Logistics'!$I$24:$O$30,MATCH($J352,'Upper Cask Movement &amp; Logistics'!$H$24:$H$30,0),MATCH($K352,'Upper Cask Movement &amp; Logistics'!$H$24:$H$30,0)),"N/A")</f>
        <v>N/A</v>
      </c>
      <c r="M352" s="577" t="str">
        <f>IFERROR(VLOOKUP($I352,'Upper Cask Movement &amp; Logistics'!$H$4:$I$8,2,FALSE),"N/A")</f>
        <v>N/A</v>
      </c>
      <c r="N352" s="578" t="str">
        <f t="shared" si="10"/>
        <v>N/A</v>
      </c>
      <c r="O352" s="579" t="s">
        <v>1277</v>
      </c>
      <c r="P352" s="580">
        <f>IF($D352="Logistics",VLOOKUP($O352,'Upper Cask Movement &amp; Logistics'!$C$4:$D$77,2,FALSE),"N/A")</f>
        <v>1.4000000000000001</v>
      </c>
    </row>
    <row r="353" spans="1:16" s="89" customFormat="1" ht="26.15" outlineLevel="1" thickBot="1" x14ac:dyDescent="0.4">
      <c r="A353" s="1191"/>
      <c r="B353" s="3973"/>
      <c r="C353" s="583" t="s">
        <v>1417</v>
      </c>
      <c r="D353" s="583" t="s">
        <v>11</v>
      </c>
      <c r="E353" s="585">
        <f t="shared" si="9"/>
        <v>0</v>
      </c>
      <c r="F353" s="585">
        <f>IF($D353="Trigger",VLOOKUP($C353,'Upper Cask Welding failures'!$E$192:$H$294,4,FALSE),E353+F352)</f>
        <v>224.33809019357719</v>
      </c>
      <c r="G353" s="586"/>
      <c r="H353" s="587" t="str">
        <f>IF(D353="operation",VLOOKUP(G353,'Generic Vertical Port Tasks'!C321:D381,2,FALSE),"N/A")</f>
        <v>N/A</v>
      </c>
      <c r="I353" s="583"/>
      <c r="J353" s="583"/>
      <c r="K353" s="583"/>
      <c r="L353" s="588" t="str">
        <f>IFERROR(INDEX('Upper Cask Movement &amp; Logistics'!$I$24:$O$30,MATCH($J353,'Upper Cask Movement &amp; Logistics'!$H$24:$H$30,0),MATCH($K353,'Upper Cask Movement &amp; Logistics'!$H$24:$H$30,0)),"N/A")</f>
        <v>N/A</v>
      </c>
      <c r="M353" s="588" t="str">
        <f>IFERROR(VLOOKUP($I353,'Upper Cask Movement &amp; Logistics'!$H$4:$I$8,2,FALSE),"N/A")</f>
        <v>N/A</v>
      </c>
      <c r="N353" s="589" t="str">
        <f t="shared" si="10"/>
        <v>N/A</v>
      </c>
      <c r="O353" s="590"/>
      <c r="P353" s="591" t="str">
        <f>IF($D353="Logistics",VLOOKUP($O353,'Upper Cask Movement &amp; Logistics'!$C$4:$D$77,2,FALSE),"N/A")</f>
        <v>N/A</v>
      </c>
    </row>
    <row r="354" spans="1:16" ht="12.75" customHeight="1" outlineLevel="1" thickBot="1" x14ac:dyDescent="0.45">
      <c r="A354" s="1191"/>
      <c r="B354" s="4001" t="s">
        <v>1087</v>
      </c>
      <c r="C354" s="566" t="s">
        <v>1181</v>
      </c>
      <c r="D354" s="566" t="s">
        <v>907</v>
      </c>
      <c r="E354" s="1175">
        <f>MAX($P354,$N354,$H354)</f>
        <v>0</v>
      </c>
      <c r="F354" s="621">
        <f>IF($D354="Trigger",VLOOKUP("*"&amp;$C354&amp;"*",'Upper Cask Welding failures'!$E$46:$H$564,4,FALSE),E354+F353)</f>
        <v>0</v>
      </c>
      <c r="G354" s="568"/>
      <c r="H354" s="621" t="str">
        <f>IF(D354="operation",VLOOKUP(G354,'Upper Hot Cell Welding failures'!E393:I470,5,FALSE), "N/A")</f>
        <v>N/A</v>
      </c>
      <c r="I354" s="566"/>
      <c r="J354" s="566"/>
      <c r="K354" s="566"/>
      <c r="L354" s="1175" t="str">
        <f>IFERROR(INDEX(#REF!,MATCH($J354,#REF!,0),MATCH($K354,#REF!,0)),"N/A")</f>
        <v>N/A</v>
      </c>
      <c r="M354" s="1175" t="str">
        <f>IFERROR(VLOOKUP($I354,#REF!,2,FALSE),"N/A")</f>
        <v>N/A</v>
      </c>
      <c r="N354" s="1175" t="str">
        <f t="shared" si="10"/>
        <v>N/A</v>
      </c>
      <c r="O354" s="620"/>
      <c r="P354" s="621" t="str">
        <f>IF($D354="Logistics",VLOOKUP($O354,#REF!,2,FALSE),"N/A")</f>
        <v>N/A</v>
      </c>
    </row>
    <row r="355" spans="1:16" ht="12.75" customHeight="1" outlineLevel="1" x14ac:dyDescent="0.4">
      <c r="A355" s="1191"/>
      <c r="B355" s="4002"/>
      <c r="C355" s="573" t="s">
        <v>1182</v>
      </c>
      <c r="D355" s="573" t="s">
        <v>251</v>
      </c>
      <c r="E355" s="1176" t="e">
        <f t="shared" ref="E355:E365" si="11">MAX($P355,$N355,$H355)</f>
        <v>#REF!</v>
      </c>
      <c r="F355" s="580" t="e">
        <f>IF($D355="Trigger",VLOOKUP("*"&amp;$C355&amp;"*",'Upper Cask Welding failures'!$E$46:$H$564,4,FALSE),E355+F354)</f>
        <v>#REF!</v>
      </c>
      <c r="G355" s="575" t="s">
        <v>1183</v>
      </c>
      <c r="H355" s="621" t="e">
        <f>IF(D355="operation",VLOOKUP(G355,#REF!,4,FALSE), "N/A")</f>
        <v>#REF!</v>
      </c>
      <c r="I355" s="573"/>
      <c r="J355" s="573"/>
      <c r="K355" s="573"/>
      <c r="L355" s="1176" t="str">
        <f>IFERROR(INDEX(#REF!,MATCH($J355,#REF!,0),MATCH($K355,#REF!,0)),"N/A")</f>
        <v>N/A</v>
      </c>
      <c r="M355" s="1176" t="str">
        <f>IFERROR(VLOOKUP($I355,#REF!,2,FALSE),"N/A")</f>
        <v>N/A</v>
      </c>
      <c r="N355" s="1176" t="str">
        <f t="shared" si="10"/>
        <v>N/A</v>
      </c>
      <c r="O355" s="579"/>
      <c r="P355" s="580" t="str">
        <f>IF($D355="Logistics",VLOOKUP($O355,#REF!,2,FALSE),"N/A")</f>
        <v>N/A</v>
      </c>
    </row>
    <row r="356" spans="1:16" ht="13.5" customHeight="1" outlineLevel="1" thickBot="1" x14ac:dyDescent="0.45">
      <c r="A356" s="1191"/>
      <c r="B356" s="4003"/>
      <c r="C356" s="584" t="str">
        <f>B354</f>
        <v>RIB Lower Port Pipe Module installed</v>
      </c>
      <c r="D356" s="584" t="s">
        <v>11</v>
      </c>
      <c r="E356" s="1179">
        <f t="shared" si="11"/>
        <v>0</v>
      </c>
      <c r="F356" s="591" t="e">
        <f>IF($D356="Trigger",VLOOKUP("*"&amp;$C356&amp;"*",'Upper Cask Welding failures'!$E$46:$H$564,4,FALSE),E356+F355)</f>
        <v>#REF!</v>
      </c>
      <c r="G356" s="586"/>
      <c r="H356" s="591" t="str">
        <f>IF(D356="operation",VLOOKUP(G356,#REF!,5,FALSE), "N/A")</f>
        <v>N/A</v>
      </c>
      <c r="I356" s="584"/>
      <c r="J356" s="584"/>
      <c r="K356" s="584"/>
      <c r="L356" s="1179" t="str">
        <f>IFERROR(INDEX(#REF!,MATCH($J356,#REF!,0),MATCH($K356,#REF!,0)),"N/A")</f>
        <v>N/A</v>
      </c>
      <c r="M356" s="1179" t="str">
        <f>IFERROR(VLOOKUP($I356,#REF!,2,FALSE),"N/A")</f>
        <v>N/A</v>
      </c>
      <c r="N356" s="1179" t="str">
        <f t="shared" si="10"/>
        <v>N/A</v>
      </c>
      <c r="O356" s="590"/>
      <c r="P356" s="591" t="str">
        <f>IF($D356="Logistics",VLOOKUP($O356,#REF!,2,FALSE),"N/A")</f>
        <v>N/A</v>
      </c>
    </row>
    <row r="357" spans="1:16" ht="12.75" customHeight="1" outlineLevel="1" thickBot="1" x14ac:dyDescent="0.45">
      <c r="A357" s="1191"/>
      <c r="B357" s="4001" t="s">
        <v>1090</v>
      </c>
      <c r="C357" s="566" t="s">
        <v>1181</v>
      </c>
      <c r="D357" s="566" t="s">
        <v>907</v>
      </c>
      <c r="E357" s="1175">
        <f t="shared" si="11"/>
        <v>0</v>
      </c>
      <c r="F357" s="621">
        <f>IF($D357="Trigger",VLOOKUP("*"&amp;$C357&amp;"*",'Upper Cask Welding failures'!$E$46:$H$564,4,FALSE),E357+F356)</f>
        <v>0</v>
      </c>
      <c r="G357" s="568"/>
      <c r="H357" s="621" t="str">
        <f>IF(D357="operation",VLOOKUP(G357,'Upper Hot Cell Welding failures'!E396:I473,5,FALSE), "N/A")</f>
        <v>N/A</v>
      </c>
      <c r="I357" s="566"/>
      <c r="J357" s="566"/>
      <c r="K357" s="566"/>
      <c r="L357" s="1175" t="str">
        <f>IFERROR(INDEX(#REF!,MATCH($J357,#REF!,0),MATCH($K357,#REF!,0)),"N/A")</f>
        <v>N/A</v>
      </c>
      <c r="M357" s="1175" t="str">
        <f>IFERROR(VLOOKUP($I357,#REF!,2,FALSE),"N/A")</f>
        <v>N/A</v>
      </c>
      <c r="N357" s="1175" t="str">
        <f t="shared" si="10"/>
        <v>N/A</v>
      </c>
      <c r="O357" s="620"/>
      <c r="P357" s="621" t="str">
        <f>IF($D357="Logistics",VLOOKUP($O357,#REF!,2,FALSE),"N/A")</f>
        <v>N/A</v>
      </c>
    </row>
    <row r="358" spans="1:16" ht="12.75" customHeight="1" outlineLevel="1" x14ac:dyDescent="0.4">
      <c r="A358" s="1191"/>
      <c r="B358" s="4002"/>
      <c r="C358" s="573" t="s">
        <v>1182</v>
      </c>
      <c r="D358" s="573" t="s">
        <v>251</v>
      </c>
      <c r="E358" s="1176" t="e">
        <f t="shared" si="11"/>
        <v>#REF!</v>
      </c>
      <c r="F358" s="580" t="e">
        <f>IF($D358="Trigger",VLOOKUP("*"&amp;$C358&amp;"*",'Upper Cask Welding failures'!$E$46:$H$564,4,FALSE),E358+F357)</f>
        <v>#REF!</v>
      </c>
      <c r="G358" s="575" t="s">
        <v>1184</v>
      </c>
      <c r="H358" s="621" t="e">
        <f>IF(D358="operation",VLOOKUP(G358,#REF!,4,FALSE), "N/A")</f>
        <v>#REF!</v>
      </c>
      <c r="I358" s="573"/>
      <c r="J358" s="573"/>
      <c r="K358" s="573"/>
      <c r="L358" s="1176" t="str">
        <f>IFERROR(INDEX(#REF!,MATCH($J358,#REF!,0),MATCH($K358,#REF!,0)),"N/A")</f>
        <v>N/A</v>
      </c>
      <c r="M358" s="1176" t="str">
        <f>IFERROR(VLOOKUP($I358,#REF!,2,FALSE),"N/A")</f>
        <v>N/A</v>
      </c>
      <c r="N358" s="1176" t="str">
        <f t="shared" si="10"/>
        <v>N/A</v>
      </c>
      <c r="O358" s="579"/>
      <c r="P358" s="580" t="str">
        <f>IF($D358="Logistics",VLOOKUP($O358,#REF!,2,FALSE),"N/A")</f>
        <v>N/A</v>
      </c>
    </row>
    <row r="359" spans="1:16" ht="13.5" customHeight="1" outlineLevel="1" thickBot="1" x14ac:dyDescent="0.45">
      <c r="A359" s="1191"/>
      <c r="B359" s="4003"/>
      <c r="C359" s="584" t="str">
        <f>B357</f>
        <v>LIB Lower Port Pipe Module installed</v>
      </c>
      <c r="D359" s="584" t="s">
        <v>11</v>
      </c>
      <c r="E359" s="1179">
        <f t="shared" si="11"/>
        <v>0</v>
      </c>
      <c r="F359" s="591" t="e">
        <f>IF($D359="Trigger",VLOOKUP("*"&amp;$C359&amp;"*",'Upper Cask Welding failures'!$E$46:$H$564,4,FALSE),E359+F358)</f>
        <v>#REF!</v>
      </c>
      <c r="G359" s="586"/>
      <c r="H359" s="591" t="str">
        <f>IF(D359="operation",VLOOKUP(G359,#REF!,5,FALSE), "N/A")</f>
        <v>N/A</v>
      </c>
      <c r="I359" s="584"/>
      <c r="J359" s="584"/>
      <c r="K359" s="584"/>
      <c r="L359" s="1179" t="str">
        <f>IFERROR(INDEX(#REF!,MATCH($J359,#REF!,0),MATCH($K359,#REF!,0)),"N/A")</f>
        <v>N/A</v>
      </c>
      <c r="M359" s="1179" t="str">
        <f>IFERROR(VLOOKUP($I359,#REF!,2,FALSE),"N/A")</f>
        <v>N/A</v>
      </c>
      <c r="N359" s="1179" t="str">
        <f t="shared" si="10"/>
        <v>N/A</v>
      </c>
      <c r="O359" s="590"/>
      <c r="P359" s="591" t="str">
        <f>IF($D359="Logistics",VLOOKUP($O359,#REF!,2,FALSE),"N/A")</f>
        <v>N/A</v>
      </c>
    </row>
    <row r="360" spans="1:16" ht="12.75" customHeight="1" outlineLevel="1" thickBot="1" x14ac:dyDescent="0.45">
      <c r="A360" s="1191"/>
      <c r="B360" s="4001" t="s">
        <v>1093</v>
      </c>
      <c r="C360" s="566" t="s">
        <v>1181</v>
      </c>
      <c r="D360" s="566" t="s">
        <v>907</v>
      </c>
      <c r="E360" s="1175">
        <f t="shared" si="11"/>
        <v>0</v>
      </c>
      <c r="F360" s="621">
        <f>IF($D360="Trigger",VLOOKUP("*"&amp;$C360&amp;"*",'Upper Cask Welding failures'!$E$46:$H$564,4,FALSE),E360+F359)</f>
        <v>0</v>
      </c>
      <c r="G360" s="568"/>
      <c r="H360" s="621" t="str">
        <f>IF(D360="operation",VLOOKUP(G360,'Upper Hot Cell Welding failures'!E399:I476,5,FALSE), "N/A")</f>
        <v>N/A</v>
      </c>
      <c r="I360" s="566"/>
      <c r="J360" s="566"/>
      <c r="K360" s="566"/>
      <c r="L360" s="1175" t="str">
        <f>IFERROR(INDEX(#REF!,MATCH($J360,#REF!,0),MATCH($K360,#REF!,0)),"N/A")</f>
        <v>N/A</v>
      </c>
      <c r="M360" s="1175" t="str">
        <f>IFERROR(VLOOKUP($I360,#REF!,2,FALSE),"N/A")</f>
        <v>N/A</v>
      </c>
      <c r="N360" s="1175" t="str">
        <f t="shared" si="10"/>
        <v>N/A</v>
      </c>
      <c r="O360" s="620"/>
      <c r="P360" s="621" t="str">
        <f>IF($D360="Logistics",VLOOKUP($O360,#REF!,2,FALSE),"N/A")</f>
        <v>N/A</v>
      </c>
    </row>
    <row r="361" spans="1:16" ht="12.75" customHeight="1" outlineLevel="1" x14ac:dyDescent="0.4">
      <c r="A361" s="1191"/>
      <c r="B361" s="4002"/>
      <c r="C361" s="573" t="s">
        <v>1182</v>
      </c>
      <c r="D361" s="573" t="s">
        <v>251</v>
      </c>
      <c r="E361" s="1176" t="e">
        <f t="shared" si="11"/>
        <v>#REF!</v>
      </c>
      <c r="F361" s="580" t="e">
        <f>IF($D361="Trigger",VLOOKUP("*"&amp;$C361&amp;"*",'Upper Cask Welding failures'!$E$46:$H$564,4,FALSE),E361+F360)</f>
        <v>#REF!</v>
      </c>
      <c r="G361" s="575" t="s">
        <v>1185</v>
      </c>
      <c r="H361" s="621" t="e">
        <f>IF(D361="operation",VLOOKUP(G361,#REF!,4,FALSE), "N/A")</f>
        <v>#REF!</v>
      </c>
      <c r="I361" s="573"/>
      <c r="J361" s="573"/>
      <c r="K361" s="573"/>
      <c r="L361" s="1176" t="str">
        <f>IFERROR(INDEX(#REF!,MATCH($J361,#REF!,0),MATCH($K361,#REF!,0)),"N/A")</f>
        <v>N/A</v>
      </c>
      <c r="M361" s="1176" t="str">
        <f>IFERROR(VLOOKUP($I361,#REF!,2,FALSE),"N/A")</f>
        <v>N/A</v>
      </c>
      <c r="N361" s="1176" t="str">
        <f t="shared" si="10"/>
        <v>N/A</v>
      </c>
      <c r="O361" s="579"/>
      <c r="P361" s="580" t="str">
        <f>IF($D361="Logistics",VLOOKUP($O361,#REF!,2,FALSE),"N/A")</f>
        <v>N/A</v>
      </c>
    </row>
    <row r="362" spans="1:16" ht="13.5" customHeight="1" outlineLevel="1" thickBot="1" x14ac:dyDescent="0.45">
      <c r="A362" s="1191"/>
      <c r="B362" s="4003"/>
      <c r="C362" s="584" t="str">
        <f>B360</f>
        <v>ROB Lower Port Pipe Module installed</v>
      </c>
      <c r="D362" s="584" t="s">
        <v>11</v>
      </c>
      <c r="E362" s="1179">
        <f t="shared" si="11"/>
        <v>0</v>
      </c>
      <c r="F362" s="591" t="e">
        <f>IF($D362="Trigger",VLOOKUP("*"&amp;$C362&amp;"*",'Upper Cask Welding failures'!$E$46:$H$564,4,FALSE),E362+F361)</f>
        <v>#REF!</v>
      </c>
      <c r="G362" s="586"/>
      <c r="H362" s="591" t="str">
        <f>IF(D362="operation",VLOOKUP(G362,#REF!,5,FALSE), "N/A")</f>
        <v>N/A</v>
      </c>
      <c r="I362" s="584"/>
      <c r="J362" s="584"/>
      <c r="K362" s="584"/>
      <c r="L362" s="1179" t="str">
        <f>IFERROR(INDEX(#REF!,MATCH($J362,#REF!,0),MATCH($K362,#REF!,0)),"N/A")</f>
        <v>N/A</v>
      </c>
      <c r="M362" s="1179" t="str">
        <f>IFERROR(VLOOKUP($I362,#REF!,2,FALSE),"N/A")</f>
        <v>N/A</v>
      </c>
      <c r="N362" s="1179" t="str">
        <f t="shared" si="10"/>
        <v>N/A</v>
      </c>
      <c r="O362" s="590"/>
      <c r="P362" s="591" t="str">
        <f>IF($D362="Logistics",VLOOKUP($O362,#REF!,2,FALSE),"N/A")</f>
        <v>N/A</v>
      </c>
    </row>
    <row r="363" spans="1:16" ht="12.75" customHeight="1" outlineLevel="1" thickBot="1" x14ac:dyDescent="0.45">
      <c r="A363" s="1191"/>
      <c r="B363" s="4001" t="s">
        <v>1096</v>
      </c>
      <c r="C363" s="566" t="s">
        <v>1181</v>
      </c>
      <c r="D363" s="566" t="s">
        <v>907</v>
      </c>
      <c r="E363" s="1175">
        <f t="shared" si="11"/>
        <v>0</v>
      </c>
      <c r="F363" s="621">
        <f>IF($D363="Trigger",VLOOKUP("*"&amp;$C363&amp;"*",'Upper Cask Welding failures'!$E$46:$H$564,4,FALSE),E363+F362)</f>
        <v>0</v>
      </c>
      <c r="G363" s="568"/>
      <c r="H363" s="621" t="str">
        <f>IF(D363="operation",VLOOKUP(G363,'Upper Hot Cell Welding failures'!E402:I479,5,FALSE), "N/A")</f>
        <v>N/A</v>
      </c>
      <c r="I363" s="566"/>
      <c r="J363" s="566"/>
      <c r="K363" s="566"/>
      <c r="L363" s="1175" t="str">
        <f>IFERROR(INDEX(#REF!,MATCH($J363,#REF!,0),MATCH($K363,#REF!,0)),"N/A")</f>
        <v>N/A</v>
      </c>
      <c r="M363" s="1175" t="str">
        <f>IFERROR(VLOOKUP($I363,#REF!,2,FALSE),"N/A")</f>
        <v>N/A</v>
      </c>
      <c r="N363" s="1175" t="str">
        <f t="shared" si="10"/>
        <v>N/A</v>
      </c>
      <c r="O363" s="620"/>
      <c r="P363" s="621" t="str">
        <f>IF($D363="Logistics",VLOOKUP($O363,#REF!,2,FALSE),"N/A")</f>
        <v>N/A</v>
      </c>
    </row>
    <row r="364" spans="1:16" ht="12.75" customHeight="1" outlineLevel="1" x14ac:dyDescent="0.4">
      <c r="A364" s="1191"/>
      <c r="B364" s="4002"/>
      <c r="C364" s="573" t="s">
        <v>1182</v>
      </c>
      <c r="D364" s="573" t="s">
        <v>251</v>
      </c>
      <c r="E364" s="1176" t="e">
        <f t="shared" si="11"/>
        <v>#REF!</v>
      </c>
      <c r="F364" s="580" t="e">
        <f>IF($D364="Trigger",VLOOKUP("*"&amp;$C364&amp;"*",'Upper Cask Welding failures'!$E$46:$H$564,4,FALSE),E364+F363)</f>
        <v>#REF!</v>
      </c>
      <c r="G364" s="575" t="s">
        <v>1186</v>
      </c>
      <c r="H364" s="621" t="e">
        <f>IF(D364="operation",VLOOKUP(G364,#REF!,4,FALSE), "N/A")</f>
        <v>#REF!</v>
      </c>
      <c r="I364" s="573"/>
      <c r="J364" s="573"/>
      <c r="K364" s="573"/>
      <c r="L364" s="1176" t="str">
        <f>IFERROR(INDEX(#REF!,MATCH($J364,#REF!,0),MATCH($K364,#REF!,0)),"N/A")</f>
        <v>N/A</v>
      </c>
      <c r="M364" s="1176" t="str">
        <f>IFERROR(VLOOKUP($I364,#REF!,2,FALSE),"N/A")</f>
        <v>N/A</v>
      </c>
      <c r="N364" s="1176" t="str">
        <f t="shared" si="10"/>
        <v>N/A</v>
      </c>
      <c r="O364" s="579"/>
      <c r="P364" s="580" t="str">
        <f>IF($D364="Logistics",VLOOKUP($O364,#REF!,2,FALSE),"N/A")</f>
        <v>N/A</v>
      </c>
    </row>
    <row r="365" spans="1:16" ht="13.5" customHeight="1" outlineLevel="1" thickBot="1" x14ac:dyDescent="0.45">
      <c r="A365" s="1191"/>
      <c r="B365" s="4003"/>
      <c r="C365" s="584" t="str">
        <f>B363</f>
        <v>LOB Lower Port Pipe Module installed</v>
      </c>
      <c r="D365" s="584" t="s">
        <v>11</v>
      </c>
      <c r="E365" s="1179">
        <f t="shared" si="11"/>
        <v>0</v>
      </c>
      <c r="F365" s="591" t="e">
        <f>IF($D365="Trigger",VLOOKUP("*"&amp;$C365&amp;"*",'Upper Cask Welding failures'!$E$46:$H$564,4,FALSE),E365+F364)</f>
        <v>#REF!</v>
      </c>
      <c r="G365" s="586"/>
      <c r="H365" s="591" t="str">
        <f>IF(D365="operation",VLOOKUP(G365,#REF!,5,FALSE), "N/A")</f>
        <v>N/A</v>
      </c>
      <c r="I365" s="584"/>
      <c r="J365" s="584"/>
      <c r="K365" s="584"/>
      <c r="L365" s="1179" t="str">
        <f>IFERROR(INDEX(#REF!,MATCH($J365,#REF!,0),MATCH($K365,#REF!,0)),"N/A")</f>
        <v>N/A</v>
      </c>
      <c r="M365" s="1179" t="str">
        <f>IFERROR(VLOOKUP($I365,#REF!,2,FALSE),"N/A")</f>
        <v>N/A</v>
      </c>
      <c r="N365" s="1179" t="str">
        <f t="shared" si="10"/>
        <v>N/A</v>
      </c>
      <c r="O365" s="590"/>
      <c r="P365" s="591" t="str">
        <f>IF($D365="Logistics",VLOOKUP($O365,#REF!,2,FALSE),"N/A")</f>
        <v>N/A</v>
      </c>
    </row>
    <row r="366" spans="1:16" ht="13.3" thickBot="1" x14ac:dyDescent="0.45">
      <c r="A366" s="1195"/>
      <c r="B366" s="1554"/>
      <c r="C366" s="1196"/>
      <c r="D366" s="1196"/>
      <c r="E366" s="1196"/>
      <c r="F366" s="1196"/>
      <c r="G366" s="1196"/>
      <c r="H366" s="1555"/>
      <c r="I366" s="1196"/>
      <c r="J366" s="1196"/>
      <c r="K366" s="1196"/>
      <c r="L366" s="1197"/>
      <c r="M366" s="1197"/>
      <c r="N366" s="1197"/>
      <c r="O366" s="1196"/>
      <c r="P366" s="1198"/>
    </row>
    <row r="367" spans="1:16" x14ac:dyDescent="0.4">
      <c r="A367" s="1199"/>
      <c r="B367" s="1200" t="s">
        <v>1195</v>
      </c>
      <c r="C367" s="1200"/>
      <c r="D367" s="1200"/>
      <c r="E367" s="1200"/>
      <c r="F367" s="1200"/>
      <c r="G367" s="1200"/>
      <c r="H367" s="1200"/>
      <c r="I367" s="1200"/>
      <c r="J367" s="1200"/>
      <c r="K367" s="1200"/>
      <c r="L367" s="1200"/>
      <c r="M367" s="1200"/>
      <c r="N367" s="1200"/>
      <c r="O367" s="1200"/>
      <c r="P367" s="1201"/>
    </row>
    <row r="368" spans="1:16" ht="13.3" outlineLevel="1" thickBot="1" x14ac:dyDescent="0.45">
      <c r="A368" s="1202"/>
      <c r="B368" s="1556"/>
      <c r="C368" s="1203"/>
      <c r="D368" s="1203"/>
      <c r="E368" s="1203"/>
      <c r="F368" s="1203"/>
      <c r="G368" s="1203"/>
      <c r="H368" s="1557"/>
      <c r="I368" s="1203"/>
      <c r="J368" s="1203"/>
      <c r="K368" s="1203"/>
      <c r="L368" s="1204"/>
      <c r="M368" s="1204"/>
      <c r="N368" s="1204"/>
      <c r="O368" s="1203"/>
      <c r="P368" s="1205"/>
    </row>
    <row r="369" spans="1:16" s="89" customFormat="1" outlineLevel="1" x14ac:dyDescent="0.35">
      <c r="A369" s="1202"/>
      <c r="B369" s="3970" t="s">
        <v>1354</v>
      </c>
      <c r="C369" s="617" t="s">
        <v>1109</v>
      </c>
      <c r="D369" s="617" t="s">
        <v>907</v>
      </c>
      <c r="E369" s="567">
        <f t="shared" ref="E369:E508" si="12">MAX($P369,$N369,$H369)</f>
        <v>0</v>
      </c>
      <c r="F369" s="567">
        <f>IF($D369="Trigger",VLOOKUP($C369,'Upper Cask Welding failures'!$E$318:$H$400,4,FALSE),E369+F368)</f>
        <v>0</v>
      </c>
      <c r="G369" s="568"/>
      <c r="H369" s="569" t="str">
        <f>IF(D369="operation",VLOOKUP(G369,'Generic Vertical Port Tasks'!C381:D412,2,FALSE),"N/A")</f>
        <v>N/A</v>
      </c>
      <c r="I369" s="617"/>
      <c r="J369" s="617"/>
      <c r="K369" s="617"/>
      <c r="L369" s="618" t="str">
        <f>IFERROR(INDEX('Upper Cask Movement &amp; Logistics'!$I$24:$O$30,MATCH($J369,'Upper Cask Movement &amp; Logistics'!$H$24:$H$30,0),MATCH($K369,'Upper Cask Movement &amp; Logistics'!$H$24:$H$30,0)),"N/A")</f>
        <v>N/A</v>
      </c>
      <c r="M369" s="618" t="str">
        <f>IFERROR(VLOOKUP($I369,'Upper Cask Movement &amp; Logistics'!$H$4:$I$8,2,FALSE),"N/A")</f>
        <v>N/A</v>
      </c>
      <c r="N369" s="619" t="str">
        <f t="shared" ref="N369:N443" si="13">IF(D369="Movement",IFERROR((L369/M369)/(60*60),"Error"),"N/A")</f>
        <v>N/A</v>
      </c>
      <c r="O369" s="620"/>
      <c r="P369" s="621" t="str">
        <f>IF($D369="Logistics",VLOOKUP($O369,'Upper Cask Movement &amp; Logistics'!$C$4:$D$77,2,FALSE),"N/A")</f>
        <v>N/A</v>
      </c>
    </row>
    <row r="370" spans="1:16" s="89" customFormat="1" outlineLevel="1" x14ac:dyDescent="0.35">
      <c r="A370" s="1202"/>
      <c r="B370" s="3972"/>
      <c r="C370" s="572" t="s">
        <v>1345</v>
      </c>
      <c r="D370" s="572" t="s">
        <v>778</v>
      </c>
      <c r="E370" s="574">
        <f t="shared" si="12"/>
        <v>0.27777777777777779</v>
      </c>
      <c r="F370" s="574">
        <f>IF($D370="Trigger",VLOOKUP($C370,'Upper Cask Welding failures'!$E$318:$H$400,4,FALSE),E370+F369)</f>
        <v>0.27777777777777779</v>
      </c>
      <c r="G370" s="575"/>
      <c r="H370" s="576" t="str">
        <f>IF(D370="operation",VLOOKUP(G370,'Generic Vertical Port Tasks'!C381:D416,2,FALSE),"N/A")</f>
        <v>N/A</v>
      </c>
      <c r="I370" s="572" t="s">
        <v>1789</v>
      </c>
      <c r="J370" s="572" t="s">
        <v>831</v>
      </c>
      <c r="K370" s="572" t="s">
        <v>914</v>
      </c>
      <c r="L370" s="577">
        <f>IFERROR(INDEX('Upper Cask Movement &amp; Logistics'!$I$24:$O$30,MATCH($J370,'Upper Cask Movement &amp; Logistics'!$H$24:$H$30,0),MATCH($K370,'Upper Cask Movement &amp; Logistics'!$H$24:$H$30,0)),"N/A")</f>
        <v>20</v>
      </c>
      <c r="M370" s="577">
        <f>IFERROR(VLOOKUP($I370,'Upper Cask Movement &amp; Logistics'!$H$4:$I$8,2,FALSE),"N/A")</f>
        <v>0.02</v>
      </c>
      <c r="N370" s="578">
        <f t="shared" si="13"/>
        <v>0.27777777777777779</v>
      </c>
      <c r="O370" s="579"/>
      <c r="P370" s="580" t="str">
        <f>IF($D370="Logistics",VLOOKUP($O370,'Upper Cask Movement &amp; Logistics'!$C$4:$D$77,2,FALSE),"N/A")</f>
        <v>N/A</v>
      </c>
    </row>
    <row r="371" spans="1:16" s="89" customFormat="1" outlineLevel="1" x14ac:dyDescent="0.35">
      <c r="A371" s="1202"/>
      <c r="B371" s="3972"/>
      <c r="C371" s="572" t="s">
        <v>1357</v>
      </c>
      <c r="D371" s="572" t="s">
        <v>3</v>
      </c>
      <c r="E371" s="574">
        <f t="shared" si="12"/>
        <v>0.48000000000000004</v>
      </c>
      <c r="F371" s="574">
        <f>IF($D371="Trigger",VLOOKUP($C371,'Upper Cask Welding failures'!$E$318:$H$400,4,FALSE),E371+F370)</f>
        <v>0.75777777777777788</v>
      </c>
      <c r="G371" s="575"/>
      <c r="H371" s="576" t="str">
        <f>IF(D371="operation",VLOOKUP(G371,'Generic Vertical Port Tasks'!C381:D417,2,FALSE),"N/A")</f>
        <v>N/A</v>
      </c>
      <c r="I371" s="572"/>
      <c r="J371" s="572"/>
      <c r="K371" s="572"/>
      <c r="L371" s="577" t="str">
        <f>IFERROR(INDEX('Upper Cask Movement &amp; Logistics'!$I$24:$O$30,MATCH($J371,'Upper Cask Movement &amp; Logistics'!$H$24:$H$30,0),MATCH($K371,'Upper Cask Movement &amp; Logistics'!$H$24:$H$30,0)),"N/A")</f>
        <v>N/A</v>
      </c>
      <c r="M371" s="577" t="str">
        <f>IFERROR(VLOOKUP($I371,'Upper Cask Movement &amp; Logistics'!$H$4:$I$8,2,FALSE),"N/A")</f>
        <v>N/A</v>
      </c>
      <c r="N371" s="578" t="str">
        <f t="shared" si="13"/>
        <v>N/A</v>
      </c>
      <c r="O371" s="579" t="s">
        <v>1330</v>
      </c>
      <c r="P371" s="580">
        <f>IF($D371="Logistics",VLOOKUP($O371,'Upper Cask Movement &amp; Logistics'!$C$4:$D$77,2,FALSE),"N/A")</f>
        <v>0.48000000000000004</v>
      </c>
    </row>
    <row r="372" spans="1:16" s="89" customFormat="1" outlineLevel="1" x14ac:dyDescent="0.35">
      <c r="A372" s="1202"/>
      <c r="B372" s="3972"/>
      <c r="C372" s="572" t="s">
        <v>1338</v>
      </c>
      <c r="D372" s="572" t="s">
        <v>778</v>
      </c>
      <c r="E372" s="574">
        <f t="shared" si="12"/>
        <v>2.7777777777777776E-2</v>
      </c>
      <c r="F372" s="574">
        <f>IF($D372="Trigger",VLOOKUP($C372,'Upper Cask Welding failures'!$E$318:$H$400,4,FALSE),E372+F371)</f>
        <v>0.78555555555555567</v>
      </c>
      <c r="G372" s="575"/>
      <c r="H372" s="576" t="str">
        <f>IF(D372="operation",VLOOKUP(G372,'Generic Vertical Port Tasks'!C381:D418,2,FALSE),"N/A")</f>
        <v>N/A</v>
      </c>
      <c r="I372" s="572" t="s">
        <v>2502</v>
      </c>
      <c r="J372" s="572" t="s">
        <v>914</v>
      </c>
      <c r="K372" s="572" t="s">
        <v>799</v>
      </c>
      <c r="L372" s="577">
        <f>IFERROR(INDEX('Upper Cask Movement &amp; Logistics'!$I$24:$O$30,MATCH($J372,'Upper Cask Movement &amp; Logistics'!$H$24:$H$30,0),MATCH($K372,'Upper Cask Movement &amp; Logistics'!$H$24:$H$30,0)),"N/A")</f>
        <v>20</v>
      </c>
      <c r="M372" s="577">
        <f>IFERROR(VLOOKUP($I372,'Upper Cask Movement &amp; Logistics'!$H$4:$I$8,2,FALSE),"N/A")</f>
        <v>0.2</v>
      </c>
      <c r="N372" s="578">
        <f t="shared" si="13"/>
        <v>2.7777777777777776E-2</v>
      </c>
      <c r="O372" s="579"/>
      <c r="P372" s="580" t="str">
        <f>IF($D372="Logistics",VLOOKUP($O372,'Upper Cask Movement &amp; Logistics'!$C$4:$D$77,2,FALSE),"N/A")</f>
        <v>N/A</v>
      </c>
    </row>
    <row r="373" spans="1:16" s="89" customFormat="1" outlineLevel="1" x14ac:dyDescent="0.35">
      <c r="A373" s="1202"/>
      <c r="B373" s="4000"/>
      <c r="C373" s="581" t="s">
        <v>1358</v>
      </c>
      <c r="D373" s="581" t="s">
        <v>3</v>
      </c>
      <c r="E373" s="626">
        <f t="shared" si="12"/>
        <v>0.48000000000000004</v>
      </c>
      <c r="F373" s="626">
        <f>IF($D373="Trigger",VLOOKUP($C373,'Upper Cask Welding failures'!$E$318:$H$400,4,FALSE),E373+F372)</f>
        <v>1.2655555555555558</v>
      </c>
      <c r="G373" s="627"/>
      <c r="H373" s="576" t="str">
        <f>IF(D373="operation",VLOOKUP(G373,'Generic Vertical Port Tasks'!C381:D419,2,FALSE),"N/A")</f>
        <v>N/A</v>
      </c>
      <c r="I373" s="581"/>
      <c r="J373" s="581"/>
      <c r="K373" s="581"/>
      <c r="L373" s="577" t="str">
        <f>IFERROR(INDEX('Upper Cask Movement &amp; Logistics'!$I$24:$O$30,MATCH($J373,'Upper Cask Movement &amp; Logistics'!$H$24:$H$30,0),MATCH($K373,'Upper Cask Movement &amp; Logistics'!$H$24:$H$30,0)),"N/A")</f>
        <v>N/A</v>
      </c>
      <c r="M373" s="577" t="str">
        <f>IFERROR(VLOOKUP($I373,'Upper Cask Movement &amp; Logistics'!$H$4:$I$8,2,FALSE),"N/A")</f>
        <v>N/A</v>
      </c>
      <c r="N373" s="578" t="str">
        <f t="shared" si="13"/>
        <v>N/A</v>
      </c>
      <c r="O373" s="579" t="s">
        <v>1331</v>
      </c>
      <c r="P373" s="580">
        <f>IF($D373="Logistics",VLOOKUP($O373,'Upper Cask Movement &amp; Logistics'!$C$4:$D$77,2,FALSE),"N/A")</f>
        <v>0.48000000000000004</v>
      </c>
    </row>
    <row r="374" spans="1:16" s="89" customFormat="1" outlineLevel="1" x14ac:dyDescent="0.35">
      <c r="A374" s="1202"/>
      <c r="B374" s="4000"/>
      <c r="C374" s="581" t="s">
        <v>1222</v>
      </c>
      <c r="D374" s="581" t="s">
        <v>778</v>
      </c>
      <c r="E374" s="626">
        <f t="shared" si="12"/>
        <v>0.69444444444444442</v>
      </c>
      <c r="F374" s="626">
        <f>IF($D374="Trigger",VLOOKUP($C374,'Upper Cask Welding failures'!$E$318:$H$400,4,FALSE),E374+F373)</f>
        <v>1.9600000000000002</v>
      </c>
      <c r="G374" s="627"/>
      <c r="H374" s="576" t="str">
        <f>IF(D374="operation",VLOOKUP(G374,'Generic Vertical Port Tasks'!C381:D419,2,FALSE),"N/A")</f>
        <v>N/A</v>
      </c>
      <c r="I374" s="581" t="s">
        <v>1789</v>
      </c>
      <c r="J374" s="572" t="s">
        <v>799</v>
      </c>
      <c r="K374" s="581" t="s">
        <v>816</v>
      </c>
      <c r="L374" s="577">
        <f>IFERROR(INDEX('Upper Cask Movement &amp; Logistics'!$I$24:$O$30,MATCH($J374,'Upper Cask Movement &amp; Logistics'!$H$24:$H$30,0),MATCH($K374,'Upper Cask Movement &amp; Logistics'!$H$24:$H$30,0)),"N/A")</f>
        <v>50</v>
      </c>
      <c r="M374" s="577">
        <f>IFERROR(VLOOKUP($I374,'Upper Cask Movement &amp; Logistics'!$H$4:$I$8,2,FALSE),"N/A")</f>
        <v>0.02</v>
      </c>
      <c r="N374" s="578">
        <f t="shared" si="13"/>
        <v>0.69444444444444442</v>
      </c>
      <c r="O374" s="579"/>
      <c r="P374" s="580" t="str">
        <f>IF($D374="Logistics",VLOOKUP($O374,'Upper Cask Movement &amp; Logistics'!$C$4:$D$77,2,FALSE),"N/A")</f>
        <v>N/A</v>
      </c>
    </row>
    <row r="375" spans="1:16" s="89" customFormat="1" outlineLevel="1" x14ac:dyDescent="0.35">
      <c r="A375" s="1202"/>
      <c r="B375" s="4000"/>
      <c r="C375" s="581" t="s">
        <v>1359</v>
      </c>
      <c r="D375" s="581" t="s">
        <v>3</v>
      </c>
      <c r="E375" s="626">
        <f t="shared" si="12"/>
        <v>1.6400000000000001</v>
      </c>
      <c r="F375" s="626">
        <f>IF($D375="Trigger",VLOOKUP($C375,'Upper Cask Welding failures'!$E$318:$H$400,4,FALSE),E375+F374)</f>
        <v>3.6000000000000005</v>
      </c>
      <c r="G375" s="627"/>
      <c r="H375" s="576" t="str">
        <f>IF(D375="operation",VLOOKUP(G375,'Generic Vertical Port Tasks'!C381:D420,2,FALSE),"N/A")</f>
        <v>N/A</v>
      </c>
      <c r="I375" s="581"/>
      <c r="J375" s="581"/>
      <c r="K375" s="581"/>
      <c r="L375" s="577" t="str">
        <f>IFERROR(INDEX('Upper Cask Movement &amp; Logistics'!$I$24:$O$30,MATCH($J375,'Upper Cask Movement &amp; Logistics'!$H$24:$H$30,0),MATCH($K375,'Upper Cask Movement &amp; Logistics'!$H$24:$H$30,0)),"N/A")</f>
        <v>N/A</v>
      </c>
      <c r="M375" s="577" t="str">
        <f>IFERROR(VLOOKUP($I375,'Upper Cask Movement &amp; Logistics'!$H$4:$I$8,2,FALSE),"N/A")</f>
        <v>N/A</v>
      </c>
      <c r="N375" s="578" t="str">
        <f t="shared" si="13"/>
        <v>N/A</v>
      </c>
      <c r="O375" s="579" t="s">
        <v>1224</v>
      </c>
      <c r="P375" s="580">
        <f>IF($D375="Logistics",VLOOKUP($O375,'Upper Cask Movement &amp; Logistics'!$C$4:$D$77,2,FALSE),"N/A")</f>
        <v>1.6400000000000001</v>
      </c>
    </row>
    <row r="376" spans="1:16" s="89" customFormat="1" ht="26.15" outlineLevel="1" thickBot="1" x14ac:dyDescent="0.4">
      <c r="A376" s="1202"/>
      <c r="B376" s="4000"/>
      <c r="C376" s="581" t="str">
        <f>B369</f>
        <v>Shield Plug &amp; Fixations &amp; Hardware Cask 3 stored; Equipment Cask 2 collected; Equipment cask 2 docked</v>
      </c>
      <c r="D376" s="581" t="s">
        <v>11</v>
      </c>
      <c r="E376" s="626">
        <f t="shared" si="12"/>
        <v>0</v>
      </c>
      <c r="F376" s="626">
        <f>IF($D376="Trigger",VLOOKUP($C376,'Upper Cask Welding failures'!$E$318:$H$400,4,FALSE),E376+F375)</f>
        <v>3.6000000000000005</v>
      </c>
      <c r="G376" s="627"/>
      <c r="H376" s="576" t="str">
        <f>IF(D376="operation",VLOOKUP(G376,'Generic Vertical Port Tasks'!C381:D421,2,FALSE),"N/A")</f>
        <v>N/A</v>
      </c>
      <c r="I376" s="581"/>
      <c r="J376" s="581"/>
      <c r="K376" s="581"/>
      <c r="L376" s="577" t="str">
        <f>IFERROR(INDEX('Upper Cask Movement &amp; Logistics'!$I$24:$O$30,MATCH($J376,'Upper Cask Movement &amp; Logistics'!$H$24:$H$30,0),MATCH($K376,'Upper Cask Movement &amp; Logistics'!$H$24:$H$30,0)),"N/A")</f>
        <v>N/A</v>
      </c>
      <c r="M376" s="577" t="str">
        <f>IFERROR(VLOOKUP($I376,'Upper Cask Movement &amp; Logistics'!$H$4:$I$8,2,FALSE),"N/A")</f>
        <v>N/A</v>
      </c>
      <c r="N376" s="578" t="str">
        <f t="shared" si="13"/>
        <v>N/A</v>
      </c>
      <c r="O376" s="579"/>
      <c r="P376" s="580" t="str">
        <f>IF($D376="Logistics",VLOOKUP($O376,'Upper Cask Movement &amp; Logistics'!$C$4:$D$77,2,FALSE),"N/A")</f>
        <v>N/A</v>
      </c>
    </row>
    <row r="377" spans="1:16" s="89" customFormat="1" outlineLevel="1" x14ac:dyDescent="0.35">
      <c r="A377" s="1202"/>
      <c r="B377" s="3960" t="s">
        <v>1374</v>
      </c>
      <c r="C377" s="1333" t="s">
        <v>127</v>
      </c>
      <c r="D377" s="1333" t="s">
        <v>907</v>
      </c>
      <c r="E377" s="1303">
        <f t="shared" si="12"/>
        <v>0</v>
      </c>
      <c r="F377" s="1303">
        <f>IF($D377="Trigger",VLOOKUP($C377,'Upper Cask Welding failures'!$E$318:$H$400,4,FALSE),E377+F376)</f>
        <v>2.1549155317167692</v>
      </c>
      <c r="G377" s="1304"/>
      <c r="H377" s="1305" t="str">
        <f>IF(D377="operation",VLOOKUP(G377,'Generic Vertical Port Tasks'!C333:D392,2,FALSE),"N/A")</f>
        <v>N/A</v>
      </c>
      <c r="I377" s="1333"/>
      <c r="J377" s="1333"/>
      <c r="K377" s="1333"/>
      <c r="L377" s="1334" t="str">
        <f>IFERROR(INDEX('Upper Cask Movement &amp; Logistics'!$I$24:$O$30,MATCH($J377,'Upper Cask Movement &amp; Logistics'!$H$24:$H$30,0),MATCH($K377,'Upper Cask Movement &amp; Logistics'!$H$24:$H$30,0)),"N/A")</f>
        <v>N/A</v>
      </c>
      <c r="M377" s="1334" t="str">
        <f>IFERROR(VLOOKUP($I377,'Upper Cask Movement &amp; Logistics'!$H$4:$I$8,2,FALSE),"N/A")</f>
        <v>N/A</v>
      </c>
      <c r="N377" s="1335" t="str">
        <f t="shared" si="13"/>
        <v>N/A</v>
      </c>
      <c r="O377" s="1336"/>
      <c r="P377" s="1337" t="str">
        <f>IF($D377="Logistics",VLOOKUP($O377,'Upper Cask Movement &amp; Logistics'!$C$4:$D$77,2,FALSE),"N/A")</f>
        <v>N/A</v>
      </c>
    </row>
    <row r="378" spans="1:16" s="89" customFormat="1" outlineLevel="1" x14ac:dyDescent="0.35">
      <c r="A378" s="1202"/>
      <c r="B378" s="3968"/>
      <c r="C378" s="1240" t="s">
        <v>1369</v>
      </c>
      <c r="D378" s="1240" t="s">
        <v>3</v>
      </c>
      <c r="E378" s="1241">
        <f t="shared" si="12"/>
        <v>2.3000000000000003</v>
      </c>
      <c r="F378" s="1241">
        <f>IF($D378="Trigger",VLOOKUP($C378,'Upper Cask Welding failures'!$E$318:$H$400,4,FALSE),E378+F377)</f>
        <v>4.4549155317167699</v>
      </c>
      <c r="G378" s="1354"/>
      <c r="H378" s="1355" t="str">
        <f>IF(D378="operation",VLOOKUP(G378,'Generic Vertical Port Tasks'!C333:D392,2,FALSE),"N/A")</f>
        <v>N/A</v>
      </c>
      <c r="I378" s="1240"/>
      <c r="J378" s="1240"/>
      <c r="K378" s="1240"/>
      <c r="L378" s="1242" t="str">
        <f>IFERROR(INDEX('Upper Cask Movement &amp; Logistics'!$I$24:$O$30,MATCH($J378,'Upper Cask Movement &amp; Logistics'!$H$24:$H$30,0),MATCH($K378,'Upper Cask Movement &amp; Logistics'!$H$24:$H$30,0)),"N/A")</f>
        <v>N/A</v>
      </c>
      <c r="M378" s="1242" t="str">
        <f>IFERROR(VLOOKUP($I378,'Upper Cask Movement &amp; Logistics'!$H$4:$I$8,2,FALSE),"N/A")</f>
        <v>N/A</v>
      </c>
      <c r="N378" s="1356" t="str">
        <f t="shared" si="13"/>
        <v>N/A</v>
      </c>
      <c r="O378" s="1357" t="s">
        <v>1269</v>
      </c>
      <c r="P378" s="1358">
        <f>IF($D378="Logistics",VLOOKUP($O378,'Upper Cask Movement &amp; Logistics'!$C$4:$D$77,2,FALSE),"N/A")</f>
        <v>2.3000000000000003</v>
      </c>
    </row>
    <row r="379" spans="1:16" s="89" customFormat="1" outlineLevel="1" x14ac:dyDescent="0.35">
      <c r="A379" s="1202"/>
      <c r="B379" s="3961"/>
      <c r="C379" s="1243" t="s">
        <v>1370</v>
      </c>
      <c r="D379" s="1243" t="s">
        <v>778</v>
      </c>
      <c r="E379" s="1244">
        <f t="shared" si="12"/>
        <v>0.69444444444444442</v>
      </c>
      <c r="F379" s="1244">
        <f>IF($D379="Trigger",VLOOKUP($C379,'Upper Cask Welding failures'!$E$318:$H$400,4,FALSE),E379+F378)</f>
        <v>5.1493599761612145</v>
      </c>
      <c r="G379" s="1309"/>
      <c r="H379" s="1310" t="str">
        <f>IF(D379="operation",VLOOKUP(G379,'Generic Vertical Port Tasks'!C333:D392,2,FALSE),"N/A")</f>
        <v>N/A</v>
      </c>
      <c r="I379" s="1243" t="s">
        <v>1789</v>
      </c>
      <c r="J379" s="1243" t="s">
        <v>901</v>
      </c>
      <c r="K379" s="1243" t="s">
        <v>831</v>
      </c>
      <c r="L379" s="1245">
        <f>IFERROR(INDEX('Upper Cask Movement &amp; Logistics'!$I$24:$O$30,MATCH($J379,'Upper Cask Movement &amp; Logistics'!$H$24:$H$30,0),MATCH($K379,'Upper Cask Movement &amp; Logistics'!$H$24:$H$30,0)),"N/A")</f>
        <v>50</v>
      </c>
      <c r="M379" s="1245">
        <f>IFERROR(VLOOKUP($I379,'Upper Cask Movement &amp; Logistics'!$H$4:$I$8,2,FALSE),"N/A")</f>
        <v>0.02</v>
      </c>
      <c r="N379" s="1311">
        <f t="shared" si="13"/>
        <v>0.69444444444444442</v>
      </c>
      <c r="O379" s="1312"/>
      <c r="P379" s="1313" t="str">
        <f>IF($D379="Logistics",VLOOKUP($O379,'Upper Cask Movement &amp; Logistics'!$C$4:$D$77,2,FALSE),"N/A")</f>
        <v>N/A</v>
      </c>
    </row>
    <row r="380" spans="1:16" s="89" customFormat="1" outlineLevel="1" x14ac:dyDescent="0.35">
      <c r="A380" s="1202"/>
      <c r="B380" s="3961"/>
      <c r="C380" s="1243" t="s">
        <v>1375</v>
      </c>
      <c r="D380" s="1243" t="s">
        <v>3</v>
      </c>
      <c r="E380" s="1244">
        <f t="shared" si="12"/>
        <v>0.68</v>
      </c>
      <c r="F380" s="1244">
        <f>IF($D380="Trigger",VLOOKUP($C380,'Upper Cask Welding failures'!$E$318:$H$400,4,FALSE),E380+F379)</f>
        <v>5.8293599761612143</v>
      </c>
      <c r="G380" s="1309"/>
      <c r="H380" s="1310" t="str">
        <f>IF(D380="operation",VLOOKUP(G380,'Generic Vertical Port Tasks'!C333:D392,2,FALSE),"N/A")</f>
        <v>N/A</v>
      </c>
      <c r="I380" s="1243"/>
      <c r="J380" s="1243"/>
      <c r="K380" s="1243"/>
      <c r="L380" s="1245" t="str">
        <f>IFERROR(INDEX('Upper Cask Movement &amp; Logistics'!$I$24:$O$30,MATCH($J380,'Upper Cask Movement &amp; Logistics'!$H$24:$H$30,0),MATCH($K380,'Upper Cask Movement &amp; Logistics'!$H$24:$H$30,0)),"N/A")</f>
        <v>N/A</v>
      </c>
      <c r="M380" s="1245" t="str">
        <f>IFERROR(VLOOKUP($I380,'Upper Cask Movement &amp; Logistics'!$H$4:$I$8,2,FALSE),"N/A")</f>
        <v>N/A</v>
      </c>
      <c r="N380" s="1311" t="str">
        <f t="shared" si="13"/>
        <v>N/A</v>
      </c>
      <c r="O380" s="1312" t="s">
        <v>1213</v>
      </c>
      <c r="P380" s="1313">
        <f>IF($D380="Logistics",VLOOKUP($O380,'Upper Cask Movement &amp; Logistics'!$C$4:$D$77,2,FALSE),"N/A")</f>
        <v>0.68</v>
      </c>
    </row>
    <row r="381" spans="1:16" s="89" customFormat="1" outlineLevel="1" x14ac:dyDescent="0.35">
      <c r="A381" s="1202"/>
      <c r="B381" s="3961"/>
      <c r="C381" s="1249" t="s">
        <v>1366</v>
      </c>
      <c r="D381" s="1249" t="s">
        <v>778</v>
      </c>
      <c r="E381" s="1244">
        <f t="shared" si="12"/>
        <v>0.23148148148148148</v>
      </c>
      <c r="F381" s="1244">
        <f>IF($D381="Trigger",VLOOKUP($C381,'Upper Cask Welding failures'!$E$318:$H$400,4,FALSE),E381+F380)</f>
        <v>6.0608414576426961</v>
      </c>
      <c r="G381" s="1309"/>
      <c r="H381" s="1310" t="str">
        <f>IF(D381="operation",VLOOKUP(G381,'Generic Vertical Port Tasks'!C333:D392,2,FALSE),"N/A")</f>
        <v>N/A</v>
      </c>
      <c r="I381" s="1249" t="s">
        <v>2501</v>
      </c>
      <c r="J381" s="1249" t="s">
        <v>831</v>
      </c>
      <c r="K381" s="1249" t="s">
        <v>901</v>
      </c>
      <c r="L381" s="1245">
        <f>IFERROR(INDEX('Upper Cask Movement &amp; Logistics'!$I$24:$O$30,MATCH($J381,'Upper Cask Movement &amp; Logistics'!$H$24:$H$30,0),MATCH($K381,'Upper Cask Movement &amp; Logistics'!$H$24:$H$30,0)),"N/A")</f>
        <v>50</v>
      </c>
      <c r="M381" s="1245">
        <f>IFERROR(VLOOKUP($I381,'Upper Cask Movement &amp; Logistics'!$H$4:$I$8,2,FALSE),"N/A")</f>
        <v>0.06</v>
      </c>
      <c r="N381" s="1311">
        <f t="shared" si="13"/>
        <v>0.23148148148148148</v>
      </c>
      <c r="O381" s="1339"/>
      <c r="P381" s="1313" t="str">
        <f>IF($D381="Logistics",VLOOKUP($O381,'Upper Cask Movement &amp; Logistics'!$C$4:$D$77,2,FALSE),"N/A")</f>
        <v>N/A</v>
      </c>
    </row>
    <row r="382" spans="1:16" s="89" customFormat="1" outlineLevel="1" x14ac:dyDescent="0.35">
      <c r="A382" s="1202"/>
      <c r="B382" s="3961"/>
      <c r="C382" s="1249" t="s">
        <v>1367</v>
      </c>
      <c r="D382" s="1249" t="s">
        <v>3</v>
      </c>
      <c r="E382" s="1244">
        <f t="shared" si="12"/>
        <v>1.4000000000000001</v>
      </c>
      <c r="F382" s="1244">
        <f>IF($D382="Trigger",VLOOKUP($C382,'Upper Cask Welding failures'!$E$318:$H$400,4,FALSE),E382+F381)</f>
        <v>7.4608414576426965</v>
      </c>
      <c r="G382" s="1309"/>
      <c r="H382" s="1310" t="str">
        <f>IF(D382="operation",VLOOKUP(G382,'Generic Vertical Port Tasks'!C333:D392,2,FALSE),"N/A")</f>
        <v>N/A</v>
      </c>
      <c r="I382" s="1249"/>
      <c r="J382" s="1249"/>
      <c r="K382" s="1249"/>
      <c r="L382" s="1245" t="str">
        <f>IFERROR(INDEX('Upper Cask Movement &amp; Logistics'!$I$24:$O$30,MATCH($J382,'Upper Cask Movement &amp; Logistics'!$H$24:$H$30,0),MATCH($K382,'Upper Cask Movement &amp; Logistics'!$H$24:$H$30,0)),"N/A")</f>
        <v>N/A</v>
      </c>
      <c r="M382" s="1245" t="str">
        <f>IFERROR(VLOOKUP($I382,'Upper Cask Movement &amp; Logistics'!$H$4:$I$8,2,FALSE),"N/A")</f>
        <v>N/A</v>
      </c>
      <c r="N382" s="1311" t="str">
        <f t="shared" si="13"/>
        <v>N/A</v>
      </c>
      <c r="O382" s="1339" t="s">
        <v>1277</v>
      </c>
      <c r="P382" s="1313">
        <f>IF($D382="Logistics",VLOOKUP($O382,'Upper Cask Movement &amp; Logistics'!$C$4:$D$77,2,FALSE),"N/A")</f>
        <v>1.4000000000000001</v>
      </c>
    </row>
    <row r="383" spans="1:16" s="89" customFormat="1" ht="13.3" outlineLevel="1" thickBot="1" x14ac:dyDescent="0.4">
      <c r="A383" s="1202"/>
      <c r="B383" s="3963"/>
      <c r="C383" s="1314" t="s">
        <v>1374</v>
      </c>
      <c r="D383" s="1314" t="s">
        <v>11</v>
      </c>
      <c r="E383" s="1316">
        <f t="shared" si="12"/>
        <v>0</v>
      </c>
      <c r="F383" s="1316">
        <f>IF($D383="Trigger",VLOOKUP($C383,'Upper Cask Welding failures'!$E$318:$H$400,4,FALSE),E383+F382)</f>
        <v>7.4608414576426965</v>
      </c>
      <c r="G383" s="1317"/>
      <c r="H383" s="1318" t="str">
        <f>IF(D383="operation",VLOOKUP(G383,'Generic Vertical Port Tasks'!C333:D392,2,FALSE),"N/A")</f>
        <v>N/A</v>
      </c>
      <c r="I383" s="1314"/>
      <c r="J383" s="1314"/>
      <c r="K383" s="1314"/>
      <c r="L383" s="1319" t="str">
        <f>IFERROR(INDEX('Upper Cask Movement &amp; Logistics'!$I$24:$O$30,MATCH($J383,'Upper Cask Movement &amp; Logistics'!$H$24:$H$30,0),MATCH($K383,'Upper Cask Movement &amp; Logistics'!$H$24:$H$30,0)),"N/A")</f>
        <v>N/A</v>
      </c>
      <c r="M383" s="1319" t="str">
        <f>IFERROR(VLOOKUP($I383,'Upper Cask Movement &amp; Logistics'!$H$4:$I$8,2,FALSE),"N/A")</f>
        <v>N/A</v>
      </c>
      <c r="N383" s="1320" t="str">
        <f t="shared" si="13"/>
        <v>N/A</v>
      </c>
      <c r="O383" s="1321"/>
      <c r="P383" s="1322" t="str">
        <f>IF($D383="Logistics",VLOOKUP($O383,'Upper Cask Movement &amp; Logistics'!$C$4:$D$77,2,FALSE),"N/A")</f>
        <v>N/A</v>
      </c>
    </row>
    <row r="384" spans="1:16" s="89" customFormat="1" outlineLevel="1" x14ac:dyDescent="0.35">
      <c r="A384" s="1202"/>
      <c r="B384" s="3964" t="s">
        <v>1376</v>
      </c>
      <c r="C384" s="1324" t="s">
        <v>129</v>
      </c>
      <c r="D384" s="1324" t="s">
        <v>907</v>
      </c>
      <c r="E384" s="1291">
        <f t="shared" si="12"/>
        <v>0</v>
      </c>
      <c r="F384" s="1291">
        <f>IF($D384="Trigger",VLOOKUP($C384,'Upper Cask Welding failures'!$E$318:$H$400,4,FALSE),E384+F383)</f>
        <v>13.669831063433541</v>
      </c>
      <c r="G384" s="825"/>
      <c r="H384" s="1323" t="str">
        <f>IF(D384="operation",VLOOKUP(G384,'Generic Vertical Port Tasks'!C333:D392,2,FALSE),"N/A")</f>
        <v>N/A</v>
      </c>
      <c r="I384" s="1324"/>
      <c r="J384" s="1324"/>
      <c r="K384" s="1324"/>
      <c r="L384" s="1325" t="str">
        <f>IFERROR(INDEX('Upper Cask Movement &amp; Logistics'!$I$24:$O$30,MATCH($J384,'Upper Cask Movement &amp; Logistics'!$H$24:$H$30,0),MATCH($K384,'Upper Cask Movement &amp; Logistics'!$H$24:$H$30,0)),"N/A")</f>
        <v>N/A</v>
      </c>
      <c r="M384" s="1325" t="str">
        <f>IFERROR(VLOOKUP($I384,'Upper Cask Movement &amp; Logistics'!$H$4:$I$8,2,FALSE),"N/A")</f>
        <v>N/A</v>
      </c>
      <c r="N384" s="1326" t="str">
        <f t="shared" si="13"/>
        <v>N/A</v>
      </c>
      <c r="O384" s="1327"/>
      <c r="P384" s="824" t="str">
        <f>IF($D384="Logistics",VLOOKUP($O384,'Upper Cask Movement &amp; Logistics'!$C$4:$D$77,2,FALSE),"N/A")</f>
        <v>N/A</v>
      </c>
    </row>
    <row r="385" spans="1:16" s="89" customFormat="1" outlineLevel="1" x14ac:dyDescent="0.35">
      <c r="A385" s="1202"/>
      <c r="B385" s="3969"/>
      <c r="C385" s="1362" t="s">
        <v>1377</v>
      </c>
      <c r="D385" s="1362" t="s">
        <v>3</v>
      </c>
      <c r="E385" s="1363">
        <f t="shared" si="12"/>
        <v>2.3000000000000003</v>
      </c>
      <c r="F385" s="1363">
        <f>IF($D385="Trigger",VLOOKUP($C385,'Upper Cask Welding failures'!$E$318:$H$400,4,FALSE),E385+F384)</f>
        <v>15.969831063433542</v>
      </c>
      <c r="G385" s="1364"/>
      <c r="H385" s="1365" t="str">
        <f>IF(D385="operation",VLOOKUP(G385,'Generic Vertical Port Tasks'!C333:D392,2,FALSE),"N/A")</f>
        <v>N/A</v>
      </c>
      <c r="I385" s="1362"/>
      <c r="J385" s="1362"/>
      <c r="K385" s="1362"/>
      <c r="L385" s="1366" t="str">
        <f>IFERROR(INDEX('Upper Cask Movement &amp; Logistics'!$I$24:$O$30,MATCH($J385,'Upper Cask Movement &amp; Logistics'!$H$24:$H$30,0),MATCH($K385,'Upper Cask Movement &amp; Logistics'!$H$24:$H$30,0)),"N/A")</f>
        <v>N/A</v>
      </c>
      <c r="M385" s="1366" t="str">
        <f>IFERROR(VLOOKUP($I385,'Upper Cask Movement &amp; Logistics'!$H$4:$I$8,2,FALSE),"N/A")</f>
        <v>N/A</v>
      </c>
      <c r="N385" s="1367" t="str">
        <f t="shared" si="13"/>
        <v>N/A</v>
      </c>
      <c r="O385" s="1368" t="s">
        <v>1269</v>
      </c>
      <c r="P385" s="861">
        <f>IF($D385="Logistics",VLOOKUP($O385,'Upper Cask Movement &amp; Logistics'!$C$4:$D$77,2,FALSE),"N/A")</f>
        <v>2.3000000000000003</v>
      </c>
    </row>
    <row r="386" spans="1:16" s="89" customFormat="1" outlineLevel="1" x14ac:dyDescent="0.35">
      <c r="A386" s="1202"/>
      <c r="B386" s="3965"/>
      <c r="C386" s="1294" t="s">
        <v>1370</v>
      </c>
      <c r="D386" s="1294" t="s">
        <v>778</v>
      </c>
      <c r="E386" s="1292">
        <f t="shared" si="12"/>
        <v>0.69444444444444442</v>
      </c>
      <c r="F386" s="1292">
        <f>IF($D386="Trigger",VLOOKUP($C386,'Upper Cask Welding failures'!$E$318:$H$400,4,FALSE),E386+F385)</f>
        <v>16.664275507877985</v>
      </c>
      <c r="G386" s="862"/>
      <c r="H386" s="1328" t="str">
        <f>IF(D386="operation",VLOOKUP(G386,'Generic Vertical Port Tasks'!C333:D392,2,FALSE),"N/A")</f>
        <v>N/A</v>
      </c>
      <c r="I386" s="1294" t="s">
        <v>1789</v>
      </c>
      <c r="J386" s="1294" t="s">
        <v>901</v>
      </c>
      <c r="K386" s="1294" t="s">
        <v>831</v>
      </c>
      <c r="L386" s="1329">
        <f>IFERROR(INDEX('Upper Cask Movement &amp; Logistics'!$I$24:$O$30,MATCH($J386,'Upper Cask Movement &amp; Logistics'!$H$24:$H$30,0),MATCH($K386,'Upper Cask Movement &amp; Logistics'!$H$24:$H$30,0)),"N/A")</f>
        <v>50</v>
      </c>
      <c r="M386" s="1329">
        <f>IFERROR(VLOOKUP($I386,'Upper Cask Movement &amp; Logistics'!$H$4:$I$8,2,FALSE),"N/A")</f>
        <v>0.02</v>
      </c>
      <c r="N386" s="1330">
        <f t="shared" si="13"/>
        <v>0.69444444444444442</v>
      </c>
      <c r="O386" s="1331"/>
      <c r="P386" s="1332" t="str">
        <f>IF($D386="Logistics",VLOOKUP($O386,'Upper Cask Movement &amp; Logistics'!$C$4:$D$77,2,FALSE),"N/A")</f>
        <v>N/A</v>
      </c>
    </row>
    <row r="387" spans="1:16" s="89" customFormat="1" outlineLevel="1" x14ac:dyDescent="0.35">
      <c r="A387" s="1202"/>
      <c r="B387" s="3965"/>
      <c r="C387" s="1294" t="s">
        <v>1378</v>
      </c>
      <c r="D387" s="1294" t="s">
        <v>3</v>
      </c>
      <c r="E387" s="1292">
        <f t="shared" si="12"/>
        <v>0.68</v>
      </c>
      <c r="F387" s="1292">
        <f>IF($D387="Trigger",VLOOKUP($C387,'Upper Cask Welding failures'!$E$318:$H$400,4,FALSE),E387+F386)</f>
        <v>17.344275507877985</v>
      </c>
      <c r="G387" s="862"/>
      <c r="H387" s="1328" t="str">
        <f>IF(D387="operation",VLOOKUP(G387,'Generic Vertical Port Tasks'!C333:D392,2,FALSE),"N/A")</f>
        <v>N/A</v>
      </c>
      <c r="I387" s="1294"/>
      <c r="J387" s="1294"/>
      <c r="K387" s="1294"/>
      <c r="L387" s="1329" t="str">
        <f>IFERROR(INDEX('Upper Cask Movement &amp; Logistics'!$I$24:$O$30,MATCH($J387,'Upper Cask Movement &amp; Logistics'!$H$24:$H$30,0),MATCH($K387,'Upper Cask Movement &amp; Logistics'!$H$24:$H$30,0)),"N/A")</f>
        <v>N/A</v>
      </c>
      <c r="M387" s="1329" t="str">
        <f>IFERROR(VLOOKUP($I387,'Upper Cask Movement &amp; Logistics'!$H$4:$I$8,2,FALSE),"N/A")</f>
        <v>N/A</v>
      </c>
      <c r="N387" s="1330" t="str">
        <f t="shared" si="13"/>
        <v>N/A</v>
      </c>
      <c r="O387" s="1331" t="s">
        <v>1213</v>
      </c>
      <c r="P387" s="1332">
        <f>IF($D387="Logistics",VLOOKUP($O387,'Upper Cask Movement &amp; Logistics'!$C$4:$D$77,2,FALSE),"N/A")</f>
        <v>0.68</v>
      </c>
    </row>
    <row r="388" spans="1:16" s="89" customFormat="1" outlineLevel="1" x14ac:dyDescent="0.35">
      <c r="A388" s="1202"/>
      <c r="B388" s="3965"/>
      <c r="C388" s="1294" t="s">
        <v>1366</v>
      </c>
      <c r="D388" s="1294" t="s">
        <v>778</v>
      </c>
      <c r="E388" s="1292">
        <f t="shared" si="12"/>
        <v>0.23148148148148148</v>
      </c>
      <c r="F388" s="1292">
        <f>IF($D388="Trigger",VLOOKUP($C388,'Upper Cask Welding failures'!$E$318:$H$400,4,FALSE),E388+F387)</f>
        <v>17.575756989359466</v>
      </c>
      <c r="G388" s="862"/>
      <c r="H388" s="1328" t="str">
        <f>IF(D388="operation",VLOOKUP(G388,'Generic Vertical Port Tasks'!C333:D392,2,FALSE),"N/A")</f>
        <v>N/A</v>
      </c>
      <c r="I388" s="1294" t="s">
        <v>2501</v>
      </c>
      <c r="J388" s="1294" t="s">
        <v>831</v>
      </c>
      <c r="K388" s="1294" t="s">
        <v>901</v>
      </c>
      <c r="L388" s="1329">
        <f>IFERROR(INDEX('Upper Cask Movement &amp; Logistics'!$I$24:$O$30,MATCH($J388,'Upper Cask Movement &amp; Logistics'!$H$24:$H$30,0),MATCH($K388,'Upper Cask Movement &amp; Logistics'!$H$24:$H$30,0)),"N/A")</f>
        <v>50</v>
      </c>
      <c r="M388" s="1329">
        <f>IFERROR(VLOOKUP($I388,'Upper Cask Movement &amp; Logistics'!$H$4:$I$8,2,FALSE),"N/A")</f>
        <v>0.06</v>
      </c>
      <c r="N388" s="1330">
        <f t="shared" si="13"/>
        <v>0.23148148148148148</v>
      </c>
      <c r="O388" s="1331"/>
      <c r="P388" s="1332" t="str">
        <f>IF($D388="Logistics",VLOOKUP($O388,'Upper Cask Movement &amp; Logistics'!$C$4:$D$77,2,FALSE),"N/A")</f>
        <v>N/A</v>
      </c>
    </row>
    <row r="389" spans="1:16" s="89" customFormat="1" outlineLevel="1" x14ac:dyDescent="0.35">
      <c r="A389" s="1202"/>
      <c r="B389" s="3965"/>
      <c r="C389" s="1294" t="s">
        <v>1367</v>
      </c>
      <c r="D389" s="1294" t="s">
        <v>3</v>
      </c>
      <c r="E389" s="1292">
        <f t="shared" si="12"/>
        <v>1.4000000000000001</v>
      </c>
      <c r="F389" s="1292">
        <f>IF($D389="Trigger",VLOOKUP($C389,'Upper Cask Welding failures'!$E$318:$H$400,4,FALSE),E389+F388)</f>
        <v>18.975756989359464</v>
      </c>
      <c r="G389" s="862"/>
      <c r="H389" s="1328" t="str">
        <f>IF(D389="operation",VLOOKUP(G389,'Generic Vertical Port Tasks'!C333:D392,2,FALSE),"N/A")</f>
        <v>N/A</v>
      </c>
      <c r="I389" s="1294"/>
      <c r="J389" s="1294"/>
      <c r="K389" s="1294"/>
      <c r="L389" s="1329" t="str">
        <f>IFERROR(INDEX('Upper Cask Movement &amp; Logistics'!$I$24:$O$30,MATCH($J389,'Upper Cask Movement &amp; Logistics'!$H$24:$H$30,0),MATCH($K389,'Upper Cask Movement &amp; Logistics'!$H$24:$H$30,0)),"N/A")</f>
        <v>N/A</v>
      </c>
      <c r="M389" s="1329" t="str">
        <f>IFERROR(VLOOKUP($I389,'Upper Cask Movement &amp; Logistics'!$H$4:$I$8,2,FALSE),"N/A")</f>
        <v>N/A</v>
      </c>
      <c r="N389" s="1330" t="str">
        <f t="shared" si="13"/>
        <v>N/A</v>
      </c>
      <c r="O389" s="1331" t="s">
        <v>1277</v>
      </c>
      <c r="P389" s="1332">
        <f>IF($D389="Logistics",VLOOKUP($O389,'Upper Cask Movement &amp; Logistics'!$C$4:$D$77,2,FALSE),"N/A")</f>
        <v>1.4000000000000001</v>
      </c>
    </row>
    <row r="390" spans="1:16" s="89" customFormat="1" ht="13.3" outlineLevel="1" thickBot="1" x14ac:dyDescent="0.4">
      <c r="A390" s="1202"/>
      <c r="B390" s="3966"/>
      <c r="C390" s="1340" t="s">
        <v>1376</v>
      </c>
      <c r="D390" s="1340" t="s">
        <v>11</v>
      </c>
      <c r="E390" s="1295">
        <f t="shared" si="12"/>
        <v>0</v>
      </c>
      <c r="F390" s="1295">
        <f>IF($D390="Trigger",VLOOKUP($C390,'Upper Cask Welding failures'!$E$318:$H$400,4,FALSE),E390+F389)</f>
        <v>18.975756989359464</v>
      </c>
      <c r="G390" s="839"/>
      <c r="H390" s="1341" t="str">
        <f>IF(D390="operation",VLOOKUP(G390,'Generic Vertical Port Tasks'!C333:D392,2,FALSE),"N/A")</f>
        <v>N/A</v>
      </c>
      <c r="I390" s="1340"/>
      <c r="J390" s="1340"/>
      <c r="K390" s="1340"/>
      <c r="L390" s="1342" t="str">
        <f>IFERROR(INDEX('Upper Cask Movement &amp; Logistics'!$I$24:$O$30,MATCH($J390,'Upper Cask Movement &amp; Logistics'!$H$24:$H$30,0),MATCH($K390,'Upper Cask Movement &amp; Logistics'!$H$24:$H$30,0)),"N/A")</f>
        <v>N/A</v>
      </c>
      <c r="M390" s="1342" t="str">
        <f>IFERROR(VLOOKUP($I390,'Upper Cask Movement &amp; Logistics'!$H$4:$I$8,2,FALSE),"N/A")</f>
        <v>N/A</v>
      </c>
      <c r="N390" s="1343" t="str">
        <f t="shared" si="13"/>
        <v>N/A</v>
      </c>
      <c r="O390" s="1344"/>
      <c r="P390" s="1345" t="str">
        <f>IF($D390="Logistics",VLOOKUP($O390,'Upper Cask Movement &amp; Logistics'!$C$4:$D$77,2,FALSE),"N/A")</f>
        <v>N/A</v>
      </c>
    </row>
    <row r="391" spans="1:16" s="89" customFormat="1" outlineLevel="1" x14ac:dyDescent="0.35">
      <c r="A391" s="1202"/>
      <c r="B391" s="3960" t="s">
        <v>1379</v>
      </c>
      <c r="C391" s="1333" t="s">
        <v>131</v>
      </c>
      <c r="D391" s="1333" t="s">
        <v>907</v>
      </c>
      <c r="E391" s="1303">
        <f t="shared" si="12"/>
        <v>0</v>
      </c>
      <c r="F391" s="1303">
        <f>IF($D391="Trigger",VLOOKUP($C391,'Upper Cask Welding failures'!$E$318:$H$400,4,FALSE),E391+F390)</f>
        <v>25.184746595150312</v>
      </c>
      <c r="G391" s="1304"/>
      <c r="H391" s="1305" t="str">
        <f>IF(D391="operation",VLOOKUP(G391,'Generic Vertical Port Tasks'!C333:D392,2,FALSE),"N/A")</f>
        <v>N/A</v>
      </c>
      <c r="I391" s="1333"/>
      <c r="J391" s="1333"/>
      <c r="K391" s="1333"/>
      <c r="L391" s="1334" t="str">
        <f>IFERROR(INDEX('Upper Cask Movement &amp; Logistics'!$I$24:$O$30,MATCH($J391,'Upper Cask Movement &amp; Logistics'!$H$24:$H$30,0),MATCH($K391,'Upper Cask Movement &amp; Logistics'!$H$24:$H$30,0)),"N/A")</f>
        <v>N/A</v>
      </c>
      <c r="M391" s="1334" t="str">
        <f>IFERROR(VLOOKUP($I391,'Upper Cask Movement &amp; Logistics'!$H$4:$I$8,2,FALSE),"N/A")</f>
        <v>N/A</v>
      </c>
      <c r="N391" s="1335" t="str">
        <f t="shared" si="13"/>
        <v>N/A</v>
      </c>
      <c r="O391" s="1336"/>
      <c r="P391" s="1337" t="str">
        <f>IF($D391="Logistics",VLOOKUP($O391,'Upper Cask Movement &amp; Logistics'!$C$4:$D$77,2,FALSE),"N/A")</f>
        <v>N/A</v>
      </c>
    </row>
    <row r="392" spans="1:16" s="89" customFormat="1" outlineLevel="1" x14ac:dyDescent="0.35">
      <c r="A392" s="1202"/>
      <c r="B392" s="3968"/>
      <c r="C392" s="1240" t="s">
        <v>1369</v>
      </c>
      <c r="D392" s="1240" t="s">
        <v>3</v>
      </c>
      <c r="E392" s="1241">
        <f t="shared" si="12"/>
        <v>2.3000000000000003</v>
      </c>
      <c r="F392" s="1241">
        <f>IF($D392="Trigger",VLOOKUP($C392,'Upper Cask Welding failures'!$E$318:$H$400,4,FALSE),E392+F391)</f>
        <v>27.484746595150312</v>
      </c>
      <c r="G392" s="1354"/>
      <c r="H392" s="1355" t="str">
        <f>IF(D392="operation",VLOOKUP(G392,'Generic Vertical Port Tasks'!C333:D392,2,FALSE),"N/A")</f>
        <v>N/A</v>
      </c>
      <c r="I392" s="1240"/>
      <c r="J392" s="1240"/>
      <c r="K392" s="1240"/>
      <c r="L392" s="1242" t="str">
        <f>IFERROR(INDEX('Upper Cask Movement &amp; Logistics'!$I$24:$O$30,MATCH($J392,'Upper Cask Movement &amp; Logistics'!$H$24:$H$30,0),MATCH($K392,'Upper Cask Movement &amp; Logistics'!$H$24:$H$30,0)),"N/A")</f>
        <v>N/A</v>
      </c>
      <c r="M392" s="1242" t="str">
        <f>IFERROR(VLOOKUP($I392,'Upper Cask Movement &amp; Logistics'!$H$4:$I$8,2,FALSE),"N/A")</f>
        <v>N/A</v>
      </c>
      <c r="N392" s="1356" t="str">
        <f t="shared" si="13"/>
        <v>N/A</v>
      </c>
      <c r="O392" s="1357" t="s">
        <v>1269</v>
      </c>
      <c r="P392" s="1358">
        <f>IF($D392="Logistics",VLOOKUP($O392,'Upper Cask Movement &amp; Logistics'!$C$4:$D$77,2,FALSE),"N/A")</f>
        <v>2.3000000000000003</v>
      </c>
    </row>
    <row r="393" spans="1:16" s="89" customFormat="1" outlineLevel="1" x14ac:dyDescent="0.35">
      <c r="A393" s="1202"/>
      <c r="B393" s="3961"/>
      <c r="C393" s="1243" t="s">
        <v>1370</v>
      </c>
      <c r="D393" s="1243" t="s">
        <v>778</v>
      </c>
      <c r="E393" s="1244">
        <f t="shared" si="12"/>
        <v>0.69444444444444442</v>
      </c>
      <c r="F393" s="1244">
        <f>IF($D393="Trigger",VLOOKUP($C393,'Upper Cask Welding failures'!$E$318:$H$400,4,FALSE),E393+F392)</f>
        <v>28.179191039594755</v>
      </c>
      <c r="G393" s="1309"/>
      <c r="H393" s="1310" t="str">
        <f>IF(D393="operation",VLOOKUP(G393,'Generic Vertical Port Tasks'!C333:D392,2,FALSE),"N/A")</f>
        <v>N/A</v>
      </c>
      <c r="I393" s="1243" t="s">
        <v>1789</v>
      </c>
      <c r="J393" s="1243" t="s">
        <v>901</v>
      </c>
      <c r="K393" s="1243" t="s">
        <v>831</v>
      </c>
      <c r="L393" s="1245">
        <f>IFERROR(INDEX('Upper Cask Movement &amp; Logistics'!$I$24:$O$30,MATCH($J393,'Upper Cask Movement &amp; Logistics'!$H$24:$H$30,0),MATCH($K393,'Upper Cask Movement &amp; Logistics'!$H$24:$H$30,0)),"N/A")</f>
        <v>50</v>
      </c>
      <c r="M393" s="1245">
        <f>IFERROR(VLOOKUP($I393,'Upper Cask Movement &amp; Logistics'!$H$4:$I$8,2,FALSE),"N/A")</f>
        <v>0.02</v>
      </c>
      <c r="N393" s="1311">
        <f t="shared" si="13"/>
        <v>0.69444444444444442</v>
      </c>
      <c r="O393" s="1312"/>
      <c r="P393" s="1313" t="str">
        <f>IF($D393="Logistics",VLOOKUP($O393,'Upper Cask Movement &amp; Logistics'!$C$4:$D$77,2,FALSE),"N/A")</f>
        <v>N/A</v>
      </c>
    </row>
    <row r="394" spans="1:16" s="89" customFormat="1" outlineLevel="1" x14ac:dyDescent="0.35">
      <c r="A394" s="1202"/>
      <c r="B394" s="3961"/>
      <c r="C394" s="1243" t="s">
        <v>1375</v>
      </c>
      <c r="D394" s="1243" t="s">
        <v>3</v>
      </c>
      <c r="E394" s="1244">
        <f t="shared" si="12"/>
        <v>0.68</v>
      </c>
      <c r="F394" s="1244">
        <f>IF($D394="Trigger",VLOOKUP($C394,'Upper Cask Welding failures'!$E$318:$H$400,4,FALSE),E394+F393)</f>
        <v>28.859191039594755</v>
      </c>
      <c r="G394" s="1309"/>
      <c r="H394" s="1310" t="str">
        <f>IF(D394="operation",VLOOKUP(G394,'Generic Vertical Port Tasks'!C333:D392,2,FALSE),"N/A")</f>
        <v>N/A</v>
      </c>
      <c r="I394" s="1243"/>
      <c r="J394" s="1243"/>
      <c r="K394" s="1243"/>
      <c r="L394" s="1245" t="str">
        <f>IFERROR(INDEX('Upper Cask Movement &amp; Logistics'!$I$24:$O$30,MATCH($J394,'Upper Cask Movement &amp; Logistics'!$H$24:$H$30,0),MATCH($K394,'Upper Cask Movement &amp; Logistics'!$H$24:$H$30,0)),"N/A")</f>
        <v>N/A</v>
      </c>
      <c r="M394" s="1245" t="str">
        <f>IFERROR(VLOOKUP($I394,'Upper Cask Movement &amp; Logistics'!$H$4:$I$8,2,FALSE),"N/A")</f>
        <v>N/A</v>
      </c>
      <c r="N394" s="1311" t="str">
        <f t="shared" si="13"/>
        <v>N/A</v>
      </c>
      <c r="O394" s="1312" t="s">
        <v>1213</v>
      </c>
      <c r="P394" s="1313">
        <f>IF($D394="Logistics",VLOOKUP($O394,'Upper Cask Movement &amp; Logistics'!$C$4:$D$77,2,FALSE),"N/A")</f>
        <v>0.68</v>
      </c>
    </row>
    <row r="395" spans="1:16" s="89" customFormat="1" outlineLevel="1" x14ac:dyDescent="0.35">
      <c r="A395" s="1202"/>
      <c r="B395" s="3961"/>
      <c r="C395" s="1249" t="s">
        <v>1362</v>
      </c>
      <c r="D395" s="1249" t="s">
        <v>778</v>
      </c>
      <c r="E395" s="1244">
        <f t="shared" si="12"/>
        <v>9.2592592592592601E-2</v>
      </c>
      <c r="F395" s="1244">
        <f>IF($D395="Trigger",VLOOKUP($C395,'Upper Cask Welding failures'!$E$318:$H$400,4,FALSE),E395+F394)</f>
        <v>28.951783632187347</v>
      </c>
      <c r="G395" s="1309"/>
      <c r="H395" s="1310" t="str">
        <f>IF(D395="operation",VLOOKUP(G395,'Generic Vertical Port Tasks'!C333:D392,2,FALSE),"N/A")</f>
        <v>N/A</v>
      </c>
      <c r="I395" s="1243" t="s">
        <v>2501</v>
      </c>
      <c r="J395" s="1243" t="s">
        <v>831</v>
      </c>
      <c r="K395" s="1243" t="s">
        <v>914</v>
      </c>
      <c r="L395" s="1245">
        <f>IFERROR(INDEX('Upper Cask Movement &amp; Logistics'!$I$24:$O$30,MATCH($J395,'Upper Cask Movement &amp; Logistics'!$H$24:$H$30,0),MATCH($K395,'Upper Cask Movement &amp; Logistics'!$H$24:$H$30,0)),"N/A")</f>
        <v>20</v>
      </c>
      <c r="M395" s="1245">
        <f>IFERROR(VLOOKUP($I395,'Upper Cask Movement &amp; Logistics'!$H$4:$I$8,2,FALSE),"N/A")</f>
        <v>0.06</v>
      </c>
      <c r="N395" s="1311">
        <f t="shared" si="13"/>
        <v>9.2592592592592601E-2</v>
      </c>
      <c r="O395" s="1312"/>
      <c r="P395" s="1313" t="str">
        <f>IF($D395="Logistics",VLOOKUP($O395,'Upper Cask Movement &amp; Logistics'!$C$4:$D$77,2,FALSE),"N/A")</f>
        <v>N/A</v>
      </c>
    </row>
    <row r="396" spans="1:16" s="89" customFormat="1" outlineLevel="1" x14ac:dyDescent="0.35">
      <c r="A396" s="1202"/>
      <c r="B396" s="3961"/>
      <c r="C396" s="1243" t="s">
        <v>1380</v>
      </c>
      <c r="D396" s="1243" t="s">
        <v>3</v>
      </c>
      <c r="E396" s="1244">
        <f t="shared" si="12"/>
        <v>0.48000000000000004</v>
      </c>
      <c r="F396" s="1244">
        <f>IF($D396="Trigger",VLOOKUP($C396,'Upper Cask Welding failures'!$E$318:$H$400,4,FALSE),E396+F395)</f>
        <v>29.431783632187347</v>
      </c>
      <c r="G396" s="1309"/>
      <c r="H396" s="1310" t="str">
        <f>IF(D396="operation",VLOOKUP(G396,'Generic Vertical Port Tasks'!C333:D392,2,FALSE),"N/A")</f>
        <v>N/A</v>
      </c>
      <c r="I396" s="1243"/>
      <c r="J396" s="1243"/>
      <c r="K396" s="1243"/>
      <c r="L396" s="1245" t="str">
        <f>IFERROR(INDEX('Upper Cask Movement &amp; Logistics'!$I$24:$O$30,MATCH($J396,'Upper Cask Movement &amp; Logistics'!$H$24:$H$30,0),MATCH($K396,'Upper Cask Movement &amp; Logistics'!$H$24:$H$30,0)),"N/A")</f>
        <v>N/A</v>
      </c>
      <c r="M396" s="1245" t="str">
        <f>IFERROR(VLOOKUP($I396,'Upper Cask Movement &amp; Logistics'!$H$4:$I$8,2,FALSE),"N/A")</f>
        <v>N/A</v>
      </c>
      <c r="N396" s="1311" t="str">
        <f t="shared" si="13"/>
        <v>N/A</v>
      </c>
      <c r="O396" s="1312" t="s">
        <v>1330</v>
      </c>
      <c r="P396" s="1313">
        <f>IF($D396="Logistics",VLOOKUP($O396,'Upper Cask Movement &amp; Logistics'!$C$4:$D$77,2,FALSE),"N/A")</f>
        <v>0.48000000000000004</v>
      </c>
    </row>
    <row r="397" spans="1:16" s="89" customFormat="1" outlineLevel="1" x14ac:dyDescent="0.35">
      <c r="A397" s="1202"/>
      <c r="B397" s="3961"/>
      <c r="C397" s="1243" t="s">
        <v>1381</v>
      </c>
      <c r="D397" s="1243" t="s">
        <v>778</v>
      </c>
      <c r="E397" s="1244">
        <f t="shared" si="12"/>
        <v>2.7777777777777776E-2</v>
      </c>
      <c r="F397" s="1244">
        <f>IF($D397="Trigger",VLOOKUP($C397,'Upper Cask Welding failures'!$E$318:$H$400,4,FALSE),E397+F396)</f>
        <v>29.459561409965126</v>
      </c>
      <c r="G397" s="1309"/>
      <c r="H397" s="1310" t="str">
        <f>IF(D397="operation",VLOOKUP(G397,'Generic Vertical Port Tasks'!C333:D392,2,FALSE),"N/A")</f>
        <v>N/A</v>
      </c>
      <c r="I397" s="1243" t="s">
        <v>2502</v>
      </c>
      <c r="J397" s="1243" t="s">
        <v>914</v>
      </c>
      <c r="K397" s="1243" t="s">
        <v>799</v>
      </c>
      <c r="L397" s="1245">
        <f>IFERROR(INDEX('Upper Cask Movement &amp; Logistics'!$I$24:$O$30,MATCH($J397,'Upper Cask Movement &amp; Logistics'!$H$24:$H$30,0),MATCH($K397,'Upper Cask Movement &amp; Logistics'!$H$24:$H$30,0)),"N/A")</f>
        <v>20</v>
      </c>
      <c r="M397" s="1245">
        <f>IFERROR(VLOOKUP($I397,'Upper Cask Movement &amp; Logistics'!$H$4:$I$8,2,FALSE),"N/A")</f>
        <v>0.2</v>
      </c>
      <c r="N397" s="1311">
        <f t="shared" si="13"/>
        <v>2.7777777777777776E-2</v>
      </c>
      <c r="O397" s="1312"/>
      <c r="P397" s="1313" t="str">
        <f>IF($D397="Logistics",VLOOKUP($O397,'Upper Cask Movement &amp; Logistics'!$C$4:$D$77,2,FALSE),"N/A")</f>
        <v>N/A</v>
      </c>
    </row>
    <row r="398" spans="1:16" s="89" customFormat="1" outlineLevel="1" x14ac:dyDescent="0.35">
      <c r="A398" s="1202"/>
      <c r="B398" s="3961"/>
      <c r="C398" s="1243" t="s">
        <v>1382</v>
      </c>
      <c r="D398" s="1243" t="s">
        <v>3</v>
      </c>
      <c r="E398" s="1244">
        <f t="shared" si="12"/>
        <v>0.48000000000000004</v>
      </c>
      <c r="F398" s="1244">
        <f>IF($D398="Trigger",VLOOKUP($C398,'Upper Cask Welding failures'!$E$318:$H$400,4,FALSE),E398+F397)</f>
        <v>29.939561409965126</v>
      </c>
      <c r="G398" s="1309"/>
      <c r="H398" s="1310" t="str">
        <f>IF(D398="operation",VLOOKUP(G398,'Generic Vertical Port Tasks'!C333:D392,2,FALSE),"N/A")</f>
        <v>N/A</v>
      </c>
      <c r="I398" s="1243"/>
      <c r="J398" s="1243"/>
      <c r="K398" s="1243"/>
      <c r="L398" s="1245" t="str">
        <f>IFERROR(INDEX('Upper Cask Movement &amp; Logistics'!$I$24:$O$30,MATCH($J398,'Upper Cask Movement &amp; Logistics'!$H$24:$H$30,0),MATCH($K398,'Upper Cask Movement &amp; Logistics'!$H$24:$H$30,0)),"N/A")</f>
        <v>N/A</v>
      </c>
      <c r="M398" s="1245" t="str">
        <f>IFERROR(VLOOKUP($I398,'Upper Cask Movement &amp; Logistics'!$H$4:$I$8,2,FALSE),"N/A")</f>
        <v>N/A</v>
      </c>
      <c r="N398" s="1311" t="str">
        <f t="shared" si="13"/>
        <v>N/A</v>
      </c>
      <c r="O398" s="1312" t="s">
        <v>1331</v>
      </c>
      <c r="P398" s="1313">
        <f>IF($D398="Logistics",VLOOKUP($O398,'Upper Cask Movement &amp; Logistics'!$C$4:$D$77,2,FALSE),"N/A")</f>
        <v>0.48000000000000004</v>
      </c>
    </row>
    <row r="399" spans="1:16" s="89" customFormat="1" outlineLevel="1" x14ac:dyDescent="0.35">
      <c r="A399" s="1202"/>
      <c r="B399" s="3961"/>
      <c r="C399" s="1243" t="s">
        <v>1366</v>
      </c>
      <c r="D399" s="1243" t="s">
        <v>778</v>
      </c>
      <c r="E399" s="1244">
        <f t="shared" si="12"/>
        <v>0.69444444444444442</v>
      </c>
      <c r="F399" s="1244">
        <f>IF($D399="Trigger",VLOOKUP($C399,'Upper Cask Welding failures'!$E$318:$H$400,4,FALSE),E399+F398)</f>
        <v>30.634005854409569</v>
      </c>
      <c r="G399" s="1309"/>
      <c r="H399" s="1310" t="str">
        <f>IF(D399="operation",VLOOKUP(G399,'Generic Vertical Port Tasks'!C333:D392,2,FALSE),"N/A")</f>
        <v>N/A</v>
      </c>
      <c r="I399" s="1243" t="s">
        <v>1789</v>
      </c>
      <c r="J399" s="1243" t="s">
        <v>799</v>
      </c>
      <c r="K399" s="1243" t="s">
        <v>901</v>
      </c>
      <c r="L399" s="1245">
        <f>IFERROR(INDEX('Upper Cask Movement &amp; Logistics'!$I$24:$O$30,MATCH($J399,'Upper Cask Movement &amp; Logistics'!$H$24:$H$30,0),MATCH($K399,'Upper Cask Movement &amp; Logistics'!$H$24:$H$30,0)),"N/A")</f>
        <v>50</v>
      </c>
      <c r="M399" s="1245">
        <f>IFERROR(VLOOKUP($I399,'Upper Cask Movement &amp; Logistics'!$H$4:$I$8,2,FALSE),"N/A")</f>
        <v>0.02</v>
      </c>
      <c r="N399" s="1311">
        <f t="shared" si="13"/>
        <v>0.69444444444444442</v>
      </c>
      <c r="O399" s="1312"/>
      <c r="P399" s="1313" t="str">
        <f>IF($D399="Logistics",VLOOKUP($O399,'Upper Cask Movement &amp; Logistics'!$C$4:$D$77,2,FALSE),"N/A")</f>
        <v>N/A</v>
      </c>
    </row>
    <row r="400" spans="1:16" s="89" customFormat="1" outlineLevel="1" x14ac:dyDescent="0.35">
      <c r="A400" s="1202"/>
      <c r="B400" s="3961"/>
      <c r="C400" s="1243" t="s">
        <v>1383</v>
      </c>
      <c r="D400" s="1243" t="s">
        <v>3</v>
      </c>
      <c r="E400" s="1244">
        <f t="shared" si="12"/>
        <v>1.4000000000000001</v>
      </c>
      <c r="F400" s="1244">
        <f>IF($D400="Trigger",VLOOKUP($C400,'Upper Cask Welding failures'!$E$318:$H$400,4,FALSE),E400+F399)</f>
        <v>32.034005854409571</v>
      </c>
      <c r="G400" s="1309"/>
      <c r="H400" s="1310" t="str">
        <f>IF(D400="operation",VLOOKUP(G400,'Generic Vertical Port Tasks'!C333:D392,2,FALSE),"N/A")</f>
        <v>N/A</v>
      </c>
      <c r="I400" s="1243"/>
      <c r="J400" s="1243"/>
      <c r="K400" s="1243"/>
      <c r="L400" s="1245" t="str">
        <f>IFERROR(INDEX('Upper Cask Movement &amp; Logistics'!$I$24:$O$30,MATCH($J400,'Upper Cask Movement &amp; Logistics'!$H$24:$H$30,0),MATCH($K400,'Upper Cask Movement &amp; Logistics'!$H$24:$H$30,0)),"N/A")</f>
        <v>N/A</v>
      </c>
      <c r="M400" s="1245" t="str">
        <f>IFERROR(VLOOKUP($I400,'Upper Cask Movement &amp; Logistics'!$H$4:$I$8,2,FALSE),"N/A")</f>
        <v>N/A</v>
      </c>
      <c r="N400" s="1311" t="str">
        <f t="shared" si="13"/>
        <v>N/A</v>
      </c>
      <c r="O400" s="1312" t="s">
        <v>1277</v>
      </c>
      <c r="P400" s="1313">
        <f>IF($D400="Logistics",VLOOKUP($O400,'Upper Cask Movement &amp; Logistics'!$C$4:$D$77,2,FALSE),"N/A")</f>
        <v>1.4000000000000001</v>
      </c>
    </row>
    <row r="401" spans="1:16" s="89" customFormat="1" ht="26.15" outlineLevel="1" thickBot="1" x14ac:dyDescent="0.4">
      <c r="A401" s="1202"/>
      <c r="B401" s="3963"/>
      <c r="C401" s="1314" t="s">
        <v>1379</v>
      </c>
      <c r="D401" s="1314" t="s">
        <v>11</v>
      </c>
      <c r="E401" s="1316">
        <f t="shared" si="12"/>
        <v>0</v>
      </c>
      <c r="F401" s="1316">
        <f>IF($D401="Trigger",VLOOKUP($C401,'Upper Cask Welding failures'!$E$318:$H$400,4,FALSE),E401+F400)</f>
        <v>32.034005854409571</v>
      </c>
      <c r="G401" s="1317"/>
      <c r="H401" s="1318" t="str">
        <f>IF(D401="operation",VLOOKUP(G401,'Generic Vertical Port Tasks'!C333:D392,2,FALSE),"N/A")</f>
        <v>N/A</v>
      </c>
      <c r="I401" s="1314"/>
      <c r="J401" s="1314"/>
      <c r="K401" s="1314"/>
      <c r="L401" s="1319" t="str">
        <f>IFERROR(INDEX('Upper Cask Movement &amp; Logistics'!$I$24:$O$30,MATCH($J401,'Upper Cask Movement &amp; Logistics'!$H$24:$H$30,0),MATCH($K401,'Upper Cask Movement &amp; Logistics'!$H$24:$H$30,0)),"N/A")</f>
        <v>N/A</v>
      </c>
      <c r="M401" s="1319" t="str">
        <f>IFERROR(VLOOKUP($I401,'Upper Cask Movement &amp; Logistics'!$H$4:$I$8,2,FALSE),"N/A")</f>
        <v>N/A</v>
      </c>
      <c r="N401" s="1320" t="str">
        <f t="shared" si="13"/>
        <v>N/A</v>
      </c>
      <c r="O401" s="1321"/>
      <c r="P401" s="1322" t="str">
        <f>IF($D401="Logistics",VLOOKUP($O401,'Upper Cask Movement &amp; Logistics'!$C$4:$D$77,2,FALSE),"N/A")</f>
        <v>N/A</v>
      </c>
    </row>
    <row r="402" spans="1:16" s="89" customFormat="1" outlineLevel="1" x14ac:dyDescent="0.35">
      <c r="A402" s="1202"/>
      <c r="B402" s="3964" t="s">
        <v>1384</v>
      </c>
      <c r="C402" s="1324" t="s">
        <v>1531</v>
      </c>
      <c r="D402" s="1324" t="s">
        <v>907</v>
      </c>
      <c r="E402" s="1291">
        <f t="shared" si="12"/>
        <v>0</v>
      </c>
      <c r="F402" s="1291">
        <f>IF($D402="Trigger",VLOOKUP($C402,'Upper Cask Welding failures'!$E$318:$H$400,4,FALSE),E402+F401)</f>
        <v>28.734746595150309</v>
      </c>
      <c r="G402" s="825"/>
      <c r="H402" s="1323" t="str">
        <f>IF(D402="operation",VLOOKUP(G402,'Generic Vertical Port Tasks'!C333:D392,2,FALSE),"N/A")</f>
        <v>N/A</v>
      </c>
      <c r="I402" s="1324"/>
      <c r="J402" s="1324"/>
      <c r="K402" s="1324"/>
      <c r="L402" s="1325" t="str">
        <f>IFERROR(INDEX('Upper Cask Movement &amp; Logistics'!$I$24:$O$30,MATCH($J402,'Upper Cask Movement &amp; Logistics'!$H$24:$H$30,0),MATCH($K402,'Upper Cask Movement &amp; Logistics'!$H$24:$H$30,0)),"N/A")</f>
        <v>N/A</v>
      </c>
      <c r="M402" s="1325" t="str">
        <f>IFERROR(VLOOKUP($I402,'Upper Cask Movement &amp; Logistics'!$H$4:$I$8,2,FALSE),"N/A")</f>
        <v>N/A</v>
      </c>
      <c r="N402" s="1326" t="str">
        <f t="shared" si="13"/>
        <v>N/A</v>
      </c>
      <c r="O402" s="1327"/>
      <c r="P402" s="824" t="str">
        <f>IF($D402="Logistics",VLOOKUP($O402,'Upper Cask Movement &amp; Logistics'!$C$4:$D$77,2,FALSE),"N/A")</f>
        <v>N/A</v>
      </c>
    </row>
    <row r="403" spans="1:16" s="89" customFormat="1" outlineLevel="1" x14ac:dyDescent="0.35">
      <c r="A403" s="1202"/>
      <c r="B403" s="3965"/>
      <c r="C403" s="1294" t="s">
        <v>1385</v>
      </c>
      <c r="D403" s="1294" t="s">
        <v>3</v>
      </c>
      <c r="E403" s="1292">
        <f t="shared" si="12"/>
        <v>0.5</v>
      </c>
      <c r="F403" s="1292">
        <f>IF($D403="Trigger",VLOOKUP($C403,'Upper Cask Welding failures'!$E$318:$H$400,4,FALSE),E403+F402)</f>
        <v>29.234746595150309</v>
      </c>
      <c r="G403" s="862"/>
      <c r="H403" s="1328" t="str">
        <f>IF(D403="operation",VLOOKUP(G403,'Generic Vertical Port Tasks'!C333:D392,2,FALSE),"N/A")</f>
        <v>N/A</v>
      </c>
      <c r="I403" s="1294"/>
      <c r="J403" s="1294"/>
      <c r="K403" s="1294"/>
      <c r="L403" s="1329" t="str">
        <f>IFERROR(INDEX('Upper Cask Movement &amp; Logistics'!$I$24:$O$30,MATCH($J403,'Upper Cask Movement &amp; Logistics'!$H$24:$H$30,0),MATCH($K403,'Upper Cask Movement &amp; Logistics'!$H$24:$H$30,0)),"N/A")</f>
        <v>N/A</v>
      </c>
      <c r="M403" s="1329" t="str">
        <f>IFERROR(VLOOKUP($I403,'Upper Cask Movement &amp; Logistics'!$H$4:$I$8,2,FALSE),"N/A")</f>
        <v>N/A</v>
      </c>
      <c r="N403" s="1330" t="str">
        <f t="shared" si="13"/>
        <v>N/A</v>
      </c>
      <c r="O403" s="1331" t="s">
        <v>1208</v>
      </c>
      <c r="P403" s="1332">
        <f>IF($D403="Logistics",VLOOKUP($O403,'Upper Cask Movement &amp; Logistics'!$C$4:$D$77,2,FALSE),"N/A")</f>
        <v>0.5</v>
      </c>
    </row>
    <row r="404" spans="1:16" s="89" customFormat="1" outlineLevel="1" x14ac:dyDescent="0.35">
      <c r="A404" s="1202"/>
      <c r="B404" s="3965"/>
      <c r="C404" s="1294" t="s">
        <v>1386</v>
      </c>
      <c r="D404" s="1294" t="s">
        <v>3</v>
      </c>
      <c r="E404" s="1292">
        <f t="shared" si="12"/>
        <v>0.48000000000000004</v>
      </c>
      <c r="F404" s="1292">
        <f>IF($D404="Trigger",VLOOKUP($C404,'Upper Cask Welding failures'!$E$318:$H$400,4,FALSE),E404+F403)</f>
        <v>29.714746595150309</v>
      </c>
      <c r="G404" s="862"/>
      <c r="H404" s="1328" t="str">
        <f>IF(D404="operation",VLOOKUP(G404,'Generic Vertical Port Tasks'!C333:D392,2,FALSE),"N/A")</f>
        <v>N/A</v>
      </c>
      <c r="I404" s="1294"/>
      <c r="J404" s="1294"/>
      <c r="K404" s="1294"/>
      <c r="L404" s="1329" t="str">
        <f>IFERROR(INDEX('Upper Cask Movement &amp; Logistics'!$I$24:$O$30,MATCH($J404,'Upper Cask Movement &amp; Logistics'!$H$24:$H$30,0),MATCH($K404,'Upper Cask Movement &amp; Logistics'!$H$24:$H$30,0)),"N/A")</f>
        <v>N/A</v>
      </c>
      <c r="M404" s="1329" t="str">
        <f>IFERROR(VLOOKUP($I404,'Upper Cask Movement &amp; Logistics'!$H$4:$I$8,2,FALSE),"N/A")</f>
        <v>N/A</v>
      </c>
      <c r="N404" s="1330" t="str">
        <f t="shared" si="13"/>
        <v>N/A</v>
      </c>
      <c r="O404" s="1331" t="s">
        <v>1331</v>
      </c>
      <c r="P404" s="1332">
        <f>IF($D404="Logistics",VLOOKUP($O404,'Upper Cask Movement &amp; Logistics'!$C$4:$D$77,2,FALSE),"N/A")</f>
        <v>0.48000000000000004</v>
      </c>
    </row>
    <row r="405" spans="1:16" s="89" customFormat="1" outlineLevel="1" x14ac:dyDescent="0.35">
      <c r="A405" s="1202"/>
      <c r="B405" s="3965"/>
      <c r="C405" s="1294" t="s">
        <v>1387</v>
      </c>
      <c r="D405" s="1294" t="s">
        <v>778</v>
      </c>
      <c r="E405" s="1292">
        <f t="shared" si="12"/>
        <v>0.69444444444444442</v>
      </c>
      <c r="F405" s="1292">
        <f>IF($D405="Trigger",VLOOKUP($C405,'Upper Cask Welding failures'!$E$318:$H$400,4,FALSE),E405+F404)</f>
        <v>30.409191039594752</v>
      </c>
      <c r="G405" s="862"/>
      <c r="H405" s="1328" t="str">
        <f>IF(D405="operation",VLOOKUP(G405,'Generic Vertical Port Tasks'!C333:D392,2,FALSE),"N/A")</f>
        <v>N/A</v>
      </c>
      <c r="I405" s="1294" t="s">
        <v>1789</v>
      </c>
      <c r="J405" s="1294" t="s">
        <v>799</v>
      </c>
      <c r="K405" s="1294" t="s">
        <v>816</v>
      </c>
      <c r="L405" s="1329">
        <f>IFERROR(INDEX('Upper Cask Movement &amp; Logistics'!$I$24:$O$30,MATCH($J405,'Upper Cask Movement &amp; Logistics'!$H$24:$H$30,0),MATCH($K405,'Upper Cask Movement &amp; Logistics'!$H$24:$H$30,0)),"N/A")</f>
        <v>50</v>
      </c>
      <c r="M405" s="1329">
        <f>IFERROR(VLOOKUP($I405,'Upper Cask Movement &amp; Logistics'!$H$4:$I$8,2,FALSE),"N/A")</f>
        <v>0.02</v>
      </c>
      <c r="N405" s="1330">
        <f t="shared" si="13"/>
        <v>0.69444444444444442</v>
      </c>
      <c r="O405" s="1331"/>
      <c r="P405" s="1332" t="str">
        <f>IF($D405="Logistics",VLOOKUP($O405,'Upper Cask Movement &amp; Logistics'!$C$4:$D$77,2,FALSE),"N/A")</f>
        <v>N/A</v>
      </c>
    </row>
    <row r="406" spans="1:16" s="89" customFormat="1" ht="26.15" outlineLevel="1" thickBot="1" x14ac:dyDescent="0.4">
      <c r="A406" s="1202"/>
      <c r="B406" s="3965"/>
      <c r="C406" s="1294" t="s">
        <v>1384</v>
      </c>
      <c r="D406" s="1294" t="s">
        <v>11</v>
      </c>
      <c r="E406" s="1292">
        <f t="shared" si="12"/>
        <v>0</v>
      </c>
      <c r="F406" s="1292">
        <f>IF($D406="Trigger",VLOOKUP($C406,'Upper Cask Welding failures'!$E$318:$H$400,4,FALSE),E406+F405)</f>
        <v>30.409191039594752</v>
      </c>
      <c r="G406" s="862"/>
      <c r="H406" s="1328" t="str">
        <f>IF(D406="operation",VLOOKUP(G406,'Generic Vertical Port Tasks'!C333:D392,2,FALSE),"N/A")</f>
        <v>N/A</v>
      </c>
      <c r="I406" s="1294"/>
      <c r="J406" s="1294"/>
      <c r="K406" s="1294"/>
      <c r="L406" s="1329" t="str">
        <f>IFERROR(INDEX('Upper Cask Movement &amp; Logistics'!$I$24:$O$30,MATCH($J406,'Upper Cask Movement &amp; Logistics'!$H$24:$H$30,0),MATCH($K406,'Upper Cask Movement &amp; Logistics'!$H$24:$H$30,0)),"N/A")</f>
        <v>N/A</v>
      </c>
      <c r="M406" s="1329" t="str">
        <f>IFERROR(VLOOKUP($I406,'Upper Cask Movement &amp; Logistics'!$H$4:$I$8,2,FALSE),"N/A")</f>
        <v>N/A</v>
      </c>
      <c r="N406" s="1330" t="str">
        <f t="shared" si="13"/>
        <v>N/A</v>
      </c>
      <c r="O406" s="1331"/>
      <c r="P406" s="1332" t="str">
        <f>IF($D406="Logistics",VLOOKUP($O406,'Upper Cask Movement &amp; Logistics'!$C$4:$D$77,2,FALSE),"N/A")</f>
        <v>N/A</v>
      </c>
    </row>
    <row r="407" spans="1:16" s="89" customFormat="1" outlineLevel="1" x14ac:dyDescent="0.35">
      <c r="A407" s="1202"/>
      <c r="B407" s="3964" t="s">
        <v>1392</v>
      </c>
      <c r="C407" s="1324" t="s">
        <v>1263</v>
      </c>
      <c r="D407" s="1324" t="s">
        <v>907</v>
      </c>
      <c r="E407" s="1291">
        <f t="shared" si="12"/>
        <v>0</v>
      </c>
      <c r="F407" s="1291">
        <f>IF($D407="Trigger",VLOOKUP($C407,'Upper Cask Welding failures'!$E$318:$H$400,4,FALSE),E407+F406)</f>
        <v>38.79919103959476</v>
      </c>
      <c r="G407" s="825"/>
      <c r="H407" s="1323" t="str">
        <f>IF(D407="operation",VLOOKUP(G407,'Generic Vertical Port Tasks'!C325:D384,2,FALSE),"N/A")</f>
        <v>N/A</v>
      </c>
      <c r="I407" s="1324"/>
      <c r="J407" s="1324"/>
      <c r="K407" s="1324"/>
      <c r="L407" s="1325" t="str">
        <f>IFERROR(INDEX('Upper Cask Movement &amp; Logistics'!$I$24:$O$30,MATCH($J407,'Upper Cask Movement &amp; Logistics'!$H$24:$H$30,0),MATCH($K407,'Upper Cask Movement &amp; Logistics'!$H$24:$H$30,0)),"N/A")</f>
        <v>N/A</v>
      </c>
      <c r="M407" s="1325" t="str">
        <f>IFERROR(VLOOKUP($I407,'Upper Cask Movement &amp; Logistics'!$H$4:$I$8,2,FALSE),"N/A")</f>
        <v>N/A</v>
      </c>
      <c r="N407" s="1326" t="str">
        <f t="shared" si="13"/>
        <v>N/A</v>
      </c>
      <c r="O407" s="1327"/>
      <c r="P407" s="824" t="str">
        <f>IF($D407="Logistics",VLOOKUP($O407,'Upper Cask Movement &amp; Logistics'!$C$4:$D$77,2,FALSE),"N/A")</f>
        <v>N/A</v>
      </c>
    </row>
    <row r="408" spans="1:16" s="89" customFormat="1" outlineLevel="1" x14ac:dyDescent="0.35">
      <c r="A408" s="1202"/>
      <c r="B408" s="3969"/>
      <c r="C408" s="1362" t="s">
        <v>1268</v>
      </c>
      <c r="D408" s="1362" t="s">
        <v>3</v>
      </c>
      <c r="E408" s="1363">
        <f t="shared" si="12"/>
        <v>2.3000000000000003</v>
      </c>
      <c r="F408" s="1363">
        <f>IF($D408="Trigger",VLOOKUP($C408,'Upper Cask Welding failures'!$E$318:$H$400,4,FALSE),E408+F407)</f>
        <v>41.099191039594757</v>
      </c>
      <c r="G408" s="1364"/>
      <c r="H408" s="1365" t="str">
        <f>IF(D408="operation",VLOOKUP(G408,'Generic Vertical Port Tasks'!C325:D384,2,FALSE),"N/A")</f>
        <v>N/A</v>
      </c>
      <c r="I408" s="1362"/>
      <c r="J408" s="1362"/>
      <c r="K408" s="1362"/>
      <c r="L408" s="1366" t="str">
        <f>IFERROR(INDEX('Upper Cask Movement &amp; Logistics'!$I$24:$O$30,MATCH($J408,'Upper Cask Movement &amp; Logistics'!$H$24:$H$30,0),MATCH($K408,'Upper Cask Movement &amp; Logistics'!$H$24:$H$30,0)),"N/A")</f>
        <v>N/A</v>
      </c>
      <c r="M408" s="1366" t="str">
        <f>IFERROR(VLOOKUP($I408,'Upper Cask Movement &amp; Logistics'!$H$4:$I$8,2,FALSE),"N/A")</f>
        <v>N/A</v>
      </c>
      <c r="N408" s="1367" t="str">
        <f t="shared" si="13"/>
        <v>N/A</v>
      </c>
      <c r="O408" s="1368" t="s">
        <v>1269</v>
      </c>
      <c r="P408" s="861">
        <f>IF($D408="Logistics",VLOOKUP($O408,'Upper Cask Movement &amp; Logistics'!$C$4:$D$77,2,FALSE),"N/A")</f>
        <v>2.3000000000000003</v>
      </c>
    </row>
    <row r="409" spans="1:16" s="89" customFormat="1" outlineLevel="1" x14ac:dyDescent="0.35">
      <c r="A409" s="1202"/>
      <c r="B409" s="3969"/>
      <c r="C409" s="1362" t="s">
        <v>1370</v>
      </c>
      <c r="D409" s="1362" t="s">
        <v>778</v>
      </c>
      <c r="E409" s="1363">
        <f t="shared" si="12"/>
        <v>0.69444444444444442</v>
      </c>
      <c r="F409" s="1363">
        <f>IF($D409="Trigger",VLOOKUP($C409,'Upper Cask Welding failures'!$E$318:$H$400,4,FALSE),E409+F408)</f>
        <v>41.7936354840392</v>
      </c>
      <c r="G409" s="1364"/>
      <c r="H409" s="1365" t="str">
        <f>IF(D409="operation",VLOOKUP(G409,'Generic Vertical Port Tasks'!C325:D384,2,FALSE),"N/A")</f>
        <v>N/A</v>
      </c>
      <c r="I409" s="1362" t="s">
        <v>1789</v>
      </c>
      <c r="J409" s="1362" t="s">
        <v>901</v>
      </c>
      <c r="K409" s="1362" t="s">
        <v>831</v>
      </c>
      <c r="L409" s="1366">
        <f>IFERROR(INDEX('Upper Cask Movement &amp; Logistics'!$I$24:$O$30,MATCH($J409,'Upper Cask Movement &amp; Logistics'!$H$24:$H$30,0),MATCH($K409,'Upper Cask Movement &amp; Logistics'!$H$24:$H$30,0)),"N/A")</f>
        <v>50</v>
      </c>
      <c r="M409" s="1366">
        <f>IFERROR(VLOOKUP($I409,'Upper Cask Movement &amp; Logistics'!$H$4:$I$8,2,FALSE),"N/A")</f>
        <v>0.02</v>
      </c>
      <c r="N409" s="1367">
        <f t="shared" si="13"/>
        <v>0.69444444444444442</v>
      </c>
      <c r="O409" s="1368"/>
      <c r="P409" s="861" t="str">
        <f>IF($D409="Logistics",VLOOKUP($O409,'Upper Cask Movement &amp; Logistics'!$C$4:$D$77,2,FALSE),"N/A")</f>
        <v>N/A</v>
      </c>
    </row>
    <row r="410" spans="1:16" s="89" customFormat="1" outlineLevel="1" x14ac:dyDescent="0.35">
      <c r="A410" s="1202"/>
      <c r="B410" s="3969"/>
      <c r="C410" s="1362" t="s">
        <v>1393</v>
      </c>
      <c r="D410" s="1362" t="s">
        <v>3</v>
      </c>
      <c r="E410" s="1363">
        <f t="shared" si="12"/>
        <v>0.68</v>
      </c>
      <c r="F410" s="1363">
        <f>IF($D410="Trigger",VLOOKUP($C410,'Upper Cask Welding failures'!$E$318:$H$400,4,FALSE),E410+F409)</f>
        <v>42.4736354840392</v>
      </c>
      <c r="G410" s="1364"/>
      <c r="H410" s="1365" t="str">
        <f>IF(D410="operation",VLOOKUP(G410,'Generic Vertical Port Tasks'!C325:D384,2,FALSE),"N/A")</f>
        <v>N/A</v>
      </c>
      <c r="I410" s="1362"/>
      <c r="J410" s="1362"/>
      <c r="K410" s="1362"/>
      <c r="L410" s="1366" t="str">
        <f>IFERROR(INDEX('Upper Cask Movement &amp; Logistics'!$I$24:$O$30,MATCH($J410,'Upper Cask Movement &amp; Logistics'!$H$24:$H$30,0),MATCH($K410,'Upper Cask Movement &amp; Logistics'!$H$24:$H$30,0)),"N/A")</f>
        <v>N/A</v>
      </c>
      <c r="M410" s="1366" t="str">
        <f>IFERROR(VLOOKUP($I410,'Upper Cask Movement &amp; Logistics'!$H$4:$I$8,2,FALSE),"N/A")</f>
        <v>N/A</v>
      </c>
      <c r="N410" s="1367" t="str">
        <f t="shared" si="13"/>
        <v>N/A</v>
      </c>
      <c r="O410" s="1368" t="s">
        <v>1213</v>
      </c>
      <c r="P410" s="861">
        <f>IF($D410="Logistics",VLOOKUP($O410,'Upper Cask Movement &amp; Logistics'!$C$4:$D$77,2,FALSE),"N/A")</f>
        <v>0.68</v>
      </c>
    </row>
    <row r="411" spans="1:16" s="89" customFormat="1" outlineLevel="1" x14ac:dyDescent="0.35">
      <c r="A411" s="1202"/>
      <c r="B411" s="3965"/>
      <c r="C411" s="1294" t="s">
        <v>1366</v>
      </c>
      <c r="D411" s="1294" t="s">
        <v>778</v>
      </c>
      <c r="E411" s="1292">
        <f t="shared" si="12"/>
        <v>0.23148148148148148</v>
      </c>
      <c r="F411" s="1292">
        <f>IF($D411="Trigger",VLOOKUP($C411,'Upper Cask Welding failures'!$E$318:$H$400,4,FALSE),E411+F410)</f>
        <v>42.705116965520681</v>
      </c>
      <c r="G411" s="862"/>
      <c r="H411" s="1328" t="str">
        <f>IF(D411="operation",VLOOKUP(G411,'Generic Vertical Port Tasks'!C325:D384,2,FALSE),"N/A")</f>
        <v>N/A</v>
      </c>
      <c r="I411" s="1294" t="s">
        <v>2501</v>
      </c>
      <c r="J411" s="1294" t="s">
        <v>831</v>
      </c>
      <c r="K411" s="1294" t="s">
        <v>901</v>
      </c>
      <c r="L411" s="1329">
        <f>IFERROR(INDEX('Upper Cask Movement &amp; Logistics'!$I$24:$O$30,MATCH($J411,'Upper Cask Movement &amp; Logistics'!$H$24:$H$30,0),MATCH($K411,'Upper Cask Movement &amp; Logistics'!$H$24:$H$30,0)),"N/A")</f>
        <v>50</v>
      </c>
      <c r="M411" s="1329">
        <f>IFERROR(VLOOKUP($I411,'Upper Cask Movement &amp; Logistics'!$H$4:$I$8,2,FALSE),"N/A")</f>
        <v>0.06</v>
      </c>
      <c r="N411" s="1330">
        <f t="shared" si="13"/>
        <v>0.23148148148148148</v>
      </c>
      <c r="O411" s="1331"/>
      <c r="P411" s="1332" t="str">
        <f>IF($D411="Logistics",VLOOKUP($O411,'Upper Cask Movement &amp; Logistics'!$C$4:$D$77,2,FALSE),"N/A")</f>
        <v>N/A</v>
      </c>
    </row>
    <row r="412" spans="1:16" s="89" customFormat="1" outlineLevel="1" x14ac:dyDescent="0.35">
      <c r="A412" s="1202"/>
      <c r="B412" s="3965"/>
      <c r="C412" s="1294" t="s">
        <v>1383</v>
      </c>
      <c r="D412" s="1294" t="s">
        <v>3</v>
      </c>
      <c r="E412" s="1292">
        <f t="shared" si="12"/>
        <v>1.4000000000000001</v>
      </c>
      <c r="F412" s="1292">
        <f>IF($D412="Trigger",VLOOKUP($C412,'Upper Cask Welding failures'!$E$318:$H$400,4,FALSE),E412+F411)</f>
        <v>44.105116965520679</v>
      </c>
      <c r="G412" s="862"/>
      <c r="H412" s="1328" t="str">
        <f>IF(D412="operation",VLOOKUP(G412,'Generic Vertical Port Tasks'!C325:D384,2,FALSE),"N/A")</f>
        <v>N/A</v>
      </c>
      <c r="I412" s="1294"/>
      <c r="J412" s="1294"/>
      <c r="K412" s="1294"/>
      <c r="L412" s="1329" t="str">
        <f>IFERROR(INDEX('Upper Cask Movement &amp; Logistics'!$I$24:$O$30,MATCH($J412,'Upper Cask Movement &amp; Logistics'!$H$24:$H$30,0),MATCH($K412,'Upper Cask Movement &amp; Logistics'!$H$24:$H$30,0)),"N/A")</f>
        <v>N/A</v>
      </c>
      <c r="M412" s="1329" t="str">
        <f>IFERROR(VLOOKUP($I412,'Upper Cask Movement &amp; Logistics'!$H$4:$I$8,2,FALSE),"N/A")</f>
        <v>N/A</v>
      </c>
      <c r="N412" s="1330" t="str">
        <f t="shared" si="13"/>
        <v>N/A</v>
      </c>
      <c r="O412" s="1331" t="s">
        <v>1277</v>
      </c>
      <c r="P412" s="1332">
        <f>IF($D412="Logistics",VLOOKUP($O412,'Upper Cask Movement &amp; Logistics'!$C$4:$D$77,2,FALSE),"N/A")</f>
        <v>1.4000000000000001</v>
      </c>
    </row>
    <row r="413" spans="1:16" s="89" customFormat="1" ht="13.3" outlineLevel="1" thickBot="1" x14ac:dyDescent="0.4">
      <c r="A413" s="1202"/>
      <c r="B413" s="3966"/>
      <c r="C413" s="1340" t="s">
        <v>1392</v>
      </c>
      <c r="D413" s="1340" t="s">
        <v>11</v>
      </c>
      <c r="E413" s="1295">
        <f t="shared" si="12"/>
        <v>0</v>
      </c>
      <c r="F413" s="1295">
        <f>IF($D413="Trigger",VLOOKUP($C413,'Upper Cask Welding failures'!$E$318:$H$400,4,FALSE),E413+F412)</f>
        <v>44.105116965520679</v>
      </c>
      <c r="G413" s="839"/>
      <c r="H413" s="1341" t="str">
        <f>IF(D413="operation",VLOOKUP(G413,'Generic Vertical Port Tasks'!C325:D384,2,FALSE),"N/A")</f>
        <v>N/A</v>
      </c>
      <c r="I413" s="1340"/>
      <c r="J413" s="1340"/>
      <c r="K413" s="1340"/>
      <c r="L413" s="1342" t="str">
        <f>IFERROR(INDEX('Upper Cask Movement &amp; Logistics'!$I$24:$O$30,MATCH($J413,'Upper Cask Movement &amp; Logistics'!$H$24:$H$30,0),MATCH($K413,'Upper Cask Movement &amp; Logistics'!$H$24:$H$30,0)),"N/A")</f>
        <v>N/A</v>
      </c>
      <c r="M413" s="1342" t="str">
        <f>IFERROR(VLOOKUP($I413,'Upper Cask Movement &amp; Logistics'!$H$4:$I$8,2,FALSE),"N/A")</f>
        <v>N/A</v>
      </c>
      <c r="N413" s="1343" t="str">
        <f t="shared" si="13"/>
        <v>N/A</v>
      </c>
      <c r="O413" s="1344"/>
      <c r="P413" s="1345" t="str">
        <f>IF($D413="Logistics",VLOOKUP($O413,'Upper Cask Movement &amp; Logistics'!$C$4:$D$77,2,FALSE),"N/A")</f>
        <v>N/A</v>
      </c>
    </row>
    <row r="414" spans="1:16" s="89" customFormat="1" outlineLevel="1" x14ac:dyDescent="0.35">
      <c r="A414" s="1202"/>
      <c r="B414" s="3960" t="s">
        <v>1394</v>
      </c>
      <c r="C414" s="1333" t="s">
        <v>1264</v>
      </c>
      <c r="D414" s="1333" t="s">
        <v>907</v>
      </c>
      <c r="E414" s="1303">
        <f t="shared" si="12"/>
        <v>0</v>
      </c>
      <c r="F414" s="1303">
        <f>IF($D414="Trigger",VLOOKUP($C414,'Upper Cask Welding failures'!$E$318:$H$400,4,FALSE),E414+F413)</f>
        <v>45.669191039594764</v>
      </c>
      <c r="G414" s="1304"/>
      <c r="H414" s="1305" t="str">
        <f>IF(D414="operation",VLOOKUP(G414,'Generic Vertical Port Tasks'!C325:D384,2,FALSE),"N/A")</f>
        <v>N/A</v>
      </c>
      <c r="I414" s="1333"/>
      <c r="J414" s="1333"/>
      <c r="K414" s="1333"/>
      <c r="L414" s="1334" t="str">
        <f>IFERROR(INDEX('Upper Cask Movement &amp; Logistics'!$I$24:$O$30,MATCH($J414,'Upper Cask Movement &amp; Logistics'!$H$24:$H$30,0),MATCH($K414,'Upper Cask Movement &amp; Logistics'!$H$24:$H$30,0)),"N/A")</f>
        <v>N/A</v>
      </c>
      <c r="M414" s="1334" t="str">
        <f>IFERROR(VLOOKUP($I414,'Upper Cask Movement &amp; Logistics'!$H$4:$I$8,2,FALSE),"N/A")</f>
        <v>N/A</v>
      </c>
      <c r="N414" s="1335" t="str">
        <f t="shared" si="13"/>
        <v>N/A</v>
      </c>
      <c r="O414" s="1336"/>
      <c r="P414" s="1337" t="str">
        <f>IF($D414="Logistics",VLOOKUP($O414,'Upper Cask Movement &amp; Logistics'!$C$4:$D$77,2,FALSE),"N/A")</f>
        <v>N/A</v>
      </c>
    </row>
    <row r="415" spans="1:16" s="89" customFormat="1" outlineLevel="1" x14ac:dyDescent="0.35">
      <c r="A415" s="1202"/>
      <c r="B415" s="3968"/>
      <c r="C415" s="1240" t="s">
        <v>1395</v>
      </c>
      <c r="D415" s="1240" t="s">
        <v>3</v>
      </c>
      <c r="E415" s="1241">
        <f t="shared" si="12"/>
        <v>2.3000000000000003</v>
      </c>
      <c r="F415" s="1241">
        <f>IF($D415="Trigger",VLOOKUP($C415,'Upper Cask Welding failures'!$E$318:$H$400,4,FALSE),E415+F414)</f>
        <v>47.969191039594762</v>
      </c>
      <c r="G415" s="1354"/>
      <c r="H415" s="1355" t="str">
        <f>IF(D415="operation",VLOOKUP(G415,'Generic Vertical Port Tasks'!C325:D384,2,FALSE),"N/A")</f>
        <v>N/A</v>
      </c>
      <c r="I415" s="1240"/>
      <c r="J415" s="1240"/>
      <c r="K415" s="1240"/>
      <c r="L415" s="1242" t="str">
        <f>IFERROR(INDEX('Upper Cask Movement &amp; Logistics'!$I$24:$O$30,MATCH($J415,'Upper Cask Movement &amp; Logistics'!$H$24:$H$30,0),MATCH($K415,'Upper Cask Movement &amp; Logistics'!$H$24:$H$30,0)),"N/A")</f>
        <v>N/A</v>
      </c>
      <c r="M415" s="1242" t="str">
        <f>IFERROR(VLOOKUP($I415,'Upper Cask Movement &amp; Logistics'!$H$4:$I$8,2,FALSE),"N/A")</f>
        <v>N/A</v>
      </c>
      <c r="N415" s="1356" t="str">
        <f t="shared" si="13"/>
        <v>N/A</v>
      </c>
      <c r="O415" s="1357" t="s">
        <v>1269</v>
      </c>
      <c r="P415" s="1358">
        <f>IF($D415="Logistics",VLOOKUP($O415,'Upper Cask Movement &amp; Logistics'!$C$4:$D$77,2,FALSE),"N/A")</f>
        <v>2.3000000000000003</v>
      </c>
    </row>
    <row r="416" spans="1:16" s="89" customFormat="1" outlineLevel="1" x14ac:dyDescent="0.35">
      <c r="A416" s="1202"/>
      <c r="B416" s="3968"/>
      <c r="C416" s="1240" t="s">
        <v>1344</v>
      </c>
      <c r="D416" s="1240" t="s">
        <v>778</v>
      </c>
      <c r="E416" s="1241">
        <f t="shared" si="12"/>
        <v>0.69444444444444442</v>
      </c>
      <c r="F416" s="1241">
        <f>IF($D416="Trigger",VLOOKUP($C416,'Upper Cask Welding failures'!$E$318:$H$400,4,FALSE),E416+F415)</f>
        <v>48.663635484039204</v>
      </c>
      <c r="G416" s="1354"/>
      <c r="H416" s="1355" t="str">
        <f>IF(D416="operation",VLOOKUP(G416,'Generic Vertical Port Tasks'!C325:D384,2,FALSE),"N/A")</f>
        <v>N/A</v>
      </c>
      <c r="I416" s="1240" t="s">
        <v>1789</v>
      </c>
      <c r="J416" s="1240" t="s">
        <v>901</v>
      </c>
      <c r="K416" s="1240" t="s">
        <v>831</v>
      </c>
      <c r="L416" s="1242">
        <f>IFERROR(INDEX('Upper Cask Movement &amp; Logistics'!$I$24:$O$30,MATCH($J416,'Upper Cask Movement &amp; Logistics'!$H$24:$H$30,0),MATCH($K416,'Upper Cask Movement &amp; Logistics'!$H$24:$H$30,0)),"N/A")</f>
        <v>50</v>
      </c>
      <c r="M416" s="1242">
        <f>IFERROR(VLOOKUP($I416,'Upper Cask Movement &amp; Logistics'!$H$4:$I$8,2,FALSE),"N/A")</f>
        <v>0.02</v>
      </c>
      <c r="N416" s="1356">
        <f t="shared" si="13"/>
        <v>0.69444444444444442</v>
      </c>
      <c r="O416" s="1357"/>
      <c r="P416" s="1358" t="str">
        <f>IF($D416="Logistics",VLOOKUP($O416,'Upper Cask Movement &amp; Logistics'!$C$4:$D$77,2,FALSE),"N/A")</f>
        <v>N/A</v>
      </c>
    </row>
    <row r="417" spans="1:17" s="89" customFormat="1" outlineLevel="1" x14ac:dyDescent="0.35">
      <c r="A417" s="1202"/>
      <c r="B417" s="3968"/>
      <c r="C417" s="1240" t="s">
        <v>1396</v>
      </c>
      <c r="D417" s="1240" t="s">
        <v>3</v>
      </c>
      <c r="E417" s="1241">
        <f t="shared" si="12"/>
        <v>0.68</v>
      </c>
      <c r="F417" s="1241">
        <f>IF($D417="Trigger",VLOOKUP($C417,'Upper Cask Welding failures'!$E$318:$H$400,4,FALSE),E417+F416)</f>
        <v>49.343635484039204</v>
      </c>
      <c r="G417" s="1354"/>
      <c r="H417" s="1355" t="str">
        <f>IF(D417="operation",VLOOKUP(G417,'Generic Vertical Port Tasks'!C325:D384,2,FALSE),"N/A")</f>
        <v>N/A</v>
      </c>
      <c r="I417" s="1240"/>
      <c r="J417" s="1240"/>
      <c r="K417" s="1240"/>
      <c r="L417" s="1242" t="str">
        <f>IFERROR(INDEX('Upper Cask Movement &amp; Logistics'!$I$24:$O$30,MATCH($J417,'Upper Cask Movement &amp; Logistics'!$H$24:$H$30,0),MATCH($K417,'Upper Cask Movement &amp; Logistics'!$H$24:$H$30,0)),"N/A")</f>
        <v>N/A</v>
      </c>
      <c r="M417" s="1242" t="str">
        <f>IFERROR(VLOOKUP($I417,'Upper Cask Movement &amp; Logistics'!$H$4:$I$8,2,FALSE),"N/A")</f>
        <v>N/A</v>
      </c>
      <c r="N417" s="1356" t="str">
        <f t="shared" si="13"/>
        <v>N/A</v>
      </c>
      <c r="O417" s="1357" t="s">
        <v>1213</v>
      </c>
      <c r="P417" s="1358">
        <f>IF($D417="Logistics",VLOOKUP($O417,'Upper Cask Movement &amp; Logistics'!$C$4:$D$77,2,FALSE),"N/A")</f>
        <v>0.68</v>
      </c>
    </row>
    <row r="418" spans="1:17" s="89" customFormat="1" outlineLevel="1" x14ac:dyDescent="0.35">
      <c r="A418" s="1202"/>
      <c r="B418" s="3961"/>
      <c r="C418" s="1243" t="s">
        <v>1340</v>
      </c>
      <c r="D418" s="1243" t="s">
        <v>778</v>
      </c>
      <c r="E418" s="1244">
        <f t="shared" si="12"/>
        <v>0.23148148148148148</v>
      </c>
      <c r="F418" s="1244">
        <f>IF($D418="Trigger",VLOOKUP($C418,'Upper Cask Welding failures'!$E$318:$H$400,4,FALSE),E418+F417)</f>
        <v>49.575116965520685</v>
      </c>
      <c r="G418" s="1309"/>
      <c r="H418" s="1310" t="str">
        <f>IF(D418="operation",VLOOKUP(G418,'Generic Vertical Port Tasks'!C325:D384,2,FALSE),"N/A")</f>
        <v>N/A</v>
      </c>
      <c r="I418" s="1243" t="s">
        <v>2501</v>
      </c>
      <c r="J418" s="1243" t="s">
        <v>831</v>
      </c>
      <c r="K418" s="1243" t="s">
        <v>901</v>
      </c>
      <c r="L418" s="1245">
        <f>IFERROR(INDEX('Upper Cask Movement &amp; Logistics'!$I$24:$O$30,MATCH($J418,'Upper Cask Movement &amp; Logistics'!$H$24:$H$30,0),MATCH($K418,'Upper Cask Movement &amp; Logistics'!$H$24:$H$30,0)),"N/A")</f>
        <v>50</v>
      </c>
      <c r="M418" s="1245">
        <f>IFERROR(VLOOKUP($I418,'Upper Cask Movement &amp; Logistics'!$H$4:$I$8,2,FALSE),"N/A")</f>
        <v>0.06</v>
      </c>
      <c r="N418" s="1311">
        <f t="shared" si="13"/>
        <v>0.23148148148148148</v>
      </c>
      <c r="O418" s="1312"/>
      <c r="P418" s="1313" t="str">
        <f>IF($D418="Logistics",VLOOKUP($O418,'Upper Cask Movement &amp; Logistics'!$C$4:$D$77,2,FALSE),"N/A")</f>
        <v>N/A</v>
      </c>
    </row>
    <row r="419" spans="1:17" s="89" customFormat="1" outlineLevel="1" x14ac:dyDescent="0.35">
      <c r="A419" s="1202"/>
      <c r="B419" s="3961"/>
      <c r="C419" s="1243" t="s">
        <v>1391</v>
      </c>
      <c r="D419" s="1243" t="s">
        <v>3</v>
      </c>
      <c r="E419" s="1244">
        <f t="shared" si="12"/>
        <v>1.4000000000000001</v>
      </c>
      <c r="F419" s="1244">
        <f>IF($D419="Trigger",VLOOKUP($C419,'Upper Cask Welding failures'!$E$318:$H$400,4,FALSE),E419+F418)</f>
        <v>50.975116965520684</v>
      </c>
      <c r="G419" s="1309"/>
      <c r="H419" s="1310" t="str">
        <f>IF(D419="operation",VLOOKUP(G419,'Generic Vertical Port Tasks'!C325:D384,2,FALSE),"N/A")</f>
        <v>N/A</v>
      </c>
      <c r="I419" s="1243"/>
      <c r="J419" s="1243"/>
      <c r="K419" s="1243"/>
      <c r="L419" s="1245" t="str">
        <f>IFERROR(INDEX('Upper Cask Movement &amp; Logistics'!$I$24:$O$30,MATCH($J419,'Upper Cask Movement &amp; Logistics'!$H$24:$H$30,0),MATCH($K419,'Upper Cask Movement &amp; Logistics'!$H$24:$H$30,0)),"N/A")</f>
        <v>N/A</v>
      </c>
      <c r="M419" s="1245" t="str">
        <f>IFERROR(VLOOKUP($I419,'Upper Cask Movement &amp; Logistics'!$H$4:$I$8,2,FALSE),"N/A")</f>
        <v>N/A</v>
      </c>
      <c r="N419" s="1311" t="str">
        <f t="shared" si="13"/>
        <v>N/A</v>
      </c>
      <c r="O419" s="1312" t="s">
        <v>1277</v>
      </c>
      <c r="P419" s="1313">
        <f>IF($D419="Logistics",VLOOKUP($O419,'Upper Cask Movement &amp; Logistics'!$C$4:$D$77,2,FALSE),"N/A")</f>
        <v>1.4000000000000001</v>
      </c>
    </row>
    <row r="420" spans="1:17" s="89" customFormat="1" ht="13.3" outlineLevel="1" thickBot="1" x14ac:dyDescent="0.4">
      <c r="A420" s="1202"/>
      <c r="B420" s="3963"/>
      <c r="C420" s="1314" t="s">
        <v>1394</v>
      </c>
      <c r="D420" s="1314" t="s">
        <v>11</v>
      </c>
      <c r="E420" s="1316">
        <f t="shared" si="12"/>
        <v>0</v>
      </c>
      <c r="F420" s="1316">
        <f>IF($D420="Trigger",VLOOKUP($C420,'Upper Cask Welding failures'!$E$318:$H$400,4,FALSE),E420+F419)</f>
        <v>50.975116965520684</v>
      </c>
      <c r="G420" s="1317"/>
      <c r="H420" s="1318" t="str">
        <f>IF(D420="operation",VLOOKUP(G420,'Generic Vertical Port Tasks'!C325:D384,2,FALSE),"N/A")</f>
        <v>N/A</v>
      </c>
      <c r="I420" s="1314"/>
      <c r="J420" s="1314"/>
      <c r="K420" s="1314"/>
      <c r="L420" s="1319" t="str">
        <f>IFERROR(INDEX('Upper Cask Movement &amp; Logistics'!$I$24:$O$30,MATCH($J420,'Upper Cask Movement &amp; Logistics'!$H$24:$H$30,0),MATCH($K420,'Upper Cask Movement &amp; Logistics'!$H$24:$H$30,0)),"N/A")</f>
        <v>N/A</v>
      </c>
      <c r="M420" s="1319" t="str">
        <f>IFERROR(VLOOKUP($I420,'Upper Cask Movement &amp; Logistics'!$H$4:$I$8,2,FALSE),"N/A")</f>
        <v>N/A</v>
      </c>
      <c r="N420" s="1320" t="str">
        <f t="shared" si="13"/>
        <v>N/A</v>
      </c>
      <c r="O420" s="1321"/>
      <c r="P420" s="1322" t="str">
        <f>IF($D420="Logistics",VLOOKUP($O420,'Upper Cask Movement &amp; Logistics'!$C$4:$D$77,2,FALSE),"N/A")</f>
        <v>N/A</v>
      </c>
    </row>
    <row r="421" spans="1:17" s="89" customFormat="1" outlineLevel="1" x14ac:dyDescent="0.35">
      <c r="A421" s="1202"/>
      <c r="B421" s="3964" t="s">
        <v>1397</v>
      </c>
      <c r="C421" s="1324" t="s">
        <v>1265</v>
      </c>
      <c r="D421" s="1324" t="s">
        <v>907</v>
      </c>
      <c r="E421" s="1291">
        <f t="shared" si="12"/>
        <v>0</v>
      </c>
      <c r="F421" s="1291">
        <f>IF($D421="Trigger",VLOOKUP($C421,'Upper Cask Welding failures'!$E$318:$H$400,4,FALSE),E421+F420)</f>
        <v>52.539191039594769</v>
      </c>
      <c r="G421" s="825"/>
      <c r="H421" s="1323" t="str">
        <f>IF(D421="operation",VLOOKUP(G421,'Generic Vertical Port Tasks'!C326:D388,2,FALSE),"N/A")</f>
        <v>N/A</v>
      </c>
      <c r="I421" s="1324"/>
      <c r="J421" s="1324"/>
      <c r="K421" s="1324"/>
      <c r="L421" s="1325" t="str">
        <f>IFERROR(INDEX('Upper Cask Movement &amp; Logistics'!$I$24:$O$30,MATCH($J421,'Upper Cask Movement &amp; Logistics'!$H$24:$H$30,0),MATCH($K421,'Upper Cask Movement &amp; Logistics'!$H$24:$H$30,0)),"N/A")</f>
        <v>N/A</v>
      </c>
      <c r="M421" s="1325" t="str">
        <f>IFERROR(VLOOKUP($I421,'Upper Cask Movement &amp; Logistics'!$H$4:$I$8,2,FALSE),"N/A")</f>
        <v>N/A</v>
      </c>
      <c r="N421" s="1326" t="str">
        <f t="shared" si="13"/>
        <v>N/A</v>
      </c>
      <c r="O421" s="1327"/>
      <c r="P421" s="824" t="str">
        <f>IF($D421="Logistics",VLOOKUP($O421,'Upper Cask Movement &amp; Logistics'!$C$4:$D$77,2,FALSE),"N/A")</f>
        <v>N/A</v>
      </c>
      <c r="Q421" s="88"/>
    </row>
    <row r="422" spans="1:17" s="89" customFormat="1" outlineLevel="1" x14ac:dyDescent="0.35">
      <c r="A422" s="1202"/>
      <c r="B422" s="3969"/>
      <c r="C422" s="1362" t="s">
        <v>1268</v>
      </c>
      <c r="D422" s="1362" t="s">
        <v>3</v>
      </c>
      <c r="E422" s="1363">
        <f t="shared" si="12"/>
        <v>2.3000000000000003</v>
      </c>
      <c r="F422" s="1363">
        <f>IF($D422="Trigger",VLOOKUP($C422,'Upper Cask Welding failures'!$E$318:$H$400,4,FALSE),E422+F421)</f>
        <v>54.839191039594766</v>
      </c>
      <c r="G422" s="1364"/>
      <c r="H422" s="1365" t="str">
        <f>IF(D422="operation",VLOOKUP(G422,'Generic Vertical Port Tasks'!C327:D389,2,FALSE),"N/A")</f>
        <v>N/A</v>
      </c>
      <c r="I422" s="1362"/>
      <c r="J422" s="1362"/>
      <c r="K422" s="1362"/>
      <c r="L422" s="1366" t="str">
        <f>IFERROR(INDEX('Upper Cask Movement &amp; Logistics'!$I$24:$O$30,MATCH($J422,'Upper Cask Movement &amp; Logistics'!$H$24:$H$30,0),MATCH($K422,'Upper Cask Movement &amp; Logistics'!$H$24:$H$30,0)),"N/A")</f>
        <v>N/A</v>
      </c>
      <c r="M422" s="1366" t="str">
        <f>IFERROR(VLOOKUP($I422,'Upper Cask Movement &amp; Logistics'!$H$4:$I$8,2,FALSE),"N/A")</f>
        <v>N/A</v>
      </c>
      <c r="N422" s="1367" t="str">
        <f t="shared" si="13"/>
        <v>N/A</v>
      </c>
      <c r="O422" s="1368" t="s">
        <v>1269</v>
      </c>
      <c r="P422" s="861">
        <f>IF($D422="Logistics",VLOOKUP($O422,'Upper Cask Movement &amp; Logistics'!$C$4:$D$77,2,FALSE),"N/A")</f>
        <v>2.3000000000000003</v>
      </c>
      <c r="Q422" s="88"/>
    </row>
    <row r="423" spans="1:17" s="89" customFormat="1" outlineLevel="1" x14ac:dyDescent="0.35">
      <c r="A423" s="1202"/>
      <c r="B423" s="3969"/>
      <c r="C423" s="1362" t="s">
        <v>1370</v>
      </c>
      <c r="D423" s="1362" t="s">
        <v>778</v>
      </c>
      <c r="E423" s="1363">
        <f t="shared" si="12"/>
        <v>0.69444444444444442</v>
      </c>
      <c r="F423" s="1363">
        <f>IF($D423="Trigger",VLOOKUP($C423,'Upper Cask Welding failures'!$E$318:$H$400,4,FALSE),E423+F422)</f>
        <v>55.533635484039209</v>
      </c>
      <c r="G423" s="1364"/>
      <c r="H423" s="1365" t="str">
        <f>IF(D423="operation",VLOOKUP(G423,'Generic Vertical Port Tasks'!C329:D390,2,FALSE),"N/A")</f>
        <v>N/A</v>
      </c>
      <c r="I423" s="1362" t="s">
        <v>1789</v>
      </c>
      <c r="J423" s="1362" t="s">
        <v>901</v>
      </c>
      <c r="K423" s="1362" t="s">
        <v>831</v>
      </c>
      <c r="L423" s="1366">
        <f>IFERROR(INDEX('Upper Cask Movement &amp; Logistics'!$I$24:$O$30,MATCH($J423,'Upper Cask Movement &amp; Logistics'!$H$24:$H$30,0),MATCH($K423,'Upper Cask Movement &amp; Logistics'!$H$24:$H$30,0)),"N/A")</f>
        <v>50</v>
      </c>
      <c r="M423" s="1366">
        <f>IFERROR(VLOOKUP($I423,'Upper Cask Movement &amp; Logistics'!$H$4:$I$8,2,FALSE),"N/A")</f>
        <v>0.02</v>
      </c>
      <c r="N423" s="1367">
        <f t="shared" si="13"/>
        <v>0.69444444444444442</v>
      </c>
      <c r="O423" s="1368"/>
      <c r="P423" s="861" t="str">
        <f>IF($D423="Logistics",VLOOKUP($O423,'Upper Cask Movement &amp; Logistics'!$C$4:$D$77,2,FALSE),"N/A")</f>
        <v>N/A</v>
      </c>
      <c r="Q423" s="88"/>
    </row>
    <row r="424" spans="1:17" s="89" customFormat="1" outlineLevel="1" x14ac:dyDescent="0.35">
      <c r="A424" s="1202"/>
      <c r="B424" s="3969"/>
      <c r="C424" s="1362" t="s">
        <v>1398</v>
      </c>
      <c r="D424" s="1362" t="s">
        <v>3</v>
      </c>
      <c r="E424" s="1363">
        <f t="shared" si="12"/>
        <v>0.68</v>
      </c>
      <c r="F424" s="1363">
        <f>IF($D424="Trigger",VLOOKUP($C424,'Upper Cask Welding failures'!$E$318:$H$400,4,FALSE),E424+F423)</f>
        <v>56.213635484039209</v>
      </c>
      <c r="G424" s="1364"/>
      <c r="H424" s="1365" t="str">
        <f>IF(D424="operation",VLOOKUP(G424,'Generic Vertical Port Tasks'!C330:D391,2,FALSE),"N/A")</f>
        <v>N/A</v>
      </c>
      <c r="I424" s="1362"/>
      <c r="J424" s="1362"/>
      <c r="K424" s="1362"/>
      <c r="L424" s="1366" t="str">
        <f>IFERROR(INDEX('Upper Cask Movement &amp; Logistics'!$I$24:$O$30,MATCH($J424,'Upper Cask Movement &amp; Logistics'!$H$24:$H$30,0),MATCH($K424,'Upper Cask Movement &amp; Logistics'!$H$24:$H$30,0)),"N/A")</f>
        <v>N/A</v>
      </c>
      <c r="M424" s="1366" t="str">
        <f>IFERROR(VLOOKUP($I424,'Upper Cask Movement &amp; Logistics'!$H$4:$I$8,2,FALSE),"N/A")</f>
        <v>N/A</v>
      </c>
      <c r="N424" s="1367" t="str">
        <f t="shared" si="13"/>
        <v>N/A</v>
      </c>
      <c r="O424" s="1368" t="s">
        <v>1213</v>
      </c>
      <c r="P424" s="861">
        <f>IF($D424="Logistics",VLOOKUP($O424,'Upper Cask Movement &amp; Logistics'!$C$4:$D$77,2,FALSE),"N/A")</f>
        <v>0.68</v>
      </c>
      <c r="Q424" s="88"/>
    </row>
    <row r="425" spans="1:17" s="89" customFormat="1" outlineLevel="1" x14ac:dyDescent="0.35">
      <c r="A425" s="1202"/>
      <c r="B425" s="3965"/>
      <c r="C425" s="1294" t="s">
        <v>1366</v>
      </c>
      <c r="D425" s="1294" t="s">
        <v>778</v>
      </c>
      <c r="E425" s="1292">
        <f t="shared" si="12"/>
        <v>0.23148148148148148</v>
      </c>
      <c r="F425" s="1292">
        <f>IF($D425="Trigger",VLOOKUP($C425,'Upper Cask Welding failures'!$E$318:$H$400,4,FALSE),E425+F424)</f>
        <v>56.44511696552069</v>
      </c>
      <c r="G425" s="862"/>
      <c r="H425" s="1328" t="str">
        <f>IF(D425="operation",VLOOKUP(G425,'Generic Vertical Port Tasks'!C342:D391,2,FALSE),"N/A")</f>
        <v>N/A</v>
      </c>
      <c r="I425" s="1294" t="s">
        <v>2501</v>
      </c>
      <c r="J425" s="1294" t="s">
        <v>831</v>
      </c>
      <c r="K425" s="1294" t="s">
        <v>901</v>
      </c>
      <c r="L425" s="1329">
        <f>IFERROR(INDEX('Upper Cask Movement &amp; Logistics'!$I$24:$O$30,MATCH($J425,'Upper Cask Movement &amp; Logistics'!$H$24:$H$30,0),MATCH($K425,'Upper Cask Movement &amp; Logistics'!$H$24:$H$30,0)),"N/A")</f>
        <v>50</v>
      </c>
      <c r="M425" s="1329">
        <f>IFERROR(VLOOKUP($I425,'Upper Cask Movement &amp; Logistics'!$H$4:$I$8,2,FALSE),"N/A")</f>
        <v>0.06</v>
      </c>
      <c r="N425" s="1330">
        <f t="shared" si="13"/>
        <v>0.23148148148148148</v>
      </c>
      <c r="O425" s="1331"/>
      <c r="P425" s="1332" t="str">
        <f>IF($D425="Logistics",VLOOKUP($O425,'Upper Cask Movement &amp; Logistics'!$C$4:$D$77,2,FALSE),"N/A")</f>
        <v>N/A</v>
      </c>
    </row>
    <row r="426" spans="1:17" s="89" customFormat="1" outlineLevel="1" x14ac:dyDescent="0.35">
      <c r="A426" s="1202"/>
      <c r="B426" s="3965"/>
      <c r="C426" s="1294" t="s">
        <v>1383</v>
      </c>
      <c r="D426" s="1294" t="s">
        <v>3</v>
      </c>
      <c r="E426" s="1292">
        <f t="shared" si="12"/>
        <v>1.4000000000000001</v>
      </c>
      <c r="F426" s="1292">
        <f>IF($D426="Trigger",VLOOKUP($C426,'Upper Cask Welding failures'!$E$318:$H$400,4,FALSE),E426+F425)</f>
        <v>57.845116965520688</v>
      </c>
      <c r="G426" s="862"/>
      <c r="H426" s="1328" t="str">
        <f>IF(D426="operation",VLOOKUP(G426,'Generic Vertical Port Tasks'!C385:D392,2,FALSE),"N/A")</f>
        <v>N/A</v>
      </c>
      <c r="I426" s="1294"/>
      <c r="J426" s="1294"/>
      <c r="K426" s="1294"/>
      <c r="L426" s="1329" t="str">
        <f>IFERROR(INDEX('Upper Cask Movement &amp; Logistics'!$I$24:$O$30,MATCH($J426,'Upper Cask Movement &amp; Logistics'!$H$24:$H$30,0),MATCH($K426,'Upper Cask Movement &amp; Logistics'!$H$24:$H$30,0)),"N/A")</f>
        <v>N/A</v>
      </c>
      <c r="M426" s="1329" t="str">
        <f>IFERROR(VLOOKUP($I426,'Upper Cask Movement &amp; Logistics'!$H$4:$I$8,2,FALSE),"N/A")</f>
        <v>N/A</v>
      </c>
      <c r="N426" s="1330" t="str">
        <f t="shared" si="13"/>
        <v>N/A</v>
      </c>
      <c r="O426" s="1331" t="s">
        <v>1277</v>
      </c>
      <c r="P426" s="1332">
        <f>IF($D426="Logistics",VLOOKUP($O426,'Upper Cask Movement &amp; Logistics'!$C$4:$D$77,2,FALSE),"N/A")</f>
        <v>1.4000000000000001</v>
      </c>
    </row>
    <row r="427" spans="1:17" s="89" customFormat="1" ht="13.3" outlineLevel="1" thickBot="1" x14ac:dyDescent="0.4">
      <c r="A427" s="1202"/>
      <c r="B427" s="3966"/>
      <c r="C427" s="1340" t="s">
        <v>1397</v>
      </c>
      <c r="D427" s="1340" t="s">
        <v>11</v>
      </c>
      <c r="E427" s="1295">
        <f t="shared" si="12"/>
        <v>0</v>
      </c>
      <c r="F427" s="1295">
        <f>IF($D427="Trigger",VLOOKUP($C427,'Upper Cask Welding failures'!$E$318:$H$400,4,FALSE),E427+F426)</f>
        <v>57.845116965520688</v>
      </c>
      <c r="G427" s="839"/>
      <c r="H427" s="1341" t="str">
        <f>IF(D427="operation",VLOOKUP(G427,'Generic Vertical Port Tasks'!C385:D397,2,FALSE),"N/A")</f>
        <v>N/A</v>
      </c>
      <c r="I427" s="1340"/>
      <c r="J427" s="1340"/>
      <c r="K427" s="1340"/>
      <c r="L427" s="1342" t="str">
        <f>IFERROR(INDEX('Upper Cask Movement &amp; Logistics'!$I$24:$O$30,MATCH($J427,'Upper Cask Movement &amp; Logistics'!$H$24:$H$30,0),MATCH($K427,'Upper Cask Movement &amp; Logistics'!$H$24:$H$30,0)),"N/A")</f>
        <v>N/A</v>
      </c>
      <c r="M427" s="1342" t="str">
        <f>IFERROR(VLOOKUP($I427,'Upper Cask Movement &amp; Logistics'!$H$4:$I$8,2,FALSE),"N/A")</f>
        <v>N/A</v>
      </c>
      <c r="N427" s="1343" t="str">
        <f t="shared" si="13"/>
        <v>N/A</v>
      </c>
      <c r="O427" s="1344"/>
      <c r="P427" s="1345" t="str">
        <f>IF($D427="Logistics",VLOOKUP($O427,'Upper Cask Movement &amp; Logistics'!$C$4:$D$77,2,FALSE),"N/A")</f>
        <v>N/A</v>
      </c>
    </row>
    <row r="428" spans="1:17" s="89" customFormat="1" outlineLevel="1" x14ac:dyDescent="0.35">
      <c r="A428" s="1202"/>
      <c r="B428" s="3960" t="s">
        <v>1399</v>
      </c>
      <c r="C428" s="1333" t="s">
        <v>1266</v>
      </c>
      <c r="D428" s="1333" t="s">
        <v>907</v>
      </c>
      <c r="E428" s="1303">
        <f t="shared" si="12"/>
        <v>0</v>
      </c>
      <c r="F428" s="1549">
        <f>IF($D428="Trigger",VLOOKUP($C428,'Upper Cask Welding failures'!$E$318:$H$400,4,FALSE),E428+F427)</f>
        <v>59.409191039594774</v>
      </c>
      <c r="G428" s="1304"/>
      <c r="H428" s="1305" t="str">
        <f>IF(D428="operation",VLOOKUP(G428,'Generic Vertical Port Tasks'!C358:D401,2,FALSE),"N/A")</f>
        <v>N/A</v>
      </c>
      <c r="I428" s="1333"/>
      <c r="J428" s="1333"/>
      <c r="K428" s="1333"/>
      <c r="L428" s="1334" t="str">
        <f>IFERROR(INDEX('Upper Cask Movement &amp; Logistics'!$I$24:$O$30,MATCH($J428,'Upper Cask Movement &amp; Logistics'!$H$24:$H$30,0),MATCH($K428,'Upper Cask Movement &amp; Logistics'!$H$24:$H$30,0)),"N/A")</f>
        <v>N/A</v>
      </c>
      <c r="M428" s="1334" t="str">
        <f>IFERROR(VLOOKUP($I428,'Upper Cask Movement &amp; Logistics'!$H$4:$I$8,2,FALSE),"N/A")</f>
        <v>N/A</v>
      </c>
      <c r="N428" s="1335" t="str">
        <f t="shared" si="13"/>
        <v>N/A</v>
      </c>
      <c r="O428" s="1336"/>
      <c r="P428" s="1337" t="str">
        <f>IF($D428="Logistics",VLOOKUP($O428,'Upper Cask Movement &amp; Logistics'!$C$4:$D$77,2,FALSE),"N/A")</f>
        <v>N/A</v>
      </c>
    </row>
    <row r="429" spans="1:17" s="89" customFormat="1" outlineLevel="1" x14ac:dyDescent="0.35">
      <c r="A429" s="1202"/>
      <c r="B429" s="3968"/>
      <c r="C429" s="1240" t="s">
        <v>1344</v>
      </c>
      <c r="D429" s="1240" t="s">
        <v>778</v>
      </c>
      <c r="E429" s="1241">
        <f t="shared" si="12"/>
        <v>0.34722222222222221</v>
      </c>
      <c r="F429" s="1248">
        <f>IF($D429="Trigger",VLOOKUP($C429,'Upper Cask Welding failures'!$E$318:$H$400,4,FALSE),E429+F428)</f>
        <v>59.756413261816995</v>
      </c>
      <c r="G429" s="1354"/>
      <c r="H429" s="1355" t="str">
        <f>IF(D429="operation",VLOOKUP(G429,'Generic Vertical Port Tasks'!C358:D401,2,FALSE),"N/A")</f>
        <v>N/A</v>
      </c>
      <c r="I429" s="1240" t="s">
        <v>1789</v>
      </c>
      <c r="J429" s="1240" t="s">
        <v>901</v>
      </c>
      <c r="K429" s="1240" t="s">
        <v>858</v>
      </c>
      <c r="L429" s="1242">
        <f>IFERROR(INDEX('Upper Cask Movement &amp; Logistics'!$I$24:$O$30,MATCH($J429,'Upper Cask Movement &amp; Logistics'!$H$24:$H$30,0),MATCH($K429,'Upper Cask Movement &amp; Logistics'!$H$24:$H$30,0)),"N/A")</f>
        <v>25</v>
      </c>
      <c r="M429" s="1242">
        <f>IFERROR(VLOOKUP($I429,'Upper Cask Movement &amp; Logistics'!$H$4:$I$8,2,FALSE),"N/A")</f>
        <v>0.02</v>
      </c>
      <c r="N429" s="1356">
        <f t="shared" si="13"/>
        <v>0.34722222222222221</v>
      </c>
      <c r="O429" s="1357"/>
      <c r="P429" s="1358" t="str">
        <f>IF($D429="Logistics",VLOOKUP($O429,'Upper Cask Movement &amp; Logistics'!$C$4:$D$77,2,FALSE),"N/A")</f>
        <v>N/A</v>
      </c>
    </row>
    <row r="430" spans="1:17" s="89" customFormat="1" outlineLevel="1" x14ac:dyDescent="0.35">
      <c r="A430" s="1202"/>
      <c r="B430" s="3968"/>
      <c r="C430" s="1240" t="s">
        <v>1400</v>
      </c>
      <c r="D430" s="1240" t="s">
        <v>3</v>
      </c>
      <c r="E430" s="1241">
        <f t="shared" si="12"/>
        <v>0.68</v>
      </c>
      <c r="F430" s="1241">
        <f>IF($D430="Trigger",VLOOKUP($C430,'Upper Cask Welding failures'!$E$318:$H$400,4,FALSE),E430+F429)</f>
        <v>60.436413261816995</v>
      </c>
      <c r="G430" s="1354"/>
      <c r="H430" s="1355" t="str">
        <f>IF(D430="operation",VLOOKUP(G430,'Generic Vertical Port Tasks'!C358:D401,2,FALSE),"N/A")</f>
        <v>N/A</v>
      </c>
      <c r="I430" s="1240"/>
      <c r="J430" s="1240"/>
      <c r="K430" s="1240"/>
      <c r="L430" s="1242" t="str">
        <f>IFERROR(INDEX('Upper Cask Movement &amp; Logistics'!$I$24:$O$30,MATCH($J430,'Upper Cask Movement &amp; Logistics'!$H$24:$H$30,0),MATCH($K430,'Upper Cask Movement &amp; Logistics'!$H$24:$H$30,0)),"N/A")</f>
        <v>N/A</v>
      </c>
      <c r="M430" s="1242" t="str">
        <f>IFERROR(VLOOKUP($I430,'Upper Cask Movement &amp; Logistics'!$H$4:$I$8,2,FALSE),"N/A")</f>
        <v>N/A</v>
      </c>
      <c r="N430" s="1356" t="str">
        <f t="shared" si="13"/>
        <v>N/A</v>
      </c>
      <c r="O430" s="1357" t="s">
        <v>1213</v>
      </c>
      <c r="P430" s="1358">
        <f>IF($D430="Logistics",VLOOKUP($O430,'Upper Cask Movement &amp; Logistics'!$C$4:$D$77,2,FALSE),"N/A")</f>
        <v>0.68</v>
      </c>
    </row>
    <row r="431" spans="1:17" s="89" customFormat="1" outlineLevel="1" x14ac:dyDescent="0.35">
      <c r="A431" s="1202"/>
      <c r="B431" s="3961"/>
      <c r="C431" s="1243" t="s">
        <v>1340</v>
      </c>
      <c r="D431" s="1243" t="s">
        <v>778</v>
      </c>
      <c r="E431" s="1244">
        <f t="shared" si="12"/>
        <v>0.23148148148148148</v>
      </c>
      <c r="F431" s="1244">
        <f>IF($D431="Trigger",VLOOKUP($C431,'Upper Cask Welding failures'!$E$318:$H$400,4,FALSE),E431+F430)</f>
        <v>60.667894743298476</v>
      </c>
      <c r="G431" s="1309"/>
      <c r="H431" s="1310" t="str">
        <f>IF(D431="operation",VLOOKUP(G431,'Generic Vertical Port Tasks'!C358:D401,2,FALSE),"N/A")</f>
        <v>N/A</v>
      </c>
      <c r="I431" s="1243" t="s">
        <v>2501</v>
      </c>
      <c r="J431" s="1243" t="s">
        <v>831</v>
      </c>
      <c r="K431" s="1243" t="s">
        <v>901</v>
      </c>
      <c r="L431" s="1245">
        <f>IFERROR(INDEX('Upper Cask Movement &amp; Logistics'!$I$24:$O$30,MATCH($J431,'Upper Cask Movement &amp; Logistics'!$H$24:$H$30,0),MATCH($K431,'Upper Cask Movement &amp; Logistics'!$H$24:$H$30,0)),"N/A")</f>
        <v>50</v>
      </c>
      <c r="M431" s="1245">
        <f>IFERROR(VLOOKUP($I431,'Upper Cask Movement &amp; Logistics'!$H$4:$I$8,2,FALSE),"N/A")</f>
        <v>0.06</v>
      </c>
      <c r="N431" s="1311">
        <f t="shared" si="13"/>
        <v>0.23148148148148148</v>
      </c>
      <c r="O431" s="1312"/>
      <c r="P431" s="1313" t="str">
        <f>IF($D431="Logistics",VLOOKUP($O431,'Upper Cask Movement &amp; Logistics'!$C$4:$D$77,2,FALSE),"N/A")</f>
        <v>N/A</v>
      </c>
    </row>
    <row r="432" spans="1:17" s="89" customFormat="1" outlineLevel="1" x14ac:dyDescent="0.35">
      <c r="A432" s="1202"/>
      <c r="B432" s="3961"/>
      <c r="C432" s="1243" t="s">
        <v>1391</v>
      </c>
      <c r="D432" s="1243" t="s">
        <v>3</v>
      </c>
      <c r="E432" s="1244">
        <f t="shared" si="12"/>
        <v>1.4000000000000001</v>
      </c>
      <c r="F432" s="1244">
        <f>IF($D432="Trigger",VLOOKUP($C432,'Upper Cask Welding failures'!$E$318:$H$400,4,FALSE),E432+F431)</f>
        <v>62.067894743298474</v>
      </c>
      <c r="G432" s="1309"/>
      <c r="H432" s="1310" t="str">
        <f>IF(D432="operation",VLOOKUP(G432,'Generic Vertical Port Tasks'!C358:D401,2,FALSE),"N/A")</f>
        <v>N/A</v>
      </c>
      <c r="I432" s="1243"/>
      <c r="J432" s="1243"/>
      <c r="K432" s="1243"/>
      <c r="L432" s="1245" t="str">
        <f>IFERROR(INDEX('Upper Cask Movement &amp; Logistics'!$I$24:$O$30,MATCH($J432,'Upper Cask Movement &amp; Logistics'!$H$24:$H$30,0),MATCH($K432,'Upper Cask Movement &amp; Logistics'!$H$24:$H$30,0)),"N/A")</f>
        <v>N/A</v>
      </c>
      <c r="M432" s="1245" t="str">
        <f>IFERROR(VLOOKUP($I432,'Upper Cask Movement &amp; Logistics'!$H$4:$I$8,2,FALSE),"N/A")</f>
        <v>N/A</v>
      </c>
      <c r="N432" s="1311" t="str">
        <f t="shared" si="13"/>
        <v>N/A</v>
      </c>
      <c r="O432" s="1312" t="s">
        <v>1277</v>
      </c>
      <c r="P432" s="1313">
        <f>IF($D432="Logistics",VLOOKUP($O432,'Upper Cask Movement &amp; Logistics'!$C$4:$D$77,2,FALSE),"N/A")</f>
        <v>1.4000000000000001</v>
      </c>
    </row>
    <row r="433" spans="1:16" s="89" customFormat="1" ht="13.3" outlineLevel="1" thickBot="1" x14ac:dyDescent="0.4">
      <c r="A433" s="1202"/>
      <c r="B433" s="3963"/>
      <c r="C433" s="1314" t="s">
        <v>1399</v>
      </c>
      <c r="D433" s="1314" t="s">
        <v>11</v>
      </c>
      <c r="E433" s="1316">
        <f t="shared" si="12"/>
        <v>0</v>
      </c>
      <c r="F433" s="1316">
        <f>IF($D433="Trigger",VLOOKUP($C433,'Upper Cask Welding failures'!$E$318:$H$400,4,FALSE),E433+F432)</f>
        <v>62.067894743298474</v>
      </c>
      <c r="G433" s="1317"/>
      <c r="H433" s="1318" t="str">
        <f>IF(D433="operation",VLOOKUP(G433,'Generic Vertical Port Tasks'!C358:D401,2,FALSE),"N/A")</f>
        <v>N/A</v>
      </c>
      <c r="I433" s="1314"/>
      <c r="J433" s="1314"/>
      <c r="K433" s="1314"/>
      <c r="L433" s="1319" t="str">
        <f>IFERROR(INDEX('Upper Cask Movement &amp; Logistics'!$I$24:$O$30,MATCH($J433,'Upper Cask Movement &amp; Logistics'!$H$24:$H$30,0),MATCH($K433,'Upper Cask Movement &amp; Logistics'!$H$24:$H$30,0)),"N/A")</f>
        <v>N/A</v>
      </c>
      <c r="M433" s="1319" t="str">
        <f>IFERROR(VLOOKUP($I433,'Upper Cask Movement &amp; Logistics'!$H$4:$I$8,2,FALSE),"N/A")</f>
        <v>N/A</v>
      </c>
      <c r="N433" s="1320" t="str">
        <f t="shared" si="13"/>
        <v>N/A</v>
      </c>
      <c r="O433" s="1321"/>
      <c r="P433" s="1322" t="str">
        <f>IF($D433="Logistics",VLOOKUP($O433,'Upper Cask Movement &amp; Logistics'!$C$4:$D$77,2,FALSE),"N/A")</f>
        <v>N/A</v>
      </c>
    </row>
    <row r="434" spans="1:16" s="89" customFormat="1" outlineLevel="1" x14ac:dyDescent="0.35">
      <c r="A434" s="1202"/>
      <c r="B434" s="3964" t="s">
        <v>1401</v>
      </c>
      <c r="C434" s="1324" t="s">
        <v>1530</v>
      </c>
      <c r="D434" s="1324" t="s">
        <v>907</v>
      </c>
      <c r="E434" s="1291">
        <f t="shared" si="12"/>
        <v>0</v>
      </c>
      <c r="F434" s="1291">
        <f>IF($D434="Trigger",VLOOKUP($C434,'Upper Cask Welding failures'!$E$318:$H$400,4,FALSE),E434+F433)</f>
        <v>68.579191039594761</v>
      </c>
      <c r="G434" s="825"/>
      <c r="H434" s="1323" t="str">
        <f>IF(D434="operation",VLOOKUP(G434,'Generic Vertical Port Tasks'!C360:D414,2,FALSE),"N/A")</f>
        <v>N/A</v>
      </c>
      <c r="I434" s="1324"/>
      <c r="J434" s="1324"/>
      <c r="K434" s="1324"/>
      <c r="L434" s="1325" t="str">
        <f>IFERROR(INDEX('Upper Cask Movement &amp; Logistics'!$I$24:$O$30,MATCH($J434,'Upper Cask Movement &amp; Logistics'!$H$24:$H$30,0),MATCH($K434,'Upper Cask Movement &amp; Logistics'!$H$24:$H$30,0)),"N/A")</f>
        <v>N/A</v>
      </c>
      <c r="M434" s="1325" t="str">
        <f>IFERROR(VLOOKUP($I434,'Upper Cask Movement &amp; Logistics'!$H$4:$I$8,2,FALSE),"N/A")</f>
        <v>N/A</v>
      </c>
      <c r="N434" s="1326" t="str">
        <f t="shared" si="13"/>
        <v>N/A</v>
      </c>
      <c r="O434" s="1327"/>
      <c r="P434" s="824" t="str">
        <f>IF($D434="Logistics",VLOOKUP($O434,'Upper Cask Movement &amp; Logistics'!$C$4:$D$77,2,FALSE),"N/A")</f>
        <v>N/A</v>
      </c>
    </row>
    <row r="435" spans="1:16" s="89" customFormat="1" outlineLevel="1" x14ac:dyDescent="0.35">
      <c r="A435" s="1202"/>
      <c r="B435" s="3969"/>
      <c r="C435" s="1362" t="s">
        <v>1344</v>
      </c>
      <c r="D435" s="1362" t="s">
        <v>778</v>
      </c>
      <c r="E435" s="1363">
        <f t="shared" si="12"/>
        <v>0.69444444444444442</v>
      </c>
      <c r="F435" s="1363">
        <f>IF($D435="Trigger",VLOOKUP($C435,'Upper Cask Welding failures'!$E$318:$H$400,4,FALSE),E435+F434)</f>
        <v>69.273635484039204</v>
      </c>
      <c r="G435" s="1364"/>
      <c r="H435" s="1365" t="str">
        <f>IF(D435="operation",VLOOKUP(G435,'Generic Vertical Port Tasks'!C360:D414,2,FALSE),"N/A")</f>
        <v>N/A</v>
      </c>
      <c r="I435" s="1362" t="s">
        <v>1789</v>
      </c>
      <c r="J435" s="1362" t="s">
        <v>901</v>
      </c>
      <c r="K435" s="1362" t="s">
        <v>831</v>
      </c>
      <c r="L435" s="1366">
        <f>IFERROR(INDEX('Upper Cask Movement &amp; Logistics'!$I$24:$O$30,MATCH($J435,'Upper Cask Movement &amp; Logistics'!$H$24:$H$30,0),MATCH($K435,'Upper Cask Movement &amp; Logistics'!$H$24:$H$30,0)),"N/A")</f>
        <v>50</v>
      </c>
      <c r="M435" s="1366">
        <f>IFERROR(VLOOKUP($I435,'Upper Cask Movement &amp; Logistics'!$H$4:$I$8,2,FALSE),"N/A")</f>
        <v>0.02</v>
      </c>
      <c r="N435" s="1367">
        <f t="shared" si="13"/>
        <v>0.69444444444444442</v>
      </c>
      <c r="O435" s="1368"/>
      <c r="P435" s="861" t="str">
        <f>IF($D435="Logistics",VLOOKUP($O435,'Upper Cask Movement &amp; Logistics'!$C$4:$D$77,2,FALSE),"N/A")</f>
        <v>N/A</v>
      </c>
    </row>
    <row r="436" spans="1:16" s="89" customFormat="1" outlineLevel="1" x14ac:dyDescent="0.35">
      <c r="A436" s="1202"/>
      <c r="B436" s="3969"/>
      <c r="C436" s="1362" t="s">
        <v>1400</v>
      </c>
      <c r="D436" s="1362" t="s">
        <v>3</v>
      </c>
      <c r="E436" s="1363">
        <f t="shared" si="12"/>
        <v>0.68</v>
      </c>
      <c r="F436" s="1363">
        <f>IF($D436="Trigger",VLOOKUP($C436,'Upper Cask Welding failures'!$E$318:$H$400,4,FALSE),E436+F435)</f>
        <v>69.953635484039211</v>
      </c>
      <c r="G436" s="1364"/>
      <c r="H436" s="1365" t="str">
        <f>IF(D436="operation",VLOOKUP(G436,'Generic Vertical Port Tasks'!C360:D414,2,FALSE),"N/A")</f>
        <v>N/A</v>
      </c>
      <c r="I436" s="1362"/>
      <c r="J436" s="1362"/>
      <c r="K436" s="1362"/>
      <c r="L436" s="1366" t="str">
        <f>IFERROR(INDEX('Upper Cask Movement &amp; Logistics'!$I$24:$O$30,MATCH($J436,'Upper Cask Movement &amp; Logistics'!$H$24:$H$30,0),MATCH($K436,'Upper Cask Movement &amp; Logistics'!$H$24:$H$30,0)),"N/A")</f>
        <v>N/A</v>
      </c>
      <c r="M436" s="1366" t="str">
        <f>IFERROR(VLOOKUP($I436,'Upper Cask Movement &amp; Logistics'!$H$4:$I$8,2,FALSE),"N/A")</f>
        <v>N/A</v>
      </c>
      <c r="N436" s="1367" t="str">
        <f t="shared" si="13"/>
        <v>N/A</v>
      </c>
      <c r="O436" s="1368" t="s">
        <v>1213</v>
      </c>
      <c r="P436" s="861">
        <f>IF($D436="Logistics",VLOOKUP($O436,'Upper Cask Movement &amp; Logistics'!$C$4:$D$77,2,FALSE),"N/A")</f>
        <v>0.68</v>
      </c>
    </row>
    <row r="437" spans="1:16" s="89" customFormat="1" outlineLevel="1" x14ac:dyDescent="0.35">
      <c r="A437" s="1202"/>
      <c r="B437" s="3965"/>
      <c r="C437" s="1294" t="s">
        <v>1340</v>
      </c>
      <c r="D437" s="1294" t="s">
        <v>778</v>
      </c>
      <c r="E437" s="1292">
        <f t="shared" si="12"/>
        <v>0.23148148148148148</v>
      </c>
      <c r="F437" s="1292">
        <f>IF($D437="Trigger",VLOOKUP($C437,'Upper Cask Welding failures'!$E$318:$H$400,4,FALSE),E437+F436)</f>
        <v>70.185116965520692</v>
      </c>
      <c r="G437" s="862"/>
      <c r="H437" s="1328" t="str">
        <f>IF(D437="operation",VLOOKUP(G437,'Generic Vertical Port Tasks'!C360:D414,2,FALSE),"N/A")</f>
        <v>N/A</v>
      </c>
      <c r="I437" s="1294" t="s">
        <v>2501</v>
      </c>
      <c r="J437" s="1294" t="s">
        <v>831</v>
      </c>
      <c r="K437" s="1294" t="s">
        <v>901</v>
      </c>
      <c r="L437" s="1329">
        <f>IFERROR(INDEX('Upper Cask Movement &amp; Logistics'!$I$24:$O$30,MATCH($J437,'Upper Cask Movement &amp; Logistics'!$H$24:$H$30,0),MATCH($K437,'Upper Cask Movement &amp; Logistics'!$H$24:$H$30,0)),"N/A")</f>
        <v>50</v>
      </c>
      <c r="M437" s="1329">
        <f>IFERROR(VLOOKUP($I437,'Upper Cask Movement &amp; Logistics'!$H$4:$I$8,2,FALSE),"N/A")</f>
        <v>0.06</v>
      </c>
      <c r="N437" s="1330">
        <f t="shared" si="13"/>
        <v>0.23148148148148148</v>
      </c>
      <c r="O437" s="1331"/>
      <c r="P437" s="1332" t="str">
        <f>IF($D437="Logistics",VLOOKUP($O437,'Upper Cask Movement &amp; Logistics'!$C$4:$D$77,2,FALSE),"N/A")</f>
        <v>N/A</v>
      </c>
    </row>
    <row r="438" spans="1:16" s="89" customFormat="1" outlineLevel="1" x14ac:dyDescent="0.35">
      <c r="A438" s="1202"/>
      <c r="B438" s="3965"/>
      <c r="C438" s="1294" t="s">
        <v>1391</v>
      </c>
      <c r="D438" s="1294" t="s">
        <v>3</v>
      </c>
      <c r="E438" s="1292">
        <f t="shared" si="12"/>
        <v>1.4000000000000001</v>
      </c>
      <c r="F438" s="1292">
        <f>IF($D438="Trigger",VLOOKUP($C438,'Upper Cask Welding failures'!$E$318:$H$400,4,FALSE),E438+F437)</f>
        <v>71.585116965520697</v>
      </c>
      <c r="G438" s="862"/>
      <c r="H438" s="1328" t="str">
        <f>IF(D438="operation",VLOOKUP(G438,'Generic Vertical Port Tasks'!C360:D414,2,FALSE),"N/A")</f>
        <v>N/A</v>
      </c>
      <c r="I438" s="1294"/>
      <c r="J438" s="1294"/>
      <c r="K438" s="1294"/>
      <c r="L438" s="1329" t="str">
        <f>IFERROR(INDEX('Upper Cask Movement &amp; Logistics'!$I$24:$O$30,MATCH($J438,'Upper Cask Movement &amp; Logistics'!$H$24:$H$30,0),MATCH($K438,'Upper Cask Movement &amp; Logistics'!$H$24:$H$30,0)),"N/A")</f>
        <v>N/A</v>
      </c>
      <c r="M438" s="1329" t="str">
        <f>IFERROR(VLOOKUP($I438,'Upper Cask Movement &amp; Logistics'!$H$4:$I$8,2,FALSE),"N/A")</f>
        <v>N/A</v>
      </c>
      <c r="N438" s="1330" t="str">
        <f t="shared" si="13"/>
        <v>N/A</v>
      </c>
      <c r="O438" s="1331" t="s">
        <v>1277</v>
      </c>
      <c r="P438" s="1332">
        <f>IF($D438="Logistics",VLOOKUP($O438,'Upper Cask Movement &amp; Logistics'!$C$4:$D$77,2,FALSE),"N/A")</f>
        <v>1.4000000000000001</v>
      </c>
    </row>
    <row r="439" spans="1:16" s="89" customFormat="1" ht="13.3" outlineLevel="1" thickBot="1" x14ac:dyDescent="0.4">
      <c r="A439" s="1202"/>
      <c r="B439" s="3966"/>
      <c r="C439" s="1340" t="s">
        <v>1401</v>
      </c>
      <c r="D439" s="1340" t="s">
        <v>11</v>
      </c>
      <c r="E439" s="1295">
        <f t="shared" si="12"/>
        <v>0</v>
      </c>
      <c r="F439" s="1295">
        <f>IF($D439="Trigger",VLOOKUP($C439,'Upper Cask Welding failures'!$E$318:$H$400,4,FALSE),E439+F438)</f>
        <v>71.585116965520697</v>
      </c>
      <c r="G439" s="839"/>
      <c r="H439" s="1341" t="str">
        <f>IF(D439="operation",VLOOKUP(G439,'Generic Vertical Port Tasks'!C360:D414,2,FALSE),"N/A")</f>
        <v>N/A</v>
      </c>
      <c r="I439" s="1340"/>
      <c r="J439" s="1340"/>
      <c r="K439" s="1340"/>
      <c r="L439" s="1342" t="str">
        <f>IFERROR(INDEX('Upper Cask Movement &amp; Logistics'!$I$24:$O$30,MATCH($J439,'Upper Cask Movement &amp; Logistics'!$H$24:$H$30,0),MATCH($K439,'Upper Cask Movement &amp; Logistics'!$H$24:$H$30,0)),"N/A")</f>
        <v>N/A</v>
      </c>
      <c r="M439" s="1342" t="str">
        <f>IFERROR(VLOOKUP($I439,'Upper Cask Movement &amp; Logistics'!$H$4:$I$8,2,FALSE),"N/A")</f>
        <v>N/A</v>
      </c>
      <c r="N439" s="1343" t="str">
        <f t="shared" si="13"/>
        <v>N/A</v>
      </c>
      <c r="O439" s="1344"/>
      <c r="P439" s="1345" t="str">
        <f>IF($D439="Logistics",VLOOKUP($O439,'Upper Cask Movement &amp; Logistics'!$C$4:$D$77,2,FALSE),"N/A")</f>
        <v>N/A</v>
      </c>
    </row>
    <row r="440" spans="1:16" s="89" customFormat="1" outlineLevel="1" x14ac:dyDescent="0.35">
      <c r="A440" s="1202"/>
      <c r="B440" s="3960" t="s">
        <v>1388</v>
      </c>
      <c r="C440" s="1333" t="s">
        <v>1251</v>
      </c>
      <c r="D440" s="1333" t="s">
        <v>907</v>
      </c>
      <c r="E440" s="1303">
        <f t="shared" si="12"/>
        <v>0</v>
      </c>
      <c r="F440" s="1303">
        <f>IF($D440="Trigger",VLOOKUP($C440,'Upper Cask Welding failures'!$E$318:$H$400,4,FALSE),E440+F439)</f>
        <v>3.164915531716769</v>
      </c>
      <c r="G440" s="1304"/>
      <c r="H440" s="1305" t="str">
        <f>IF(D440="operation",VLOOKUP(G440,'Generic Vertical Port Tasks'!C333:D392,2,FALSE),"N/A")</f>
        <v>N/A</v>
      </c>
      <c r="I440" s="1333"/>
      <c r="J440" s="1333"/>
      <c r="K440" s="1333"/>
      <c r="L440" s="1334" t="str">
        <f>IFERROR(INDEX('Upper Cask Movement &amp; Logistics'!$I$24:$O$30,MATCH($J440,'Upper Cask Movement &amp; Logistics'!$H$24:$H$30,0),MATCH($K440,'Upper Cask Movement &amp; Logistics'!$H$24:$H$30,0)),"N/A")</f>
        <v>N/A</v>
      </c>
      <c r="M440" s="1334" t="str">
        <f>IFERROR(VLOOKUP($I440,'Upper Cask Movement &amp; Logistics'!$H$4:$I$8,2,FALSE),"N/A")</f>
        <v>N/A</v>
      </c>
      <c r="N440" s="1335" t="str">
        <f t="shared" si="13"/>
        <v>N/A</v>
      </c>
      <c r="O440" s="1336"/>
      <c r="P440" s="1337" t="str">
        <f>IF($D440="Logistics",VLOOKUP($O440,'Upper Cask Movement &amp; Logistics'!$C$4:$D$77,2,FALSE),"N/A")</f>
        <v>N/A</v>
      </c>
    </row>
    <row r="441" spans="1:16" s="89" customFormat="1" outlineLevel="1" x14ac:dyDescent="0.35">
      <c r="A441" s="1202"/>
      <c r="B441" s="3961"/>
      <c r="C441" s="1243" t="s">
        <v>1345</v>
      </c>
      <c r="D441" s="1243" t="s">
        <v>778</v>
      </c>
      <c r="E441" s="1244">
        <f t="shared" si="12"/>
        <v>0.69444444444444442</v>
      </c>
      <c r="F441" s="1244">
        <f>IF($D441="Trigger",VLOOKUP($C441,'Upper Cask Welding failures'!$E$318:$H$400,4,FALSE),E441+F440)</f>
        <v>3.8593599761612136</v>
      </c>
      <c r="G441" s="1309"/>
      <c r="H441" s="1310" t="str">
        <f>IF(D441="operation",VLOOKUP(G441,'Generic Vertical Port Tasks'!C333:D392,2,FALSE),"N/A")</f>
        <v>N/A</v>
      </c>
      <c r="I441" s="1243" t="s">
        <v>1789</v>
      </c>
      <c r="J441" s="1243" t="s">
        <v>816</v>
      </c>
      <c r="K441" s="1243" t="s">
        <v>914</v>
      </c>
      <c r="L441" s="1245">
        <f>IFERROR(INDEX('Upper Cask Movement &amp; Logistics'!$I$24:$O$30,MATCH($J441,'Upper Cask Movement &amp; Logistics'!$H$24:$H$30,0),MATCH($K441,'Upper Cask Movement &amp; Logistics'!$H$24:$H$30,0)),"N/A")</f>
        <v>50</v>
      </c>
      <c r="M441" s="1245">
        <f>IFERROR(VLOOKUP($I441,'Upper Cask Movement &amp; Logistics'!$H$4:$I$8,2,FALSE),"N/A")</f>
        <v>0.02</v>
      </c>
      <c r="N441" s="1311">
        <f t="shared" si="13"/>
        <v>0.69444444444444442</v>
      </c>
      <c r="O441" s="1312"/>
      <c r="P441" s="1313" t="str">
        <f>IF($D441="Logistics",VLOOKUP($O441,'Upper Cask Movement &amp; Logistics'!$C$4:$D$77,2,FALSE),"N/A")</f>
        <v>N/A</v>
      </c>
    </row>
    <row r="442" spans="1:16" s="89" customFormat="1" outlineLevel="1" x14ac:dyDescent="0.35">
      <c r="A442" s="1202"/>
      <c r="B442" s="3962"/>
      <c r="C442" s="1249" t="s">
        <v>1389</v>
      </c>
      <c r="D442" s="1249" t="s">
        <v>3</v>
      </c>
      <c r="E442" s="1250">
        <f t="shared" si="12"/>
        <v>0.48000000000000004</v>
      </c>
      <c r="F442" s="1250">
        <f>IF($D442="Trigger",VLOOKUP($C442,'Upper Cask Welding failures'!$E$318:$H$400,4,FALSE),E442+F441)</f>
        <v>4.339359976161214</v>
      </c>
      <c r="G442" s="1338"/>
      <c r="H442" s="1359" t="str">
        <f>IF(D442="operation",VLOOKUP(G442,'Generic Vertical Port Tasks'!C333:D392,2,FALSE),"N/A")</f>
        <v>N/A</v>
      </c>
      <c r="I442" s="1249"/>
      <c r="J442" s="1249"/>
      <c r="K442" s="1249"/>
      <c r="L442" s="1245" t="str">
        <f>IFERROR(INDEX('Upper Cask Movement &amp; Logistics'!$I$24:$O$30,MATCH($J442,'Upper Cask Movement &amp; Logistics'!$H$24:$H$30,0),MATCH($K442,'Upper Cask Movement &amp; Logistics'!$H$24:$H$30,0)),"N/A")</f>
        <v>N/A</v>
      </c>
      <c r="M442" s="1245" t="str">
        <f>IFERROR(VLOOKUP($I442,'Upper Cask Movement &amp; Logistics'!$H$4:$I$8,2,FALSE),"N/A")</f>
        <v>N/A</v>
      </c>
      <c r="N442" s="1311" t="str">
        <f t="shared" si="13"/>
        <v>N/A</v>
      </c>
      <c r="O442" s="1339" t="s">
        <v>1330</v>
      </c>
      <c r="P442" s="1313">
        <f>IF($D442="Logistics",VLOOKUP($O442,'Upper Cask Movement &amp; Logistics'!$C$4:$D$77,2,FALSE),"N/A")</f>
        <v>0.48000000000000004</v>
      </c>
    </row>
    <row r="443" spans="1:16" s="89" customFormat="1" outlineLevel="1" x14ac:dyDescent="0.35">
      <c r="A443" s="1202"/>
      <c r="B443" s="3962"/>
      <c r="C443" s="1249" t="s">
        <v>1338</v>
      </c>
      <c r="D443" s="1249" t="s">
        <v>778</v>
      </c>
      <c r="E443" s="1250">
        <f t="shared" si="12"/>
        <v>2.7777777777777776E-2</v>
      </c>
      <c r="F443" s="1250">
        <f>IF($D443="Trigger",VLOOKUP($C443,'Upper Cask Welding failures'!$E$318:$H$400,4,FALSE),E443+F442)</f>
        <v>4.3671377539389917</v>
      </c>
      <c r="G443" s="1338"/>
      <c r="H443" s="1359" t="str">
        <f>IF(D443="operation",VLOOKUP(G443,'Generic Vertical Port Tasks'!C333:D392,2,FALSE),"N/A")</f>
        <v>N/A</v>
      </c>
      <c r="I443" s="1243" t="s">
        <v>2502</v>
      </c>
      <c r="J443" s="1249" t="s">
        <v>914</v>
      </c>
      <c r="K443" s="1249" t="s">
        <v>799</v>
      </c>
      <c r="L443" s="1245">
        <f>IFERROR(INDEX('Upper Cask Movement &amp; Logistics'!$I$24:$O$30,MATCH($J443,'Upper Cask Movement &amp; Logistics'!$H$24:$H$30,0),MATCH($K443,'Upper Cask Movement &amp; Logistics'!$H$24:$H$30,0)),"N/A")</f>
        <v>20</v>
      </c>
      <c r="M443" s="1245">
        <f>IFERROR(VLOOKUP($I443,'Upper Cask Movement &amp; Logistics'!$H$4:$I$8,2,FALSE),"N/A")</f>
        <v>0.2</v>
      </c>
      <c r="N443" s="1311">
        <f t="shared" si="13"/>
        <v>2.7777777777777776E-2</v>
      </c>
      <c r="O443" s="1339"/>
      <c r="P443" s="1313" t="str">
        <f>IF($D443="Logistics",VLOOKUP($O443,'Upper Cask Movement &amp; Logistics'!$C$4:$D$77,2,FALSE),"N/A")</f>
        <v>N/A</v>
      </c>
    </row>
    <row r="444" spans="1:16" s="89" customFormat="1" outlineLevel="1" x14ac:dyDescent="0.35">
      <c r="A444" s="1202"/>
      <c r="B444" s="3962"/>
      <c r="C444" s="1249" t="s">
        <v>1390</v>
      </c>
      <c r="D444" s="1249" t="s">
        <v>3</v>
      </c>
      <c r="E444" s="1250">
        <f t="shared" si="12"/>
        <v>0.48000000000000004</v>
      </c>
      <c r="F444" s="1250">
        <f>IF($D444="Trigger",VLOOKUP($C444,'Upper Cask Welding failures'!$E$318:$H$400,4,FALSE),E444+F443)</f>
        <v>4.8471377539389922</v>
      </c>
      <c r="G444" s="1338"/>
      <c r="H444" s="1359" t="str">
        <f>IF(D444="operation",VLOOKUP(G444,'Generic Vertical Port Tasks'!C333:D392,2,FALSE),"N/A")</f>
        <v>N/A</v>
      </c>
      <c r="I444" s="1249"/>
      <c r="J444" s="1249"/>
      <c r="K444" s="1249"/>
      <c r="L444" s="1245" t="str">
        <f>IFERROR(INDEX('Upper Cask Movement &amp; Logistics'!$I$24:$O$30,MATCH($J444,'Upper Cask Movement &amp; Logistics'!$H$24:$H$30,0),MATCH($K444,'Upper Cask Movement &amp; Logistics'!$H$24:$H$30,0)),"N/A")</f>
        <v>N/A</v>
      </c>
      <c r="M444" s="1245" t="str">
        <f>IFERROR(VLOOKUP($I444,'Upper Cask Movement &amp; Logistics'!$H$4:$I$8,2,FALSE),"N/A")</f>
        <v>N/A</v>
      </c>
      <c r="N444" s="1311" t="str">
        <f>IF(D444="Movement",IFERROR((L444/M444)/(60*60),"Error"),"N/A")</f>
        <v>N/A</v>
      </c>
      <c r="O444" s="1339" t="s">
        <v>1331</v>
      </c>
      <c r="P444" s="1313">
        <f>IF($D444="Logistics",VLOOKUP($O444,'Upper Cask Movement &amp; Logistics'!$C$4:$D$77,2,FALSE),"N/A")</f>
        <v>0.48000000000000004</v>
      </c>
    </row>
    <row r="445" spans="1:16" s="89" customFormat="1" outlineLevel="1" x14ac:dyDescent="0.35">
      <c r="A445" s="1202"/>
      <c r="B445" s="3962"/>
      <c r="C445" s="1249" t="s">
        <v>1340</v>
      </c>
      <c r="D445" s="1249" t="s">
        <v>778</v>
      </c>
      <c r="E445" s="1250">
        <f t="shared" si="12"/>
        <v>0.69444444444444442</v>
      </c>
      <c r="F445" s="1250">
        <f>IF($D445="Trigger",VLOOKUP($C445,'Upper Cask Welding failures'!$E$318:$H$400,4,FALSE),E445+F444)</f>
        <v>5.5415821983834368</v>
      </c>
      <c r="G445" s="1338"/>
      <c r="H445" s="1359" t="str">
        <f>IF(D445="operation",VLOOKUP(G445,'Generic Vertical Port Tasks'!C333:D392,2,FALSE),"N/A")</f>
        <v>N/A</v>
      </c>
      <c r="I445" s="1249" t="s">
        <v>1789</v>
      </c>
      <c r="J445" s="1249" t="s">
        <v>799</v>
      </c>
      <c r="K445" s="1249" t="s">
        <v>901</v>
      </c>
      <c r="L445" s="1245">
        <f>IFERROR(INDEX('Upper Cask Movement &amp; Logistics'!$I$24:$O$30,MATCH($J445,'Upper Cask Movement &amp; Logistics'!$H$24:$H$30,0),MATCH($K445,'Upper Cask Movement &amp; Logistics'!$H$24:$H$30,0)),"N/A")</f>
        <v>50</v>
      </c>
      <c r="M445" s="1245">
        <f>IFERROR(VLOOKUP($I445,'Upper Cask Movement &amp; Logistics'!$H$4:$I$8,2,FALSE),"N/A")</f>
        <v>0.02</v>
      </c>
      <c r="N445" s="1311">
        <f>IF(D445="Movement",IFERROR((L445/M445)/(60*60),"Error"),"N/A")</f>
        <v>0.69444444444444442</v>
      </c>
      <c r="O445" s="1339"/>
      <c r="P445" s="1313" t="str">
        <f>IF($D445="Logistics",VLOOKUP($O445,'Upper Cask Movement &amp; Logistics'!$C$4:$D$77,2,FALSE),"N/A")</f>
        <v>N/A</v>
      </c>
    </row>
    <row r="446" spans="1:16" s="89" customFormat="1" outlineLevel="1" x14ac:dyDescent="0.35">
      <c r="A446" s="1202"/>
      <c r="B446" s="3962"/>
      <c r="C446" s="1249" t="s">
        <v>1391</v>
      </c>
      <c r="D446" s="1249" t="s">
        <v>3</v>
      </c>
      <c r="E446" s="1250">
        <f t="shared" si="12"/>
        <v>1.4000000000000001</v>
      </c>
      <c r="F446" s="1250">
        <f>IF($D446="Trigger",VLOOKUP($C446,'Upper Cask Welding failures'!$E$318:$H$400,4,FALSE),E446+F445)</f>
        <v>6.9415821983834372</v>
      </c>
      <c r="G446" s="1338"/>
      <c r="H446" s="1359" t="str">
        <f>IF(D446="operation",VLOOKUP(G446,'Generic Vertical Port Tasks'!C333:D392,2,FALSE),"N/A")</f>
        <v>N/A</v>
      </c>
      <c r="I446" s="1249"/>
      <c r="J446" s="1249"/>
      <c r="K446" s="1249"/>
      <c r="L446" s="1245" t="str">
        <f>IFERROR(INDEX('Upper Cask Movement &amp; Logistics'!$I$24:$O$30,MATCH($J446,'Upper Cask Movement &amp; Logistics'!$H$24:$H$30,0),MATCH($K446,'Upper Cask Movement &amp; Logistics'!$H$24:$H$30,0)),"N/A")</f>
        <v>N/A</v>
      </c>
      <c r="M446" s="1245" t="str">
        <f>IFERROR(VLOOKUP($I446,'Upper Cask Movement &amp; Logistics'!$H$4:$I$8,2,FALSE),"N/A")</f>
        <v>N/A</v>
      </c>
      <c r="N446" s="1311" t="str">
        <f>IF(D446="Movement",IFERROR((L446/M446)/(60*60),"Error"),"N/A")</f>
        <v>N/A</v>
      </c>
      <c r="O446" s="1339" t="s">
        <v>1277</v>
      </c>
      <c r="P446" s="1313">
        <f>IF($D446="Logistics",VLOOKUP($O446,'Upper Cask Movement &amp; Logistics'!$C$4:$D$77,2,FALSE),"N/A")</f>
        <v>1.4000000000000001</v>
      </c>
    </row>
    <row r="447" spans="1:16" s="89" customFormat="1" ht="26.15" outlineLevel="1" thickBot="1" x14ac:dyDescent="0.4">
      <c r="A447" s="1202"/>
      <c r="B447" s="3963"/>
      <c r="C447" s="1314" t="s">
        <v>1388</v>
      </c>
      <c r="D447" s="1314" t="s">
        <v>11</v>
      </c>
      <c r="E447" s="1316">
        <f t="shared" si="12"/>
        <v>0</v>
      </c>
      <c r="F447" s="1316">
        <f>IF($D447="Trigger",VLOOKUP($C447,'Upper Cask Welding failures'!$E$318:$H$400,4,FALSE),E447+F446)</f>
        <v>6.9415821983834372</v>
      </c>
      <c r="G447" s="1317"/>
      <c r="H447" s="1318" t="str">
        <f>IF(D447="operation",VLOOKUP(G447,'Generic Vertical Port Tasks'!C333:D392,2,FALSE),"N/A")</f>
        <v>N/A</v>
      </c>
      <c r="I447" s="1314"/>
      <c r="J447" s="1314"/>
      <c r="K447" s="1314"/>
      <c r="L447" s="1319" t="str">
        <f>IFERROR(INDEX('Upper Cask Movement &amp; Logistics'!$I$24:$O$30,MATCH($J447,'Upper Cask Movement &amp; Logistics'!$H$24:$H$30,0),MATCH($K447,'Upper Cask Movement &amp; Logistics'!$H$24:$H$30,0)),"N/A")</f>
        <v>N/A</v>
      </c>
      <c r="M447" s="1319" t="str">
        <f>IFERROR(VLOOKUP($I447,'Upper Cask Movement &amp; Logistics'!$H$4:$I$8,2,FALSE),"N/A")</f>
        <v>N/A</v>
      </c>
      <c r="N447" s="1320" t="str">
        <f t="shared" ref="N447:N486" si="14">IF(D447="Movement",IFERROR((L447/M447)/(60*60),"Error"),"N/A")</f>
        <v>N/A</v>
      </c>
      <c r="O447" s="1321"/>
      <c r="P447" s="1322" t="str">
        <f>IF($D447="Logistics",VLOOKUP($O447,'Upper Cask Movement &amp; Logistics'!$C$4:$D$77,2,FALSE),"N/A")</f>
        <v>N/A</v>
      </c>
    </row>
    <row r="448" spans="1:16" s="89" customFormat="1" outlineLevel="1" x14ac:dyDescent="0.35">
      <c r="A448" s="1202"/>
      <c r="B448" s="3960" t="s">
        <v>1280</v>
      </c>
      <c r="C448" s="1333" t="s">
        <v>1278</v>
      </c>
      <c r="D448" s="1333" t="s">
        <v>907</v>
      </c>
      <c r="E448" s="1303">
        <f t="shared" si="12"/>
        <v>0</v>
      </c>
      <c r="F448" s="1303">
        <f>IF($D448="Trigger",VLOOKUP($C448,'Upper Cask Welding failures'!$E$318:$H$400,4,FALSE),E448+F447)</f>
        <v>69.179191039594755</v>
      </c>
      <c r="G448" s="1304"/>
      <c r="H448" s="1305" t="str">
        <f>IF(D448="operation",VLOOKUP(G448,'Generic Vertical Port Tasks'!C357:D418,2,FALSE),"N/A")</f>
        <v>N/A</v>
      </c>
      <c r="I448" s="1333"/>
      <c r="J448" s="1333"/>
      <c r="K448" s="1333"/>
      <c r="L448" s="1334" t="str">
        <f>IFERROR(INDEX('Upper Cask Movement &amp; Logistics'!$I$24:$O$30,MATCH($J448,'Upper Cask Movement &amp; Logistics'!$H$24:$H$30,0),MATCH($K448,'Upper Cask Movement &amp; Logistics'!$H$24:$H$30,0)),"N/A")</f>
        <v>N/A</v>
      </c>
      <c r="M448" s="1334" t="str">
        <f>IFERROR(VLOOKUP($I448,'Upper Cask Movement &amp; Logistics'!$H$4:$I$8,2,FALSE),"N/A")</f>
        <v>N/A</v>
      </c>
      <c r="N448" s="1335" t="str">
        <f t="shared" si="14"/>
        <v>N/A</v>
      </c>
      <c r="O448" s="1336"/>
      <c r="P448" s="1337" t="str">
        <f>IF($D448="Logistics",VLOOKUP($O448,'Upper Cask Movement &amp; Logistics'!$C$4:$D$77,2,FALSE),"N/A")</f>
        <v>N/A</v>
      </c>
    </row>
    <row r="449" spans="1:16" s="89" customFormat="1" outlineLevel="1" x14ac:dyDescent="0.35">
      <c r="A449" s="1202"/>
      <c r="B449" s="3968"/>
      <c r="C449" s="1240" t="s">
        <v>1405</v>
      </c>
      <c r="D449" s="1240" t="s">
        <v>3</v>
      </c>
      <c r="E449" s="1241">
        <f t="shared" si="12"/>
        <v>2.3000000000000003</v>
      </c>
      <c r="F449" s="1241">
        <f>IF($D449="Trigger",VLOOKUP($C449,'Upper Cask Welding failures'!$E$318:$H$400,4,FALSE),E449+F448)</f>
        <v>71.479191039594753</v>
      </c>
      <c r="G449" s="1354"/>
      <c r="H449" s="1355" t="str">
        <f>IF(D449="operation",VLOOKUP(G449,'Generic Vertical Port Tasks'!C357:D418,2,FALSE),"N/A")</f>
        <v>N/A</v>
      </c>
      <c r="I449" s="1240"/>
      <c r="J449" s="1240"/>
      <c r="K449" s="1240"/>
      <c r="L449" s="1242" t="str">
        <f>IFERROR(INDEX('Upper Cask Movement &amp; Logistics'!$I$24:$O$30,MATCH($J449,'Upper Cask Movement &amp; Logistics'!$H$24:$H$30,0),MATCH($K449,'Upper Cask Movement &amp; Logistics'!$H$24:$H$30,0)),"N/A")</f>
        <v>N/A</v>
      </c>
      <c r="M449" s="1242" t="str">
        <f>IFERROR(VLOOKUP($I449,'Upper Cask Movement &amp; Logistics'!$H$4:$I$8,2,FALSE),"N/A")</f>
        <v>N/A</v>
      </c>
      <c r="N449" s="1356" t="str">
        <f t="shared" si="14"/>
        <v>N/A</v>
      </c>
      <c r="O449" s="1357" t="s">
        <v>1269</v>
      </c>
      <c r="P449" s="1358">
        <f>IF($D449="Logistics",VLOOKUP($O449,'Upper Cask Movement &amp; Logistics'!$C$4:$D$77,2,FALSE),"N/A")</f>
        <v>2.3000000000000003</v>
      </c>
    </row>
    <row r="450" spans="1:16" s="89" customFormat="1" outlineLevel="1" x14ac:dyDescent="0.35">
      <c r="A450" s="1202"/>
      <c r="B450" s="3968"/>
      <c r="C450" s="1240" t="s">
        <v>1402</v>
      </c>
      <c r="D450" s="1240" t="s">
        <v>778</v>
      </c>
      <c r="E450" s="1241">
        <f t="shared" si="12"/>
        <v>0.11574074074074074</v>
      </c>
      <c r="F450" s="1241">
        <f>IF($D450="Trigger",VLOOKUP($C450,'Upper Cask Welding failures'!$E$318:$H$400,4,FALSE),E450+F449)</f>
        <v>71.5949317803355</v>
      </c>
      <c r="G450" s="1354"/>
      <c r="H450" s="1355" t="str">
        <f>IF(D450="operation",VLOOKUP(G450,'Generic Vertical Port Tasks'!C357:D418,2,FALSE),"N/A")</f>
        <v>N/A</v>
      </c>
      <c r="I450" s="1240" t="s">
        <v>2501</v>
      </c>
      <c r="J450" s="1240" t="s">
        <v>901</v>
      </c>
      <c r="K450" s="1240" t="s">
        <v>858</v>
      </c>
      <c r="L450" s="1242">
        <f>IFERROR(INDEX('Upper Cask Movement &amp; Logistics'!$I$24:$O$30,MATCH($J450,'Upper Cask Movement &amp; Logistics'!$H$24:$H$30,0),MATCH($K450,'Upper Cask Movement &amp; Logistics'!$H$24:$H$30,0)),"N/A")</f>
        <v>25</v>
      </c>
      <c r="M450" s="1242">
        <f>IFERROR(VLOOKUP($I450,'Upper Cask Movement &amp; Logistics'!$H$4:$I$8,2,FALSE),"N/A")</f>
        <v>0.06</v>
      </c>
      <c r="N450" s="1356">
        <f t="shared" si="14"/>
        <v>0.11574074074074074</v>
      </c>
      <c r="O450" s="1357"/>
      <c r="P450" s="1358" t="str">
        <f>IF($D450="Logistics",VLOOKUP($O450,'Upper Cask Movement &amp; Logistics'!$C$4:$D$77,2,FALSE),"N/A")</f>
        <v>N/A</v>
      </c>
    </row>
    <row r="451" spans="1:16" s="89" customFormat="1" outlineLevel="1" x14ac:dyDescent="0.35">
      <c r="A451" s="1202"/>
      <c r="B451" s="3968"/>
      <c r="C451" s="1240" t="s">
        <v>1406</v>
      </c>
      <c r="D451" s="1240" t="s">
        <v>3</v>
      </c>
      <c r="E451" s="1241">
        <f t="shared" si="12"/>
        <v>0.63000000000000012</v>
      </c>
      <c r="F451" s="1241">
        <f>IF($D451="Trigger",VLOOKUP($C451,'Upper Cask Welding failures'!$E$318:$H$400,4,FALSE),E451+F450)</f>
        <v>72.224931780335496</v>
      </c>
      <c r="G451" s="1354"/>
      <c r="H451" s="1355" t="str">
        <f>IF(D451="operation",VLOOKUP(G451,'Generic Vertical Port Tasks'!C357:D418,2,FALSE),"N/A")</f>
        <v>N/A</v>
      </c>
      <c r="I451" s="1240"/>
      <c r="J451" s="1240"/>
      <c r="K451" s="1240"/>
      <c r="L451" s="1242" t="str">
        <f>IFERROR(INDEX('Upper Cask Movement &amp; Logistics'!$I$24:$O$30,MATCH($J451,'Upper Cask Movement &amp; Logistics'!$H$24:$H$30,0),MATCH($K451,'Upper Cask Movement &amp; Logistics'!$H$24:$H$30,0)),"N/A")</f>
        <v>N/A</v>
      </c>
      <c r="M451" s="1242" t="str">
        <f>IFERROR(VLOOKUP($I451,'Upper Cask Movement &amp; Logistics'!$H$4:$I$8,2,FALSE),"N/A")</f>
        <v>N/A</v>
      </c>
      <c r="N451" s="1356" t="str">
        <f t="shared" si="14"/>
        <v>N/A</v>
      </c>
      <c r="O451" s="1357" t="s">
        <v>1228</v>
      </c>
      <c r="P451" s="1358">
        <f>IF($D451="Logistics",VLOOKUP($O451,'Upper Cask Movement &amp; Logistics'!$C$4:$D$77,2,FALSE),"N/A")</f>
        <v>0.63000000000000012</v>
      </c>
    </row>
    <row r="452" spans="1:16" s="89" customFormat="1" outlineLevel="1" x14ac:dyDescent="0.35">
      <c r="A452" s="1202"/>
      <c r="B452" s="3961"/>
      <c r="C452" s="1243" t="s">
        <v>1340</v>
      </c>
      <c r="D452" s="1243" t="s">
        <v>778</v>
      </c>
      <c r="E452" s="1244">
        <f t="shared" si="12"/>
        <v>0.69444444444444442</v>
      </c>
      <c r="F452" s="1244">
        <f>IF($D452="Trigger",VLOOKUP($C452,'Upper Cask Welding failures'!$E$318:$H$400,4,FALSE),E452+F451)</f>
        <v>72.919376224779938</v>
      </c>
      <c r="G452" s="1309"/>
      <c r="H452" s="1310" t="str">
        <f>IF(D452="operation",VLOOKUP(G452,'Generic Vertical Port Tasks'!C357:D418,2,FALSE),"N/A")</f>
        <v>N/A</v>
      </c>
      <c r="I452" s="1243" t="s">
        <v>1789</v>
      </c>
      <c r="J452" s="1243" t="s">
        <v>831</v>
      </c>
      <c r="K452" s="1243" t="s">
        <v>901</v>
      </c>
      <c r="L452" s="1245">
        <f>IFERROR(INDEX('Upper Cask Movement &amp; Logistics'!$I$24:$O$30,MATCH($J452,'Upper Cask Movement &amp; Logistics'!$H$24:$H$30,0),MATCH($K452,'Upper Cask Movement &amp; Logistics'!$H$24:$H$30,0)),"N/A")</f>
        <v>50</v>
      </c>
      <c r="M452" s="1245">
        <f>IFERROR(VLOOKUP($I452,'Upper Cask Movement &amp; Logistics'!$H$4:$I$8,2,FALSE),"N/A")</f>
        <v>0.02</v>
      </c>
      <c r="N452" s="1311">
        <f t="shared" si="14"/>
        <v>0.69444444444444442</v>
      </c>
      <c r="O452" s="1312"/>
      <c r="P452" s="1313" t="str">
        <f>IF($D452="Logistics",VLOOKUP($O452,'Upper Cask Movement &amp; Logistics'!$C$4:$D$77,2,FALSE),"N/A")</f>
        <v>N/A</v>
      </c>
    </row>
    <row r="453" spans="1:16" s="89" customFormat="1" outlineLevel="1" x14ac:dyDescent="0.35">
      <c r="A453" s="1202"/>
      <c r="B453" s="3961"/>
      <c r="C453" s="1243" t="s">
        <v>1391</v>
      </c>
      <c r="D453" s="1243" t="s">
        <v>3</v>
      </c>
      <c r="E453" s="1244">
        <f t="shared" si="12"/>
        <v>1.4000000000000001</v>
      </c>
      <c r="F453" s="1244">
        <f>IF($D453="Trigger",VLOOKUP($C453,'Upper Cask Welding failures'!$E$318:$H$400,4,FALSE),E453+F452)</f>
        <v>74.319376224779944</v>
      </c>
      <c r="G453" s="1309"/>
      <c r="H453" s="1310" t="str">
        <f>IF(D453="operation",VLOOKUP(G453,'Generic Vertical Port Tasks'!C357:D418,2,FALSE),"N/A")</f>
        <v>N/A</v>
      </c>
      <c r="I453" s="1243"/>
      <c r="J453" s="1243"/>
      <c r="K453" s="1243"/>
      <c r="L453" s="1245" t="str">
        <f>IFERROR(INDEX('Upper Cask Movement &amp; Logistics'!$I$24:$O$30,MATCH($J453,'Upper Cask Movement &amp; Logistics'!$H$24:$H$30,0),MATCH($K453,'Upper Cask Movement &amp; Logistics'!$H$24:$H$30,0)),"N/A")</f>
        <v>N/A</v>
      </c>
      <c r="M453" s="1245" t="str">
        <f>IFERROR(VLOOKUP($I453,'Upper Cask Movement &amp; Logistics'!$H$4:$I$8,2,FALSE),"N/A")</f>
        <v>N/A</v>
      </c>
      <c r="N453" s="1311" t="str">
        <f t="shared" si="14"/>
        <v>N/A</v>
      </c>
      <c r="O453" s="1312" t="s">
        <v>1277</v>
      </c>
      <c r="P453" s="1313">
        <f>IF($D453="Logistics",VLOOKUP($O453,'Upper Cask Movement &amp; Logistics'!$C$4:$D$77,2,FALSE),"N/A")</f>
        <v>1.4000000000000001</v>
      </c>
    </row>
    <row r="454" spans="1:16" s="89" customFormat="1" ht="13.3" outlineLevel="1" thickBot="1" x14ac:dyDescent="0.4">
      <c r="A454" s="1202"/>
      <c r="B454" s="3963"/>
      <c r="C454" s="1314" t="s">
        <v>1280</v>
      </c>
      <c r="D454" s="1314" t="s">
        <v>11</v>
      </c>
      <c r="E454" s="1316">
        <f t="shared" si="12"/>
        <v>0</v>
      </c>
      <c r="F454" s="1316">
        <f>IF($D454="Trigger",VLOOKUP($C454,'Upper Cask Welding failures'!$E$318:$H$400,4,FALSE),E454+F453)</f>
        <v>74.319376224779944</v>
      </c>
      <c r="G454" s="1317"/>
      <c r="H454" s="1318" t="str">
        <f>IF(D454="operation",VLOOKUP(G454,'Generic Vertical Port Tasks'!C357:D418,2,FALSE),"N/A")</f>
        <v>N/A</v>
      </c>
      <c r="I454" s="1314"/>
      <c r="J454" s="1314"/>
      <c r="K454" s="1314"/>
      <c r="L454" s="1319" t="str">
        <f>IFERROR(INDEX('Upper Cask Movement &amp; Logistics'!$I$24:$O$30,MATCH($J454,'Upper Cask Movement &amp; Logistics'!$H$24:$H$30,0),MATCH($K454,'Upper Cask Movement &amp; Logistics'!$H$24:$H$30,0)),"N/A")</f>
        <v>N/A</v>
      </c>
      <c r="M454" s="1319" t="str">
        <f>IFERROR(VLOOKUP($I454,'Upper Cask Movement &amp; Logistics'!$H$4:$I$8,2,FALSE),"N/A")</f>
        <v>N/A</v>
      </c>
      <c r="N454" s="1320" t="str">
        <f t="shared" si="14"/>
        <v>N/A</v>
      </c>
      <c r="O454" s="1321"/>
      <c r="P454" s="1322" t="str">
        <f>IF($D454="Logistics",VLOOKUP($O454,'Upper Cask Movement &amp; Logistics'!$C$4:$D$77,2,FALSE),"N/A")</f>
        <v>N/A</v>
      </c>
    </row>
    <row r="455" spans="1:16" s="89" customFormat="1" outlineLevel="1" x14ac:dyDescent="0.35">
      <c r="A455" s="1202"/>
      <c r="B455" s="3964" t="s">
        <v>1282</v>
      </c>
      <c r="C455" s="1324" t="s">
        <v>1281</v>
      </c>
      <c r="D455" s="1324" t="s">
        <v>907</v>
      </c>
      <c r="E455" s="1291">
        <f t="shared" si="12"/>
        <v>0</v>
      </c>
      <c r="F455" s="1291">
        <f>IF($D455="Trigger",VLOOKUP($C455,'Upper Cask Welding failures'!$E$318:$H$400,4,FALSE),E455+F454)</f>
        <v>79.249376224779937</v>
      </c>
      <c r="G455" s="825"/>
      <c r="H455" s="1323" t="str">
        <f>IF(D455="operation",VLOOKUP(G455,'Generic Vertical Port Tasks'!C367:D447,2,FALSE),"N/A")</f>
        <v>N/A</v>
      </c>
      <c r="I455" s="1324"/>
      <c r="J455" s="1324"/>
      <c r="K455" s="1324"/>
      <c r="L455" s="1325" t="str">
        <f>IFERROR(INDEX('Upper Cask Movement &amp; Logistics'!$I$24:$O$30,MATCH($J455,'Upper Cask Movement &amp; Logistics'!$H$24:$H$30,0),MATCH($K455,'Upper Cask Movement &amp; Logistics'!$H$24:$H$30,0)),"N/A")</f>
        <v>N/A</v>
      </c>
      <c r="M455" s="1325" t="str">
        <f>IFERROR(VLOOKUP($I455,'Upper Cask Movement &amp; Logistics'!$H$4:$I$8,2,FALSE),"N/A")</f>
        <v>N/A</v>
      </c>
      <c r="N455" s="1326" t="str">
        <f t="shared" si="14"/>
        <v>N/A</v>
      </c>
      <c r="O455" s="1327"/>
      <c r="P455" s="824" t="str">
        <f>IF($D455="Logistics",VLOOKUP($O455,'Upper Cask Movement &amp; Logistics'!$C$4:$D$77,2,FALSE),"N/A")</f>
        <v>N/A</v>
      </c>
    </row>
    <row r="456" spans="1:16" s="89" customFormat="1" outlineLevel="1" x14ac:dyDescent="0.35">
      <c r="A456" s="1202"/>
      <c r="B456" s="3969"/>
      <c r="C456" s="1362" t="s">
        <v>1395</v>
      </c>
      <c r="D456" s="1362" t="s">
        <v>3</v>
      </c>
      <c r="E456" s="1363">
        <f t="shared" si="12"/>
        <v>2.3000000000000003</v>
      </c>
      <c r="F456" s="1363">
        <f>IF($D456="Trigger",VLOOKUP($C456,'Upper Cask Welding failures'!$E$318:$H$400,4,FALSE),E456+F455)</f>
        <v>81.549376224779934</v>
      </c>
      <c r="G456" s="1364"/>
      <c r="H456" s="1365" t="str">
        <f>IF(D456="operation",VLOOKUP(G456,'Generic Vertical Port Tasks'!C367:D447,2,FALSE),"N/A")</f>
        <v>N/A</v>
      </c>
      <c r="I456" s="1362"/>
      <c r="J456" s="1362"/>
      <c r="K456" s="1362"/>
      <c r="L456" s="1366" t="str">
        <f>IFERROR(INDEX('Upper Cask Movement &amp; Logistics'!$I$24:$O$30,MATCH($J456,'Upper Cask Movement &amp; Logistics'!$H$24:$H$30,0),MATCH($K456,'Upper Cask Movement &amp; Logistics'!$H$24:$H$30,0)),"N/A")</f>
        <v>N/A</v>
      </c>
      <c r="M456" s="1366" t="str">
        <f>IFERROR(VLOOKUP($I456,'Upper Cask Movement &amp; Logistics'!$H$4:$I$8,2,FALSE),"N/A")</f>
        <v>N/A</v>
      </c>
      <c r="N456" s="1367" t="str">
        <f t="shared" si="14"/>
        <v>N/A</v>
      </c>
      <c r="O456" s="1368" t="s">
        <v>1269</v>
      </c>
      <c r="P456" s="861">
        <f>IF($D456="Logistics",VLOOKUP($O456,'Upper Cask Movement &amp; Logistics'!$C$4:$D$77,2,FALSE),"N/A")</f>
        <v>2.3000000000000003</v>
      </c>
    </row>
    <row r="457" spans="1:16" s="89" customFormat="1" outlineLevel="1" x14ac:dyDescent="0.35">
      <c r="A457" s="1202"/>
      <c r="B457" s="3969"/>
      <c r="C457" s="1362" t="s">
        <v>1402</v>
      </c>
      <c r="D457" s="1362" t="s">
        <v>778</v>
      </c>
      <c r="E457" s="1363">
        <f t="shared" si="12"/>
        <v>0.11574074074074074</v>
      </c>
      <c r="F457" s="1363">
        <f>IF($D457="Trigger",VLOOKUP($C457,'Upper Cask Welding failures'!$E$318:$H$400,4,FALSE),E457+F456)</f>
        <v>81.665116965520681</v>
      </c>
      <c r="G457" s="1364"/>
      <c r="H457" s="1365" t="str">
        <f>IF(D457="operation",VLOOKUP(G457,'Generic Vertical Port Tasks'!C367:D447,2,FALSE),"N/A")</f>
        <v>N/A</v>
      </c>
      <c r="I457" s="1362" t="s">
        <v>2501</v>
      </c>
      <c r="J457" s="1362" t="s">
        <v>901</v>
      </c>
      <c r="K457" s="1362" t="s">
        <v>858</v>
      </c>
      <c r="L457" s="1366">
        <f>IFERROR(INDEX('Upper Cask Movement &amp; Logistics'!$I$24:$O$30,MATCH($J457,'Upper Cask Movement &amp; Logistics'!$H$24:$H$30,0),MATCH($K457,'Upper Cask Movement &amp; Logistics'!$H$24:$H$30,0)),"N/A")</f>
        <v>25</v>
      </c>
      <c r="M457" s="1366">
        <f>IFERROR(VLOOKUP($I457,'Upper Cask Movement &amp; Logistics'!$H$4:$I$8,2,FALSE),"N/A")</f>
        <v>0.06</v>
      </c>
      <c r="N457" s="1367">
        <f t="shared" si="14"/>
        <v>0.11574074074074074</v>
      </c>
      <c r="O457" s="1368"/>
      <c r="P457" s="861" t="str">
        <f>IF($D457="Logistics",VLOOKUP($O457,'Upper Cask Movement &amp; Logistics'!$C$4:$D$77,2,FALSE),"N/A")</f>
        <v>N/A</v>
      </c>
    </row>
    <row r="458" spans="1:16" s="89" customFormat="1" outlineLevel="1" x14ac:dyDescent="0.35">
      <c r="A458" s="1202"/>
      <c r="B458" s="3969"/>
      <c r="C458" s="1362" t="s">
        <v>1407</v>
      </c>
      <c r="D458" s="1362" t="s">
        <v>3</v>
      </c>
      <c r="E458" s="1363">
        <f t="shared" si="12"/>
        <v>0.63000000000000012</v>
      </c>
      <c r="F458" s="1363">
        <f>IF($D458="Trigger",VLOOKUP($C458,'Upper Cask Welding failures'!$E$318:$H$400,4,FALSE),E458+F457)</f>
        <v>82.295116965520677</v>
      </c>
      <c r="G458" s="1364"/>
      <c r="H458" s="1365" t="str">
        <f>IF(D458="operation",VLOOKUP(G458,'Generic Vertical Port Tasks'!C367:D447,2,FALSE),"N/A")</f>
        <v>N/A</v>
      </c>
      <c r="I458" s="1362"/>
      <c r="J458" s="1362"/>
      <c r="K458" s="1362"/>
      <c r="L458" s="1366" t="str">
        <f>IFERROR(INDEX('Upper Cask Movement &amp; Logistics'!$I$24:$O$30,MATCH($J458,'Upper Cask Movement &amp; Logistics'!$H$24:$H$30,0),MATCH($K458,'Upper Cask Movement &amp; Logistics'!$H$24:$H$30,0)),"N/A")</f>
        <v>N/A</v>
      </c>
      <c r="M458" s="1366" t="str">
        <f>IFERROR(VLOOKUP($I458,'Upper Cask Movement &amp; Logistics'!$H$4:$I$8,2,FALSE),"N/A")</f>
        <v>N/A</v>
      </c>
      <c r="N458" s="1367" t="str">
        <f t="shared" si="14"/>
        <v>N/A</v>
      </c>
      <c r="O458" s="1368" t="s">
        <v>1228</v>
      </c>
      <c r="P458" s="861">
        <f>IF($D458="Logistics",VLOOKUP($O458,'Upper Cask Movement &amp; Logistics'!$C$4:$D$77,2,FALSE),"N/A")</f>
        <v>0.63000000000000012</v>
      </c>
    </row>
    <row r="459" spans="1:16" s="89" customFormat="1" outlineLevel="1" x14ac:dyDescent="0.35">
      <c r="A459" s="1202"/>
      <c r="B459" s="3965"/>
      <c r="C459" s="1294" t="s">
        <v>1340</v>
      </c>
      <c r="D459" s="1294" t="s">
        <v>778</v>
      </c>
      <c r="E459" s="1292">
        <f t="shared" si="12"/>
        <v>0.69444444444444442</v>
      </c>
      <c r="F459" s="1292">
        <f>IF($D459="Trigger",VLOOKUP($C459,'Upper Cask Welding failures'!$E$318:$H$400,4,FALSE),E459+F458)</f>
        <v>82.98956140996512</v>
      </c>
      <c r="G459" s="862"/>
      <c r="H459" s="1328" t="str">
        <f>IF(D459="operation",VLOOKUP(G459,'Generic Vertical Port Tasks'!C367:D447,2,FALSE),"N/A")</f>
        <v>N/A</v>
      </c>
      <c r="I459" s="1294" t="s">
        <v>1789</v>
      </c>
      <c r="J459" s="1294" t="s">
        <v>831</v>
      </c>
      <c r="K459" s="1294" t="s">
        <v>901</v>
      </c>
      <c r="L459" s="1329">
        <f>IFERROR(INDEX('Upper Cask Movement &amp; Logistics'!$I$24:$O$30,MATCH($J459,'Upper Cask Movement &amp; Logistics'!$H$24:$H$30,0),MATCH($K459,'Upper Cask Movement &amp; Logistics'!$H$24:$H$30,0)),"N/A")</f>
        <v>50</v>
      </c>
      <c r="M459" s="1329">
        <f>IFERROR(VLOOKUP($I459,'Upper Cask Movement &amp; Logistics'!$H$4:$I$8,2,FALSE),"N/A")</f>
        <v>0.02</v>
      </c>
      <c r="N459" s="1330">
        <f t="shared" si="14"/>
        <v>0.69444444444444442</v>
      </c>
      <c r="O459" s="1331"/>
      <c r="P459" s="1332" t="str">
        <f>IF($D459="Logistics",VLOOKUP($O459,'Upper Cask Movement &amp; Logistics'!$C$4:$D$77,2,FALSE),"N/A")</f>
        <v>N/A</v>
      </c>
    </row>
    <row r="460" spans="1:16" s="89" customFormat="1" outlineLevel="1" x14ac:dyDescent="0.35">
      <c r="A460" s="1202"/>
      <c r="B460" s="3965"/>
      <c r="C460" s="1294" t="s">
        <v>1391</v>
      </c>
      <c r="D460" s="1294" t="s">
        <v>3</v>
      </c>
      <c r="E460" s="1292">
        <f t="shared" si="12"/>
        <v>1.4000000000000001</v>
      </c>
      <c r="F460" s="1292">
        <f>IF($D460="Trigger",VLOOKUP($C460,'Upper Cask Welding failures'!$E$318:$H$400,4,FALSE),E460+F459)</f>
        <v>84.389561409965125</v>
      </c>
      <c r="G460" s="862"/>
      <c r="H460" s="1328" t="str">
        <f>IF(D460="operation",VLOOKUP(G460,'Generic Vertical Port Tasks'!C367:D447,2,FALSE),"N/A")</f>
        <v>N/A</v>
      </c>
      <c r="I460" s="1294"/>
      <c r="J460" s="1294"/>
      <c r="K460" s="1294"/>
      <c r="L460" s="1329" t="str">
        <f>IFERROR(INDEX('Upper Cask Movement &amp; Logistics'!$I$24:$O$30,MATCH($J460,'Upper Cask Movement &amp; Logistics'!$H$24:$H$30,0),MATCH($K460,'Upper Cask Movement &amp; Logistics'!$H$24:$H$30,0)),"N/A")</f>
        <v>N/A</v>
      </c>
      <c r="M460" s="1329" t="str">
        <f>IFERROR(VLOOKUP($I460,'Upper Cask Movement &amp; Logistics'!$H$4:$I$8,2,FALSE),"N/A")</f>
        <v>N/A</v>
      </c>
      <c r="N460" s="1330" t="str">
        <f t="shared" si="14"/>
        <v>N/A</v>
      </c>
      <c r="O460" s="1331" t="s">
        <v>1277</v>
      </c>
      <c r="P460" s="1332">
        <f>IF($D460="Logistics",VLOOKUP($O460,'Upper Cask Movement &amp; Logistics'!$C$4:$D$77,2,FALSE),"N/A")</f>
        <v>1.4000000000000001</v>
      </c>
    </row>
    <row r="461" spans="1:16" s="89" customFormat="1" ht="13.3" outlineLevel="1" thickBot="1" x14ac:dyDescent="0.4">
      <c r="A461" s="1202"/>
      <c r="B461" s="3966"/>
      <c r="C461" s="1340" t="s">
        <v>1282</v>
      </c>
      <c r="D461" s="1340" t="s">
        <v>11</v>
      </c>
      <c r="E461" s="1295">
        <f t="shared" si="12"/>
        <v>0</v>
      </c>
      <c r="F461" s="1295">
        <f>IF($D461="Trigger",VLOOKUP($C461,'Upper Cask Welding failures'!$E$318:$H$400,4,FALSE),E461+F460)</f>
        <v>84.389561409965125</v>
      </c>
      <c r="G461" s="839"/>
      <c r="H461" s="1341" t="str">
        <f>IF(D461="operation",VLOOKUP(G461,'Generic Vertical Port Tasks'!C367:D447,2,FALSE),"N/A")</f>
        <v>N/A</v>
      </c>
      <c r="I461" s="1340"/>
      <c r="J461" s="1340"/>
      <c r="K461" s="1340"/>
      <c r="L461" s="1342" t="str">
        <f>IFERROR(INDEX('Upper Cask Movement &amp; Logistics'!$I$24:$O$30,MATCH($J461,'Upper Cask Movement &amp; Logistics'!$H$24:$H$30,0),MATCH($K461,'Upper Cask Movement &amp; Logistics'!$H$24:$H$30,0)),"N/A")</f>
        <v>N/A</v>
      </c>
      <c r="M461" s="1342" t="str">
        <f>IFERROR(VLOOKUP($I461,'Upper Cask Movement &amp; Logistics'!$H$4:$I$8,2,FALSE),"N/A")</f>
        <v>N/A</v>
      </c>
      <c r="N461" s="1343" t="str">
        <f t="shared" si="14"/>
        <v>N/A</v>
      </c>
      <c r="O461" s="1344"/>
      <c r="P461" s="1345" t="str">
        <f>IF($D461="Logistics",VLOOKUP($O461,'Upper Cask Movement &amp; Logistics'!$C$4:$D$77,2,FALSE),"N/A")</f>
        <v>N/A</v>
      </c>
    </row>
    <row r="462" spans="1:16" s="89" customFormat="1" outlineLevel="1" x14ac:dyDescent="0.35">
      <c r="A462" s="1202"/>
      <c r="B462" s="3960" t="s">
        <v>1284</v>
      </c>
      <c r="C462" s="1333" t="s">
        <v>1283</v>
      </c>
      <c r="D462" s="1333" t="s">
        <v>907</v>
      </c>
      <c r="E462" s="1303">
        <f t="shared" si="12"/>
        <v>0</v>
      </c>
      <c r="F462" s="1303">
        <f>IF($D462="Trigger",VLOOKUP($C462,'Upper Cask Welding failures'!$E$318:$H$400,4,FALSE),E462+F461)</f>
        <v>89.319561409965118</v>
      </c>
      <c r="G462" s="1304"/>
      <c r="H462" s="1305" t="str">
        <f>IF(D462="operation",VLOOKUP(G462,'Generic Vertical Port Tasks'!C374:D447,2,FALSE),"N/A")</f>
        <v>N/A</v>
      </c>
      <c r="I462" s="1333"/>
      <c r="J462" s="1333"/>
      <c r="K462" s="1333"/>
      <c r="L462" s="1334" t="str">
        <f>IFERROR(INDEX('Upper Cask Movement &amp; Logistics'!$I$24:$O$30,MATCH($J462,'Upper Cask Movement &amp; Logistics'!$H$24:$H$30,0),MATCH($K462,'Upper Cask Movement &amp; Logistics'!$H$24:$H$30,0)),"N/A")</f>
        <v>N/A</v>
      </c>
      <c r="M462" s="1334" t="str">
        <f>IFERROR(VLOOKUP($I462,'Upper Cask Movement &amp; Logistics'!$H$4:$I$8,2,FALSE),"N/A")</f>
        <v>N/A</v>
      </c>
      <c r="N462" s="1335" t="str">
        <f t="shared" si="14"/>
        <v>N/A</v>
      </c>
      <c r="O462" s="1336"/>
      <c r="P462" s="1337" t="str">
        <f>IF($D462="Logistics",VLOOKUP($O462,'Upper Cask Movement &amp; Logistics'!$C$4:$D$77,2,FALSE),"N/A")</f>
        <v>N/A</v>
      </c>
    </row>
    <row r="463" spans="1:16" s="89" customFormat="1" outlineLevel="1" x14ac:dyDescent="0.35">
      <c r="A463" s="1202"/>
      <c r="B463" s="3968"/>
      <c r="C463" s="1240" t="s">
        <v>1268</v>
      </c>
      <c r="D463" s="1240" t="s">
        <v>3</v>
      </c>
      <c r="E463" s="1241">
        <f t="shared" si="12"/>
        <v>2.3000000000000003</v>
      </c>
      <c r="F463" s="1241">
        <f>IF($D463="Trigger",VLOOKUP($C463,'Upper Cask Welding failures'!$E$318:$H$400,4,FALSE),E463+F462)</f>
        <v>91.619561409965115</v>
      </c>
      <c r="G463" s="1354"/>
      <c r="H463" s="1355" t="str">
        <f>IF(D463="operation",VLOOKUP(G463,'Generic Vertical Port Tasks'!C374:D447,2,FALSE),"N/A")</f>
        <v>N/A</v>
      </c>
      <c r="I463" s="1240"/>
      <c r="J463" s="1240"/>
      <c r="K463" s="1240"/>
      <c r="L463" s="1242" t="str">
        <f>IFERROR(INDEX('Upper Cask Movement &amp; Logistics'!$I$24:$O$30,MATCH($J463,'Upper Cask Movement &amp; Logistics'!$H$24:$H$30,0),MATCH($K463,'Upper Cask Movement &amp; Logistics'!$H$24:$H$30,0)),"N/A")</f>
        <v>N/A</v>
      </c>
      <c r="M463" s="1242" t="str">
        <f>IFERROR(VLOOKUP($I463,'Upper Cask Movement &amp; Logistics'!$H$4:$I$8,2,FALSE),"N/A")</f>
        <v>N/A</v>
      </c>
      <c r="N463" s="1356" t="str">
        <f t="shared" si="14"/>
        <v>N/A</v>
      </c>
      <c r="O463" s="1357" t="s">
        <v>1269</v>
      </c>
      <c r="P463" s="1358">
        <f>IF($D463="Logistics",VLOOKUP($O463,'Upper Cask Movement &amp; Logistics'!$C$4:$D$77,2,FALSE),"N/A")</f>
        <v>2.3000000000000003</v>
      </c>
    </row>
    <row r="464" spans="1:16" s="89" customFormat="1" outlineLevel="1" x14ac:dyDescent="0.35">
      <c r="A464" s="1202"/>
      <c r="B464" s="3968"/>
      <c r="C464" s="1240" t="s">
        <v>1402</v>
      </c>
      <c r="D464" s="1240" t="s">
        <v>778</v>
      </c>
      <c r="E464" s="1241">
        <f t="shared" si="12"/>
        <v>0.11574074074074074</v>
      </c>
      <c r="F464" s="1241">
        <f>IF($D464="Trigger",VLOOKUP($C464,'Upper Cask Welding failures'!$E$318:$H$400,4,FALSE),E464+F463)</f>
        <v>91.735302150705863</v>
      </c>
      <c r="G464" s="1354"/>
      <c r="H464" s="1355" t="str">
        <f>IF(D464="operation",VLOOKUP(G464,'Generic Vertical Port Tasks'!C374:D447,2,FALSE),"N/A")</f>
        <v>N/A</v>
      </c>
      <c r="I464" s="1240" t="s">
        <v>2501</v>
      </c>
      <c r="J464" s="1240" t="s">
        <v>901</v>
      </c>
      <c r="K464" s="1240" t="s">
        <v>858</v>
      </c>
      <c r="L464" s="1242">
        <f>IFERROR(INDEX('Upper Cask Movement &amp; Logistics'!$I$24:$O$30,MATCH($J464,'Upper Cask Movement &amp; Logistics'!$H$24:$H$30,0),MATCH($K464,'Upper Cask Movement &amp; Logistics'!$H$24:$H$30,0)),"N/A")</f>
        <v>25</v>
      </c>
      <c r="M464" s="1242">
        <f>IFERROR(VLOOKUP($I464,'Upper Cask Movement &amp; Logistics'!$H$4:$I$8,2,FALSE),"N/A")</f>
        <v>0.06</v>
      </c>
      <c r="N464" s="1356">
        <f t="shared" si="14"/>
        <v>0.11574074074074074</v>
      </c>
      <c r="O464" s="1357"/>
      <c r="P464" s="1358" t="str">
        <f>IF($D464="Logistics",VLOOKUP($O464,'Upper Cask Movement &amp; Logistics'!$C$4:$D$77,2,FALSE),"N/A")</f>
        <v>N/A</v>
      </c>
    </row>
    <row r="465" spans="1:16" s="89" customFormat="1" outlineLevel="1" x14ac:dyDescent="0.35">
      <c r="A465" s="1202"/>
      <c r="B465" s="3968"/>
      <c r="C465" s="1240" t="s">
        <v>1408</v>
      </c>
      <c r="D465" s="1240" t="s">
        <v>3</v>
      </c>
      <c r="E465" s="1241">
        <f t="shared" si="12"/>
        <v>0.63000000000000012</v>
      </c>
      <c r="F465" s="1241">
        <f>IF($D465="Trigger",VLOOKUP($C465,'Upper Cask Welding failures'!$E$318:$H$400,4,FALSE),E465+F464)</f>
        <v>92.365302150705858</v>
      </c>
      <c r="G465" s="1354"/>
      <c r="H465" s="1355" t="str">
        <f>IF(D465="operation",VLOOKUP(G465,'Generic Vertical Port Tasks'!C374:D447,2,FALSE),"N/A")</f>
        <v>N/A</v>
      </c>
      <c r="I465" s="1240"/>
      <c r="J465" s="1240"/>
      <c r="K465" s="1240"/>
      <c r="L465" s="1242" t="str">
        <f>IFERROR(INDEX('Upper Cask Movement &amp; Logistics'!$I$24:$O$30,MATCH($J465,'Upper Cask Movement &amp; Logistics'!$H$24:$H$30,0),MATCH($K465,'Upper Cask Movement &amp; Logistics'!$H$24:$H$30,0)),"N/A")</f>
        <v>N/A</v>
      </c>
      <c r="M465" s="1242" t="str">
        <f>IFERROR(VLOOKUP($I465,'Upper Cask Movement &amp; Logistics'!$H$4:$I$8,2,FALSE),"N/A")</f>
        <v>N/A</v>
      </c>
      <c r="N465" s="1356" t="str">
        <f t="shared" si="14"/>
        <v>N/A</v>
      </c>
      <c r="O465" s="1357" t="s">
        <v>1228</v>
      </c>
      <c r="P465" s="1358">
        <f>IF($D465="Logistics",VLOOKUP($O465,'Upper Cask Movement &amp; Logistics'!$C$4:$D$77,2,FALSE),"N/A")</f>
        <v>0.63000000000000012</v>
      </c>
    </row>
    <row r="466" spans="1:16" s="89" customFormat="1" outlineLevel="1" x14ac:dyDescent="0.35">
      <c r="A466" s="1202"/>
      <c r="B466" s="3961"/>
      <c r="C466" s="1243" t="s">
        <v>1366</v>
      </c>
      <c r="D466" s="1243" t="s">
        <v>778</v>
      </c>
      <c r="E466" s="1244">
        <f t="shared" si="12"/>
        <v>0.69444444444444442</v>
      </c>
      <c r="F466" s="1244">
        <f>IF($D466="Trigger",VLOOKUP($C466,'Upper Cask Welding failures'!$E$318:$H$400,4,FALSE),E466+F465)</f>
        <v>93.059746595150301</v>
      </c>
      <c r="G466" s="1309"/>
      <c r="H466" s="1310" t="str">
        <f>IF(D466="operation",VLOOKUP(G466,'Generic Vertical Port Tasks'!C374:D447,2,FALSE),"N/A")</f>
        <v>N/A</v>
      </c>
      <c r="I466" s="1243" t="s">
        <v>1789</v>
      </c>
      <c r="J466" s="1243" t="s">
        <v>831</v>
      </c>
      <c r="K466" s="1243" t="s">
        <v>901</v>
      </c>
      <c r="L466" s="1245">
        <f>IFERROR(INDEX('Upper Cask Movement &amp; Logistics'!$I$24:$O$30,MATCH($J466,'Upper Cask Movement &amp; Logistics'!$H$24:$H$30,0),MATCH($K466,'Upper Cask Movement &amp; Logistics'!$H$24:$H$30,0)),"N/A")</f>
        <v>50</v>
      </c>
      <c r="M466" s="1245">
        <f>IFERROR(VLOOKUP($I466,'Upper Cask Movement &amp; Logistics'!$H$4:$I$8,2,FALSE),"N/A")</f>
        <v>0.02</v>
      </c>
      <c r="N466" s="1311">
        <f t="shared" si="14"/>
        <v>0.69444444444444442</v>
      </c>
      <c r="O466" s="1312"/>
      <c r="P466" s="1313" t="str">
        <f>IF($D466="Logistics",VLOOKUP($O466,'Upper Cask Movement &amp; Logistics'!$C$4:$D$77,2,FALSE),"N/A")</f>
        <v>N/A</v>
      </c>
    </row>
    <row r="467" spans="1:16" s="89" customFormat="1" outlineLevel="1" x14ac:dyDescent="0.35">
      <c r="A467" s="1202"/>
      <c r="B467" s="3961"/>
      <c r="C467" s="1243" t="s">
        <v>1391</v>
      </c>
      <c r="D467" s="1243" t="s">
        <v>3</v>
      </c>
      <c r="E467" s="1244">
        <f t="shared" si="12"/>
        <v>1.4000000000000001</v>
      </c>
      <c r="F467" s="1244">
        <f>IF($D467="Trigger",VLOOKUP($C467,'Upper Cask Welding failures'!$E$318:$H$400,4,FALSE),E467+F466)</f>
        <v>94.459746595150307</v>
      </c>
      <c r="G467" s="1309"/>
      <c r="H467" s="1310" t="str">
        <f>IF(D467="operation",VLOOKUP(G467,'Generic Vertical Port Tasks'!C374:D447,2,FALSE),"N/A")</f>
        <v>N/A</v>
      </c>
      <c r="I467" s="1243"/>
      <c r="J467" s="1243"/>
      <c r="K467" s="1243"/>
      <c r="L467" s="1245" t="str">
        <f>IFERROR(INDEX('Upper Cask Movement &amp; Logistics'!$I$24:$O$30,MATCH($J467,'Upper Cask Movement &amp; Logistics'!$H$24:$H$30,0),MATCH($K467,'Upper Cask Movement &amp; Logistics'!$H$24:$H$30,0)),"N/A")</f>
        <v>N/A</v>
      </c>
      <c r="M467" s="1245" t="str">
        <f>IFERROR(VLOOKUP($I467,'Upper Cask Movement &amp; Logistics'!$H$4:$I$8,2,FALSE),"N/A")</f>
        <v>N/A</v>
      </c>
      <c r="N467" s="1311" t="str">
        <f t="shared" si="14"/>
        <v>N/A</v>
      </c>
      <c r="O467" s="1312" t="s">
        <v>1277</v>
      </c>
      <c r="P467" s="1313">
        <f>IF($D467="Logistics",VLOOKUP($O467,'Upper Cask Movement &amp; Logistics'!$C$4:$D$77,2,FALSE),"N/A")</f>
        <v>1.4000000000000001</v>
      </c>
    </row>
    <row r="468" spans="1:16" s="89" customFormat="1" ht="13.3" outlineLevel="1" thickBot="1" x14ac:dyDescent="0.4">
      <c r="A468" s="1202"/>
      <c r="B468" s="3963"/>
      <c r="C468" s="1314" t="s">
        <v>1284</v>
      </c>
      <c r="D468" s="1314" t="s">
        <v>11</v>
      </c>
      <c r="E468" s="1316">
        <f t="shared" si="12"/>
        <v>0</v>
      </c>
      <c r="F468" s="1316">
        <f>IF($D468="Trigger",VLOOKUP($C468,'Upper Cask Welding failures'!$E$318:$H$400,4,FALSE),E468+F467)</f>
        <v>94.459746595150307</v>
      </c>
      <c r="G468" s="1317"/>
      <c r="H468" s="1318" t="str">
        <f>IF(D468="operation",VLOOKUP(G468,'Generic Vertical Port Tasks'!C374:D447,2,FALSE),"N/A")</f>
        <v>N/A</v>
      </c>
      <c r="I468" s="1314"/>
      <c r="J468" s="1314"/>
      <c r="K468" s="1314"/>
      <c r="L468" s="1319" t="str">
        <f>IFERROR(INDEX('Upper Cask Movement &amp; Logistics'!$I$24:$O$30,MATCH($J468,'Upper Cask Movement &amp; Logistics'!$H$24:$H$30,0),MATCH($K468,'Upper Cask Movement &amp; Logistics'!$H$24:$H$30,0)),"N/A")</f>
        <v>N/A</v>
      </c>
      <c r="M468" s="1319" t="str">
        <f>IFERROR(VLOOKUP($I468,'Upper Cask Movement &amp; Logistics'!$H$4:$I$8,2,FALSE),"N/A")</f>
        <v>N/A</v>
      </c>
      <c r="N468" s="1320" t="str">
        <f t="shared" si="14"/>
        <v>N/A</v>
      </c>
      <c r="O468" s="1321"/>
      <c r="P468" s="1322" t="str">
        <f>IF($D468="Logistics",VLOOKUP($O468,'Upper Cask Movement &amp; Logistics'!$C$4:$D$77,2,FALSE),"N/A")</f>
        <v>N/A</v>
      </c>
    </row>
    <row r="469" spans="1:16" s="89" customFormat="1" outlineLevel="1" x14ac:dyDescent="0.35">
      <c r="A469" s="1202"/>
      <c r="B469" s="3964" t="s">
        <v>1286</v>
      </c>
      <c r="C469" s="1324" t="s">
        <v>1285</v>
      </c>
      <c r="D469" s="1324" t="s">
        <v>907</v>
      </c>
      <c r="E469" s="1291">
        <f t="shared" si="12"/>
        <v>0</v>
      </c>
      <c r="F469" s="1291">
        <f>IF($D469="Trigger",VLOOKUP($C469,'Upper Cask Welding failures'!$E$318:$H$400,4,FALSE),E469+F468)</f>
        <v>99.389746595150299</v>
      </c>
      <c r="G469" s="825"/>
      <c r="H469" s="1323" t="str">
        <f>IF(D469="operation",VLOOKUP(G469,'Generic Vertical Port Tasks'!C380:D454,2,FALSE),"N/A")</f>
        <v>N/A</v>
      </c>
      <c r="I469" s="1324"/>
      <c r="J469" s="1324"/>
      <c r="K469" s="1324"/>
      <c r="L469" s="1325" t="str">
        <f>IFERROR(INDEX('Upper Cask Movement &amp; Logistics'!$I$24:$O$30,MATCH($J469,'Upper Cask Movement &amp; Logistics'!$H$24:$H$30,0),MATCH($K469,'Upper Cask Movement &amp; Logistics'!$H$24:$H$30,0)),"N/A")</f>
        <v>N/A</v>
      </c>
      <c r="M469" s="1325" t="str">
        <f>IFERROR(VLOOKUP($I469,'Upper Cask Movement &amp; Logistics'!$H$4:$I$8,2,FALSE),"N/A")</f>
        <v>N/A</v>
      </c>
      <c r="N469" s="1326" t="str">
        <f t="shared" si="14"/>
        <v>N/A</v>
      </c>
      <c r="O469" s="1327"/>
      <c r="P469" s="824" t="str">
        <f>IF($D469="Logistics",VLOOKUP($O469,'Upper Cask Movement &amp; Logistics'!$C$4:$D$77,2,FALSE),"N/A")</f>
        <v>N/A</v>
      </c>
    </row>
    <row r="470" spans="1:16" s="89" customFormat="1" outlineLevel="1" x14ac:dyDescent="0.35">
      <c r="A470" s="1202"/>
      <c r="B470" s="3969"/>
      <c r="C470" s="1362" t="s">
        <v>1395</v>
      </c>
      <c r="D470" s="1362" t="s">
        <v>3</v>
      </c>
      <c r="E470" s="1363">
        <f t="shared" si="12"/>
        <v>2.3000000000000003</v>
      </c>
      <c r="F470" s="1363">
        <f>IF($D470="Trigger",VLOOKUP($C470,'Upper Cask Welding failures'!$E$318:$H$400,4,FALSE),E470+F469)</f>
        <v>101.6897465951503</v>
      </c>
      <c r="G470" s="1364"/>
      <c r="H470" s="1365" t="str">
        <f>IF(D470="operation",VLOOKUP(G470,'Generic Vertical Port Tasks'!C380:D454,2,FALSE),"N/A")</f>
        <v>N/A</v>
      </c>
      <c r="I470" s="1362"/>
      <c r="J470" s="1362"/>
      <c r="K470" s="1362"/>
      <c r="L470" s="1366" t="str">
        <f>IFERROR(INDEX('Upper Cask Movement &amp; Logistics'!$I$24:$O$30,MATCH($J470,'Upper Cask Movement &amp; Logistics'!$H$24:$H$30,0),MATCH($K470,'Upper Cask Movement &amp; Logistics'!$H$24:$H$30,0)),"N/A")</f>
        <v>N/A</v>
      </c>
      <c r="M470" s="1366" t="str">
        <f>IFERROR(VLOOKUP($I470,'Upper Cask Movement &amp; Logistics'!$H$4:$I$8,2,FALSE),"N/A")</f>
        <v>N/A</v>
      </c>
      <c r="N470" s="1367" t="str">
        <f t="shared" si="14"/>
        <v>N/A</v>
      </c>
      <c r="O470" s="1368" t="s">
        <v>1269</v>
      </c>
      <c r="P470" s="861">
        <f>IF($D470="Logistics",VLOOKUP($O470,'Upper Cask Movement &amp; Logistics'!$C$4:$D$77,2,FALSE),"N/A")</f>
        <v>2.3000000000000003</v>
      </c>
    </row>
    <row r="471" spans="1:16" s="89" customFormat="1" outlineLevel="1" x14ac:dyDescent="0.35">
      <c r="A471" s="1202"/>
      <c r="B471" s="3969"/>
      <c r="C471" s="1362" t="s">
        <v>1402</v>
      </c>
      <c r="D471" s="1362" t="s">
        <v>778</v>
      </c>
      <c r="E471" s="1363">
        <f t="shared" si="12"/>
        <v>0.11574074074074074</v>
      </c>
      <c r="F471" s="1363">
        <f>IF($D471="Trigger",VLOOKUP($C471,'Upper Cask Welding failures'!$E$318:$H$400,4,FALSE),E471+F470)</f>
        <v>101.80548733589104</v>
      </c>
      <c r="G471" s="1364"/>
      <c r="H471" s="1365" t="str">
        <f>IF(D471="operation",VLOOKUP(G471,'Generic Vertical Port Tasks'!C380:D454,2,FALSE),"N/A")</f>
        <v>N/A</v>
      </c>
      <c r="I471" s="1362" t="s">
        <v>2501</v>
      </c>
      <c r="J471" s="1362" t="s">
        <v>901</v>
      </c>
      <c r="K471" s="1362" t="s">
        <v>858</v>
      </c>
      <c r="L471" s="1366">
        <f>IFERROR(INDEX('Upper Cask Movement &amp; Logistics'!$I$24:$O$30,MATCH($J471,'Upper Cask Movement &amp; Logistics'!$H$24:$H$30,0),MATCH($K471,'Upper Cask Movement &amp; Logistics'!$H$24:$H$30,0)),"N/A")</f>
        <v>25</v>
      </c>
      <c r="M471" s="1366">
        <f>IFERROR(VLOOKUP($I471,'Upper Cask Movement &amp; Logistics'!$H$4:$I$8,2,FALSE),"N/A")</f>
        <v>0.06</v>
      </c>
      <c r="N471" s="1367">
        <f t="shared" si="14"/>
        <v>0.11574074074074074</v>
      </c>
      <c r="O471" s="1368"/>
      <c r="P471" s="861" t="str">
        <f>IF($D471="Logistics",VLOOKUP($O471,'Upper Cask Movement &amp; Logistics'!$C$4:$D$77,2,FALSE),"N/A")</f>
        <v>N/A</v>
      </c>
    </row>
    <row r="472" spans="1:16" s="89" customFormat="1" outlineLevel="1" x14ac:dyDescent="0.35">
      <c r="A472" s="1202"/>
      <c r="B472" s="3969"/>
      <c r="C472" s="1362" t="s">
        <v>1409</v>
      </c>
      <c r="D472" s="1362" t="s">
        <v>3</v>
      </c>
      <c r="E472" s="1363">
        <f t="shared" si="12"/>
        <v>0.63000000000000012</v>
      </c>
      <c r="F472" s="1363">
        <f>IF($D472="Trigger",VLOOKUP($C472,'Upper Cask Welding failures'!$E$318:$H$400,4,FALSE),E472+F471)</f>
        <v>102.43548733589104</v>
      </c>
      <c r="G472" s="1364"/>
      <c r="H472" s="1365" t="str">
        <f>IF(D472="operation",VLOOKUP(G472,'Generic Vertical Port Tasks'!C380:D454,2,FALSE),"N/A")</f>
        <v>N/A</v>
      </c>
      <c r="I472" s="1362"/>
      <c r="J472" s="1362"/>
      <c r="K472" s="1362"/>
      <c r="L472" s="1366" t="str">
        <f>IFERROR(INDEX('Upper Cask Movement &amp; Logistics'!$I$24:$O$30,MATCH($J472,'Upper Cask Movement &amp; Logistics'!$H$24:$H$30,0),MATCH($K472,'Upper Cask Movement &amp; Logistics'!$H$24:$H$30,0)),"N/A")</f>
        <v>N/A</v>
      </c>
      <c r="M472" s="1366" t="str">
        <f>IFERROR(VLOOKUP($I472,'Upper Cask Movement &amp; Logistics'!$H$4:$I$8,2,FALSE),"N/A")</f>
        <v>N/A</v>
      </c>
      <c r="N472" s="1367" t="str">
        <f t="shared" si="14"/>
        <v>N/A</v>
      </c>
      <c r="O472" s="1368" t="s">
        <v>1228</v>
      </c>
      <c r="P472" s="861">
        <f>IF($D472="Logistics",VLOOKUP($O472,'Upper Cask Movement &amp; Logistics'!$C$4:$D$77,2,FALSE),"N/A")</f>
        <v>0.63000000000000012</v>
      </c>
    </row>
    <row r="473" spans="1:16" s="89" customFormat="1" outlineLevel="1" x14ac:dyDescent="0.35">
      <c r="A473" s="1202"/>
      <c r="B473" s="3965"/>
      <c r="C473" s="1294" t="s">
        <v>1340</v>
      </c>
      <c r="D473" s="1294" t="s">
        <v>778</v>
      </c>
      <c r="E473" s="1292">
        <f t="shared" si="12"/>
        <v>0.69444444444444442</v>
      </c>
      <c r="F473" s="1292">
        <f>IF($D473="Trigger",VLOOKUP($C473,'Upper Cask Welding failures'!$E$318:$H$400,4,FALSE),E473+F472)</f>
        <v>103.12993178033548</v>
      </c>
      <c r="G473" s="862"/>
      <c r="H473" s="1328" t="str">
        <f>IF(D473="operation",VLOOKUP(G473,'Generic Vertical Port Tasks'!C380:D454,2,FALSE),"N/A")</f>
        <v>N/A</v>
      </c>
      <c r="I473" s="1294" t="s">
        <v>1789</v>
      </c>
      <c r="J473" s="1294" t="s">
        <v>831</v>
      </c>
      <c r="K473" s="1294" t="s">
        <v>901</v>
      </c>
      <c r="L473" s="1329">
        <f>IFERROR(INDEX('Upper Cask Movement &amp; Logistics'!$I$24:$O$30,MATCH($J473,'Upper Cask Movement &amp; Logistics'!$H$24:$H$30,0),MATCH($K473,'Upper Cask Movement &amp; Logistics'!$H$24:$H$30,0)),"N/A")</f>
        <v>50</v>
      </c>
      <c r="M473" s="1329">
        <f>IFERROR(VLOOKUP($I473,'Upper Cask Movement &amp; Logistics'!$H$4:$I$8,2,FALSE),"N/A")</f>
        <v>0.02</v>
      </c>
      <c r="N473" s="1330">
        <f t="shared" si="14"/>
        <v>0.69444444444444442</v>
      </c>
      <c r="O473" s="1331"/>
      <c r="P473" s="1332" t="str">
        <f>IF($D473="Logistics",VLOOKUP($O473,'Upper Cask Movement &amp; Logistics'!$C$4:$D$77,2,FALSE),"N/A")</f>
        <v>N/A</v>
      </c>
    </row>
    <row r="474" spans="1:16" s="89" customFormat="1" outlineLevel="1" x14ac:dyDescent="0.35">
      <c r="A474" s="1202"/>
      <c r="B474" s="3965"/>
      <c r="C474" s="1294" t="s">
        <v>1391</v>
      </c>
      <c r="D474" s="1294" t="s">
        <v>3</v>
      </c>
      <c r="E474" s="1292">
        <f t="shared" si="12"/>
        <v>1.4000000000000001</v>
      </c>
      <c r="F474" s="1292">
        <f>IF($D474="Trigger",VLOOKUP($C474,'Upper Cask Welding failures'!$E$318:$H$400,4,FALSE),E474+F473)</f>
        <v>104.52993178033549</v>
      </c>
      <c r="G474" s="862"/>
      <c r="H474" s="1328" t="str">
        <f>IF(D474="operation",VLOOKUP(G474,'Generic Vertical Port Tasks'!C380:D454,2,FALSE),"N/A")</f>
        <v>N/A</v>
      </c>
      <c r="I474" s="1294"/>
      <c r="J474" s="1294"/>
      <c r="K474" s="1294"/>
      <c r="L474" s="1329" t="str">
        <f>IFERROR(INDEX('Upper Cask Movement &amp; Logistics'!$I$24:$O$30,MATCH($J474,'Upper Cask Movement &amp; Logistics'!$H$24:$H$30,0),MATCH($K474,'Upper Cask Movement &amp; Logistics'!$H$24:$H$30,0)),"N/A")</f>
        <v>N/A</v>
      </c>
      <c r="M474" s="1329" t="str">
        <f>IFERROR(VLOOKUP($I474,'Upper Cask Movement &amp; Logistics'!$H$4:$I$8,2,FALSE),"N/A")</f>
        <v>N/A</v>
      </c>
      <c r="N474" s="1330" t="str">
        <f t="shared" si="14"/>
        <v>N/A</v>
      </c>
      <c r="O474" s="1331" t="s">
        <v>1277</v>
      </c>
      <c r="P474" s="1332">
        <f>IF($D474="Logistics",VLOOKUP($O474,'Upper Cask Movement &amp; Logistics'!$C$4:$D$77,2,FALSE),"N/A")</f>
        <v>1.4000000000000001</v>
      </c>
    </row>
    <row r="475" spans="1:16" s="89" customFormat="1" ht="13.3" outlineLevel="1" thickBot="1" x14ac:dyDescent="0.4">
      <c r="A475" s="1202"/>
      <c r="B475" s="3966"/>
      <c r="C475" s="1340" t="s">
        <v>1286</v>
      </c>
      <c r="D475" s="1340" t="s">
        <v>11</v>
      </c>
      <c r="E475" s="1295">
        <f t="shared" si="12"/>
        <v>0</v>
      </c>
      <c r="F475" s="1295">
        <f>IF($D475="Trigger",VLOOKUP($C475,'Upper Cask Welding failures'!$E$318:$H$400,4,FALSE),E475+F474)</f>
        <v>104.52993178033549</v>
      </c>
      <c r="G475" s="839"/>
      <c r="H475" s="1341" t="str">
        <f>IF(D475="operation",VLOOKUP(G475,'Generic Vertical Port Tasks'!C380:D454,2,FALSE),"N/A")</f>
        <v>N/A</v>
      </c>
      <c r="I475" s="1340"/>
      <c r="J475" s="1340"/>
      <c r="K475" s="1340"/>
      <c r="L475" s="1342" t="str">
        <f>IFERROR(INDEX('Upper Cask Movement &amp; Logistics'!$I$24:$O$30,MATCH($J475,'Upper Cask Movement &amp; Logistics'!$H$24:$H$30,0),MATCH($K475,'Upper Cask Movement &amp; Logistics'!$H$24:$H$30,0)),"N/A")</f>
        <v>N/A</v>
      </c>
      <c r="M475" s="1342" t="str">
        <f>IFERROR(VLOOKUP($I475,'Upper Cask Movement &amp; Logistics'!$H$4:$I$8,2,FALSE),"N/A")</f>
        <v>N/A</v>
      </c>
      <c r="N475" s="1343" t="str">
        <f t="shared" si="14"/>
        <v>N/A</v>
      </c>
      <c r="O475" s="1344"/>
      <c r="P475" s="1345" t="str">
        <f>IF($D475="Logistics",VLOOKUP($O475,'Upper Cask Movement &amp; Logistics'!$C$4:$D$77,2,FALSE),"N/A")</f>
        <v>N/A</v>
      </c>
    </row>
    <row r="476" spans="1:16" s="89" customFormat="1" outlineLevel="1" x14ac:dyDescent="0.35">
      <c r="A476" s="1202"/>
      <c r="B476" s="3960" t="s">
        <v>1288</v>
      </c>
      <c r="C476" s="1333" t="s">
        <v>1287</v>
      </c>
      <c r="D476" s="1333" t="s">
        <v>907</v>
      </c>
      <c r="E476" s="1303">
        <f t="shared" si="12"/>
        <v>0</v>
      </c>
      <c r="F476" s="1303">
        <f>IF($D476="Trigger",VLOOKUP($C476,'Upper Cask Welding failures'!$E$318:$H$400,4,FALSE),E476+F475)</f>
        <v>109.45993178033548</v>
      </c>
      <c r="G476" s="1304"/>
      <c r="H476" s="1305" t="str">
        <f>IF(D476="operation",VLOOKUP(G476,'Generic Vertical Port Tasks'!C382:D461,2,FALSE),"N/A")</f>
        <v>N/A</v>
      </c>
      <c r="I476" s="1333"/>
      <c r="J476" s="1333"/>
      <c r="K476" s="1333"/>
      <c r="L476" s="1334" t="str">
        <f>IFERROR(INDEX('Upper Cask Movement &amp; Logistics'!$I$24:$O$30,MATCH($J476,'Upper Cask Movement &amp; Logistics'!$H$24:$H$30,0),MATCH($K476,'Upper Cask Movement &amp; Logistics'!$H$24:$H$30,0)),"N/A")</f>
        <v>N/A</v>
      </c>
      <c r="M476" s="1334" t="str">
        <f>IFERROR(VLOOKUP($I476,'Upper Cask Movement &amp; Logistics'!$H$4:$I$8,2,FALSE),"N/A")</f>
        <v>N/A</v>
      </c>
      <c r="N476" s="1335" t="str">
        <f t="shared" si="14"/>
        <v>N/A</v>
      </c>
      <c r="O476" s="1336"/>
      <c r="P476" s="1337" t="str">
        <f>IF($D476="Logistics",VLOOKUP($O476,'Upper Cask Movement &amp; Logistics'!$C$4:$D$77,2,FALSE),"N/A")</f>
        <v>N/A</v>
      </c>
    </row>
    <row r="477" spans="1:16" s="89" customFormat="1" outlineLevel="1" x14ac:dyDescent="0.35">
      <c r="A477" s="1202"/>
      <c r="B477" s="3968"/>
      <c r="C477" s="1240" t="s">
        <v>1268</v>
      </c>
      <c r="D477" s="1240" t="s">
        <v>3</v>
      </c>
      <c r="E477" s="1241">
        <f t="shared" si="12"/>
        <v>2.3000000000000003</v>
      </c>
      <c r="F477" s="1241">
        <f>IF($D477="Trigger",VLOOKUP($C477,'Upper Cask Welding failures'!$E$318:$H$400,4,FALSE),E477+F476)</f>
        <v>111.75993178033548</v>
      </c>
      <c r="G477" s="1354"/>
      <c r="H477" s="1355" t="str">
        <f>IF(D477="operation",VLOOKUP(G477,'Generic Vertical Port Tasks'!C382:D461,2,FALSE),"N/A")</f>
        <v>N/A</v>
      </c>
      <c r="I477" s="1240"/>
      <c r="J477" s="1240"/>
      <c r="K477" s="1240"/>
      <c r="L477" s="1242" t="str">
        <f>IFERROR(INDEX('Upper Cask Movement &amp; Logistics'!$I$24:$O$30,MATCH($J477,'Upper Cask Movement &amp; Logistics'!$H$24:$H$30,0),MATCH($K477,'Upper Cask Movement &amp; Logistics'!$H$24:$H$30,0)),"N/A")</f>
        <v>N/A</v>
      </c>
      <c r="M477" s="1242" t="str">
        <f>IFERROR(VLOOKUP($I477,'Upper Cask Movement &amp; Logistics'!$H$4:$I$8,2,FALSE),"N/A")</f>
        <v>N/A</v>
      </c>
      <c r="N477" s="1356" t="str">
        <f t="shared" si="14"/>
        <v>N/A</v>
      </c>
      <c r="O477" s="1357" t="s">
        <v>1269</v>
      </c>
      <c r="P477" s="1358">
        <f>IF($D477="Logistics",VLOOKUP($O477,'Upper Cask Movement &amp; Logistics'!$C$4:$D$77,2,FALSE),"N/A")</f>
        <v>2.3000000000000003</v>
      </c>
    </row>
    <row r="478" spans="1:16" s="89" customFormat="1" outlineLevel="1" x14ac:dyDescent="0.35">
      <c r="A478" s="1202"/>
      <c r="B478" s="3968"/>
      <c r="C478" s="1240" t="s">
        <v>1410</v>
      </c>
      <c r="D478" s="1240" t="s">
        <v>778</v>
      </c>
      <c r="E478" s="1241">
        <f t="shared" si="12"/>
        <v>0.11574074074074074</v>
      </c>
      <c r="F478" s="1241">
        <f>IF($D478="Trigger",VLOOKUP($C478,'Upper Cask Welding failures'!$E$318:$H$400,4,FALSE),E478+F477)</f>
        <v>111.87567252107623</v>
      </c>
      <c r="G478" s="1354"/>
      <c r="H478" s="1355" t="str">
        <f>IF(D478="operation",VLOOKUP(G478,'Generic Vertical Port Tasks'!C382:D461,2,FALSE),"N/A")</f>
        <v>N/A</v>
      </c>
      <c r="I478" s="1240" t="s">
        <v>2501</v>
      </c>
      <c r="J478" s="1240" t="s">
        <v>901</v>
      </c>
      <c r="K478" s="1240" t="s">
        <v>858</v>
      </c>
      <c r="L478" s="1242">
        <f>IFERROR(INDEX('Upper Cask Movement &amp; Logistics'!$I$24:$O$30,MATCH($J478,'Upper Cask Movement &amp; Logistics'!$H$24:$H$30,0),MATCH($K478,'Upper Cask Movement &amp; Logistics'!$H$24:$H$30,0)),"N/A")</f>
        <v>25</v>
      </c>
      <c r="M478" s="1242">
        <f>IFERROR(VLOOKUP($I478,'Upper Cask Movement &amp; Logistics'!$H$4:$I$8,2,FALSE),"N/A")</f>
        <v>0.06</v>
      </c>
      <c r="N478" s="1356">
        <f t="shared" si="14"/>
        <v>0.11574074074074074</v>
      </c>
      <c r="O478" s="1357"/>
      <c r="P478" s="1358" t="str">
        <f>IF($D478="Logistics",VLOOKUP($O478,'Upper Cask Movement &amp; Logistics'!$C$4:$D$77,2,FALSE),"N/A")</f>
        <v>N/A</v>
      </c>
    </row>
    <row r="479" spans="1:16" s="89" customFormat="1" outlineLevel="1" x14ac:dyDescent="0.35">
      <c r="A479" s="1202"/>
      <c r="B479" s="3968"/>
      <c r="C479" s="1240" t="s">
        <v>1411</v>
      </c>
      <c r="D479" s="1240" t="s">
        <v>3</v>
      </c>
      <c r="E479" s="1241">
        <f t="shared" si="12"/>
        <v>0.63000000000000012</v>
      </c>
      <c r="F479" s="1241">
        <f>IF($D479="Trigger",VLOOKUP($C479,'Upper Cask Welding failures'!$E$318:$H$400,4,FALSE),E479+F478)</f>
        <v>112.50567252107622</v>
      </c>
      <c r="G479" s="1354"/>
      <c r="H479" s="1355" t="str">
        <f>IF(D479="operation",VLOOKUP(G479,'Generic Vertical Port Tasks'!C382:D461,2,FALSE),"N/A")</f>
        <v>N/A</v>
      </c>
      <c r="I479" s="1240"/>
      <c r="J479" s="1240"/>
      <c r="K479" s="1240"/>
      <c r="L479" s="1242" t="str">
        <f>IFERROR(INDEX('Upper Cask Movement &amp; Logistics'!$I$24:$O$30,MATCH($J479,'Upper Cask Movement &amp; Logistics'!$H$24:$H$30,0),MATCH($K479,'Upper Cask Movement &amp; Logistics'!$H$24:$H$30,0)),"N/A")</f>
        <v>N/A</v>
      </c>
      <c r="M479" s="1242" t="str">
        <f>IFERROR(VLOOKUP($I479,'Upper Cask Movement &amp; Logistics'!$H$4:$I$8,2,FALSE),"N/A")</f>
        <v>N/A</v>
      </c>
      <c r="N479" s="1356" t="str">
        <f t="shared" si="14"/>
        <v>N/A</v>
      </c>
      <c r="O479" s="1357" t="s">
        <v>1228</v>
      </c>
      <c r="P479" s="1358">
        <f>IF($D479="Logistics",VLOOKUP($O479,'Upper Cask Movement &amp; Logistics'!$C$4:$D$77,2,FALSE),"N/A")</f>
        <v>0.63000000000000012</v>
      </c>
    </row>
    <row r="480" spans="1:16" s="89" customFormat="1" outlineLevel="1" x14ac:dyDescent="0.35">
      <c r="A480" s="1202"/>
      <c r="B480" s="3961"/>
      <c r="C480" s="1243" t="s">
        <v>1366</v>
      </c>
      <c r="D480" s="1243" t="s">
        <v>778</v>
      </c>
      <c r="E480" s="1244">
        <f t="shared" si="12"/>
        <v>0.69444444444444442</v>
      </c>
      <c r="F480" s="1244">
        <f>IF($D480="Trigger",VLOOKUP($C480,'Upper Cask Welding failures'!$E$318:$H$400,4,FALSE),E480+F479)</f>
        <v>113.20011696552066</v>
      </c>
      <c r="G480" s="1309"/>
      <c r="H480" s="1310" t="str">
        <f>IF(D480="operation",VLOOKUP(G480,'Generic Vertical Port Tasks'!C382:D461,2,FALSE),"N/A")</f>
        <v>N/A</v>
      </c>
      <c r="I480" s="1243" t="s">
        <v>1789</v>
      </c>
      <c r="J480" s="1243" t="s">
        <v>831</v>
      </c>
      <c r="K480" s="1243" t="s">
        <v>901</v>
      </c>
      <c r="L480" s="1245">
        <f>IFERROR(INDEX('Upper Cask Movement &amp; Logistics'!$I$24:$O$30,MATCH($J480,'Upper Cask Movement &amp; Logistics'!$H$24:$H$30,0),MATCH($K480,'Upper Cask Movement &amp; Logistics'!$H$24:$H$30,0)),"N/A")</f>
        <v>50</v>
      </c>
      <c r="M480" s="1245">
        <f>IFERROR(VLOOKUP($I480,'Upper Cask Movement &amp; Logistics'!$H$4:$I$8,2,FALSE),"N/A")</f>
        <v>0.02</v>
      </c>
      <c r="N480" s="1311">
        <f t="shared" si="14"/>
        <v>0.69444444444444442</v>
      </c>
      <c r="O480" s="1312"/>
      <c r="P480" s="1313" t="str">
        <f>IF($D480="Logistics",VLOOKUP($O480,'Upper Cask Movement &amp; Logistics'!$C$4:$D$77,2,FALSE),"N/A")</f>
        <v>N/A</v>
      </c>
    </row>
    <row r="481" spans="1:16" s="89" customFormat="1" outlineLevel="1" x14ac:dyDescent="0.35">
      <c r="A481" s="1202"/>
      <c r="B481" s="3961"/>
      <c r="C481" s="1243" t="s">
        <v>1391</v>
      </c>
      <c r="D481" s="1243" t="s">
        <v>3</v>
      </c>
      <c r="E481" s="1244">
        <f t="shared" si="12"/>
        <v>1.4000000000000001</v>
      </c>
      <c r="F481" s="1244">
        <f>IF($D481="Trigger",VLOOKUP($C481,'Upper Cask Welding failures'!$E$318:$H$400,4,FALSE),E481+F480)</f>
        <v>114.60011696552067</v>
      </c>
      <c r="G481" s="1309"/>
      <c r="H481" s="1310" t="str">
        <f>IF(D481="operation",VLOOKUP(G481,'Generic Vertical Port Tasks'!C382:D461,2,FALSE),"N/A")</f>
        <v>N/A</v>
      </c>
      <c r="I481" s="1243"/>
      <c r="J481" s="1243"/>
      <c r="K481" s="1243"/>
      <c r="L481" s="1245" t="str">
        <f>IFERROR(INDEX('Upper Cask Movement &amp; Logistics'!$I$24:$O$30,MATCH($J481,'Upper Cask Movement &amp; Logistics'!$H$24:$H$30,0),MATCH($K481,'Upper Cask Movement &amp; Logistics'!$H$24:$H$30,0)),"N/A")</f>
        <v>N/A</v>
      </c>
      <c r="M481" s="1245" t="str">
        <f>IFERROR(VLOOKUP($I481,'Upper Cask Movement &amp; Logistics'!$H$4:$I$8,2,FALSE),"N/A")</f>
        <v>N/A</v>
      </c>
      <c r="N481" s="1311" t="str">
        <f t="shared" si="14"/>
        <v>N/A</v>
      </c>
      <c r="O481" s="1312" t="s">
        <v>1277</v>
      </c>
      <c r="P481" s="1313">
        <f>IF($D481="Logistics",VLOOKUP($O481,'Upper Cask Movement &amp; Logistics'!$C$4:$D$77,2,FALSE),"N/A")</f>
        <v>1.4000000000000001</v>
      </c>
    </row>
    <row r="482" spans="1:16" s="89" customFormat="1" ht="13.3" outlineLevel="1" thickBot="1" x14ac:dyDescent="0.4">
      <c r="A482" s="1202"/>
      <c r="B482" s="3963"/>
      <c r="C482" s="1378" t="s">
        <v>1288</v>
      </c>
      <c r="D482" s="1314" t="s">
        <v>11</v>
      </c>
      <c r="E482" s="1316">
        <f t="shared" si="12"/>
        <v>0</v>
      </c>
      <c r="F482" s="1316">
        <f>IF($D482="Trigger",VLOOKUP($C482,'Upper Cask Welding failures'!$E$318:$H$400,4,FALSE),E482+F481)</f>
        <v>114.60011696552067</v>
      </c>
      <c r="G482" s="1317"/>
      <c r="H482" s="1318" t="str">
        <f>IF(D482="operation",VLOOKUP(G482,'Generic Vertical Port Tasks'!C382:D461,2,FALSE),"N/A")</f>
        <v>N/A</v>
      </c>
      <c r="I482" s="1314"/>
      <c r="J482" s="1314"/>
      <c r="K482" s="1314"/>
      <c r="L482" s="1319" t="str">
        <f>IFERROR(INDEX('Upper Cask Movement &amp; Logistics'!$I$24:$O$30,MATCH($J482,'Upper Cask Movement &amp; Logistics'!$H$24:$H$30,0),MATCH($K482,'Upper Cask Movement &amp; Logistics'!$H$24:$H$30,0)),"N/A")</f>
        <v>N/A</v>
      </c>
      <c r="M482" s="1319" t="str">
        <f>IFERROR(VLOOKUP($I482,'Upper Cask Movement &amp; Logistics'!$H$4:$I$8,2,FALSE),"N/A")</f>
        <v>N/A</v>
      </c>
      <c r="N482" s="1320" t="str">
        <f t="shared" si="14"/>
        <v>N/A</v>
      </c>
      <c r="O482" s="1321"/>
      <c r="P482" s="1322" t="str">
        <f>IF($D482="Logistics",VLOOKUP($O482,'Upper Cask Movement &amp; Logistics'!$C$4:$D$77,2,FALSE),"N/A")</f>
        <v>N/A</v>
      </c>
    </row>
    <row r="483" spans="1:16" s="89" customFormat="1" outlineLevel="1" x14ac:dyDescent="0.35">
      <c r="A483" s="1202"/>
      <c r="B483" s="3814" t="s">
        <v>1295</v>
      </c>
      <c r="C483" s="1324" t="s">
        <v>134</v>
      </c>
      <c r="D483" s="1324" t="s">
        <v>907</v>
      </c>
      <c r="E483" s="1291">
        <f t="shared" si="12"/>
        <v>0</v>
      </c>
      <c r="F483" s="1291">
        <f>IF($D483="Trigger",VLOOKUP($C483,'Upper Cask Welding failures'!$E$318:$H$400,4,FALSE),E483+F482)</f>
        <v>118.93011696552067</v>
      </c>
      <c r="G483" s="825"/>
      <c r="H483" s="1323" t="str">
        <f>IF(D483="operation",VLOOKUP(G483,'Generic Vertical Port Tasks'!C401:D483,2,FALSE),"N/A")</f>
        <v>N/A</v>
      </c>
      <c r="I483" s="1324"/>
      <c r="J483" s="1324"/>
      <c r="K483" s="1324"/>
      <c r="L483" s="1325" t="str">
        <f>IFERROR(INDEX('Upper Cask Movement &amp; Logistics'!$I$24:$O$30,MATCH($J483,'Upper Cask Movement &amp; Logistics'!$H$24:$H$30,0),MATCH($K483,'Upper Cask Movement &amp; Logistics'!$H$24:$H$30,0)),"N/A")</f>
        <v>N/A</v>
      </c>
      <c r="M483" s="1325" t="str">
        <f>IFERROR(VLOOKUP($I483,'Upper Cask Movement &amp; Logistics'!$H$4:$I$8,2,FALSE),"N/A")</f>
        <v>N/A</v>
      </c>
      <c r="N483" s="1326" t="str">
        <f t="shared" si="14"/>
        <v>N/A</v>
      </c>
      <c r="O483" s="1327"/>
      <c r="P483" s="824" t="str">
        <f>IF($D483="Logistics",VLOOKUP($O483,'Upper Cask Movement &amp; Logistics'!$C$4:$D$77,2,FALSE),"N/A")</f>
        <v>N/A</v>
      </c>
    </row>
    <row r="484" spans="1:16" s="89" customFormat="1" outlineLevel="1" x14ac:dyDescent="0.35">
      <c r="A484" s="1202"/>
      <c r="B484" s="3815"/>
      <c r="C484" s="1294" t="s">
        <v>1345</v>
      </c>
      <c r="D484" s="1294" t="s">
        <v>778</v>
      </c>
      <c r="E484" s="1292">
        <f t="shared" si="12"/>
        <v>0.23148148148148148</v>
      </c>
      <c r="F484" s="1292">
        <f>IF($D484="Trigger",VLOOKUP($C484,'Upper Cask Welding failures'!$E$318:$H$400,4,FALSE),E484+F483)</f>
        <v>119.16159844700215</v>
      </c>
      <c r="G484" s="862"/>
      <c r="H484" s="1328" t="str">
        <f>IF(D484="operation",VLOOKUP(G484,'Generic Vertical Port Tasks'!C401:D483,2,FALSE),"N/A")</f>
        <v>N/A</v>
      </c>
      <c r="I484" s="1294" t="s">
        <v>2501</v>
      </c>
      <c r="J484" s="1294" t="s">
        <v>816</v>
      </c>
      <c r="K484" s="1294" t="s">
        <v>914</v>
      </c>
      <c r="L484" s="1329">
        <f>IFERROR(INDEX('Upper Cask Movement &amp; Logistics'!$I$24:$O$30,MATCH($J484,'Upper Cask Movement &amp; Logistics'!$H$24:$H$30,0),MATCH($K484,'Upper Cask Movement &amp; Logistics'!$H$24:$H$30,0)),"N/A")</f>
        <v>50</v>
      </c>
      <c r="M484" s="1329">
        <f>IFERROR(VLOOKUP($I484,'Upper Cask Movement &amp; Logistics'!$H$4:$I$8,2,FALSE),"N/A")</f>
        <v>0.06</v>
      </c>
      <c r="N484" s="1330">
        <f t="shared" si="14"/>
        <v>0.23148148148148148</v>
      </c>
      <c r="O484" s="1331"/>
      <c r="P484" s="1332" t="str">
        <f>IF($D484="Logistics",VLOOKUP($O484,'Upper Cask Movement &amp; Logistics'!$C$4:$D$77,2,FALSE),"N/A")</f>
        <v>N/A</v>
      </c>
    </row>
    <row r="485" spans="1:16" s="89" customFormat="1" outlineLevel="1" x14ac:dyDescent="0.35">
      <c r="A485" s="1202"/>
      <c r="B485" s="3815"/>
      <c r="C485" s="1346" t="s">
        <v>1412</v>
      </c>
      <c r="D485" s="1346" t="s">
        <v>3</v>
      </c>
      <c r="E485" s="1347">
        <f t="shared" si="12"/>
        <v>0.48000000000000004</v>
      </c>
      <c r="F485" s="1347">
        <f>IF($D485="Trigger",VLOOKUP($C485,'Upper Cask Welding failures'!$E$318:$H$400,4,FALSE),E485+F484)</f>
        <v>119.64159844700215</v>
      </c>
      <c r="G485" s="1348"/>
      <c r="H485" s="1349" t="str">
        <f>IF(D485="operation",VLOOKUP(G485,'Generic Vertical Port Tasks'!C401:D483,2,FALSE),"N/A")</f>
        <v>N/A</v>
      </c>
      <c r="I485" s="1346"/>
      <c r="J485" s="1346"/>
      <c r="K485" s="1346"/>
      <c r="L485" s="1329" t="str">
        <f>IFERROR(INDEX('Upper Cask Movement &amp; Logistics'!$I$24:$O$30,MATCH($J485,'Upper Cask Movement &amp; Logistics'!$H$24:$H$30,0),MATCH($K485,'Upper Cask Movement &amp; Logistics'!$H$24:$H$30,0)),"N/A")</f>
        <v>N/A</v>
      </c>
      <c r="M485" s="1329" t="str">
        <f>IFERROR(VLOOKUP($I485,'Upper Cask Movement &amp; Logistics'!$H$4:$I$8,2,FALSE),"N/A")</f>
        <v>N/A</v>
      </c>
      <c r="N485" s="1330" t="str">
        <f t="shared" si="14"/>
        <v>N/A</v>
      </c>
      <c r="O485" s="1352" t="s">
        <v>1330</v>
      </c>
      <c r="P485" s="1332">
        <f>IF($D485="Logistics",VLOOKUP($O485,'Upper Cask Movement &amp; Logistics'!$C$4:$D$77,2,FALSE),"N/A")</f>
        <v>0.48000000000000004</v>
      </c>
    </row>
    <row r="486" spans="1:16" s="89" customFormat="1" outlineLevel="1" x14ac:dyDescent="0.35">
      <c r="A486" s="1202"/>
      <c r="B486" s="3815"/>
      <c r="C486" s="1346" t="s">
        <v>1338</v>
      </c>
      <c r="D486" s="1346" t="s">
        <v>778</v>
      </c>
      <c r="E486" s="1347">
        <f t="shared" si="12"/>
        <v>2.7777777777777776E-2</v>
      </c>
      <c r="F486" s="1347">
        <f>IF($D486="Trigger",VLOOKUP($C486,'Upper Cask Welding failures'!$E$318:$H$400,4,FALSE),E486+F485)</f>
        <v>119.66937622477992</v>
      </c>
      <c r="G486" s="1348"/>
      <c r="H486" s="1349" t="str">
        <f>IF(D486="operation",VLOOKUP(G486,'Generic Vertical Port Tasks'!C401:D483,2,FALSE),"N/A")</f>
        <v>N/A</v>
      </c>
      <c r="I486" s="1294" t="s">
        <v>2502</v>
      </c>
      <c r="J486" s="1346" t="s">
        <v>914</v>
      </c>
      <c r="K486" s="1346" t="s">
        <v>799</v>
      </c>
      <c r="L486" s="1329">
        <f>IFERROR(INDEX('Upper Cask Movement &amp; Logistics'!$I$24:$O$30,MATCH($J486,'Upper Cask Movement &amp; Logistics'!$H$24:$H$30,0),MATCH($K486,'Upper Cask Movement &amp; Logistics'!$H$24:$H$30,0)),"N/A")</f>
        <v>20</v>
      </c>
      <c r="M486" s="1329">
        <f>IFERROR(VLOOKUP($I486,'Upper Cask Movement &amp; Logistics'!$H$4:$I$8,2,FALSE),"N/A")</f>
        <v>0.2</v>
      </c>
      <c r="N486" s="1330">
        <f t="shared" si="14"/>
        <v>2.7777777777777776E-2</v>
      </c>
      <c r="O486" s="1352"/>
      <c r="P486" s="1332" t="str">
        <f>IF($D486="Logistics",VLOOKUP($O486,'Upper Cask Movement &amp; Logistics'!$C$4:$D$77,2,FALSE),"N/A")</f>
        <v>N/A</v>
      </c>
    </row>
    <row r="487" spans="1:16" s="89" customFormat="1" outlineLevel="1" x14ac:dyDescent="0.35">
      <c r="A487" s="1202"/>
      <c r="B487" s="3815"/>
      <c r="C487" s="1346" t="s">
        <v>1358</v>
      </c>
      <c r="D487" s="1346" t="s">
        <v>3</v>
      </c>
      <c r="E487" s="1347">
        <f t="shared" si="12"/>
        <v>0.48000000000000004</v>
      </c>
      <c r="F487" s="1347">
        <f>IF($D487="Trigger",VLOOKUP($C487,'Upper Cask Welding failures'!$E$318:$H$400,4,FALSE),E487+F486)</f>
        <v>120.14937622477993</v>
      </c>
      <c r="G487" s="1348"/>
      <c r="H487" s="1349" t="str">
        <f>IF(D487="operation",VLOOKUP(G487,'Generic Vertical Port Tasks'!C401:D483,2,FALSE),"N/A")</f>
        <v>N/A</v>
      </c>
      <c r="I487" s="1346"/>
      <c r="J487" s="1346"/>
      <c r="K487" s="1346"/>
      <c r="L487" s="1329" t="str">
        <f>IFERROR(INDEX('Upper Cask Movement &amp; Logistics'!$I$24:$O$30,MATCH($J487,'Upper Cask Movement &amp; Logistics'!$H$24:$H$30,0),MATCH($K487,'Upper Cask Movement &amp; Logistics'!$H$24:$H$30,0)),"N/A")</f>
        <v>N/A</v>
      </c>
      <c r="M487" s="1329" t="str">
        <f>IFERROR(VLOOKUP($I487,'Upper Cask Movement &amp; Logistics'!$H$4:$I$8,2,FALSE),"N/A")</f>
        <v>N/A</v>
      </c>
      <c r="N487" s="1330" t="str">
        <f>IF(D487="Movement",IFERROR((L487/M487)/(60*60),"Error"),"N/A")</f>
        <v>N/A</v>
      </c>
      <c r="O487" s="1352" t="s">
        <v>1331</v>
      </c>
      <c r="P487" s="1332">
        <f>IF($D487="Logistics",VLOOKUP($O487,'Upper Cask Movement &amp; Logistics'!$C$4:$D$77,2,FALSE),"N/A")</f>
        <v>0.48000000000000004</v>
      </c>
    </row>
    <row r="488" spans="1:16" s="89" customFormat="1" outlineLevel="1" x14ac:dyDescent="0.35">
      <c r="A488" s="1202"/>
      <c r="B488" s="3815"/>
      <c r="C488" s="1346" t="s">
        <v>1340</v>
      </c>
      <c r="D488" s="1346" t="s">
        <v>778</v>
      </c>
      <c r="E488" s="1347">
        <f t="shared" si="12"/>
        <v>0.23148148148148148</v>
      </c>
      <c r="F488" s="1347">
        <f>IF($D488="Trigger",VLOOKUP($C488,'Upper Cask Welding failures'!$E$318:$H$400,4,FALSE),E488+F487)</f>
        <v>120.38085770626141</v>
      </c>
      <c r="G488" s="1348"/>
      <c r="H488" s="1349" t="str">
        <f>IF(D488="operation",VLOOKUP(G488,'Generic Vertical Port Tasks'!C401:D483,2,FALSE),"N/A")</f>
        <v>N/A</v>
      </c>
      <c r="I488" s="1346" t="s">
        <v>2501</v>
      </c>
      <c r="J488" s="1346" t="s">
        <v>799</v>
      </c>
      <c r="K488" s="1346" t="s">
        <v>901</v>
      </c>
      <c r="L488" s="1329">
        <f>IFERROR(INDEX('Upper Cask Movement &amp; Logistics'!$I$24:$O$30,MATCH($J488,'Upper Cask Movement &amp; Logistics'!$H$24:$H$30,0),MATCH($K488,'Upper Cask Movement &amp; Logistics'!$H$24:$H$30,0)),"N/A")</f>
        <v>50</v>
      </c>
      <c r="M488" s="1329">
        <f>IFERROR(VLOOKUP($I488,'Upper Cask Movement &amp; Logistics'!$H$4:$I$8,2,FALSE),"N/A")</f>
        <v>0.06</v>
      </c>
      <c r="N488" s="1330">
        <f>IF(D488="Movement",IFERROR((L488/M488)/(60*60),"Error"),"N/A")</f>
        <v>0.23148148148148148</v>
      </c>
      <c r="O488" s="1352"/>
      <c r="P488" s="1332" t="str">
        <f>IF($D488="Logistics",VLOOKUP($O488,'Upper Cask Movement &amp; Logistics'!$C$4:$D$77,2,FALSE),"N/A")</f>
        <v>N/A</v>
      </c>
    </row>
    <row r="489" spans="1:16" s="89" customFormat="1" outlineLevel="1" x14ac:dyDescent="0.35">
      <c r="A489" s="1202"/>
      <c r="B489" s="3815"/>
      <c r="C489" s="1346" t="s">
        <v>1359</v>
      </c>
      <c r="D489" s="1346" t="s">
        <v>3</v>
      </c>
      <c r="E489" s="1347">
        <f t="shared" si="12"/>
        <v>1.4000000000000001</v>
      </c>
      <c r="F489" s="1347">
        <f>IF($D489="Trigger",VLOOKUP($C489,'Upper Cask Welding failures'!$E$318:$H$400,4,FALSE),E489+F488)</f>
        <v>121.78085770626141</v>
      </c>
      <c r="G489" s="1348"/>
      <c r="H489" s="1349" t="str">
        <f>IF(D489="operation",VLOOKUP(G489,'Generic Vertical Port Tasks'!C401:D483,2,FALSE),"N/A")</f>
        <v>N/A</v>
      </c>
      <c r="I489" s="1346"/>
      <c r="J489" s="1346"/>
      <c r="K489" s="1346"/>
      <c r="L489" s="1329" t="str">
        <f>IFERROR(INDEX('Upper Cask Movement &amp; Logistics'!$I$24:$O$30,MATCH($J489,'Upper Cask Movement &amp; Logistics'!$H$24:$H$30,0),MATCH($K489,'Upper Cask Movement &amp; Logistics'!$H$24:$H$30,0)),"N/A")</f>
        <v>N/A</v>
      </c>
      <c r="M489" s="1329" t="str">
        <f>IFERROR(VLOOKUP($I489,'Upper Cask Movement &amp; Logistics'!$H$4:$I$8,2,FALSE),"N/A")</f>
        <v>N/A</v>
      </c>
      <c r="N489" s="1330" t="str">
        <f>IF(D489="Movement",IFERROR((L489/M489)/(60*60),"Error"),"N/A")</f>
        <v>N/A</v>
      </c>
      <c r="O489" s="1352" t="s">
        <v>1277</v>
      </c>
      <c r="P489" s="1332">
        <f>IF($D489="Logistics",VLOOKUP($O489,'Upper Cask Movement &amp; Logistics'!$C$4:$D$77,2,FALSE),"N/A")</f>
        <v>1.4000000000000001</v>
      </c>
    </row>
    <row r="490" spans="1:16" s="89" customFormat="1" outlineLevel="1" x14ac:dyDescent="0.35">
      <c r="A490" s="1202"/>
      <c r="B490" s="3815"/>
      <c r="C490" s="1294" t="s">
        <v>1410</v>
      </c>
      <c r="D490" s="1294" t="s">
        <v>778</v>
      </c>
      <c r="E490" s="1292">
        <f t="shared" si="12"/>
        <v>0.23148148148148148</v>
      </c>
      <c r="F490" s="1347">
        <f>IF($D490="Trigger",VLOOKUP($C490,'Upper Cask Welding failures'!$E$318:$H$400,4,FALSE),E490+F489)</f>
        <v>122.0123391877429</v>
      </c>
      <c r="G490" s="862"/>
      <c r="H490" s="1328" t="str">
        <f>IF(D490="operation",VLOOKUP(G490,'Generic Vertical Port Tasks'!C454:D514,2,FALSE),"N/A")</f>
        <v>N/A</v>
      </c>
      <c r="I490" s="1294" t="s">
        <v>2501</v>
      </c>
      <c r="J490" s="1294" t="s">
        <v>901</v>
      </c>
      <c r="K490" s="1294" t="s">
        <v>831</v>
      </c>
      <c r="L490" s="1329">
        <f>IFERROR(INDEX('Upper Cask Movement &amp; Logistics'!$I$24:$O$30,MATCH($J490,'Upper Cask Movement &amp; Logistics'!$H$24:$H$30,0),MATCH($K490,'Upper Cask Movement &amp; Logistics'!$H$24:$H$30,0)),"N/A")</f>
        <v>50</v>
      </c>
      <c r="M490" s="1329">
        <f>IFERROR(VLOOKUP($I490,'Upper Cask Movement &amp; Logistics'!$H$4:$I$8,2,FALSE),"N/A")</f>
        <v>0.06</v>
      </c>
      <c r="N490" s="1330">
        <f t="shared" ref="N490:N517" si="15">IF(D490="Movement",IFERROR((L490/M490)/(60*60),"Error"),"N/A")</f>
        <v>0.23148148148148148</v>
      </c>
      <c r="O490" s="1331"/>
      <c r="P490" s="1332" t="str">
        <f>IF($D490="Logistics",VLOOKUP($O490,'Upper Cask Movement &amp; Logistics'!$C$4:$D$77,2,FALSE),"N/A")</f>
        <v>N/A</v>
      </c>
    </row>
    <row r="491" spans="1:16" s="89" customFormat="1" outlineLevel="1" x14ac:dyDescent="0.35">
      <c r="A491" s="1202"/>
      <c r="B491" s="3815"/>
      <c r="C491" s="1294" t="s">
        <v>1413</v>
      </c>
      <c r="D491" s="1294" t="s">
        <v>3</v>
      </c>
      <c r="E491" s="1292">
        <f t="shared" si="12"/>
        <v>0.68</v>
      </c>
      <c r="F491" s="1347">
        <f>IF($D491="Trigger",VLOOKUP($C491,'Upper Cask Welding failures'!$E$318:$H$400,4,FALSE),E491+F490)</f>
        <v>122.6923391877429</v>
      </c>
      <c r="G491" s="862"/>
      <c r="H491" s="1328" t="str">
        <f>IF(D491="operation",VLOOKUP(G491,'Generic Vertical Port Tasks'!C454:D514,2,FALSE),"N/A")</f>
        <v>N/A</v>
      </c>
      <c r="I491" s="1294"/>
      <c r="J491" s="1294"/>
      <c r="K491" s="1294"/>
      <c r="L491" s="1329" t="str">
        <f>IFERROR(INDEX('Upper Cask Movement &amp; Logistics'!$I$24:$O$30,MATCH($J491,'Upper Cask Movement &amp; Logistics'!$H$24:$H$30,0),MATCH($K491,'Upper Cask Movement &amp; Logistics'!$H$24:$H$30,0)),"N/A")</f>
        <v>N/A</v>
      </c>
      <c r="M491" s="1329" t="str">
        <f>IFERROR(VLOOKUP($I491,'Upper Cask Movement &amp; Logistics'!$H$4:$I$8,2,FALSE),"N/A")</f>
        <v>N/A</v>
      </c>
      <c r="N491" s="1330" t="str">
        <f t="shared" si="15"/>
        <v>N/A</v>
      </c>
      <c r="O491" s="1331" t="s">
        <v>1213</v>
      </c>
      <c r="P491" s="1332">
        <f>IF($D491="Logistics",VLOOKUP($O491,'Upper Cask Movement &amp; Logistics'!$C$4:$D$77,2,FALSE),"N/A")</f>
        <v>0.68</v>
      </c>
    </row>
    <row r="492" spans="1:16" s="89" customFormat="1" outlineLevel="1" x14ac:dyDescent="0.35">
      <c r="A492" s="1202"/>
      <c r="B492" s="3815"/>
      <c r="C492" s="1294" t="s">
        <v>1366</v>
      </c>
      <c r="D492" s="1294" t="s">
        <v>778</v>
      </c>
      <c r="E492" s="1292">
        <f t="shared" si="12"/>
        <v>0.69444444444444442</v>
      </c>
      <c r="F492" s="1347">
        <f>IF($D492="Trigger",VLOOKUP($C492,'Upper Cask Welding failures'!$E$318:$H$400,4,FALSE),E492+F491)</f>
        <v>123.38678363218735</v>
      </c>
      <c r="G492" s="862"/>
      <c r="H492" s="1328" t="str">
        <f>IF(D492="operation",VLOOKUP(G492,'Generic Vertical Port Tasks'!C454:D514,2,FALSE),"N/A")</f>
        <v>N/A</v>
      </c>
      <c r="I492" s="1294" t="s">
        <v>1789</v>
      </c>
      <c r="J492" s="1294" t="s">
        <v>831</v>
      </c>
      <c r="K492" s="1294" t="s">
        <v>901</v>
      </c>
      <c r="L492" s="1329">
        <f>IFERROR(INDEX('Upper Cask Movement &amp; Logistics'!$I$24:$O$30,MATCH($J492,'Upper Cask Movement &amp; Logistics'!$H$24:$H$30,0),MATCH($K492,'Upper Cask Movement &amp; Logistics'!$H$24:$H$30,0)),"N/A")</f>
        <v>50</v>
      </c>
      <c r="M492" s="1329">
        <f>IFERROR(VLOOKUP($I492,'Upper Cask Movement &amp; Logistics'!$H$4:$I$8,2,FALSE),"N/A")</f>
        <v>0.02</v>
      </c>
      <c r="N492" s="1330">
        <f t="shared" si="15"/>
        <v>0.69444444444444442</v>
      </c>
      <c r="O492" s="1331"/>
      <c r="P492" s="1332" t="str">
        <f>IF($D492="Logistics",VLOOKUP($O492,'Upper Cask Movement &amp; Logistics'!$C$4:$D$77,2,FALSE),"N/A")</f>
        <v>N/A</v>
      </c>
    </row>
    <row r="493" spans="1:16" s="89" customFormat="1" outlineLevel="1" x14ac:dyDescent="0.35">
      <c r="A493" s="1202"/>
      <c r="B493" s="3815"/>
      <c r="C493" s="1294" t="s">
        <v>1367</v>
      </c>
      <c r="D493" s="1294" t="s">
        <v>3</v>
      </c>
      <c r="E493" s="1292">
        <f t="shared" si="12"/>
        <v>1.4000000000000001</v>
      </c>
      <c r="F493" s="1347">
        <f>IF($D493="Trigger",VLOOKUP($C493,'Upper Cask Welding failures'!$E$318:$H$400,4,FALSE),E493+F492)</f>
        <v>124.78678363218735</v>
      </c>
      <c r="G493" s="862"/>
      <c r="H493" s="1328" t="str">
        <f>IF(D493="operation",VLOOKUP(G493,'Generic Vertical Port Tasks'!C454:D514,2,FALSE),"N/A")</f>
        <v>N/A</v>
      </c>
      <c r="I493" s="1294"/>
      <c r="J493" s="1294"/>
      <c r="K493" s="1294"/>
      <c r="L493" s="1329" t="str">
        <f>IFERROR(INDEX('Upper Cask Movement &amp; Logistics'!$I$24:$O$30,MATCH($J493,'Upper Cask Movement &amp; Logistics'!$H$24:$H$30,0),MATCH($K493,'Upper Cask Movement &amp; Logistics'!$H$24:$H$30,0)),"N/A")</f>
        <v>N/A</v>
      </c>
      <c r="M493" s="1329" t="str">
        <f>IFERROR(VLOOKUP($I493,'Upper Cask Movement &amp; Logistics'!$H$4:$I$8,2,FALSE),"N/A")</f>
        <v>N/A</v>
      </c>
      <c r="N493" s="1330" t="str">
        <f t="shared" si="15"/>
        <v>N/A</v>
      </c>
      <c r="O493" s="1331" t="s">
        <v>1277</v>
      </c>
      <c r="P493" s="1332">
        <f>IF($D493="Logistics",VLOOKUP($O493,'Upper Cask Movement &amp; Logistics'!$C$4:$D$77,2,FALSE),"N/A")</f>
        <v>1.4000000000000001</v>
      </c>
    </row>
    <row r="494" spans="1:16" s="89" customFormat="1" ht="26.15" outlineLevel="1" thickBot="1" x14ac:dyDescent="0.4">
      <c r="A494" s="1202"/>
      <c r="B494" s="3816"/>
      <c r="C494" s="1340" t="s">
        <v>1295</v>
      </c>
      <c r="D494" s="1340" t="s">
        <v>11</v>
      </c>
      <c r="E494" s="1295">
        <f t="shared" si="12"/>
        <v>0</v>
      </c>
      <c r="F494" s="1295">
        <f>IF($D494="Trigger",VLOOKUP($C494,'Upper Cask Welding failures'!$E$318:$H$400,4,FALSE),E494+F493)</f>
        <v>124.78678363218735</v>
      </c>
      <c r="G494" s="839"/>
      <c r="H494" s="1341" t="str">
        <f>IF(D494="operation",VLOOKUP(G494,'Generic Vertical Port Tasks'!C454:D514,2,FALSE),"N/A")</f>
        <v>N/A</v>
      </c>
      <c r="I494" s="1340"/>
      <c r="J494" s="1340"/>
      <c r="K494" s="1340"/>
      <c r="L494" s="1342" t="str">
        <f>IFERROR(INDEX('Upper Cask Movement &amp; Logistics'!$I$24:$O$30,MATCH($J494,'Upper Cask Movement &amp; Logistics'!$H$24:$H$30,0),MATCH($K494,'Upper Cask Movement &amp; Logistics'!$H$24:$H$30,0)),"N/A")</f>
        <v>N/A</v>
      </c>
      <c r="M494" s="1342" t="str">
        <f>IFERROR(VLOOKUP($I494,'Upper Cask Movement &amp; Logistics'!$H$4:$I$8,2,FALSE),"N/A")</f>
        <v>N/A</v>
      </c>
      <c r="N494" s="1343" t="str">
        <f t="shared" si="15"/>
        <v>N/A</v>
      </c>
      <c r="O494" s="1344"/>
      <c r="P494" s="1345" t="str">
        <f>IF($D494="Logistics",VLOOKUP($O494,'Upper Cask Movement &amp; Logistics'!$C$4:$D$77,2,FALSE),"N/A")</f>
        <v>N/A</v>
      </c>
    </row>
    <row r="495" spans="1:16" s="89" customFormat="1" outlineLevel="1" x14ac:dyDescent="0.35">
      <c r="A495" s="1202"/>
      <c r="B495" s="3970" t="s">
        <v>1414</v>
      </c>
      <c r="C495" s="617" t="s">
        <v>117</v>
      </c>
      <c r="D495" s="617" t="s">
        <v>907</v>
      </c>
      <c r="E495" s="567">
        <f t="shared" si="12"/>
        <v>0</v>
      </c>
      <c r="F495" s="567">
        <f>IF($D495="Trigger",VLOOKUP($C495,'Upper Cask Welding failures'!$E$318:$H$400,4,FALSE),E495+F494)</f>
        <v>129.86178363218735</v>
      </c>
      <c r="G495" s="568"/>
      <c r="H495" s="569" t="str">
        <f>IF(D495="operation",VLOOKUP(G495,'Generic Vertical Port Tasks'!C458:D518,2,FALSE),"N/A")</f>
        <v>N/A</v>
      </c>
      <c r="I495" s="617"/>
      <c r="J495" s="617"/>
      <c r="K495" s="617"/>
      <c r="L495" s="618" t="str">
        <f>IFERROR(INDEX('Upper Cask Movement &amp; Logistics'!$I$24:$O$30,MATCH($J495,'Upper Cask Movement &amp; Logistics'!$H$24:$H$30,0),MATCH($K495,'Upper Cask Movement &amp; Logistics'!$H$24:$H$30,0)),"N/A")</f>
        <v>N/A</v>
      </c>
      <c r="M495" s="618" t="str">
        <f>IFERROR(VLOOKUP($I495,'Upper Cask Movement &amp; Logistics'!$H$4:$I$8,2,FALSE),"N/A")</f>
        <v>N/A</v>
      </c>
      <c r="N495" s="619" t="str">
        <f t="shared" si="15"/>
        <v>N/A</v>
      </c>
      <c r="O495" s="620"/>
      <c r="P495" s="621" t="str">
        <f>IF($D495="Logistics",VLOOKUP($O495,'Upper Cask Movement &amp; Logistics'!$C$4:$D$77,2,FALSE),"N/A")</f>
        <v>N/A</v>
      </c>
    </row>
    <row r="496" spans="1:16" s="89" customFormat="1" outlineLevel="1" x14ac:dyDescent="0.35">
      <c r="A496" s="1202"/>
      <c r="B496" s="3971"/>
      <c r="C496" s="1275" t="s">
        <v>1377</v>
      </c>
      <c r="D496" s="1275" t="s">
        <v>3</v>
      </c>
      <c r="E496" s="1276">
        <f t="shared" si="12"/>
        <v>2.3000000000000003</v>
      </c>
      <c r="F496" s="1276">
        <f>IF($D496="Trigger",VLOOKUP($C496,'Upper Cask Welding failures'!$E$318:$H$400,4,FALSE),E496+F495)</f>
        <v>132.16178363218737</v>
      </c>
      <c r="G496" s="879"/>
      <c r="H496" s="1379" t="str">
        <f>IF(D496="operation",VLOOKUP(G496,'Generic Vertical Port Tasks'!C458:D518,2,FALSE),"N/A")</f>
        <v>N/A</v>
      </c>
      <c r="I496" s="1275"/>
      <c r="J496" s="1275"/>
      <c r="K496" s="1275"/>
      <c r="L496" s="1277" t="str">
        <f>IFERROR(INDEX('Upper Cask Movement &amp; Logistics'!$I$24:$O$30,MATCH($J496,'Upper Cask Movement &amp; Logistics'!$H$24:$H$30,0),MATCH($K496,'Upper Cask Movement &amp; Logistics'!$H$24:$H$30,0)),"N/A")</f>
        <v>N/A</v>
      </c>
      <c r="M496" s="1277" t="str">
        <f>IFERROR(VLOOKUP($I496,'Upper Cask Movement &amp; Logistics'!$H$4:$I$8,2,FALSE),"N/A")</f>
        <v>N/A</v>
      </c>
      <c r="N496" s="1380" t="str">
        <f t="shared" si="15"/>
        <v>N/A</v>
      </c>
      <c r="O496" s="1381" t="s">
        <v>1269</v>
      </c>
      <c r="P496" s="850">
        <f>IF($D496="Logistics",VLOOKUP($O496,'Upper Cask Movement &amp; Logistics'!$C$4:$D$77,2,FALSE),"N/A")</f>
        <v>2.3000000000000003</v>
      </c>
    </row>
    <row r="497" spans="1:16" s="89" customFormat="1" outlineLevel="1" x14ac:dyDescent="0.35">
      <c r="A497" s="1202"/>
      <c r="B497" s="3972"/>
      <c r="C497" s="572" t="s">
        <v>1410</v>
      </c>
      <c r="D497" s="572" t="s">
        <v>778</v>
      </c>
      <c r="E497" s="574">
        <f t="shared" si="12"/>
        <v>0.23148148148148148</v>
      </c>
      <c r="F497" s="574">
        <f>IF($D497="Trigger",VLOOKUP($C497,'Upper Cask Welding failures'!$E$318:$H$400,4,FALSE),E497+F496)</f>
        <v>132.39326511366886</v>
      </c>
      <c r="G497" s="575"/>
      <c r="H497" s="576" t="str">
        <f>IF(D497="operation",VLOOKUP(G497,'Generic Vertical Port Tasks'!C458:D518,2,FALSE),"N/A")</f>
        <v>N/A</v>
      </c>
      <c r="I497" s="572" t="s">
        <v>2501</v>
      </c>
      <c r="J497" s="572" t="s">
        <v>901</v>
      </c>
      <c r="K497" s="572" t="s">
        <v>831</v>
      </c>
      <c r="L497" s="577">
        <f>IFERROR(INDEX('Upper Cask Movement &amp; Logistics'!$I$24:$O$30,MATCH($J497,'Upper Cask Movement &amp; Logistics'!$H$24:$H$30,0),MATCH($K497,'Upper Cask Movement &amp; Logistics'!$H$24:$H$30,0)),"N/A")</f>
        <v>50</v>
      </c>
      <c r="M497" s="577">
        <f>IFERROR(VLOOKUP($I497,'Upper Cask Movement &amp; Logistics'!$H$4:$I$8,2,FALSE),"N/A")</f>
        <v>0.06</v>
      </c>
      <c r="N497" s="578">
        <f t="shared" si="15"/>
        <v>0.23148148148148148</v>
      </c>
      <c r="O497" s="579"/>
      <c r="P497" s="580" t="str">
        <f>IF($D497="Logistics",VLOOKUP($O497,'Upper Cask Movement &amp; Logistics'!$C$4:$D$77,2,FALSE),"N/A")</f>
        <v>N/A</v>
      </c>
    </row>
    <row r="498" spans="1:16" s="89" customFormat="1" outlineLevel="1" x14ac:dyDescent="0.35">
      <c r="A498" s="1202"/>
      <c r="B498" s="3972"/>
      <c r="C498" s="572" t="s">
        <v>1415</v>
      </c>
      <c r="D498" s="572" t="s">
        <v>3</v>
      </c>
      <c r="E498" s="574">
        <f t="shared" si="12"/>
        <v>0.68</v>
      </c>
      <c r="F498" s="574">
        <f>IF($D498="Trigger",VLOOKUP($C498,'Upper Cask Welding failures'!$E$318:$H$400,4,FALSE),E498+F497)</f>
        <v>133.07326511366887</v>
      </c>
      <c r="G498" s="575"/>
      <c r="H498" s="576" t="str">
        <f>IF(D498="operation",VLOOKUP(G498,'Generic Vertical Port Tasks'!C458:D518,2,FALSE),"N/A")</f>
        <v>N/A</v>
      </c>
      <c r="I498" s="572"/>
      <c r="J498" s="572"/>
      <c r="K498" s="572"/>
      <c r="L498" s="577" t="str">
        <f>IFERROR(INDEX('Upper Cask Movement &amp; Logistics'!$I$24:$O$30,MATCH($J498,'Upper Cask Movement &amp; Logistics'!$H$24:$H$30,0),MATCH($K498,'Upper Cask Movement &amp; Logistics'!$H$24:$H$30,0)),"N/A")</f>
        <v>N/A</v>
      </c>
      <c r="M498" s="577" t="str">
        <f>IFERROR(VLOOKUP($I498,'Upper Cask Movement &amp; Logistics'!$H$4:$I$8,2,FALSE),"N/A")</f>
        <v>N/A</v>
      </c>
      <c r="N498" s="578" t="str">
        <f t="shared" si="15"/>
        <v>N/A</v>
      </c>
      <c r="O498" s="579" t="s">
        <v>1213</v>
      </c>
      <c r="P498" s="580">
        <f>IF($D498="Logistics",VLOOKUP($O498,'Upper Cask Movement &amp; Logistics'!$C$4:$D$77,2,FALSE),"N/A")</f>
        <v>0.68</v>
      </c>
    </row>
    <row r="499" spans="1:16" s="89" customFormat="1" outlineLevel="1" x14ac:dyDescent="0.35">
      <c r="A499" s="1202"/>
      <c r="B499" s="3972"/>
      <c r="C499" s="572" t="s">
        <v>1366</v>
      </c>
      <c r="D499" s="572" t="s">
        <v>778</v>
      </c>
      <c r="E499" s="574">
        <f t="shared" si="12"/>
        <v>0.69444444444444442</v>
      </c>
      <c r="F499" s="574">
        <f>IF($D499="Trigger",VLOOKUP($C499,'Upper Cask Welding failures'!$E$318:$H$400,4,FALSE),E499+F498)</f>
        <v>133.76770955811332</v>
      </c>
      <c r="G499" s="575"/>
      <c r="H499" s="576" t="str">
        <f>IF(D499="operation",VLOOKUP(G499,'Generic Vertical Port Tasks'!C458:D518,2,FALSE),"N/A")</f>
        <v>N/A</v>
      </c>
      <c r="I499" s="572" t="s">
        <v>1789</v>
      </c>
      <c r="J499" s="572" t="s">
        <v>831</v>
      </c>
      <c r="K499" s="572" t="s">
        <v>901</v>
      </c>
      <c r="L499" s="577">
        <f>IFERROR(INDEX('Upper Cask Movement &amp; Logistics'!$I$24:$O$30,MATCH($J499,'Upper Cask Movement &amp; Logistics'!$H$24:$H$30,0),MATCH($K499,'Upper Cask Movement &amp; Logistics'!$H$24:$H$30,0)),"N/A")</f>
        <v>50</v>
      </c>
      <c r="M499" s="577">
        <f>IFERROR(VLOOKUP($I499,'Upper Cask Movement &amp; Logistics'!$H$4:$I$8,2,FALSE),"N/A")</f>
        <v>0.02</v>
      </c>
      <c r="N499" s="578">
        <f t="shared" si="15"/>
        <v>0.69444444444444442</v>
      </c>
      <c r="O499" s="579"/>
      <c r="P499" s="580" t="str">
        <f>IF($D499="Logistics",VLOOKUP($O499,'Upper Cask Movement &amp; Logistics'!$C$4:$D$77,2,FALSE),"N/A")</f>
        <v>N/A</v>
      </c>
    </row>
    <row r="500" spans="1:16" s="89" customFormat="1" outlineLevel="1" x14ac:dyDescent="0.35">
      <c r="A500" s="1202"/>
      <c r="B500" s="3972"/>
      <c r="C500" s="572" t="s">
        <v>1367</v>
      </c>
      <c r="D500" s="572" t="s">
        <v>3</v>
      </c>
      <c r="E500" s="574">
        <f t="shared" si="12"/>
        <v>1.4000000000000001</v>
      </c>
      <c r="F500" s="574">
        <f>IF($D500="Trigger",VLOOKUP($C500,'Upper Cask Welding failures'!$E$318:$H$400,4,FALSE),E500+F499)</f>
        <v>135.16770955811333</v>
      </c>
      <c r="G500" s="575"/>
      <c r="H500" s="576" t="str">
        <f>IF(D500="operation",VLOOKUP(G500,'Generic Vertical Port Tasks'!C458:D518,2,FALSE),"N/A")</f>
        <v>N/A</v>
      </c>
      <c r="I500" s="572"/>
      <c r="J500" s="572"/>
      <c r="K500" s="572"/>
      <c r="L500" s="577" t="str">
        <f>IFERROR(INDEX('Upper Cask Movement &amp; Logistics'!$I$24:$O$30,MATCH($J500,'Upper Cask Movement &amp; Logistics'!$H$24:$H$30,0),MATCH($K500,'Upper Cask Movement &amp; Logistics'!$H$24:$H$30,0)),"N/A")</f>
        <v>N/A</v>
      </c>
      <c r="M500" s="577" t="str">
        <f>IFERROR(VLOOKUP($I500,'Upper Cask Movement &amp; Logistics'!$H$4:$I$8,2,FALSE),"N/A")</f>
        <v>N/A</v>
      </c>
      <c r="N500" s="578" t="str">
        <f t="shared" si="15"/>
        <v>N/A</v>
      </c>
      <c r="O500" s="579" t="s">
        <v>1277</v>
      </c>
      <c r="P500" s="580">
        <f>IF($D500="Logistics",VLOOKUP($O500,'Upper Cask Movement &amp; Logistics'!$C$4:$D$77,2,FALSE),"N/A")</f>
        <v>1.4000000000000001</v>
      </c>
    </row>
    <row r="501" spans="1:16" s="89" customFormat="1" ht="26.15" outlineLevel="1" thickBot="1" x14ac:dyDescent="0.4">
      <c r="A501" s="1202"/>
      <c r="B501" s="3973"/>
      <c r="C501" s="583" t="s">
        <v>1414</v>
      </c>
      <c r="D501" s="583" t="s">
        <v>11</v>
      </c>
      <c r="E501" s="585">
        <f t="shared" si="12"/>
        <v>0</v>
      </c>
      <c r="F501" s="585">
        <f>IF($D501="Trigger",VLOOKUP($C501,'Upper Cask Welding failures'!$E$318:$H$400,4,FALSE),E501+F500)</f>
        <v>135.16770955811333</v>
      </c>
      <c r="G501" s="586"/>
      <c r="H501" s="587" t="str">
        <f>IF(D501="operation",VLOOKUP(G501,'Generic Vertical Port Tasks'!C458:D518,2,FALSE),"N/A")</f>
        <v>N/A</v>
      </c>
      <c r="I501" s="583"/>
      <c r="J501" s="583"/>
      <c r="K501" s="583"/>
      <c r="L501" s="588" t="str">
        <f>IFERROR(INDEX('Upper Cask Movement &amp; Logistics'!$I$24:$O$30,MATCH($J501,'Upper Cask Movement &amp; Logistics'!$H$24:$H$30,0),MATCH($K501,'Upper Cask Movement &amp; Logistics'!$H$24:$H$30,0)),"N/A")</f>
        <v>N/A</v>
      </c>
      <c r="M501" s="588" t="str">
        <f>IFERROR(VLOOKUP($I501,'Upper Cask Movement &amp; Logistics'!$H$4:$I$8,2,FALSE),"N/A")</f>
        <v>N/A</v>
      </c>
      <c r="N501" s="589" t="str">
        <f t="shared" si="15"/>
        <v>N/A</v>
      </c>
      <c r="O501" s="590"/>
      <c r="P501" s="591" t="str">
        <f>IF($D501="Logistics",VLOOKUP($O501,'Upper Cask Movement &amp; Logistics'!$C$4:$D$77,2,FALSE),"N/A")</f>
        <v>N/A</v>
      </c>
    </row>
    <row r="502" spans="1:16" s="89" customFormat="1" outlineLevel="1" x14ac:dyDescent="0.35">
      <c r="A502" s="1202"/>
      <c r="B502" s="3964" t="s">
        <v>1416</v>
      </c>
      <c r="C502" s="1324" t="s">
        <v>118</v>
      </c>
      <c r="D502" s="1324" t="s">
        <v>907</v>
      </c>
      <c r="E502" s="1291">
        <f t="shared" si="12"/>
        <v>0</v>
      </c>
      <c r="F502" s="1291">
        <f>IF($D502="Trigger",VLOOKUP($C502,'Upper Cask Welding failures'!$E$318:$H$400,4,FALSE),E502+F501)</f>
        <v>168.68951618406089</v>
      </c>
      <c r="G502" s="825"/>
      <c r="H502" s="1323" t="str">
        <f>IF(D502="operation",VLOOKUP(G502,'Generic Vertical Port Tasks'!C465:D525,2,FALSE),"N/A")</f>
        <v>N/A</v>
      </c>
      <c r="I502" s="1324"/>
      <c r="J502" s="1324"/>
      <c r="K502" s="1324"/>
      <c r="L502" s="1325" t="str">
        <f>IFERROR(INDEX('Upper Cask Movement &amp; Logistics'!$I$24:$O$30,MATCH($J502,'Upper Cask Movement &amp; Logistics'!$H$24:$H$30,0),MATCH($K502,'Upper Cask Movement &amp; Logistics'!$H$24:$H$30,0)),"N/A")</f>
        <v>N/A</v>
      </c>
      <c r="M502" s="1325" t="str">
        <f>IFERROR(VLOOKUP($I502,'Upper Cask Movement &amp; Logistics'!$H$4:$I$8,2,FALSE),"N/A")</f>
        <v>N/A</v>
      </c>
      <c r="N502" s="1326" t="str">
        <f t="shared" si="15"/>
        <v>N/A</v>
      </c>
      <c r="O502" s="1327"/>
      <c r="P502" s="824" t="str">
        <f>IF($D502="Logistics",VLOOKUP($O502,'Upper Cask Movement &amp; Logistics'!$C$4:$D$77,2,FALSE),"N/A")</f>
        <v>N/A</v>
      </c>
    </row>
    <row r="503" spans="1:16" s="89" customFormat="1" outlineLevel="1" x14ac:dyDescent="0.35">
      <c r="A503" s="1202"/>
      <c r="B503" s="3969"/>
      <c r="C503" s="1362" t="s">
        <v>1377</v>
      </c>
      <c r="D503" s="1362" t="s">
        <v>3</v>
      </c>
      <c r="E503" s="1363">
        <f t="shared" si="12"/>
        <v>2.3000000000000003</v>
      </c>
      <c r="F503" s="1363">
        <f>IF($D503="Trigger",VLOOKUP($C503,'Upper Cask Welding failures'!$E$318:$H$400,4,FALSE),E503+F502)</f>
        <v>170.9895161840609</v>
      </c>
      <c r="G503" s="1364"/>
      <c r="H503" s="1365" t="str">
        <f>IF(D503="operation",VLOOKUP(G503,'Generic Vertical Port Tasks'!C465:D525,2,FALSE),"N/A")</f>
        <v>N/A</v>
      </c>
      <c r="I503" s="1362"/>
      <c r="J503" s="1362"/>
      <c r="K503" s="1362"/>
      <c r="L503" s="1366" t="str">
        <f>IFERROR(INDEX('Upper Cask Movement &amp; Logistics'!$I$24:$O$30,MATCH($J503,'Upper Cask Movement &amp; Logistics'!$H$24:$H$30,0),MATCH($K503,'Upper Cask Movement &amp; Logistics'!$H$24:$H$30,0)),"N/A")</f>
        <v>N/A</v>
      </c>
      <c r="M503" s="1366" t="str">
        <f>IFERROR(VLOOKUP($I503,'Upper Cask Movement &amp; Logistics'!$H$4:$I$8,2,FALSE),"N/A")</f>
        <v>N/A</v>
      </c>
      <c r="N503" s="1367" t="str">
        <f t="shared" si="15"/>
        <v>N/A</v>
      </c>
      <c r="O503" s="1368" t="s">
        <v>1269</v>
      </c>
      <c r="P503" s="861">
        <f>IF($D503="Logistics",VLOOKUP($O503,'Upper Cask Movement &amp; Logistics'!$C$4:$D$77,2,FALSE),"N/A")</f>
        <v>2.3000000000000003</v>
      </c>
    </row>
    <row r="504" spans="1:16" s="89" customFormat="1" outlineLevel="1" x14ac:dyDescent="0.35">
      <c r="A504" s="1202"/>
      <c r="B504" s="3965"/>
      <c r="C504" s="1294" t="s">
        <v>1402</v>
      </c>
      <c r="D504" s="1294" t="s">
        <v>778</v>
      </c>
      <c r="E504" s="1292">
        <f t="shared" si="12"/>
        <v>0.23148148148148148</v>
      </c>
      <c r="F504" s="1292">
        <f>IF($D504="Trigger",VLOOKUP($C504,'Upper Cask Welding failures'!$E$318:$H$400,4,FALSE),E504+F503)</f>
        <v>171.2209976655424</v>
      </c>
      <c r="G504" s="862"/>
      <c r="H504" s="1328" t="str">
        <f>IF(D504="operation",VLOOKUP(G504,'Generic Vertical Port Tasks'!C465:D525,2,FALSE),"N/A")</f>
        <v>N/A</v>
      </c>
      <c r="I504" s="1294" t="s">
        <v>2501</v>
      </c>
      <c r="J504" s="1294" t="s">
        <v>901</v>
      </c>
      <c r="K504" s="1294" t="s">
        <v>831</v>
      </c>
      <c r="L504" s="1329">
        <f>IFERROR(INDEX('Upper Cask Movement &amp; Logistics'!$I$24:$O$30,MATCH($J504,'Upper Cask Movement &amp; Logistics'!$H$24:$H$30,0),MATCH($K504,'Upper Cask Movement &amp; Logistics'!$H$24:$H$30,0)),"N/A")</f>
        <v>50</v>
      </c>
      <c r="M504" s="1329">
        <f>IFERROR(VLOOKUP($I504,'Upper Cask Movement &amp; Logistics'!$H$4:$I$8,2,FALSE),"N/A")</f>
        <v>0.06</v>
      </c>
      <c r="N504" s="1330">
        <f t="shared" si="15"/>
        <v>0.23148148148148148</v>
      </c>
      <c r="O504" s="1331"/>
      <c r="P504" s="1332" t="str">
        <f>IF($D504="Logistics",VLOOKUP($O504,'Upper Cask Movement &amp; Logistics'!$C$4:$D$77,2,FALSE),"N/A")</f>
        <v>N/A</v>
      </c>
    </row>
    <row r="505" spans="1:16" s="89" customFormat="1" outlineLevel="1" x14ac:dyDescent="0.35">
      <c r="A505" s="1202"/>
      <c r="B505" s="3965"/>
      <c r="C505" s="1294" t="s">
        <v>1415</v>
      </c>
      <c r="D505" s="1294" t="s">
        <v>3</v>
      </c>
      <c r="E505" s="1292">
        <f t="shared" si="12"/>
        <v>0.68</v>
      </c>
      <c r="F505" s="1292">
        <f>IF($D505="Trigger",VLOOKUP($C505,'Upper Cask Welding failures'!$E$318:$H$400,4,FALSE),E505+F504)</f>
        <v>171.90099766554241</v>
      </c>
      <c r="G505" s="862"/>
      <c r="H505" s="1328" t="str">
        <f>IF(D505="operation",VLOOKUP(G505,'Generic Vertical Port Tasks'!C465:D525,2,FALSE),"N/A")</f>
        <v>N/A</v>
      </c>
      <c r="I505" s="1294"/>
      <c r="J505" s="1294"/>
      <c r="K505" s="1294"/>
      <c r="L505" s="1329" t="str">
        <f>IFERROR(INDEX('Upper Cask Movement &amp; Logistics'!$I$24:$O$30,MATCH($J505,'Upper Cask Movement &amp; Logistics'!$H$24:$H$30,0),MATCH($K505,'Upper Cask Movement &amp; Logistics'!$H$24:$H$30,0)),"N/A")</f>
        <v>N/A</v>
      </c>
      <c r="M505" s="1329" t="str">
        <f>IFERROR(VLOOKUP($I505,'Upper Cask Movement &amp; Logistics'!$H$4:$I$8,2,FALSE),"N/A")</f>
        <v>N/A</v>
      </c>
      <c r="N505" s="1330" t="str">
        <f t="shared" si="15"/>
        <v>N/A</v>
      </c>
      <c r="O505" s="1331" t="s">
        <v>1213</v>
      </c>
      <c r="P505" s="1332">
        <f>IF($D505="Logistics",VLOOKUP($O505,'Upper Cask Movement &amp; Logistics'!$C$4:$D$77,2,FALSE),"N/A")</f>
        <v>0.68</v>
      </c>
    </row>
    <row r="506" spans="1:16" s="89" customFormat="1" outlineLevel="1" x14ac:dyDescent="0.35">
      <c r="A506" s="1202"/>
      <c r="B506" s="3965"/>
      <c r="C506" s="1294" t="s">
        <v>1340</v>
      </c>
      <c r="D506" s="1294" t="s">
        <v>778</v>
      </c>
      <c r="E506" s="1292">
        <f t="shared" si="12"/>
        <v>0.69444444444444442</v>
      </c>
      <c r="F506" s="1292">
        <f>IF($D506="Trigger",VLOOKUP($C506,'Upper Cask Welding failures'!$E$318:$H$400,4,FALSE),E506+F505)</f>
        <v>172.59544210998686</v>
      </c>
      <c r="G506" s="862"/>
      <c r="H506" s="1328" t="str">
        <f>IF(D506="operation",VLOOKUP(G506,'Generic Vertical Port Tasks'!C465:D525,2,FALSE),"N/A")</f>
        <v>N/A</v>
      </c>
      <c r="I506" s="1294" t="s">
        <v>1789</v>
      </c>
      <c r="J506" s="1294" t="s">
        <v>831</v>
      </c>
      <c r="K506" s="1294" t="s">
        <v>901</v>
      </c>
      <c r="L506" s="1329">
        <f>IFERROR(INDEX('Upper Cask Movement &amp; Logistics'!$I$24:$O$30,MATCH($J506,'Upper Cask Movement &amp; Logistics'!$H$24:$H$30,0),MATCH($K506,'Upper Cask Movement &amp; Logistics'!$H$24:$H$30,0)),"N/A")</f>
        <v>50</v>
      </c>
      <c r="M506" s="1329">
        <f>IFERROR(VLOOKUP($I506,'Upper Cask Movement &amp; Logistics'!$H$4:$I$8,2,FALSE),"N/A")</f>
        <v>0.02</v>
      </c>
      <c r="N506" s="1330">
        <f t="shared" si="15"/>
        <v>0.69444444444444442</v>
      </c>
      <c r="O506" s="1331"/>
      <c r="P506" s="1332" t="str">
        <f>IF($D506="Logistics",VLOOKUP($O506,'Upper Cask Movement &amp; Logistics'!$C$4:$D$77,2,FALSE),"N/A")</f>
        <v>N/A</v>
      </c>
    </row>
    <row r="507" spans="1:16" s="89" customFormat="1" outlineLevel="1" x14ac:dyDescent="0.35">
      <c r="A507" s="1202"/>
      <c r="B507" s="3965"/>
      <c r="C507" s="1294" t="s">
        <v>1367</v>
      </c>
      <c r="D507" s="1294" t="s">
        <v>3</v>
      </c>
      <c r="E507" s="1292">
        <f t="shared" si="12"/>
        <v>1.4000000000000001</v>
      </c>
      <c r="F507" s="1292">
        <f>IF($D507="Trigger",VLOOKUP($C507,'Upper Cask Welding failures'!$E$318:$H$400,4,FALSE),E507+F506)</f>
        <v>173.99544210998687</v>
      </c>
      <c r="G507" s="862"/>
      <c r="H507" s="1328" t="str">
        <f>IF(D507="operation",VLOOKUP(G507,'Generic Vertical Port Tasks'!C465:D525,2,FALSE),"N/A")</f>
        <v>N/A</v>
      </c>
      <c r="I507" s="1294"/>
      <c r="J507" s="1294"/>
      <c r="K507" s="1294"/>
      <c r="L507" s="1329" t="str">
        <f>IFERROR(INDEX('Upper Cask Movement &amp; Logistics'!$I$24:$O$30,MATCH($J507,'Upper Cask Movement &amp; Logistics'!$H$24:$H$30,0),MATCH($K507,'Upper Cask Movement &amp; Logistics'!$H$24:$H$30,0)),"N/A")</f>
        <v>N/A</v>
      </c>
      <c r="M507" s="1329" t="str">
        <f>IFERROR(VLOOKUP($I507,'Upper Cask Movement &amp; Logistics'!$H$4:$I$8,2,FALSE),"N/A")</f>
        <v>N/A</v>
      </c>
      <c r="N507" s="1330" t="str">
        <f t="shared" si="15"/>
        <v>N/A</v>
      </c>
      <c r="O507" s="1331" t="s">
        <v>1277</v>
      </c>
      <c r="P507" s="1332">
        <f>IF($D507="Logistics",VLOOKUP($O507,'Upper Cask Movement &amp; Logistics'!$C$4:$D$77,2,FALSE),"N/A")</f>
        <v>1.4000000000000001</v>
      </c>
    </row>
    <row r="508" spans="1:16" s="89" customFormat="1" ht="26.15" outlineLevel="1" thickBot="1" x14ac:dyDescent="0.4">
      <c r="A508" s="1202"/>
      <c r="B508" s="3966"/>
      <c r="C508" s="1340" t="s">
        <v>1416</v>
      </c>
      <c r="D508" s="1340" t="s">
        <v>11</v>
      </c>
      <c r="E508" s="1295">
        <f t="shared" si="12"/>
        <v>0</v>
      </c>
      <c r="F508" s="1295">
        <f>IF($D508="Trigger",VLOOKUP($C508,'Upper Cask Welding failures'!$E$318:$H$400,4,FALSE),E508+F507)</f>
        <v>173.99544210998687</v>
      </c>
      <c r="G508" s="839"/>
      <c r="H508" s="1341" t="str">
        <f>IF(D508="operation",VLOOKUP(G508,'Generic Vertical Port Tasks'!C465:D525,2,FALSE),"N/A")</f>
        <v>N/A</v>
      </c>
      <c r="I508" s="1340"/>
      <c r="J508" s="1340"/>
      <c r="K508" s="1340"/>
      <c r="L508" s="1342" t="str">
        <f>IFERROR(INDEX('Upper Cask Movement &amp; Logistics'!$I$24:$O$30,MATCH($J508,'Upper Cask Movement &amp; Logistics'!$H$24:$H$30,0),MATCH($K508,'Upper Cask Movement &amp; Logistics'!$H$24:$H$30,0)),"N/A")</f>
        <v>N/A</v>
      </c>
      <c r="M508" s="1342" t="str">
        <f>IFERROR(VLOOKUP($I508,'Upper Cask Movement &amp; Logistics'!$H$4:$I$8,2,FALSE),"N/A")</f>
        <v>N/A</v>
      </c>
      <c r="N508" s="1343" t="str">
        <f t="shared" si="15"/>
        <v>N/A</v>
      </c>
      <c r="O508" s="1344"/>
      <c r="P508" s="1345" t="str">
        <f>IF($D508="Logistics",VLOOKUP($O508,'Upper Cask Movement &amp; Logistics'!$C$4:$D$77,2,FALSE),"N/A")</f>
        <v>N/A</v>
      </c>
    </row>
    <row r="509" spans="1:16" ht="12.75" customHeight="1" outlineLevel="1" thickBot="1" x14ac:dyDescent="0.45">
      <c r="A509" s="1202"/>
      <c r="B509" s="4001" t="s">
        <v>1087</v>
      </c>
      <c r="C509" s="566" t="s">
        <v>1181</v>
      </c>
      <c r="D509" s="566" t="s">
        <v>907</v>
      </c>
      <c r="E509" s="1175">
        <f>MAX($P509,$N509,$H509)</f>
        <v>0</v>
      </c>
      <c r="F509" s="621">
        <f>IF($D509="Trigger",VLOOKUP("*"&amp;$C509&amp;"*",'Upper Cask Welding failures'!$E$46:$H$564,4,FALSE),E509+F508)</f>
        <v>0</v>
      </c>
      <c r="G509" s="568"/>
      <c r="H509" s="621" t="str">
        <f>IF(D509="operation",VLOOKUP(G509,'Upper Hot Cell Welding failures'!E548:I625,5,FALSE), "N/A")</f>
        <v>N/A</v>
      </c>
      <c r="I509" s="566"/>
      <c r="J509" s="566"/>
      <c r="K509" s="566"/>
      <c r="L509" s="1175" t="str">
        <f>IFERROR(INDEX(#REF!,MATCH($J509,#REF!,0),MATCH($K509,#REF!,0)),"N/A")</f>
        <v>N/A</v>
      </c>
      <c r="M509" s="1175" t="str">
        <f>IFERROR(VLOOKUP($I509,#REF!,2,FALSE),"N/A")</f>
        <v>N/A</v>
      </c>
      <c r="N509" s="1175" t="str">
        <f t="shared" si="15"/>
        <v>N/A</v>
      </c>
      <c r="O509" s="620"/>
      <c r="P509" s="621" t="str">
        <f>IF($D509="Logistics",VLOOKUP($O509,#REF!,2,FALSE),"N/A")</f>
        <v>N/A</v>
      </c>
    </row>
    <row r="510" spans="1:16" ht="12.75" customHeight="1" outlineLevel="1" x14ac:dyDescent="0.4">
      <c r="A510" s="1202"/>
      <c r="B510" s="4002"/>
      <c r="C510" s="573" t="s">
        <v>1182</v>
      </c>
      <c r="D510" s="573" t="s">
        <v>251</v>
      </c>
      <c r="E510" s="1176" t="e">
        <f t="shared" ref="E510:E517" si="16">MAX($P510,$N510,$H510)</f>
        <v>#REF!</v>
      </c>
      <c r="F510" s="580" t="e">
        <f>IF($D510="Trigger",VLOOKUP("*"&amp;$C510&amp;"*",'Upper Cask Welding failures'!$E$46:$H$564,4,FALSE),E510+F509)</f>
        <v>#REF!</v>
      </c>
      <c r="G510" s="575" t="s">
        <v>1183</v>
      </c>
      <c r="H510" s="621" t="e">
        <f>IF(D510="operation",VLOOKUP(G510,#REF!,4,FALSE), "N/A")</f>
        <v>#REF!</v>
      </c>
      <c r="I510" s="573"/>
      <c r="J510" s="573"/>
      <c r="K510" s="573"/>
      <c r="L510" s="1176" t="str">
        <f>IFERROR(INDEX(#REF!,MATCH($J510,#REF!,0),MATCH($K510,#REF!,0)),"N/A")</f>
        <v>N/A</v>
      </c>
      <c r="M510" s="1176" t="str">
        <f>IFERROR(VLOOKUP($I510,#REF!,2,FALSE),"N/A")</f>
        <v>N/A</v>
      </c>
      <c r="N510" s="1176" t="str">
        <f t="shared" si="15"/>
        <v>N/A</v>
      </c>
      <c r="O510" s="579"/>
      <c r="P510" s="580" t="str">
        <f>IF($D510="Logistics",VLOOKUP($O510,#REF!,2,FALSE),"N/A")</f>
        <v>N/A</v>
      </c>
    </row>
    <row r="511" spans="1:16" ht="13.5" customHeight="1" outlineLevel="1" thickBot="1" x14ac:dyDescent="0.45">
      <c r="A511" s="1202"/>
      <c r="B511" s="4003"/>
      <c r="C511" s="584" t="str">
        <f>B509</f>
        <v>RIB Lower Port Pipe Module installed</v>
      </c>
      <c r="D511" s="584" t="s">
        <v>11</v>
      </c>
      <c r="E511" s="1179">
        <f t="shared" si="16"/>
        <v>0</v>
      </c>
      <c r="F511" s="591" t="e">
        <f>IF($D511="Trigger",VLOOKUP("*"&amp;$C511&amp;"*",'Upper Cask Welding failures'!$E$46:$H$564,4,FALSE),E511+F510)</f>
        <v>#REF!</v>
      </c>
      <c r="G511" s="586"/>
      <c r="H511" s="591" t="str">
        <f>IF(D511="operation",VLOOKUP(G511,#REF!,5,FALSE), "N/A")</f>
        <v>N/A</v>
      </c>
      <c r="I511" s="584"/>
      <c r="J511" s="584"/>
      <c r="K511" s="584"/>
      <c r="L511" s="1179" t="str">
        <f>IFERROR(INDEX(#REF!,MATCH($J511,#REF!,0),MATCH($K511,#REF!,0)),"N/A")</f>
        <v>N/A</v>
      </c>
      <c r="M511" s="1179" t="str">
        <f>IFERROR(VLOOKUP($I511,#REF!,2,FALSE),"N/A")</f>
        <v>N/A</v>
      </c>
      <c r="N511" s="1179" t="str">
        <f t="shared" si="15"/>
        <v>N/A</v>
      </c>
      <c r="O511" s="590"/>
      <c r="P511" s="591" t="str">
        <f>IF($D511="Logistics",VLOOKUP($O511,#REF!,2,FALSE),"N/A")</f>
        <v>N/A</v>
      </c>
    </row>
    <row r="512" spans="1:16" ht="12.75" customHeight="1" outlineLevel="1" thickBot="1" x14ac:dyDescent="0.45">
      <c r="A512" s="1202"/>
      <c r="B512" s="4001" t="s">
        <v>1090</v>
      </c>
      <c r="C512" s="566" t="s">
        <v>1181</v>
      </c>
      <c r="D512" s="566" t="s">
        <v>907</v>
      </c>
      <c r="E512" s="1175">
        <f t="shared" si="16"/>
        <v>0</v>
      </c>
      <c r="F512" s="621">
        <f>IF($D512="Trigger",VLOOKUP("*"&amp;$C512&amp;"*",'Upper Cask Welding failures'!$E$46:$H$564,4,FALSE),E512+F511)</f>
        <v>0</v>
      </c>
      <c r="G512" s="568"/>
      <c r="H512" s="621" t="str">
        <f>IF(D512="operation",VLOOKUP(G512,'Upper Hot Cell Welding failures'!E551:I628,5,FALSE), "N/A")</f>
        <v>N/A</v>
      </c>
      <c r="I512" s="566"/>
      <c r="J512" s="566"/>
      <c r="K512" s="566"/>
      <c r="L512" s="1175" t="str">
        <f>IFERROR(INDEX(#REF!,MATCH($J512,#REF!,0),MATCH($K512,#REF!,0)),"N/A")</f>
        <v>N/A</v>
      </c>
      <c r="M512" s="1175" t="str">
        <f>IFERROR(VLOOKUP($I512,#REF!,2,FALSE),"N/A")</f>
        <v>N/A</v>
      </c>
      <c r="N512" s="1175" t="str">
        <f t="shared" si="15"/>
        <v>N/A</v>
      </c>
      <c r="O512" s="620"/>
      <c r="P512" s="621" t="str">
        <f>IF($D512="Logistics",VLOOKUP($O512,#REF!,2,FALSE),"N/A")</f>
        <v>N/A</v>
      </c>
    </row>
    <row r="513" spans="1:16" ht="12.75" customHeight="1" outlineLevel="1" x14ac:dyDescent="0.4">
      <c r="A513" s="1202"/>
      <c r="B513" s="4002"/>
      <c r="C513" s="573" t="s">
        <v>1182</v>
      </c>
      <c r="D513" s="573" t="s">
        <v>251</v>
      </c>
      <c r="E513" s="1176" t="e">
        <f t="shared" si="16"/>
        <v>#REF!</v>
      </c>
      <c r="F513" s="580" t="e">
        <f>IF($D513="Trigger",VLOOKUP("*"&amp;$C513&amp;"*",'Upper Cask Welding failures'!$E$46:$H$564,4,FALSE),E513+F512)</f>
        <v>#REF!</v>
      </c>
      <c r="G513" s="575" t="s">
        <v>1184</v>
      </c>
      <c r="H513" s="621" t="e">
        <f>IF(D513="operation",VLOOKUP(G513,#REF!,4,FALSE), "N/A")</f>
        <v>#REF!</v>
      </c>
      <c r="I513" s="573"/>
      <c r="J513" s="573"/>
      <c r="K513" s="573"/>
      <c r="L513" s="1176" t="str">
        <f>IFERROR(INDEX(#REF!,MATCH($J513,#REF!,0),MATCH($K513,#REF!,0)),"N/A")</f>
        <v>N/A</v>
      </c>
      <c r="M513" s="1176" t="str">
        <f>IFERROR(VLOOKUP($I513,#REF!,2,FALSE),"N/A")</f>
        <v>N/A</v>
      </c>
      <c r="N513" s="1176" t="str">
        <f t="shared" si="15"/>
        <v>N/A</v>
      </c>
      <c r="O513" s="579"/>
      <c r="P513" s="580" t="str">
        <f>IF($D513="Logistics",VLOOKUP($O513,#REF!,2,FALSE),"N/A")</f>
        <v>N/A</v>
      </c>
    </row>
    <row r="514" spans="1:16" ht="13.5" customHeight="1" outlineLevel="1" thickBot="1" x14ac:dyDescent="0.45">
      <c r="A514" s="1202"/>
      <c r="B514" s="4003"/>
      <c r="C514" s="584" t="str">
        <f>B512</f>
        <v>LIB Lower Port Pipe Module installed</v>
      </c>
      <c r="D514" s="584" t="s">
        <v>11</v>
      </c>
      <c r="E514" s="1179">
        <f t="shared" si="16"/>
        <v>0</v>
      </c>
      <c r="F514" s="591" t="e">
        <f>IF($D514="Trigger",VLOOKUP("*"&amp;$C514&amp;"*",'Upper Cask Welding failures'!$E$46:$H$564,4,FALSE),E514+F513)</f>
        <v>#REF!</v>
      </c>
      <c r="G514" s="586"/>
      <c r="H514" s="591" t="str">
        <f>IF(D514="operation",VLOOKUP(G514,#REF!,5,FALSE), "N/A")</f>
        <v>N/A</v>
      </c>
      <c r="I514" s="584"/>
      <c r="J514" s="584"/>
      <c r="K514" s="584"/>
      <c r="L514" s="1179" t="str">
        <f>IFERROR(INDEX(#REF!,MATCH($J514,#REF!,0),MATCH($K514,#REF!,0)),"N/A")</f>
        <v>N/A</v>
      </c>
      <c r="M514" s="1179" t="str">
        <f>IFERROR(VLOOKUP($I514,#REF!,2,FALSE),"N/A")</f>
        <v>N/A</v>
      </c>
      <c r="N514" s="1179" t="str">
        <f t="shared" si="15"/>
        <v>N/A</v>
      </c>
      <c r="O514" s="590"/>
      <c r="P514" s="591" t="str">
        <f>IF($D514="Logistics",VLOOKUP($O514,#REF!,2,FALSE),"N/A")</f>
        <v>N/A</v>
      </c>
    </row>
    <row r="515" spans="1:16" ht="12.75" customHeight="1" outlineLevel="1" thickBot="1" x14ac:dyDescent="0.45">
      <c r="A515" s="1202"/>
      <c r="B515" s="4001" t="s">
        <v>1093</v>
      </c>
      <c r="C515" s="566" t="s">
        <v>1181</v>
      </c>
      <c r="D515" s="566" t="s">
        <v>907</v>
      </c>
      <c r="E515" s="1175">
        <f t="shared" si="16"/>
        <v>0</v>
      </c>
      <c r="F515" s="621">
        <f>IF($D515="Trigger",VLOOKUP("*"&amp;$C515&amp;"*",'Upper Cask Welding failures'!$E$46:$H$564,4,FALSE),E515+F514)</f>
        <v>0</v>
      </c>
      <c r="G515" s="568"/>
      <c r="H515" s="621" t="str">
        <f>IF(D515="operation",VLOOKUP(G515,'Upper Hot Cell Welding failures'!E554:I631,5,FALSE), "N/A")</f>
        <v>N/A</v>
      </c>
      <c r="I515" s="566"/>
      <c r="J515" s="566"/>
      <c r="K515" s="566"/>
      <c r="L515" s="1175" t="str">
        <f>IFERROR(INDEX(#REF!,MATCH($J515,#REF!,0),MATCH($K515,#REF!,0)),"N/A")</f>
        <v>N/A</v>
      </c>
      <c r="M515" s="1175" t="str">
        <f>IFERROR(VLOOKUP($I515,#REF!,2,FALSE),"N/A")</f>
        <v>N/A</v>
      </c>
      <c r="N515" s="1175" t="str">
        <f t="shared" si="15"/>
        <v>N/A</v>
      </c>
      <c r="O515" s="620"/>
      <c r="P515" s="621" t="str">
        <f>IF($D515="Logistics",VLOOKUP($O515,#REF!,2,FALSE),"N/A")</f>
        <v>N/A</v>
      </c>
    </row>
    <row r="516" spans="1:16" ht="12.75" customHeight="1" outlineLevel="1" x14ac:dyDescent="0.4">
      <c r="A516" s="1202"/>
      <c r="B516" s="4002"/>
      <c r="C516" s="573" t="s">
        <v>1182</v>
      </c>
      <c r="D516" s="573" t="s">
        <v>251</v>
      </c>
      <c r="E516" s="1176" t="e">
        <f t="shared" si="16"/>
        <v>#REF!</v>
      </c>
      <c r="F516" s="580" t="e">
        <f>IF($D516="Trigger",VLOOKUP("*"&amp;$C516&amp;"*",'Upper Cask Welding failures'!$E$46:$H$564,4,FALSE),E516+F515)</f>
        <v>#REF!</v>
      </c>
      <c r="G516" s="575" t="s">
        <v>1185</v>
      </c>
      <c r="H516" s="621" t="e">
        <f>IF(D516="operation",VLOOKUP(G516,#REF!,4,FALSE), "N/A")</f>
        <v>#REF!</v>
      </c>
      <c r="I516" s="573"/>
      <c r="J516" s="573"/>
      <c r="K516" s="573"/>
      <c r="L516" s="1176" t="str">
        <f>IFERROR(INDEX(#REF!,MATCH($J516,#REF!,0),MATCH($K516,#REF!,0)),"N/A")</f>
        <v>N/A</v>
      </c>
      <c r="M516" s="1176" t="str">
        <f>IFERROR(VLOOKUP($I516,#REF!,2,FALSE),"N/A")</f>
        <v>N/A</v>
      </c>
      <c r="N516" s="1176" t="str">
        <f t="shared" si="15"/>
        <v>N/A</v>
      </c>
      <c r="O516" s="579"/>
      <c r="P516" s="580" t="str">
        <f>IF($D516="Logistics",VLOOKUP($O516,#REF!,2,FALSE),"N/A")</f>
        <v>N/A</v>
      </c>
    </row>
    <row r="517" spans="1:16" ht="13.5" customHeight="1" outlineLevel="1" thickBot="1" x14ac:dyDescent="0.45">
      <c r="A517" s="1202"/>
      <c r="B517" s="4003"/>
      <c r="C517" s="584" t="str">
        <f>B515</f>
        <v>ROB Lower Port Pipe Module installed</v>
      </c>
      <c r="D517" s="584" t="s">
        <v>11</v>
      </c>
      <c r="E517" s="1179">
        <f t="shared" si="16"/>
        <v>0</v>
      </c>
      <c r="F517" s="591" t="e">
        <f>IF($D517="Trigger",VLOOKUP("*"&amp;$C517&amp;"*",'Upper Cask Welding failures'!$E$46:$H$564,4,FALSE),E517+F516)</f>
        <v>#REF!</v>
      </c>
      <c r="G517" s="586"/>
      <c r="H517" s="591" t="str">
        <f>IF(D517="operation",VLOOKUP(G517,#REF!,5,FALSE), "N/A")</f>
        <v>N/A</v>
      </c>
      <c r="I517" s="584"/>
      <c r="J517" s="584"/>
      <c r="K517" s="584"/>
      <c r="L517" s="1179" t="str">
        <f>IFERROR(INDEX(#REF!,MATCH($J517,#REF!,0),MATCH($K517,#REF!,0)),"N/A")</f>
        <v>N/A</v>
      </c>
      <c r="M517" s="1179" t="str">
        <f>IFERROR(VLOOKUP($I517,#REF!,2,FALSE),"N/A")</f>
        <v>N/A</v>
      </c>
      <c r="N517" s="1179" t="str">
        <f t="shared" si="15"/>
        <v>N/A</v>
      </c>
      <c r="O517" s="590"/>
      <c r="P517" s="591" t="str">
        <f>IF($D517="Logistics",VLOOKUP($O517,#REF!,2,FALSE),"N/A")</f>
        <v>N/A</v>
      </c>
    </row>
    <row r="518" spans="1:16" ht="13.3" thickBot="1" x14ac:dyDescent="0.45">
      <c r="A518" s="1206"/>
      <c r="B518" s="1558"/>
      <c r="C518" s="1207"/>
      <c r="D518" s="1207"/>
      <c r="E518" s="1207"/>
      <c r="F518" s="1207"/>
      <c r="G518" s="1207"/>
      <c r="H518" s="1559"/>
      <c r="I518" s="1207"/>
      <c r="J518" s="1207"/>
      <c r="K518" s="1207"/>
      <c r="L518" s="1208"/>
      <c r="M518" s="1208"/>
      <c r="N518" s="1208"/>
      <c r="O518" s="1207"/>
      <c r="P518" s="1209"/>
    </row>
    <row r="519" spans="1:16" x14ac:dyDescent="0.4">
      <c r="A519" s="1210"/>
      <c r="B519" s="1211" t="s">
        <v>1196</v>
      </c>
      <c r="C519" s="1211"/>
      <c r="D519" s="1211"/>
      <c r="E519" s="1211"/>
      <c r="F519" s="1211"/>
      <c r="G519" s="1211"/>
      <c r="H519" s="1211"/>
      <c r="I519" s="1211"/>
      <c r="J519" s="1211"/>
      <c r="K519" s="1211"/>
      <c r="L519" s="1211"/>
      <c r="M519" s="1211"/>
      <c r="N519" s="1211"/>
      <c r="O519" s="1211"/>
      <c r="P519" s="1212"/>
    </row>
    <row r="520" spans="1:16" ht="13.3" outlineLevel="1" thickBot="1" x14ac:dyDescent="0.45">
      <c r="A520" s="1213"/>
      <c r="B520" s="1560"/>
      <c r="C520" s="1214"/>
      <c r="D520" s="1214"/>
      <c r="E520" s="1214"/>
      <c r="F520" s="1214"/>
      <c r="G520" s="1214"/>
      <c r="H520" s="1561"/>
      <c r="I520" s="1214"/>
      <c r="J520" s="1214"/>
      <c r="K520" s="1214"/>
      <c r="L520" s="1215"/>
      <c r="M520" s="1215"/>
      <c r="N520" s="1215"/>
      <c r="O520" s="1214"/>
      <c r="P520" s="1216"/>
    </row>
    <row r="521" spans="1:16" s="89" customFormat="1" outlineLevel="1" x14ac:dyDescent="0.35">
      <c r="A521" s="1213"/>
      <c r="B521" s="3964" t="s">
        <v>1376</v>
      </c>
      <c r="C521" s="1324" t="s">
        <v>129</v>
      </c>
      <c r="D521" s="1324" t="s">
        <v>907</v>
      </c>
      <c r="E521" s="1291">
        <f t="shared" ref="E521:E614" si="17">MAX($P521,$N521,$H521)</f>
        <v>0</v>
      </c>
      <c r="F521" s="1291">
        <f>IF($D521="Trigger",VLOOKUP($C521,'Upper Cask Welding failures'!$E$424:$H$492,4,FALSE),E521+F520)</f>
        <v>11.554831063433541</v>
      </c>
      <c r="G521" s="825"/>
      <c r="H521" s="1323" t="str">
        <f>IF(D521="operation",VLOOKUP(G521,'Generic Vertical Port Tasks'!C461:D520,2,FALSE),"N/A")</f>
        <v>N/A</v>
      </c>
      <c r="I521" s="1324"/>
      <c r="J521" s="1324"/>
      <c r="K521" s="1324"/>
      <c r="L521" s="1325" t="str">
        <f>IFERROR(INDEX('Upper Cask Movement &amp; Logistics'!$I$24:$O$30,MATCH($J521,'Upper Cask Movement &amp; Logistics'!$H$24:$H$30,0),MATCH($K521,'Upper Cask Movement &amp; Logistics'!$H$24:$H$30,0)),"N/A")</f>
        <v>N/A</v>
      </c>
      <c r="M521" s="1325" t="str">
        <f>IFERROR(VLOOKUP($I521,'Upper Cask Movement &amp; Logistics'!$H$4:$I$8,2,FALSE),"N/A")</f>
        <v>N/A</v>
      </c>
      <c r="N521" s="1326" t="str">
        <f t="shared" ref="N521:N581" si="18">IF(D521="Movement",IFERROR((L521/M521)/(60*60),"Error"),"N/A")</f>
        <v>N/A</v>
      </c>
      <c r="O521" s="1327"/>
      <c r="P521" s="824" t="str">
        <f>IF($D521="Logistics",VLOOKUP($O521,'Upper Cask Movement &amp; Logistics'!$C$4:$D$77,2,FALSE),"N/A")</f>
        <v>N/A</v>
      </c>
    </row>
    <row r="522" spans="1:16" s="89" customFormat="1" outlineLevel="1" x14ac:dyDescent="0.35">
      <c r="A522" s="1213"/>
      <c r="B522" s="3969"/>
      <c r="C522" s="1362" t="s">
        <v>1377</v>
      </c>
      <c r="D522" s="1362" t="s">
        <v>3</v>
      </c>
      <c r="E522" s="1363">
        <f t="shared" si="17"/>
        <v>2.3000000000000003</v>
      </c>
      <c r="F522" s="1363">
        <f>IF($D522="Trigger",VLOOKUP($C522,'Upper Cask Welding failures'!$E$424:$H$492,4,FALSE),E522+F521)</f>
        <v>13.854831063433542</v>
      </c>
      <c r="G522" s="1364"/>
      <c r="H522" s="1365" t="str">
        <f>IF(D522="operation",VLOOKUP(G522,'Generic Vertical Port Tasks'!C461:D520,2,FALSE),"N/A")</f>
        <v>N/A</v>
      </c>
      <c r="I522" s="1362"/>
      <c r="J522" s="1362"/>
      <c r="K522" s="1362"/>
      <c r="L522" s="1366" t="str">
        <f>IFERROR(INDEX('Upper Cask Movement &amp; Logistics'!$I$24:$O$30,MATCH($J522,'Upper Cask Movement &amp; Logistics'!$H$24:$H$30,0),MATCH($K522,'Upper Cask Movement &amp; Logistics'!$H$24:$H$30,0)),"N/A")</f>
        <v>N/A</v>
      </c>
      <c r="M522" s="1366" t="str">
        <f>IFERROR(VLOOKUP($I522,'Upper Cask Movement &amp; Logistics'!$H$4:$I$8,2,FALSE),"N/A")</f>
        <v>N/A</v>
      </c>
      <c r="N522" s="1367" t="str">
        <f t="shared" si="18"/>
        <v>N/A</v>
      </c>
      <c r="O522" s="1368" t="s">
        <v>1269</v>
      </c>
      <c r="P522" s="861">
        <f>IF($D522="Logistics",VLOOKUP($O522,'Upper Cask Movement &amp; Logistics'!$C$4:$D$77,2,FALSE),"N/A")</f>
        <v>2.3000000000000003</v>
      </c>
    </row>
    <row r="523" spans="1:16" s="89" customFormat="1" outlineLevel="1" x14ac:dyDescent="0.35">
      <c r="A523" s="1213"/>
      <c r="B523" s="3965"/>
      <c r="C523" s="1294" t="s">
        <v>1370</v>
      </c>
      <c r="D523" s="1294" t="s">
        <v>778</v>
      </c>
      <c r="E523" s="1292">
        <f t="shared" si="17"/>
        <v>0.69444444444444442</v>
      </c>
      <c r="F523" s="1292">
        <f>IF($D523="Trigger",VLOOKUP($C523,'Upper Cask Welding failures'!$E$424:$H$492,4,FALSE),E523+F522)</f>
        <v>14.549275507877987</v>
      </c>
      <c r="G523" s="862"/>
      <c r="H523" s="1328" t="str">
        <f>IF(D523="operation",VLOOKUP(G523,'Generic Vertical Port Tasks'!C461:D520,2,FALSE),"N/A")</f>
        <v>N/A</v>
      </c>
      <c r="I523" s="1294" t="s">
        <v>1789</v>
      </c>
      <c r="J523" s="1294" t="s">
        <v>901</v>
      </c>
      <c r="K523" s="1294" t="s">
        <v>831</v>
      </c>
      <c r="L523" s="1329">
        <f>IFERROR(INDEX('Upper Cask Movement &amp; Logistics'!$I$24:$O$30,MATCH($J523,'Upper Cask Movement &amp; Logistics'!$H$24:$H$30,0),MATCH($K523,'Upper Cask Movement &amp; Logistics'!$H$24:$H$30,0)),"N/A")</f>
        <v>50</v>
      </c>
      <c r="M523" s="1329">
        <f>IFERROR(VLOOKUP($I523,'Upper Cask Movement &amp; Logistics'!$H$4:$I$8,2,FALSE),"N/A")</f>
        <v>0.02</v>
      </c>
      <c r="N523" s="1330">
        <f t="shared" si="18"/>
        <v>0.69444444444444442</v>
      </c>
      <c r="O523" s="1331"/>
      <c r="P523" s="1332" t="str">
        <f>IF($D523="Logistics",VLOOKUP($O523,'Upper Cask Movement &amp; Logistics'!$C$4:$D$77,2,FALSE),"N/A")</f>
        <v>N/A</v>
      </c>
    </row>
    <row r="524" spans="1:16" s="89" customFormat="1" outlineLevel="1" x14ac:dyDescent="0.35">
      <c r="A524" s="1213"/>
      <c r="B524" s="3965"/>
      <c r="C524" s="1294" t="s">
        <v>1378</v>
      </c>
      <c r="D524" s="1294" t="s">
        <v>3</v>
      </c>
      <c r="E524" s="1292">
        <f t="shared" si="17"/>
        <v>0.68</v>
      </c>
      <c r="F524" s="1292">
        <f>IF($D524="Trigger",VLOOKUP($C524,'Upper Cask Welding failures'!$E$424:$H$492,4,FALSE),E524+F523)</f>
        <v>15.229275507877986</v>
      </c>
      <c r="G524" s="862"/>
      <c r="H524" s="1328" t="str">
        <f>IF(D524="operation",VLOOKUP(G524,'Generic Vertical Port Tasks'!C461:D520,2,FALSE),"N/A")</f>
        <v>N/A</v>
      </c>
      <c r="I524" s="1294"/>
      <c r="J524" s="1294"/>
      <c r="K524" s="1294"/>
      <c r="L524" s="1329" t="str">
        <f>IFERROR(INDEX('Upper Cask Movement &amp; Logistics'!$I$24:$O$30,MATCH($J524,'Upper Cask Movement &amp; Logistics'!$H$24:$H$30,0),MATCH($K524,'Upper Cask Movement &amp; Logistics'!$H$24:$H$30,0)),"N/A")</f>
        <v>N/A</v>
      </c>
      <c r="M524" s="1329" t="str">
        <f>IFERROR(VLOOKUP($I524,'Upper Cask Movement &amp; Logistics'!$H$4:$I$8,2,FALSE),"N/A")</f>
        <v>N/A</v>
      </c>
      <c r="N524" s="1330" t="str">
        <f t="shared" si="18"/>
        <v>N/A</v>
      </c>
      <c r="O524" s="1331" t="s">
        <v>1213</v>
      </c>
      <c r="P524" s="1332">
        <f>IF($D524="Logistics",VLOOKUP($O524,'Upper Cask Movement &amp; Logistics'!$C$4:$D$77,2,FALSE),"N/A")</f>
        <v>0.68</v>
      </c>
    </row>
    <row r="525" spans="1:16" s="89" customFormat="1" outlineLevel="1" x14ac:dyDescent="0.35">
      <c r="A525" s="1213"/>
      <c r="B525" s="3965"/>
      <c r="C525" s="1294" t="s">
        <v>1366</v>
      </c>
      <c r="D525" s="1294" t="s">
        <v>778</v>
      </c>
      <c r="E525" s="1292">
        <f t="shared" si="17"/>
        <v>0.23148148148148148</v>
      </c>
      <c r="F525" s="1292">
        <f>IF($D525="Trigger",VLOOKUP($C525,'Upper Cask Welding failures'!$E$424:$H$492,4,FALSE),E525+F524)</f>
        <v>15.460756989359467</v>
      </c>
      <c r="G525" s="862"/>
      <c r="H525" s="1328" t="str">
        <f>IF(D525="operation",VLOOKUP(G525,'Generic Vertical Port Tasks'!C461:D520,2,FALSE),"N/A")</f>
        <v>N/A</v>
      </c>
      <c r="I525" s="1294" t="s">
        <v>2501</v>
      </c>
      <c r="J525" s="1294" t="s">
        <v>831</v>
      </c>
      <c r="K525" s="1294" t="s">
        <v>901</v>
      </c>
      <c r="L525" s="1329">
        <f>IFERROR(INDEX('Upper Cask Movement &amp; Logistics'!$I$24:$O$30,MATCH($J525,'Upper Cask Movement &amp; Logistics'!$H$24:$H$30,0),MATCH($K525,'Upper Cask Movement &amp; Logistics'!$H$24:$H$30,0)),"N/A")</f>
        <v>50</v>
      </c>
      <c r="M525" s="1329">
        <f>IFERROR(VLOOKUP($I525,'Upper Cask Movement &amp; Logistics'!$H$4:$I$8,2,FALSE),"N/A")</f>
        <v>0.06</v>
      </c>
      <c r="N525" s="1330">
        <f t="shared" si="18"/>
        <v>0.23148148148148148</v>
      </c>
      <c r="O525" s="1331"/>
      <c r="P525" s="1332" t="str">
        <f>IF($D525="Logistics",VLOOKUP($O525,'Upper Cask Movement &amp; Logistics'!$C$4:$D$77,2,FALSE),"N/A")</f>
        <v>N/A</v>
      </c>
    </row>
    <row r="526" spans="1:16" s="89" customFormat="1" outlineLevel="1" x14ac:dyDescent="0.35">
      <c r="A526" s="1213"/>
      <c r="B526" s="3965"/>
      <c r="C526" s="1294" t="s">
        <v>1367</v>
      </c>
      <c r="D526" s="1294" t="s">
        <v>3</v>
      </c>
      <c r="E526" s="1292">
        <f t="shared" si="17"/>
        <v>1.4000000000000001</v>
      </c>
      <c r="F526" s="1292">
        <f>IF($D526="Trigger",VLOOKUP($C526,'Upper Cask Welding failures'!$E$424:$H$492,4,FALSE),E526+F525)</f>
        <v>16.860756989359466</v>
      </c>
      <c r="G526" s="862"/>
      <c r="H526" s="1328" t="str">
        <f>IF(D526="operation",VLOOKUP(G526,'Generic Vertical Port Tasks'!C461:D520,2,FALSE),"N/A")</f>
        <v>N/A</v>
      </c>
      <c r="I526" s="1294"/>
      <c r="J526" s="1294"/>
      <c r="K526" s="1294"/>
      <c r="L526" s="1329" t="str">
        <f>IFERROR(INDEX('Upper Cask Movement &amp; Logistics'!$I$24:$O$30,MATCH($J526,'Upper Cask Movement &amp; Logistics'!$H$24:$H$30,0),MATCH($K526,'Upper Cask Movement &amp; Logistics'!$H$24:$H$30,0)),"N/A")</f>
        <v>N/A</v>
      </c>
      <c r="M526" s="1329" t="str">
        <f>IFERROR(VLOOKUP($I526,'Upper Cask Movement &amp; Logistics'!$H$4:$I$8,2,FALSE),"N/A")</f>
        <v>N/A</v>
      </c>
      <c r="N526" s="1330" t="str">
        <f t="shared" si="18"/>
        <v>N/A</v>
      </c>
      <c r="O526" s="1331" t="s">
        <v>1277</v>
      </c>
      <c r="P526" s="1332">
        <f>IF($D526="Logistics",VLOOKUP($O526,'Upper Cask Movement &amp; Logistics'!$C$4:$D$77,2,FALSE),"N/A")</f>
        <v>1.4000000000000001</v>
      </c>
    </row>
    <row r="527" spans="1:16" s="89" customFormat="1" ht="13.3" outlineLevel="1" thickBot="1" x14ac:dyDescent="0.4">
      <c r="A527" s="1213"/>
      <c r="B527" s="3966"/>
      <c r="C527" s="1340" t="s">
        <v>1376</v>
      </c>
      <c r="D527" s="1340" t="s">
        <v>11</v>
      </c>
      <c r="E527" s="1295">
        <f t="shared" si="17"/>
        <v>0</v>
      </c>
      <c r="F527" s="1295">
        <f>IF($D527="Trigger",VLOOKUP($C527,'Upper Cask Welding failures'!$E$424:$H$492,4,FALSE),E527+F526)</f>
        <v>16.860756989359466</v>
      </c>
      <c r="G527" s="839"/>
      <c r="H527" s="1341" t="str">
        <f>IF(D527="operation",VLOOKUP(G527,'Generic Vertical Port Tasks'!C461:D520,2,FALSE),"N/A")</f>
        <v>N/A</v>
      </c>
      <c r="I527" s="1340"/>
      <c r="J527" s="1340"/>
      <c r="K527" s="1340"/>
      <c r="L527" s="1342" t="str">
        <f>IFERROR(INDEX('Upper Cask Movement &amp; Logistics'!$I$24:$O$30,MATCH($J527,'Upper Cask Movement &amp; Logistics'!$H$24:$H$30,0),MATCH($K527,'Upper Cask Movement &amp; Logistics'!$H$24:$H$30,0)),"N/A")</f>
        <v>N/A</v>
      </c>
      <c r="M527" s="1342" t="str">
        <f>IFERROR(VLOOKUP($I527,'Upper Cask Movement &amp; Logistics'!$H$4:$I$8,2,FALSE),"N/A")</f>
        <v>N/A</v>
      </c>
      <c r="N527" s="1343" t="str">
        <f t="shared" si="18"/>
        <v>N/A</v>
      </c>
      <c r="O527" s="1344"/>
      <c r="P527" s="1345" t="str">
        <f>IF($D527="Logistics",VLOOKUP($O527,'Upper Cask Movement &amp; Logistics'!$C$4:$D$77,2,FALSE),"N/A")</f>
        <v>N/A</v>
      </c>
    </row>
    <row r="528" spans="1:16" s="89" customFormat="1" outlineLevel="1" x14ac:dyDescent="0.35">
      <c r="A528" s="1213"/>
      <c r="B528" s="3960" t="s">
        <v>1379</v>
      </c>
      <c r="C528" s="1333" t="s">
        <v>131</v>
      </c>
      <c r="D528" s="1333" t="s">
        <v>907</v>
      </c>
      <c r="E528" s="1303">
        <f t="shared" si="17"/>
        <v>0</v>
      </c>
      <c r="F528" s="1303">
        <f>IF($D528="Trigger",VLOOKUP($C528,'Upper Cask Welding failures'!$E$424:$H$492,4,FALSE),E528+F527)</f>
        <v>23.069746595150313</v>
      </c>
      <c r="G528" s="1304"/>
      <c r="H528" s="1305" t="str">
        <f>IF(D528="operation",VLOOKUP(G528,'Generic Vertical Port Tasks'!C461:D520,2,FALSE),"N/A")</f>
        <v>N/A</v>
      </c>
      <c r="I528" s="1333"/>
      <c r="J528" s="1333"/>
      <c r="K528" s="1333"/>
      <c r="L528" s="1334" t="str">
        <f>IFERROR(INDEX('Upper Cask Movement &amp; Logistics'!$I$24:$O$30,MATCH($J528,'Upper Cask Movement &amp; Logistics'!$H$24:$H$30,0),MATCH($K528,'Upper Cask Movement &amp; Logistics'!$H$24:$H$30,0)),"N/A")</f>
        <v>N/A</v>
      </c>
      <c r="M528" s="1334" t="str">
        <f>IFERROR(VLOOKUP($I528,'Upper Cask Movement &amp; Logistics'!$H$4:$I$8,2,FALSE),"N/A")</f>
        <v>N/A</v>
      </c>
      <c r="N528" s="1335" t="str">
        <f t="shared" si="18"/>
        <v>N/A</v>
      </c>
      <c r="O528" s="1336"/>
      <c r="P528" s="1337" t="str">
        <f>IF($D528="Logistics",VLOOKUP($O528,'Upper Cask Movement &amp; Logistics'!$C$4:$D$77,2,FALSE),"N/A")</f>
        <v>N/A</v>
      </c>
    </row>
    <row r="529" spans="1:16" s="89" customFormat="1" outlineLevel="1" x14ac:dyDescent="0.35">
      <c r="A529" s="1213"/>
      <c r="B529" s="3968"/>
      <c r="C529" s="1240" t="s">
        <v>1369</v>
      </c>
      <c r="D529" s="1240" t="s">
        <v>3</v>
      </c>
      <c r="E529" s="1241">
        <f t="shared" si="17"/>
        <v>2.3000000000000003</v>
      </c>
      <c r="F529" s="1241">
        <f>IF($D529="Trigger",VLOOKUP($C529,'Upper Cask Welding failures'!$E$424:$H$492,4,FALSE),E529+F528)</f>
        <v>25.369746595150314</v>
      </c>
      <c r="G529" s="1354"/>
      <c r="H529" s="1355" t="str">
        <f>IF(D529="operation",VLOOKUP(G529,'Generic Vertical Port Tasks'!C461:D520,2,FALSE),"N/A")</f>
        <v>N/A</v>
      </c>
      <c r="I529" s="1240"/>
      <c r="J529" s="1240"/>
      <c r="K529" s="1240"/>
      <c r="L529" s="1242" t="str">
        <f>IFERROR(INDEX('Upper Cask Movement &amp; Logistics'!$I$24:$O$30,MATCH($J529,'Upper Cask Movement &amp; Logistics'!$H$24:$H$30,0),MATCH($K529,'Upper Cask Movement &amp; Logistics'!$H$24:$H$30,0)),"N/A")</f>
        <v>N/A</v>
      </c>
      <c r="M529" s="1242" t="str">
        <f>IFERROR(VLOOKUP($I529,'Upper Cask Movement &amp; Logistics'!$H$4:$I$8,2,FALSE),"N/A")</f>
        <v>N/A</v>
      </c>
      <c r="N529" s="1356" t="str">
        <f t="shared" si="18"/>
        <v>N/A</v>
      </c>
      <c r="O529" s="1357" t="s">
        <v>1269</v>
      </c>
      <c r="P529" s="1358">
        <f>IF($D529="Logistics",VLOOKUP($O529,'Upper Cask Movement &amp; Logistics'!$C$4:$D$77,2,FALSE),"N/A")</f>
        <v>2.3000000000000003</v>
      </c>
    </row>
    <row r="530" spans="1:16" s="89" customFormat="1" outlineLevel="1" x14ac:dyDescent="0.35">
      <c r="A530" s="1213"/>
      <c r="B530" s="3961"/>
      <c r="C530" s="1243" t="s">
        <v>1370</v>
      </c>
      <c r="D530" s="1243" t="s">
        <v>778</v>
      </c>
      <c r="E530" s="1244">
        <f t="shared" si="17"/>
        <v>0.69444444444444442</v>
      </c>
      <c r="F530" s="1244">
        <f>IF($D530="Trigger",VLOOKUP($C530,'Upper Cask Welding failures'!$E$424:$H$492,4,FALSE),E530+F529)</f>
        <v>26.064191039594757</v>
      </c>
      <c r="G530" s="1309"/>
      <c r="H530" s="1310" t="str">
        <f>IF(D530="operation",VLOOKUP(G530,'Generic Vertical Port Tasks'!C461:D520,2,FALSE),"N/A")</f>
        <v>N/A</v>
      </c>
      <c r="I530" s="1243" t="s">
        <v>1789</v>
      </c>
      <c r="J530" s="1243" t="s">
        <v>901</v>
      </c>
      <c r="K530" s="1243" t="s">
        <v>831</v>
      </c>
      <c r="L530" s="1245">
        <f>IFERROR(INDEX('Upper Cask Movement &amp; Logistics'!$I$24:$O$30,MATCH($J530,'Upper Cask Movement &amp; Logistics'!$H$24:$H$30,0),MATCH($K530,'Upper Cask Movement &amp; Logistics'!$H$24:$H$30,0)),"N/A")</f>
        <v>50</v>
      </c>
      <c r="M530" s="1245">
        <f>IFERROR(VLOOKUP($I530,'Upper Cask Movement &amp; Logistics'!$H$4:$I$8,2,FALSE),"N/A")</f>
        <v>0.02</v>
      </c>
      <c r="N530" s="1311">
        <f t="shared" si="18"/>
        <v>0.69444444444444442</v>
      </c>
      <c r="O530" s="1312"/>
      <c r="P530" s="1313" t="str">
        <f>IF($D530="Logistics",VLOOKUP($O530,'Upper Cask Movement &amp; Logistics'!$C$4:$D$77,2,FALSE),"N/A")</f>
        <v>N/A</v>
      </c>
    </row>
    <row r="531" spans="1:16" s="89" customFormat="1" outlineLevel="1" x14ac:dyDescent="0.35">
      <c r="A531" s="1213"/>
      <c r="B531" s="3961"/>
      <c r="C531" s="1243" t="s">
        <v>1375</v>
      </c>
      <c r="D531" s="1243" t="s">
        <v>3</v>
      </c>
      <c r="E531" s="1244">
        <f t="shared" si="17"/>
        <v>0.68</v>
      </c>
      <c r="F531" s="1244">
        <f>IF($D531="Trigger",VLOOKUP($C531,'Upper Cask Welding failures'!$E$424:$H$492,4,FALSE),E531+F530)</f>
        <v>26.744191039594757</v>
      </c>
      <c r="G531" s="1309"/>
      <c r="H531" s="1310" t="str">
        <f>IF(D531="operation",VLOOKUP(G531,'Generic Vertical Port Tasks'!C461:D520,2,FALSE),"N/A")</f>
        <v>N/A</v>
      </c>
      <c r="I531" s="1243"/>
      <c r="J531" s="1243"/>
      <c r="K531" s="1243"/>
      <c r="L531" s="1245" t="str">
        <f>IFERROR(INDEX('Upper Cask Movement &amp; Logistics'!$I$24:$O$30,MATCH($J531,'Upper Cask Movement &amp; Logistics'!$H$24:$H$30,0),MATCH($K531,'Upper Cask Movement &amp; Logistics'!$H$24:$H$30,0)),"N/A")</f>
        <v>N/A</v>
      </c>
      <c r="M531" s="1245" t="str">
        <f>IFERROR(VLOOKUP($I531,'Upper Cask Movement &amp; Logistics'!$H$4:$I$8,2,FALSE),"N/A")</f>
        <v>N/A</v>
      </c>
      <c r="N531" s="1311" t="str">
        <f t="shared" si="18"/>
        <v>N/A</v>
      </c>
      <c r="O531" s="1312" t="s">
        <v>1213</v>
      </c>
      <c r="P531" s="1313">
        <f>IF($D531="Logistics",VLOOKUP($O531,'Upper Cask Movement &amp; Logistics'!$C$4:$D$77,2,FALSE),"N/A")</f>
        <v>0.68</v>
      </c>
    </row>
    <row r="532" spans="1:16" s="89" customFormat="1" outlineLevel="1" x14ac:dyDescent="0.35">
      <c r="A532" s="1213"/>
      <c r="B532" s="3961"/>
      <c r="C532" s="1249" t="s">
        <v>1362</v>
      </c>
      <c r="D532" s="1249" t="s">
        <v>778</v>
      </c>
      <c r="E532" s="1244">
        <f t="shared" si="17"/>
        <v>9.2592592592592601E-2</v>
      </c>
      <c r="F532" s="1244">
        <f>IF($D532="Trigger",VLOOKUP($C532,'Upper Cask Welding failures'!$E$424:$H$492,4,FALSE),E532+F531)</f>
        <v>26.836783632187348</v>
      </c>
      <c r="G532" s="1309"/>
      <c r="H532" s="1310" t="str">
        <f>IF(D532="operation",VLOOKUP(G532,'Generic Vertical Port Tasks'!C461:D520,2,FALSE),"N/A")</f>
        <v>N/A</v>
      </c>
      <c r="I532" s="1243" t="s">
        <v>2501</v>
      </c>
      <c r="J532" s="1243" t="s">
        <v>831</v>
      </c>
      <c r="K532" s="1243" t="s">
        <v>914</v>
      </c>
      <c r="L532" s="1245">
        <f>IFERROR(INDEX('Upper Cask Movement &amp; Logistics'!$I$24:$O$30,MATCH($J532,'Upper Cask Movement &amp; Logistics'!$H$24:$H$30,0),MATCH($K532,'Upper Cask Movement &amp; Logistics'!$H$24:$H$30,0)),"N/A")</f>
        <v>20</v>
      </c>
      <c r="M532" s="1245">
        <f>IFERROR(VLOOKUP($I532,'Upper Cask Movement &amp; Logistics'!$H$4:$I$8,2,FALSE),"N/A")</f>
        <v>0.06</v>
      </c>
      <c r="N532" s="1311">
        <f t="shared" si="18"/>
        <v>9.2592592592592601E-2</v>
      </c>
      <c r="O532" s="1312"/>
      <c r="P532" s="1313" t="str">
        <f>IF($D532="Logistics",VLOOKUP($O532,'Upper Cask Movement &amp; Logistics'!$C$4:$D$77,2,FALSE),"N/A")</f>
        <v>N/A</v>
      </c>
    </row>
    <row r="533" spans="1:16" s="89" customFormat="1" outlineLevel="1" x14ac:dyDescent="0.35">
      <c r="A533" s="1213"/>
      <c r="B533" s="3961"/>
      <c r="C533" s="1243" t="s">
        <v>1380</v>
      </c>
      <c r="D533" s="1243" t="s">
        <v>3</v>
      </c>
      <c r="E533" s="1244">
        <f t="shared" si="17"/>
        <v>0.48000000000000004</v>
      </c>
      <c r="F533" s="1244">
        <f>IF($D533="Trigger",VLOOKUP($C533,'Upper Cask Welding failures'!$E$424:$H$492,4,FALSE),E533+F532)</f>
        <v>27.316783632187349</v>
      </c>
      <c r="G533" s="1309"/>
      <c r="H533" s="1310" t="str">
        <f>IF(D533="operation",VLOOKUP(G533,'Generic Vertical Port Tasks'!C461:D520,2,FALSE),"N/A")</f>
        <v>N/A</v>
      </c>
      <c r="I533" s="1243"/>
      <c r="J533" s="1243"/>
      <c r="K533" s="1243"/>
      <c r="L533" s="1245" t="str">
        <f>IFERROR(INDEX('Upper Cask Movement &amp; Logistics'!$I$24:$O$30,MATCH($J533,'Upper Cask Movement &amp; Logistics'!$H$24:$H$30,0),MATCH($K533,'Upper Cask Movement &amp; Logistics'!$H$24:$H$30,0)),"N/A")</f>
        <v>N/A</v>
      </c>
      <c r="M533" s="1245" t="str">
        <f>IFERROR(VLOOKUP($I533,'Upper Cask Movement &amp; Logistics'!$H$4:$I$8,2,FALSE),"N/A")</f>
        <v>N/A</v>
      </c>
      <c r="N533" s="1311" t="str">
        <f t="shared" si="18"/>
        <v>N/A</v>
      </c>
      <c r="O533" s="1312" t="s">
        <v>1330</v>
      </c>
      <c r="P533" s="1313">
        <f>IF($D533="Logistics",VLOOKUP($O533,'Upper Cask Movement &amp; Logistics'!$C$4:$D$77,2,FALSE),"N/A")</f>
        <v>0.48000000000000004</v>
      </c>
    </row>
    <row r="534" spans="1:16" s="89" customFormat="1" outlineLevel="1" x14ac:dyDescent="0.35">
      <c r="A534" s="1213"/>
      <c r="B534" s="3961"/>
      <c r="C534" s="1243" t="s">
        <v>1381</v>
      </c>
      <c r="D534" s="1243" t="s">
        <v>778</v>
      </c>
      <c r="E534" s="1244">
        <f t="shared" si="17"/>
        <v>2.7777777777777776E-2</v>
      </c>
      <c r="F534" s="1244">
        <f>IF($D534="Trigger",VLOOKUP($C534,'Upper Cask Welding failures'!$E$424:$H$492,4,FALSE),E534+F533)</f>
        <v>27.344561409965127</v>
      </c>
      <c r="G534" s="1309"/>
      <c r="H534" s="1310" t="str">
        <f>IF(D534="operation",VLOOKUP(G534,'Generic Vertical Port Tasks'!C461:D520,2,FALSE),"N/A")</f>
        <v>N/A</v>
      </c>
      <c r="I534" s="1243" t="s">
        <v>2502</v>
      </c>
      <c r="J534" s="1243" t="s">
        <v>914</v>
      </c>
      <c r="K534" s="1243" t="s">
        <v>799</v>
      </c>
      <c r="L534" s="1245">
        <f>IFERROR(INDEX('Upper Cask Movement &amp; Logistics'!$I$24:$O$30,MATCH($J534,'Upper Cask Movement &amp; Logistics'!$H$24:$H$30,0),MATCH($K534,'Upper Cask Movement &amp; Logistics'!$H$24:$H$30,0)),"N/A")</f>
        <v>20</v>
      </c>
      <c r="M534" s="1245">
        <f>IFERROR(VLOOKUP($I534,'Upper Cask Movement &amp; Logistics'!$H$4:$I$8,2,FALSE),"N/A")</f>
        <v>0.2</v>
      </c>
      <c r="N534" s="1311">
        <f t="shared" si="18"/>
        <v>2.7777777777777776E-2</v>
      </c>
      <c r="O534" s="1312"/>
      <c r="P534" s="1313" t="str">
        <f>IF($D534="Logistics",VLOOKUP($O534,'Upper Cask Movement &amp; Logistics'!$C$4:$D$77,2,FALSE),"N/A")</f>
        <v>N/A</v>
      </c>
    </row>
    <row r="535" spans="1:16" s="89" customFormat="1" outlineLevel="1" x14ac:dyDescent="0.35">
      <c r="A535" s="1213"/>
      <c r="B535" s="3961"/>
      <c r="C535" s="1243" t="s">
        <v>1382</v>
      </c>
      <c r="D535" s="1243" t="s">
        <v>3</v>
      </c>
      <c r="E535" s="1244">
        <f t="shared" si="17"/>
        <v>0.48000000000000004</v>
      </c>
      <c r="F535" s="1244">
        <f>IF($D535="Trigger",VLOOKUP($C535,'Upper Cask Welding failures'!$E$424:$H$492,4,FALSE),E535+F534)</f>
        <v>27.824561409965128</v>
      </c>
      <c r="G535" s="1309"/>
      <c r="H535" s="1310" t="str">
        <f>IF(D535="operation",VLOOKUP(G535,'Generic Vertical Port Tasks'!C461:D520,2,FALSE),"N/A")</f>
        <v>N/A</v>
      </c>
      <c r="I535" s="1243"/>
      <c r="J535" s="1243"/>
      <c r="K535" s="1243"/>
      <c r="L535" s="1245" t="str">
        <f>IFERROR(INDEX('Upper Cask Movement &amp; Logistics'!$I$24:$O$30,MATCH($J535,'Upper Cask Movement &amp; Logistics'!$H$24:$H$30,0),MATCH($K535,'Upper Cask Movement &amp; Logistics'!$H$24:$H$30,0)),"N/A")</f>
        <v>N/A</v>
      </c>
      <c r="M535" s="1245" t="str">
        <f>IFERROR(VLOOKUP($I535,'Upper Cask Movement &amp; Logistics'!$H$4:$I$8,2,FALSE),"N/A")</f>
        <v>N/A</v>
      </c>
      <c r="N535" s="1311" t="str">
        <f t="shared" si="18"/>
        <v>N/A</v>
      </c>
      <c r="O535" s="1312" t="s">
        <v>1331</v>
      </c>
      <c r="P535" s="1313">
        <f>IF($D535="Logistics",VLOOKUP($O535,'Upper Cask Movement &amp; Logistics'!$C$4:$D$77,2,FALSE),"N/A")</f>
        <v>0.48000000000000004</v>
      </c>
    </row>
    <row r="536" spans="1:16" s="89" customFormat="1" outlineLevel="1" x14ac:dyDescent="0.35">
      <c r="A536" s="1213"/>
      <c r="B536" s="3961"/>
      <c r="C536" s="1243" t="s">
        <v>1366</v>
      </c>
      <c r="D536" s="1243" t="s">
        <v>778</v>
      </c>
      <c r="E536" s="1244">
        <f t="shared" si="17"/>
        <v>0.69444444444444442</v>
      </c>
      <c r="F536" s="1244">
        <f>IF($D536="Trigger",VLOOKUP($C536,'Upper Cask Welding failures'!$E$424:$H$492,4,FALSE),E536+F535)</f>
        <v>28.519005854409571</v>
      </c>
      <c r="G536" s="1309"/>
      <c r="H536" s="1310" t="str">
        <f>IF(D536="operation",VLOOKUP(G536,'Generic Vertical Port Tasks'!C461:D520,2,FALSE),"N/A")</f>
        <v>N/A</v>
      </c>
      <c r="I536" s="1243" t="s">
        <v>1789</v>
      </c>
      <c r="J536" s="1243" t="s">
        <v>799</v>
      </c>
      <c r="K536" s="1243" t="s">
        <v>901</v>
      </c>
      <c r="L536" s="1245">
        <f>IFERROR(INDEX('Upper Cask Movement &amp; Logistics'!$I$24:$O$30,MATCH($J536,'Upper Cask Movement &amp; Logistics'!$H$24:$H$30,0),MATCH($K536,'Upper Cask Movement &amp; Logistics'!$H$24:$H$30,0)),"N/A")</f>
        <v>50</v>
      </c>
      <c r="M536" s="1245">
        <f>IFERROR(VLOOKUP($I536,'Upper Cask Movement &amp; Logistics'!$H$4:$I$8,2,FALSE),"N/A")</f>
        <v>0.02</v>
      </c>
      <c r="N536" s="1311">
        <f t="shared" si="18"/>
        <v>0.69444444444444442</v>
      </c>
      <c r="O536" s="1312"/>
      <c r="P536" s="1313" t="str">
        <f>IF($D536="Logistics",VLOOKUP($O536,'Upper Cask Movement &amp; Logistics'!$C$4:$D$77,2,FALSE),"N/A")</f>
        <v>N/A</v>
      </c>
    </row>
    <row r="537" spans="1:16" s="89" customFormat="1" outlineLevel="1" x14ac:dyDescent="0.35">
      <c r="A537" s="1213"/>
      <c r="B537" s="3961"/>
      <c r="C537" s="1243" t="s">
        <v>1383</v>
      </c>
      <c r="D537" s="1243" t="s">
        <v>3</v>
      </c>
      <c r="E537" s="1244">
        <f t="shared" si="17"/>
        <v>1.4000000000000001</v>
      </c>
      <c r="F537" s="1244">
        <f>IF($D537="Trigger",VLOOKUP($C537,'Upper Cask Welding failures'!$E$424:$H$492,4,FALSE),E537+F536)</f>
        <v>29.919005854409569</v>
      </c>
      <c r="G537" s="1309"/>
      <c r="H537" s="1310" t="str">
        <f>IF(D537="operation",VLOOKUP(G537,'Generic Vertical Port Tasks'!C461:D520,2,FALSE),"N/A")</f>
        <v>N/A</v>
      </c>
      <c r="I537" s="1243"/>
      <c r="J537" s="1243"/>
      <c r="K537" s="1243"/>
      <c r="L537" s="1245" t="str">
        <f>IFERROR(INDEX('Upper Cask Movement &amp; Logistics'!$I$24:$O$30,MATCH($J537,'Upper Cask Movement &amp; Logistics'!$H$24:$H$30,0),MATCH($K537,'Upper Cask Movement &amp; Logistics'!$H$24:$H$30,0)),"N/A")</f>
        <v>N/A</v>
      </c>
      <c r="M537" s="1245" t="str">
        <f>IFERROR(VLOOKUP($I537,'Upper Cask Movement &amp; Logistics'!$H$4:$I$8,2,FALSE),"N/A")</f>
        <v>N/A</v>
      </c>
      <c r="N537" s="1311" t="str">
        <f t="shared" si="18"/>
        <v>N/A</v>
      </c>
      <c r="O537" s="1312" t="s">
        <v>1277</v>
      </c>
      <c r="P537" s="1313">
        <f>IF($D537="Logistics",VLOOKUP($O537,'Upper Cask Movement &amp; Logistics'!$C$4:$D$77,2,FALSE),"N/A")</f>
        <v>1.4000000000000001</v>
      </c>
    </row>
    <row r="538" spans="1:16" s="89" customFormat="1" ht="26.15" outlineLevel="1" thickBot="1" x14ac:dyDescent="0.4">
      <c r="A538" s="1213"/>
      <c r="B538" s="3963"/>
      <c r="C538" s="1314" t="s">
        <v>1379</v>
      </c>
      <c r="D538" s="1314" t="s">
        <v>11</v>
      </c>
      <c r="E538" s="1316">
        <f t="shared" si="17"/>
        <v>0</v>
      </c>
      <c r="F538" s="1316">
        <f>IF($D538="Trigger",VLOOKUP($C538,'Upper Cask Welding failures'!$E$424:$H$492,4,FALSE),E538+F537)</f>
        <v>29.919005854409569</v>
      </c>
      <c r="G538" s="1317"/>
      <c r="H538" s="1318" t="str">
        <f>IF(D538="operation",VLOOKUP(G538,'Generic Vertical Port Tasks'!C461:D520,2,FALSE),"N/A")</f>
        <v>N/A</v>
      </c>
      <c r="I538" s="1314"/>
      <c r="J538" s="1314"/>
      <c r="K538" s="1314"/>
      <c r="L538" s="1319" t="str">
        <f>IFERROR(INDEX('Upper Cask Movement &amp; Logistics'!$I$24:$O$30,MATCH($J538,'Upper Cask Movement &amp; Logistics'!$H$24:$H$30,0),MATCH($K538,'Upper Cask Movement &amp; Logistics'!$H$24:$H$30,0)),"N/A")</f>
        <v>N/A</v>
      </c>
      <c r="M538" s="1319" t="str">
        <f>IFERROR(VLOOKUP($I538,'Upper Cask Movement &amp; Logistics'!$H$4:$I$8,2,FALSE),"N/A")</f>
        <v>N/A</v>
      </c>
      <c r="N538" s="1320" t="str">
        <f t="shared" si="18"/>
        <v>N/A</v>
      </c>
      <c r="O538" s="1321"/>
      <c r="P538" s="1322" t="str">
        <f>IF($D538="Logistics",VLOOKUP($O538,'Upper Cask Movement &amp; Logistics'!$C$4:$D$77,2,FALSE),"N/A")</f>
        <v>N/A</v>
      </c>
    </row>
    <row r="539" spans="1:16" s="89" customFormat="1" outlineLevel="1" x14ac:dyDescent="0.35">
      <c r="A539" s="1213"/>
      <c r="B539" s="3964" t="s">
        <v>1384</v>
      </c>
      <c r="C539" s="1324" t="s">
        <v>1531</v>
      </c>
      <c r="D539" s="1324" t="s">
        <v>907</v>
      </c>
      <c r="E539" s="1291">
        <f t="shared" si="17"/>
        <v>0</v>
      </c>
      <c r="F539" s="1291">
        <f>IF($D539="Trigger",VLOOKUP($C539,'Upper Cask Welding failures'!$E$424:$H$492,4,FALSE),E539+F538)</f>
        <v>26.61974659515031</v>
      </c>
      <c r="G539" s="825"/>
      <c r="H539" s="1323" t="str">
        <f>IF(D539="operation",VLOOKUP(G539,'Generic Vertical Port Tasks'!C461:D520,2,FALSE),"N/A")</f>
        <v>N/A</v>
      </c>
      <c r="I539" s="1324"/>
      <c r="J539" s="1324"/>
      <c r="K539" s="1324"/>
      <c r="L539" s="1325" t="str">
        <f>IFERROR(INDEX('Upper Cask Movement &amp; Logistics'!$I$24:$O$30,MATCH($J539,'Upper Cask Movement &amp; Logistics'!$H$24:$H$30,0),MATCH($K539,'Upper Cask Movement &amp; Logistics'!$H$24:$H$30,0)),"N/A")</f>
        <v>N/A</v>
      </c>
      <c r="M539" s="1325" t="str">
        <f>IFERROR(VLOOKUP($I539,'Upper Cask Movement &amp; Logistics'!$H$4:$I$8,2,FALSE),"N/A")</f>
        <v>N/A</v>
      </c>
      <c r="N539" s="1326" t="str">
        <f t="shared" si="18"/>
        <v>N/A</v>
      </c>
      <c r="O539" s="1327"/>
      <c r="P539" s="824" t="str">
        <f>IF($D539="Logistics",VLOOKUP($O539,'Upper Cask Movement &amp; Logistics'!$C$4:$D$77,2,FALSE),"N/A")</f>
        <v>N/A</v>
      </c>
    </row>
    <row r="540" spans="1:16" s="89" customFormat="1" outlineLevel="1" x14ac:dyDescent="0.35">
      <c r="A540" s="1213"/>
      <c r="B540" s="3965"/>
      <c r="C540" s="1294" t="s">
        <v>1385</v>
      </c>
      <c r="D540" s="1294" t="s">
        <v>3</v>
      </c>
      <c r="E540" s="1292">
        <f t="shared" si="17"/>
        <v>0.5</v>
      </c>
      <c r="F540" s="1292">
        <f>IF($D540="Trigger",VLOOKUP($C540,'Upper Cask Welding failures'!$E$424:$H$492,4,FALSE),E540+F539)</f>
        <v>27.11974659515031</v>
      </c>
      <c r="G540" s="862"/>
      <c r="H540" s="1328" t="str">
        <f>IF(D540="operation",VLOOKUP(G540,'Generic Vertical Port Tasks'!C461:D520,2,FALSE),"N/A")</f>
        <v>N/A</v>
      </c>
      <c r="I540" s="1294"/>
      <c r="J540" s="1294"/>
      <c r="K540" s="1294"/>
      <c r="L540" s="1329" t="str">
        <f>IFERROR(INDEX('Upper Cask Movement &amp; Logistics'!$I$24:$O$30,MATCH($J540,'Upper Cask Movement &amp; Logistics'!$H$24:$H$30,0),MATCH($K540,'Upper Cask Movement &amp; Logistics'!$H$24:$H$30,0)),"N/A")</f>
        <v>N/A</v>
      </c>
      <c r="M540" s="1329" t="str">
        <f>IFERROR(VLOOKUP($I540,'Upper Cask Movement &amp; Logistics'!$H$4:$I$8,2,FALSE),"N/A")</f>
        <v>N/A</v>
      </c>
      <c r="N540" s="1330" t="str">
        <f t="shared" si="18"/>
        <v>N/A</v>
      </c>
      <c r="O540" s="1331" t="s">
        <v>1208</v>
      </c>
      <c r="P540" s="1332">
        <f>IF($D540="Logistics",VLOOKUP($O540,'Upper Cask Movement &amp; Logistics'!$C$4:$D$77,2,FALSE),"N/A")</f>
        <v>0.5</v>
      </c>
    </row>
    <row r="541" spans="1:16" s="89" customFormat="1" outlineLevel="1" x14ac:dyDescent="0.35">
      <c r="A541" s="1213"/>
      <c r="B541" s="3965"/>
      <c r="C541" s="1294" t="s">
        <v>1386</v>
      </c>
      <c r="D541" s="1294" t="s">
        <v>3</v>
      </c>
      <c r="E541" s="1292">
        <f t="shared" si="17"/>
        <v>0.48000000000000004</v>
      </c>
      <c r="F541" s="1292">
        <f>IF($D541="Trigger",VLOOKUP($C541,'Upper Cask Welding failures'!$E$424:$H$492,4,FALSE),E541+F540)</f>
        <v>27.599746595150311</v>
      </c>
      <c r="G541" s="862"/>
      <c r="H541" s="1328" t="str">
        <f>IF(D541="operation",VLOOKUP(G541,'Generic Vertical Port Tasks'!C461:D520,2,FALSE),"N/A")</f>
        <v>N/A</v>
      </c>
      <c r="I541" s="1294"/>
      <c r="J541" s="1294"/>
      <c r="K541" s="1294"/>
      <c r="L541" s="1329" t="str">
        <f>IFERROR(INDEX('Upper Cask Movement &amp; Logistics'!$I$24:$O$30,MATCH($J541,'Upper Cask Movement &amp; Logistics'!$H$24:$H$30,0),MATCH($K541,'Upper Cask Movement &amp; Logistics'!$H$24:$H$30,0)),"N/A")</f>
        <v>N/A</v>
      </c>
      <c r="M541" s="1329" t="str">
        <f>IFERROR(VLOOKUP($I541,'Upper Cask Movement &amp; Logistics'!$H$4:$I$8,2,FALSE),"N/A")</f>
        <v>N/A</v>
      </c>
      <c r="N541" s="1330" t="str">
        <f t="shared" si="18"/>
        <v>N/A</v>
      </c>
      <c r="O541" s="1331" t="s">
        <v>1331</v>
      </c>
      <c r="P541" s="1332">
        <f>IF($D541="Logistics",VLOOKUP($O541,'Upper Cask Movement &amp; Logistics'!$C$4:$D$77,2,FALSE),"N/A")</f>
        <v>0.48000000000000004</v>
      </c>
    </row>
    <row r="542" spans="1:16" s="89" customFormat="1" outlineLevel="1" x14ac:dyDescent="0.35">
      <c r="A542" s="1213"/>
      <c r="B542" s="3965"/>
      <c r="C542" s="1294" t="s">
        <v>1387</v>
      </c>
      <c r="D542" s="1294" t="s">
        <v>778</v>
      </c>
      <c r="E542" s="1292">
        <f t="shared" si="17"/>
        <v>0.69444444444444442</v>
      </c>
      <c r="F542" s="1292">
        <f>IF($D542="Trigger",VLOOKUP($C542,'Upper Cask Welding failures'!$E$424:$H$492,4,FALSE),E542+F541)</f>
        <v>28.294191039594754</v>
      </c>
      <c r="G542" s="862"/>
      <c r="H542" s="1328" t="str">
        <f>IF(D542="operation",VLOOKUP(G542,'Generic Vertical Port Tasks'!C461:D520,2,FALSE),"N/A")</f>
        <v>N/A</v>
      </c>
      <c r="I542" s="1294" t="s">
        <v>1789</v>
      </c>
      <c r="J542" s="1294" t="s">
        <v>799</v>
      </c>
      <c r="K542" s="1294" t="s">
        <v>816</v>
      </c>
      <c r="L542" s="1329">
        <f>IFERROR(INDEX('Upper Cask Movement &amp; Logistics'!$I$24:$O$30,MATCH($J542,'Upper Cask Movement &amp; Logistics'!$H$24:$H$30,0),MATCH($K542,'Upper Cask Movement &amp; Logistics'!$H$24:$H$30,0)),"N/A")</f>
        <v>50</v>
      </c>
      <c r="M542" s="1329">
        <f>IFERROR(VLOOKUP($I542,'Upper Cask Movement &amp; Logistics'!$H$4:$I$8,2,FALSE),"N/A")</f>
        <v>0.02</v>
      </c>
      <c r="N542" s="1330">
        <f t="shared" si="18"/>
        <v>0.69444444444444442</v>
      </c>
      <c r="O542" s="1331"/>
      <c r="P542" s="1332" t="str">
        <f>IF($D542="Logistics",VLOOKUP($O542,'Upper Cask Movement &amp; Logistics'!$C$4:$D$77,2,FALSE),"N/A")</f>
        <v>N/A</v>
      </c>
    </row>
    <row r="543" spans="1:16" s="89" customFormat="1" ht="26.15" outlineLevel="1" thickBot="1" x14ac:dyDescent="0.4">
      <c r="A543" s="1213"/>
      <c r="B543" s="3965"/>
      <c r="C543" s="1294" t="s">
        <v>1384</v>
      </c>
      <c r="D543" s="1294" t="s">
        <v>11</v>
      </c>
      <c r="E543" s="1292">
        <f t="shared" si="17"/>
        <v>0</v>
      </c>
      <c r="F543" s="1292">
        <f>IF($D543="Trigger",VLOOKUP($C543,'Upper Cask Welding failures'!$E$424:$H$492,4,FALSE),E543+F542)</f>
        <v>28.294191039594754</v>
      </c>
      <c r="G543" s="862"/>
      <c r="H543" s="1328" t="str">
        <f>IF(D543="operation",VLOOKUP(G543,'Generic Vertical Port Tasks'!C461:D520,2,FALSE),"N/A")</f>
        <v>N/A</v>
      </c>
      <c r="I543" s="1294"/>
      <c r="J543" s="1294"/>
      <c r="K543" s="1294"/>
      <c r="L543" s="1329" t="str">
        <f>IFERROR(INDEX('Upper Cask Movement &amp; Logistics'!$I$24:$O$30,MATCH($J543,'Upper Cask Movement &amp; Logistics'!$H$24:$H$30,0),MATCH($K543,'Upper Cask Movement &amp; Logistics'!$H$24:$H$30,0)),"N/A")</f>
        <v>N/A</v>
      </c>
      <c r="M543" s="1329" t="str">
        <f>IFERROR(VLOOKUP($I543,'Upper Cask Movement &amp; Logistics'!$H$4:$I$8,2,FALSE),"N/A")</f>
        <v>N/A</v>
      </c>
      <c r="N543" s="1330" t="str">
        <f t="shared" si="18"/>
        <v>N/A</v>
      </c>
      <c r="O543" s="1331"/>
      <c r="P543" s="1332" t="str">
        <f>IF($D543="Logistics",VLOOKUP($O543,'Upper Cask Movement &amp; Logistics'!$C$4:$D$77,2,FALSE),"N/A")</f>
        <v>N/A</v>
      </c>
    </row>
    <row r="544" spans="1:16" s="89" customFormat="1" outlineLevel="1" x14ac:dyDescent="0.35">
      <c r="A544" s="1213"/>
      <c r="B544" s="3964" t="s">
        <v>1392</v>
      </c>
      <c r="C544" s="1324" t="s">
        <v>1263</v>
      </c>
      <c r="D544" s="1324" t="s">
        <v>907</v>
      </c>
      <c r="E544" s="1291">
        <f t="shared" si="17"/>
        <v>0</v>
      </c>
      <c r="F544" s="1291">
        <f>IF($D544="Trigger",VLOOKUP($C544,'Upper Cask Welding failures'!$E$424:$H$492,4,FALSE),E544+F543)</f>
        <v>36.684191039594758</v>
      </c>
      <c r="G544" s="825"/>
      <c r="H544" s="1323" t="str">
        <f>IF(D544="operation",VLOOKUP(G544,'Generic Vertical Port Tasks'!C453:D512,2,FALSE),"N/A")</f>
        <v>N/A</v>
      </c>
      <c r="I544" s="1324"/>
      <c r="J544" s="1324"/>
      <c r="K544" s="1324"/>
      <c r="L544" s="1325" t="str">
        <f>IFERROR(INDEX('Upper Cask Movement &amp; Logistics'!$I$24:$O$30,MATCH($J544,'Upper Cask Movement &amp; Logistics'!$H$24:$H$30,0),MATCH($K544,'Upper Cask Movement &amp; Logistics'!$H$24:$H$30,0)),"N/A")</f>
        <v>N/A</v>
      </c>
      <c r="M544" s="1325" t="str">
        <f>IFERROR(VLOOKUP($I544,'Upper Cask Movement &amp; Logistics'!$H$4:$I$8,2,FALSE),"N/A")</f>
        <v>N/A</v>
      </c>
      <c r="N544" s="1326" t="str">
        <f t="shared" si="18"/>
        <v>N/A</v>
      </c>
      <c r="O544" s="1327"/>
      <c r="P544" s="824" t="str">
        <f>IF($D544="Logistics",VLOOKUP($O544,'Upper Cask Movement &amp; Logistics'!$C$4:$D$77,2,FALSE),"N/A")</f>
        <v>N/A</v>
      </c>
    </row>
    <row r="545" spans="1:17" s="89" customFormat="1" outlineLevel="1" x14ac:dyDescent="0.35">
      <c r="A545" s="1213"/>
      <c r="B545" s="3969"/>
      <c r="C545" s="1362" t="s">
        <v>1268</v>
      </c>
      <c r="D545" s="1362" t="s">
        <v>3</v>
      </c>
      <c r="E545" s="1363">
        <f t="shared" si="17"/>
        <v>2.3000000000000003</v>
      </c>
      <c r="F545" s="1363">
        <f>IF($D545="Trigger",VLOOKUP($C545,'Upper Cask Welding failures'!$E$424:$H$492,4,FALSE),E545+F544)</f>
        <v>38.984191039594755</v>
      </c>
      <c r="G545" s="1364"/>
      <c r="H545" s="1365" t="str">
        <f>IF(D545="operation",VLOOKUP(G545,'Generic Vertical Port Tasks'!C453:D512,2,FALSE),"N/A")</f>
        <v>N/A</v>
      </c>
      <c r="I545" s="1362"/>
      <c r="J545" s="1362"/>
      <c r="K545" s="1362"/>
      <c r="L545" s="1366" t="str">
        <f>IFERROR(INDEX('Upper Cask Movement &amp; Logistics'!$I$24:$O$30,MATCH($J545,'Upper Cask Movement &amp; Logistics'!$H$24:$H$30,0),MATCH($K545,'Upper Cask Movement &amp; Logistics'!$H$24:$H$30,0)),"N/A")</f>
        <v>N/A</v>
      </c>
      <c r="M545" s="1366" t="str">
        <f>IFERROR(VLOOKUP($I545,'Upper Cask Movement &amp; Logistics'!$H$4:$I$8,2,FALSE),"N/A")</f>
        <v>N/A</v>
      </c>
      <c r="N545" s="1367" t="str">
        <f t="shared" si="18"/>
        <v>N/A</v>
      </c>
      <c r="O545" s="1368" t="s">
        <v>1269</v>
      </c>
      <c r="P545" s="861">
        <f>IF($D545="Logistics",VLOOKUP($O545,'Upper Cask Movement &amp; Logistics'!$C$4:$D$77,2,FALSE),"N/A")</f>
        <v>2.3000000000000003</v>
      </c>
    </row>
    <row r="546" spans="1:17" s="89" customFormat="1" outlineLevel="1" x14ac:dyDescent="0.35">
      <c r="A546" s="1213"/>
      <c r="B546" s="3969"/>
      <c r="C546" s="1362" t="s">
        <v>1370</v>
      </c>
      <c r="D546" s="1362" t="s">
        <v>778</v>
      </c>
      <c r="E546" s="1363">
        <f t="shared" si="17"/>
        <v>0.69444444444444442</v>
      </c>
      <c r="F546" s="1363">
        <f>IF($D546="Trigger",VLOOKUP($C546,'Upper Cask Welding failures'!$E$424:$H$492,4,FALSE),E546+F545)</f>
        <v>39.678635484039198</v>
      </c>
      <c r="G546" s="1364"/>
      <c r="H546" s="1365" t="str">
        <f>IF(D546="operation",VLOOKUP(G546,'Generic Vertical Port Tasks'!C453:D512,2,FALSE),"N/A")</f>
        <v>N/A</v>
      </c>
      <c r="I546" s="1362" t="s">
        <v>1789</v>
      </c>
      <c r="J546" s="1362" t="s">
        <v>901</v>
      </c>
      <c r="K546" s="1362" t="s">
        <v>831</v>
      </c>
      <c r="L546" s="1366">
        <f>IFERROR(INDEX('Upper Cask Movement &amp; Logistics'!$I$24:$O$30,MATCH($J546,'Upper Cask Movement &amp; Logistics'!$H$24:$H$30,0),MATCH($K546,'Upper Cask Movement &amp; Logistics'!$H$24:$H$30,0)),"N/A")</f>
        <v>50</v>
      </c>
      <c r="M546" s="1366">
        <f>IFERROR(VLOOKUP($I546,'Upper Cask Movement &amp; Logistics'!$H$4:$I$8,2,FALSE),"N/A")</f>
        <v>0.02</v>
      </c>
      <c r="N546" s="1367">
        <f t="shared" si="18"/>
        <v>0.69444444444444442</v>
      </c>
      <c r="O546" s="1368"/>
      <c r="P546" s="861" t="str">
        <f>IF($D546="Logistics",VLOOKUP($O546,'Upper Cask Movement &amp; Logistics'!$C$4:$D$77,2,FALSE),"N/A")</f>
        <v>N/A</v>
      </c>
    </row>
    <row r="547" spans="1:17" s="89" customFormat="1" outlineLevel="1" x14ac:dyDescent="0.35">
      <c r="A547" s="1213"/>
      <c r="B547" s="3969"/>
      <c r="C547" s="1362" t="s">
        <v>1393</v>
      </c>
      <c r="D547" s="1362" t="s">
        <v>3</v>
      </c>
      <c r="E547" s="1363">
        <f t="shared" si="17"/>
        <v>0.68</v>
      </c>
      <c r="F547" s="1363">
        <f>IF($D547="Trigger",VLOOKUP($C547,'Upper Cask Welding failures'!$E$424:$H$492,4,FALSE),E547+F546)</f>
        <v>40.358635484039198</v>
      </c>
      <c r="G547" s="1364"/>
      <c r="H547" s="1365" t="str">
        <f>IF(D547="operation",VLOOKUP(G547,'Generic Vertical Port Tasks'!C453:D512,2,FALSE),"N/A")</f>
        <v>N/A</v>
      </c>
      <c r="I547" s="1362"/>
      <c r="J547" s="1362"/>
      <c r="K547" s="1362"/>
      <c r="L547" s="1366" t="str">
        <f>IFERROR(INDEX('Upper Cask Movement &amp; Logistics'!$I$24:$O$30,MATCH($J547,'Upper Cask Movement &amp; Logistics'!$H$24:$H$30,0),MATCH($K547,'Upper Cask Movement &amp; Logistics'!$H$24:$H$30,0)),"N/A")</f>
        <v>N/A</v>
      </c>
      <c r="M547" s="1366" t="str">
        <f>IFERROR(VLOOKUP($I547,'Upper Cask Movement &amp; Logistics'!$H$4:$I$8,2,FALSE),"N/A")</f>
        <v>N/A</v>
      </c>
      <c r="N547" s="1367" t="str">
        <f t="shared" si="18"/>
        <v>N/A</v>
      </c>
      <c r="O547" s="1368" t="s">
        <v>1213</v>
      </c>
      <c r="P547" s="861">
        <f>IF($D547="Logistics",VLOOKUP($O547,'Upper Cask Movement &amp; Logistics'!$C$4:$D$77,2,FALSE),"N/A")</f>
        <v>0.68</v>
      </c>
    </row>
    <row r="548" spans="1:17" s="89" customFormat="1" outlineLevel="1" x14ac:dyDescent="0.35">
      <c r="A548" s="1213"/>
      <c r="B548" s="3965"/>
      <c r="C548" s="1294" t="s">
        <v>1366</v>
      </c>
      <c r="D548" s="1294" t="s">
        <v>778</v>
      </c>
      <c r="E548" s="1292">
        <f t="shared" si="17"/>
        <v>0.23148148148148148</v>
      </c>
      <c r="F548" s="1292">
        <f>IF($D548="Trigger",VLOOKUP($C548,'Upper Cask Welding failures'!$E$424:$H$492,4,FALSE),E548+F547)</f>
        <v>40.590116965520679</v>
      </c>
      <c r="G548" s="862"/>
      <c r="H548" s="1328" t="str">
        <f>IF(D548="operation",VLOOKUP(G548,'Generic Vertical Port Tasks'!C453:D512,2,FALSE),"N/A")</f>
        <v>N/A</v>
      </c>
      <c r="I548" s="1294" t="s">
        <v>2501</v>
      </c>
      <c r="J548" s="1294" t="s">
        <v>831</v>
      </c>
      <c r="K548" s="1294" t="s">
        <v>901</v>
      </c>
      <c r="L548" s="1329">
        <f>IFERROR(INDEX('Upper Cask Movement &amp; Logistics'!$I$24:$O$30,MATCH($J548,'Upper Cask Movement &amp; Logistics'!$H$24:$H$30,0),MATCH($K548,'Upper Cask Movement &amp; Logistics'!$H$24:$H$30,0)),"N/A")</f>
        <v>50</v>
      </c>
      <c r="M548" s="1329">
        <f>IFERROR(VLOOKUP($I548,'Upper Cask Movement &amp; Logistics'!$H$4:$I$8,2,FALSE),"N/A")</f>
        <v>0.06</v>
      </c>
      <c r="N548" s="1330">
        <f t="shared" si="18"/>
        <v>0.23148148148148148</v>
      </c>
      <c r="O548" s="1331"/>
      <c r="P548" s="1332" t="str">
        <f>IF($D548="Logistics",VLOOKUP($O548,'Upper Cask Movement &amp; Logistics'!$C$4:$D$77,2,FALSE),"N/A")</f>
        <v>N/A</v>
      </c>
    </row>
    <row r="549" spans="1:17" s="89" customFormat="1" outlineLevel="1" x14ac:dyDescent="0.35">
      <c r="A549" s="1213"/>
      <c r="B549" s="3965"/>
      <c r="C549" s="1294" t="s">
        <v>1383</v>
      </c>
      <c r="D549" s="1294" t="s">
        <v>3</v>
      </c>
      <c r="E549" s="1292">
        <f t="shared" si="17"/>
        <v>1.4000000000000001</v>
      </c>
      <c r="F549" s="1292">
        <f>IF($D549="Trigger",VLOOKUP($C549,'Upper Cask Welding failures'!$E$424:$H$492,4,FALSE),E549+F548)</f>
        <v>41.990116965520677</v>
      </c>
      <c r="G549" s="862"/>
      <c r="H549" s="1328" t="str">
        <f>IF(D549="operation",VLOOKUP(G549,'Generic Vertical Port Tasks'!C453:D512,2,FALSE),"N/A")</f>
        <v>N/A</v>
      </c>
      <c r="I549" s="1294"/>
      <c r="J549" s="1294"/>
      <c r="K549" s="1294"/>
      <c r="L549" s="1329" t="str">
        <f>IFERROR(INDEX('Upper Cask Movement &amp; Logistics'!$I$24:$O$30,MATCH($J549,'Upper Cask Movement &amp; Logistics'!$H$24:$H$30,0),MATCH($K549,'Upper Cask Movement &amp; Logistics'!$H$24:$H$30,0)),"N/A")</f>
        <v>N/A</v>
      </c>
      <c r="M549" s="1329" t="str">
        <f>IFERROR(VLOOKUP($I549,'Upper Cask Movement &amp; Logistics'!$H$4:$I$8,2,FALSE),"N/A")</f>
        <v>N/A</v>
      </c>
      <c r="N549" s="1330" t="str">
        <f t="shared" si="18"/>
        <v>N/A</v>
      </c>
      <c r="O549" s="1331" t="s">
        <v>1277</v>
      </c>
      <c r="P549" s="1332">
        <f>IF($D549="Logistics",VLOOKUP($O549,'Upper Cask Movement &amp; Logistics'!$C$4:$D$77,2,FALSE),"N/A")</f>
        <v>1.4000000000000001</v>
      </c>
    </row>
    <row r="550" spans="1:17" s="89" customFormat="1" ht="13.3" outlineLevel="1" thickBot="1" x14ac:dyDescent="0.4">
      <c r="A550" s="1213"/>
      <c r="B550" s="3966"/>
      <c r="C550" s="1340" t="s">
        <v>1392</v>
      </c>
      <c r="D550" s="1340" t="s">
        <v>11</v>
      </c>
      <c r="E550" s="1295">
        <f t="shared" si="17"/>
        <v>0</v>
      </c>
      <c r="F550" s="1295">
        <f>IF($D550="Trigger",VLOOKUP($C550,'Upper Cask Welding failures'!$E$424:$H$492,4,FALSE),E550+F549)</f>
        <v>41.990116965520677</v>
      </c>
      <c r="G550" s="839"/>
      <c r="H550" s="1341" t="str">
        <f>IF(D550="operation",VLOOKUP(G550,'Generic Vertical Port Tasks'!C453:D512,2,FALSE),"N/A")</f>
        <v>N/A</v>
      </c>
      <c r="I550" s="1340"/>
      <c r="J550" s="1340"/>
      <c r="K550" s="1340"/>
      <c r="L550" s="1342" t="str">
        <f>IFERROR(INDEX('Upper Cask Movement &amp; Logistics'!$I$24:$O$30,MATCH($J550,'Upper Cask Movement &amp; Logistics'!$H$24:$H$30,0),MATCH($K550,'Upper Cask Movement &amp; Logistics'!$H$24:$H$30,0)),"N/A")</f>
        <v>N/A</v>
      </c>
      <c r="M550" s="1342" t="str">
        <f>IFERROR(VLOOKUP($I550,'Upper Cask Movement &amp; Logistics'!$H$4:$I$8,2,FALSE),"N/A")</f>
        <v>N/A</v>
      </c>
      <c r="N550" s="1343" t="str">
        <f t="shared" si="18"/>
        <v>N/A</v>
      </c>
      <c r="O550" s="1344"/>
      <c r="P550" s="1345" t="str">
        <f>IF($D550="Logistics",VLOOKUP($O550,'Upper Cask Movement &amp; Logistics'!$C$4:$D$77,2,FALSE),"N/A")</f>
        <v>N/A</v>
      </c>
    </row>
    <row r="551" spans="1:17" s="89" customFormat="1" outlineLevel="1" x14ac:dyDescent="0.35">
      <c r="A551" s="1213"/>
      <c r="B551" s="3960" t="s">
        <v>1394</v>
      </c>
      <c r="C551" s="1333" t="s">
        <v>1264</v>
      </c>
      <c r="D551" s="1333" t="s">
        <v>907</v>
      </c>
      <c r="E551" s="1303">
        <f t="shared" si="17"/>
        <v>0</v>
      </c>
      <c r="F551" s="1303">
        <f>IF($D551="Trigger",VLOOKUP($C551,'Upper Cask Welding failures'!$E$424:$H$492,4,FALSE),E551+F550)</f>
        <v>43.554191039594762</v>
      </c>
      <c r="G551" s="1304"/>
      <c r="H551" s="1305" t="str">
        <f>IF(D551="operation",VLOOKUP(G551,'Generic Vertical Port Tasks'!C453:D512,2,FALSE),"N/A")</f>
        <v>N/A</v>
      </c>
      <c r="I551" s="1333"/>
      <c r="J551" s="1333"/>
      <c r="K551" s="1333"/>
      <c r="L551" s="1334" t="str">
        <f>IFERROR(INDEX('Upper Cask Movement &amp; Logistics'!$I$24:$O$30,MATCH($J551,'Upper Cask Movement &amp; Logistics'!$H$24:$H$30,0),MATCH($K551,'Upper Cask Movement &amp; Logistics'!$H$24:$H$30,0)),"N/A")</f>
        <v>N/A</v>
      </c>
      <c r="M551" s="1334" t="str">
        <f>IFERROR(VLOOKUP($I551,'Upper Cask Movement &amp; Logistics'!$H$4:$I$8,2,FALSE),"N/A")</f>
        <v>N/A</v>
      </c>
      <c r="N551" s="1335" t="str">
        <f t="shared" si="18"/>
        <v>N/A</v>
      </c>
      <c r="O551" s="1336"/>
      <c r="P551" s="1337" t="str">
        <f>IF($D551="Logistics",VLOOKUP($O551,'Upper Cask Movement &amp; Logistics'!$C$4:$D$77,2,FALSE),"N/A")</f>
        <v>N/A</v>
      </c>
    </row>
    <row r="552" spans="1:17" s="89" customFormat="1" outlineLevel="1" x14ac:dyDescent="0.35">
      <c r="A552" s="1213"/>
      <c r="B552" s="3968"/>
      <c r="C552" s="1240" t="s">
        <v>1395</v>
      </c>
      <c r="D552" s="1240" t="s">
        <v>3</v>
      </c>
      <c r="E552" s="1241">
        <f t="shared" si="17"/>
        <v>2.3000000000000003</v>
      </c>
      <c r="F552" s="1241">
        <f>IF($D552="Trigger",VLOOKUP($C552,'Upper Cask Welding failures'!$E$424:$H$492,4,FALSE),E552+F551)</f>
        <v>45.85419103959476</v>
      </c>
      <c r="G552" s="1354"/>
      <c r="H552" s="1355" t="str">
        <f>IF(D552="operation",VLOOKUP(G552,'Generic Vertical Port Tasks'!C453:D512,2,FALSE),"N/A")</f>
        <v>N/A</v>
      </c>
      <c r="I552" s="1240"/>
      <c r="J552" s="1240"/>
      <c r="K552" s="1240"/>
      <c r="L552" s="1242" t="str">
        <f>IFERROR(INDEX('Upper Cask Movement &amp; Logistics'!$I$24:$O$30,MATCH($J552,'Upper Cask Movement &amp; Logistics'!$H$24:$H$30,0),MATCH($K552,'Upper Cask Movement &amp; Logistics'!$H$24:$H$30,0)),"N/A")</f>
        <v>N/A</v>
      </c>
      <c r="M552" s="1242" t="str">
        <f>IFERROR(VLOOKUP($I552,'Upper Cask Movement &amp; Logistics'!$H$4:$I$8,2,FALSE),"N/A")</f>
        <v>N/A</v>
      </c>
      <c r="N552" s="1356" t="str">
        <f t="shared" si="18"/>
        <v>N/A</v>
      </c>
      <c r="O552" s="1357" t="s">
        <v>1269</v>
      </c>
      <c r="P552" s="1358">
        <f>IF($D552="Logistics",VLOOKUP($O552,'Upper Cask Movement &amp; Logistics'!$C$4:$D$77,2,FALSE),"N/A")</f>
        <v>2.3000000000000003</v>
      </c>
    </row>
    <row r="553" spans="1:17" s="89" customFormat="1" outlineLevel="1" x14ac:dyDescent="0.35">
      <c r="A553" s="1213"/>
      <c r="B553" s="3968"/>
      <c r="C553" s="1240" t="s">
        <v>1344</v>
      </c>
      <c r="D553" s="1240" t="s">
        <v>778</v>
      </c>
      <c r="E553" s="1241">
        <f t="shared" si="17"/>
        <v>0.69444444444444442</v>
      </c>
      <c r="F553" s="1241">
        <f>IF($D553="Trigger",VLOOKUP($C553,'Upper Cask Welding failures'!$E$424:$H$492,4,FALSE),E553+F552)</f>
        <v>46.548635484039202</v>
      </c>
      <c r="G553" s="1354"/>
      <c r="H553" s="1355" t="str">
        <f>IF(D553="operation",VLOOKUP(G553,'Generic Vertical Port Tasks'!C453:D512,2,FALSE),"N/A")</f>
        <v>N/A</v>
      </c>
      <c r="I553" s="1240" t="s">
        <v>1789</v>
      </c>
      <c r="J553" s="1240" t="s">
        <v>901</v>
      </c>
      <c r="K553" s="1240" t="s">
        <v>831</v>
      </c>
      <c r="L553" s="1242">
        <f>IFERROR(INDEX('Upper Cask Movement &amp; Logistics'!$I$24:$O$30,MATCH($J553,'Upper Cask Movement &amp; Logistics'!$H$24:$H$30,0),MATCH($K553,'Upper Cask Movement &amp; Logistics'!$H$24:$H$30,0)),"N/A")</f>
        <v>50</v>
      </c>
      <c r="M553" s="1242">
        <f>IFERROR(VLOOKUP($I553,'Upper Cask Movement &amp; Logistics'!$H$4:$I$8,2,FALSE),"N/A")</f>
        <v>0.02</v>
      </c>
      <c r="N553" s="1356">
        <f t="shared" si="18"/>
        <v>0.69444444444444442</v>
      </c>
      <c r="O553" s="1357"/>
      <c r="P553" s="1358" t="str">
        <f>IF($D553="Logistics",VLOOKUP($O553,'Upper Cask Movement &amp; Logistics'!$C$4:$D$77,2,FALSE),"N/A")</f>
        <v>N/A</v>
      </c>
    </row>
    <row r="554" spans="1:17" s="89" customFormat="1" outlineLevel="1" x14ac:dyDescent="0.35">
      <c r="A554" s="1213"/>
      <c r="B554" s="3968"/>
      <c r="C554" s="1240" t="s">
        <v>1396</v>
      </c>
      <c r="D554" s="1240" t="s">
        <v>3</v>
      </c>
      <c r="E554" s="1241">
        <f t="shared" si="17"/>
        <v>0.68</v>
      </c>
      <c r="F554" s="1241">
        <f>IF($D554="Trigger",VLOOKUP($C554,'Upper Cask Welding failures'!$E$424:$H$492,4,FALSE),E554+F553)</f>
        <v>47.228635484039202</v>
      </c>
      <c r="G554" s="1354"/>
      <c r="H554" s="1355" t="str">
        <f>IF(D554="operation",VLOOKUP(G554,'Generic Vertical Port Tasks'!C453:D512,2,FALSE),"N/A")</f>
        <v>N/A</v>
      </c>
      <c r="I554" s="1240"/>
      <c r="J554" s="1240"/>
      <c r="K554" s="1240"/>
      <c r="L554" s="1242" t="str">
        <f>IFERROR(INDEX('Upper Cask Movement &amp; Logistics'!$I$24:$O$30,MATCH($J554,'Upper Cask Movement &amp; Logistics'!$H$24:$H$30,0),MATCH($K554,'Upper Cask Movement &amp; Logistics'!$H$24:$H$30,0)),"N/A")</f>
        <v>N/A</v>
      </c>
      <c r="M554" s="1242" t="str">
        <f>IFERROR(VLOOKUP($I554,'Upper Cask Movement &amp; Logistics'!$H$4:$I$8,2,FALSE),"N/A")</f>
        <v>N/A</v>
      </c>
      <c r="N554" s="1356" t="str">
        <f t="shared" si="18"/>
        <v>N/A</v>
      </c>
      <c r="O554" s="1357" t="s">
        <v>1213</v>
      </c>
      <c r="P554" s="1358">
        <f>IF($D554="Logistics",VLOOKUP($O554,'Upper Cask Movement &amp; Logistics'!$C$4:$D$77,2,FALSE),"N/A")</f>
        <v>0.68</v>
      </c>
    </row>
    <row r="555" spans="1:17" s="89" customFormat="1" outlineLevel="1" x14ac:dyDescent="0.35">
      <c r="A555" s="1213"/>
      <c r="B555" s="3961"/>
      <c r="C555" s="1243" t="s">
        <v>1340</v>
      </c>
      <c r="D555" s="1243" t="s">
        <v>778</v>
      </c>
      <c r="E555" s="1244">
        <f t="shared" si="17"/>
        <v>0.23148148148148148</v>
      </c>
      <c r="F555" s="1244">
        <f>IF($D555="Trigger",VLOOKUP($C555,'Upper Cask Welding failures'!$E$424:$H$492,4,FALSE),E555+F554)</f>
        <v>47.460116965520683</v>
      </c>
      <c r="G555" s="1309"/>
      <c r="H555" s="1310" t="str">
        <f>IF(D555="operation",VLOOKUP(G555,'Generic Vertical Port Tasks'!C453:D512,2,FALSE),"N/A")</f>
        <v>N/A</v>
      </c>
      <c r="I555" s="1243" t="s">
        <v>2501</v>
      </c>
      <c r="J555" s="1243" t="s">
        <v>831</v>
      </c>
      <c r="K555" s="1243" t="s">
        <v>901</v>
      </c>
      <c r="L555" s="1245">
        <f>IFERROR(INDEX('Upper Cask Movement &amp; Logistics'!$I$24:$O$30,MATCH($J555,'Upper Cask Movement &amp; Logistics'!$H$24:$H$30,0),MATCH($K555,'Upper Cask Movement &amp; Logistics'!$H$24:$H$30,0)),"N/A")</f>
        <v>50</v>
      </c>
      <c r="M555" s="1245">
        <f>IFERROR(VLOOKUP($I555,'Upper Cask Movement &amp; Logistics'!$H$4:$I$8,2,FALSE),"N/A")</f>
        <v>0.06</v>
      </c>
      <c r="N555" s="1311">
        <f t="shared" si="18"/>
        <v>0.23148148148148148</v>
      </c>
      <c r="O555" s="1312"/>
      <c r="P555" s="1313" t="str">
        <f>IF($D555="Logistics",VLOOKUP($O555,'Upper Cask Movement &amp; Logistics'!$C$4:$D$77,2,FALSE),"N/A")</f>
        <v>N/A</v>
      </c>
    </row>
    <row r="556" spans="1:17" s="89" customFormat="1" outlineLevel="1" x14ac:dyDescent="0.35">
      <c r="A556" s="1213"/>
      <c r="B556" s="3961"/>
      <c r="C556" s="1243" t="s">
        <v>1391</v>
      </c>
      <c r="D556" s="1243" t="s">
        <v>3</v>
      </c>
      <c r="E556" s="1244">
        <f t="shared" si="17"/>
        <v>1.4000000000000001</v>
      </c>
      <c r="F556" s="1244">
        <f>IF($D556="Trigger",VLOOKUP($C556,'Upper Cask Welding failures'!$E$424:$H$492,4,FALSE),E556+F555)</f>
        <v>48.860116965520682</v>
      </c>
      <c r="G556" s="1309"/>
      <c r="H556" s="1310" t="str">
        <f>IF(D556="operation",VLOOKUP(G556,'Generic Vertical Port Tasks'!C453:D512,2,FALSE),"N/A")</f>
        <v>N/A</v>
      </c>
      <c r="I556" s="1243"/>
      <c r="J556" s="1243"/>
      <c r="K556" s="1243"/>
      <c r="L556" s="1245" t="str">
        <f>IFERROR(INDEX('Upper Cask Movement &amp; Logistics'!$I$24:$O$30,MATCH($J556,'Upper Cask Movement &amp; Logistics'!$H$24:$H$30,0),MATCH($K556,'Upper Cask Movement &amp; Logistics'!$H$24:$H$30,0)),"N/A")</f>
        <v>N/A</v>
      </c>
      <c r="M556" s="1245" t="str">
        <f>IFERROR(VLOOKUP($I556,'Upper Cask Movement &amp; Logistics'!$H$4:$I$8,2,FALSE),"N/A")</f>
        <v>N/A</v>
      </c>
      <c r="N556" s="1311" t="str">
        <f t="shared" si="18"/>
        <v>N/A</v>
      </c>
      <c r="O556" s="1312" t="s">
        <v>1277</v>
      </c>
      <c r="P556" s="1313">
        <f>IF($D556="Logistics",VLOOKUP($O556,'Upper Cask Movement &amp; Logistics'!$C$4:$D$77,2,FALSE),"N/A")</f>
        <v>1.4000000000000001</v>
      </c>
    </row>
    <row r="557" spans="1:17" s="89" customFormat="1" ht="13.3" outlineLevel="1" thickBot="1" x14ac:dyDescent="0.4">
      <c r="A557" s="1213"/>
      <c r="B557" s="3963"/>
      <c r="C557" s="1314" t="s">
        <v>1394</v>
      </c>
      <c r="D557" s="1314" t="s">
        <v>11</v>
      </c>
      <c r="E557" s="1316">
        <f t="shared" si="17"/>
        <v>0</v>
      </c>
      <c r="F557" s="1316">
        <f>IF($D557="Trigger",VLOOKUP($C557,'Upper Cask Welding failures'!$E$424:$H$492,4,FALSE),E557+F556)</f>
        <v>48.860116965520682</v>
      </c>
      <c r="G557" s="1317"/>
      <c r="H557" s="1318" t="str">
        <f>IF(D557="operation",VLOOKUP(G557,'Generic Vertical Port Tasks'!C453:D512,2,FALSE),"N/A")</f>
        <v>N/A</v>
      </c>
      <c r="I557" s="1314"/>
      <c r="J557" s="1314"/>
      <c r="K557" s="1314"/>
      <c r="L557" s="1319" t="str">
        <f>IFERROR(INDEX('Upper Cask Movement &amp; Logistics'!$I$24:$O$30,MATCH($J557,'Upper Cask Movement &amp; Logistics'!$H$24:$H$30,0),MATCH($K557,'Upper Cask Movement &amp; Logistics'!$H$24:$H$30,0)),"N/A")</f>
        <v>N/A</v>
      </c>
      <c r="M557" s="1319" t="str">
        <f>IFERROR(VLOOKUP($I557,'Upper Cask Movement &amp; Logistics'!$H$4:$I$8,2,FALSE),"N/A")</f>
        <v>N/A</v>
      </c>
      <c r="N557" s="1320" t="str">
        <f t="shared" si="18"/>
        <v>N/A</v>
      </c>
      <c r="O557" s="1321"/>
      <c r="P557" s="1322" t="str">
        <f>IF($D557="Logistics",VLOOKUP($O557,'Upper Cask Movement &amp; Logistics'!$C$4:$D$77,2,FALSE),"N/A")</f>
        <v>N/A</v>
      </c>
    </row>
    <row r="558" spans="1:17" s="89" customFormat="1" outlineLevel="1" x14ac:dyDescent="0.35">
      <c r="A558" s="1213"/>
      <c r="B558" s="3964" t="s">
        <v>1397</v>
      </c>
      <c r="C558" s="1324" t="s">
        <v>1265</v>
      </c>
      <c r="D558" s="1324" t="s">
        <v>907</v>
      </c>
      <c r="E558" s="1291">
        <f t="shared" si="17"/>
        <v>0</v>
      </c>
      <c r="F558" s="1291">
        <f>IF($D558="Trigger",VLOOKUP($C558,'Upper Cask Welding failures'!$E$424:$H$492,4,FALSE),E558+F557)</f>
        <v>50.424191039594767</v>
      </c>
      <c r="G558" s="825"/>
      <c r="H558" s="1323" t="str">
        <f>IF(D558="operation",VLOOKUP(G558,'Generic Vertical Port Tasks'!C454:D516,2,FALSE),"N/A")</f>
        <v>N/A</v>
      </c>
      <c r="I558" s="1324"/>
      <c r="J558" s="1324"/>
      <c r="K558" s="1324"/>
      <c r="L558" s="1325" t="str">
        <f>IFERROR(INDEX('Upper Cask Movement &amp; Logistics'!$I$24:$O$30,MATCH($J558,'Upper Cask Movement &amp; Logistics'!$H$24:$H$30,0),MATCH($K558,'Upper Cask Movement &amp; Logistics'!$H$24:$H$30,0)),"N/A")</f>
        <v>N/A</v>
      </c>
      <c r="M558" s="1325" t="str">
        <f>IFERROR(VLOOKUP($I558,'Upper Cask Movement &amp; Logistics'!$H$4:$I$8,2,FALSE),"N/A")</f>
        <v>N/A</v>
      </c>
      <c r="N558" s="1326" t="str">
        <f t="shared" si="18"/>
        <v>N/A</v>
      </c>
      <c r="O558" s="1327"/>
      <c r="P558" s="824" t="str">
        <f>IF($D558="Logistics",VLOOKUP($O558,'Upper Cask Movement &amp; Logistics'!$C$4:$D$77,2,FALSE),"N/A")</f>
        <v>N/A</v>
      </c>
      <c r="Q558" s="88"/>
    </row>
    <row r="559" spans="1:17" s="89" customFormat="1" outlineLevel="1" x14ac:dyDescent="0.35">
      <c r="A559" s="1213"/>
      <c r="B559" s="3969"/>
      <c r="C559" s="1362" t="s">
        <v>1268</v>
      </c>
      <c r="D559" s="1362" t="s">
        <v>3</v>
      </c>
      <c r="E559" s="1363">
        <f t="shared" si="17"/>
        <v>2.3000000000000003</v>
      </c>
      <c r="F559" s="1363">
        <f>IF($D559="Trigger",VLOOKUP($C559,'Upper Cask Welding failures'!$E$424:$H$492,4,FALSE),E559+F558)</f>
        <v>52.724191039594764</v>
      </c>
      <c r="G559" s="1364"/>
      <c r="H559" s="1365" t="str">
        <f>IF(D559="operation",VLOOKUP(G559,'Generic Vertical Port Tasks'!C455:D517,2,FALSE),"N/A")</f>
        <v>N/A</v>
      </c>
      <c r="I559" s="1362"/>
      <c r="J559" s="1362"/>
      <c r="K559" s="1362"/>
      <c r="L559" s="1366" t="str">
        <f>IFERROR(INDEX('Upper Cask Movement &amp; Logistics'!$I$24:$O$30,MATCH($J559,'Upper Cask Movement &amp; Logistics'!$H$24:$H$30,0),MATCH($K559,'Upper Cask Movement &amp; Logistics'!$H$24:$H$30,0)),"N/A")</f>
        <v>N/A</v>
      </c>
      <c r="M559" s="1366" t="str">
        <f>IFERROR(VLOOKUP($I559,'Upper Cask Movement &amp; Logistics'!$H$4:$I$8,2,FALSE),"N/A")</f>
        <v>N/A</v>
      </c>
      <c r="N559" s="1367" t="str">
        <f t="shared" si="18"/>
        <v>N/A</v>
      </c>
      <c r="O559" s="1368" t="s">
        <v>1269</v>
      </c>
      <c r="P559" s="861">
        <f>IF($D559="Logistics",VLOOKUP($O559,'Upper Cask Movement &amp; Logistics'!$C$4:$D$77,2,FALSE),"N/A")</f>
        <v>2.3000000000000003</v>
      </c>
      <c r="Q559" s="88"/>
    </row>
    <row r="560" spans="1:17" s="89" customFormat="1" outlineLevel="1" x14ac:dyDescent="0.35">
      <c r="A560" s="1213"/>
      <c r="B560" s="3969"/>
      <c r="C560" s="1362" t="s">
        <v>1370</v>
      </c>
      <c r="D560" s="1362" t="s">
        <v>778</v>
      </c>
      <c r="E560" s="1363">
        <f t="shared" si="17"/>
        <v>0.69444444444444442</v>
      </c>
      <c r="F560" s="1363">
        <f>IF($D560="Trigger",VLOOKUP($C560,'Upper Cask Welding failures'!$E$424:$H$492,4,FALSE),E560+F559)</f>
        <v>53.418635484039207</v>
      </c>
      <c r="G560" s="1364"/>
      <c r="H560" s="1365" t="str">
        <f>IF(D560="operation",VLOOKUP(G560,'Generic Vertical Port Tasks'!C457:D518,2,FALSE),"N/A")</f>
        <v>N/A</v>
      </c>
      <c r="I560" s="1362" t="s">
        <v>1789</v>
      </c>
      <c r="J560" s="1362" t="s">
        <v>901</v>
      </c>
      <c r="K560" s="1362" t="s">
        <v>831</v>
      </c>
      <c r="L560" s="1366">
        <f>IFERROR(INDEX('Upper Cask Movement &amp; Logistics'!$I$24:$O$30,MATCH($J560,'Upper Cask Movement &amp; Logistics'!$H$24:$H$30,0),MATCH($K560,'Upper Cask Movement &amp; Logistics'!$H$24:$H$30,0)),"N/A")</f>
        <v>50</v>
      </c>
      <c r="M560" s="1366">
        <f>IFERROR(VLOOKUP($I560,'Upper Cask Movement &amp; Logistics'!$H$4:$I$8,2,FALSE),"N/A")</f>
        <v>0.02</v>
      </c>
      <c r="N560" s="1367">
        <f t="shared" si="18"/>
        <v>0.69444444444444442</v>
      </c>
      <c r="O560" s="1368"/>
      <c r="P560" s="861" t="str">
        <f>IF($D560="Logistics",VLOOKUP($O560,'Upper Cask Movement &amp; Logistics'!$C$4:$D$77,2,FALSE),"N/A")</f>
        <v>N/A</v>
      </c>
      <c r="Q560" s="88"/>
    </row>
    <row r="561" spans="1:17" s="89" customFormat="1" outlineLevel="1" x14ac:dyDescent="0.35">
      <c r="A561" s="1213"/>
      <c r="B561" s="3969"/>
      <c r="C561" s="1362" t="s">
        <v>1398</v>
      </c>
      <c r="D561" s="1362" t="s">
        <v>3</v>
      </c>
      <c r="E561" s="1363">
        <f t="shared" si="17"/>
        <v>0.68</v>
      </c>
      <c r="F561" s="1363">
        <f>IF($D561="Trigger",VLOOKUP($C561,'Upper Cask Welding failures'!$E$424:$H$492,4,FALSE),E561+F560)</f>
        <v>54.098635484039207</v>
      </c>
      <c r="G561" s="1364"/>
      <c r="H561" s="1365" t="str">
        <f>IF(D561="operation",VLOOKUP(G561,'Generic Vertical Port Tasks'!C458:D519,2,FALSE),"N/A")</f>
        <v>N/A</v>
      </c>
      <c r="I561" s="1362"/>
      <c r="J561" s="1362"/>
      <c r="K561" s="1362"/>
      <c r="L561" s="1366" t="str">
        <f>IFERROR(INDEX('Upper Cask Movement &amp; Logistics'!$I$24:$O$30,MATCH($J561,'Upper Cask Movement &amp; Logistics'!$H$24:$H$30,0),MATCH($K561,'Upper Cask Movement &amp; Logistics'!$H$24:$H$30,0)),"N/A")</f>
        <v>N/A</v>
      </c>
      <c r="M561" s="1366" t="str">
        <f>IFERROR(VLOOKUP($I561,'Upper Cask Movement &amp; Logistics'!$H$4:$I$8,2,FALSE),"N/A")</f>
        <v>N/A</v>
      </c>
      <c r="N561" s="1367" t="str">
        <f t="shared" si="18"/>
        <v>N/A</v>
      </c>
      <c r="O561" s="1368" t="s">
        <v>1213</v>
      </c>
      <c r="P561" s="861">
        <f>IF($D561="Logistics",VLOOKUP($O561,'Upper Cask Movement &amp; Logistics'!$C$4:$D$77,2,FALSE),"N/A")</f>
        <v>0.68</v>
      </c>
      <c r="Q561" s="88"/>
    </row>
    <row r="562" spans="1:17" s="89" customFormat="1" outlineLevel="1" x14ac:dyDescent="0.35">
      <c r="A562" s="1213"/>
      <c r="B562" s="3965"/>
      <c r="C562" s="1294" t="s">
        <v>1366</v>
      </c>
      <c r="D562" s="1294" t="s">
        <v>778</v>
      </c>
      <c r="E562" s="1292">
        <f t="shared" si="17"/>
        <v>0.23148148148148148</v>
      </c>
      <c r="F562" s="1292">
        <f>IF($D562="Trigger",VLOOKUP($C562,'Upper Cask Welding failures'!$E$424:$H$492,4,FALSE),E562+F561)</f>
        <v>54.330116965520688</v>
      </c>
      <c r="G562" s="862"/>
      <c r="H562" s="1328" t="str">
        <f>IF(D562="operation",VLOOKUP(G562,'Generic Vertical Port Tasks'!C470:D519,2,FALSE),"N/A")</f>
        <v>N/A</v>
      </c>
      <c r="I562" s="1294" t="s">
        <v>2501</v>
      </c>
      <c r="J562" s="1294" t="s">
        <v>831</v>
      </c>
      <c r="K562" s="1294" t="s">
        <v>901</v>
      </c>
      <c r="L562" s="1329">
        <f>IFERROR(INDEX('Upper Cask Movement &amp; Logistics'!$I$24:$O$30,MATCH($J562,'Upper Cask Movement &amp; Logistics'!$H$24:$H$30,0),MATCH($K562,'Upper Cask Movement &amp; Logistics'!$H$24:$H$30,0)),"N/A")</f>
        <v>50</v>
      </c>
      <c r="M562" s="1329">
        <f>IFERROR(VLOOKUP($I562,'Upper Cask Movement &amp; Logistics'!$H$4:$I$8,2,FALSE),"N/A")</f>
        <v>0.06</v>
      </c>
      <c r="N562" s="1330">
        <f t="shared" si="18"/>
        <v>0.23148148148148148</v>
      </c>
      <c r="O562" s="1331"/>
      <c r="P562" s="1332" t="str">
        <f>IF($D562="Logistics",VLOOKUP($O562,'Upper Cask Movement &amp; Logistics'!$C$4:$D$77,2,FALSE),"N/A")</f>
        <v>N/A</v>
      </c>
    </row>
    <row r="563" spans="1:17" s="89" customFormat="1" outlineLevel="1" x14ac:dyDescent="0.35">
      <c r="A563" s="1213"/>
      <c r="B563" s="3965"/>
      <c r="C563" s="1294" t="s">
        <v>1383</v>
      </c>
      <c r="D563" s="1294" t="s">
        <v>3</v>
      </c>
      <c r="E563" s="1292">
        <f t="shared" si="17"/>
        <v>1.4000000000000001</v>
      </c>
      <c r="F563" s="1292">
        <f>IF($D563="Trigger",VLOOKUP($C563,'Upper Cask Welding failures'!$E$424:$H$492,4,FALSE),E563+F562)</f>
        <v>55.730116965520686</v>
      </c>
      <c r="G563" s="862"/>
      <c r="H563" s="1328" t="str">
        <f>IF(D563="operation",VLOOKUP(G563,'Generic Vertical Port Tasks'!C513:D520,2,FALSE),"N/A")</f>
        <v>N/A</v>
      </c>
      <c r="I563" s="1294"/>
      <c r="J563" s="1294"/>
      <c r="K563" s="1294"/>
      <c r="L563" s="1329" t="str">
        <f>IFERROR(INDEX('Upper Cask Movement &amp; Logistics'!$I$24:$O$30,MATCH($J563,'Upper Cask Movement &amp; Logistics'!$H$24:$H$30,0),MATCH($K563,'Upper Cask Movement &amp; Logistics'!$H$24:$H$30,0)),"N/A")</f>
        <v>N/A</v>
      </c>
      <c r="M563" s="1329" t="str">
        <f>IFERROR(VLOOKUP($I563,'Upper Cask Movement &amp; Logistics'!$H$4:$I$8,2,FALSE),"N/A")</f>
        <v>N/A</v>
      </c>
      <c r="N563" s="1330" t="str">
        <f t="shared" si="18"/>
        <v>N/A</v>
      </c>
      <c r="O563" s="1331" t="s">
        <v>1277</v>
      </c>
      <c r="P563" s="1332">
        <f>IF($D563="Logistics",VLOOKUP($O563,'Upper Cask Movement &amp; Logistics'!$C$4:$D$77,2,FALSE),"N/A")</f>
        <v>1.4000000000000001</v>
      </c>
    </row>
    <row r="564" spans="1:17" s="89" customFormat="1" ht="13.3" outlineLevel="1" thickBot="1" x14ac:dyDescent="0.4">
      <c r="A564" s="1213"/>
      <c r="B564" s="3966"/>
      <c r="C564" s="1340" t="s">
        <v>1397</v>
      </c>
      <c r="D564" s="1340" t="s">
        <v>11</v>
      </c>
      <c r="E564" s="1295">
        <f t="shared" si="17"/>
        <v>0</v>
      </c>
      <c r="F564" s="1295">
        <f>IF($D564="Trigger",VLOOKUP($C564,'Upper Cask Welding failures'!$E$424:$H$492,4,FALSE),E564+F563)</f>
        <v>55.730116965520686</v>
      </c>
      <c r="G564" s="839"/>
      <c r="H564" s="1341" t="str">
        <f>IF(D564="operation",VLOOKUP(G564,'Generic Vertical Port Tasks'!C513:D525,2,FALSE),"N/A")</f>
        <v>N/A</v>
      </c>
      <c r="I564" s="1340"/>
      <c r="J564" s="1340"/>
      <c r="K564" s="1340"/>
      <c r="L564" s="1342" t="str">
        <f>IFERROR(INDEX('Upper Cask Movement &amp; Logistics'!$I$24:$O$30,MATCH($J564,'Upper Cask Movement &amp; Logistics'!$H$24:$H$30,0),MATCH($K564,'Upper Cask Movement &amp; Logistics'!$H$24:$H$30,0)),"N/A")</f>
        <v>N/A</v>
      </c>
      <c r="M564" s="1342" t="str">
        <f>IFERROR(VLOOKUP($I564,'Upper Cask Movement &amp; Logistics'!$H$4:$I$8,2,FALSE),"N/A")</f>
        <v>N/A</v>
      </c>
      <c r="N564" s="1343" t="str">
        <f t="shared" si="18"/>
        <v>N/A</v>
      </c>
      <c r="O564" s="1344"/>
      <c r="P564" s="1345" t="str">
        <f>IF($D564="Logistics",VLOOKUP($O564,'Upper Cask Movement &amp; Logistics'!$C$4:$D$77,2,FALSE),"N/A")</f>
        <v>N/A</v>
      </c>
    </row>
    <row r="565" spans="1:17" s="89" customFormat="1" outlineLevel="1" x14ac:dyDescent="0.35">
      <c r="A565" s="1213"/>
      <c r="B565" s="3960" t="s">
        <v>1399</v>
      </c>
      <c r="C565" s="1333" t="s">
        <v>1266</v>
      </c>
      <c r="D565" s="1333" t="s">
        <v>907</v>
      </c>
      <c r="E565" s="1303">
        <f t="shared" si="17"/>
        <v>0</v>
      </c>
      <c r="F565" s="1549">
        <f>IF($D565="Trigger",VLOOKUP($C565,'Upper Cask Welding failures'!$E$424:$H$492,4,FALSE),E565+F564)</f>
        <v>57.294191039594772</v>
      </c>
      <c r="G565" s="1304"/>
      <c r="H565" s="1305" t="str">
        <f>IF(D565="operation",VLOOKUP(G565,'Generic Vertical Port Tasks'!C486:D529,2,FALSE),"N/A")</f>
        <v>N/A</v>
      </c>
      <c r="I565" s="1333"/>
      <c r="J565" s="1333"/>
      <c r="K565" s="1333"/>
      <c r="L565" s="1334" t="str">
        <f>IFERROR(INDEX('Upper Cask Movement &amp; Logistics'!$I$24:$O$30,MATCH($J565,'Upper Cask Movement &amp; Logistics'!$H$24:$H$30,0),MATCH($K565,'Upper Cask Movement &amp; Logistics'!$H$24:$H$30,0)),"N/A")</f>
        <v>N/A</v>
      </c>
      <c r="M565" s="1334" t="str">
        <f>IFERROR(VLOOKUP($I565,'Upper Cask Movement &amp; Logistics'!$H$4:$I$8,2,FALSE),"N/A")</f>
        <v>N/A</v>
      </c>
      <c r="N565" s="1335" t="str">
        <f t="shared" si="18"/>
        <v>N/A</v>
      </c>
      <c r="O565" s="1336"/>
      <c r="P565" s="1337" t="str">
        <f>IF($D565="Logistics",VLOOKUP($O565,'Upper Cask Movement &amp; Logistics'!$C$4:$D$77,2,FALSE),"N/A")</f>
        <v>N/A</v>
      </c>
    </row>
    <row r="566" spans="1:17" s="89" customFormat="1" outlineLevel="1" x14ac:dyDescent="0.35">
      <c r="A566" s="1213"/>
      <c r="B566" s="3968"/>
      <c r="C566" s="1240" t="s">
        <v>1344</v>
      </c>
      <c r="D566" s="1240" t="s">
        <v>778</v>
      </c>
      <c r="E566" s="1241">
        <f t="shared" si="17"/>
        <v>0.34722222222222221</v>
      </c>
      <c r="F566" s="1248">
        <f>IF($D566="Trigger",VLOOKUP($C566,'Upper Cask Welding failures'!$E$424:$H$492,4,FALSE),E566+F565)</f>
        <v>57.641413261816993</v>
      </c>
      <c r="G566" s="1354"/>
      <c r="H566" s="1355" t="str">
        <f>IF(D566="operation",VLOOKUP(G566,'Generic Vertical Port Tasks'!C486:D529,2,FALSE),"N/A")</f>
        <v>N/A</v>
      </c>
      <c r="I566" s="1240" t="s">
        <v>1789</v>
      </c>
      <c r="J566" s="1240" t="s">
        <v>901</v>
      </c>
      <c r="K566" s="1240" t="s">
        <v>858</v>
      </c>
      <c r="L566" s="1242">
        <f>IFERROR(INDEX('Upper Cask Movement &amp; Logistics'!$I$24:$O$30,MATCH($J566,'Upper Cask Movement &amp; Logistics'!$H$24:$H$30,0),MATCH($K566,'Upper Cask Movement &amp; Logistics'!$H$24:$H$30,0)),"N/A")</f>
        <v>25</v>
      </c>
      <c r="M566" s="1242">
        <f>IFERROR(VLOOKUP($I566,'Upper Cask Movement &amp; Logistics'!$H$4:$I$8,2,FALSE),"N/A")</f>
        <v>0.02</v>
      </c>
      <c r="N566" s="1356">
        <f t="shared" si="18"/>
        <v>0.34722222222222221</v>
      </c>
      <c r="O566" s="1357"/>
      <c r="P566" s="1358" t="str">
        <f>IF($D566="Logistics",VLOOKUP($O566,'Upper Cask Movement &amp; Logistics'!$C$4:$D$77,2,FALSE),"N/A")</f>
        <v>N/A</v>
      </c>
    </row>
    <row r="567" spans="1:17" s="89" customFormat="1" outlineLevel="1" x14ac:dyDescent="0.35">
      <c r="A567" s="1213"/>
      <c r="B567" s="3968"/>
      <c r="C567" s="1240" t="s">
        <v>1400</v>
      </c>
      <c r="D567" s="1240" t="s">
        <v>3</v>
      </c>
      <c r="E567" s="1241">
        <f t="shared" si="17"/>
        <v>0.68</v>
      </c>
      <c r="F567" s="1241">
        <f>IF($D567="Trigger",VLOOKUP($C567,'Upper Cask Welding failures'!$E$424:$H$492,4,FALSE),E567+F566)</f>
        <v>58.321413261816993</v>
      </c>
      <c r="G567" s="1354"/>
      <c r="H567" s="1355" t="str">
        <f>IF(D567="operation",VLOOKUP(G567,'Generic Vertical Port Tasks'!C486:D529,2,FALSE),"N/A")</f>
        <v>N/A</v>
      </c>
      <c r="I567" s="1240"/>
      <c r="J567" s="1240"/>
      <c r="K567" s="1240"/>
      <c r="L567" s="1242" t="str">
        <f>IFERROR(INDEX('Upper Cask Movement &amp; Logistics'!$I$24:$O$30,MATCH($J567,'Upper Cask Movement &amp; Logistics'!$H$24:$H$30,0),MATCH($K567,'Upper Cask Movement &amp; Logistics'!$H$24:$H$30,0)),"N/A")</f>
        <v>N/A</v>
      </c>
      <c r="M567" s="1242" t="str">
        <f>IFERROR(VLOOKUP($I567,'Upper Cask Movement &amp; Logistics'!$H$4:$I$8,2,FALSE),"N/A")</f>
        <v>N/A</v>
      </c>
      <c r="N567" s="1356" t="str">
        <f t="shared" si="18"/>
        <v>N/A</v>
      </c>
      <c r="O567" s="1357" t="s">
        <v>1213</v>
      </c>
      <c r="P567" s="1358">
        <f>IF($D567="Logistics",VLOOKUP($O567,'Upper Cask Movement &amp; Logistics'!$C$4:$D$77,2,FALSE),"N/A")</f>
        <v>0.68</v>
      </c>
    </row>
    <row r="568" spans="1:17" s="89" customFormat="1" outlineLevel="1" x14ac:dyDescent="0.35">
      <c r="A568" s="1213"/>
      <c r="B568" s="3961"/>
      <c r="C568" s="1243" t="s">
        <v>1340</v>
      </c>
      <c r="D568" s="1243" t="s">
        <v>778</v>
      </c>
      <c r="E568" s="1244">
        <f t="shared" si="17"/>
        <v>0.23148148148148148</v>
      </c>
      <c r="F568" s="1244">
        <f>IF($D568="Trigger",VLOOKUP($C568,'Upper Cask Welding failures'!$E$424:$H$492,4,FALSE),E568+F567)</f>
        <v>58.552894743298474</v>
      </c>
      <c r="G568" s="1309"/>
      <c r="H568" s="1310" t="str">
        <f>IF(D568="operation",VLOOKUP(G568,'Generic Vertical Port Tasks'!C486:D529,2,FALSE),"N/A")</f>
        <v>N/A</v>
      </c>
      <c r="I568" s="1243" t="s">
        <v>2501</v>
      </c>
      <c r="J568" s="1243" t="s">
        <v>831</v>
      </c>
      <c r="K568" s="1243" t="s">
        <v>901</v>
      </c>
      <c r="L568" s="1245">
        <f>IFERROR(INDEX('Upper Cask Movement &amp; Logistics'!$I$24:$O$30,MATCH($J568,'Upper Cask Movement &amp; Logistics'!$H$24:$H$30,0),MATCH($K568,'Upper Cask Movement &amp; Logistics'!$H$24:$H$30,0)),"N/A")</f>
        <v>50</v>
      </c>
      <c r="M568" s="1245">
        <f>IFERROR(VLOOKUP($I568,'Upper Cask Movement &amp; Logistics'!$H$4:$I$8,2,FALSE),"N/A")</f>
        <v>0.06</v>
      </c>
      <c r="N568" s="1311">
        <f t="shared" si="18"/>
        <v>0.23148148148148148</v>
      </c>
      <c r="O568" s="1312"/>
      <c r="P568" s="1313" t="str">
        <f>IF($D568="Logistics",VLOOKUP($O568,'Upper Cask Movement &amp; Logistics'!$C$4:$D$77,2,FALSE),"N/A")</f>
        <v>N/A</v>
      </c>
    </row>
    <row r="569" spans="1:17" s="89" customFormat="1" outlineLevel="1" x14ac:dyDescent="0.35">
      <c r="A569" s="1213"/>
      <c r="B569" s="3961"/>
      <c r="C569" s="1243" t="s">
        <v>1391</v>
      </c>
      <c r="D569" s="1243" t="s">
        <v>3</v>
      </c>
      <c r="E569" s="1244">
        <f t="shared" si="17"/>
        <v>1.4000000000000001</v>
      </c>
      <c r="F569" s="1244">
        <f>IF($D569="Trigger",VLOOKUP($C569,'Upper Cask Welding failures'!$E$424:$H$492,4,FALSE),E569+F568)</f>
        <v>59.952894743298472</v>
      </c>
      <c r="G569" s="1309"/>
      <c r="H569" s="1310" t="str">
        <f>IF(D569="operation",VLOOKUP(G569,'Generic Vertical Port Tasks'!C486:D529,2,FALSE),"N/A")</f>
        <v>N/A</v>
      </c>
      <c r="I569" s="1243"/>
      <c r="J569" s="1243"/>
      <c r="K569" s="1243"/>
      <c r="L569" s="1245" t="str">
        <f>IFERROR(INDEX('Upper Cask Movement &amp; Logistics'!$I$24:$O$30,MATCH($J569,'Upper Cask Movement &amp; Logistics'!$H$24:$H$30,0),MATCH($K569,'Upper Cask Movement &amp; Logistics'!$H$24:$H$30,0)),"N/A")</f>
        <v>N/A</v>
      </c>
      <c r="M569" s="1245" t="str">
        <f>IFERROR(VLOOKUP($I569,'Upper Cask Movement &amp; Logistics'!$H$4:$I$8,2,FALSE),"N/A")</f>
        <v>N/A</v>
      </c>
      <c r="N569" s="1311" t="str">
        <f t="shared" si="18"/>
        <v>N/A</v>
      </c>
      <c r="O569" s="1312" t="s">
        <v>1277</v>
      </c>
      <c r="P569" s="1313">
        <f>IF($D569="Logistics",VLOOKUP($O569,'Upper Cask Movement &amp; Logistics'!$C$4:$D$77,2,FALSE),"N/A")</f>
        <v>1.4000000000000001</v>
      </c>
    </row>
    <row r="570" spans="1:17" s="89" customFormat="1" ht="13.3" outlineLevel="1" thickBot="1" x14ac:dyDescent="0.4">
      <c r="A570" s="1213"/>
      <c r="B570" s="3963"/>
      <c r="C570" s="1314" t="s">
        <v>1399</v>
      </c>
      <c r="D570" s="1314" t="s">
        <v>11</v>
      </c>
      <c r="E570" s="1316">
        <f t="shared" si="17"/>
        <v>0</v>
      </c>
      <c r="F570" s="1316">
        <f>IF($D570="Trigger",VLOOKUP($C570,'Upper Cask Welding failures'!$E$424:$H$492,4,FALSE),E570+F569)</f>
        <v>59.952894743298472</v>
      </c>
      <c r="G570" s="1317"/>
      <c r="H570" s="1318" t="str">
        <f>IF(D570="operation",VLOOKUP(G570,'Generic Vertical Port Tasks'!C486:D529,2,FALSE),"N/A")</f>
        <v>N/A</v>
      </c>
      <c r="I570" s="1314"/>
      <c r="J570" s="1314"/>
      <c r="K570" s="1314"/>
      <c r="L570" s="1319" t="str">
        <f>IFERROR(INDEX('Upper Cask Movement &amp; Logistics'!$I$24:$O$30,MATCH($J570,'Upper Cask Movement &amp; Logistics'!$H$24:$H$30,0),MATCH($K570,'Upper Cask Movement &amp; Logistics'!$H$24:$H$30,0)),"N/A")</f>
        <v>N/A</v>
      </c>
      <c r="M570" s="1319" t="str">
        <f>IFERROR(VLOOKUP($I570,'Upper Cask Movement &amp; Logistics'!$H$4:$I$8,2,FALSE),"N/A")</f>
        <v>N/A</v>
      </c>
      <c r="N570" s="1320" t="str">
        <f t="shared" si="18"/>
        <v>N/A</v>
      </c>
      <c r="O570" s="1321"/>
      <c r="P570" s="1322" t="str">
        <f>IF($D570="Logistics",VLOOKUP($O570,'Upper Cask Movement &amp; Logistics'!$C$4:$D$77,2,FALSE),"N/A")</f>
        <v>N/A</v>
      </c>
    </row>
    <row r="571" spans="1:17" s="89" customFormat="1" outlineLevel="1" x14ac:dyDescent="0.35">
      <c r="A571" s="1213"/>
      <c r="B571" s="3964" t="s">
        <v>1401</v>
      </c>
      <c r="C571" s="1324" t="s">
        <v>1530</v>
      </c>
      <c r="D571" s="1324" t="s">
        <v>907</v>
      </c>
      <c r="E571" s="1291">
        <f t="shared" si="17"/>
        <v>0</v>
      </c>
      <c r="F571" s="1291">
        <f>IF($D571="Trigger",VLOOKUP($C571,'Upper Cask Welding failures'!$E$424:$H$492,4,FALSE),E571+F570)</f>
        <v>66.464191039594766</v>
      </c>
      <c r="G571" s="825"/>
      <c r="H571" s="1323" t="str">
        <f>IF(D571="operation",VLOOKUP(G571,'Generic Vertical Port Tasks'!C488:D542,2,FALSE),"N/A")</f>
        <v>N/A</v>
      </c>
      <c r="I571" s="1324"/>
      <c r="J571" s="1324"/>
      <c r="K571" s="1324"/>
      <c r="L571" s="1325" t="str">
        <f>IFERROR(INDEX('Upper Cask Movement &amp; Logistics'!$I$24:$O$30,MATCH($J571,'Upper Cask Movement &amp; Logistics'!$H$24:$H$30,0),MATCH($K571,'Upper Cask Movement &amp; Logistics'!$H$24:$H$30,0)),"N/A")</f>
        <v>N/A</v>
      </c>
      <c r="M571" s="1325" t="str">
        <f>IFERROR(VLOOKUP($I571,'Upper Cask Movement &amp; Logistics'!$H$4:$I$8,2,FALSE),"N/A")</f>
        <v>N/A</v>
      </c>
      <c r="N571" s="1326" t="str">
        <f t="shared" si="18"/>
        <v>N/A</v>
      </c>
      <c r="O571" s="1327"/>
      <c r="P571" s="824" t="str">
        <f>IF($D571="Logistics",VLOOKUP($O571,'Upper Cask Movement &amp; Logistics'!$C$4:$D$77,2,FALSE),"N/A")</f>
        <v>N/A</v>
      </c>
    </row>
    <row r="572" spans="1:17" s="89" customFormat="1" outlineLevel="1" x14ac:dyDescent="0.35">
      <c r="A572" s="1213"/>
      <c r="B572" s="3969"/>
      <c r="C572" s="1362" t="s">
        <v>1268</v>
      </c>
      <c r="D572" s="1362" t="s">
        <v>3</v>
      </c>
      <c r="E572" s="1363">
        <f t="shared" si="17"/>
        <v>2.3000000000000003</v>
      </c>
      <c r="F572" s="1363">
        <f>IF($D572="Trigger",VLOOKUP($C572,'Upper Cask Welding failures'!$E$424:$H$492,4,FALSE),E572+F571)</f>
        <v>68.764191039594763</v>
      </c>
      <c r="G572" s="1364"/>
      <c r="H572" s="1365" t="str">
        <f>IF(D572="operation",VLOOKUP(G572,'Generic Vertical Port Tasks'!C488:D542,2,FALSE),"N/A")</f>
        <v>N/A</v>
      </c>
      <c r="I572" s="1362"/>
      <c r="J572" s="1362"/>
      <c r="K572" s="1362"/>
      <c r="L572" s="1366" t="str">
        <f>IFERROR(INDEX('Upper Cask Movement &amp; Logistics'!$I$24:$O$30,MATCH($J572,'Upper Cask Movement &amp; Logistics'!$H$24:$H$30,0),MATCH($K572,'Upper Cask Movement &amp; Logistics'!$H$24:$H$30,0)),"N/A")</f>
        <v>N/A</v>
      </c>
      <c r="M572" s="1366" t="str">
        <f>IFERROR(VLOOKUP($I572,'Upper Cask Movement &amp; Logistics'!$H$4:$I$8,2,FALSE),"N/A")</f>
        <v>N/A</v>
      </c>
      <c r="N572" s="1367" t="str">
        <f t="shared" si="18"/>
        <v>N/A</v>
      </c>
      <c r="O572" s="1368" t="s">
        <v>1269</v>
      </c>
      <c r="P572" s="861">
        <f>IF($D572="Logistics",VLOOKUP($O572,'Upper Cask Movement &amp; Logistics'!$C$4:$D$77,2,FALSE),"N/A")</f>
        <v>2.3000000000000003</v>
      </c>
    </row>
    <row r="573" spans="1:17" s="89" customFormat="1" outlineLevel="1" x14ac:dyDescent="0.35">
      <c r="A573" s="1213"/>
      <c r="B573" s="3969"/>
      <c r="C573" s="1362" t="s">
        <v>1344</v>
      </c>
      <c r="D573" s="1362" t="s">
        <v>778</v>
      </c>
      <c r="E573" s="1363">
        <f t="shared" si="17"/>
        <v>0.69444444444444442</v>
      </c>
      <c r="F573" s="1363">
        <f>IF($D573="Trigger",VLOOKUP($C573,'Upper Cask Welding failures'!$E$424:$H$492,4,FALSE),E573+F572)</f>
        <v>69.458635484039206</v>
      </c>
      <c r="G573" s="1364"/>
      <c r="H573" s="1365" t="str">
        <f>IF(D573="operation",VLOOKUP(G573,'Generic Vertical Port Tasks'!C488:D542,2,FALSE),"N/A")</f>
        <v>N/A</v>
      </c>
      <c r="I573" s="1362" t="s">
        <v>1789</v>
      </c>
      <c r="J573" s="1362" t="s">
        <v>901</v>
      </c>
      <c r="K573" s="1362" t="s">
        <v>831</v>
      </c>
      <c r="L573" s="1366">
        <f>IFERROR(INDEX('Upper Cask Movement &amp; Logistics'!$I$24:$O$30,MATCH($J573,'Upper Cask Movement &amp; Logistics'!$H$24:$H$30,0),MATCH($K573,'Upper Cask Movement &amp; Logistics'!$H$24:$H$30,0)),"N/A")</f>
        <v>50</v>
      </c>
      <c r="M573" s="1366">
        <f>IFERROR(VLOOKUP($I573,'Upper Cask Movement &amp; Logistics'!$H$4:$I$8,2,FALSE),"N/A")</f>
        <v>0.02</v>
      </c>
      <c r="N573" s="1367">
        <f t="shared" si="18"/>
        <v>0.69444444444444442</v>
      </c>
      <c r="O573" s="1368"/>
      <c r="P573" s="861" t="str">
        <f>IF($D573="Logistics",VLOOKUP($O573,'Upper Cask Movement &amp; Logistics'!$C$4:$D$77,2,FALSE),"N/A")</f>
        <v>N/A</v>
      </c>
    </row>
    <row r="574" spans="1:17" s="89" customFormat="1" outlineLevel="1" x14ac:dyDescent="0.35">
      <c r="A574" s="1213"/>
      <c r="B574" s="3969"/>
      <c r="C574" s="1362" t="s">
        <v>1400</v>
      </c>
      <c r="D574" s="1362" t="s">
        <v>3</v>
      </c>
      <c r="E574" s="1363">
        <f t="shared" si="17"/>
        <v>0.68</v>
      </c>
      <c r="F574" s="1363">
        <f>IF($D574="Trigger",VLOOKUP($C574,'Upper Cask Welding failures'!$E$424:$H$492,4,FALSE),E574+F573)</f>
        <v>70.138635484039213</v>
      </c>
      <c r="G574" s="1364"/>
      <c r="H574" s="1365" t="str">
        <f>IF(D574="operation",VLOOKUP(G574,'Generic Vertical Port Tasks'!C488:D542,2,FALSE),"N/A")</f>
        <v>N/A</v>
      </c>
      <c r="I574" s="1362"/>
      <c r="J574" s="1362"/>
      <c r="K574" s="1362"/>
      <c r="L574" s="1366" t="str">
        <f>IFERROR(INDEX('Upper Cask Movement &amp; Logistics'!$I$24:$O$30,MATCH($J574,'Upper Cask Movement &amp; Logistics'!$H$24:$H$30,0),MATCH($K574,'Upper Cask Movement &amp; Logistics'!$H$24:$H$30,0)),"N/A")</f>
        <v>N/A</v>
      </c>
      <c r="M574" s="1366" t="str">
        <f>IFERROR(VLOOKUP($I574,'Upper Cask Movement &amp; Logistics'!$H$4:$I$8,2,FALSE),"N/A")</f>
        <v>N/A</v>
      </c>
      <c r="N574" s="1367" t="str">
        <f t="shared" si="18"/>
        <v>N/A</v>
      </c>
      <c r="O574" s="1368" t="s">
        <v>1213</v>
      </c>
      <c r="P574" s="861">
        <f>IF($D574="Logistics",VLOOKUP($O574,'Upper Cask Movement &amp; Logistics'!$C$4:$D$77,2,FALSE),"N/A")</f>
        <v>0.68</v>
      </c>
    </row>
    <row r="575" spans="1:17" s="89" customFormat="1" outlineLevel="1" x14ac:dyDescent="0.35">
      <c r="A575" s="1213"/>
      <c r="B575" s="3965"/>
      <c r="C575" s="1294" t="s">
        <v>1340</v>
      </c>
      <c r="D575" s="1294" t="s">
        <v>778</v>
      </c>
      <c r="E575" s="1292">
        <f t="shared" si="17"/>
        <v>0.23148148148148148</v>
      </c>
      <c r="F575" s="1292">
        <f>IF($D575="Trigger",VLOOKUP($C575,'Upper Cask Welding failures'!$E$424:$H$492,4,FALSE),E575+F574)</f>
        <v>70.370116965520694</v>
      </c>
      <c r="G575" s="862"/>
      <c r="H575" s="1328" t="str">
        <f>IF(D575="operation",VLOOKUP(G575,'Generic Vertical Port Tasks'!C488:D542,2,FALSE),"N/A")</f>
        <v>N/A</v>
      </c>
      <c r="I575" s="1294" t="s">
        <v>2501</v>
      </c>
      <c r="J575" s="1294" t="s">
        <v>831</v>
      </c>
      <c r="K575" s="1294" t="s">
        <v>901</v>
      </c>
      <c r="L575" s="1329">
        <f>IFERROR(INDEX('Upper Cask Movement &amp; Logistics'!$I$24:$O$30,MATCH($J575,'Upper Cask Movement &amp; Logistics'!$H$24:$H$30,0),MATCH($K575,'Upper Cask Movement &amp; Logistics'!$H$24:$H$30,0)),"N/A")</f>
        <v>50</v>
      </c>
      <c r="M575" s="1329">
        <f>IFERROR(VLOOKUP($I575,'Upper Cask Movement &amp; Logistics'!$H$4:$I$8,2,FALSE),"N/A")</f>
        <v>0.06</v>
      </c>
      <c r="N575" s="1330">
        <f t="shared" si="18"/>
        <v>0.23148148148148148</v>
      </c>
      <c r="O575" s="1331"/>
      <c r="P575" s="1332" t="str">
        <f>IF($D575="Logistics",VLOOKUP($O575,'Upper Cask Movement &amp; Logistics'!$C$4:$D$77,2,FALSE),"N/A")</f>
        <v>N/A</v>
      </c>
    </row>
    <row r="576" spans="1:17" s="89" customFormat="1" outlineLevel="1" x14ac:dyDescent="0.35">
      <c r="A576" s="1213"/>
      <c r="B576" s="3965"/>
      <c r="C576" s="1294" t="s">
        <v>1391</v>
      </c>
      <c r="D576" s="1294" t="s">
        <v>3</v>
      </c>
      <c r="E576" s="1292">
        <f t="shared" si="17"/>
        <v>1.4000000000000001</v>
      </c>
      <c r="F576" s="1292">
        <f>IF($D576="Trigger",VLOOKUP($C576,'Upper Cask Welding failures'!$E$424:$H$492,4,FALSE),E576+F575)</f>
        <v>71.7701169655207</v>
      </c>
      <c r="G576" s="862"/>
      <c r="H576" s="1328" t="str">
        <f>IF(D576="operation",VLOOKUP(G576,'Generic Vertical Port Tasks'!C488:D542,2,FALSE),"N/A")</f>
        <v>N/A</v>
      </c>
      <c r="I576" s="1294"/>
      <c r="J576" s="1294"/>
      <c r="K576" s="1294"/>
      <c r="L576" s="1329" t="str">
        <f>IFERROR(INDEX('Upper Cask Movement &amp; Logistics'!$I$24:$O$30,MATCH($J576,'Upper Cask Movement &amp; Logistics'!$H$24:$H$30,0),MATCH($K576,'Upper Cask Movement &amp; Logistics'!$H$24:$H$30,0)),"N/A")</f>
        <v>N/A</v>
      </c>
      <c r="M576" s="1329" t="str">
        <f>IFERROR(VLOOKUP($I576,'Upper Cask Movement &amp; Logistics'!$H$4:$I$8,2,FALSE),"N/A")</f>
        <v>N/A</v>
      </c>
      <c r="N576" s="1330" t="str">
        <f t="shared" si="18"/>
        <v>N/A</v>
      </c>
      <c r="O576" s="1331" t="s">
        <v>1277</v>
      </c>
      <c r="P576" s="1332">
        <f>IF($D576="Logistics",VLOOKUP($O576,'Upper Cask Movement &amp; Logistics'!$C$4:$D$77,2,FALSE),"N/A")</f>
        <v>1.4000000000000001</v>
      </c>
    </row>
    <row r="577" spans="1:16" s="89" customFormat="1" ht="13.3" outlineLevel="1" thickBot="1" x14ac:dyDescent="0.4">
      <c r="A577" s="1213"/>
      <c r="B577" s="3966"/>
      <c r="C577" s="1340" t="s">
        <v>1401</v>
      </c>
      <c r="D577" s="1340" t="s">
        <v>11</v>
      </c>
      <c r="E577" s="1295">
        <f t="shared" si="17"/>
        <v>0</v>
      </c>
      <c r="F577" s="1295">
        <f>IF($D577="Trigger",VLOOKUP($C577,'Upper Cask Welding failures'!$E$424:$H$492,4,FALSE),E577+F576)</f>
        <v>71.7701169655207</v>
      </c>
      <c r="G577" s="839"/>
      <c r="H577" s="1341" t="str">
        <f>IF(D577="operation",VLOOKUP(G577,'Generic Vertical Port Tasks'!C488:D542,2,FALSE),"N/A")</f>
        <v>N/A</v>
      </c>
      <c r="I577" s="1340"/>
      <c r="J577" s="1340"/>
      <c r="K577" s="1340"/>
      <c r="L577" s="1342" t="str">
        <f>IFERROR(INDEX('Upper Cask Movement &amp; Logistics'!$I$24:$O$30,MATCH($J577,'Upper Cask Movement &amp; Logistics'!$H$24:$H$30,0),MATCH($K577,'Upper Cask Movement &amp; Logistics'!$H$24:$H$30,0)),"N/A")</f>
        <v>N/A</v>
      </c>
      <c r="M577" s="1342" t="str">
        <f>IFERROR(VLOOKUP($I577,'Upper Cask Movement &amp; Logistics'!$H$4:$I$8,2,FALSE),"N/A")</f>
        <v>N/A</v>
      </c>
      <c r="N577" s="1343" t="str">
        <f t="shared" si="18"/>
        <v>N/A</v>
      </c>
      <c r="O577" s="1344"/>
      <c r="P577" s="1345" t="str">
        <f>IF($D577="Logistics",VLOOKUP($O577,'Upper Cask Movement &amp; Logistics'!$C$4:$D$77,2,FALSE),"N/A")</f>
        <v>N/A</v>
      </c>
    </row>
    <row r="578" spans="1:16" s="89" customFormat="1" outlineLevel="1" x14ac:dyDescent="0.35">
      <c r="A578" s="1213"/>
      <c r="B578" s="3960" t="s">
        <v>1388</v>
      </c>
      <c r="C578" s="1333" t="s">
        <v>1531</v>
      </c>
      <c r="D578" s="1333" t="s">
        <v>907</v>
      </c>
      <c r="E578" s="1303">
        <f t="shared" si="17"/>
        <v>0</v>
      </c>
      <c r="F578" s="1303">
        <f>IF($D578="Trigger",VLOOKUP($C578,'Upper Cask Welding failures'!$E$424:$H$492,4,FALSE),E578+F577)</f>
        <v>26.61974659515031</v>
      </c>
      <c r="G578" s="1304"/>
      <c r="H578" s="1305" t="str">
        <f>IF(D578="operation",VLOOKUP(G578,'Generic Vertical Port Tasks'!C461:D520,2,FALSE),"N/A")</f>
        <v>N/A</v>
      </c>
      <c r="I578" s="1333"/>
      <c r="J578" s="1333"/>
      <c r="K578" s="1333"/>
      <c r="L578" s="1334" t="str">
        <f>IFERROR(INDEX('Upper Cask Movement &amp; Logistics'!$I$24:$O$30,MATCH($J578,'Upper Cask Movement &amp; Logistics'!$H$24:$H$30,0),MATCH($K578,'Upper Cask Movement &amp; Logistics'!$H$24:$H$30,0)),"N/A")</f>
        <v>N/A</v>
      </c>
      <c r="M578" s="1334" t="str">
        <f>IFERROR(VLOOKUP($I578,'Upper Cask Movement &amp; Logistics'!$H$4:$I$8,2,FALSE),"N/A")</f>
        <v>N/A</v>
      </c>
      <c r="N578" s="1335" t="str">
        <f t="shared" si="18"/>
        <v>N/A</v>
      </c>
      <c r="O578" s="1336"/>
      <c r="P578" s="1337" t="str">
        <f>IF($D578="Logistics",VLOOKUP($O578,'Upper Cask Movement &amp; Logistics'!$C$4:$D$77,2,FALSE),"N/A")</f>
        <v>N/A</v>
      </c>
    </row>
    <row r="579" spans="1:16" s="89" customFormat="1" outlineLevel="1" x14ac:dyDescent="0.35">
      <c r="A579" s="1213"/>
      <c r="B579" s="3961"/>
      <c r="C579" s="1243" t="s">
        <v>1345</v>
      </c>
      <c r="D579" s="1243" t="s">
        <v>778</v>
      </c>
      <c r="E579" s="1244">
        <f t="shared" si="17"/>
        <v>0.69444444444444442</v>
      </c>
      <c r="F579" s="1244">
        <f>IF($D579="Trigger",VLOOKUP($C579,'Upper Cask Welding failures'!$E$424:$H$492,4,FALSE),E579+F578)</f>
        <v>27.314191039594753</v>
      </c>
      <c r="G579" s="1309"/>
      <c r="H579" s="1310" t="str">
        <f>IF(D579="operation",VLOOKUP(G579,'Generic Vertical Port Tasks'!C461:D520,2,FALSE),"N/A")</f>
        <v>N/A</v>
      </c>
      <c r="I579" s="1243" t="s">
        <v>1789</v>
      </c>
      <c r="J579" s="1243" t="s">
        <v>816</v>
      </c>
      <c r="K579" s="1243" t="s">
        <v>914</v>
      </c>
      <c r="L579" s="1245">
        <f>IFERROR(INDEX('Upper Cask Movement &amp; Logistics'!$I$24:$O$30,MATCH($J579,'Upper Cask Movement &amp; Logistics'!$H$24:$H$30,0),MATCH($K579,'Upper Cask Movement &amp; Logistics'!$H$24:$H$30,0)),"N/A")</f>
        <v>50</v>
      </c>
      <c r="M579" s="1245">
        <f>IFERROR(VLOOKUP($I579,'Upper Cask Movement &amp; Logistics'!$H$4:$I$8,2,FALSE),"N/A")</f>
        <v>0.02</v>
      </c>
      <c r="N579" s="1311">
        <f t="shared" si="18"/>
        <v>0.69444444444444442</v>
      </c>
      <c r="O579" s="1312"/>
      <c r="P579" s="1313" t="str">
        <f>IF($D579="Logistics",VLOOKUP($O579,'Upper Cask Movement &amp; Logistics'!$C$4:$D$77,2,FALSE),"N/A")</f>
        <v>N/A</v>
      </c>
    </row>
    <row r="580" spans="1:16" s="89" customFormat="1" outlineLevel="1" x14ac:dyDescent="0.35">
      <c r="A580" s="1213"/>
      <c r="B580" s="3962"/>
      <c r="C580" s="1249" t="s">
        <v>1389</v>
      </c>
      <c r="D580" s="1249" t="s">
        <v>3</v>
      </c>
      <c r="E580" s="1250">
        <f t="shared" si="17"/>
        <v>0.48000000000000004</v>
      </c>
      <c r="F580" s="1250">
        <f>IF($D580="Trigger",VLOOKUP($C580,'Upper Cask Welding failures'!$E$424:$H$492,4,FALSE),E580+F579)</f>
        <v>27.794191039594754</v>
      </c>
      <c r="G580" s="1338"/>
      <c r="H580" s="1359" t="str">
        <f>IF(D580="operation",VLOOKUP(G580,'Generic Vertical Port Tasks'!C461:D520,2,FALSE),"N/A")</f>
        <v>N/A</v>
      </c>
      <c r="I580" s="1249"/>
      <c r="J580" s="1249"/>
      <c r="K580" s="1249"/>
      <c r="L580" s="1245" t="str">
        <f>IFERROR(INDEX('Upper Cask Movement &amp; Logistics'!$I$24:$O$30,MATCH($J580,'Upper Cask Movement &amp; Logistics'!$H$24:$H$30,0),MATCH($K580,'Upper Cask Movement &amp; Logistics'!$H$24:$H$30,0)),"N/A")</f>
        <v>N/A</v>
      </c>
      <c r="M580" s="1245" t="str">
        <f>IFERROR(VLOOKUP($I580,'Upper Cask Movement &amp; Logistics'!$H$4:$I$8,2,FALSE),"N/A")</f>
        <v>N/A</v>
      </c>
      <c r="N580" s="1311" t="str">
        <f t="shared" si="18"/>
        <v>N/A</v>
      </c>
      <c r="O580" s="1339" t="s">
        <v>1330</v>
      </c>
      <c r="P580" s="1313">
        <f>IF($D580="Logistics",VLOOKUP($O580,'Upper Cask Movement &amp; Logistics'!$C$4:$D$77,2,FALSE),"N/A")</f>
        <v>0.48000000000000004</v>
      </c>
    </row>
    <row r="581" spans="1:16" s="89" customFormat="1" outlineLevel="1" x14ac:dyDescent="0.35">
      <c r="A581" s="1213"/>
      <c r="B581" s="3962"/>
      <c r="C581" s="1249" t="s">
        <v>1338</v>
      </c>
      <c r="D581" s="1249" t="s">
        <v>778</v>
      </c>
      <c r="E581" s="1250">
        <f t="shared" si="17"/>
        <v>2.7777777777777776E-2</v>
      </c>
      <c r="F581" s="1250">
        <f>IF($D581="Trigger",VLOOKUP($C581,'Upper Cask Welding failures'!$E$424:$H$492,4,FALSE),E581+F580)</f>
        <v>27.821968817372532</v>
      </c>
      <c r="G581" s="1338"/>
      <c r="H581" s="1359" t="str">
        <f>IF(D581="operation",VLOOKUP(G581,'Generic Vertical Port Tasks'!C461:D520,2,FALSE),"N/A")</f>
        <v>N/A</v>
      </c>
      <c r="I581" s="1243" t="s">
        <v>2502</v>
      </c>
      <c r="J581" s="1249" t="s">
        <v>914</v>
      </c>
      <c r="K581" s="1249" t="s">
        <v>799</v>
      </c>
      <c r="L581" s="1245">
        <f>IFERROR(INDEX('Upper Cask Movement &amp; Logistics'!$I$24:$O$30,MATCH($J581,'Upper Cask Movement &amp; Logistics'!$H$24:$H$30,0),MATCH($K581,'Upper Cask Movement &amp; Logistics'!$H$24:$H$30,0)),"N/A")</f>
        <v>20</v>
      </c>
      <c r="M581" s="1245">
        <f>IFERROR(VLOOKUP($I581,'Upper Cask Movement &amp; Logistics'!$H$4:$I$8,2,FALSE),"N/A")</f>
        <v>0.2</v>
      </c>
      <c r="N581" s="1311">
        <f t="shared" si="18"/>
        <v>2.7777777777777776E-2</v>
      </c>
      <c r="O581" s="1339"/>
      <c r="P581" s="1313" t="str">
        <f>IF($D581="Logistics",VLOOKUP($O581,'Upper Cask Movement &amp; Logistics'!$C$4:$D$77,2,FALSE),"N/A")</f>
        <v>N/A</v>
      </c>
    </row>
    <row r="582" spans="1:16" s="89" customFormat="1" outlineLevel="1" x14ac:dyDescent="0.35">
      <c r="A582" s="1213"/>
      <c r="B582" s="3962"/>
      <c r="C582" s="1249" t="s">
        <v>1390</v>
      </c>
      <c r="D582" s="1249" t="s">
        <v>3</v>
      </c>
      <c r="E582" s="1250">
        <f t="shared" si="17"/>
        <v>0.48000000000000004</v>
      </c>
      <c r="F582" s="1250">
        <f>IF($D582="Trigger",VLOOKUP($C582,'Upper Cask Welding failures'!$E$424:$H$492,4,FALSE),E582+F581)</f>
        <v>28.301968817372533</v>
      </c>
      <c r="G582" s="1338"/>
      <c r="H582" s="1359" t="str">
        <f>IF(D582="operation",VLOOKUP(G582,'Generic Vertical Port Tasks'!C461:D520,2,FALSE),"N/A")</f>
        <v>N/A</v>
      </c>
      <c r="I582" s="1249"/>
      <c r="J582" s="1249"/>
      <c r="K582" s="1249"/>
      <c r="L582" s="1245" t="str">
        <f>IFERROR(INDEX('Upper Cask Movement &amp; Logistics'!$I$24:$O$30,MATCH($J582,'Upper Cask Movement &amp; Logistics'!$H$24:$H$30,0),MATCH($K582,'Upper Cask Movement &amp; Logistics'!$H$24:$H$30,0)),"N/A")</f>
        <v>N/A</v>
      </c>
      <c r="M582" s="1245" t="str">
        <f>IFERROR(VLOOKUP($I582,'Upper Cask Movement &amp; Logistics'!$H$4:$I$8,2,FALSE),"N/A")</f>
        <v>N/A</v>
      </c>
      <c r="N582" s="1311" t="str">
        <f>IF(D582="Movement",IFERROR((L582/M582)/(60*60),"Error"),"N/A")</f>
        <v>N/A</v>
      </c>
      <c r="O582" s="1339" t="s">
        <v>1331</v>
      </c>
      <c r="P582" s="1313">
        <f>IF($D582="Logistics",VLOOKUP($O582,'Upper Cask Movement &amp; Logistics'!$C$4:$D$77,2,FALSE),"N/A")</f>
        <v>0.48000000000000004</v>
      </c>
    </row>
    <row r="583" spans="1:16" s="89" customFormat="1" outlineLevel="1" x14ac:dyDescent="0.35">
      <c r="A583" s="1213"/>
      <c r="B583" s="3962"/>
      <c r="C583" s="1249" t="s">
        <v>1340</v>
      </c>
      <c r="D583" s="1249" t="s">
        <v>778</v>
      </c>
      <c r="E583" s="1250">
        <f t="shared" si="17"/>
        <v>0.23148148148148148</v>
      </c>
      <c r="F583" s="1250">
        <f>IF($D583="Trigger",VLOOKUP($C583,'Upper Cask Welding failures'!$E$424:$H$492,4,FALSE),E583+F582)</f>
        <v>28.533450298854014</v>
      </c>
      <c r="G583" s="1338"/>
      <c r="H583" s="1359" t="str">
        <f>IF(D583="operation",VLOOKUP(G583,'Generic Vertical Port Tasks'!C461:D520,2,FALSE),"N/A")</f>
        <v>N/A</v>
      </c>
      <c r="I583" s="1249" t="s">
        <v>2501</v>
      </c>
      <c r="J583" s="1249" t="s">
        <v>799</v>
      </c>
      <c r="K583" s="1249" t="s">
        <v>901</v>
      </c>
      <c r="L583" s="1245">
        <f>IFERROR(INDEX('Upper Cask Movement &amp; Logistics'!$I$24:$O$30,MATCH($J583,'Upper Cask Movement &amp; Logistics'!$H$24:$H$30,0),MATCH($K583,'Upper Cask Movement &amp; Logistics'!$H$24:$H$30,0)),"N/A")</f>
        <v>50</v>
      </c>
      <c r="M583" s="1245">
        <f>IFERROR(VLOOKUP($I583,'Upper Cask Movement &amp; Logistics'!$H$4:$I$8,2,FALSE),"N/A")</f>
        <v>0.06</v>
      </c>
      <c r="N583" s="1311">
        <f>IF(D583="Movement",IFERROR((L583/M583)/(60*60),"Error"),"N/A")</f>
        <v>0.23148148148148148</v>
      </c>
      <c r="O583" s="1339"/>
      <c r="P583" s="1313" t="str">
        <f>IF($D583="Logistics",VLOOKUP($O583,'Upper Cask Movement &amp; Logistics'!$C$4:$D$77,2,FALSE),"N/A")</f>
        <v>N/A</v>
      </c>
    </row>
    <row r="584" spans="1:16" s="89" customFormat="1" outlineLevel="1" x14ac:dyDescent="0.35">
      <c r="A584" s="1213"/>
      <c r="B584" s="3962"/>
      <c r="C584" s="1249" t="s">
        <v>1391</v>
      </c>
      <c r="D584" s="1249" t="s">
        <v>3</v>
      </c>
      <c r="E584" s="1250">
        <f t="shared" si="17"/>
        <v>1.4000000000000001</v>
      </c>
      <c r="F584" s="1250">
        <f>IF($D584="Trigger",VLOOKUP($C584,'Upper Cask Welding failures'!$E$424:$H$492,4,FALSE),E584+F583)</f>
        <v>29.933450298854012</v>
      </c>
      <c r="G584" s="1338"/>
      <c r="H584" s="1359" t="str">
        <f>IF(D584="operation",VLOOKUP(G584,'Generic Vertical Port Tasks'!C461:D520,2,FALSE),"N/A")</f>
        <v>N/A</v>
      </c>
      <c r="I584" s="1249"/>
      <c r="J584" s="1249"/>
      <c r="K584" s="1249"/>
      <c r="L584" s="1245" t="str">
        <f>IFERROR(INDEX('Upper Cask Movement &amp; Logistics'!$I$24:$O$30,MATCH($J584,'Upper Cask Movement &amp; Logistics'!$H$24:$H$30,0),MATCH($K584,'Upper Cask Movement &amp; Logistics'!$H$24:$H$30,0)),"N/A")</f>
        <v>N/A</v>
      </c>
      <c r="M584" s="1245" t="str">
        <f>IFERROR(VLOOKUP($I584,'Upper Cask Movement &amp; Logistics'!$H$4:$I$8,2,FALSE),"N/A")</f>
        <v>N/A</v>
      </c>
      <c r="N584" s="1311" t="str">
        <f>IF(D584="Movement",IFERROR((L584/M584)/(60*60),"Error"),"N/A")</f>
        <v>N/A</v>
      </c>
      <c r="O584" s="1339" t="s">
        <v>1277</v>
      </c>
      <c r="P584" s="1313">
        <f>IF($D584="Logistics",VLOOKUP($O584,'Upper Cask Movement &amp; Logistics'!$C$4:$D$77,2,FALSE),"N/A")</f>
        <v>1.4000000000000001</v>
      </c>
    </row>
    <row r="585" spans="1:16" s="89" customFormat="1" ht="26.15" outlineLevel="1" thickBot="1" x14ac:dyDescent="0.4">
      <c r="A585" s="1213"/>
      <c r="B585" s="3963"/>
      <c r="C585" s="1314" t="s">
        <v>1388</v>
      </c>
      <c r="D585" s="1314" t="s">
        <v>11</v>
      </c>
      <c r="E585" s="1316">
        <f t="shared" si="17"/>
        <v>0</v>
      </c>
      <c r="F585" s="1316">
        <f>IF($D585="Trigger",VLOOKUP($C585,'Upper Cask Welding failures'!$E$424:$H$492,4,FALSE),E585+F584)</f>
        <v>29.933450298854012</v>
      </c>
      <c r="G585" s="1317"/>
      <c r="H585" s="1318" t="str">
        <f>IF(D585="operation",VLOOKUP(G585,'Generic Vertical Port Tasks'!C461:D520,2,FALSE),"N/A")</f>
        <v>N/A</v>
      </c>
      <c r="I585" s="1314"/>
      <c r="J585" s="1314"/>
      <c r="K585" s="1314"/>
      <c r="L585" s="1319" t="str">
        <f>IFERROR(INDEX('Upper Cask Movement &amp; Logistics'!$I$24:$O$30,MATCH($J585,'Upper Cask Movement &amp; Logistics'!$H$24:$H$30,0),MATCH($K585,'Upper Cask Movement &amp; Logistics'!$H$24:$H$30,0)),"N/A")</f>
        <v>N/A</v>
      </c>
      <c r="M585" s="1319" t="str">
        <f>IFERROR(VLOOKUP($I585,'Upper Cask Movement &amp; Logistics'!$H$4:$I$8,2,FALSE),"N/A")</f>
        <v>N/A</v>
      </c>
      <c r="N585" s="1320" t="str">
        <f t="shared" ref="N585:N624" si="19">IF(D585="Movement",IFERROR((L585/M585)/(60*60),"Error"),"N/A")</f>
        <v>N/A</v>
      </c>
      <c r="O585" s="1321"/>
      <c r="P585" s="1322" t="str">
        <f>IF($D585="Logistics",VLOOKUP($O585,'Upper Cask Movement &amp; Logistics'!$C$4:$D$77,2,FALSE),"N/A")</f>
        <v>N/A</v>
      </c>
    </row>
    <row r="586" spans="1:16" s="89" customFormat="1" outlineLevel="1" x14ac:dyDescent="0.35">
      <c r="A586" s="1213"/>
      <c r="B586" s="3960" t="s">
        <v>1280</v>
      </c>
      <c r="C586" s="1333" t="s">
        <v>1278</v>
      </c>
      <c r="D586" s="1333" t="s">
        <v>907</v>
      </c>
      <c r="E586" s="1303">
        <f t="shared" si="17"/>
        <v>0</v>
      </c>
      <c r="F586" s="1303">
        <f>IF($D586="Trigger",VLOOKUP($C586,'Upper Cask Welding failures'!$E$424:$H$492,4,FALSE),E586+F585)</f>
        <v>67.06419103959476</v>
      </c>
      <c r="G586" s="1304"/>
      <c r="H586" s="1305" t="str">
        <f>IF(D586="operation",VLOOKUP(G586,'Generic Vertical Port Tasks'!C485:D546,2,FALSE),"N/A")</f>
        <v>N/A</v>
      </c>
      <c r="I586" s="1333"/>
      <c r="J586" s="1333"/>
      <c r="K586" s="1333"/>
      <c r="L586" s="1334" t="str">
        <f>IFERROR(INDEX('Upper Cask Movement &amp; Logistics'!$I$24:$O$30,MATCH($J586,'Upper Cask Movement &amp; Logistics'!$H$24:$H$30,0),MATCH($K586,'Upper Cask Movement &amp; Logistics'!$H$24:$H$30,0)),"N/A")</f>
        <v>N/A</v>
      </c>
      <c r="M586" s="1334" t="str">
        <f>IFERROR(VLOOKUP($I586,'Upper Cask Movement &amp; Logistics'!$H$4:$I$8,2,FALSE),"N/A")</f>
        <v>N/A</v>
      </c>
      <c r="N586" s="1335" t="str">
        <f t="shared" si="19"/>
        <v>N/A</v>
      </c>
      <c r="O586" s="1336"/>
      <c r="P586" s="1337" t="str">
        <f>IF($D586="Logistics",VLOOKUP($O586,'Upper Cask Movement &amp; Logistics'!$C$4:$D$77,2,FALSE),"N/A")</f>
        <v>N/A</v>
      </c>
    </row>
    <row r="587" spans="1:16" s="89" customFormat="1" outlineLevel="1" x14ac:dyDescent="0.35">
      <c r="A587" s="1213"/>
      <c r="B587" s="3968"/>
      <c r="C587" s="1240" t="s">
        <v>1405</v>
      </c>
      <c r="D587" s="1240" t="s">
        <v>3</v>
      </c>
      <c r="E587" s="1241">
        <f t="shared" si="17"/>
        <v>2.3000000000000003</v>
      </c>
      <c r="F587" s="1241">
        <f>IF($D587="Trigger",VLOOKUP($C587,'Upper Cask Welding failures'!$E$424:$H$492,4,FALSE),E587+F586)</f>
        <v>69.364191039594758</v>
      </c>
      <c r="G587" s="1354"/>
      <c r="H587" s="1355" t="str">
        <f>IF(D587="operation",VLOOKUP(G587,'Generic Vertical Port Tasks'!C485:D546,2,FALSE),"N/A")</f>
        <v>N/A</v>
      </c>
      <c r="I587" s="1240"/>
      <c r="J587" s="1240"/>
      <c r="K587" s="1240"/>
      <c r="L587" s="1242" t="str">
        <f>IFERROR(INDEX('Upper Cask Movement &amp; Logistics'!$I$24:$O$30,MATCH($J587,'Upper Cask Movement &amp; Logistics'!$H$24:$H$30,0),MATCH($K587,'Upper Cask Movement &amp; Logistics'!$H$24:$H$30,0)),"N/A")</f>
        <v>N/A</v>
      </c>
      <c r="M587" s="1242" t="str">
        <f>IFERROR(VLOOKUP($I587,'Upper Cask Movement &amp; Logistics'!$H$4:$I$8,2,FALSE),"N/A")</f>
        <v>N/A</v>
      </c>
      <c r="N587" s="1356" t="str">
        <f t="shared" si="19"/>
        <v>N/A</v>
      </c>
      <c r="O587" s="1357" t="s">
        <v>1269</v>
      </c>
      <c r="P587" s="1358">
        <f>IF($D587="Logistics",VLOOKUP($O587,'Upper Cask Movement &amp; Logistics'!$C$4:$D$77,2,FALSE),"N/A")</f>
        <v>2.3000000000000003</v>
      </c>
    </row>
    <row r="588" spans="1:16" s="89" customFormat="1" outlineLevel="1" x14ac:dyDescent="0.35">
      <c r="A588" s="1213"/>
      <c r="B588" s="3968"/>
      <c r="C588" s="1240" t="s">
        <v>1402</v>
      </c>
      <c r="D588" s="1240" t="s">
        <v>778</v>
      </c>
      <c r="E588" s="1241">
        <f t="shared" si="17"/>
        <v>0.11574074074074074</v>
      </c>
      <c r="F588" s="1241">
        <f>IF($D588="Trigger",VLOOKUP($C588,'Upper Cask Welding failures'!$E$424:$H$492,4,FALSE),E588+F587)</f>
        <v>69.479931780335505</v>
      </c>
      <c r="G588" s="1354"/>
      <c r="H588" s="1355" t="str">
        <f>IF(D588="operation",VLOOKUP(G588,'Generic Vertical Port Tasks'!C485:D546,2,FALSE),"N/A")</f>
        <v>N/A</v>
      </c>
      <c r="I588" s="1240" t="s">
        <v>2501</v>
      </c>
      <c r="J588" s="1240" t="s">
        <v>901</v>
      </c>
      <c r="K588" s="1240" t="s">
        <v>858</v>
      </c>
      <c r="L588" s="1242">
        <f>IFERROR(INDEX('Upper Cask Movement &amp; Logistics'!$I$24:$O$30,MATCH($J588,'Upper Cask Movement &amp; Logistics'!$H$24:$H$30,0),MATCH($K588,'Upper Cask Movement &amp; Logistics'!$H$24:$H$30,0)),"N/A")</f>
        <v>25</v>
      </c>
      <c r="M588" s="1242">
        <f>IFERROR(VLOOKUP($I588,'Upper Cask Movement &amp; Logistics'!$H$4:$I$8,2,FALSE),"N/A")</f>
        <v>0.06</v>
      </c>
      <c r="N588" s="1356">
        <f t="shared" si="19"/>
        <v>0.11574074074074074</v>
      </c>
      <c r="O588" s="1357"/>
      <c r="P588" s="1358" t="str">
        <f>IF($D588="Logistics",VLOOKUP($O588,'Upper Cask Movement &amp; Logistics'!$C$4:$D$77,2,FALSE),"N/A")</f>
        <v>N/A</v>
      </c>
    </row>
    <row r="589" spans="1:16" s="89" customFormat="1" outlineLevel="1" x14ac:dyDescent="0.35">
      <c r="A589" s="1213"/>
      <c r="B589" s="3968"/>
      <c r="C589" s="1240" t="s">
        <v>1406</v>
      </c>
      <c r="D589" s="1240" t="s">
        <v>3</v>
      </c>
      <c r="E589" s="1241">
        <f t="shared" si="17"/>
        <v>0.63000000000000012</v>
      </c>
      <c r="F589" s="1241">
        <f>IF($D589="Trigger",VLOOKUP($C589,'Upper Cask Welding failures'!$E$424:$H$492,4,FALSE),E589+F588)</f>
        <v>70.109931780335501</v>
      </c>
      <c r="G589" s="1354"/>
      <c r="H589" s="1355" t="str">
        <f>IF(D589="operation",VLOOKUP(G589,'Generic Vertical Port Tasks'!C485:D546,2,FALSE),"N/A")</f>
        <v>N/A</v>
      </c>
      <c r="I589" s="1240"/>
      <c r="J589" s="1240"/>
      <c r="K589" s="1240"/>
      <c r="L589" s="1242" t="str">
        <f>IFERROR(INDEX('Upper Cask Movement &amp; Logistics'!$I$24:$O$30,MATCH($J589,'Upper Cask Movement &amp; Logistics'!$H$24:$H$30,0),MATCH($K589,'Upper Cask Movement &amp; Logistics'!$H$24:$H$30,0)),"N/A")</f>
        <v>N/A</v>
      </c>
      <c r="M589" s="1242" t="str">
        <f>IFERROR(VLOOKUP($I589,'Upper Cask Movement &amp; Logistics'!$H$4:$I$8,2,FALSE),"N/A")</f>
        <v>N/A</v>
      </c>
      <c r="N589" s="1356" t="str">
        <f t="shared" si="19"/>
        <v>N/A</v>
      </c>
      <c r="O589" s="1357" t="s">
        <v>1228</v>
      </c>
      <c r="P589" s="1358">
        <f>IF($D589="Logistics",VLOOKUP($O589,'Upper Cask Movement &amp; Logistics'!$C$4:$D$77,2,FALSE),"N/A")</f>
        <v>0.63000000000000012</v>
      </c>
    </row>
    <row r="590" spans="1:16" s="89" customFormat="1" outlineLevel="1" x14ac:dyDescent="0.35">
      <c r="A590" s="1213"/>
      <c r="B590" s="3961"/>
      <c r="C590" s="1243" t="s">
        <v>1340</v>
      </c>
      <c r="D590" s="1243" t="s">
        <v>778</v>
      </c>
      <c r="E590" s="1244">
        <f t="shared" si="17"/>
        <v>0.69444444444444442</v>
      </c>
      <c r="F590" s="1244">
        <f>IF($D590="Trigger",VLOOKUP($C590,'Upper Cask Welding failures'!$E$424:$H$492,4,FALSE),E590+F589)</f>
        <v>70.804376224779944</v>
      </c>
      <c r="G590" s="1309"/>
      <c r="H590" s="1310" t="str">
        <f>IF(D590="operation",VLOOKUP(G590,'Generic Vertical Port Tasks'!C485:D546,2,FALSE),"N/A")</f>
        <v>N/A</v>
      </c>
      <c r="I590" s="1243" t="s">
        <v>1789</v>
      </c>
      <c r="J590" s="1243" t="s">
        <v>831</v>
      </c>
      <c r="K590" s="1243" t="s">
        <v>901</v>
      </c>
      <c r="L590" s="1245">
        <f>IFERROR(INDEX('Upper Cask Movement &amp; Logistics'!$I$24:$O$30,MATCH($J590,'Upper Cask Movement &amp; Logistics'!$H$24:$H$30,0),MATCH($K590,'Upper Cask Movement &amp; Logistics'!$H$24:$H$30,0)),"N/A")</f>
        <v>50</v>
      </c>
      <c r="M590" s="1245">
        <f>IFERROR(VLOOKUP($I590,'Upper Cask Movement &amp; Logistics'!$H$4:$I$8,2,FALSE),"N/A")</f>
        <v>0.02</v>
      </c>
      <c r="N590" s="1311">
        <f t="shared" si="19"/>
        <v>0.69444444444444442</v>
      </c>
      <c r="O590" s="1312"/>
      <c r="P590" s="1313" t="str">
        <f>IF($D590="Logistics",VLOOKUP($O590,'Upper Cask Movement &amp; Logistics'!$C$4:$D$77,2,FALSE),"N/A")</f>
        <v>N/A</v>
      </c>
    </row>
    <row r="591" spans="1:16" s="89" customFormat="1" outlineLevel="1" x14ac:dyDescent="0.35">
      <c r="A591" s="1213"/>
      <c r="B591" s="3961"/>
      <c r="C591" s="1243" t="s">
        <v>1391</v>
      </c>
      <c r="D591" s="1243" t="s">
        <v>3</v>
      </c>
      <c r="E591" s="1244">
        <f t="shared" si="17"/>
        <v>1.4000000000000001</v>
      </c>
      <c r="F591" s="1244">
        <f>IF($D591="Trigger",VLOOKUP($C591,'Upper Cask Welding failures'!$E$424:$H$492,4,FALSE),E591+F590)</f>
        <v>72.204376224779949</v>
      </c>
      <c r="G591" s="1309"/>
      <c r="H591" s="1310" t="str">
        <f>IF(D591="operation",VLOOKUP(G591,'Generic Vertical Port Tasks'!C485:D546,2,FALSE),"N/A")</f>
        <v>N/A</v>
      </c>
      <c r="I591" s="1243"/>
      <c r="J591" s="1243"/>
      <c r="K591" s="1243"/>
      <c r="L591" s="1245" t="str">
        <f>IFERROR(INDEX('Upper Cask Movement &amp; Logistics'!$I$24:$O$30,MATCH($J591,'Upper Cask Movement &amp; Logistics'!$H$24:$H$30,0),MATCH($K591,'Upper Cask Movement &amp; Logistics'!$H$24:$H$30,0)),"N/A")</f>
        <v>N/A</v>
      </c>
      <c r="M591" s="1245" t="str">
        <f>IFERROR(VLOOKUP($I591,'Upper Cask Movement &amp; Logistics'!$H$4:$I$8,2,FALSE),"N/A")</f>
        <v>N/A</v>
      </c>
      <c r="N591" s="1311" t="str">
        <f t="shared" si="19"/>
        <v>N/A</v>
      </c>
      <c r="O591" s="1312" t="s">
        <v>1277</v>
      </c>
      <c r="P591" s="1313">
        <f>IF($D591="Logistics",VLOOKUP($O591,'Upper Cask Movement &amp; Logistics'!$C$4:$D$77,2,FALSE),"N/A")</f>
        <v>1.4000000000000001</v>
      </c>
    </row>
    <row r="592" spans="1:16" s="89" customFormat="1" ht="13.3" outlineLevel="1" thickBot="1" x14ac:dyDescent="0.4">
      <c r="A592" s="1213"/>
      <c r="B592" s="3963"/>
      <c r="C592" s="1314" t="s">
        <v>1280</v>
      </c>
      <c r="D592" s="1314" t="s">
        <v>11</v>
      </c>
      <c r="E592" s="1316">
        <f t="shared" si="17"/>
        <v>0</v>
      </c>
      <c r="F592" s="1316">
        <f>IF($D592="Trigger",VLOOKUP($C592,'Upper Cask Welding failures'!$E$424:$H$492,4,FALSE),E592+F591)</f>
        <v>72.204376224779949</v>
      </c>
      <c r="G592" s="1317"/>
      <c r="H592" s="1318" t="str">
        <f>IF(D592="operation",VLOOKUP(G592,'Generic Vertical Port Tasks'!C485:D546,2,FALSE),"N/A")</f>
        <v>N/A</v>
      </c>
      <c r="I592" s="1314"/>
      <c r="J592" s="1314"/>
      <c r="K592" s="1314"/>
      <c r="L592" s="1319" t="str">
        <f>IFERROR(INDEX('Upper Cask Movement &amp; Logistics'!$I$24:$O$30,MATCH($J592,'Upper Cask Movement &amp; Logistics'!$H$24:$H$30,0),MATCH($K592,'Upper Cask Movement &amp; Logistics'!$H$24:$H$30,0)),"N/A")</f>
        <v>N/A</v>
      </c>
      <c r="M592" s="1319" t="str">
        <f>IFERROR(VLOOKUP($I592,'Upper Cask Movement &amp; Logistics'!$H$4:$I$8,2,FALSE),"N/A")</f>
        <v>N/A</v>
      </c>
      <c r="N592" s="1320" t="str">
        <f t="shared" si="19"/>
        <v>N/A</v>
      </c>
      <c r="O592" s="1321"/>
      <c r="P592" s="1322" t="str">
        <f>IF($D592="Logistics",VLOOKUP($O592,'Upper Cask Movement &amp; Logistics'!$C$4:$D$77,2,FALSE),"N/A")</f>
        <v>N/A</v>
      </c>
    </row>
    <row r="593" spans="1:16" s="89" customFormat="1" outlineLevel="1" x14ac:dyDescent="0.35">
      <c r="A593" s="1213"/>
      <c r="B593" s="3964" t="s">
        <v>1282</v>
      </c>
      <c r="C593" s="1324" t="s">
        <v>1281</v>
      </c>
      <c r="D593" s="1324" t="s">
        <v>907</v>
      </c>
      <c r="E593" s="1291">
        <f t="shared" si="17"/>
        <v>0</v>
      </c>
      <c r="F593" s="1291">
        <f>IF($D593="Trigger",VLOOKUP($C593,'Upper Cask Welding failures'!$E$424:$H$492,4,FALSE),E593+F592)</f>
        <v>77.134376224779942</v>
      </c>
      <c r="G593" s="825"/>
      <c r="H593" s="1323" t="str">
        <f>IF(D593="operation",VLOOKUP(G593,'Generic Vertical Port Tasks'!C495:D575,2,FALSE),"N/A")</f>
        <v>N/A</v>
      </c>
      <c r="I593" s="1324"/>
      <c r="J593" s="1324"/>
      <c r="K593" s="1324"/>
      <c r="L593" s="1325" t="str">
        <f>IFERROR(INDEX('Upper Cask Movement &amp; Logistics'!$I$24:$O$30,MATCH($J593,'Upper Cask Movement &amp; Logistics'!$H$24:$H$30,0),MATCH($K593,'Upper Cask Movement &amp; Logistics'!$H$24:$H$30,0)),"N/A")</f>
        <v>N/A</v>
      </c>
      <c r="M593" s="1325" t="str">
        <f>IFERROR(VLOOKUP($I593,'Upper Cask Movement &amp; Logistics'!$H$4:$I$8,2,FALSE),"N/A")</f>
        <v>N/A</v>
      </c>
      <c r="N593" s="1326" t="str">
        <f t="shared" si="19"/>
        <v>N/A</v>
      </c>
      <c r="O593" s="1327"/>
      <c r="P593" s="824" t="str">
        <f>IF($D593="Logistics",VLOOKUP($O593,'Upper Cask Movement &amp; Logistics'!$C$4:$D$77,2,FALSE),"N/A")</f>
        <v>N/A</v>
      </c>
    </row>
    <row r="594" spans="1:16" s="89" customFormat="1" outlineLevel="1" x14ac:dyDescent="0.35">
      <c r="A594" s="1213"/>
      <c r="B594" s="3969"/>
      <c r="C594" s="1362" t="s">
        <v>1395</v>
      </c>
      <c r="D594" s="1362" t="s">
        <v>3</v>
      </c>
      <c r="E594" s="1363">
        <f t="shared" si="17"/>
        <v>2.3000000000000003</v>
      </c>
      <c r="F594" s="1363">
        <f>IF($D594="Trigger",VLOOKUP($C594,'Upper Cask Welding failures'!$E$424:$H$492,4,FALSE),E594+F593)</f>
        <v>79.434376224779939</v>
      </c>
      <c r="G594" s="1364"/>
      <c r="H594" s="1365" t="str">
        <f>IF(D594="operation",VLOOKUP(G594,'Generic Vertical Port Tasks'!C495:D575,2,FALSE),"N/A")</f>
        <v>N/A</v>
      </c>
      <c r="I594" s="1362"/>
      <c r="J594" s="1362"/>
      <c r="K594" s="1362"/>
      <c r="L594" s="1366" t="str">
        <f>IFERROR(INDEX('Upper Cask Movement &amp; Logistics'!$I$24:$O$30,MATCH($J594,'Upper Cask Movement &amp; Logistics'!$H$24:$H$30,0),MATCH($K594,'Upper Cask Movement &amp; Logistics'!$H$24:$H$30,0)),"N/A")</f>
        <v>N/A</v>
      </c>
      <c r="M594" s="1366" t="str">
        <f>IFERROR(VLOOKUP($I594,'Upper Cask Movement &amp; Logistics'!$H$4:$I$8,2,FALSE),"N/A")</f>
        <v>N/A</v>
      </c>
      <c r="N594" s="1367" t="str">
        <f t="shared" si="19"/>
        <v>N/A</v>
      </c>
      <c r="O594" s="1368" t="s">
        <v>1269</v>
      </c>
      <c r="P594" s="861">
        <f>IF($D594="Logistics",VLOOKUP($O594,'Upper Cask Movement &amp; Logistics'!$C$4:$D$77,2,FALSE),"N/A")</f>
        <v>2.3000000000000003</v>
      </c>
    </row>
    <row r="595" spans="1:16" s="89" customFormat="1" outlineLevel="1" x14ac:dyDescent="0.35">
      <c r="A595" s="1213"/>
      <c r="B595" s="3969"/>
      <c r="C595" s="1362" t="s">
        <v>1402</v>
      </c>
      <c r="D595" s="1362" t="s">
        <v>778</v>
      </c>
      <c r="E595" s="1363">
        <f t="shared" si="17"/>
        <v>0.11574074074074074</v>
      </c>
      <c r="F595" s="1363">
        <f>IF($D595="Trigger",VLOOKUP($C595,'Upper Cask Welding failures'!$E$424:$H$492,4,FALSE),E595+F594)</f>
        <v>79.550116965520687</v>
      </c>
      <c r="G595" s="1364"/>
      <c r="H595" s="1365" t="str">
        <f>IF(D595="operation",VLOOKUP(G595,'Generic Vertical Port Tasks'!C495:D575,2,FALSE),"N/A")</f>
        <v>N/A</v>
      </c>
      <c r="I595" s="1362" t="s">
        <v>2501</v>
      </c>
      <c r="J595" s="1362" t="s">
        <v>901</v>
      </c>
      <c r="K595" s="1362" t="s">
        <v>858</v>
      </c>
      <c r="L595" s="1366">
        <f>IFERROR(INDEX('Upper Cask Movement &amp; Logistics'!$I$24:$O$30,MATCH($J595,'Upper Cask Movement &amp; Logistics'!$H$24:$H$30,0),MATCH($K595,'Upper Cask Movement &amp; Logistics'!$H$24:$H$30,0)),"N/A")</f>
        <v>25</v>
      </c>
      <c r="M595" s="1366">
        <f>IFERROR(VLOOKUP($I595,'Upper Cask Movement &amp; Logistics'!$H$4:$I$8,2,FALSE),"N/A")</f>
        <v>0.06</v>
      </c>
      <c r="N595" s="1367">
        <f t="shared" si="19"/>
        <v>0.11574074074074074</v>
      </c>
      <c r="O595" s="1368"/>
      <c r="P595" s="861" t="str">
        <f>IF($D595="Logistics",VLOOKUP($O595,'Upper Cask Movement &amp; Logistics'!$C$4:$D$77,2,FALSE),"N/A")</f>
        <v>N/A</v>
      </c>
    </row>
    <row r="596" spans="1:16" s="89" customFormat="1" outlineLevel="1" x14ac:dyDescent="0.35">
      <c r="A596" s="1213"/>
      <c r="B596" s="3969"/>
      <c r="C596" s="1362" t="s">
        <v>1407</v>
      </c>
      <c r="D596" s="1362" t="s">
        <v>3</v>
      </c>
      <c r="E596" s="1363">
        <f t="shared" si="17"/>
        <v>0.63000000000000012</v>
      </c>
      <c r="F596" s="1363">
        <f>IF($D596="Trigger",VLOOKUP($C596,'Upper Cask Welding failures'!$E$424:$H$492,4,FALSE),E596+F595)</f>
        <v>80.180116965520682</v>
      </c>
      <c r="G596" s="1364"/>
      <c r="H596" s="1365" t="str">
        <f>IF(D596="operation",VLOOKUP(G596,'Generic Vertical Port Tasks'!C495:D575,2,FALSE),"N/A")</f>
        <v>N/A</v>
      </c>
      <c r="I596" s="1362"/>
      <c r="J596" s="1362"/>
      <c r="K596" s="1362"/>
      <c r="L596" s="1366" t="str">
        <f>IFERROR(INDEX('Upper Cask Movement &amp; Logistics'!$I$24:$O$30,MATCH($J596,'Upper Cask Movement &amp; Logistics'!$H$24:$H$30,0),MATCH($K596,'Upper Cask Movement &amp; Logistics'!$H$24:$H$30,0)),"N/A")</f>
        <v>N/A</v>
      </c>
      <c r="M596" s="1366" t="str">
        <f>IFERROR(VLOOKUP($I596,'Upper Cask Movement &amp; Logistics'!$H$4:$I$8,2,FALSE),"N/A")</f>
        <v>N/A</v>
      </c>
      <c r="N596" s="1367" t="str">
        <f t="shared" si="19"/>
        <v>N/A</v>
      </c>
      <c r="O596" s="1368" t="s">
        <v>1228</v>
      </c>
      <c r="P596" s="861">
        <f>IF($D596="Logistics",VLOOKUP($O596,'Upper Cask Movement &amp; Logistics'!$C$4:$D$77,2,FALSE),"N/A")</f>
        <v>0.63000000000000012</v>
      </c>
    </row>
    <row r="597" spans="1:16" s="89" customFormat="1" outlineLevel="1" x14ac:dyDescent="0.35">
      <c r="A597" s="1213"/>
      <c r="B597" s="3965"/>
      <c r="C597" s="1294" t="s">
        <v>1340</v>
      </c>
      <c r="D597" s="1294" t="s">
        <v>778</v>
      </c>
      <c r="E597" s="1292">
        <f t="shared" si="17"/>
        <v>0.69444444444444442</v>
      </c>
      <c r="F597" s="1292">
        <f>IF($D597="Trigger",VLOOKUP($C597,'Upper Cask Welding failures'!$E$424:$H$492,4,FALSE),E597+F596)</f>
        <v>80.874561409965125</v>
      </c>
      <c r="G597" s="862"/>
      <c r="H597" s="1328" t="str">
        <f>IF(D597="operation",VLOOKUP(G597,'Generic Vertical Port Tasks'!C495:D575,2,FALSE),"N/A")</f>
        <v>N/A</v>
      </c>
      <c r="I597" s="1294" t="s">
        <v>1789</v>
      </c>
      <c r="J597" s="1294" t="s">
        <v>831</v>
      </c>
      <c r="K597" s="1294" t="s">
        <v>901</v>
      </c>
      <c r="L597" s="1329">
        <f>IFERROR(INDEX('Upper Cask Movement &amp; Logistics'!$I$24:$O$30,MATCH($J597,'Upper Cask Movement &amp; Logistics'!$H$24:$H$30,0),MATCH($K597,'Upper Cask Movement &amp; Logistics'!$H$24:$H$30,0)),"N/A")</f>
        <v>50</v>
      </c>
      <c r="M597" s="1329">
        <f>IFERROR(VLOOKUP($I597,'Upper Cask Movement &amp; Logistics'!$H$4:$I$8,2,FALSE),"N/A")</f>
        <v>0.02</v>
      </c>
      <c r="N597" s="1330">
        <f t="shared" si="19"/>
        <v>0.69444444444444442</v>
      </c>
      <c r="O597" s="1331"/>
      <c r="P597" s="1332" t="str">
        <f>IF($D597="Logistics",VLOOKUP($O597,'Upper Cask Movement &amp; Logistics'!$C$4:$D$77,2,FALSE),"N/A")</f>
        <v>N/A</v>
      </c>
    </row>
    <row r="598" spans="1:16" s="89" customFormat="1" outlineLevel="1" x14ac:dyDescent="0.35">
      <c r="A598" s="1213"/>
      <c r="B598" s="3965"/>
      <c r="C598" s="1294" t="s">
        <v>1391</v>
      </c>
      <c r="D598" s="1294" t="s">
        <v>3</v>
      </c>
      <c r="E598" s="1292">
        <f t="shared" si="17"/>
        <v>1.4000000000000001</v>
      </c>
      <c r="F598" s="1292">
        <f>IF($D598="Trigger",VLOOKUP($C598,'Upper Cask Welding failures'!$E$424:$H$492,4,FALSE),E598+F597)</f>
        <v>82.274561409965131</v>
      </c>
      <c r="G598" s="862"/>
      <c r="H598" s="1328" t="str">
        <f>IF(D598="operation",VLOOKUP(G598,'Generic Vertical Port Tasks'!C495:D575,2,FALSE),"N/A")</f>
        <v>N/A</v>
      </c>
      <c r="I598" s="1294"/>
      <c r="J598" s="1294"/>
      <c r="K598" s="1294"/>
      <c r="L598" s="1329" t="str">
        <f>IFERROR(INDEX('Upper Cask Movement &amp; Logistics'!$I$24:$O$30,MATCH($J598,'Upper Cask Movement &amp; Logistics'!$H$24:$H$30,0),MATCH($K598,'Upper Cask Movement &amp; Logistics'!$H$24:$H$30,0)),"N/A")</f>
        <v>N/A</v>
      </c>
      <c r="M598" s="1329" t="str">
        <f>IFERROR(VLOOKUP($I598,'Upper Cask Movement &amp; Logistics'!$H$4:$I$8,2,FALSE),"N/A")</f>
        <v>N/A</v>
      </c>
      <c r="N598" s="1330" t="str">
        <f t="shared" si="19"/>
        <v>N/A</v>
      </c>
      <c r="O598" s="1331" t="s">
        <v>1277</v>
      </c>
      <c r="P598" s="1332">
        <f>IF($D598="Logistics",VLOOKUP($O598,'Upper Cask Movement &amp; Logistics'!$C$4:$D$77,2,FALSE),"N/A")</f>
        <v>1.4000000000000001</v>
      </c>
    </row>
    <row r="599" spans="1:16" s="89" customFormat="1" ht="13.3" outlineLevel="1" thickBot="1" x14ac:dyDescent="0.4">
      <c r="A599" s="1213"/>
      <c r="B599" s="3966"/>
      <c r="C599" s="1340" t="s">
        <v>1282</v>
      </c>
      <c r="D599" s="1340" t="s">
        <v>11</v>
      </c>
      <c r="E599" s="1295">
        <f t="shared" si="17"/>
        <v>0</v>
      </c>
      <c r="F599" s="1295">
        <f>IF($D599="Trigger",VLOOKUP($C599,'Upper Cask Welding failures'!$E$424:$H$492,4,FALSE),E599+F598)</f>
        <v>82.274561409965131</v>
      </c>
      <c r="G599" s="839"/>
      <c r="H599" s="1341" t="str">
        <f>IF(D599="operation",VLOOKUP(G599,'Generic Vertical Port Tasks'!C495:D575,2,FALSE),"N/A")</f>
        <v>N/A</v>
      </c>
      <c r="I599" s="1340"/>
      <c r="J599" s="1340"/>
      <c r="K599" s="1340"/>
      <c r="L599" s="1342" t="str">
        <f>IFERROR(INDEX('Upper Cask Movement &amp; Logistics'!$I$24:$O$30,MATCH($J599,'Upper Cask Movement &amp; Logistics'!$H$24:$H$30,0),MATCH($K599,'Upper Cask Movement &amp; Logistics'!$H$24:$H$30,0)),"N/A")</f>
        <v>N/A</v>
      </c>
      <c r="M599" s="1342" t="str">
        <f>IFERROR(VLOOKUP($I599,'Upper Cask Movement &amp; Logistics'!$H$4:$I$8,2,FALSE),"N/A")</f>
        <v>N/A</v>
      </c>
      <c r="N599" s="1343" t="str">
        <f t="shared" si="19"/>
        <v>N/A</v>
      </c>
      <c r="O599" s="1344"/>
      <c r="P599" s="1345" t="str">
        <f>IF($D599="Logistics",VLOOKUP($O599,'Upper Cask Movement &amp; Logistics'!$C$4:$D$77,2,FALSE),"N/A")</f>
        <v>N/A</v>
      </c>
    </row>
    <row r="600" spans="1:16" s="89" customFormat="1" outlineLevel="1" x14ac:dyDescent="0.35">
      <c r="A600" s="1213"/>
      <c r="B600" s="3960" t="s">
        <v>1284</v>
      </c>
      <c r="C600" s="1333" t="s">
        <v>1283</v>
      </c>
      <c r="D600" s="1333" t="s">
        <v>907</v>
      </c>
      <c r="E600" s="1303">
        <f t="shared" si="17"/>
        <v>0</v>
      </c>
      <c r="F600" s="1303">
        <f>IF($D600="Trigger",VLOOKUP($C600,'Upper Cask Welding failures'!$E$424:$H$492,4,FALSE),E600+F599)</f>
        <v>87.204561409965123</v>
      </c>
      <c r="G600" s="1304"/>
      <c r="H600" s="1305" t="str">
        <f>IF(D600="operation",VLOOKUP(G600,'Generic Vertical Port Tasks'!C502:D575,2,FALSE),"N/A")</f>
        <v>N/A</v>
      </c>
      <c r="I600" s="1333"/>
      <c r="J600" s="1333"/>
      <c r="K600" s="1333"/>
      <c r="L600" s="1334" t="str">
        <f>IFERROR(INDEX('Upper Cask Movement &amp; Logistics'!$I$24:$O$30,MATCH($J600,'Upper Cask Movement &amp; Logistics'!$H$24:$H$30,0),MATCH($K600,'Upper Cask Movement &amp; Logistics'!$H$24:$H$30,0)),"N/A")</f>
        <v>N/A</v>
      </c>
      <c r="M600" s="1334" t="str">
        <f>IFERROR(VLOOKUP($I600,'Upper Cask Movement &amp; Logistics'!$H$4:$I$8,2,FALSE),"N/A")</f>
        <v>N/A</v>
      </c>
      <c r="N600" s="1335" t="str">
        <f t="shared" si="19"/>
        <v>N/A</v>
      </c>
      <c r="O600" s="1336"/>
      <c r="P600" s="1337" t="str">
        <f>IF($D600="Logistics",VLOOKUP($O600,'Upper Cask Movement &amp; Logistics'!$C$4:$D$77,2,FALSE),"N/A")</f>
        <v>N/A</v>
      </c>
    </row>
    <row r="601" spans="1:16" s="89" customFormat="1" outlineLevel="1" x14ac:dyDescent="0.35">
      <c r="A601" s="1213"/>
      <c r="B601" s="3968"/>
      <c r="C601" s="1240" t="s">
        <v>1268</v>
      </c>
      <c r="D601" s="1240" t="s">
        <v>3</v>
      </c>
      <c r="E601" s="1241">
        <f t="shared" si="17"/>
        <v>2.3000000000000003</v>
      </c>
      <c r="F601" s="1241">
        <f>IF($D601="Trigger",VLOOKUP($C601,'Upper Cask Welding failures'!$E$424:$H$492,4,FALSE),E601+F600)</f>
        <v>89.50456140996512</v>
      </c>
      <c r="G601" s="1354"/>
      <c r="H601" s="1355" t="str">
        <f>IF(D601="operation",VLOOKUP(G601,'Generic Vertical Port Tasks'!C502:D575,2,FALSE),"N/A")</f>
        <v>N/A</v>
      </c>
      <c r="I601" s="1240"/>
      <c r="J601" s="1240"/>
      <c r="K601" s="1240"/>
      <c r="L601" s="1242" t="str">
        <f>IFERROR(INDEX('Upper Cask Movement &amp; Logistics'!$I$24:$O$30,MATCH($J601,'Upper Cask Movement &amp; Logistics'!$H$24:$H$30,0),MATCH($K601,'Upper Cask Movement &amp; Logistics'!$H$24:$H$30,0)),"N/A")</f>
        <v>N/A</v>
      </c>
      <c r="M601" s="1242" t="str">
        <f>IFERROR(VLOOKUP($I601,'Upper Cask Movement &amp; Logistics'!$H$4:$I$8,2,FALSE),"N/A")</f>
        <v>N/A</v>
      </c>
      <c r="N601" s="1356" t="str">
        <f t="shared" si="19"/>
        <v>N/A</v>
      </c>
      <c r="O601" s="1357" t="s">
        <v>1269</v>
      </c>
      <c r="P601" s="1358">
        <f>IF($D601="Logistics",VLOOKUP($O601,'Upper Cask Movement &amp; Logistics'!$C$4:$D$77,2,FALSE),"N/A")</f>
        <v>2.3000000000000003</v>
      </c>
    </row>
    <row r="602" spans="1:16" s="89" customFormat="1" outlineLevel="1" x14ac:dyDescent="0.35">
      <c r="A602" s="1213"/>
      <c r="B602" s="3968"/>
      <c r="C602" s="1240" t="s">
        <v>1402</v>
      </c>
      <c r="D602" s="1240" t="s">
        <v>778</v>
      </c>
      <c r="E602" s="1241">
        <f t="shared" si="17"/>
        <v>0.11574074074074074</v>
      </c>
      <c r="F602" s="1241">
        <f>IF($D602="Trigger",VLOOKUP($C602,'Upper Cask Welding failures'!$E$424:$H$492,4,FALSE),E602+F601)</f>
        <v>89.620302150705868</v>
      </c>
      <c r="G602" s="1354"/>
      <c r="H602" s="1355" t="str">
        <f>IF(D602="operation",VLOOKUP(G602,'Generic Vertical Port Tasks'!C502:D575,2,FALSE),"N/A")</f>
        <v>N/A</v>
      </c>
      <c r="I602" s="1240" t="s">
        <v>2501</v>
      </c>
      <c r="J602" s="1240" t="s">
        <v>901</v>
      </c>
      <c r="K602" s="1240" t="s">
        <v>858</v>
      </c>
      <c r="L602" s="1242">
        <f>IFERROR(INDEX('Upper Cask Movement &amp; Logistics'!$I$24:$O$30,MATCH($J602,'Upper Cask Movement &amp; Logistics'!$H$24:$H$30,0),MATCH($K602,'Upper Cask Movement &amp; Logistics'!$H$24:$H$30,0)),"N/A")</f>
        <v>25</v>
      </c>
      <c r="M602" s="1242">
        <f>IFERROR(VLOOKUP($I602,'Upper Cask Movement &amp; Logistics'!$H$4:$I$8,2,FALSE),"N/A")</f>
        <v>0.06</v>
      </c>
      <c r="N602" s="1356">
        <f t="shared" si="19"/>
        <v>0.11574074074074074</v>
      </c>
      <c r="O602" s="1357"/>
      <c r="P602" s="1358" t="str">
        <f>IF($D602="Logistics",VLOOKUP($O602,'Upper Cask Movement &amp; Logistics'!$C$4:$D$77,2,FALSE),"N/A")</f>
        <v>N/A</v>
      </c>
    </row>
    <row r="603" spans="1:16" s="89" customFormat="1" outlineLevel="1" x14ac:dyDescent="0.35">
      <c r="A603" s="1213"/>
      <c r="B603" s="3968"/>
      <c r="C603" s="1240" t="s">
        <v>1408</v>
      </c>
      <c r="D603" s="1240" t="s">
        <v>3</v>
      </c>
      <c r="E603" s="1241">
        <f t="shared" si="17"/>
        <v>0.63000000000000012</v>
      </c>
      <c r="F603" s="1241">
        <f>IF($D603="Trigger",VLOOKUP($C603,'Upper Cask Welding failures'!$E$424:$H$492,4,FALSE),E603+F602)</f>
        <v>90.250302150705863</v>
      </c>
      <c r="G603" s="1354"/>
      <c r="H603" s="1355" t="str">
        <f>IF(D603="operation",VLOOKUP(G603,'Generic Vertical Port Tasks'!C502:D575,2,FALSE),"N/A")</f>
        <v>N/A</v>
      </c>
      <c r="I603" s="1240"/>
      <c r="J603" s="1240"/>
      <c r="K603" s="1240"/>
      <c r="L603" s="1242" t="str">
        <f>IFERROR(INDEX('Upper Cask Movement &amp; Logistics'!$I$24:$O$30,MATCH($J603,'Upper Cask Movement &amp; Logistics'!$H$24:$H$30,0),MATCH($K603,'Upper Cask Movement &amp; Logistics'!$H$24:$H$30,0)),"N/A")</f>
        <v>N/A</v>
      </c>
      <c r="M603" s="1242" t="str">
        <f>IFERROR(VLOOKUP($I603,'Upper Cask Movement &amp; Logistics'!$H$4:$I$8,2,FALSE),"N/A")</f>
        <v>N/A</v>
      </c>
      <c r="N603" s="1356" t="str">
        <f t="shared" si="19"/>
        <v>N/A</v>
      </c>
      <c r="O603" s="1357" t="s">
        <v>1228</v>
      </c>
      <c r="P603" s="1358">
        <f>IF($D603="Logistics",VLOOKUP($O603,'Upper Cask Movement &amp; Logistics'!$C$4:$D$77,2,FALSE),"N/A")</f>
        <v>0.63000000000000012</v>
      </c>
    </row>
    <row r="604" spans="1:16" s="89" customFormat="1" outlineLevel="1" x14ac:dyDescent="0.35">
      <c r="A604" s="1213"/>
      <c r="B604" s="3961"/>
      <c r="C604" s="1243" t="s">
        <v>1366</v>
      </c>
      <c r="D604" s="1243" t="s">
        <v>778</v>
      </c>
      <c r="E604" s="1244">
        <f t="shared" si="17"/>
        <v>0.69444444444444442</v>
      </c>
      <c r="F604" s="1244">
        <f>IF($D604="Trigger",VLOOKUP($C604,'Upper Cask Welding failures'!$E$424:$H$492,4,FALSE),E604+F603)</f>
        <v>90.944746595150306</v>
      </c>
      <c r="G604" s="1309"/>
      <c r="H604" s="1310" t="str">
        <f>IF(D604="operation",VLOOKUP(G604,'Generic Vertical Port Tasks'!C502:D575,2,FALSE),"N/A")</f>
        <v>N/A</v>
      </c>
      <c r="I604" s="1243" t="s">
        <v>1789</v>
      </c>
      <c r="J604" s="1243" t="s">
        <v>831</v>
      </c>
      <c r="K604" s="1243" t="s">
        <v>901</v>
      </c>
      <c r="L604" s="1245">
        <f>IFERROR(INDEX('Upper Cask Movement &amp; Logistics'!$I$24:$O$30,MATCH($J604,'Upper Cask Movement &amp; Logistics'!$H$24:$H$30,0),MATCH($K604,'Upper Cask Movement &amp; Logistics'!$H$24:$H$30,0)),"N/A")</f>
        <v>50</v>
      </c>
      <c r="M604" s="1245">
        <f>IFERROR(VLOOKUP($I604,'Upper Cask Movement &amp; Logistics'!$H$4:$I$8,2,FALSE),"N/A")</f>
        <v>0.02</v>
      </c>
      <c r="N604" s="1311">
        <f t="shared" si="19"/>
        <v>0.69444444444444442</v>
      </c>
      <c r="O604" s="1312"/>
      <c r="P604" s="1313" t="str">
        <f>IF($D604="Logistics",VLOOKUP($O604,'Upper Cask Movement &amp; Logistics'!$C$4:$D$77,2,FALSE),"N/A")</f>
        <v>N/A</v>
      </c>
    </row>
    <row r="605" spans="1:16" s="89" customFormat="1" outlineLevel="1" x14ac:dyDescent="0.35">
      <c r="A605" s="1213"/>
      <c r="B605" s="3961"/>
      <c r="C605" s="1243" t="s">
        <v>1391</v>
      </c>
      <c r="D605" s="1243" t="s">
        <v>3</v>
      </c>
      <c r="E605" s="1244">
        <f t="shared" si="17"/>
        <v>1.4000000000000001</v>
      </c>
      <c r="F605" s="1244">
        <f>IF($D605="Trigger",VLOOKUP($C605,'Upper Cask Welding failures'!$E$424:$H$492,4,FALSE),E605+F604)</f>
        <v>92.344746595150312</v>
      </c>
      <c r="G605" s="1309"/>
      <c r="H605" s="1310" t="str">
        <f>IF(D605="operation",VLOOKUP(G605,'Generic Vertical Port Tasks'!C502:D575,2,FALSE),"N/A")</f>
        <v>N/A</v>
      </c>
      <c r="I605" s="1243"/>
      <c r="J605" s="1243"/>
      <c r="K605" s="1243"/>
      <c r="L605" s="1245" t="str">
        <f>IFERROR(INDEX('Upper Cask Movement &amp; Logistics'!$I$24:$O$30,MATCH($J605,'Upper Cask Movement &amp; Logistics'!$H$24:$H$30,0),MATCH($K605,'Upper Cask Movement &amp; Logistics'!$H$24:$H$30,0)),"N/A")</f>
        <v>N/A</v>
      </c>
      <c r="M605" s="1245" t="str">
        <f>IFERROR(VLOOKUP($I605,'Upper Cask Movement &amp; Logistics'!$H$4:$I$8,2,FALSE),"N/A")</f>
        <v>N/A</v>
      </c>
      <c r="N605" s="1311" t="str">
        <f t="shared" si="19"/>
        <v>N/A</v>
      </c>
      <c r="O605" s="1312" t="s">
        <v>1277</v>
      </c>
      <c r="P605" s="1313">
        <f>IF($D605="Logistics",VLOOKUP($O605,'Upper Cask Movement &amp; Logistics'!$C$4:$D$77,2,FALSE),"N/A")</f>
        <v>1.4000000000000001</v>
      </c>
    </row>
    <row r="606" spans="1:16" s="89" customFormat="1" ht="13.3" outlineLevel="1" thickBot="1" x14ac:dyDescent="0.4">
      <c r="A606" s="1213"/>
      <c r="B606" s="3963"/>
      <c r="C606" s="1314" t="s">
        <v>1284</v>
      </c>
      <c r="D606" s="1314" t="s">
        <v>11</v>
      </c>
      <c r="E606" s="1316">
        <f t="shared" si="17"/>
        <v>0</v>
      </c>
      <c r="F606" s="1316">
        <f>IF($D606="Trigger",VLOOKUP($C606,'Upper Cask Welding failures'!$E$424:$H$492,4,FALSE),E606+F605)</f>
        <v>92.344746595150312</v>
      </c>
      <c r="G606" s="1317"/>
      <c r="H606" s="1318" t="str">
        <f>IF(D606="operation",VLOOKUP(G606,'Generic Vertical Port Tasks'!C502:D575,2,FALSE),"N/A")</f>
        <v>N/A</v>
      </c>
      <c r="I606" s="1314"/>
      <c r="J606" s="1314"/>
      <c r="K606" s="1314"/>
      <c r="L606" s="1319" t="str">
        <f>IFERROR(INDEX('Upper Cask Movement &amp; Logistics'!$I$24:$O$30,MATCH($J606,'Upper Cask Movement &amp; Logistics'!$H$24:$H$30,0),MATCH($K606,'Upper Cask Movement &amp; Logistics'!$H$24:$H$30,0)),"N/A")</f>
        <v>N/A</v>
      </c>
      <c r="M606" s="1319" t="str">
        <f>IFERROR(VLOOKUP($I606,'Upper Cask Movement &amp; Logistics'!$H$4:$I$8,2,FALSE),"N/A")</f>
        <v>N/A</v>
      </c>
      <c r="N606" s="1320" t="str">
        <f t="shared" si="19"/>
        <v>N/A</v>
      </c>
      <c r="O606" s="1321"/>
      <c r="P606" s="1322" t="str">
        <f>IF($D606="Logistics",VLOOKUP($O606,'Upper Cask Movement &amp; Logistics'!$C$4:$D$77,2,FALSE),"N/A")</f>
        <v>N/A</v>
      </c>
    </row>
    <row r="607" spans="1:16" s="89" customFormat="1" outlineLevel="1" x14ac:dyDescent="0.35">
      <c r="A607" s="1213"/>
      <c r="B607" s="3964" t="s">
        <v>1286</v>
      </c>
      <c r="C607" s="1324" t="s">
        <v>1285</v>
      </c>
      <c r="D607" s="1324" t="s">
        <v>907</v>
      </c>
      <c r="E607" s="1291">
        <f t="shared" si="17"/>
        <v>0</v>
      </c>
      <c r="F607" s="1291">
        <f>IF($D607="Trigger",VLOOKUP($C607,'Upper Cask Welding failures'!$E$424:$H$492,4,FALSE),E607+F606)</f>
        <v>97.274746595150305</v>
      </c>
      <c r="G607" s="825"/>
      <c r="H607" s="1323" t="str">
        <f>IF(D607="operation",VLOOKUP(G607,'Generic Vertical Port Tasks'!C508:D582,2,FALSE),"N/A")</f>
        <v>N/A</v>
      </c>
      <c r="I607" s="1324"/>
      <c r="J607" s="1324"/>
      <c r="K607" s="1324"/>
      <c r="L607" s="1325" t="str">
        <f>IFERROR(INDEX('Upper Cask Movement &amp; Logistics'!$I$24:$O$30,MATCH($J607,'Upper Cask Movement &amp; Logistics'!$H$24:$H$30,0),MATCH($K607,'Upper Cask Movement &amp; Logistics'!$H$24:$H$30,0)),"N/A")</f>
        <v>N/A</v>
      </c>
      <c r="M607" s="1325" t="str">
        <f>IFERROR(VLOOKUP($I607,'Upper Cask Movement &amp; Logistics'!$H$4:$I$8,2,FALSE),"N/A")</f>
        <v>N/A</v>
      </c>
      <c r="N607" s="1326" t="str">
        <f t="shared" si="19"/>
        <v>N/A</v>
      </c>
      <c r="O607" s="1327"/>
      <c r="P607" s="824" t="str">
        <f>IF($D607="Logistics",VLOOKUP($O607,'Upper Cask Movement &amp; Logistics'!$C$4:$D$77,2,FALSE),"N/A")</f>
        <v>N/A</v>
      </c>
    </row>
    <row r="608" spans="1:16" s="89" customFormat="1" outlineLevel="1" x14ac:dyDescent="0.35">
      <c r="A608" s="1213"/>
      <c r="B608" s="3969"/>
      <c r="C608" s="1362" t="s">
        <v>1395</v>
      </c>
      <c r="D608" s="1362" t="s">
        <v>3</v>
      </c>
      <c r="E608" s="1363">
        <f t="shared" si="17"/>
        <v>2.3000000000000003</v>
      </c>
      <c r="F608" s="1363">
        <f>IF($D608="Trigger",VLOOKUP($C608,'Upper Cask Welding failures'!$E$424:$H$492,4,FALSE),E608+F607)</f>
        <v>99.574746595150302</v>
      </c>
      <c r="G608" s="1364"/>
      <c r="H608" s="1365" t="str">
        <f>IF(D608="operation",VLOOKUP(G608,'Generic Vertical Port Tasks'!C508:D582,2,FALSE),"N/A")</f>
        <v>N/A</v>
      </c>
      <c r="I608" s="1362"/>
      <c r="J608" s="1362"/>
      <c r="K608" s="1362"/>
      <c r="L608" s="1366" t="str">
        <f>IFERROR(INDEX('Upper Cask Movement &amp; Logistics'!$I$24:$O$30,MATCH($J608,'Upper Cask Movement &amp; Logistics'!$H$24:$H$30,0),MATCH($K608,'Upper Cask Movement &amp; Logistics'!$H$24:$H$30,0)),"N/A")</f>
        <v>N/A</v>
      </c>
      <c r="M608" s="1366" t="str">
        <f>IFERROR(VLOOKUP($I608,'Upper Cask Movement &amp; Logistics'!$H$4:$I$8,2,FALSE),"N/A")</f>
        <v>N/A</v>
      </c>
      <c r="N608" s="1367" t="str">
        <f t="shared" si="19"/>
        <v>N/A</v>
      </c>
      <c r="O608" s="1368" t="s">
        <v>1269</v>
      </c>
      <c r="P608" s="861">
        <f>IF($D608="Logistics",VLOOKUP($O608,'Upper Cask Movement &amp; Logistics'!$C$4:$D$77,2,FALSE),"N/A")</f>
        <v>2.3000000000000003</v>
      </c>
    </row>
    <row r="609" spans="1:16" s="89" customFormat="1" outlineLevel="1" x14ac:dyDescent="0.35">
      <c r="A609" s="1213"/>
      <c r="B609" s="3969"/>
      <c r="C609" s="1362" t="s">
        <v>1402</v>
      </c>
      <c r="D609" s="1362" t="s">
        <v>778</v>
      </c>
      <c r="E609" s="1363">
        <f t="shared" si="17"/>
        <v>0.11574074074074074</v>
      </c>
      <c r="F609" s="1363">
        <f>IF($D609="Trigger",VLOOKUP($C609,'Upper Cask Welding failures'!$E$424:$H$492,4,FALSE),E609+F608)</f>
        <v>99.690487335891049</v>
      </c>
      <c r="G609" s="1364"/>
      <c r="H609" s="1365" t="str">
        <f>IF(D609="operation",VLOOKUP(G609,'Generic Vertical Port Tasks'!C508:D582,2,FALSE),"N/A")</f>
        <v>N/A</v>
      </c>
      <c r="I609" s="1362" t="s">
        <v>2501</v>
      </c>
      <c r="J609" s="1362" t="s">
        <v>901</v>
      </c>
      <c r="K609" s="1362" t="s">
        <v>858</v>
      </c>
      <c r="L609" s="1366">
        <f>IFERROR(INDEX('Upper Cask Movement &amp; Logistics'!$I$24:$O$30,MATCH($J609,'Upper Cask Movement &amp; Logistics'!$H$24:$H$30,0),MATCH($K609,'Upper Cask Movement &amp; Logistics'!$H$24:$H$30,0)),"N/A")</f>
        <v>25</v>
      </c>
      <c r="M609" s="1366">
        <f>IFERROR(VLOOKUP($I609,'Upper Cask Movement &amp; Logistics'!$H$4:$I$8,2,FALSE),"N/A")</f>
        <v>0.06</v>
      </c>
      <c r="N609" s="1367">
        <f t="shared" si="19"/>
        <v>0.11574074074074074</v>
      </c>
      <c r="O609" s="1368"/>
      <c r="P609" s="861" t="str">
        <f>IF($D609="Logistics",VLOOKUP($O609,'Upper Cask Movement &amp; Logistics'!$C$4:$D$77,2,FALSE),"N/A")</f>
        <v>N/A</v>
      </c>
    </row>
    <row r="610" spans="1:16" s="89" customFormat="1" outlineLevel="1" x14ac:dyDescent="0.35">
      <c r="A610" s="1213"/>
      <c r="B610" s="3969"/>
      <c r="C610" s="1362" t="s">
        <v>1409</v>
      </c>
      <c r="D610" s="1362" t="s">
        <v>3</v>
      </c>
      <c r="E610" s="1363">
        <f t="shared" si="17"/>
        <v>0.63000000000000012</v>
      </c>
      <c r="F610" s="1363">
        <f>IF($D610="Trigger",VLOOKUP($C610,'Upper Cask Welding failures'!$E$424:$H$492,4,FALSE),E610+F609)</f>
        <v>100.32048733589104</v>
      </c>
      <c r="G610" s="1364"/>
      <c r="H610" s="1365" t="str">
        <f>IF(D610="operation",VLOOKUP(G610,'Generic Vertical Port Tasks'!C508:D582,2,FALSE),"N/A")</f>
        <v>N/A</v>
      </c>
      <c r="I610" s="1362"/>
      <c r="J610" s="1362"/>
      <c r="K610" s="1362"/>
      <c r="L610" s="1366" t="str">
        <f>IFERROR(INDEX('Upper Cask Movement &amp; Logistics'!$I$24:$O$30,MATCH($J610,'Upper Cask Movement &amp; Logistics'!$H$24:$H$30,0),MATCH($K610,'Upper Cask Movement &amp; Logistics'!$H$24:$H$30,0)),"N/A")</f>
        <v>N/A</v>
      </c>
      <c r="M610" s="1366" t="str">
        <f>IFERROR(VLOOKUP($I610,'Upper Cask Movement &amp; Logistics'!$H$4:$I$8,2,FALSE),"N/A")</f>
        <v>N/A</v>
      </c>
      <c r="N610" s="1367" t="str">
        <f t="shared" si="19"/>
        <v>N/A</v>
      </c>
      <c r="O610" s="1368" t="s">
        <v>1228</v>
      </c>
      <c r="P610" s="861">
        <f>IF($D610="Logistics",VLOOKUP($O610,'Upper Cask Movement &amp; Logistics'!$C$4:$D$77,2,FALSE),"N/A")</f>
        <v>0.63000000000000012</v>
      </c>
    </row>
    <row r="611" spans="1:16" s="89" customFormat="1" outlineLevel="1" x14ac:dyDescent="0.35">
      <c r="A611" s="1213"/>
      <c r="B611" s="3965"/>
      <c r="C611" s="1294" t="s">
        <v>1340</v>
      </c>
      <c r="D611" s="1294" t="s">
        <v>778</v>
      </c>
      <c r="E611" s="1292">
        <f t="shared" si="17"/>
        <v>0.69444444444444442</v>
      </c>
      <c r="F611" s="1292">
        <f>IF($D611="Trigger",VLOOKUP($C611,'Upper Cask Welding failures'!$E$424:$H$492,4,FALSE),E611+F610)</f>
        <v>101.01493178033549</v>
      </c>
      <c r="G611" s="862"/>
      <c r="H611" s="1328" t="str">
        <f>IF(D611="operation",VLOOKUP(G611,'Generic Vertical Port Tasks'!C508:D582,2,FALSE),"N/A")</f>
        <v>N/A</v>
      </c>
      <c r="I611" s="1294" t="s">
        <v>1789</v>
      </c>
      <c r="J611" s="1294" t="s">
        <v>831</v>
      </c>
      <c r="K611" s="1294" t="s">
        <v>901</v>
      </c>
      <c r="L611" s="1329">
        <f>IFERROR(INDEX('Upper Cask Movement &amp; Logistics'!$I$24:$O$30,MATCH($J611,'Upper Cask Movement &amp; Logistics'!$H$24:$H$30,0),MATCH($K611,'Upper Cask Movement &amp; Logistics'!$H$24:$H$30,0)),"N/A")</f>
        <v>50</v>
      </c>
      <c r="M611" s="1329">
        <f>IFERROR(VLOOKUP($I611,'Upper Cask Movement &amp; Logistics'!$H$4:$I$8,2,FALSE),"N/A")</f>
        <v>0.02</v>
      </c>
      <c r="N611" s="1330">
        <f t="shared" si="19"/>
        <v>0.69444444444444442</v>
      </c>
      <c r="O611" s="1331"/>
      <c r="P611" s="1332" t="str">
        <f>IF($D611="Logistics",VLOOKUP($O611,'Upper Cask Movement &amp; Logistics'!$C$4:$D$77,2,FALSE),"N/A")</f>
        <v>N/A</v>
      </c>
    </row>
    <row r="612" spans="1:16" s="89" customFormat="1" outlineLevel="1" x14ac:dyDescent="0.35">
      <c r="A612" s="1213"/>
      <c r="B612" s="3965"/>
      <c r="C612" s="1294" t="s">
        <v>1391</v>
      </c>
      <c r="D612" s="1294" t="s">
        <v>3</v>
      </c>
      <c r="E612" s="1292">
        <f t="shared" si="17"/>
        <v>1.4000000000000001</v>
      </c>
      <c r="F612" s="1292">
        <f>IF($D612="Trigger",VLOOKUP($C612,'Upper Cask Welding failures'!$E$424:$H$492,4,FALSE),E612+F611)</f>
        <v>102.41493178033549</v>
      </c>
      <c r="G612" s="862"/>
      <c r="H612" s="1328" t="str">
        <f>IF(D612="operation",VLOOKUP(G612,'Generic Vertical Port Tasks'!C508:D582,2,FALSE),"N/A")</f>
        <v>N/A</v>
      </c>
      <c r="I612" s="1294"/>
      <c r="J612" s="1294"/>
      <c r="K612" s="1294"/>
      <c r="L612" s="1329" t="str">
        <f>IFERROR(INDEX('Upper Cask Movement &amp; Logistics'!$I$24:$O$30,MATCH($J612,'Upper Cask Movement &amp; Logistics'!$H$24:$H$30,0),MATCH($K612,'Upper Cask Movement &amp; Logistics'!$H$24:$H$30,0)),"N/A")</f>
        <v>N/A</v>
      </c>
      <c r="M612" s="1329" t="str">
        <f>IFERROR(VLOOKUP($I612,'Upper Cask Movement &amp; Logistics'!$H$4:$I$8,2,FALSE),"N/A")</f>
        <v>N/A</v>
      </c>
      <c r="N612" s="1330" t="str">
        <f t="shared" si="19"/>
        <v>N/A</v>
      </c>
      <c r="O612" s="1331" t="s">
        <v>1277</v>
      </c>
      <c r="P612" s="1332">
        <f>IF($D612="Logistics",VLOOKUP($O612,'Upper Cask Movement &amp; Logistics'!$C$4:$D$77,2,FALSE),"N/A")</f>
        <v>1.4000000000000001</v>
      </c>
    </row>
    <row r="613" spans="1:16" s="89" customFormat="1" ht="13.3" outlineLevel="1" thickBot="1" x14ac:dyDescent="0.4">
      <c r="A613" s="1213"/>
      <c r="B613" s="3966"/>
      <c r="C613" s="1340" t="s">
        <v>1286</v>
      </c>
      <c r="D613" s="1340" t="s">
        <v>11</v>
      </c>
      <c r="E613" s="1295">
        <f t="shared" si="17"/>
        <v>0</v>
      </c>
      <c r="F613" s="1295">
        <f>IF($D613="Trigger",VLOOKUP($C613,'Upper Cask Welding failures'!$E$424:$H$492,4,FALSE),E613+F612)</f>
        <v>102.41493178033549</v>
      </c>
      <c r="G613" s="839"/>
      <c r="H613" s="1341" t="str">
        <f>IF(D613="operation",VLOOKUP(G613,'Generic Vertical Port Tasks'!C508:D582,2,FALSE),"N/A")</f>
        <v>N/A</v>
      </c>
      <c r="I613" s="1340"/>
      <c r="J613" s="1340"/>
      <c r="K613" s="1340"/>
      <c r="L613" s="1342" t="str">
        <f>IFERROR(INDEX('Upper Cask Movement &amp; Logistics'!$I$24:$O$30,MATCH($J613,'Upper Cask Movement &amp; Logistics'!$H$24:$H$30,0),MATCH($K613,'Upper Cask Movement &amp; Logistics'!$H$24:$H$30,0)),"N/A")</f>
        <v>N/A</v>
      </c>
      <c r="M613" s="1342" t="str">
        <f>IFERROR(VLOOKUP($I613,'Upper Cask Movement &amp; Logistics'!$H$4:$I$8,2,FALSE),"N/A")</f>
        <v>N/A</v>
      </c>
      <c r="N613" s="1343" t="str">
        <f t="shared" si="19"/>
        <v>N/A</v>
      </c>
      <c r="O613" s="1344"/>
      <c r="P613" s="1345" t="str">
        <f>IF($D613="Logistics",VLOOKUP($O613,'Upper Cask Movement &amp; Logistics'!$C$4:$D$77,2,FALSE),"N/A")</f>
        <v>N/A</v>
      </c>
    </row>
    <row r="614" spans="1:16" s="89" customFormat="1" outlineLevel="1" x14ac:dyDescent="0.35">
      <c r="A614" s="1213"/>
      <c r="B614" s="3960" t="s">
        <v>1288</v>
      </c>
      <c r="C614" s="1333" t="s">
        <v>1287</v>
      </c>
      <c r="D614" s="1333" t="s">
        <v>907</v>
      </c>
      <c r="E614" s="1303">
        <f t="shared" si="17"/>
        <v>0</v>
      </c>
      <c r="F614" s="1303">
        <f>IF($D614="Trigger",VLOOKUP($C614,'Upper Cask Welding failures'!$E$424:$H$492,4,FALSE),E614+F613)</f>
        <v>107.34493178033549</v>
      </c>
      <c r="G614" s="1304"/>
      <c r="H614" s="1305" t="str">
        <f>IF(D614="operation",VLOOKUP(G614,'Generic Vertical Port Tasks'!C510:D589,2,FALSE),"N/A")</f>
        <v>N/A</v>
      </c>
      <c r="I614" s="1333"/>
      <c r="J614" s="1333"/>
      <c r="K614" s="1333"/>
      <c r="L614" s="1334" t="str">
        <f>IFERROR(INDEX('Upper Cask Movement &amp; Logistics'!$I$24:$O$30,MATCH($J614,'Upper Cask Movement &amp; Logistics'!$H$24:$H$30,0),MATCH($K614,'Upper Cask Movement &amp; Logistics'!$H$24:$H$30,0)),"N/A")</f>
        <v>N/A</v>
      </c>
      <c r="M614" s="1334" t="str">
        <f>IFERROR(VLOOKUP($I614,'Upper Cask Movement &amp; Logistics'!$H$4:$I$8,2,FALSE),"N/A")</f>
        <v>N/A</v>
      </c>
      <c r="N614" s="1335" t="str">
        <f t="shared" si="19"/>
        <v>N/A</v>
      </c>
      <c r="O614" s="1336"/>
      <c r="P614" s="1337" t="str">
        <f>IF($D614="Logistics",VLOOKUP($O614,'Upper Cask Movement &amp; Logistics'!$C$4:$D$77,2,FALSE),"N/A")</f>
        <v>N/A</v>
      </c>
    </row>
    <row r="615" spans="1:16" s="89" customFormat="1" outlineLevel="1" x14ac:dyDescent="0.35">
      <c r="A615" s="1213"/>
      <c r="B615" s="3968"/>
      <c r="C615" s="1240" t="s">
        <v>1268</v>
      </c>
      <c r="D615" s="1240" t="s">
        <v>3</v>
      </c>
      <c r="E615" s="1241">
        <f t="shared" ref="E615:E645" si="20">MAX($P615,$N615,$H615)</f>
        <v>2.3000000000000003</v>
      </c>
      <c r="F615" s="1241">
        <f>IF($D615="Trigger",VLOOKUP($C615,'Upper Cask Welding failures'!$E$424:$H$492,4,FALSE),E615+F614)</f>
        <v>109.64493178033548</v>
      </c>
      <c r="G615" s="1354"/>
      <c r="H615" s="1355" t="str">
        <f>IF(D615="operation",VLOOKUP(G615,'Generic Vertical Port Tasks'!C510:D589,2,FALSE),"N/A")</f>
        <v>N/A</v>
      </c>
      <c r="I615" s="1240"/>
      <c r="J615" s="1240"/>
      <c r="K615" s="1240"/>
      <c r="L615" s="1242" t="str">
        <f>IFERROR(INDEX('Upper Cask Movement &amp; Logistics'!$I$24:$O$30,MATCH($J615,'Upper Cask Movement &amp; Logistics'!$H$24:$H$30,0),MATCH($K615,'Upper Cask Movement &amp; Logistics'!$H$24:$H$30,0)),"N/A")</f>
        <v>N/A</v>
      </c>
      <c r="M615" s="1242" t="str">
        <f>IFERROR(VLOOKUP($I615,'Upper Cask Movement &amp; Logistics'!$H$4:$I$8,2,FALSE),"N/A")</f>
        <v>N/A</v>
      </c>
      <c r="N615" s="1356" t="str">
        <f t="shared" si="19"/>
        <v>N/A</v>
      </c>
      <c r="O615" s="1357" t="s">
        <v>1269</v>
      </c>
      <c r="P615" s="1358">
        <f>IF($D615="Logistics",VLOOKUP($O615,'Upper Cask Movement &amp; Logistics'!$C$4:$D$77,2,FALSE),"N/A")</f>
        <v>2.3000000000000003</v>
      </c>
    </row>
    <row r="616" spans="1:16" s="89" customFormat="1" outlineLevel="1" x14ac:dyDescent="0.35">
      <c r="A616" s="1213"/>
      <c r="B616" s="3968"/>
      <c r="C616" s="1240" t="s">
        <v>1410</v>
      </c>
      <c r="D616" s="1240" t="s">
        <v>778</v>
      </c>
      <c r="E616" s="1241">
        <f t="shared" si="20"/>
        <v>0.11574074074074074</v>
      </c>
      <c r="F616" s="1241">
        <f>IF($D616="Trigger",VLOOKUP($C616,'Upper Cask Welding failures'!$E$424:$H$492,4,FALSE),E616+F615)</f>
        <v>109.76067252107623</v>
      </c>
      <c r="G616" s="1354"/>
      <c r="H616" s="1355" t="str">
        <f>IF(D616="operation",VLOOKUP(G616,'Generic Vertical Port Tasks'!C510:D589,2,FALSE),"N/A")</f>
        <v>N/A</v>
      </c>
      <c r="I616" s="1240" t="s">
        <v>2501</v>
      </c>
      <c r="J616" s="1240" t="s">
        <v>901</v>
      </c>
      <c r="K616" s="1240" t="s">
        <v>858</v>
      </c>
      <c r="L616" s="1242">
        <f>IFERROR(INDEX('Upper Cask Movement &amp; Logistics'!$I$24:$O$30,MATCH($J616,'Upper Cask Movement &amp; Logistics'!$H$24:$H$30,0),MATCH($K616,'Upper Cask Movement &amp; Logistics'!$H$24:$H$30,0)),"N/A")</f>
        <v>25</v>
      </c>
      <c r="M616" s="1242">
        <f>IFERROR(VLOOKUP($I616,'Upper Cask Movement &amp; Logistics'!$H$4:$I$8,2,FALSE),"N/A")</f>
        <v>0.06</v>
      </c>
      <c r="N616" s="1356">
        <f t="shared" si="19"/>
        <v>0.11574074074074074</v>
      </c>
      <c r="O616" s="1357"/>
      <c r="P616" s="1358" t="str">
        <f>IF($D616="Logistics",VLOOKUP($O616,'Upper Cask Movement &amp; Logistics'!$C$4:$D$77,2,FALSE),"N/A")</f>
        <v>N/A</v>
      </c>
    </row>
    <row r="617" spans="1:16" s="89" customFormat="1" outlineLevel="1" x14ac:dyDescent="0.35">
      <c r="A617" s="1213"/>
      <c r="B617" s="3968"/>
      <c r="C617" s="1240" t="s">
        <v>1411</v>
      </c>
      <c r="D617" s="1240" t="s">
        <v>3</v>
      </c>
      <c r="E617" s="1241">
        <f t="shared" si="20"/>
        <v>0.63000000000000012</v>
      </c>
      <c r="F617" s="1241">
        <f>IF($D617="Trigger",VLOOKUP($C617,'Upper Cask Welding failures'!$E$424:$H$492,4,FALSE),E617+F616)</f>
        <v>110.39067252107623</v>
      </c>
      <c r="G617" s="1354"/>
      <c r="H617" s="1355" t="str">
        <f>IF(D617="operation",VLOOKUP(G617,'Generic Vertical Port Tasks'!C510:D589,2,FALSE),"N/A")</f>
        <v>N/A</v>
      </c>
      <c r="I617" s="1240"/>
      <c r="J617" s="1240"/>
      <c r="K617" s="1240"/>
      <c r="L617" s="1242" t="str">
        <f>IFERROR(INDEX('Upper Cask Movement &amp; Logistics'!$I$24:$O$30,MATCH($J617,'Upper Cask Movement &amp; Logistics'!$H$24:$H$30,0),MATCH($K617,'Upper Cask Movement &amp; Logistics'!$H$24:$H$30,0)),"N/A")</f>
        <v>N/A</v>
      </c>
      <c r="M617" s="1242" t="str">
        <f>IFERROR(VLOOKUP($I617,'Upper Cask Movement &amp; Logistics'!$H$4:$I$8,2,FALSE),"N/A")</f>
        <v>N/A</v>
      </c>
      <c r="N617" s="1356" t="str">
        <f t="shared" si="19"/>
        <v>N/A</v>
      </c>
      <c r="O617" s="1357" t="s">
        <v>1228</v>
      </c>
      <c r="P617" s="1358">
        <f>IF($D617="Logistics",VLOOKUP($O617,'Upper Cask Movement &amp; Logistics'!$C$4:$D$77,2,FALSE),"N/A")</f>
        <v>0.63000000000000012</v>
      </c>
    </row>
    <row r="618" spans="1:16" s="89" customFormat="1" outlineLevel="1" x14ac:dyDescent="0.35">
      <c r="A618" s="1213"/>
      <c r="B618" s="3961"/>
      <c r="C618" s="1243" t="s">
        <v>1366</v>
      </c>
      <c r="D618" s="1243" t="s">
        <v>778</v>
      </c>
      <c r="E618" s="1244">
        <f t="shared" si="20"/>
        <v>0.69444444444444442</v>
      </c>
      <c r="F618" s="1244">
        <f>IF($D618="Trigger",VLOOKUP($C618,'Upper Cask Welding failures'!$E$424:$H$492,4,FALSE),E618+F617)</f>
        <v>111.08511696552067</v>
      </c>
      <c r="G618" s="1309"/>
      <c r="H618" s="1310" t="str">
        <f>IF(D618="operation",VLOOKUP(G618,'Generic Vertical Port Tasks'!C510:D589,2,FALSE),"N/A")</f>
        <v>N/A</v>
      </c>
      <c r="I618" s="1243" t="s">
        <v>1789</v>
      </c>
      <c r="J618" s="1243" t="s">
        <v>831</v>
      </c>
      <c r="K618" s="1243" t="s">
        <v>901</v>
      </c>
      <c r="L618" s="1245">
        <f>IFERROR(INDEX('Upper Cask Movement &amp; Logistics'!$I$24:$O$30,MATCH($J618,'Upper Cask Movement &amp; Logistics'!$H$24:$H$30,0),MATCH($K618,'Upper Cask Movement &amp; Logistics'!$H$24:$H$30,0)),"N/A")</f>
        <v>50</v>
      </c>
      <c r="M618" s="1245">
        <f>IFERROR(VLOOKUP($I618,'Upper Cask Movement &amp; Logistics'!$H$4:$I$8,2,FALSE),"N/A")</f>
        <v>0.02</v>
      </c>
      <c r="N618" s="1311">
        <f t="shared" si="19"/>
        <v>0.69444444444444442</v>
      </c>
      <c r="O618" s="1312"/>
      <c r="P618" s="1313" t="str">
        <f>IF($D618="Logistics",VLOOKUP($O618,'Upper Cask Movement &amp; Logistics'!$C$4:$D$77,2,FALSE),"N/A")</f>
        <v>N/A</v>
      </c>
    </row>
    <row r="619" spans="1:16" s="89" customFormat="1" outlineLevel="1" x14ac:dyDescent="0.35">
      <c r="A619" s="1213"/>
      <c r="B619" s="3961"/>
      <c r="C619" s="1243" t="s">
        <v>1391</v>
      </c>
      <c r="D619" s="1243" t="s">
        <v>3</v>
      </c>
      <c r="E619" s="1244">
        <f t="shared" si="20"/>
        <v>1.4000000000000001</v>
      </c>
      <c r="F619" s="1244">
        <f>IF($D619="Trigger",VLOOKUP($C619,'Upper Cask Welding failures'!$E$424:$H$492,4,FALSE),E619+F618)</f>
        <v>112.48511696552067</v>
      </c>
      <c r="G619" s="1309"/>
      <c r="H619" s="1310" t="str">
        <f>IF(D619="operation",VLOOKUP(G619,'Generic Vertical Port Tasks'!C510:D589,2,FALSE),"N/A")</f>
        <v>N/A</v>
      </c>
      <c r="I619" s="1243"/>
      <c r="J619" s="1243"/>
      <c r="K619" s="1243"/>
      <c r="L619" s="1245" t="str">
        <f>IFERROR(INDEX('Upper Cask Movement &amp; Logistics'!$I$24:$O$30,MATCH($J619,'Upper Cask Movement &amp; Logistics'!$H$24:$H$30,0),MATCH($K619,'Upper Cask Movement &amp; Logistics'!$H$24:$H$30,0)),"N/A")</f>
        <v>N/A</v>
      </c>
      <c r="M619" s="1245" t="str">
        <f>IFERROR(VLOOKUP($I619,'Upper Cask Movement &amp; Logistics'!$H$4:$I$8,2,FALSE),"N/A")</f>
        <v>N/A</v>
      </c>
      <c r="N619" s="1311" t="str">
        <f t="shared" si="19"/>
        <v>N/A</v>
      </c>
      <c r="O619" s="1312" t="s">
        <v>1277</v>
      </c>
      <c r="P619" s="1313">
        <f>IF($D619="Logistics",VLOOKUP($O619,'Upper Cask Movement &amp; Logistics'!$C$4:$D$77,2,FALSE),"N/A")</f>
        <v>1.4000000000000001</v>
      </c>
    </row>
    <row r="620" spans="1:16" s="89" customFormat="1" ht="13.3" outlineLevel="1" thickBot="1" x14ac:dyDescent="0.4">
      <c r="A620" s="1213"/>
      <c r="B620" s="3963"/>
      <c r="C620" s="1378" t="s">
        <v>1288</v>
      </c>
      <c r="D620" s="1314" t="s">
        <v>11</v>
      </c>
      <c r="E620" s="1316">
        <f t="shared" si="20"/>
        <v>0</v>
      </c>
      <c r="F620" s="1316">
        <f>IF($D620="Trigger",VLOOKUP($C620,'Upper Cask Welding failures'!$E$424:$H$492,4,FALSE),E620+F619)</f>
        <v>112.48511696552067</v>
      </c>
      <c r="G620" s="1317"/>
      <c r="H620" s="1318" t="str">
        <f>IF(D620="operation",VLOOKUP(G620,'Generic Vertical Port Tasks'!C510:D589,2,FALSE),"N/A")</f>
        <v>N/A</v>
      </c>
      <c r="I620" s="1314"/>
      <c r="J620" s="1314"/>
      <c r="K620" s="1314"/>
      <c r="L620" s="1319" t="str">
        <f>IFERROR(INDEX('Upper Cask Movement &amp; Logistics'!$I$24:$O$30,MATCH($J620,'Upper Cask Movement &amp; Logistics'!$H$24:$H$30,0),MATCH($K620,'Upper Cask Movement &amp; Logistics'!$H$24:$H$30,0)),"N/A")</f>
        <v>N/A</v>
      </c>
      <c r="M620" s="1319" t="str">
        <f>IFERROR(VLOOKUP($I620,'Upper Cask Movement &amp; Logistics'!$H$4:$I$8,2,FALSE),"N/A")</f>
        <v>N/A</v>
      </c>
      <c r="N620" s="1320" t="str">
        <f t="shared" si="19"/>
        <v>N/A</v>
      </c>
      <c r="O620" s="1321"/>
      <c r="P620" s="1322" t="str">
        <f>IF($D620="Logistics",VLOOKUP($O620,'Upper Cask Movement &amp; Logistics'!$C$4:$D$77,2,FALSE),"N/A")</f>
        <v>N/A</v>
      </c>
    </row>
    <row r="621" spans="1:16" s="89" customFormat="1" outlineLevel="1" x14ac:dyDescent="0.35">
      <c r="A621" s="1213"/>
      <c r="B621" s="3814" t="s">
        <v>1295</v>
      </c>
      <c r="C621" s="1324" t="s">
        <v>134</v>
      </c>
      <c r="D621" s="1324" t="s">
        <v>907</v>
      </c>
      <c r="E621" s="1291">
        <f t="shared" si="20"/>
        <v>0</v>
      </c>
      <c r="F621" s="1291">
        <f>IF($D621="Trigger",VLOOKUP($C621,'Upper Cask Welding failures'!$E$424:$H$492,4,FALSE),E621+F620)</f>
        <v>116.81511696552067</v>
      </c>
      <c r="G621" s="825"/>
      <c r="H621" s="1323" t="str">
        <f>IF(D621="operation",VLOOKUP(G621,'Generic Vertical Port Tasks'!C529:D611,2,FALSE),"N/A")</f>
        <v>N/A</v>
      </c>
      <c r="I621" s="1324"/>
      <c r="J621" s="1324"/>
      <c r="K621" s="1324"/>
      <c r="L621" s="1325" t="str">
        <f>IFERROR(INDEX('Upper Cask Movement &amp; Logistics'!$I$24:$O$30,MATCH($J621,'Upper Cask Movement &amp; Logistics'!$H$24:$H$30,0),MATCH($K621,'Upper Cask Movement &amp; Logistics'!$H$24:$H$30,0)),"N/A")</f>
        <v>N/A</v>
      </c>
      <c r="M621" s="1325" t="str">
        <f>IFERROR(VLOOKUP($I621,'Upper Cask Movement &amp; Logistics'!$H$4:$I$8,2,FALSE),"N/A")</f>
        <v>N/A</v>
      </c>
      <c r="N621" s="1326" t="str">
        <f t="shared" si="19"/>
        <v>N/A</v>
      </c>
      <c r="O621" s="1327"/>
      <c r="P621" s="824" t="str">
        <f>IF($D621="Logistics",VLOOKUP($O621,'Upper Cask Movement &amp; Logistics'!$C$4:$D$77,2,FALSE),"N/A")</f>
        <v>N/A</v>
      </c>
    </row>
    <row r="622" spans="1:16" s="89" customFormat="1" outlineLevel="1" x14ac:dyDescent="0.35">
      <c r="A622" s="1213"/>
      <c r="B622" s="3815"/>
      <c r="C622" s="1294" t="s">
        <v>1345</v>
      </c>
      <c r="D622" s="1294" t="s">
        <v>778</v>
      </c>
      <c r="E622" s="1292">
        <f t="shared" si="20"/>
        <v>0.23148148148148148</v>
      </c>
      <c r="F622" s="1292">
        <f>IF($D622="Trigger",VLOOKUP($C622,'Upper Cask Welding failures'!$E$424:$H$492,4,FALSE),E622+F621)</f>
        <v>117.04659844700215</v>
      </c>
      <c r="G622" s="862"/>
      <c r="H622" s="1328" t="str">
        <f>IF(D622="operation",VLOOKUP(G622,'Generic Vertical Port Tasks'!C529:D611,2,FALSE),"N/A")</f>
        <v>N/A</v>
      </c>
      <c r="I622" s="1294" t="s">
        <v>2501</v>
      </c>
      <c r="J622" s="1294" t="s">
        <v>816</v>
      </c>
      <c r="K622" s="1294" t="s">
        <v>914</v>
      </c>
      <c r="L622" s="1329">
        <f>IFERROR(INDEX('Upper Cask Movement &amp; Logistics'!$I$24:$O$30,MATCH($J622,'Upper Cask Movement &amp; Logistics'!$H$24:$H$30,0),MATCH($K622,'Upper Cask Movement &amp; Logistics'!$H$24:$H$30,0)),"N/A")</f>
        <v>50</v>
      </c>
      <c r="M622" s="1329">
        <f>IFERROR(VLOOKUP($I622,'Upper Cask Movement &amp; Logistics'!$H$4:$I$8,2,FALSE),"N/A")</f>
        <v>0.06</v>
      </c>
      <c r="N622" s="1330">
        <f t="shared" si="19"/>
        <v>0.23148148148148148</v>
      </c>
      <c r="O622" s="1331"/>
      <c r="P622" s="1332" t="str">
        <f>IF($D622="Logistics",VLOOKUP($O622,'Upper Cask Movement &amp; Logistics'!$C$4:$D$77,2,FALSE),"N/A")</f>
        <v>N/A</v>
      </c>
    </row>
    <row r="623" spans="1:16" s="89" customFormat="1" outlineLevel="1" x14ac:dyDescent="0.35">
      <c r="A623" s="1213"/>
      <c r="B623" s="3815"/>
      <c r="C623" s="1346" t="s">
        <v>1412</v>
      </c>
      <c r="D623" s="1346" t="s">
        <v>3</v>
      </c>
      <c r="E623" s="1347">
        <f t="shared" si="20"/>
        <v>0.48000000000000004</v>
      </c>
      <c r="F623" s="1347">
        <f>IF($D623="Trigger",VLOOKUP($C623,'Upper Cask Welding failures'!$E$424:$H$492,4,FALSE),E623+F622)</f>
        <v>117.52659844700216</v>
      </c>
      <c r="G623" s="1348"/>
      <c r="H623" s="1349" t="str">
        <f>IF(D623="operation",VLOOKUP(G623,'Generic Vertical Port Tasks'!C529:D611,2,FALSE),"N/A")</f>
        <v>N/A</v>
      </c>
      <c r="I623" s="1346"/>
      <c r="J623" s="1346"/>
      <c r="K623" s="1346"/>
      <c r="L623" s="1329" t="str">
        <f>IFERROR(INDEX('Upper Cask Movement &amp; Logistics'!$I$24:$O$30,MATCH($J623,'Upper Cask Movement &amp; Logistics'!$H$24:$H$30,0),MATCH($K623,'Upper Cask Movement &amp; Logistics'!$H$24:$H$30,0)),"N/A")</f>
        <v>N/A</v>
      </c>
      <c r="M623" s="1329" t="str">
        <f>IFERROR(VLOOKUP($I623,'Upper Cask Movement &amp; Logistics'!$H$4:$I$8,2,FALSE),"N/A")</f>
        <v>N/A</v>
      </c>
      <c r="N623" s="1330" t="str">
        <f t="shared" si="19"/>
        <v>N/A</v>
      </c>
      <c r="O623" s="1352" t="s">
        <v>1330</v>
      </c>
      <c r="P623" s="1332">
        <f>IF($D623="Logistics",VLOOKUP($O623,'Upper Cask Movement &amp; Logistics'!$C$4:$D$77,2,FALSE),"N/A")</f>
        <v>0.48000000000000004</v>
      </c>
    </row>
    <row r="624" spans="1:16" s="89" customFormat="1" outlineLevel="1" x14ac:dyDescent="0.35">
      <c r="A624" s="1213"/>
      <c r="B624" s="3815"/>
      <c r="C624" s="1346" t="s">
        <v>1338</v>
      </c>
      <c r="D624" s="1346" t="s">
        <v>778</v>
      </c>
      <c r="E624" s="1347">
        <f t="shared" si="20"/>
        <v>2.7777777777777776E-2</v>
      </c>
      <c r="F624" s="1347">
        <f>IF($D624="Trigger",VLOOKUP($C624,'Upper Cask Welding failures'!$E$424:$H$492,4,FALSE),E624+F623)</f>
        <v>117.55437622477993</v>
      </c>
      <c r="G624" s="1348"/>
      <c r="H624" s="1349" t="str">
        <f>IF(D624="operation",VLOOKUP(G624,'Generic Vertical Port Tasks'!C529:D611,2,FALSE),"N/A")</f>
        <v>N/A</v>
      </c>
      <c r="I624" s="1294" t="s">
        <v>2502</v>
      </c>
      <c r="J624" s="1346" t="s">
        <v>914</v>
      </c>
      <c r="K624" s="1346" t="s">
        <v>799</v>
      </c>
      <c r="L624" s="1329">
        <f>IFERROR(INDEX('Upper Cask Movement &amp; Logistics'!$I$24:$O$30,MATCH($J624,'Upper Cask Movement &amp; Logistics'!$H$24:$H$30,0),MATCH($K624,'Upper Cask Movement &amp; Logistics'!$H$24:$H$30,0)),"N/A")</f>
        <v>20</v>
      </c>
      <c r="M624" s="1329">
        <f>IFERROR(VLOOKUP($I624,'Upper Cask Movement &amp; Logistics'!$H$4:$I$8,2,FALSE),"N/A")</f>
        <v>0.2</v>
      </c>
      <c r="N624" s="1330">
        <f t="shared" si="19"/>
        <v>2.7777777777777776E-2</v>
      </c>
      <c r="O624" s="1352"/>
      <c r="P624" s="1332" t="str">
        <f>IF($D624="Logistics",VLOOKUP($O624,'Upper Cask Movement &amp; Logistics'!$C$4:$D$77,2,FALSE),"N/A")</f>
        <v>N/A</v>
      </c>
    </row>
    <row r="625" spans="1:16" s="89" customFormat="1" outlineLevel="1" x14ac:dyDescent="0.35">
      <c r="A625" s="1213"/>
      <c r="B625" s="3815"/>
      <c r="C625" s="1346" t="s">
        <v>1358</v>
      </c>
      <c r="D625" s="1346" t="s">
        <v>3</v>
      </c>
      <c r="E625" s="1347">
        <f t="shared" si="20"/>
        <v>0.48000000000000004</v>
      </c>
      <c r="F625" s="1347">
        <f>IF($D625="Trigger",VLOOKUP($C625,'Upper Cask Welding failures'!$E$424:$H$492,4,FALSE),E625+F624)</f>
        <v>118.03437622477993</v>
      </c>
      <c r="G625" s="1348"/>
      <c r="H625" s="1349" t="str">
        <f>IF(D625="operation",VLOOKUP(G625,'Generic Vertical Port Tasks'!C529:D611,2,FALSE),"N/A")</f>
        <v>N/A</v>
      </c>
      <c r="I625" s="1346"/>
      <c r="J625" s="1346"/>
      <c r="K625" s="1346"/>
      <c r="L625" s="1329" t="str">
        <f>IFERROR(INDEX('Upper Cask Movement &amp; Logistics'!$I$24:$O$30,MATCH($J625,'Upper Cask Movement &amp; Logistics'!$H$24:$H$30,0),MATCH($K625,'Upper Cask Movement &amp; Logistics'!$H$24:$H$30,0)),"N/A")</f>
        <v>N/A</v>
      </c>
      <c r="M625" s="1329" t="str">
        <f>IFERROR(VLOOKUP($I625,'Upper Cask Movement &amp; Logistics'!$H$4:$I$8,2,FALSE),"N/A")</f>
        <v>N/A</v>
      </c>
      <c r="N625" s="1330" t="str">
        <f>IF(D625="Movement",IFERROR((L625/M625)/(60*60),"Error"),"N/A")</f>
        <v>N/A</v>
      </c>
      <c r="O625" s="1352" t="s">
        <v>1331</v>
      </c>
      <c r="P625" s="1332">
        <f>IF($D625="Logistics",VLOOKUP($O625,'Upper Cask Movement &amp; Logistics'!$C$4:$D$77,2,FALSE),"N/A")</f>
        <v>0.48000000000000004</v>
      </c>
    </row>
    <row r="626" spans="1:16" s="89" customFormat="1" outlineLevel="1" x14ac:dyDescent="0.35">
      <c r="A626" s="1213"/>
      <c r="B626" s="3815"/>
      <c r="C626" s="1346" t="s">
        <v>1340</v>
      </c>
      <c r="D626" s="1346" t="s">
        <v>778</v>
      </c>
      <c r="E626" s="1347">
        <f t="shared" si="20"/>
        <v>0.23148148148148148</v>
      </c>
      <c r="F626" s="1347">
        <f>IF($D626="Trigger",VLOOKUP($C626,'Upper Cask Welding failures'!$E$424:$H$492,4,FALSE),E626+F625)</f>
        <v>118.26585770626141</v>
      </c>
      <c r="G626" s="1348"/>
      <c r="H626" s="1349" t="str">
        <f>IF(D626="operation",VLOOKUP(G626,'Generic Vertical Port Tasks'!C529:D611,2,FALSE),"N/A")</f>
        <v>N/A</v>
      </c>
      <c r="I626" s="1346" t="s">
        <v>2501</v>
      </c>
      <c r="J626" s="1346" t="s">
        <v>799</v>
      </c>
      <c r="K626" s="1346" t="s">
        <v>901</v>
      </c>
      <c r="L626" s="1329">
        <f>IFERROR(INDEX('Upper Cask Movement &amp; Logistics'!$I$24:$O$30,MATCH($J626,'Upper Cask Movement &amp; Logistics'!$H$24:$H$30,0),MATCH($K626,'Upper Cask Movement &amp; Logistics'!$H$24:$H$30,0)),"N/A")</f>
        <v>50</v>
      </c>
      <c r="M626" s="1329">
        <f>IFERROR(VLOOKUP($I626,'Upper Cask Movement &amp; Logistics'!$H$4:$I$8,2,FALSE),"N/A")</f>
        <v>0.06</v>
      </c>
      <c r="N626" s="1330">
        <f>IF(D626="Movement",IFERROR((L626/M626)/(60*60),"Error"),"N/A")</f>
        <v>0.23148148148148148</v>
      </c>
      <c r="O626" s="1352"/>
      <c r="P626" s="1332" t="str">
        <f>IF($D626="Logistics",VLOOKUP($O626,'Upper Cask Movement &amp; Logistics'!$C$4:$D$77,2,FALSE),"N/A")</f>
        <v>N/A</v>
      </c>
    </row>
    <row r="627" spans="1:16" s="89" customFormat="1" outlineLevel="1" x14ac:dyDescent="0.35">
      <c r="A627" s="1213"/>
      <c r="B627" s="3815"/>
      <c r="C627" s="1346" t="s">
        <v>1359</v>
      </c>
      <c r="D627" s="1346" t="s">
        <v>3</v>
      </c>
      <c r="E627" s="1347">
        <f t="shared" si="20"/>
        <v>1.4000000000000001</v>
      </c>
      <c r="F627" s="1347">
        <f>IF($D627="Trigger",VLOOKUP($C627,'Upper Cask Welding failures'!$E$424:$H$492,4,FALSE),E627+F626)</f>
        <v>119.66585770626142</v>
      </c>
      <c r="G627" s="1348"/>
      <c r="H627" s="1349" t="str">
        <f>IF(D627="operation",VLOOKUP(G627,'Generic Vertical Port Tasks'!C529:D611,2,FALSE),"N/A")</f>
        <v>N/A</v>
      </c>
      <c r="I627" s="1346"/>
      <c r="J627" s="1346"/>
      <c r="K627" s="1346"/>
      <c r="L627" s="1329" t="str">
        <f>IFERROR(INDEX('Upper Cask Movement &amp; Logistics'!$I$24:$O$30,MATCH($J627,'Upper Cask Movement &amp; Logistics'!$H$24:$H$30,0),MATCH($K627,'Upper Cask Movement &amp; Logistics'!$H$24:$H$30,0)),"N/A")</f>
        <v>N/A</v>
      </c>
      <c r="M627" s="1329" t="str">
        <f>IFERROR(VLOOKUP($I627,'Upper Cask Movement &amp; Logistics'!$H$4:$I$8,2,FALSE),"N/A")</f>
        <v>N/A</v>
      </c>
      <c r="N627" s="1330" t="str">
        <f>IF(D627="Movement",IFERROR((L627/M627)/(60*60),"Error"),"N/A")</f>
        <v>N/A</v>
      </c>
      <c r="O627" s="1352" t="s">
        <v>1277</v>
      </c>
      <c r="P627" s="1332">
        <f>IF($D627="Logistics",VLOOKUP($O627,'Upper Cask Movement &amp; Logistics'!$C$4:$D$77,2,FALSE),"N/A")</f>
        <v>1.4000000000000001</v>
      </c>
    </row>
    <row r="628" spans="1:16" s="89" customFormat="1" outlineLevel="1" x14ac:dyDescent="0.35">
      <c r="A628" s="1213"/>
      <c r="B628" s="3815"/>
      <c r="C628" s="1294" t="s">
        <v>1410</v>
      </c>
      <c r="D628" s="1294" t="s">
        <v>778</v>
      </c>
      <c r="E628" s="1292">
        <f t="shared" si="20"/>
        <v>0.23148148148148148</v>
      </c>
      <c r="F628" s="1347">
        <f>IF($D628="Trigger",VLOOKUP($C628,'Upper Cask Welding failures'!$E$424:$H$492,4,FALSE),E628+F627)</f>
        <v>119.8973391877429</v>
      </c>
      <c r="G628" s="862"/>
      <c r="H628" s="1328" t="str">
        <f>IF(D628="operation",VLOOKUP(G628,'Generic Vertical Port Tasks'!C582:D642,2,FALSE),"N/A")</f>
        <v>N/A</v>
      </c>
      <c r="I628" s="1294" t="s">
        <v>2501</v>
      </c>
      <c r="J628" s="1294" t="s">
        <v>901</v>
      </c>
      <c r="K628" s="1294" t="s">
        <v>831</v>
      </c>
      <c r="L628" s="1329">
        <f>IFERROR(INDEX('Upper Cask Movement &amp; Logistics'!$I$24:$O$30,MATCH($J628,'Upper Cask Movement &amp; Logistics'!$H$24:$H$30,0),MATCH($K628,'Upper Cask Movement &amp; Logistics'!$H$24:$H$30,0)),"N/A")</f>
        <v>50</v>
      </c>
      <c r="M628" s="1329">
        <f>IFERROR(VLOOKUP($I628,'Upper Cask Movement &amp; Logistics'!$H$4:$I$8,2,FALSE),"N/A")</f>
        <v>0.06</v>
      </c>
      <c r="N628" s="1330">
        <f t="shared" ref="N628:N640" si="21">IF(D628="Movement",IFERROR((L628/M628)/(60*60),"Error"),"N/A")</f>
        <v>0.23148148148148148</v>
      </c>
      <c r="O628" s="1331"/>
      <c r="P628" s="1332" t="str">
        <f>IF($D628="Logistics",VLOOKUP($O628,'Upper Cask Movement &amp; Logistics'!$C$4:$D$77,2,FALSE),"N/A")</f>
        <v>N/A</v>
      </c>
    </row>
    <row r="629" spans="1:16" s="89" customFormat="1" outlineLevel="1" x14ac:dyDescent="0.35">
      <c r="A629" s="1213"/>
      <c r="B629" s="3815"/>
      <c r="C629" s="1294" t="s">
        <v>1413</v>
      </c>
      <c r="D629" s="1294" t="s">
        <v>3</v>
      </c>
      <c r="E629" s="1292">
        <f t="shared" si="20"/>
        <v>0.68</v>
      </c>
      <c r="F629" s="1347">
        <f>IF($D629="Trigger",VLOOKUP($C629,'Upper Cask Welding failures'!$E$424:$H$492,4,FALSE),E629+F628)</f>
        <v>120.57733918774291</v>
      </c>
      <c r="G629" s="862"/>
      <c r="H629" s="1328" t="str">
        <f>IF(D629="operation",VLOOKUP(G629,'Generic Vertical Port Tasks'!C582:D642,2,FALSE),"N/A")</f>
        <v>N/A</v>
      </c>
      <c r="I629" s="1294"/>
      <c r="J629" s="1294"/>
      <c r="K629" s="1294"/>
      <c r="L629" s="1329" t="str">
        <f>IFERROR(INDEX('Upper Cask Movement &amp; Logistics'!$I$24:$O$30,MATCH($J629,'Upper Cask Movement &amp; Logistics'!$H$24:$H$30,0),MATCH($K629,'Upper Cask Movement &amp; Logistics'!$H$24:$H$30,0)),"N/A")</f>
        <v>N/A</v>
      </c>
      <c r="M629" s="1329" t="str">
        <f>IFERROR(VLOOKUP($I629,'Upper Cask Movement &amp; Logistics'!$H$4:$I$8,2,FALSE),"N/A")</f>
        <v>N/A</v>
      </c>
      <c r="N629" s="1330" t="str">
        <f t="shared" si="21"/>
        <v>N/A</v>
      </c>
      <c r="O629" s="1331" t="s">
        <v>1213</v>
      </c>
      <c r="P629" s="1332">
        <f>IF($D629="Logistics",VLOOKUP($O629,'Upper Cask Movement &amp; Logistics'!$C$4:$D$77,2,FALSE),"N/A")</f>
        <v>0.68</v>
      </c>
    </row>
    <row r="630" spans="1:16" s="89" customFormat="1" outlineLevel="1" x14ac:dyDescent="0.35">
      <c r="A630" s="1213"/>
      <c r="B630" s="3815"/>
      <c r="C630" s="1294" t="s">
        <v>1366</v>
      </c>
      <c r="D630" s="1294" t="s">
        <v>778</v>
      </c>
      <c r="E630" s="1292">
        <f t="shared" si="20"/>
        <v>0.69444444444444442</v>
      </c>
      <c r="F630" s="1347">
        <f>IF($D630="Trigger",VLOOKUP($C630,'Upper Cask Welding failures'!$E$424:$H$492,4,FALSE),E630+F629)</f>
        <v>121.27178363218735</v>
      </c>
      <c r="G630" s="862"/>
      <c r="H630" s="1328" t="str">
        <f>IF(D630="operation",VLOOKUP(G630,'Generic Vertical Port Tasks'!C582:D642,2,FALSE),"N/A")</f>
        <v>N/A</v>
      </c>
      <c r="I630" s="1294" t="s">
        <v>1789</v>
      </c>
      <c r="J630" s="1294" t="s">
        <v>831</v>
      </c>
      <c r="K630" s="1294" t="s">
        <v>901</v>
      </c>
      <c r="L630" s="1329">
        <f>IFERROR(INDEX('Upper Cask Movement &amp; Logistics'!$I$24:$O$30,MATCH($J630,'Upper Cask Movement &amp; Logistics'!$H$24:$H$30,0),MATCH($K630,'Upper Cask Movement &amp; Logistics'!$H$24:$H$30,0)),"N/A")</f>
        <v>50</v>
      </c>
      <c r="M630" s="1329">
        <f>IFERROR(VLOOKUP($I630,'Upper Cask Movement &amp; Logistics'!$H$4:$I$8,2,FALSE),"N/A")</f>
        <v>0.02</v>
      </c>
      <c r="N630" s="1330">
        <f t="shared" si="21"/>
        <v>0.69444444444444442</v>
      </c>
      <c r="O630" s="1331"/>
      <c r="P630" s="1332" t="str">
        <f>IF($D630="Logistics",VLOOKUP($O630,'Upper Cask Movement &amp; Logistics'!$C$4:$D$77,2,FALSE),"N/A")</f>
        <v>N/A</v>
      </c>
    </row>
    <row r="631" spans="1:16" s="89" customFormat="1" outlineLevel="1" x14ac:dyDescent="0.35">
      <c r="A631" s="1213"/>
      <c r="B631" s="3815"/>
      <c r="C631" s="1294" t="s">
        <v>1367</v>
      </c>
      <c r="D631" s="1294" t="s">
        <v>3</v>
      </c>
      <c r="E631" s="1292">
        <f t="shared" si="20"/>
        <v>1.4000000000000001</v>
      </c>
      <c r="F631" s="1347">
        <f>IF($D631="Trigger",VLOOKUP($C631,'Upper Cask Welding failures'!$E$424:$H$492,4,FALSE),E631+F630)</f>
        <v>122.67178363218736</v>
      </c>
      <c r="G631" s="862"/>
      <c r="H631" s="1328" t="str">
        <f>IF(D631="operation",VLOOKUP(G631,'Generic Vertical Port Tasks'!C582:D642,2,FALSE),"N/A")</f>
        <v>N/A</v>
      </c>
      <c r="I631" s="1294"/>
      <c r="J631" s="1294"/>
      <c r="K631" s="1294"/>
      <c r="L631" s="1329" t="str">
        <f>IFERROR(INDEX('Upper Cask Movement &amp; Logistics'!$I$24:$O$30,MATCH($J631,'Upper Cask Movement &amp; Logistics'!$H$24:$H$30,0),MATCH($K631,'Upper Cask Movement &amp; Logistics'!$H$24:$H$30,0)),"N/A")</f>
        <v>N/A</v>
      </c>
      <c r="M631" s="1329" t="str">
        <f>IFERROR(VLOOKUP($I631,'Upper Cask Movement &amp; Logistics'!$H$4:$I$8,2,FALSE),"N/A")</f>
        <v>N/A</v>
      </c>
      <c r="N631" s="1330" t="str">
        <f t="shared" si="21"/>
        <v>N/A</v>
      </c>
      <c r="O631" s="1331" t="s">
        <v>1277</v>
      </c>
      <c r="P631" s="1332">
        <f>IF($D631="Logistics",VLOOKUP($O631,'Upper Cask Movement &amp; Logistics'!$C$4:$D$77,2,FALSE),"N/A")</f>
        <v>1.4000000000000001</v>
      </c>
    </row>
    <row r="632" spans="1:16" s="89" customFormat="1" ht="26.15" outlineLevel="1" thickBot="1" x14ac:dyDescent="0.4">
      <c r="A632" s="1213"/>
      <c r="B632" s="3816"/>
      <c r="C632" s="1340" t="s">
        <v>1295</v>
      </c>
      <c r="D632" s="1340" t="s">
        <v>11</v>
      </c>
      <c r="E632" s="1295">
        <f t="shared" si="20"/>
        <v>0</v>
      </c>
      <c r="F632" s="1295">
        <f>IF($D632="Trigger",VLOOKUP($C632,'Upper Cask Welding failures'!$E$424:$H$492,4,FALSE),E632+F631)</f>
        <v>122.67178363218736</v>
      </c>
      <c r="G632" s="839"/>
      <c r="H632" s="1341" t="str">
        <f>IF(D632="operation",VLOOKUP(G632,'Generic Vertical Port Tasks'!C582:D642,2,FALSE),"N/A")</f>
        <v>N/A</v>
      </c>
      <c r="I632" s="1340"/>
      <c r="J632" s="1340"/>
      <c r="K632" s="1340"/>
      <c r="L632" s="1342" t="str">
        <f>IFERROR(INDEX('Upper Cask Movement &amp; Logistics'!$I$24:$O$30,MATCH($J632,'Upper Cask Movement &amp; Logistics'!$H$24:$H$30,0),MATCH($K632,'Upper Cask Movement &amp; Logistics'!$H$24:$H$30,0)),"N/A")</f>
        <v>N/A</v>
      </c>
      <c r="M632" s="1342" t="str">
        <f>IFERROR(VLOOKUP($I632,'Upper Cask Movement &amp; Logistics'!$H$4:$I$8,2,FALSE),"N/A")</f>
        <v>N/A</v>
      </c>
      <c r="N632" s="1343" t="str">
        <f t="shared" si="21"/>
        <v>N/A</v>
      </c>
      <c r="O632" s="1344"/>
      <c r="P632" s="1345" t="str">
        <f>IF($D632="Logistics",VLOOKUP($O632,'Upper Cask Movement &amp; Logistics'!$C$4:$D$77,2,FALSE),"N/A")</f>
        <v>N/A</v>
      </c>
    </row>
    <row r="633" spans="1:16" s="89" customFormat="1" outlineLevel="1" x14ac:dyDescent="0.35">
      <c r="A633" s="1213"/>
      <c r="B633" s="3970" t="s">
        <v>1414</v>
      </c>
      <c r="C633" s="617" t="s">
        <v>117</v>
      </c>
      <c r="D633" s="617" t="s">
        <v>907</v>
      </c>
      <c r="E633" s="567">
        <f t="shared" si="20"/>
        <v>0</v>
      </c>
      <c r="F633" s="567">
        <f>IF($D633="Trigger",VLOOKUP($C633,'Upper Cask Welding failures'!$E$424:$H$492,4,FALSE),E633+F632)</f>
        <v>127.74678363218734</v>
      </c>
      <c r="G633" s="568"/>
      <c r="H633" s="569" t="str">
        <f>IF(D633="operation",VLOOKUP(G633,'Generic Vertical Port Tasks'!C586:D646,2,FALSE),"N/A")</f>
        <v>N/A</v>
      </c>
      <c r="I633" s="617"/>
      <c r="J633" s="617"/>
      <c r="K633" s="617"/>
      <c r="L633" s="618" t="str">
        <f>IFERROR(INDEX('Upper Cask Movement &amp; Logistics'!$I$24:$O$30,MATCH($J633,'Upper Cask Movement &amp; Logistics'!$H$24:$H$30,0),MATCH($K633,'Upper Cask Movement &amp; Logistics'!$H$24:$H$30,0)),"N/A")</f>
        <v>N/A</v>
      </c>
      <c r="M633" s="618" t="str">
        <f>IFERROR(VLOOKUP($I633,'Upper Cask Movement &amp; Logistics'!$H$4:$I$8,2,FALSE),"N/A")</f>
        <v>N/A</v>
      </c>
      <c r="N633" s="619" t="str">
        <f t="shared" si="21"/>
        <v>N/A</v>
      </c>
      <c r="O633" s="620"/>
      <c r="P633" s="621" t="str">
        <f>IF($D633="Logistics",VLOOKUP($O633,'Upper Cask Movement &amp; Logistics'!$C$4:$D$77,2,FALSE),"N/A")</f>
        <v>N/A</v>
      </c>
    </row>
    <row r="634" spans="1:16" s="89" customFormat="1" outlineLevel="1" x14ac:dyDescent="0.35">
      <c r="A634" s="1213"/>
      <c r="B634" s="3971"/>
      <c r="C634" s="1275" t="s">
        <v>1377</v>
      </c>
      <c r="D634" s="1275" t="s">
        <v>3</v>
      </c>
      <c r="E634" s="1276">
        <f t="shared" si="20"/>
        <v>2.3000000000000003</v>
      </c>
      <c r="F634" s="1276">
        <f>IF($D634="Trigger",VLOOKUP($C634,'Upper Cask Welding failures'!$E$424:$H$492,4,FALSE),E634+F633)</f>
        <v>130.04678363218736</v>
      </c>
      <c r="G634" s="879"/>
      <c r="H634" s="1379" t="str">
        <f>IF(D634="operation",VLOOKUP(G634,'Generic Vertical Port Tasks'!C586:D646,2,FALSE),"N/A")</f>
        <v>N/A</v>
      </c>
      <c r="I634" s="1275"/>
      <c r="J634" s="1275"/>
      <c r="K634" s="1275"/>
      <c r="L634" s="1277" t="str">
        <f>IFERROR(INDEX('Upper Cask Movement &amp; Logistics'!$I$24:$O$30,MATCH($J634,'Upper Cask Movement &amp; Logistics'!$H$24:$H$30,0),MATCH($K634,'Upper Cask Movement &amp; Logistics'!$H$24:$H$30,0)),"N/A")</f>
        <v>N/A</v>
      </c>
      <c r="M634" s="1277" t="str">
        <f>IFERROR(VLOOKUP($I634,'Upper Cask Movement &amp; Logistics'!$H$4:$I$8,2,FALSE),"N/A")</f>
        <v>N/A</v>
      </c>
      <c r="N634" s="1380" t="str">
        <f t="shared" si="21"/>
        <v>N/A</v>
      </c>
      <c r="O634" s="1381" t="s">
        <v>1269</v>
      </c>
      <c r="P634" s="850">
        <f>IF($D634="Logistics",VLOOKUP($O634,'Upper Cask Movement &amp; Logistics'!$C$4:$D$77,2,FALSE),"N/A")</f>
        <v>2.3000000000000003</v>
      </c>
    </row>
    <row r="635" spans="1:16" s="89" customFormat="1" outlineLevel="1" x14ac:dyDescent="0.35">
      <c r="A635" s="1213"/>
      <c r="B635" s="3972"/>
      <c r="C635" s="572" t="s">
        <v>1410</v>
      </c>
      <c r="D635" s="572" t="s">
        <v>778</v>
      </c>
      <c r="E635" s="574">
        <f t="shared" si="20"/>
        <v>0.23148148148148148</v>
      </c>
      <c r="F635" s="574">
        <f>IF($D635="Trigger",VLOOKUP($C635,'Upper Cask Welding failures'!$E$424:$H$492,4,FALSE),E635+F634)</f>
        <v>130.27826511366885</v>
      </c>
      <c r="G635" s="575"/>
      <c r="H635" s="576" t="str">
        <f>IF(D635="operation",VLOOKUP(G635,'Generic Vertical Port Tasks'!C586:D646,2,FALSE),"N/A")</f>
        <v>N/A</v>
      </c>
      <c r="I635" s="572" t="s">
        <v>2501</v>
      </c>
      <c r="J635" s="572" t="s">
        <v>901</v>
      </c>
      <c r="K635" s="572" t="s">
        <v>831</v>
      </c>
      <c r="L635" s="577">
        <f>IFERROR(INDEX('Upper Cask Movement &amp; Logistics'!$I$24:$O$30,MATCH($J635,'Upper Cask Movement &amp; Logistics'!$H$24:$H$30,0),MATCH($K635,'Upper Cask Movement &amp; Logistics'!$H$24:$H$30,0)),"N/A")</f>
        <v>50</v>
      </c>
      <c r="M635" s="577">
        <f>IFERROR(VLOOKUP($I635,'Upper Cask Movement &amp; Logistics'!$H$4:$I$8,2,FALSE),"N/A")</f>
        <v>0.06</v>
      </c>
      <c r="N635" s="578">
        <f t="shared" si="21"/>
        <v>0.23148148148148148</v>
      </c>
      <c r="O635" s="579"/>
      <c r="P635" s="580" t="str">
        <f>IF($D635="Logistics",VLOOKUP($O635,'Upper Cask Movement &amp; Logistics'!$C$4:$D$77,2,FALSE),"N/A")</f>
        <v>N/A</v>
      </c>
    </row>
    <row r="636" spans="1:16" s="89" customFormat="1" outlineLevel="1" x14ac:dyDescent="0.35">
      <c r="A636" s="1213"/>
      <c r="B636" s="3972"/>
      <c r="C636" s="572" t="s">
        <v>1415</v>
      </c>
      <c r="D636" s="572" t="s">
        <v>3</v>
      </c>
      <c r="E636" s="574">
        <f t="shared" si="20"/>
        <v>0.68</v>
      </c>
      <c r="F636" s="574">
        <f>IF($D636="Trigger",VLOOKUP($C636,'Upper Cask Welding failures'!$E$424:$H$492,4,FALSE),E636+F635)</f>
        <v>130.95826511366886</v>
      </c>
      <c r="G636" s="575"/>
      <c r="H636" s="576" t="str">
        <f>IF(D636="operation",VLOOKUP(G636,'Generic Vertical Port Tasks'!C586:D646,2,FALSE),"N/A")</f>
        <v>N/A</v>
      </c>
      <c r="I636" s="572"/>
      <c r="J636" s="572"/>
      <c r="K636" s="572"/>
      <c r="L636" s="577" t="str">
        <f>IFERROR(INDEX('Upper Cask Movement &amp; Logistics'!$I$24:$O$30,MATCH($J636,'Upper Cask Movement &amp; Logistics'!$H$24:$H$30,0),MATCH($K636,'Upper Cask Movement &amp; Logistics'!$H$24:$H$30,0)),"N/A")</f>
        <v>N/A</v>
      </c>
      <c r="M636" s="577" t="str">
        <f>IFERROR(VLOOKUP($I636,'Upper Cask Movement &amp; Logistics'!$H$4:$I$8,2,FALSE),"N/A")</f>
        <v>N/A</v>
      </c>
      <c r="N636" s="578" t="str">
        <f t="shared" si="21"/>
        <v>N/A</v>
      </c>
      <c r="O636" s="579" t="s">
        <v>1213</v>
      </c>
      <c r="P636" s="580">
        <f>IF($D636="Logistics",VLOOKUP($O636,'Upper Cask Movement &amp; Logistics'!$C$4:$D$77,2,FALSE),"N/A")</f>
        <v>0.68</v>
      </c>
    </row>
    <row r="637" spans="1:16" s="89" customFormat="1" outlineLevel="1" x14ac:dyDescent="0.35">
      <c r="A637" s="1213"/>
      <c r="B637" s="3972"/>
      <c r="C637" s="572" t="s">
        <v>1366</v>
      </c>
      <c r="D637" s="572" t="s">
        <v>778</v>
      </c>
      <c r="E637" s="574">
        <f t="shared" si="20"/>
        <v>0.69444444444444442</v>
      </c>
      <c r="F637" s="574">
        <f>IF($D637="Trigger",VLOOKUP($C637,'Upper Cask Welding failures'!$E$424:$H$492,4,FALSE),E637+F636)</f>
        <v>131.65270955811332</v>
      </c>
      <c r="G637" s="575"/>
      <c r="H637" s="576" t="str">
        <f>IF(D637="operation",VLOOKUP(G637,'Generic Vertical Port Tasks'!C586:D646,2,FALSE),"N/A")</f>
        <v>N/A</v>
      </c>
      <c r="I637" s="572" t="s">
        <v>1789</v>
      </c>
      <c r="J637" s="572" t="s">
        <v>831</v>
      </c>
      <c r="K637" s="572" t="s">
        <v>901</v>
      </c>
      <c r="L637" s="577">
        <f>IFERROR(INDEX('Upper Cask Movement &amp; Logistics'!$I$24:$O$30,MATCH($J637,'Upper Cask Movement &amp; Logistics'!$H$24:$H$30,0),MATCH($K637,'Upper Cask Movement &amp; Logistics'!$H$24:$H$30,0)),"N/A")</f>
        <v>50</v>
      </c>
      <c r="M637" s="577">
        <f>IFERROR(VLOOKUP($I637,'Upper Cask Movement &amp; Logistics'!$H$4:$I$8,2,FALSE),"N/A")</f>
        <v>0.02</v>
      </c>
      <c r="N637" s="578">
        <f t="shared" si="21"/>
        <v>0.69444444444444442</v>
      </c>
      <c r="O637" s="579"/>
      <c r="P637" s="580" t="str">
        <f>IF($D637="Logistics",VLOOKUP($O637,'Upper Cask Movement &amp; Logistics'!$C$4:$D$77,2,FALSE),"N/A")</f>
        <v>N/A</v>
      </c>
    </row>
    <row r="638" spans="1:16" s="89" customFormat="1" outlineLevel="1" x14ac:dyDescent="0.35">
      <c r="A638" s="1213"/>
      <c r="B638" s="3972"/>
      <c r="C638" s="572" t="s">
        <v>1367</v>
      </c>
      <c r="D638" s="572" t="s">
        <v>3</v>
      </c>
      <c r="E638" s="574">
        <f t="shared" si="20"/>
        <v>1.4000000000000001</v>
      </c>
      <c r="F638" s="574">
        <f>IF($D638="Trigger",VLOOKUP($C638,'Upper Cask Welding failures'!$E$424:$H$492,4,FALSE),E638+F637)</f>
        <v>133.05270955811332</v>
      </c>
      <c r="G638" s="575"/>
      <c r="H638" s="576" t="str">
        <f>IF(D638="operation",VLOOKUP(G638,'Generic Vertical Port Tasks'!C586:D646,2,FALSE),"N/A")</f>
        <v>N/A</v>
      </c>
      <c r="I638" s="572"/>
      <c r="J638" s="572"/>
      <c r="K638" s="572"/>
      <c r="L638" s="577" t="str">
        <f>IFERROR(INDEX('Upper Cask Movement &amp; Logistics'!$I$24:$O$30,MATCH($J638,'Upper Cask Movement &amp; Logistics'!$H$24:$H$30,0),MATCH($K638,'Upper Cask Movement &amp; Logistics'!$H$24:$H$30,0)),"N/A")</f>
        <v>N/A</v>
      </c>
      <c r="M638" s="577" t="str">
        <f>IFERROR(VLOOKUP($I638,'Upper Cask Movement &amp; Logistics'!$H$4:$I$8,2,FALSE),"N/A")</f>
        <v>N/A</v>
      </c>
      <c r="N638" s="578" t="str">
        <f t="shared" si="21"/>
        <v>N/A</v>
      </c>
      <c r="O638" s="579" t="s">
        <v>1277</v>
      </c>
      <c r="P638" s="580">
        <f>IF($D638="Logistics",VLOOKUP($O638,'Upper Cask Movement &amp; Logistics'!$C$4:$D$77,2,FALSE),"N/A")</f>
        <v>1.4000000000000001</v>
      </c>
    </row>
    <row r="639" spans="1:16" s="89" customFormat="1" ht="26.15" outlineLevel="1" thickBot="1" x14ac:dyDescent="0.4">
      <c r="A639" s="1213"/>
      <c r="B639" s="3973"/>
      <c r="C639" s="583" t="s">
        <v>1414</v>
      </c>
      <c r="D639" s="583" t="s">
        <v>11</v>
      </c>
      <c r="E639" s="585">
        <f t="shared" si="20"/>
        <v>0</v>
      </c>
      <c r="F639" s="585">
        <f>IF($D639="Trigger",VLOOKUP($C639,'Upper Cask Welding failures'!$E$424:$H$492,4,FALSE),E639+F638)</f>
        <v>133.05270955811332</v>
      </c>
      <c r="G639" s="586"/>
      <c r="H639" s="587" t="str">
        <f>IF(D639="operation",VLOOKUP(G639,'Generic Vertical Port Tasks'!C586:D646,2,FALSE),"N/A")</f>
        <v>N/A</v>
      </c>
      <c r="I639" s="583"/>
      <c r="J639" s="583"/>
      <c r="K639" s="583"/>
      <c r="L639" s="588" t="str">
        <f>IFERROR(INDEX('Upper Cask Movement &amp; Logistics'!$I$24:$O$30,MATCH($J639,'Upper Cask Movement &amp; Logistics'!$H$24:$H$30,0),MATCH($K639,'Upper Cask Movement &amp; Logistics'!$H$24:$H$30,0)),"N/A")</f>
        <v>N/A</v>
      </c>
      <c r="M639" s="588" t="str">
        <f>IFERROR(VLOOKUP($I639,'Upper Cask Movement &amp; Logistics'!$H$4:$I$8,2,FALSE),"N/A")</f>
        <v>N/A</v>
      </c>
      <c r="N639" s="589" t="str">
        <f t="shared" si="21"/>
        <v>N/A</v>
      </c>
      <c r="O639" s="590"/>
      <c r="P639" s="591" t="str">
        <f>IF($D639="Logistics",VLOOKUP($O639,'Upper Cask Movement &amp; Logistics'!$C$4:$D$77,2,FALSE),"N/A")</f>
        <v>N/A</v>
      </c>
    </row>
    <row r="640" spans="1:16" ht="12.75" customHeight="1" outlineLevel="1" thickBot="1" x14ac:dyDescent="0.45">
      <c r="A640" s="1213"/>
      <c r="B640" s="4001" t="s">
        <v>1087</v>
      </c>
      <c r="C640" s="566" t="s">
        <v>1181</v>
      </c>
      <c r="D640" s="566" t="s">
        <v>907</v>
      </c>
      <c r="E640" s="1175">
        <f t="shared" si="20"/>
        <v>0</v>
      </c>
      <c r="F640" s="621">
        <f>IF($D640="Trigger",VLOOKUP("*"&amp;$C640&amp;"*",'Upper Cask Welding failures'!$E$46:$H$564,4,FALSE),E640+F639)</f>
        <v>0</v>
      </c>
      <c r="G640" s="568"/>
      <c r="H640" s="621" t="str">
        <f>IF(D640="operation",VLOOKUP(G640,'Upper Hot Cell Welding failures'!E679:I756,5,FALSE), "N/A")</f>
        <v>N/A</v>
      </c>
      <c r="I640" s="566"/>
      <c r="J640" s="566"/>
      <c r="K640" s="566"/>
      <c r="L640" s="1175" t="str">
        <f>IFERROR(INDEX(#REF!,MATCH($J640,#REF!,0),MATCH($K640,#REF!,0)),"N/A")</f>
        <v>N/A</v>
      </c>
      <c r="M640" s="1175" t="str">
        <f>IFERROR(VLOOKUP($I640,#REF!,2,FALSE),"N/A")</f>
        <v>N/A</v>
      </c>
      <c r="N640" s="1175" t="str">
        <f t="shared" si="21"/>
        <v>N/A</v>
      </c>
      <c r="O640" s="620"/>
      <c r="P640" s="621" t="str">
        <f>IF($D640="Logistics",VLOOKUP($O640,#REF!,2,FALSE),"N/A")</f>
        <v>N/A</v>
      </c>
    </row>
    <row r="641" spans="1:16" ht="12.75" customHeight="1" outlineLevel="1" x14ac:dyDescent="0.4">
      <c r="A641" s="1213"/>
      <c r="B641" s="4002"/>
      <c r="C641" s="573" t="s">
        <v>1182</v>
      </c>
      <c r="D641" s="573" t="s">
        <v>251</v>
      </c>
      <c r="E641" s="1176" t="e">
        <f t="shared" si="20"/>
        <v>#REF!</v>
      </c>
      <c r="F641" s="580" t="e">
        <f>IF($D641="Trigger",VLOOKUP("*"&amp;$C641&amp;"*",'Upper Cask Welding failures'!$E$46:$H$564,4,FALSE),E641+F640)</f>
        <v>#REF!</v>
      </c>
      <c r="G641" s="575" t="s">
        <v>1183</v>
      </c>
      <c r="H641" s="621" t="e">
        <f>IF(D641="operation",VLOOKUP(G641,#REF!,4,FALSE), "N/A")</f>
        <v>#REF!</v>
      </c>
      <c r="I641" s="573"/>
      <c r="J641" s="573"/>
      <c r="K641" s="573"/>
      <c r="L641" s="1176" t="str">
        <f>IFERROR(INDEX(#REF!,MATCH($J641,#REF!,0),MATCH($K641,#REF!,0)),"N/A")</f>
        <v>N/A</v>
      </c>
      <c r="M641" s="1176" t="str">
        <f>IFERROR(VLOOKUP($I641,#REF!,2,FALSE),"N/A")</f>
        <v>N/A</v>
      </c>
      <c r="N641" s="1176" t="str">
        <f>IF(D641="Movement",IFERROR((L641/M641)/(60*60),"Error"),"N/A")</f>
        <v>N/A</v>
      </c>
      <c r="O641" s="579"/>
      <c r="P641" s="580" t="str">
        <f>IF($D641="Logistics",VLOOKUP($O641,#REF!,2,FALSE),"N/A")</f>
        <v>N/A</v>
      </c>
    </row>
    <row r="642" spans="1:16" ht="13.5" customHeight="1" outlineLevel="1" thickBot="1" x14ac:dyDescent="0.45">
      <c r="A642" s="1213"/>
      <c r="B642" s="4003"/>
      <c r="C642" s="584" t="str">
        <f>B640</f>
        <v>RIB Lower Port Pipe Module installed</v>
      </c>
      <c r="D642" s="584" t="s">
        <v>11</v>
      </c>
      <c r="E642" s="1179">
        <f t="shared" si="20"/>
        <v>0</v>
      </c>
      <c r="F642" s="591" t="e">
        <f>IF($D642="Trigger",VLOOKUP("*"&amp;$C642&amp;"*",'Upper Cask Welding failures'!$E$46:$H$564,4,FALSE),E642+F641)</f>
        <v>#REF!</v>
      </c>
      <c r="G642" s="586"/>
      <c r="H642" s="591" t="str">
        <f>IF(D642="operation",VLOOKUP(G642,#REF!,5,FALSE), "N/A")</f>
        <v>N/A</v>
      </c>
      <c r="I642" s="584"/>
      <c r="J642" s="584"/>
      <c r="K642" s="584"/>
      <c r="L642" s="1179" t="str">
        <f>IFERROR(INDEX(#REF!,MATCH($J642,#REF!,0),MATCH($K642,#REF!,0)),"N/A")</f>
        <v>N/A</v>
      </c>
      <c r="M642" s="1179" t="str">
        <f>IFERROR(VLOOKUP($I642,#REF!,2,FALSE),"N/A")</f>
        <v>N/A</v>
      </c>
      <c r="N642" s="1179" t="str">
        <f>IF(D642="Movement",IFERROR((L642/M642)/(60*60),"Error"),"N/A")</f>
        <v>N/A</v>
      </c>
      <c r="O642" s="590"/>
      <c r="P642" s="591" t="str">
        <f>IF($D642="Logistics",VLOOKUP($O642,#REF!,2,FALSE),"N/A")</f>
        <v>N/A</v>
      </c>
    </row>
    <row r="643" spans="1:16" ht="12.75" customHeight="1" outlineLevel="1" thickBot="1" x14ac:dyDescent="0.45">
      <c r="A643" s="1213"/>
      <c r="B643" s="4001" t="s">
        <v>1090</v>
      </c>
      <c r="C643" s="566" t="s">
        <v>1181</v>
      </c>
      <c r="D643" s="566" t="s">
        <v>907</v>
      </c>
      <c r="E643" s="1175">
        <f t="shared" si="20"/>
        <v>0</v>
      </c>
      <c r="F643" s="621">
        <f>IF($D643="Trigger",VLOOKUP("*"&amp;$C643&amp;"*",'Upper Cask Welding failures'!$E$46:$H$564,4,FALSE),E643+F642)</f>
        <v>0</v>
      </c>
      <c r="G643" s="568"/>
      <c r="H643" s="621" t="str">
        <f>IF(D643="operation",VLOOKUP(G643,'Upper Hot Cell Welding failures'!E682:I759,5,FALSE), "N/A")</f>
        <v>N/A</v>
      </c>
      <c r="I643" s="566"/>
      <c r="J643" s="566"/>
      <c r="K643" s="566"/>
      <c r="L643" s="1175" t="str">
        <f>IFERROR(INDEX(#REF!,MATCH($J643,#REF!,0),MATCH($K643,#REF!,0)),"N/A")</f>
        <v>N/A</v>
      </c>
      <c r="M643" s="1175" t="str">
        <f>IFERROR(VLOOKUP($I643,#REF!,2,FALSE),"N/A")</f>
        <v>N/A</v>
      </c>
      <c r="N643" s="1175" t="str">
        <f>IF(D643="Movement",IFERROR((L643/M643)/(60*60),"Error"),"N/A")</f>
        <v>N/A</v>
      </c>
      <c r="O643" s="620"/>
      <c r="P643" s="621" t="str">
        <f>IF($D643="Logistics",VLOOKUP($O643,#REF!,2,FALSE),"N/A")</f>
        <v>N/A</v>
      </c>
    </row>
    <row r="644" spans="1:16" ht="12.75" customHeight="1" outlineLevel="1" x14ac:dyDescent="0.4">
      <c r="A644" s="1213"/>
      <c r="B644" s="4002"/>
      <c r="C644" s="573" t="s">
        <v>1182</v>
      </c>
      <c r="D644" s="573" t="s">
        <v>251</v>
      </c>
      <c r="E644" s="1176" t="e">
        <f t="shared" si="20"/>
        <v>#REF!</v>
      </c>
      <c r="F644" s="580" t="e">
        <f>IF($D644="Trigger",VLOOKUP("*"&amp;$C644&amp;"*",'Upper Cask Welding failures'!$E$46:$H$564,4,FALSE),E644+F643)</f>
        <v>#REF!</v>
      </c>
      <c r="G644" s="575" t="s">
        <v>1184</v>
      </c>
      <c r="H644" s="621" t="e">
        <f>IF(D644="operation",VLOOKUP(G644,#REF!,4,FALSE), "N/A")</f>
        <v>#REF!</v>
      </c>
      <c r="I644" s="573"/>
      <c r="J644" s="573"/>
      <c r="K644" s="573"/>
      <c r="L644" s="1176" t="str">
        <f>IFERROR(INDEX(#REF!,MATCH($J644,#REF!,0),MATCH($K644,#REF!,0)),"N/A")</f>
        <v>N/A</v>
      </c>
      <c r="M644" s="1176" t="str">
        <f>IFERROR(VLOOKUP($I644,#REF!,2,FALSE),"N/A")</f>
        <v>N/A</v>
      </c>
      <c r="N644" s="1176" t="str">
        <f>IF(D644="Movement",IFERROR((L644/M644)/(60*60),"Error"),"N/A")</f>
        <v>N/A</v>
      </c>
      <c r="O644" s="579"/>
      <c r="P644" s="580" t="str">
        <f>IF($D644="Logistics",VLOOKUP($O644,#REF!,2,FALSE),"N/A")</f>
        <v>N/A</v>
      </c>
    </row>
    <row r="645" spans="1:16" ht="13.5" customHeight="1" outlineLevel="1" thickBot="1" x14ac:dyDescent="0.45">
      <c r="A645" s="1213"/>
      <c r="B645" s="4003"/>
      <c r="C645" s="584" t="str">
        <f>B643</f>
        <v>LIB Lower Port Pipe Module installed</v>
      </c>
      <c r="D645" s="584" t="s">
        <v>11</v>
      </c>
      <c r="E645" s="1179">
        <f t="shared" si="20"/>
        <v>0</v>
      </c>
      <c r="F645" s="591" t="e">
        <f>IF($D645="Trigger",VLOOKUP("*"&amp;$C645&amp;"*",'Upper Cask Welding failures'!$E$46:$H$564,4,FALSE),E645+F644)</f>
        <v>#REF!</v>
      </c>
      <c r="G645" s="586"/>
      <c r="H645" s="591" t="str">
        <f>IF(D645="operation",VLOOKUP(G645,#REF!,5,FALSE), "N/A")</f>
        <v>N/A</v>
      </c>
      <c r="I645" s="584"/>
      <c r="J645" s="584"/>
      <c r="K645" s="584"/>
      <c r="L645" s="1179" t="str">
        <f>IFERROR(INDEX(#REF!,MATCH($J645,#REF!,0),MATCH($K645,#REF!,0)),"N/A")</f>
        <v>N/A</v>
      </c>
      <c r="M645" s="1179" t="str">
        <f>IFERROR(VLOOKUP($I645,#REF!,2,FALSE),"N/A")</f>
        <v>N/A</v>
      </c>
      <c r="N645" s="1179" t="str">
        <f>IF(D645="Movement",IFERROR((L645/M645)/(60*60),"Error"),"N/A")</f>
        <v>N/A</v>
      </c>
      <c r="O645" s="590"/>
      <c r="P645" s="591" t="str">
        <f>IF($D645="Logistics",VLOOKUP($O645,#REF!,2,FALSE),"N/A")</f>
        <v>N/A</v>
      </c>
    </row>
    <row r="646" spans="1:16" ht="13.3" thickBot="1" x14ac:dyDescent="0.45">
      <c r="A646" s="1217"/>
      <c r="B646" s="1562"/>
      <c r="C646" s="1218"/>
      <c r="D646" s="1218"/>
      <c r="E646" s="1218"/>
      <c r="F646" s="1218"/>
      <c r="G646" s="1218"/>
      <c r="H646" s="1563"/>
      <c r="I646" s="1218"/>
      <c r="J646" s="1218"/>
      <c r="K646" s="1218"/>
      <c r="L646" s="1219"/>
      <c r="M646" s="1219"/>
      <c r="N646" s="1219"/>
      <c r="O646" s="1218"/>
      <c r="P646" s="1220"/>
    </row>
    <row r="647" spans="1:16" x14ac:dyDescent="0.4">
      <c r="A647" s="1221"/>
      <c r="B647" s="1222" t="s">
        <v>1532</v>
      </c>
      <c r="C647" s="1222"/>
      <c r="D647" s="1222"/>
      <c r="E647" s="1222"/>
      <c r="F647" s="1222"/>
      <c r="G647" s="1222"/>
      <c r="H647" s="1222"/>
      <c r="I647" s="1222"/>
      <c r="J647" s="1222"/>
      <c r="K647" s="1222"/>
      <c r="L647" s="1222"/>
      <c r="M647" s="1222"/>
      <c r="N647" s="1222"/>
      <c r="O647" s="1222"/>
      <c r="P647" s="1223"/>
    </row>
    <row r="648" spans="1:16" ht="13.3" outlineLevel="1" thickBot="1" x14ac:dyDescent="0.45">
      <c r="A648" s="1224"/>
      <c r="B648" s="1564"/>
      <c r="C648" s="1225"/>
      <c r="D648" s="1225"/>
      <c r="E648" s="1225"/>
      <c r="F648" s="1225"/>
      <c r="G648" s="1225"/>
      <c r="H648" s="1565"/>
      <c r="I648" s="1225"/>
      <c r="J648" s="1225"/>
      <c r="K648" s="1225"/>
      <c r="L648" s="1226"/>
      <c r="M648" s="1226"/>
      <c r="N648" s="1226"/>
      <c r="O648" s="1225"/>
      <c r="P648" s="1227"/>
    </row>
    <row r="649" spans="1:16" s="89" customFormat="1" outlineLevel="1" x14ac:dyDescent="0.35">
      <c r="A649" s="1224"/>
      <c r="B649" s="3960" t="s">
        <v>1379</v>
      </c>
      <c r="C649" s="1333" t="s">
        <v>131</v>
      </c>
      <c r="D649" s="1333" t="s">
        <v>907</v>
      </c>
      <c r="E649" s="1303">
        <f t="shared" ref="E649:E753" si="22">MAX($P649,$N649,$H649)</f>
        <v>0</v>
      </c>
      <c r="F649" s="1303">
        <f>IF($D649="Trigger",VLOOKUP($C649,'Upper Cask Welding failures'!$E$516:$H$558,4,FALSE),E649+#REF!)</f>
        <v>2.1549155317167692</v>
      </c>
      <c r="G649" s="1304"/>
      <c r="H649" s="1305" t="str">
        <f>IF(D649="operation",VLOOKUP(G649,'Generic Vertical Port Tasks'!C582:D641,2,FALSE),"N/A")</f>
        <v>N/A</v>
      </c>
      <c r="I649" s="1333"/>
      <c r="J649" s="1333"/>
      <c r="K649" s="1333"/>
      <c r="L649" s="1334" t="str">
        <f>IFERROR(INDEX('Upper Cask Movement &amp; Logistics'!$I$24:$O$30,MATCH($J649,'Upper Cask Movement &amp; Logistics'!$H$24:$H$30,0),MATCH($K649,'Upper Cask Movement &amp; Logistics'!$H$24:$H$30,0)),"N/A")</f>
        <v>N/A</v>
      </c>
      <c r="M649" s="1334" t="str">
        <f>IFERROR(VLOOKUP($I649,'Upper Cask Movement &amp; Logistics'!$H$4:$I$8,2,FALSE),"N/A")</f>
        <v>N/A</v>
      </c>
      <c r="N649" s="1335" t="str">
        <f t="shared" ref="N649:N702" si="23">IF(D649="Movement",IFERROR((L649/M649)/(60*60),"Error"),"N/A")</f>
        <v>N/A</v>
      </c>
      <c r="O649" s="1336"/>
      <c r="P649" s="1337" t="str">
        <f>IF($D649="Logistics",VLOOKUP($O649,'Upper Cask Movement &amp; Logistics'!$C$4:$D$77,2,FALSE),"N/A")</f>
        <v>N/A</v>
      </c>
    </row>
    <row r="650" spans="1:16" s="89" customFormat="1" outlineLevel="1" x14ac:dyDescent="0.35">
      <c r="A650" s="1224"/>
      <c r="B650" s="3968"/>
      <c r="C650" s="1240" t="s">
        <v>1369</v>
      </c>
      <c r="D650" s="1240" t="s">
        <v>3</v>
      </c>
      <c r="E650" s="1241">
        <f t="shared" si="22"/>
        <v>2.3000000000000003</v>
      </c>
      <c r="F650" s="1241">
        <f>IF($D650="Trigger",VLOOKUP($C650,'Upper Cask Welding failures'!$E$516:$H$558,4,FALSE),E650+F649)</f>
        <v>4.4549155317167699</v>
      </c>
      <c r="G650" s="1354"/>
      <c r="H650" s="1355" t="str">
        <f>IF(D650="operation",VLOOKUP(G650,'Generic Vertical Port Tasks'!C582:D641,2,FALSE),"N/A")</f>
        <v>N/A</v>
      </c>
      <c r="I650" s="1240"/>
      <c r="J650" s="1240"/>
      <c r="K650" s="1240"/>
      <c r="L650" s="1242" t="str">
        <f>IFERROR(INDEX('Upper Cask Movement &amp; Logistics'!$I$24:$O$30,MATCH($J650,'Upper Cask Movement &amp; Logistics'!$H$24:$H$30,0),MATCH($K650,'Upper Cask Movement &amp; Logistics'!$H$24:$H$30,0)),"N/A")</f>
        <v>N/A</v>
      </c>
      <c r="M650" s="1242" t="str">
        <f>IFERROR(VLOOKUP($I650,'Upper Cask Movement &amp; Logistics'!$H$4:$I$8,2,FALSE),"N/A")</f>
        <v>N/A</v>
      </c>
      <c r="N650" s="1356" t="str">
        <f t="shared" si="23"/>
        <v>N/A</v>
      </c>
      <c r="O650" s="1357" t="s">
        <v>1269</v>
      </c>
      <c r="P650" s="1358">
        <f>IF($D650="Logistics",VLOOKUP($O650,'Upper Cask Movement &amp; Logistics'!$C$4:$D$77,2,FALSE),"N/A")</f>
        <v>2.3000000000000003</v>
      </c>
    </row>
    <row r="651" spans="1:16" s="89" customFormat="1" outlineLevel="1" x14ac:dyDescent="0.35">
      <c r="A651" s="1224"/>
      <c r="B651" s="3961"/>
      <c r="C651" s="1243" t="s">
        <v>1370</v>
      </c>
      <c r="D651" s="1243" t="s">
        <v>778</v>
      </c>
      <c r="E651" s="1244">
        <f t="shared" si="22"/>
        <v>0.69444444444444442</v>
      </c>
      <c r="F651" s="1244">
        <f>IF($D651="Trigger",VLOOKUP($C651,'Upper Cask Welding failures'!$E$516:$H$558,4,FALSE),E651+F650)</f>
        <v>5.1493599761612145</v>
      </c>
      <c r="G651" s="1309"/>
      <c r="H651" s="1310" t="str">
        <f>IF(D651="operation",VLOOKUP(G651,'Generic Vertical Port Tasks'!C582:D641,2,FALSE),"N/A")</f>
        <v>N/A</v>
      </c>
      <c r="I651" s="1243" t="s">
        <v>1789</v>
      </c>
      <c r="J651" s="1243" t="s">
        <v>901</v>
      </c>
      <c r="K651" s="1243" t="s">
        <v>831</v>
      </c>
      <c r="L651" s="1245">
        <f>IFERROR(INDEX('Upper Cask Movement &amp; Logistics'!$I$24:$O$30,MATCH($J651,'Upper Cask Movement &amp; Logistics'!$H$24:$H$30,0),MATCH($K651,'Upper Cask Movement &amp; Logistics'!$H$24:$H$30,0)),"N/A")</f>
        <v>50</v>
      </c>
      <c r="M651" s="1245">
        <f>IFERROR(VLOOKUP($I651,'Upper Cask Movement &amp; Logistics'!$H$4:$I$8,2,FALSE),"N/A")</f>
        <v>0.02</v>
      </c>
      <c r="N651" s="1311">
        <f t="shared" si="23"/>
        <v>0.69444444444444442</v>
      </c>
      <c r="O651" s="1312"/>
      <c r="P651" s="1313" t="str">
        <f>IF($D651="Logistics",VLOOKUP($O651,'Upper Cask Movement &amp; Logistics'!$C$4:$D$77,2,FALSE),"N/A")</f>
        <v>N/A</v>
      </c>
    </row>
    <row r="652" spans="1:16" s="89" customFormat="1" outlineLevel="1" x14ac:dyDescent="0.35">
      <c r="A652" s="1224"/>
      <c r="B652" s="3961"/>
      <c r="C652" s="1243" t="s">
        <v>1375</v>
      </c>
      <c r="D652" s="1243" t="s">
        <v>3</v>
      </c>
      <c r="E652" s="1244">
        <f t="shared" si="22"/>
        <v>0.68</v>
      </c>
      <c r="F652" s="1244">
        <f>IF($D652="Trigger",VLOOKUP($C652,'Upper Cask Welding failures'!$E$516:$H$558,4,FALSE),E652+F651)</f>
        <v>5.8293599761612143</v>
      </c>
      <c r="G652" s="1309"/>
      <c r="H652" s="1310" t="str">
        <f>IF(D652="operation",VLOOKUP(G652,'Generic Vertical Port Tasks'!C582:D641,2,FALSE),"N/A")</f>
        <v>N/A</v>
      </c>
      <c r="I652" s="1243"/>
      <c r="J652" s="1243"/>
      <c r="K652" s="1243"/>
      <c r="L652" s="1245" t="str">
        <f>IFERROR(INDEX('Upper Cask Movement &amp; Logistics'!$I$24:$O$30,MATCH($J652,'Upper Cask Movement &amp; Logistics'!$H$24:$H$30,0),MATCH($K652,'Upper Cask Movement &amp; Logistics'!$H$24:$H$30,0)),"N/A")</f>
        <v>N/A</v>
      </c>
      <c r="M652" s="1245" t="str">
        <f>IFERROR(VLOOKUP($I652,'Upper Cask Movement &amp; Logistics'!$H$4:$I$8,2,FALSE),"N/A")</f>
        <v>N/A</v>
      </c>
      <c r="N652" s="1311" t="str">
        <f t="shared" si="23"/>
        <v>N/A</v>
      </c>
      <c r="O652" s="1312" t="s">
        <v>1213</v>
      </c>
      <c r="P652" s="1313">
        <f>IF($D652="Logistics",VLOOKUP($O652,'Upper Cask Movement &amp; Logistics'!$C$4:$D$77,2,FALSE),"N/A")</f>
        <v>0.68</v>
      </c>
    </row>
    <row r="653" spans="1:16" s="89" customFormat="1" outlineLevel="1" x14ac:dyDescent="0.35">
      <c r="A653" s="1224"/>
      <c r="B653" s="3961"/>
      <c r="C653" s="1249" t="s">
        <v>1362</v>
      </c>
      <c r="D653" s="1249" t="s">
        <v>778</v>
      </c>
      <c r="E653" s="1244">
        <f t="shared" si="22"/>
        <v>9.2592592592592601E-2</v>
      </c>
      <c r="F653" s="1244">
        <f>IF($D653="Trigger",VLOOKUP($C653,'Upper Cask Welding failures'!$E$516:$H$558,4,FALSE),E653+F652)</f>
        <v>5.9219525687538068</v>
      </c>
      <c r="G653" s="1309"/>
      <c r="H653" s="1310" t="str">
        <f>IF(D653="operation",VLOOKUP(G653,'Generic Vertical Port Tasks'!C582:D641,2,FALSE),"N/A")</f>
        <v>N/A</v>
      </c>
      <c r="I653" s="1243" t="s">
        <v>2501</v>
      </c>
      <c r="J653" s="1243" t="s">
        <v>831</v>
      </c>
      <c r="K653" s="1243" t="s">
        <v>914</v>
      </c>
      <c r="L653" s="1245">
        <f>IFERROR(INDEX('Upper Cask Movement &amp; Logistics'!$I$24:$O$30,MATCH($J653,'Upper Cask Movement &amp; Logistics'!$H$24:$H$30,0),MATCH($K653,'Upper Cask Movement &amp; Logistics'!$H$24:$H$30,0)),"N/A")</f>
        <v>20</v>
      </c>
      <c r="M653" s="1245">
        <f>IFERROR(VLOOKUP($I653,'Upper Cask Movement &amp; Logistics'!$H$4:$I$8,2,FALSE),"N/A")</f>
        <v>0.06</v>
      </c>
      <c r="N653" s="1311">
        <f t="shared" si="23"/>
        <v>9.2592592592592601E-2</v>
      </c>
      <c r="O653" s="1312"/>
      <c r="P653" s="1313" t="str">
        <f>IF($D653="Logistics",VLOOKUP($O653,'Upper Cask Movement &amp; Logistics'!$C$4:$D$77,2,FALSE),"N/A")</f>
        <v>N/A</v>
      </c>
    </row>
    <row r="654" spans="1:16" s="89" customFormat="1" outlineLevel="1" x14ac:dyDescent="0.35">
      <c r="A654" s="1224"/>
      <c r="B654" s="3961"/>
      <c r="C654" s="1243" t="s">
        <v>1380</v>
      </c>
      <c r="D654" s="1243" t="s">
        <v>3</v>
      </c>
      <c r="E654" s="1244">
        <f t="shared" si="22"/>
        <v>0.48000000000000004</v>
      </c>
      <c r="F654" s="1244">
        <f>IF($D654="Trigger",VLOOKUP($C654,'Upper Cask Welding failures'!$E$516:$H$558,4,FALSE),E654+F653)</f>
        <v>6.4019525687538072</v>
      </c>
      <c r="G654" s="1309"/>
      <c r="H654" s="1310" t="str">
        <f>IF(D654="operation",VLOOKUP(G654,'Generic Vertical Port Tasks'!C582:D641,2,FALSE),"N/A")</f>
        <v>N/A</v>
      </c>
      <c r="I654" s="1243"/>
      <c r="J654" s="1243"/>
      <c r="K654" s="1243"/>
      <c r="L654" s="1245" t="str">
        <f>IFERROR(INDEX('Upper Cask Movement &amp; Logistics'!$I$24:$O$30,MATCH($J654,'Upper Cask Movement &amp; Logistics'!$H$24:$H$30,0),MATCH($K654,'Upper Cask Movement &amp; Logistics'!$H$24:$H$30,0)),"N/A")</f>
        <v>N/A</v>
      </c>
      <c r="M654" s="1245" t="str">
        <f>IFERROR(VLOOKUP($I654,'Upper Cask Movement &amp; Logistics'!$H$4:$I$8,2,FALSE),"N/A")</f>
        <v>N/A</v>
      </c>
      <c r="N654" s="1311" t="str">
        <f t="shared" si="23"/>
        <v>N/A</v>
      </c>
      <c r="O654" s="1312" t="s">
        <v>1330</v>
      </c>
      <c r="P654" s="1313">
        <f>IF($D654="Logistics",VLOOKUP($O654,'Upper Cask Movement &amp; Logistics'!$C$4:$D$77,2,FALSE),"N/A")</f>
        <v>0.48000000000000004</v>
      </c>
    </row>
    <row r="655" spans="1:16" s="89" customFormat="1" outlineLevel="1" x14ac:dyDescent="0.35">
      <c r="A655" s="1224"/>
      <c r="B655" s="3961"/>
      <c r="C655" s="1243" t="s">
        <v>1381</v>
      </c>
      <c r="D655" s="1243" t="s">
        <v>778</v>
      </c>
      <c r="E655" s="1244">
        <f t="shared" si="22"/>
        <v>2.7777777777777776E-2</v>
      </c>
      <c r="F655" s="1244">
        <f>IF($D655="Trigger",VLOOKUP($C655,'Upper Cask Welding failures'!$E$516:$H$558,4,FALSE),E655+F654)</f>
        <v>6.4297303465315849</v>
      </c>
      <c r="G655" s="1309"/>
      <c r="H655" s="1310" t="str">
        <f>IF(D655="operation",VLOOKUP(G655,'Generic Vertical Port Tasks'!C582:D641,2,FALSE),"N/A")</f>
        <v>N/A</v>
      </c>
      <c r="I655" s="1243" t="s">
        <v>2502</v>
      </c>
      <c r="J655" s="1243" t="s">
        <v>914</v>
      </c>
      <c r="K655" s="1243" t="s">
        <v>799</v>
      </c>
      <c r="L655" s="1245">
        <f>IFERROR(INDEX('Upper Cask Movement &amp; Logistics'!$I$24:$O$30,MATCH($J655,'Upper Cask Movement &amp; Logistics'!$H$24:$H$30,0),MATCH($K655,'Upper Cask Movement &amp; Logistics'!$H$24:$H$30,0)),"N/A")</f>
        <v>20</v>
      </c>
      <c r="M655" s="1245">
        <f>IFERROR(VLOOKUP($I655,'Upper Cask Movement &amp; Logistics'!$H$4:$I$8,2,FALSE),"N/A")</f>
        <v>0.2</v>
      </c>
      <c r="N655" s="1311">
        <f t="shared" si="23"/>
        <v>2.7777777777777776E-2</v>
      </c>
      <c r="O655" s="1312"/>
      <c r="P655" s="1313" t="str">
        <f>IF($D655="Logistics",VLOOKUP($O655,'Upper Cask Movement &amp; Logistics'!$C$4:$D$77,2,FALSE),"N/A")</f>
        <v>N/A</v>
      </c>
    </row>
    <row r="656" spans="1:16" s="89" customFormat="1" outlineLevel="1" x14ac:dyDescent="0.35">
      <c r="A656" s="1224"/>
      <c r="B656" s="3961"/>
      <c r="C656" s="1243" t="s">
        <v>1382</v>
      </c>
      <c r="D656" s="1243" t="s">
        <v>3</v>
      </c>
      <c r="E656" s="1244">
        <f t="shared" si="22"/>
        <v>0.48000000000000004</v>
      </c>
      <c r="F656" s="1244">
        <f>IF($D656="Trigger",VLOOKUP($C656,'Upper Cask Welding failures'!$E$516:$H$558,4,FALSE),E656+F655)</f>
        <v>6.9097303465315854</v>
      </c>
      <c r="G656" s="1309"/>
      <c r="H656" s="1310" t="str">
        <f>IF(D656="operation",VLOOKUP(G656,'Generic Vertical Port Tasks'!C582:D641,2,FALSE),"N/A")</f>
        <v>N/A</v>
      </c>
      <c r="I656" s="1243"/>
      <c r="J656" s="1243"/>
      <c r="K656" s="1243"/>
      <c r="L656" s="1245" t="str">
        <f>IFERROR(INDEX('Upper Cask Movement &amp; Logistics'!$I$24:$O$30,MATCH($J656,'Upper Cask Movement &amp; Logistics'!$H$24:$H$30,0),MATCH($K656,'Upper Cask Movement &amp; Logistics'!$H$24:$H$30,0)),"N/A")</f>
        <v>N/A</v>
      </c>
      <c r="M656" s="1245" t="str">
        <f>IFERROR(VLOOKUP($I656,'Upper Cask Movement &amp; Logistics'!$H$4:$I$8,2,FALSE),"N/A")</f>
        <v>N/A</v>
      </c>
      <c r="N656" s="1311" t="str">
        <f t="shared" si="23"/>
        <v>N/A</v>
      </c>
      <c r="O656" s="1312" t="s">
        <v>1331</v>
      </c>
      <c r="P656" s="1313">
        <f>IF($D656="Logistics",VLOOKUP($O656,'Upper Cask Movement &amp; Logistics'!$C$4:$D$77,2,FALSE),"N/A")</f>
        <v>0.48000000000000004</v>
      </c>
    </row>
    <row r="657" spans="1:16" s="89" customFormat="1" outlineLevel="1" x14ac:dyDescent="0.35">
      <c r="A657" s="1224"/>
      <c r="B657" s="3961"/>
      <c r="C657" s="1243" t="s">
        <v>1366</v>
      </c>
      <c r="D657" s="1243" t="s">
        <v>778</v>
      </c>
      <c r="E657" s="1244">
        <f t="shared" si="22"/>
        <v>0.69444444444444442</v>
      </c>
      <c r="F657" s="1244">
        <f>IF($D657="Trigger",VLOOKUP($C657,'Upper Cask Welding failures'!$E$516:$H$558,4,FALSE),E657+F656)</f>
        <v>7.60417479097603</v>
      </c>
      <c r="G657" s="1309"/>
      <c r="H657" s="1310" t="str">
        <f>IF(D657="operation",VLOOKUP(G657,'Generic Vertical Port Tasks'!C582:D641,2,FALSE),"N/A")</f>
        <v>N/A</v>
      </c>
      <c r="I657" s="1243" t="s">
        <v>1789</v>
      </c>
      <c r="J657" s="1243" t="s">
        <v>799</v>
      </c>
      <c r="K657" s="1243" t="s">
        <v>901</v>
      </c>
      <c r="L657" s="1245">
        <f>IFERROR(INDEX('Upper Cask Movement &amp; Logistics'!$I$24:$O$30,MATCH($J657,'Upper Cask Movement &amp; Logistics'!$H$24:$H$30,0),MATCH($K657,'Upper Cask Movement &amp; Logistics'!$H$24:$H$30,0)),"N/A")</f>
        <v>50</v>
      </c>
      <c r="M657" s="1245">
        <f>IFERROR(VLOOKUP($I657,'Upper Cask Movement &amp; Logistics'!$H$4:$I$8,2,FALSE),"N/A")</f>
        <v>0.02</v>
      </c>
      <c r="N657" s="1311">
        <f t="shared" si="23"/>
        <v>0.69444444444444442</v>
      </c>
      <c r="O657" s="1312"/>
      <c r="P657" s="1313" t="str">
        <f>IF($D657="Logistics",VLOOKUP($O657,'Upper Cask Movement &amp; Logistics'!$C$4:$D$77,2,FALSE),"N/A")</f>
        <v>N/A</v>
      </c>
    </row>
    <row r="658" spans="1:16" s="89" customFormat="1" outlineLevel="1" x14ac:dyDescent="0.35">
      <c r="A658" s="1224"/>
      <c r="B658" s="3961"/>
      <c r="C658" s="1243" t="s">
        <v>1383</v>
      </c>
      <c r="D658" s="1243" t="s">
        <v>3</v>
      </c>
      <c r="E658" s="1244">
        <f t="shared" si="22"/>
        <v>1.4000000000000001</v>
      </c>
      <c r="F658" s="1244">
        <f>IF($D658="Trigger",VLOOKUP($C658,'Upper Cask Welding failures'!$E$516:$H$558,4,FALSE),E658+F657)</f>
        <v>9.0041747909760304</v>
      </c>
      <c r="G658" s="1309"/>
      <c r="H658" s="1310" t="str">
        <f>IF(D658="operation",VLOOKUP(G658,'Generic Vertical Port Tasks'!C582:D641,2,FALSE),"N/A")</f>
        <v>N/A</v>
      </c>
      <c r="I658" s="1243"/>
      <c r="J658" s="1243"/>
      <c r="K658" s="1243"/>
      <c r="L658" s="1245" t="str">
        <f>IFERROR(INDEX('Upper Cask Movement &amp; Logistics'!$I$24:$O$30,MATCH($J658,'Upper Cask Movement &amp; Logistics'!$H$24:$H$30,0),MATCH($K658,'Upper Cask Movement &amp; Logistics'!$H$24:$H$30,0)),"N/A")</f>
        <v>N/A</v>
      </c>
      <c r="M658" s="1245" t="str">
        <f>IFERROR(VLOOKUP($I658,'Upper Cask Movement &amp; Logistics'!$H$4:$I$8,2,FALSE),"N/A")</f>
        <v>N/A</v>
      </c>
      <c r="N658" s="1311" t="str">
        <f t="shared" si="23"/>
        <v>N/A</v>
      </c>
      <c r="O658" s="1312" t="s">
        <v>1277</v>
      </c>
      <c r="P658" s="1313">
        <f>IF($D658="Logistics",VLOOKUP($O658,'Upper Cask Movement &amp; Logistics'!$C$4:$D$77,2,FALSE),"N/A")</f>
        <v>1.4000000000000001</v>
      </c>
    </row>
    <row r="659" spans="1:16" s="89" customFormat="1" ht="26.15" outlineLevel="1" thickBot="1" x14ac:dyDescent="0.4">
      <c r="A659" s="1224"/>
      <c r="B659" s="3963"/>
      <c r="C659" s="1314" t="s">
        <v>1379</v>
      </c>
      <c r="D659" s="1314" t="s">
        <v>11</v>
      </c>
      <c r="E659" s="1316">
        <f t="shared" si="22"/>
        <v>0</v>
      </c>
      <c r="F659" s="1316">
        <f>IF($D659="Trigger",VLOOKUP($C659,'Upper Cask Welding failures'!$E$516:$H$558,4,FALSE),E659+F658)</f>
        <v>9.0041747909760304</v>
      </c>
      <c r="G659" s="1317"/>
      <c r="H659" s="1318" t="str">
        <f>IF(D659="operation",VLOOKUP(G659,'Generic Vertical Port Tasks'!C582:D641,2,FALSE),"N/A")</f>
        <v>N/A</v>
      </c>
      <c r="I659" s="1314"/>
      <c r="J659" s="1314"/>
      <c r="K659" s="1314"/>
      <c r="L659" s="1319" t="str">
        <f>IFERROR(INDEX('Upper Cask Movement &amp; Logistics'!$I$24:$O$30,MATCH($J659,'Upper Cask Movement &amp; Logistics'!$H$24:$H$30,0),MATCH($K659,'Upper Cask Movement &amp; Logistics'!$H$24:$H$30,0)),"N/A")</f>
        <v>N/A</v>
      </c>
      <c r="M659" s="1319" t="str">
        <f>IFERROR(VLOOKUP($I659,'Upper Cask Movement &amp; Logistics'!$H$4:$I$8,2,FALSE),"N/A")</f>
        <v>N/A</v>
      </c>
      <c r="N659" s="1320" t="str">
        <f t="shared" si="23"/>
        <v>N/A</v>
      </c>
      <c r="O659" s="1321"/>
      <c r="P659" s="1322" t="str">
        <f>IF($D659="Logistics",VLOOKUP($O659,'Upper Cask Movement &amp; Logistics'!$C$4:$D$77,2,FALSE),"N/A")</f>
        <v>N/A</v>
      </c>
    </row>
    <row r="660" spans="1:16" s="89" customFormat="1" outlineLevel="1" x14ac:dyDescent="0.35">
      <c r="A660" s="1224"/>
      <c r="B660" s="3964" t="s">
        <v>1384</v>
      </c>
      <c r="C660" s="1324" t="s">
        <v>1531</v>
      </c>
      <c r="D660" s="1324" t="s">
        <v>907</v>
      </c>
      <c r="E660" s="1291">
        <f t="shared" si="22"/>
        <v>0</v>
      </c>
      <c r="F660" s="1291">
        <f>IF($D660="Trigger",VLOOKUP($C660,'Upper Cask Welding failures'!$E$516:$H$558,4,FALSE),E660+F659)</f>
        <v>20.410756989359463</v>
      </c>
      <c r="G660" s="825"/>
      <c r="H660" s="1323" t="str">
        <f>IF(D660="operation",VLOOKUP(G660,'Generic Vertical Port Tasks'!C582:D641,2,FALSE),"N/A")</f>
        <v>N/A</v>
      </c>
      <c r="I660" s="1324"/>
      <c r="J660" s="1324"/>
      <c r="K660" s="1324"/>
      <c r="L660" s="1325" t="str">
        <f>IFERROR(INDEX('Upper Cask Movement &amp; Logistics'!$I$24:$O$30,MATCH($J660,'Upper Cask Movement &amp; Logistics'!$H$24:$H$30,0),MATCH($K660,'Upper Cask Movement &amp; Logistics'!$H$24:$H$30,0)),"N/A")</f>
        <v>N/A</v>
      </c>
      <c r="M660" s="1325" t="str">
        <f>IFERROR(VLOOKUP($I660,'Upper Cask Movement &amp; Logistics'!$H$4:$I$8,2,FALSE),"N/A")</f>
        <v>N/A</v>
      </c>
      <c r="N660" s="1326" t="str">
        <f t="shared" si="23"/>
        <v>N/A</v>
      </c>
      <c r="O660" s="1327"/>
      <c r="P660" s="824" t="str">
        <f>IF($D660="Logistics",VLOOKUP($O660,'Upper Cask Movement &amp; Logistics'!$C$4:$D$77,2,FALSE),"N/A")</f>
        <v>N/A</v>
      </c>
    </row>
    <row r="661" spans="1:16" s="89" customFormat="1" outlineLevel="1" x14ac:dyDescent="0.35">
      <c r="A661" s="1224"/>
      <c r="B661" s="3965"/>
      <c r="C661" s="1294" t="s">
        <v>1385</v>
      </c>
      <c r="D661" s="1294" t="s">
        <v>3</v>
      </c>
      <c r="E661" s="1292">
        <f t="shared" si="22"/>
        <v>0.5</v>
      </c>
      <c r="F661" s="1292">
        <f>IF($D661="Trigger",VLOOKUP($C661,'Upper Cask Welding failures'!$E$516:$H$558,4,FALSE),E661+F660)</f>
        <v>20.910756989359463</v>
      </c>
      <c r="G661" s="862"/>
      <c r="H661" s="1328" t="str">
        <f>IF(D661="operation",VLOOKUP(G661,'Generic Vertical Port Tasks'!C582:D641,2,FALSE),"N/A")</f>
        <v>N/A</v>
      </c>
      <c r="I661" s="1294"/>
      <c r="J661" s="1294"/>
      <c r="K661" s="1294"/>
      <c r="L661" s="1329" t="str">
        <f>IFERROR(INDEX('Upper Cask Movement &amp; Logistics'!$I$24:$O$30,MATCH($J661,'Upper Cask Movement &amp; Logistics'!$H$24:$H$30,0),MATCH($K661,'Upper Cask Movement &amp; Logistics'!$H$24:$H$30,0)),"N/A")</f>
        <v>N/A</v>
      </c>
      <c r="M661" s="1329" t="str">
        <f>IFERROR(VLOOKUP($I661,'Upper Cask Movement &amp; Logistics'!$H$4:$I$8,2,FALSE),"N/A")</f>
        <v>N/A</v>
      </c>
      <c r="N661" s="1330" t="str">
        <f t="shared" si="23"/>
        <v>N/A</v>
      </c>
      <c r="O661" s="1331" t="s">
        <v>1208</v>
      </c>
      <c r="P661" s="1332">
        <f>IF($D661="Logistics",VLOOKUP($O661,'Upper Cask Movement &amp; Logistics'!$C$4:$D$77,2,FALSE),"N/A")</f>
        <v>0.5</v>
      </c>
    </row>
    <row r="662" spans="1:16" s="89" customFormat="1" outlineLevel="1" x14ac:dyDescent="0.35">
      <c r="A662" s="1224"/>
      <c r="B662" s="3965"/>
      <c r="C662" s="1294" t="s">
        <v>1386</v>
      </c>
      <c r="D662" s="1294" t="s">
        <v>3</v>
      </c>
      <c r="E662" s="1292">
        <f t="shared" si="22"/>
        <v>0.48000000000000004</v>
      </c>
      <c r="F662" s="1292">
        <f>IF($D662="Trigger",VLOOKUP($C662,'Upper Cask Welding failures'!$E$516:$H$558,4,FALSE),E662+F661)</f>
        <v>21.390756989359463</v>
      </c>
      <c r="G662" s="862"/>
      <c r="H662" s="1328" t="str">
        <f>IF(D662="operation",VLOOKUP(G662,'Generic Vertical Port Tasks'!C582:D641,2,FALSE),"N/A")</f>
        <v>N/A</v>
      </c>
      <c r="I662" s="1294"/>
      <c r="J662" s="1294"/>
      <c r="K662" s="1294"/>
      <c r="L662" s="1329" t="str">
        <f>IFERROR(INDEX('Upper Cask Movement &amp; Logistics'!$I$24:$O$30,MATCH($J662,'Upper Cask Movement &amp; Logistics'!$H$24:$H$30,0),MATCH($K662,'Upper Cask Movement &amp; Logistics'!$H$24:$H$30,0)),"N/A")</f>
        <v>N/A</v>
      </c>
      <c r="M662" s="1329" t="str">
        <f>IFERROR(VLOOKUP($I662,'Upper Cask Movement &amp; Logistics'!$H$4:$I$8,2,FALSE),"N/A")</f>
        <v>N/A</v>
      </c>
      <c r="N662" s="1330" t="str">
        <f t="shared" si="23"/>
        <v>N/A</v>
      </c>
      <c r="O662" s="1331" t="s">
        <v>1331</v>
      </c>
      <c r="P662" s="1332">
        <f>IF($D662="Logistics",VLOOKUP($O662,'Upper Cask Movement &amp; Logistics'!$C$4:$D$77,2,FALSE),"N/A")</f>
        <v>0.48000000000000004</v>
      </c>
    </row>
    <row r="663" spans="1:16" s="89" customFormat="1" outlineLevel="1" x14ac:dyDescent="0.35">
      <c r="A663" s="1224"/>
      <c r="B663" s="3965"/>
      <c r="C663" s="1294" t="s">
        <v>1387</v>
      </c>
      <c r="D663" s="1294" t="s">
        <v>778</v>
      </c>
      <c r="E663" s="1292">
        <f t="shared" si="22"/>
        <v>0.69444444444444442</v>
      </c>
      <c r="F663" s="1292">
        <f>IF($D663="Trigger",VLOOKUP($C663,'Upper Cask Welding failures'!$E$516:$H$558,4,FALSE),E663+F662)</f>
        <v>22.085201433803906</v>
      </c>
      <c r="G663" s="862"/>
      <c r="H663" s="1328" t="str">
        <f>IF(D663="operation",VLOOKUP(G663,'Generic Vertical Port Tasks'!C582:D641,2,FALSE),"N/A")</f>
        <v>N/A</v>
      </c>
      <c r="I663" s="1294" t="s">
        <v>1789</v>
      </c>
      <c r="J663" s="1294" t="s">
        <v>799</v>
      </c>
      <c r="K663" s="1294" t="s">
        <v>816</v>
      </c>
      <c r="L663" s="1329">
        <f>IFERROR(INDEX('Upper Cask Movement &amp; Logistics'!$I$24:$O$30,MATCH($J663,'Upper Cask Movement &amp; Logistics'!$H$24:$H$30,0),MATCH($K663,'Upper Cask Movement &amp; Logistics'!$H$24:$H$30,0)),"N/A")</f>
        <v>50</v>
      </c>
      <c r="M663" s="1329">
        <f>IFERROR(VLOOKUP($I663,'Upper Cask Movement &amp; Logistics'!$H$4:$I$8,2,FALSE),"N/A")</f>
        <v>0.02</v>
      </c>
      <c r="N663" s="1330">
        <f t="shared" si="23"/>
        <v>0.69444444444444442</v>
      </c>
      <c r="O663" s="1331"/>
      <c r="P663" s="1332" t="str">
        <f>IF($D663="Logistics",VLOOKUP($O663,'Upper Cask Movement &amp; Logistics'!$C$4:$D$77,2,FALSE),"N/A")</f>
        <v>N/A</v>
      </c>
    </row>
    <row r="664" spans="1:16" s="89" customFormat="1" ht="26.15" outlineLevel="1" thickBot="1" x14ac:dyDescent="0.4">
      <c r="A664" s="1224"/>
      <c r="B664" s="3965"/>
      <c r="C664" s="1294" t="s">
        <v>1384</v>
      </c>
      <c r="D664" s="1294" t="s">
        <v>11</v>
      </c>
      <c r="E664" s="1292">
        <f t="shared" si="22"/>
        <v>0</v>
      </c>
      <c r="F664" s="1292">
        <f>IF($D664="Trigger",VLOOKUP($C664,'Upper Cask Welding failures'!$E$516:$H$558,4,FALSE),E664+F663)</f>
        <v>22.085201433803906</v>
      </c>
      <c r="G664" s="862"/>
      <c r="H664" s="1328" t="str">
        <f>IF(D664="operation",VLOOKUP(G664,'Generic Vertical Port Tasks'!C582:D641,2,FALSE),"N/A")</f>
        <v>N/A</v>
      </c>
      <c r="I664" s="1294"/>
      <c r="J664" s="1294"/>
      <c r="K664" s="1294"/>
      <c r="L664" s="1329" t="str">
        <f>IFERROR(INDEX('Upper Cask Movement &amp; Logistics'!$I$24:$O$30,MATCH($J664,'Upper Cask Movement &amp; Logistics'!$H$24:$H$30,0),MATCH($K664,'Upper Cask Movement &amp; Logistics'!$H$24:$H$30,0)),"N/A")</f>
        <v>N/A</v>
      </c>
      <c r="M664" s="1329" t="str">
        <f>IFERROR(VLOOKUP($I664,'Upper Cask Movement &amp; Logistics'!$H$4:$I$8,2,FALSE),"N/A")</f>
        <v>N/A</v>
      </c>
      <c r="N664" s="1330" t="str">
        <f t="shared" si="23"/>
        <v>N/A</v>
      </c>
      <c r="O664" s="1331"/>
      <c r="P664" s="1332" t="str">
        <f>IF($D664="Logistics",VLOOKUP($O664,'Upper Cask Movement &amp; Logistics'!$C$4:$D$77,2,FALSE),"N/A")</f>
        <v>N/A</v>
      </c>
    </row>
    <row r="665" spans="1:16" s="89" customFormat="1" outlineLevel="1" x14ac:dyDescent="0.35">
      <c r="A665" s="1224"/>
      <c r="B665" s="3964" t="s">
        <v>1392</v>
      </c>
      <c r="C665" s="1324" t="s">
        <v>1263</v>
      </c>
      <c r="D665" s="1324" t="s">
        <v>907</v>
      </c>
      <c r="E665" s="1291">
        <f t="shared" si="22"/>
        <v>0</v>
      </c>
      <c r="F665" s="1291">
        <f>IF($D665="Trigger",VLOOKUP($C665,'Upper Cask Welding failures'!$E$516:$H$558,4,FALSE),E665+F664)</f>
        <v>36.684191039594758</v>
      </c>
      <c r="G665" s="825"/>
      <c r="H665" s="1323" t="str">
        <f>IF(D665="operation",VLOOKUP(G665,'Generic Vertical Port Tasks'!C574:D633,2,FALSE),"N/A")</f>
        <v>N/A</v>
      </c>
      <c r="I665" s="1324"/>
      <c r="J665" s="1324"/>
      <c r="K665" s="1324"/>
      <c r="L665" s="1325" t="str">
        <f>IFERROR(INDEX('Upper Cask Movement &amp; Logistics'!$I$24:$O$30,MATCH($J665,'Upper Cask Movement &amp; Logistics'!$H$24:$H$30,0),MATCH($K665,'Upper Cask Movement &amp; Logistics'!$H$24:$H$30,0)),"N/A")</f>
        <v>N/A</v>
      </c>
      <c r="M665" s="1325" t="str">
        <f>IFERROR(VLOOKUP($I665,'Upper Cask Movement &amp; Logistics'!$H$4:$I$8,2,FALSE),"N/A")</f>
        <v>N/A</v>
      </c>
      <c r="N665" s="1326" t="str">
        <f t="shared" si="23"/>
        <v>N/A</v>
      </c>
      <c r="O665" s="1327"/>
      <c r="P665" s="824" t="str">
        <f>IF($D665="Logistics",VLOOKUP($O665,'Upper Cask Movement &amp; Logistics'!$C$4:$D$77,2,FALSE),"N/A")</f>
        <v>N/A</v>
      </c>
    </row>
    <row r="666" spans="1:16" s="89" customFormat="1" outlineLevel="1" x14ac:dyDescent="0.35">
      <c r="A666" s="1224"/>
      <c r="B666" s="3969"/>
      <c r="C666" s="1362" t="s">
        <v>1268</v>
      </c>
      <c r="D666" s="1362" t="s">
        <v>3</v>
      </c>
      <c r="E666" s="1363">
        <f t="shared" si="22"/>
        <v>2.3000000000000003</v>
      </c>
      <c r="F666" s="1363">
        <f>IF($D666="Trigger",VLOOKUP($C666,'Upper Cask Welding failures'!$E$516:$H$558,4,FALSE),E666+F665)</f>
        <v>38.984191039594755</v>
      </c>
      <c r="G666" s="1364"/>
      <c r="H666" s="1365" t="str">
        <f>IF(D666="operation",VLOOKUP(G666,'Generic Vertical Port Tasks'!C574:D633,2,FALSE),"N/A")</f>
        <v>N/A</v>
      </c>
      <c r="I666" s="1362"/>
      <c r="J666" s="1362"/>
      <c r="K666" s="1362"/>
      <c r="L666" s="1366" t="str">
        <f>IFERROR(INDEX('Upper Cask Movement &amp; Logistics'!$I$24:$O$30,MATCH($J666,'Upper Cask Movement &amp; Logistics'!$H$24:$H$30,0),MATCH($K666,'Upper Cask Movement &amp; Logistics'!$H$24:$H$30,0)),"N/A")</f>
        <v>N/A</v>
      </c>
      <c r="M666" s="1366" t="str">
        <f>IFERROR(VLOOKUP($I666,'Upper Cask Movement &amp; Logistics'!$H$4:$I$8,2,FALSE),"N/A")</f>
        <v>N/A</v>
      </c>
      <c r="N666" s="1367" t="str">
        <f t="shared" si="23"/>
        <v>N/A</v>
      </c>
      <c r="O666" s="1368" t="s">
        <v>1269</v>
      </c>
      <c r="P666" s="861">
        <f>IF($D666="Logistics",VLOOKUP($O666,'Upper Cask Movement &amp; Logistics'!$C$4:$D$77,2,FALSE),"N/A")</f>
        <v>2.3000000000000003</v>
      </c>
    </row>
    <row r="667" spans="1:16" s="89" customFormat="1" outlineLevel="1" x14ac:dyDescent="0.35">
      <c r="A667" s="1224"/>
      <c r="B667" s="3969"/>
      <c r="C667" s="1362" t="s">
        <v>1370</v>
      </c>
      <c r="D667" s="1362" t="s">
        <v>778</v>
      </c>
      <c r="E667" s="1363">
        <f t="shared" si="22"/>
        <v>0.69444444444444442</v>
      </c>
      <c r="F667" s="1363">
        <f>IF($D667="Trigger",VLOOKUP($C667,'Upper Cask Welding failures'!$E$516:$H$558,4,FALSE),E667+F666)</f>
        <v>39.678635484039198</v>
      </c>
      <c r="G667" s="1364"/>
      <c r="H667" s="1365" t="str">
        <f>IF(D667="operation",VLOOKUP(G667,'Generic Vertical Port Tasks'!C574:D633,2,FALSE),"N/A")</f>
        <v>N/A</v>
      </c>
      <c r="I667" s="1362" t="s">
        <v>1789</v>
      </c>
      <c r="J667" s="1362" t="s">
        <v>901</v>
      </c>
      <c r="K667" s="1362" t="s">
        <v>831</v>
      </c>
      <c r="L667" s="1366">
        <f>IFERROR(INDEX('Upper Cask Movement &amp; Logistics'!$I$24:$O$30,MATCH($J667,'Upper Cask Movement &amp; Logistics'!$H$24:$H$30,0),MATCH($K667,'Upper Cask Movement &amp; Logistics'!$H$24:$H$30,0)),"N/A")</f>
        <v>50</v>
      </c>
      <c r="M667" s="1366">
        <f>IFERROR(VLOOKUP($I667,'Upper Cask Movement &amp; Logistics'!$H$4:$I$8,2,FALSE),"N/A")</f>
        <v>0.02</v>
      </c>
      <c r="N667" s="1367">
        <f t="shared" si="23"/>
        <v>0.69444444444444442</v>
      </c>
      <c r="O667" s="1368"/>
      <c r="P667" s="861" t="str">
        <f>IF($D667="Logistics",VLOOKUP($O667,'Upper Cask Movement &amp; Logistics'!$C$4:$D$77,2,FALSE),"N/A")</f>
        <v>N/A</v>
      </c>
    </row>
    <row r="668" spans="1:16" s="89" customFormat="1" outlineLevel="1" x14ac:dyDescent="0.35">
      <c r="A668" s="1224"/>
      <c r="B668" s="3969"/>
      <c r="C668" s="1362" t="s">
        <v>1393</v>
      </c>
      <c r="D668" s="1362" t="s">
        <v>3</v>
      </c>
      <c r="E668" s="1363">
        <f t="shared" si="22"/>
        <v>0.68</v>
      </c>
      <c r="F668" s="1363">
        <f>IF($D668="Trigger",VLOOKUP($C668,'Upper Cask Welding failures'!$E$516:$H$558,4,FALSE),E668+F667)</f>
        <v>40.358635484039198</v>
      </c>
      <c r="G668" s="1364"/>
      <c r="H668" s="1365" t="str">
        <f>IF(D668="operation",VLOOKUP(G668,'Generic Vertical Port Tasks'!C574:D633,2,FALSE),"N/A")</f>
        <v>N/A</v>
      </c>
      <c r="I668" s="1362"/>
      <c r="J668" s="1362"/>
      <c r="K668" s="1362"/>
      <c r="L668" s="1366" t="str">
        <f>IFERROR(INDEX('Upper Cask Movement &amp; Logistics'!$I$24:$O$30,MATCH($J668,'Upper Cask Movement &amp; Logistics'!$H$24:$H$30,0),MATCH($K668,'Upper Cask Movement &amp; Logistics'!$H$24:$H$30,0)),"N/A")</f>
        <v>N/A</v>
      </c>
      <c r="M668" s="1366" t="str">
        <f>IFERROR(VLOOKUP($I668,'Upper Cask Movement &amp; Logistics'!$H$4:$I$8,2,FALSE),"N/A")</f>
        <v>N/A</v>
      </c>
      <c r="N668" s="1367" t="str">
        <f t="shared" si="23"/>
        <v>N/A</v>
      </c>
      <c r="O668" s="1368" t="s">
        <v>1213</v>
      </c>
      <c r="P668" s="861">
        <f>IF($D668="Logistics",VLOOKUP($O668,'Upper Cask Movement &amp; Logistics'!$C$4:$D$77,2,FALSE),"N/A")</f>
        <v>0.68</v>
      </c>
    </row>
    <row r="669" spans="1:16" s="89" customFormat="1" outlineLevel="1" x14ac:dyDescent="0.35">
      <c r="A669" s="1224"/>
      <c r="B669" s="3965"/>
      <c r="C669" s="1294" t="s">
        <v>1366</v>
      </c>
      <c r="D669" s="1294" t="s">
        <v>778</v>
      </c>
      <c r="E669" s="1292">
        <f t="shared" si="22"/>
        <v>0.23148148148148148</v>
      </c>
      <c r="F669" s="1292">
        <f>IF($D669="Trigger",VLOOKUP($C669,'Upper Cask Welding failures'!$E$516:$H$558,4,FALSE),E669+F668)</f>
        <v>40.590116965520679</v>
      </c>
      <c r="G669" s="862"/>
      <c r="H669" s="1328" t="str">
        <f>IF(D669="operation",VLOOKUP(G669,'Generic Vertical Port Tasks'!C574:D633,2,FALSE),"N/A")</f>
        <v>N/A</v>
      </c>
      <c r="I669" s="1294" t="s">
        <v>2501</v>
      </c>
      <c r="J669" s="1294" t="s">
        <v>831</v>
      </c>
      <c r="K669" s="1294" t="s">
        <v>901</v>
      </c>
      <c r="L669" s="1329">
        <f>IFERROR(INDEX('Upper Cask Movement &amp; Logistics'!$I$24:$O$30,MATCH($J669,'Upper Cask Movement &amp; Logistics'!$H$24:$H$30,0),MATCH($K669,'Upper Cask Movement &amp; Logistics'!$H$24:$H$30,0)),"N/A")</f>
        <v>50</v>
      </c>
      <c r="M669" s="1329">
        <f>IFERROR(VLOOKUP($I669,'Upper Cask Movement &amp; Logistics'!$H$4:$I$8,2,FALSE),"N/A")</f>
        <v>0.06</v>
      </c>
      <c r="N669" s="1330">
        <f t="shared" si="23"/>
        <v>0.23148148148148148</v>
      </c>
      <c r="O669" s="1331"/>
      <c r="P669" s="1332" t="str">
        <f>IF($D669="Logistics",VLOOKUP($O669,'Upper Cask Movement &amp; Logistics'!$C$4:$D$77,2,FALSE),"N/A")</f>
        <v>N/A</v>
      </c>
    </row>
    <row r="670" spans="1:16" s="89" customFormat="1" outlineLevel="1" x14ac:dyDescent="0.35">
      <c r="A670" s="1224"/>
      <c r="B670" s="3965"/>
      <c r="C670" s="1294" t="s">
        <v>1383</v>
      </c>
      <c r="D670" s="1294" t="s">
        <v>3</v>
      </c>
      <c r="E670" s="1292">
        <f t="shared" si="22"/>
        <v>1.4000000000000001</v>
      </c>
      <c r="F670" s="1292">
        <f>IF($D670="Trigger",VLOOKUP($C670,'Upper Cask Welding failures'!$E$516:$H$558,4,FALSE),E670+F669)</f>
        <v>41.990116965520677</v>
      </c>
      <c r="G670" s="862"/>
      <c r="H670" s="1328" t="str">
        <f>IF(D670="operation",VLOOKUP(G670,'Generic Vertical Port Tasks'!C574:D633,2,FALSE),"N/A")</f>
        <v>N/A</v>
      </c>
      <c r="I670" s="1294"/>
      <c r="J670" s="1294"/>
      <c r="K670" s="1294"/>
      <c r="L670" s="1329" t="str">
        <f>IFERROR(INDEX('Upper Cask Movement &amp; Logistics'!$I$24:$O$30,MATCH($J670,'Upper Cask Movement &amp; Logistics'!$H$24:$H$30,0),MATCH($K670,'Upper Cask Movement &amp; Logistics'!$H$24:$H$30,0)),"N/A")</f>
        <v>N/A</v>
      </c>
      <c r="M670" s="1329" t="str">
        <f>IFERROR(VLOOKUP($I670,'Upper Cask Movement &amp; Logistics'!$H$4:$I$8,2,FALSE),"N/A")</f>
        <v>N/A</v>
      </c>
      <c r="N670" s="1330" t="str">
        <f t="shared" si="23"/>
        <v>N/A</v>
      </c>
      <c r="O670" s="1331" t="s">
        <v>1277</v>
      </c>
      <c r="P670" s="1332">
        <f>IF($D670="Logistics",VLOOKUP($O670,'Upper Cask Movement &amp; Logistics'!$C$4:$D$77,2,FALSE),"N/A")</f>
        <v>1.4000000000000001</v>
      </c>
    </row>
    <row r="671" spans="1:16" s="89" customFormat="1" ht="13.3" outlineLevel="1" thickBot="1" x14ac:dyDescent="0.4">
      <c r="A671" s="1224"/>
      <c r="B671" s="3966"/>
      <c r="C671" s="1340" t="s">
        <v>1392</v>
      </c>
      <c r="D671" s="1340" t="s">
        <v>11</v>
      </c>
      <c r="E671" s="1295">
        <f t="shared" si="22"/>
        <v>0</v>
      </c>
      <c r="F671" s="1295">
        <f>IF($D671="Trigger",VLOOKUP($C671,'Upper Cask Welding failures'!$E$516:$H$558,4,FALSE),E671+F670)</f>
        <v>41.990116965520677</v>
      </c>
      <c r="G671" s="839"/>
      <c r="H671" s="1341" t="str">
        <f>IF(D671="operation",VLOOKUP(G671,'Generic Vertical Port Tasks'!C574:D633,2,FALSE),"N/A")</f>
        <v>N/A</v>
      </c>
      <c r="I671" s="1340"/>
      <c r="J671" s="1340"/>
      <c r="K671" s="1340"/>
      <c r="L671" s="1342" t="str">
        <f>IFERROR(INDEX('Upper Cask Movement &amp; Logistics'!$I$24:$O$30,MATCH($J671,'Upper Cask Movement &amp; Logistics'!$H$24:$H$30,0),MATCH($K671,'Upper Cask Movement &amp; Logistics'!$H$24:$H$30,0)),"N/A")</f>
        <v>N/A</v>
      </c>
      <c r="M671" s="1342" t="str">
        <f>IFERROR(VLOOKUP($I671,'Upper Cask Movement &amp; Logistics'!$H$4:$I$8,2,FALSE),"N/A")</f>
        <v>N/A</v>
      </c>
      <c r="N671" s="1343" t="str">
        <f t="shared" si="23"/>
        <v>N/A</v>
      </c>
      <c r="O671" s="1344"/>
      <c r="P671" s="1345" t="str">
        <f>IF($D671="Logistics",VLOOKUP($O671,'Upper Cask Movement &amp; Logistics'!$C$4:$D$77,2,FALSE),"N/A")</f>
        <v>N/A</v>
      </c>
    </row>
    <row r="672" spans="1:16" s="89" customFormat="1" outlineLevel="1" x14ac:dyDescent="0.35">
      <c r="A672" s="1224"/>
      <c r="B672" s="3960" t="s">
        <v>1394</v>
      </c>
      <c r="C672" s="1333" t="s">
        <v>1264</v>
      </c>
      <c r="D672" s="1333" t="s">
        <v>907</v>
      </c>
      <c r="E672" s="1303">
        <f t="shared" si="22"/>
        <v>0</v>
      </c>
      <c r="F672" s="1303">
        <f>IF($D672="Trigger",VLOOKUP($C672,'Upper Cask Welding failures'!$E$516:$H$558,4,FALSE),E672+F671)</f>
        <v>43.554191039594762</v>
      </c>
      <c r="G672" s="1304"/>
      <c r="H672" s="1305" t="str">
        <f>IF(D672="operation",VLOOKUP(G672,'Generic Vertical Port Tasks'!C574:D633,2,FALSE),"N/A")</f>
        <v>N/A</v>
      </c>
      <c r="I672" s="1333"/>
      <c r="J672" s="1333"/>
      <c r="K672" s="1333"/>
      <c r="L672" s="1334" t="str">
        <f>IFERROR(INDEX('Upper Cask Movement &amp; Logistics'!$I$24:$O$30,MATCH($J672,'Upper Cask Movement &amp; Logistics'!$H$24:$H$30,0),MATCH($K672,'Upper Cask Movement &amp; Logistics'!$H$24:$H$30,0)),"N/A")</f>
        <v>N/A</v>
      </c>
      <c r="M672" s="1334" t="str">
        <f>IFERROR(VLOOKUP($I672,'Upper Cask Movement &amp; Logistics'!$H$4:$I$8,2,FALSE),"N/A")</f>
        <v>N/A</v>
      </c>
      <c r="N672" s="1335" t="str">
        <f t="shared" si="23"/>
        <v>N/A</v>
      </c>
      <c r="O672" s="1336"/>
      <c r="P672" s="1337" t="str">
        <f>IF($D672="Logistics",VLOOKUP($O672,'Upper Cask Movement &amp; Logistics'!$C$4:$D$77,2,FALSE),"N/A")</f>
        <v>N/A</v>
      </c>
    </row>
    <row r="673" spans="1:17" s="89" customFormat="1" outlineLevel="1" x14ac:dyDescent="0.35">
      <c r="A673" s="1224"/>
      <c r="B673" s="3968"/>
      <c r="C673" s="1240" t="s">
        <v>1395</v>
      </c>
      <c r="D673" s="1240" t="s">
        <v>3</v>
      </c>
      <c r="E673" s="1241">
        <f t="shared" si="22"/>
        <v>2.3000000000000003</v>
      </c>
      <c r="F673" s="1241">
        <f>IF($D673="Trigger",VLOOKUP($C673,'Upper Cask Welding failures'!$E$516:$H$558,4,FALSE),E673+F672)</f>
        <v>45.85419103959476</v>
      </c>
      <c r="G673" s="1354"/>
      <c r="H673" s="1355" t="str">
        <f>IF(D673="operation",VLOOKUP(G673,'Generic Vertical Port Tasks'!C574:D633,2,FALSE),"N/A")</f>
        <v>N/A</v>
      </c>
      <c r="I673" s="1240"/>
      <c r="J673" s="1240"/>
      <c r="K673" s="1240"/>
      <c r="L673" s="1242" t="str">
        <f>IFERROR(INDEX('Upper Cask Movement &amp; Logistics'!$I$24:$O$30,MATCH($J673,'Upper Cask Movement &amp; Logistics'!$H$24:$H$30,0),MATCH($K673,'Upper Cask Movement &amp; Logistics'!$H$24:$H$30,0)),"N/A")</f>
        <v>N/A</v>
      </c>
      <c r="M673" s="1242" t="str">
        <f>IFERROR(VLOOKUP($I673,'Upper Cask Movement &amp; Logistics'!$H$4:$I$8,2,FALSE),"N/A")</f>
        <v>N/A</v>
      </c>
      <c r="N673" s="1356" t="str">
        <f t="shared" si="23"/>
        <v>N/A</v>
      </c>
      <c r="O673" s="1357" t="s">
        <v>1269</v>
      </c>
      <c r="P673" s="1358">
        <f>IF($D673="Logistics",VLOOKUP($O673,'Upper Cask Movement &amp; Logistics'!$C$4:$D$77,2,FALSE),"N/A")</f>
        <v>2.3000000000000003</v>
      </c>
    </row>
    <row r="674" spans="1:17" s="89" customFormat="1" outlineLevel="1" x14ac:dyDescent="0.35">
      <c r="A674" s="1224"/>
      <c r="B674" s="3968"/>
      <c r="C674" s="1240" t="s">
        <v>1344</v>
      </c>
      <c r="D674" s="1240" t="s">
        <v>778</v>
      </c>
      <c r="E674" s="1241">
        <f t="shared" si="22"/>
        <v>0.69444444444444442</v>
      </c>
      <c r="F674" s="1241">
        <f>IF($D674="Trigger",VLOOKUP($C674,'Upper Cask Welding failures'!$E$516:$H$558,4,FALSE),E674+F673)</f>
        <v>46.548635484039202</v>
      </c>
      <c r="G674" s="1354"/>
      <c r="H674" s="1355" t="str">
        <f>IF(D674="operation",VLOOKUP(G674,'Generic Vertical Port Tasks'!C574:D633,2,FALSE),"N/A")</f>
        <v>N/A</v>
      </c>
      <c r="I674" s="1240" t="s">
        <v>1789</v>
      </c>
      <c r="J674" s="1240" t="s">
        <v>901</v>
      </c>
      <c r="K674" s="1240" t="s">
        <v>831</v>
      </c>
      <c r="L674" s="1242">
        <f>IFERROR(INDEX('Upper Cask Movement &amp; Logistics'!$I$24:$O$30,MATCH($J674,'Upper Cask Movement &amp; Logistics'!$H$24:$H$30,0),MATCH($K674,'Upper Cask Movement &amp; Logistics'!$H$24:$H$30,0)),"N/A")</f>
        <v>50</v>
      </c>
      <c r="M674" s="1242">
        <f>IFERROR(VLOOKUP($I674,'Upper Cask Movement &amp; Logistics'!$H$4:$I$8,2,FALSE),"N/A")</f>
        <v>0.02</v>
      </c>
      <c r="N674" s="1356">
        <f t="shared" si="23"/>
        <v>0.69444444444444442</v>
      </c>
      <c r="O674" s="1357"/>
      <c r="P674" s="1358" t="str">
        <f>IF($D674="Logistics",VLOOKUP($O674,'Upper Cask Movement &amp; Logistics'!$C$4:$D$77,2,FALSE),"N/A")</f>
        <v>N/A</v>
      </c>
    </row>
    <row r="675" spans="1:17" s="89" customFormat="1" outlineLevel="1" x14ac:dyDescent="0.35">
      <c r="A675" s="1224"/>
      <c r="B675" s="3968"/>
      <c r="C675" s="1240" t="s">
        <v>1396</v>
      </c>
      <c r="D675" s="1240" t="s">
        <v>3</v>
      </c>
      <c r="E675" s="1241">
        <f t="shared" si="22"/>
        <v>0.68</v>
      </c>
      <c r="F675" s="1241">
        <f>IF($D675="Trigger",VLOOKUP($C675,'Upper Cask Welding failures'!$E$516:$H$558,4,FALSE),E675+F674)</f>
        <v>47.228635484039202</v>
      </c>
      <c r="G675" s="1354"/>
      <c r="H675" s="1355" t="str">
        <f>IF(D675="operation",VLOOKUP(G675,'Generic Vertical Port Tasks'!C574:D633,2,FALSE),"N/A")</f>
        <v>N/A</v>
      </c>
      <c r="I675" s="1240"/>
      <c r="J675" s="1240"/>
      <c r="K675" s="1240"/>
      <c r="L675" s="1242" t="str">
        <f>IFERROR(INDEX('Upper Cask Movement &amp; Logistics'!$I$24:$O$30,MATCH($J675,'Upper Cask Movement &amp; Logistics'!$H$24:$H$30,0),MATCH($K675,'Upper Cask Movement &amp; Logistics'!$H$24:$H$30,0)),"N/A")</f>
        <v>N/A</v>
      </c>
      <c r="M675" s="1242" t="str">
        <f>IFERROR(VLOOKUP($I675,'Upper Cask Movement &amp; Logistics'!$H$4:$I$8,2,FALSE),"N/A")</f>
        <v>N/A</v>
      </c>
      <c r="N675" s="1356" t="str">
        <f t="shared" si="23"/>
        <v>N/A</v>
      </c>
      <c r="O675" s="1357" t="s">
        <v>1213</v>
      </c>
      <c r="P675" s="1358">
        <f>IF($D675="Logistics",VLOOKUP($O675,'Upper Cask Movement &amp; Logistics'!$C$4:$D$77,2,FALSE),"N/A")</f>
        <v>0.68</v>
      </c>
    </row>
    <row r="676" spans="1:17" s="89" customFormat="1" outlineLevel="1" x14ac:dyDescent="0.35">
      <c r="A676" s="1224"/>
      <c r="B676" s="3961"/>
      <c r="C676" s="1243" t="s">
        <v>1340</v>
      </c>
      <c r="D676" s="1243" t="s">
        <v>778</v>
      </c>
      <c r="E676" s="1244">
        <f t="shared" si="22"/>
        <v>0.23148148148148148</v>
      </c>
      <c r="F676" s="1244">
        <f>IF($D676="Trigger",VLOOKUP($C676,'Upper Cask Welding failures'!$E$516:$H$558,4,FALSE),E676+F675)</f>
        <v>47.460116965520683</v>
      </c>
      <c r="G676" s="1309"/>
      <c r="H676" s="1310" t="str">
        <f>IF(D676="operation",VLOOKUP(G676,'Generic Vertical Port Tasks'!C574:D633,2,FALSE),"N/A")</f>
        <v>N/A</v>
      </c>
      <c r="I676" s="1243" t="s">
        <v>2501</v>
      </c>
      <c r="J676" s="1243" t="s">
        <v>831</v>
      </c>
      <c r="K676" s="1243" t="s">
        <v>901</v>
      </c>
      <c r="L676" s="1245">
        <f>IFERROR(INDEX('Upper Cask Movement &amp; Logistics'!$I$24:$O$30,MATCH($J676,'Upper Cask Movement &amp; Logistics'!$H$24:$H$30,0),MATCH($K676,'Upper Cask Movement &amp; Logistics'!$H$24:$H$30,0)),"N/A")</f>
        <v>50</v>
      </c>
      <c r="M676" s="1245">
        <f>IFERROR(VLOOKUP($I676,'Upper Cask Movement &amp; Logistics'!$H$4:$I$8,2,FALSE),"N/A")</f>
        <v>0.06</v>
      </c>
      <c r="N676" s="1311">
        <f t="shared" si="23"/>
        <v>0.23148148148148148</v>
      </c>
      <c r="O676" s="1312"/>
      <c r="P676" s="1313" t="str">
        <f>IF($D676="Logistics",VLOOKUP($O676,'Upper Cask Movement &amp; Logistics'!$C$4:$D$77,2,FALSE),"N/A")</f>
        <v>N/A</v>
      </c>
    </row>
    <row r="677" spans="1:17" s="89" customFormat="1" outlineLevel="1" x14ac:dyDescent="0.35">
      <c r="A677" s="1224"/>
      <c r="B677" s="3961"/>
      <c r="C677" s="1243" t="s">
        <v>1391</v>
      </c>
      <c r="D677" s="1243" t="s">
        <v>3</v>
      </c>
      <c r="E677" s="1244">
        <f t="shared" si="22"/>
        <v>1.4000000000000001</v>
      </c>
      <c r="F677" s="1244">
        <f>IF($D677="Trigger",VLOOKUP($C677,'Upper Cask Welding failures'!$E$516:$H$558,4,FALSE),E677+F676)</f>
        <v>48.860116965520682</v>
      </c>
      <c r="G677" s="1309"/>
      <c r="H677" s="1310" t="str">
        <f>IF(D677="operation",VLOOKUP(G677,'Generic Vertical Port Tasks'!C574:D633,2,FALSE),"N/A")</f>
        <v>N/A</v>
      </c>
      <c r="I677" s="1243"/>
      <c r="J677" s="1243"/>
      <c r="K677" s="1243"/>
      <c r="L677" s="1245" t="str">
        <f>IFERROR(INDEX('Upper Cask Movement &amp; Logistics'!$I$24:$O$30,MATCH($J677,'Upper Cask Movement &amp; Logistics'!$H$24:$H$30,0),MATCH($K677,'Upper Cask Movement &amp; Logistics'!$H$24:$H$30,0)),"N/A")</f>
        <v>N/A</v>
      </c>
      <c r="M677" s="1245" t="str">
        <f>IFERROR(VLOOKUP($I677,'Upper Cask Movement &amp; Logistics'!$H$4:$I$8,2,FALSE),"N/A")</f>
        <v>N/A</v>
      </c>
      <c r="N677" s="1311" t="str">
        <f t="shared" si="23"/>
        <v>N/A</v>
      </c>
      <c r="O677" s="1312" t="s">
        <v>1277</v>
      </c>
      <c r="P677" s="1313">
        <f>IF($D677="Logistics",VLOOKUP($O677,'Upper Cask Movement &amp; Logistics'!$C$4:$D$77,2,FALSE),"N/A")</f>
        <v>1.4000000000000001</v>
      </c>
    </row>
    <row r="678" spans="1:17" s="89" customFormat="1" ht="13.3" outlineLevel="1" thickBot="1" x14ac:dyDescent="0.4">
      <c r="A678" s="1224"/>
      <c r="B678" s="3963"/>
      <c r="C678" s="1314" t="s">
        <v>1394</v>
      </c>
      <c r="D678" s="1314" t="s">
        <v>11</v>
      </c>
      <c r="E678" s="1316">
        <f t="shared" si="22"/>
        <v>0</v>
      </c>
      <c r="F678" s="1316">
        <f>IF($D678="Trigger",VLOOKUP($C678,'Upper Cask Welding failures'!$E$516:$H$558,4,FALSE),E678+F677)</f>
        <v>48.860116965520682</v>
      </c>
      <c r="G678" s="1317"/>
      <c r="H678" s="1318" t="str">
        <f>IF(D678="operation",VLOOKUP(G678,'Generic Vertical Port Tasks'!C574:D633,2,FALSE),"N/A")</f>
        <v>N/A</v>
      </c>
      <c r="I678" s="1314"/>
      <c r="J678" s="1314"/>
      <c r="K678" s="1314"/>
      <c r="L678" s="1319" t="str">
        <f>IFERROR(INDEX('Upper Cask Movement &amp; Logistics'!$I$24:$O$30,MATCH($J678,'Upper Cask Movement &amp; Logistics'!$H$24:$H$30,0),MATCH($K678,'Upper Cask Movement &amp; Logistics'!$H$24:$H$30,0)),"N/A")</f>
        <v>N/A</v>
      </c>
      <c r="M678" s="1319" t="str">
        <f>IFERROR(VLOOKUP($I678,'Upper Cask Movement &amp; Logistics'!$H$4:$I$8,2,FALSE),"N/A")</f>
        <v>N/A</v>
      </c>
      <c r="N678" s="1320" t="str">
        <f t="shared" si="23"/>
        <v>N/A</v>
      </c>
      <c r="O678" s="1321"/>
      <c r="P678" s="1322" t="str">
        <f>IF($D678="Logistics",VLOOKUP($O678,'Upper Cask Movement &amp; Logistics'!$C$4:$D$77,2,FALSE),"N/A")</f>
        <v>N/A</v>
      </c>
    </row>
    <row r="679" spans="1:17" s="89" customFormat="1" outlineLevel="1" x14ac:dyDescent="0.35">
      <c r="A679" s="1224"/>
      <c r="B679" s="3964" t="s">
        <v>1397</v>
      </c>
      <c r="C679" s="1324" t="s">
        <v>1265</v>
      </c>
      <c r="D679" s="1324" t="s">
        <v>907</v>
      </c>
      <c r="E679" s="1291">
        <f t="shared" si="22"/>
        <v>0</v>
      </c>
      <c r="F679" s="1291">
        <f>IF($D679="Trigger",VLOOKUP($C679,'Upper Cask Welding failures'!$E$516:$H$558,4,FALSE),E679+F678)</f>
        <v>50.424191039594767</v>
      </c>
      <c r="G679" s="825"/>
      <c r="H679" s="1323" t="str">
        <f>IF(D679="operation",VLOOKUP(G679,'Generic Vertical Port Tasks'!C575:D637,2,FALSE),"N/A")</f>
        <v>N/A</v>
      </c>
      <c r="I679" s="1324"/>
      <c r="J679" s="1324"/>
      <c r="K679" s="1324"/>
      <c r="L679" s="1325" t="str">
        <f>IFERROR(INDEX('Upper Cask Movement &amp; Logistics'!$I$24:$O$30,MATCH($J679,'Upper Cask Movement &amp; Logistics'!$H$24:$H$30,0),MATCH($K679,'Upper Cask Movement &amp; Logistics'!$H$24:$H$30,0)),"N/A")</f>
        <v>N/A</v>
      </c>
      <c r="M679" s="1325" t="str">
        <f>IFERROR(VLOOKUP($I679,'Upper Cask Movement &amp; Logistics'!$H$4:$I$8,2,FALSE),"N/A")</f>
        <v>N/A</v>
      </c>
      <c r="N679" s="1326" t="str">
        <f t="shared" si="23"/>
        <v>N/A</v>
      </c>
      <c r="O679" s="1327"/>
      <c r="P679" s="824" t="str">
        <f>IF($D679="Logistics",VLOOKUP($O679,'Upper Cask Movement &amp; Logistics'!$C$4:$D$77,2,FALSE),"N/A")</f>
        <v>N/A</v>
      </c>
      <c r="Q679" s="88"/>
    </row>
    <row r="680" spans="1:17" s="89" customFormat="1" outlineLevel="1" x14ac:dyDescent="0.35">
      <c r="A680" s="1224"/>
      <c r="B680" s="3969"/>
      <c r="C680" s="1362" t="s">
        <v>1268</v>
      </c>
      <c r="D680" s="1362" t="s">
        <v>3</v>
      </c>
      <c r="E680" s="1363">
        <f t="shared" si="22"/>
        <v>2.3000000000000003</v>
      </c>
      <c r="F680" s="1363">
        <f>IF($D680="Trigger",VLOOKUP($C680,'Upper Cask Welding failures'!$E$516:$H$558,4,FALSE),E680+F679)</f>
        <v>52.724191039594764</v>
      </c>
      <c r="G680" s="1364"/>
      <c r="H680" s="1365" t="str">
        <f>IF(D680="operation",VLOOKUP(G680,'Generic Vertical Port Tasks'!C576:D638,2,FALSE),"N/A")</f>
        <v>N/A</v>
      </c>
      <c r="I680" s="1362"/>
      <c r="J680" s="1362"/>
      <c r="K680" s="1362"/>
      <c r="L680" s="1366" t="str">
        <f>IFERROR(INDEX('Upper Cask Movement &amp; Logistics'!$I$24:$O$30,MATCH($J680,'Upper Cask Movement &amp; Logistics'!$H$24:$H$30,0),MATCH($K680,'Upper Cask Movement &amp; Logistics'!$H$24:$H$30,0)),"N/A")</f>
        <v>N/A</v>
      </c>
      <c r="M680" s="1366" t="str">
        <f>IFERROR(VLOOKUP($I680,'Upper Cask Movement &amp; Logistics'!$H$4:$I$8,2,FALSE),"N/A")</f>
        <v>N/A</v>
      </c>
      <c r="N680" s="1367" t="str">
        <f t="shared" si="23"/>
        <v>N/A</v>
      </c>
      <c r="O680" s="1368" t="s">
        <v>1269</v>
      </c>
      <c r="P680" s="861">
        <f>IF($D680="Logistics",VLOOKUP($O680,'Upper Cask Movement &amp; Logistics'!$C$4:$D$77,2,FALSE),"N/A")</f>
        <v>2.3000000000000003</v>
      </c>
      <c r="Q680" s="88"/>
    </row>
    <row r="681" spans="1:17" s="89" customFormat="1" outlineLevel="1" x14ac:dyDescent="0.35">
      <c r="A681" s="1224"/>
      <c r="B681" s="3969"/>
      <c r="C681" s="1362" t="s">
        <v>1370</v>
      </c>
      <c r="D681" s="1362" t="s">
        <v>778</v>
      </c>
      <c r="E681" s="1363">
        <f t="shared" si="22"/>
        <v>0.69444444444444442</v>
      </c>
      <c r="F681" s="1363">
        <f>IF($D681="Trigger",VLOOKUP($C681,'Upper Cask Welding failures'!$E$516:$H$558,4,FALSE),E681+F680)</f>
        <v>53.418635484039207</v>
      </c>
      <c r="G681" s="1364"/>
      <c r="H681" s="1365" t="str">
        <f>IF(D681="operation",VLOOKUP(G681,'Generic Vertical Port Tasks'!C578:D639,2,FALSE),"N/A")</f>
        <v>N/A</v>
      </c>
      <c r="I681" s="1362" t="s">
        <v>1789</v>
      </c>
      <c r="J681" s="1362" t="s">
        <v>901</v>
      </c>
      <c r="K681" s="1362" t="s">
        <v>831</v>
      </c>
      <c r="L681" s="1366">
        <f>IFERROR(INDEX('Upper Cask Movement &amp; Logistics'!$I$24:$O$30,MATCH($J681,'Upper Cask Movement &amp; Logistics'!$H$24:$H$30,0),MATCH($K681,'Upper Cask Movement &amp; Logistics'!$H$24:$H$30,0)),"N/A")</f>
        <v>50</v>
      </c>
      <c r="M681" s="1366">
        <f>IFERROR(VLOOKUP($I681,'Upper Cask Movement &amp; Logistics'!$H$4:$I$8,2,FALSE),"N/A")</f>
        <v>0.02</v>
      </c>
      <c r="N681" s="1367">
        <f t="shared" si="23"/>
        <v>0.69444444444444442</v>
      </c>
      <c r="O681" s="1368"/>
      <c r="P681" s="861" t="str">
        <f>IF($D681="Logistics",VLOOKUP($O681,'Upper Cask Movement &amp; Logistics'!$C$4:$D$77,2,FALSE),"N/A")</f>
        <v>N/A</v>
      </c>
      <c r="Q681" s="88"/>
    </row>
    <row r="682" spans="1:17" s="89" customFormat="1" outlineLevel="1" x14ac:dyDescent="0.35">
      <c r="A682" s="1224"/>
      <c r="B682" s="3969"/>
      <c r="C682" s="1362" t="s">
        <v>1398</v>
      </c>
      <c r="D682" s="1362" t="s">
        <v>3</v>
      </c>
      <c r="E682" s="1363">
        <f t="shared" si="22"/>
        <v>0.68</v>
      </c>
      <c r="F682" s="1363">
        <f>IF($D682="Trigger",VLOOKUP($C682,'Upper Cask Welding failures'!$E$516:$H$558,4,FALSE),E682+F681)</f>
        <v>54.098635484039207</v>
      </c>
      <c r="G682" s="1364"/>
      <c r="H682" s="1365" t="str">
        <f>IF(D682="operation",VLOOKUP(G682,'Generic Vertical Port Tasks'!C579:D640,2,FALSE),"N/A")</f>
        <v>N/A</v>
      </c>
      <c r="I682" s="1362"/>
      <c r="J682" s="1362"/>
      <c r="K682" s="1362"/>
      <c r="L682" s="1366" t="str">
        <f>IFERROR(INDEX('Upper Cask Movement &amp; Logistics'!$I$24:$O$30,MATCH($J682,'Upper Cask Movement &amp; Logistics'!$H$24:$H$30,0),MATCH($K682,'Upper Cask Movement &amp; Logistics'!$H$24:$H$30,0)),"N/A")</f>
        <v>N/A</v>
      </c>
      <c r="M682" s="1366" t="str">
        <f>IFERROR(VLOOKUP($I682,'Upper Cask Movement &amp; Logistics'!$H$4:$I$8,2,FALSE),"N/A")</f>
        <v>N/A</v>
      </c>
      <c r="N682" s="1367" t="str">
        <f t="shared" si="23"/>
        <v>N/A</v>
      </c>
      <c r="O682" s="1368" t="s">
        <v>1213</v>
      </c>
      <c r="P682" s="861">
        <f>IF($D682="Logistics",VLOOKUP($O682,'Upper Cask Movement &amp; Logistics'!$C$4:$D$77,2,FALSE),"N/A")</f>
        <v>0.68</v>
      </c>
      <c r="Q682" s="88"/>
    </row>
    <row r="683" spans="1:17" s="89" customFormat="1" outlineLevel="1" x14ac:dyDescent="0.35">
      <c r="A683" s="1224"/>
      <c r="B683" s="3965"/>
      <c r="C683" s="1294" t="s">
        <v>1366</v>
      </c>
      <c r="D683" s="1294" t="s">
        <v>778</v>
      </c>
      <c r="E683" s="1292">
        <f t="shared" si="22"/>
        <v>0.23148148148148148</v>
      </c>
      <c r="F683" s="1292">
        <f>IF($D683="Trigger",VLOOKUP($C683,'Upper Cask Welding failures'!$E$516:$H$558,4,FALSE),E683+F682)</f>
        <v>54.330116965520688</v>
      </c>
      <c r="G683" s="862"/>
      <c r="H683" s="1328" t="str">
        <f>IF(D683="operation",VLOOKUP(G683,'Generic Vertical Port Tasks'!C591:D640,2,FALSE),"N/A")</f>
        <v>N/A</v>
      </c>
      <c r="I683" s="1294" t="s">
        <v>2501</v>
      </c>
      <c r="J683" s="1294" t="s">
        <v>831</v>
      </c>
      <c r="K683" s="1294" t="s">
        <v>901</v>
      </c>
      <c r="L683" s="1329">
        <f>IFERROR(INDEX('Upper Cask Movement &amp; Logistics'!$I$24:$O$30,MATCH($J683,'Upper Cask Movement &amp; Logistics'!$H$24:$H$30,0),MATCH($K683,'Upper Cask Movement &amp; Logistics'!$H$24:$H$30,0)),"N/A")</f>
        <v>50</v>
      </c>
      <c r="M683" s="1329">
        <f>IFERROR(VLOOKUP($I683,'Upper Cask Movement &amp; Logistics'!$H$4:$I$8,2,FALSE),"N/A")</f>
        <v>0.06</v>
      </c>
      <c r="N683" s="1330">
        <f t="shared" si="23"/>
        <v>0.23148148148148148</v>
      </c>
      <c r="O683" s="1331"/>
      <c r="P683" s="1332" t="str">
        <f>IF($D683="Logistics",VLOOKUP($O683,'Upper Cask Movement &amp; Logistics'!$C$4:$D$77,2,FALSE),"N/A")</f>
        <v>N/A</v>
      </c>
    </row>
    <row r="684" spans="1:17" s="89" customFormat="1" outlineLevel="1" x14ac:dyDescent="0.35">
      <c r="A684" s="1224"/>
      <c r="B684" s="3965"/>
      <c r="C684" s="1294" t="s">
        <v>1383</v>
      </c>
      <c r="D684" s="1294" t="s">
        <v>3</v>
      </c>
      <c r="E684" s="1292">
        <f t="shared" si="22"/>
        <v>1.4000000000000001</v>
      </c>
      <c r="F684" s="1292">
        <f>IF($D684="Trigger",VLOOKUP($C684,'Upper Cask Welding failures'!$E$516:$H$558,4,FALSE),E684+F683)</f>
        <v>55.730116965520686</v>
      </c>
      <c r="G684" s="862"/>
      <c r="H684" s="1328" t="str">
        <f>IF(D684="operation",VLOOKUP(G684,'Generic Vertical Port Tasks'!C634:D641,2,FALSE),"N/A")</f>
        <v>N/A</v>
      </c>
      <c r="I684" s="1294"/>
      <c r="J684" s="1294"/>
      <c r="K684" s="1294"/>
      <c r="L684" s="1329" t="str">
        <f>IFERROR(INDEX('Upper Cask Movement &amp; Logistics'!$I$24:$O$30,MATCH($J684,'Upper Cask Movement &amp; Logistics'!$H$24:$H$30,0),MATCH($K684,'Upper Cask Movement &amp; Logistics'!$H$24:$H$30,0)),"N/A")</f>
        <v>N/A</v>
      </c>
      <c r="M684" s="1329" t="str">
        <f>IFERROR(VLOOKUP($I684,'Upper Cask Movement &amp; Logistics'!$H$4:$I$8,2,FALSE),"N/A")</f>
        <v>N/A</v>
      </c>
      <c r="N684" s="1330" t="str">
        <f t="shared" si="23"/>
        <v>N/A</v>
      </c>
      <c r="O684" s="1331" t="s">
        <v>1277</v>
      </c>
      <c r="P684" s="1332">
        <f>IF($D684="Logistics",VLOOKUP($O684,'Upper Cask Movement &amp; Logistics'!$C$4:$D$77,2,FALSE),"N/A")</f>
        <v>1.4000000000000001</v>
      </c>
    </row>
    <row r="685" spans="1:17" s="89" customFormat="1" ht="13.3" outlineLevel="1" thickBot="1" x14ac:dyDescent="0.4">
      <c r="A685" s="1224"/>
      <c r="B685" s="3966"/>
      <c r="C685" s="1340" t="s">
        <v>1397</v>
      </c>
      <c r="D685" s="1340" t="s">
        <v>11</v>
      </c>
      <c r="E685" s="1295">
        <f t="shared" si="22"/>
        <v>0</v>
      </c>
      <c r="F685" s="1295">
        <f>IF($D685="Trigger",VLOOKUP($C685,'Upper Cask Welding failures'!$E$516:$H$558,4,FALSE),E685+F684)</f>
        <v>55.730116965520686</v>
      </c>
      <c r="G685" s="839"/>
      <c r="H685" s="1341" t="str">
        <f>IF(D685="operation",VLOOKUP(G685,'Generic Vertical Port Tasks'!C634:D646,2,FALSE),"N/A")</f>
        <v>N/A</v>
      </c>
      <c r="I685" s="1340"/>
      <c r="J685" s="1340"/>
      <c r="K685" s="1340"/>
      <c r="L685" s="1342" t="str">
        <f>IFERROR(INDEX('Upper Cask Movement &amp; Logistics'!$I$24:$O$30,MATCH($J685,'Upper Cask Movement &amp; Logistics'!$H$24:$H$30,0),MATCH($K685,'Upper Cask Movement &amp; Logistics'!$H$24:$H$30,0)),"N/A")</f>
        <v>N/A</v>
      </c>
      <c r="M685" s="1342" t="str">
        <f>IFERROR(VLOOKUP($I685,'Upper Cask Movement &amp; Logistics'!$H$4:$I$8,2,FALSE),"N/A")</f>
        <v>N/A</v>
      </c>
      <c r="N685" s="1343" t="str">
        <f t="shared" si="23"/>
        <v>N/A</v>
      </c>
      <c r="O685" s="1344"/>
      <c r="P685" s="1345" t="str">
        <f>IF($D685="Logistics",VLOOKUP($O685,'Upper Cask Movement &amp; Logistics'!$C$4:$D$77,2,FALSE),"N/A")</f>
        <v>N/A</v>
      </c>
    </row>
    <row r="686" spans="1:17" s="89" customFormat="1" outlineLevel="1" x14ac:dyDescent="0.35">
      <c r="A686" s="1224"/>
      <c r="B686" s="3960" t="s">
        <v>1399</v>
      </c>
      <c r="C686" s="1333" t="s">
        <v>1266</v>
      </c>
      <c r="D686" s="1333" t="s">
        <v>907</v>
      </c>
      <c r="E686" s="1303">
        <f t="shared" si="22"/>
        <v>0</v>
      </c>
      <c r="F686" s="1549">
        <f>IF($D686="Trigger",VLOOKUP($C686,'Upper Cask Welding failures'!$E$516:$H$558,4,FALSE),E686+F685)</f>
        <v>57.294191039594772</v>
      </c>
      <c r="G686" s="1304"/>
      <c r="H686" s="1305" t="str">
        <f>IF(D686="operation",VLOOKUP(G686,'Generic Vertical Port Tasks'!C607:D650,2,FALSE),"N/A")</f>
        <v>N/A</v>
      </c>
      <c r="I686" s="1333"/>
      <c r="J686" s="1333"/>
      <c r="K686" s="1333"/>
      <c r="L686" s="1334" t="str">
        <f>IFERROR(INDEX('Upper Cask Movement &amp; Logistics'!$I$24:$O$30,MATCH($J686,'Upper Cask Movement &amp; Logistics'!$H$24:$H$30,0),MATCH($K686,'Upper Cask Movement &amp; Logistics'!$H$24:$H$30,0)),"N/A")</f>
        <v>N/A</v>
      </c>
      <c r="M686" s="1334" t="str">
        <f>IFERROR(VLOOKUP($I686,'Upper Cask Movement &amp; Logistics'!$H$4:$I$8,2,FALSE),"N/A")</f>
        <v>N/A</v>
      </c>
      <c r="N686" s="1335" t="str">
        <f t="shared" si="23"/>
        <v>N/A</v>
      </c>
      <c r="O686" s="1336"/>
      <c r="P686" s="1337" t="str">
        <f>IF($D686="Logistics",VLOOKUP($O686,'Upper Cask Movement &amp; Logistics'!$C$4:$D$77,2,FALSE),"N/A")</f>
        <v>N/A</v>
      </c>
    </row>
    <row r="687" spans="1:17" s="89" customFormat="1" outlineLevel="1" x14ac:dyDescent="0.35">
      <c r="A687" s="1224"/>
      <c r="B687" s="3968"/>
      <c r="C687" s="1240" t="s">
        <v>1344</v>
      </c>
      <c r="D687" s="1240" t="s">
        <v>778</v>
      </c>
      <c r="E687" s="1241">
        <f t="shared" si="22"/>
        <v>0.34722222222222221</v>
      </c>
      <c r="F687" s="1248">
        <f>IF($D687="Trigger",VLOOKUP($C687,'Upper Cask Welding failures'!$E$516:$H$558,4,FALSE),E687+F686)</f>
        <v>57.641413261816993</v>
      </c>
      <c r="G687" s="1354"/>
      <c r="H687" s="1355" t="str">
        <f>IF(D687="operation",VLOOKUP(G687,'Generic Vertical Port Tasks'!C607:D650,2,FALSE),"N/A")</f>
        <v>N/A</v>
      </c>
      <c r="I687" s="1240" t="s">
        <v>1789</v>
      </c>
      <c r="J687" s="1240" t="s">
        <v>901</v>
      </c>
      <c r="K687" s="1240" t="s">
        <v>858</v>
      </c>
      <c r="L687" s="1242">
        <f>IFERROR(INDEX('Upper Cask Movement &amp; Logistics'!$I$24:$O$30,MATCH($J687,'Upper Cask Movement &amp; Logistics'!$H$24:$H$30,0),MATCH($K687,'Upper Cask Movement &amp; Logistics'!$H$24:$H$30,0)),"N/A")</f>
        <v>25</v>
      </c>
      <c r="M687" s="1242">
        <f>IFERROR(VLOOKUP($I687,'Upper Cask Movement &amp; Logistics'!$H$4:$I$8,2,FALSE),"N/A")</f>
        <v>0.02</v>
      </c>
      <c r="N687" s="1356">
        <f t="shared" si="23"/>
        <v>0.34722222222222221</v>
      </c>
      <c r="O687" s="1357"/>
      <c r="P687" s="1358" t="str">
        <f>IF($D687="Logistics",VLOOKUP($O687,'Upper Cask Movement &amp; Logistics'!$C$4:$D$77,2,FALSE),"N/A")</f>
        <v>N/A</v>
      </c>
    </row>
    <row r="688" spans="1:17" s="89" customFormat="1" outlineLevel="1" x14ac:dyDescent="0.35">
      <c r="A688" s="1224"/>
      <c r="B688" s="3968"/>
      <c r="C688" s="1240" t="s">
        <v>1400</v>
      </c>
      <c r="D688" s="1240" t="s">
        <v>3</v>
      </c>
      <c r="E688" s="1241">
        <f t="shared" si="22"/>
        <v>0.68</v>
      </c>
      <c r="F688" s="1241">
        <f>IF($D688="Trigger",VLOOKUP($C688,'Upper Cask Welding failures'!$E$516:$H$558,4,FALSE),E688+F687)</f>
        <v>58.321413261816993</v>
      </c>
      <c r="G688" s="1354"/>
      <c r="H688" s="1355" t="str">
        <f>IF(D688="operation",VLOOKUP(G688,'Generic Vertical Port Tasks'!C607:D650,2,FALSE),"N/A")</f>
        <v>N/A</v>
      </c>
      <c r="I688" s="1240"/>
      <c r="J688" s="1240"/>
      <c r="K688" s="1240"/>
      <c r="L688" s="1242" t="str">
        <f>IFERROR(INDEX('Upper Cask Movement &amp; Logistics'!$I$24:$O$30,MATCH($J688,'Upper Cask Movement &amp; Logistics'!$H$24:$H$30,0),MATCH($K688,'Upper Cask Movement &amp; Logistics'!$H$24:$H$30,0)),"N/A")</f>
        <v>N/A</v>
      </c>
      <c r="M688" s="1242" t="str">
        <f>IFERROR(VLOOKUP($I688,'Upper Cask Movement &amp; Logistics'!$H$4:$I$8,2,FALSE),"N/A")</f>
        <v>N/A</v>
      </c>
      <c r="N688" s="1356" t="str">
        <f t="shared" si="23"/>
        <v>N/A</v>
      </c>
      <c r="O688" s="1357" t="s">
        <v>1213</v>
      </c>
      <c r="P688" s="1358">
        <f>IF($D688="Logistics",VLOOKUP($O688,'Upper Cask Movement &amp; Logistics'!$C$4:$D$77,2,FALSE),"N/A")</f>
        <v>0.68</v>
      </c>
    </row>
    <row r="689" spans="1:16" s="89" customFormat="1" outlineLevel="1" x14ac:dyDescent="0.35">
      <c r="A689" s="1224"/>
      <c r="B689" s="3961"/>
      <c r="C689" s="1243" t="s">
        <v>1340</v>
      </c>
      <c r="D689" s="1243" t="s">
        <v>778</v>
      </c>
      <c r="E689" s="1244">
        <f t="shared" si="22"/>
        <v>0.23148148148148148</v>
      </c>
      <c r="F689" s="1244">
        <f>IF($D689="Trigger",VLOOKUP($C689,'Upper Cask Welding failures'!$E$516:$H$558,4,FALSE),E689+F688)</f>
        <v>58.552894743298474</v>
      </c>
      <c r="G689" s="1309"/>
      <c r="H689" s="1310" t="str">
        <f>IF(D689="operation",VLOOKUP(G689,'Generic Vertical Port Tasks'!C607:D650,2,FALSE),"N/A")</f>
        <v>N/A</v>
      </c>
      <c r="I689" s="1243" t="s">
        <v>2501</v>
      </c>
      <c r="J689" s="1243" t="s">
        <v>831</v>
      </c>
      <c r="K689" s="1243" t="s">
        <v>901</v>
      </c>
      <c r="L689" s="1245">
        <f>IFERROR(INDEX('Upper Cask Movement &amp; Logistics'!$I$24:$O$30,MATCH($J689,'Upper Cask Movement &amp; Logistics'!$H$24:$H$30,0),MATCH($K689,'Upper Cask Movement &amp; Logistics'!$H$24:$H$30,0)),"N/A")</f>
        <v>50</v>
      </c>
      <c r="M689" s="1245">
        <f>IFERROR(VLOOKUP($I689,'Upper Cask Movement &amp; Logistics'!$H$4:$I$8,2,FALSE),"N/A")</f>
        <v>0.06</v>
      </c>
      <c r="N689" s="1311">
        <f t="shared" si="23"/>
        <v>0.23148148148148148</v>
      </c>
      <c r="O689" s="1312"/>
      <c r="P689" s="1313" t="str">
        <f>IF($D689="Logistics",VLOOKUP($O689,'Upper Cask Movement &amp; Logistics'!$C$4:$D$77,2,FALSE),"N/A")</f>
        <v>N/A</v>
      </c>
    </row>
    <row r="690" spans="1:16" s="89" customFormat="1" outlineLevel="1" x14ac:dyDescent="0.35">
      <c r="A690" s="1224"/>
      <c r="B690" s="3961"/>
      <c r="C690" s="1243" t="s">
        <v>1391</v>
      </c>
      <c r="D690" s="1243" t="s">
        <v>3</v>
      </c>
      <c r="E690" s="1244">
        <f t="shared" si="22"/>
        <v>1.4000000000000001</v>
      </c>
      <c r="F690" s="1244">
        <f>IF($D690="Trigger",VLOOKUP($C690,'Upper Cask Welding failures'!$E$516:$H$558,4,FALSE),E690+F689)</f>
        <v>59.952894743298472</v>
      </c>
      <c r="G690" s="1309"/>
      <c r="H690" s="1310" t="str">
        <f>IF(D690="operation",VLOOKUP(G690,'Generic Vertical Port Tasks'!C607:D650,2,FALSE),"N/A")</f>
        <v>N/A</v>
      </c>
      <c r="I690" s="1243"/>
      <c r="J690" s="1243"/>
      <c r="K690" s="1243"/>
      <c r="L690" s="1245" t="str">
        <f>IFERROR(INDEX('Upper Cask Movement &amp; Logistics'!$I$24:$O$30,MATCH($J690,'Upper Cask Movement &amp; Logistics'!$H$24:$H$30,0),MATCH($K690,'Upper Cask Movement &amp; Logistics'!$H$24:$H$30,0)),"N/A")</f>
        <v>N/A</v>
      </c>
      <c r="M690" s="1245" t="str">
        <f>IFERROR(VLOOKUP($I690,'Upper Cask Movement &amp; Logistics'!$H$4:$I$8,2,FALSE),"N/A")</f>
        <v>N/A</v>
      </c>
      <c r="N690" s="1311" t="str">
        <f t="shared" si="23"/>
        <v>N/A</v>
      </c>
      <c r="O690" s="1312" t="s">
        <v>1277</v>
      </c>
      <c r="P690" s="1313">
        <f>IF($D690="Logistics",VLOOKUP($O690,'Upper Cask Movement &amp; Logistics'!$C$4:$D$77,2,FALSE),"N/A")</f>
        <v>1.4000000000000001</v>
      </c>
    </row>
    <row r="691" spans="1:16" s="89" customFormat="1" ht="13.3" outlineLevel="1" thickBot="1" x14ac:dyDescent="0.4">
      <c r="A691" s="1224"/>
      <c r="B691" s="3963"/>
      <c r="C691" s="1314" t="s">
        <v>1399</v>
      </c>
      <c r="D691" s="1314" t="s">
        <v>11</v>
      </c>
      <c r="E691" s="1316">
        <f t="shared" si="22"/>
        <v>0</v>
      </c>
      <c r="F691" s="1316">
        <f>IF($D691="Trigger",VLOOKUP($C691,'Upper Cask Welding failures'!$E$516:$H$558,4,FALSE),E691+F690)</f>
        <v>59.952894743298472</v>
      </c>
      <c r="G691" s="1317"/>
      <c r="H691" s="1318" t="str">
        <f>IF(D691="operation",VLOOKUP(G691,'Generic Vertical Port Tasks'!C607:D650,2,FALSE),"N/A")</f>
        <v>N/A</v>
      </c>
      <c r="I691" s="1314"/>
      <c r="J691" s="1314"/>
      <c r="K691" s="1314"/>
      <c r="L691" s="1319" t="str">
        <f>IFERROR(INDEX('Upper Cask Movement &amp; Logistics'!$I$24:$O$30,MATCH($J691,'Upper Cask Movement &amp; Logistics'!$H$24:$H$30,0),MATCH($K691,'Upper Cask Movement &amp; Logistics'!$H$24:$H$30,0)),"N/A")</f>
        <v>N/A</v>
      </c>
      <c r="M691" s="1319" t="str">
        <f>IFERROR(VLOOKUP($I691,'Upper Cask Movement &amp; Logistics'!$H$4:$I$8,2,FALSE),"N/A")</f>
        <v>N/A</v>
      </c>
      <c r="N691" s="1320" t="str">
        <f t="shared" si="23"/>
        <v>N/A</v>
      </c>
      <c r="O691" s="1321"/>
      <c r="P691" s="1322" t="str">
        <f>IF($D691="Logistics",VLOOKUP($O691,'Upper Cask Movement &amp; Logistics'!$C$4:$D$77,2,FALSE),"N/A")</f>
        <v>N/A</v>
      </c>
    </row>
    <row r="692" spans="1:16" s="89" customFormat="1" outlineLevel="1" x14ac:dyDescent="0.35">
      <c r="A692" s="1224"/>
      <c r="B692" s="3964" t="s">
        <v>1401</v>
      </c>
      <c r="C692" s="1324" t="s">
        <v>1530</v>
      </c>
      <c r="D692" s="1324" t="s">
        <v>907</v>
      </c>
      <c r="E692" s="1291">
        <f t="shared" si="22"/>
        <v>0</v>
      </c>
      <c r="F692" s="1291">
        <f>IF($D692="Trigger",VLOOKUP($C692,'Upper Cask Welding failures'!$E$516:$H$558,4,FALSE),E692+F691)</f>
        <v>66.464191039594766</v>
      </c>
      <c r="G692" s="825"/>
      <c r="H692" s="1323" t="str">
        <f>IF(D692="operation",VLOOKUP(G692,'Generic Vertical Port Tasks'!C609:D663,2,FALSE),"N/A")</f>
        <v>N/A</v>
      </c>
      <c r="I692" s="1324"/>
      <c r="J692" s="1324"/>
      <c r="K692" s="1324"/>
      <c r="L692" s="1325" t="str">
        <f>IFERROR(INDEX('Upper Cask Movement &amp; Logistics'!$I$24:$O$30,MATCH($J692,'Upper Cask Movement &amp; Logistics'!$H$24:$H$30,0),MATCH($K692,'Upper Cask Movement &amp; Logistics'!$H$24:$H$30,0)),"N/A")</f>
        <v>N/A</v>
      </c>
      <c r="M692" s="1325" t="str">
        <f>IFERROR(VLOOKUP($I692,'Upper Cask Movement &amp; Logistics'!$H$4:$I$8,2,FALSE),"N/A")</f>
        <v>N/A</v>
      </c>
      <c r="N692" s="1326" t="str">
        <f t="shared" si="23"/>
        <v>N/A</v>
      </c>
      <c r="O692" s="1327"/>
      <c r="P692" s="824" t="str">
        <f>IF($D692="Logistics",VLOOKUP($O692,'Upper Cask Movement &amp; Logistics'!$C$4:$D$77,2,FALSE),"N/A")</f>
        <v>N/A</v>
      </c>
    </row>
    <row r="693" spans="1:16" s="89" customFormat="1" outlineLevel="1" x14ac:dyDescent="0.35">
      <c r="A693" s="1224"/>
      <c r="B693" s="3969"/>
      <c r="C693" s="1362" t="s">
        <v>1268</v>
      </c>
      <c r="D693" s="1362" t="s">
        <v>3</v>
      </c>
      <c r="E693" s="1363">
        <f t="shared" si="22"/>
        <v>2.3000000000000003</v>
      </c>
      <c r="F693" s="1363">
        <f>IF($D693="Trigger",VLOOKUP($C693,'Upper Cask Welding failures'!$E$516:$H$558,4,FALSE),E693+F692)</f>
        <v>68.764191039594763</v>
      </c>
      <c r="G693" s="1364"/>
      <c r="H693" s="1365" t="str">
        <f>IF(D693="operation",VLOOKUP(G693,'Generic Vertical Port Tasks'!C609:D663,2,FALSE),"N/A")</f>
        <v>N/A</v>
      </c>
      <c r="I693" s="1362"/>
      <c r="J693" s="1362"/>
      <c r="K693" s="1362"/>
      <c r="L693" s="1366" t="str">
        <f>IFERROR(INDEX('Upper Cask Movement &amp; Logistics'!$I$24:$O$30,MATCH($J693,'Upper Cask Movement &amp; Logistics'!$H$24:$H$30,0),MATCH($K693,'Upper Cask Movement &amp; Logistics'!$H$24:$H$30,0)),"N/A")</f>
        <v>N/A</v>
      </c>
      <c r="M693" s="1366" t="str">
        <f>IFERROR(VLOOKUP($I693,'Upper Cask Movement &amp; Logistics'!$H$4:$I$8,2,FALSE),"N/A")</f>
        <v>N/A</v>
      </c>
      <c r="N693" s="1367" t="str">
        <f t="shared" si="23"/>
        <v>N/A</v>
      </c>
      <c r="O693" s="1368" t="s">
        <v>1269</v>
      </c>
      <c r="P693" s="861">
        <f>IF($D693="Logistics",VLOOKUP($O693,'Upper Cask Movement &amp; Logistics'!$C$4:$D$77,2,FALSE),"N/A")</f>
        <v>2.3000000000000003</v>
      </c>
    </row>
    <row r="694" spans="1:16" s="89" customFormat="1" outlineLevel="1" x14ac:dyDescent="0.35">
      <c r="A694" s="1224"/>
      <c r="B694" s="3969"/>
      <c r="C694" s="1362" t="s">
        <v>1344</v>
      </c>
      <c r="D694" s="1362" t="s">
        <v>778</v>
      </c>
      <c r="E694" s="1363">
        <f t="shared" si="22"/>
        <v>0.69444444444444442</v>
      </c>
      <c r="F694" s="1363">
        <f>IF($D694="Trigger",VLOOKUP($C694,'Upper Cask Welding failures'!$E$516:$H$558,4,FALSE),E694+F693)</f>
        <v>69.458635484039206</v>
      </c>
      <c r="G694" s="1364"/>
      <c r="H694" s="1365" t="str">
        <f>IF(D694="operation",VLOOKUP(G694,'Generic Vertical Port Tasks'!C609:D663,2,FALSE),"N/A")</f>
        <v>N/A</v>
      </c>
      <c r="I694" s="1362" t="s">
        <v>1789</v>
      </c>
      <c r="J694" s="1362" t="s">
        <v>901</v>
      </c>
      <c r="K694" s="1362" t="s">
        <v>831</v>
      </c>
      <c r="L694" s="1366">
        <f>IFERROR(INDEX('Upper Cask Movement &amp; Logistics'!$I$24:$O$30,MATCH($J694,'Upper Cask Movement &amp; Logistics'!$H$24:$H$30,0),MATCH($K694,'Upper Cask Movement &amp; Logistics'!$H$24:$H$30,0)),"N/A")</f>
        <v>50</v>
      </c>
      <c r="M694" s="1366">
        <f>IFERROR(VLOOKUP($I694,'Upper Cask Movement &amp; Logistics'!$H$4:$I$8,2,FALSE),"N/A")</f>
        <v>0.02</v>
      </c>
      <c r="N694" s="1367">
        <f t="shared" si="23"/>
        <v>0.69444444444444442</v>
      </c>
      <c r="O694" s="1368"/>
      <c r="P694" s="861" t="str">
        <f>IF($D694="Logistics",VLOOKUP($O694,'Upper Cask Movement &amp; Logistics'!$C$4:$D$77,2,FALSE),"N/A")</f>
        <v>N/A</v>
      </c>
    </row>
    <row r="695" spans="1:16" s="89" customFormat="1" outlineLevel="1" x14ac:dyDescent="0.35">
      <c r="A695" s="1224"/>
      <c r="B695" s="3969"/>
      <c r="C695" s="1362" t="s">
        <v>1400</v>
      </c>
      <c r="D695" s="1362" t="s">
        <v>3</v>
      </c>
      <c r="E695" s="1363">
        <f t="shared" si="22"/>
        <v>0.68</v>
      </c>
      <c r="F695" s="1363">
        <f>IF($D695="Trigger",VLOOKUP($C695,'Upper Cask Welding failures'!$E$516:$H$558,4,FALSE),E695+F694)</f>
        <v>70.138635484039213</v>
      </c>
      <c r="G695" s="1364"/>
      <c r="H695" s="1365" t="str">
        <f>IF(D695="operation",VLOOKUP(G695,'Generic Vertical Port Tasks'!C609:D663,2,FALSE),"N/A")</f>
        <v>N/A</v>
      </c>
      <c r="I695" s="1362"/>
      <c r="J695" s="1362"/>
      <c r="K695" s="1362"/>
      <c r="L695" s="1366" t="str">
        <f>IFERROR(INDEX('Upper Cask Movement &amp; Logistics'!$I$24:$O$30,MATCH($J695,'Upper Cask Movement &amp; Logistics'!$H$24:$H$30,0),MATCH($K695,'Upper Cask Movement &amp; Logistics'!$H$24:$H$30,0)),"N/A")</f>
        <v>N/A</v>
      </c>
      <c r="M695" s="1366" t="str">
        <f>IFERROR(VLOOKUP($I695,'Upper Cask Movement &amp; Logistics'!$H$4:$I$8,2,FALSE),"N/A")</f>
        <v>N/A</v>
      </c>
      <c r="N695" s="1367" t="str">
        <f t="shared" si="23"/>
        <v>N/A</v>
      </c>
      <c r="O695" s="1368" t="s">
        <v>1213</v>
      </c>
      <c r="P695" s="861">
        <f>IF($D695="Logistics",VLOOKUP($O695,'Upper Cask Movement &amp; Logistics'!$C$4:$D$77,2,FALSE),"N/A")</f>
        <v>0.68</v>
      </c>
    </row>
    <row r="696" spans="1:16" s="89" customFormat="1" outlineLevel="1" x14ac:dyDescent="0.35">
      <c r="A696" s="1224"/>
      <c r="B696" s="3965"/>
      <c r="C696" s="1294" t="s">
        <v>1340</v>
      </c>
      <c r="D696" s="1294" t="s">
        <v>778</v>
      </c>
      <c r="E696" s="1292">
        <f t="shared" si="22"/>
        <v>0.23148148148148148</v>
      </c>
      <c r="F696" s="1292">
        <f>IF($D696="Trigger",VLOOKUP($C696,'Upper Cask Welding failures'!$E$516:$H$558,4,FALSE),E696+F695)</f>
        <v>70.370116965520694</v>
      </c>
      <c r="G696" s="862"/>
      <c r="H696" s="1328" t="str">
        <f>IF(D696="operation",VLOOKUP(G696,'Generic Vertical Port Tasks'!C609:D663,2,FALSE),"N/A")</f>
        <v>N/A</v>
      </c>
      <c r="I696" s="1294" t="s">
        <v>2501</v>
      </c>
      <c r="J696" s="1294" t="s">
        <v>831</v>
      </c>
      <c r="K696" s="1294" t="s">
        <v>901</v>
      </c>
      <c r="L696" s="1329">
        <f>IFERROR(INDEX('Upper Cask Movement &amp; Logistics'!$I$24:$O$30,MATCH($J696,'Upper Cask Movement &amp; Logistics'!$H$24:$H$30,0),MATCH($K696,'Upper Cask Movement &amp; Logistics'!$H$24:$H$30,0)),"N/A")</f>
        <v>50</v>
      </c>
      <c r="M696" s="1329">
        <f>IFERROR(VLOOKUP($I696,'Upper Cask Movement &amp; Logistics'!$H$4:$I$8,2,FALSE),"N/A")</f>
        <v>0.06</v>
      </c>
      <c r="N696" s="1330">
        <f t="shared" si="23"/>
        <v>0.23148148148148148</v>
      </c>
      <c r="O696" s="1331"/>
      <c r="P696" s="1332" t="str">
        <f>IF($D696="Logistics",VLOOKUP($O696,'Upper Cask Movement &amp; Logistics'!$C$4:$D$77,2,FALSE),"N/A")</f>
        <v>N/A</v>
      </c>
    </row>
    <row r="697" spans="1:16" s="89" customFormat="1" outlineLevel="1" x14ac:dyDescent="0.35">
      <c r="A697" s="1224"/>
      <c r="B697" s="3965"/>
      <c r="C697" s="1294" t="s">
        <v>1391</v>
      </c>
      <c r="D697" s="1294" t="s">
        <v>3</v>
      </c>
      <c r="E697" s="1292">
        <f t="shared" si="22"/>
        <v>1.4000000000000001</v>
      </c>
      <c r="F697" s="1292">
        <f>IF($D697="Trigger",VLOOKUP($C697,'Upper Cask Welding failures'!$E$516:$H$558,4,FALSE),E697+F696)</f>
        <v>71.7701169655207</v>
      </c>
      <c r="G697" s="862"/>
      <c r="H697" s="1328" t="str">
        <f>IF(D697="operation",VLOOKUP(G697,'Generic Vertical Port Tasks'!C609:D663,2,FALSE),"N/A")</f>
        <v>N/A</v>
      </c>
      <c r="I697" s="1294"/>
      <c r="J697" s="1294"/>
      <c r="K697" s="1294"/>
      <c r="L697" s="1329" t="str">
        <f>IFERROR(INDEX('Upper Cask Movement &amp; Logistics'!$I$24:$O$30,MATCH($J697,'Upper Cask Movement &amp; Logistics'!$H$24:$H$30,0),MATCH($K697,'Upper Cask Movement &amp; Logistics'!$H$24:$H$30,0)),"N/A")</f>
        <v>N/A</v>
      </c>
      <c r="M697" s="1329" t="str">
        <f>IFERROR(VLOOKUP($I697,'Upper Cask Movement &amp; Logistics'!$H$4:$I$8,2,FALSE),"N/A")</f>
        <v>N/A</v>
      </c>
      <c r="N697" s="1330" t="str">
        <f t="shared" si="23"/>
        <v>N/A</v>
      </c>
      <c r="O697" s="1331" t="s">
        <v>1277</v>
      </c>
      <c r="P697" s="1332">
        <f>IF($D697="Logistics",VLOOKUP($O697,'Upper Cask Movement &amp; Logistics'!$C$4:$D$77,2,FALSE),"N/A")</f>
        <v>1.4000000000000001</v>
      </c>
    </row>
    <row r="698" spans="1:16" s="89" customFormat="1" ht="13.3" outlineLevel="1" thickBot="1" x14ac:dyDescent="0.4">
      <c r="A698" s="1224"/>
      <c r="B698" s="3966"/>
      <c r="C698" s="1340" t="s">
        <v>1401</v>
      </c>
      <c r="D698" s="1340" t="s">
        <v>11</v>
      </c>
      <c r="E698" s="1295">
        <f t="shared" si="22"/>
        <v>0</v>
      </c>
      <c r="F698" s="1295">
        <f>IF($D698="Trigger",VLOOKUP($C698,'Upper Cask Welding failures'!$E$516:$H$558,4,FALSE),E698+F697)</f>
        <v>71.7701169655207</v>
      </c>
      <c r="G698" s="839"/>
      <c r="H698" s="1341" t="str">
        <f>IF(D698="operation",VLOOKUP(G698,'Generic Vertical Port Tasks'!C609:D663,2,FALSE),"N/A")</f>
        <v>N/A</v>
      </c>
      <c r="I698" s="1340"/>
      <c r="J698" s="1340"/>
      <c r="K698" s="1340"/>
      <c r="L698" s="1342" t="str">
        <f>IFERROR(INDEX('Upper Cask Movement &amp; Logistics'!$I$24:$O$30,MATCH($J698,'Upper Cask Movement &amp; Logistics'!$H$24:$H$30,0),MATCH($K698,'Upper Cask Movement &amp; Logistics'!$H$24:$H$30,0)),"N/A")</f>
        <v>N/A</v>
      </c>
      <c r="M698" s="1342" t="str">
        <f>IFERROR(VLOOKUP($I698,'Upper Cask Movement &amp; Logistics'!$H$4:$I$8,2,FALSE),"N/A")</f>
        <v>N/A</v>
      </c>
      <c r="N698" s="1343" t="str">
        <f t="shared" si="23"/>
        <v>N/A</v>
      </c>
      <c r="O698" s="1344"/>
      <c r="P698" s="1345" t="str">
        <f>IF($D698="Logistics",VLOOKUP($O698,'Upper Cask Movement &amp; Logistics'!$C$4:$D$77,2,FALSE),"N/A")</f>
        <v>N/A</v>
      </c>
    </row>
    <row r="699" spans="1:16" s="89" customFormat="1" outlineLevel="1" x14ac:dyDescent="0.35">
      <c r="A699" s="1224"/>
      <c r="B699" s="3960" t="s">
        <v>1388</v>
      </c>
      <c r="C699" s="1333" t="s">
        <v>1531</v>
      </c>
      <c r="D699" s="1333" t="s">
        <v>907</v>
      </c>
      <c r="E699" s="1303">
        <f t="shared" si="22"/>
        <v>0</v>
      </c>
      <c r="F699" s="1303">
        <f>IF($D699="Trigger",VLOOKUP($C699,'Upper Cask Welding failures'!$E$516:$H$558,4,FALSE),E699+F698)</f>
        <v>20.410756989359463</v>
      </c>
      <c r="G699" s="1304"/>
      <c r="H699" s="1305" t="str">
        <f>IF(D699="operation",VLOOKUP(G699,'Generic Vertical Port Tasks'!C582:D641,2,FALSE),"N/A")</f>
        <v>N/A</v>
      </c>
      <c r="I699" s="1333"/>
      <c r="J699" s="1333"/>
      <c r="K699" s="1333"/>
      <c r="L699" s="1334" t="str">
        <f>IFERROR(INDEX('Upper Cask Movement &amp; Logistics'!$I$24:$O$30,MATCH($J699,'Upper Cask Movement &amp; Logistics'!$H$24:$H$30,0),MATCH($K699,'Upper Cask Movement &amp; Logistics'!$H$24:$H$30,0)),"N/A")</f>
        <v>N/A</v>
      </c>
      <c r="M699" s="1334" t="str">
        <f>IFERROR(VLOOKUP($I699,'Upper Cask Movement &amp; Logistics'!$H$4:$I$8,2,FALSE),"N/A")</f>
        <v>N/A</v>
      </c>
      <c r="N699" s="1335" t="str">
        <f t="shared" si="23"/>
        <v>N/A</v>
      </c>
      <c r="O699" s="1336"/>
      <c r="P699" s="1337" t="str">
        <f>IF($D699="Logistics",VLOOKUP($O699,'Upper Cask Movement &amp; Logistics'!$C$4:$D$77,2,FALSE),"N/A")</f>
        <v>N/A</v>
      </c>
    </row>
    <row r="700" spans="1:16" s="89" customFormat="1" outlineLevel="1" x14ac:dyDescent="0.35">
      <c r="A700" s="1224"/>
      <c r="B700" s="3961"/>
      <c r="C700" s="1243" t="s">
        <v>1345</v>
      </c>
      <c r="D700" s="1243" t="s">
        <v>778</v>
      </c>
      <c r="E700" s="1244">
        <f t="shared" si="22"/>
        <v>0.69444444444444442</v>
      </c>
      <c r="F700" s="1244">
        <f>IF($D700="Trigger",VLOOKUP($C700,'Upper Cask Welding failures'!$E$516:$H$558,4,FALSE),E700+F699)</f>
        <v>21.105201433803906</v>
      </c>
      <c r="G700" s="1309"/>
      <c r="H700" s="1310" t="str">
        <f>IF(D700="operation",VLOOKUP(G700,'Generic Vertical Port Tasks'!C582:D641,2,FALSE),"N/A")</f>
        <v>N/A</v>
      </c>
      <c r="I700" s="1243" t="s">
        <v>1789</v>
      </c>
      <c r="J700" s="1243" t="s">
        <v>816</v>
      </c>
      <c r="K700" s="1243" t="s">
        <v>914</v>
      </c>
      <c r="L700" s="1245">
        <f>IFERROR(INDEX('Upper Cask Movement &amp; Logistics'!$I$24:$O$30,MATCH($J700,'Upper Cask Movement &amp; Logistics'!$H$24:$H$30,0),MATCH($K700,'Upper Cask Movement &amp; Logistics'!$H$24:$H$30,0)),"N/A")</f>
        <v>50</v>
      </c>
      <c r="M700" s="1245">
        <f>IFERROR(VLOOKUP($I700,'Upper Cask Movement &amp; Logistics'!$H$4:$I$8,2,FALSE),"N/A")</f>
        <v>0.02</v>
      </c>
      <c r="N700" s="1311">
        <f t="shared" si="23"/>
        <v>0.69444444444444442</v>
      </c>
      <c r="O700" s="1312"/>
      <c r="P700" s="1313" t="str">
        <f>IF($D700="Logistics",VLOOKUP($O700,'Upper Cask Movement &amp; Logistics'!$C$4:$D$77,2,FALSE),"N/A")</f>
        <v>N/A</v>
      </c>
    </row>
    <row r="701" spans="1:16" s="89" customFormat="1" outlineLevel="1" x14ac:dyDescent="0.35">
      <c r="A701" s="1224"/>
      <c r="B701" s="3962"/>
      <c r="C701" s="1249" t="s">
        <v>1389</v>
      </c>
      <c r="D701" s="1249" t="s">
        <v>3</v>
      </c>
      <c r="E701" s="1250">
        <f t="shared" si="22"/>
        <v>0.48000000000000004</v>
      </c>
      <c r="F701" s="1250">
        <f>IF($D701="Trigger",VLOOKUP($C701,'Upper Cask Welding failures'!$E$516:$H$558,4,FALSE),E701+F700)</f>
        <v>21.585201433803906</v>
      </c>
      <c r="G701" s="1338"/>
      <c r="H701" s="1359" t="str">
        <f>IF(D701="operation",VLOOKUP(G701,'Generic Vertical Port Tasks'!C582:D641,2,FALSE),"N/A")</f>
        <v>N/A</v>
      </c>
      <c r="I701" s="1249"/>
      <c r="J701" s="1249"/>
      <c r="K701" s="1249"/>
      <c r="L701" s="1245" t="str">
        <f>IFERROR(INDEX('Upper Cask Movement &amp; Logistics'!$I$24:$O$30,MATCH($J701,'Upper Cask Movement &amp; Logistics'!$H$24:$H$30,0),MATCH($K701,'Upper Cask Movement &amp; Logistics'!$H$24:$H$30,0)),"N/A")</f>
        <v>N/A</v>
      </c>
      <c r="M701" s="1245" t="str">
        <f>IFERROR(VLOOKUP($I701,'Upper Cask Movement &amp; Logistics'!$H$4:$I$8,2,FALSE),"N/A")</f>
        <v>N/A</v>
      </c>
      <c r="N701" s="1311" t="str">
        <f t="shared" si="23"/>
        <v>N/A</v>
      </c>
      <c r="O701" s="1339" t="s">
        <v>1330</v>
      </c>
      <c r="P701" s="1313">
        <f>IF($D701="Logistics",VLOOKUP($O701,'Upper Cask Movement &amp; Logistics'!$C$4:$D$77,2,FALSE),"N/A")</f>
        <v>0.48000000000000004</v>
      </c>
    </row>
    <row r="702" spans="1:16" s="89" customFormat="1" outlineLevel="1" x14ac:dyDescent="0.35">
      <c r="A702" s="1224"/>
      <c r="B702" s="3962"/>
      <c r="C702" s="1249" t="s">
        <v>1338</v>
      </c>
      <c r="D702" s="1249" t="s">
        <v>778</v>
      </c>
      <c r="E702" s="1250">
        <f t="shared" si="22"/>
        <v>2.7777777777777776E-2</v>
      </c>
      <c r="F702" s="1250">
        <f>IF($D702="Trigger",VLOOKUP($C702,'Upper Cask Welding failures'!$E$516:$H$558,4,FALSE),E702+F701)</f>
        <v>21.612979211581685</v>
      </c>
      <c r="G702" s="1338"/>
      <c r="H702" s="1359" t="str">
        <f>IF(D702="operation",VLOOKUP(G702,'Generic Vertical Port Tasks'!C582:D641,2,FALSE),"N/A")</f>
        <v>N/A</v>
      </c>
      <c r="I702" s="1243" t="s">
        <v>2502</v>
      </c>
      <c r="J702" s="1249" t="s">
        <v>914</v>
      </c>
      <c r="K702" s="1249" t="s">
        <v>799</v>
      </c>
      <c r="L702" s="1245">
        <f>IFERROR(INDEX('Upper Cask Movement &amp; Logistics'!$I$24:$O$30,MATCH($J702,'Upper Cask Movement &amp; Logistics'!$H$24:$H$30,0),MATCH($K702,'Upper Cask Movement &amp; Logistics'!$H$24:$H$30,0)),"N/A")</f>
        <v>20</v>
      </c>
      <c r="M702" s="1245">
        <f>IFERROR(VLOOKUP($I702,'Upper Cask Movement &amp; Logistics'!$H$4:$I$8,2,FALSE),"N/A")</f>
        <v>0.2</v>
      </c>
      <c r="N702" s="1311">
        <f t="shared" si="23"/>
        <v>2.7777777777777776E-2</v>
      </c>
      <c r="O702" s="1339"/>
      <c r="P702" s="1313" t="str">
        <f>IF($D702="Logistics",VLOOKUP($O702,'Upper Cask Movement &amp; Logistics'!$C$4:$D$77,2,FALSE),"N/A")</f>
        <v>N/A</v>
      </c>
    </row>
    <row r="703" spans="1:16" s="89" customFormat="1" outlineLevel="1" x14ac:dyDescent="0.35">
      <c r="A703" s="1224"/>
      <c r="B703" s="3962"/>
      <c r="C703" s="1249" t="s">
        <v>1390</v>
      </c>
      <c r="D703" s="1249" t="s">
        <v>3</v>
      </c>
      <c r="E703" s="1250">
        <f t="shared" si="22"/>
        <v>0.48000000000000004</v>
      </c>
      <c r="F703" s="1250">
        <f>IF($D703="Trigger",VLOOKUP($C703,'Upper Cask Welding failures'!$E$516:$H$558,4,FALSE),E703+F702)</f>
        <v>22.092979211581685</v>
      </c>
      <c r="G703" s="1338"/>
      <c r="H703" s="1359" t="str">
        <f>IF(D703="operation",VLOOKUP(G703,'Generic Vertical Port Tasks'!C582:D641,2,FALSE),"N/A")</f>
        <v>N/A</v>
      </c>
      <c r="I703" s="1249"/>
      <c r="J703" s="1249"/>
      <c r="K703" s="1249"/>
      <c r="L703" s="1245" t="str">
        <f>IFERROR(INDEX('Upper Cask Movement &amp; Logistics'!$I$24:$O$30,MATCH($J703,'Upper Cask Movement &amp; Logistics'!$H$24:$H$30,0),MATCH($K703,'Upper Cask Movement &amp; Logistics'!$H$24:$H$30,0)),"N/A")</f>
        <v>N/A</v>
      </c>
      <c r="M703" s="1245" t="str">
        <f>IFERROR(VLOOKUP($I703,'Upper Cask Movement &amp; Logistics'!$H$4:$I$8,2,FALSE),"N/A")</f>
        <v>N/A</v>
      </c>
      <c r="N703" s="1311" t="str">
        <f>IF(D703="Movement",IFERROR((L703/M703)/(60*60),"Error"),"N/A")</f>
        <v>N/A</v>
      </c>
      <c r="O703" s="1339" t="s">
        <v>1331</v>
      </c>
      <c r="P703" s="1313">
        <f>IF($D703="Logistics",VLOOKUP($O703,'Upper Cask Movement &amp; Logistics'!$C$4:$D$77,2,FALSE),"N/A")</f>
        <v>0.48000000000000004</v>
      </c>
    </row>
    <row r="704" spans="1:16" s="89" customFormat="1" outlineLevel="1" x14ac:dyDescent="0.35">
      <c r="A704" s="1224"/>
      <c r="B704" s="3962"/>
      <c r="C704" s="1249" t="s">
        <v>1340</v>
      </c>
      <c r="D704" s="1249" t="s">
        <v>778</v>
      </c>
      <c r="E704" s="1250">
        <f t="shared" si="22"/>
        <v>0.69444444444444442</v>
      </c>
      <c r="F704" s="1250">
        <f>IF($D704="Trigger",VLOOKUP($C704,'Upper Cask Welding failures'!$E$516:$H$558,4,FALSE),E704+F703)</f>
        <v>22.787423656026128</v>
      </c>
      <c r="G704" s="1338"/>
      <c r="H704" s="1359" t="str">
        <f>IF(D704="operation",VLOOKUP(G704,'Generic Vertical Port Tasks'!C582:D641,2,FALSE),"N/A")</f>
        <v>N/A</v>
      </c>
      <c r="I704" s="1249" t="s">
        <v>1789</v>
      </c>
      <c r="J704" s="1249" t="s">
        <v>799</v>
      </c>
      <c r="K704" s="1249" t="s">
        <v>901</v>
      </c>
      <c r="L704" s="1245">
        <f>IFERROR(INDEX('Upper Cask Movement &amp; Logistics'!$I$24:$O$30,MATCH($J704,'Upper Cask Movement &amp; Logistics'!$H$24:$H$30,0),MATCH($K704,'Upper Cask Movement &amp; Logistics'!$H$24:$H$30,0)),"N/A")</f>
        <v>50</v>
      </c>
      <c r="M704" s="1245">
        <f>IFERROR(VLOOKUP($I704,'Upper Cask Movement &amp; Logistics'!$H$4:$I$8,2,FALSE),"N/A")</f>
        <v>0.02</v>
      </c>
      <c r="N704" s="1311">
        <f>IF(D704="Movement",IFERROR((L704/M704)/(60*60),"Error"),"N/A")</f>
        <v>0.69444444444444442</v>
      </c>
      <c r="O704" s="1339"/>
      <c r="P704" s="1313" t="str">
        <f>IF($D704="Logistics",VLOOKUP($O704,'Upper Cask Movement &amp; Logistics'!$C$4:$D$77,2,FALSE),"N/A")</f>
        <v>N/A</v>
      </c>
    </row>
    <row r="705" spans="1:16" s="89" customFormat="1" outlineLevel="1" x14ac:dyDescent="0.35">
      <c r="A705" s="1224"/>
      <c r="B705" s="3962"/>
      <c r="C705" s="1249" t="s">
        <v>1391</v>
      </c>
      <c r="D705" s="1249" t="s">
        <v>3</v>
      </c>
      <c r="E705" s="1250">
        <f t="shared" si="22"/>
        <v>1.4000000000000001</v>
      </c>
      <c r="F705" s="1250">
        <f>IF($D705="Trigger",VLOOKUP($C705,'Upper Cask Welding failures'!$E$516:$H$558,4,FALSE),E705+F704)</f>
        <v>24.187423656026127</v>
      </c>
      <c r="G705" s="1338"/>
      <c r="H705" s="1359" t="str">
        <f>IF(D705="operation",VLOOKUP(G705,'Generic Vertical Port Tasks'!C582:D641,2,FALSE),"N/A")</f>
        <v>N/A</v>
      </c>
      <c r="I705" s="1249"/>
      <c r="J705" s="1249"/>
      <c r="K705" s="1249"/>
      <c r="L705" s="1245" t="str">
        <f>IFERROR(INDEX('Upper Cask Movement &amp; Logistics'!$I$24:$O$30,MATCH($J705,'Upper Cask Movement &amp; Logistics'!$H$24:$H$30,0),MATCH($K705,'Upper Cask Movement &amp; Logistics'!$H$24:$H$30,0)),"N/A")</f>
        <v>N/A</v>
      </c>
      <c r="M705" s="1245" t="str">
        <f>IFERROR(VLOOKUP($I705,'Upper Cask Movement &amp; Logistics'!$H$4:$I$8,2,FALSE),"N/A")</f>
        <v>N/A</v>
      </c>
      <c r="N705" s="1311" t="str">
        <f>IF(D705="Movement",IFERROR((L705/M705)/(60*60),"Error"),"N/A")</f>
        <v>N/A</v>
      </c>
      <c r="O705" s="1339" t="s">
        <v>1277</v>
      </c>
      <c r="P705" s="1313">
        <f>IF($D705="Logistics",VLOOKUP($O705,'Upper Cask Movement &amp; Logistics'!$C$4:$D$77,2,FALSE),"N/A")</f>
        <v>1.4000000000000001</v>
      </c>
    </row>
    <row r="706" spans="1:16" s="89" customFormat="1" ht="26.15" outlineLevel="1" thickBot="1" x14ac:dyDescent="0.4">
      <c r="A706" s="1224"/>
      <c r="B706" s="3963"/>
      <c r="C706" s="1314" t="s">
        <v>1388</v>
      </c>
      <c r="D706" s="1314" t="s">
        <v>11</v>
      </c>
      <c r="E706" s="1316">
        <f t="shared" si="22"/>
        <v>0</v>
      </c>
      <c r="F706" s="1316">
        <f>IF($D706="Trigger",VLOOKUP($C706,'Upper Cask Welding failures'!$E$516:$H$558,4,FALSE),E706+F705)</f>
        <v>24.187423656026127</v>
      </c>
      <c r="G706" s="1317"/>
      <c r="H706" s="1318" t="str">
        <f>IF(D706="operation",VLOOKUP(G706,'Generic Vertical Port Tasks'!C582:D641,2,FALSE),"N/A")</f>
        <v>N/A</v>
      </c>
      <c r="I706" s="1314"/>
      <c r="J706" s="1314"/>
      <c r="K706" s="1314"/>
      <c r="L706" s="1319" t="str">
        <f>IFERROR(INDEX('Upper Cask Movement &amp; Logistics'!$I$24:$O$30,MATCH($J706,'Upper Cask Movement &amp; Logistics'!$H$24:$H$30,0),MATCH($K706,'Upper Cask Movement &amp; Logistics'!$H$24:$H$30,0)),"N/A")</f>
        <v>N/A</v>
      </c>
      <c r="M706" s="1319" t="str">
        <f>IFERROR(VLOOKUP($I706,'Upper Cask Movement &amp; Logistics'!$H$4:$I$8,2,FALSE),"N/A")</f>
        <v>N/A</v>
      </c>
      <c r="N706" s="1320" t="str">
        <f t="shared" ref="N706:N745" si="24">IF(D706="Movement",IFERROR((L706/M706)/(60*60),"Error"),"N/A")</f>
        <v>N/A</v>
      </c>
      <c r="O706" s="1321"/>
      <c r="P706" s="1322" t="str">
        <f>IF($D706="Logistics",VLOOKUP($O706,'Upper Cask Movement &amp; Logistics'!$C$4:$D$77,2,FALSE),"N/A")</f>
        <v>N/A</v>
      </c>
    </row>
    <row r="707" spans="1:16" s="89" customFormat="1" outlineLevel="1" x14ac:dyDescent="0.35">
      <c r="A707" s="1224"/>
      <c r="B707" s="3960" t="s">
        <v>1280</v>
      </c>
      <c r="C707" s="1333" t="s">
        <v>1278</v>
      </c>
      <c r="D707" s="1333" t="s">
        <v>907</v>
      </c>
      <c r="E707" s="1303">
        <f t="shared" si="22"/>
        <v>0</v>
      </c>
      <c r="F707" s="1303">
        <f>IF($D707="Trigger",VLOOKUP($C707,'Upper Cask Welding failures'!$E$516:$H$558,4,FALSE),E707+F706)</f>
        <v>67.06419103959476</v>
      </c>
      <c r="G707" s="1304"/>
      <c r="H707" s="1305" t="str">
        <f>IF(D707="operation",VLOOKUP(G707,'Generic Vertical Port Tasks'!C606:D667,2,FALSE),"N/A")</f>
        <v>N/A</v>
      </c>
      <c r="I707" s="1333"/>
      <c r="J707" s="1333"/>
      <c r="K707" s="1333"/>
      <c r="L707" s="1334" t="str">
        <f>IFERROR(INDEX('Upper Cask Movement &amp; Logistics'!$I$24:$O$30,MATCH($J707,'Upper Cask Movement &amp; Logistics'!$H$24:$H$30,0),MATCH($K707,'Upper Cask Movement &amp; Logistics'!$H$24:$H$30,0)),"N/A")</f>
        <v>N/A</v>
      </c>
      <c r="M707" s="1334" t="str">
        <f>IFERROR(VLOOKUP($I707,'Upper Cask Movement &amp; Logistics'!$H$4:$I$8,2,FALSE),"N/A")</f>
        <v>N/A</v>
      </c>
      <c r="N707" s="1335" t="str">
        <f t="shared" si="24"/>
        <v>N/A</v>
      </c>
      <c r="O707" s="1336"/>
      <c r="P707" s="1337" t="str">
        <f>IF($D707="Logistics",VLOOKUP($O707,'Upper Cask Movement &amp; Logistics'!$C$4:$D$77,2,FALSE),"N/A")</f>
        <v>N/A</v>
      </c>
    </row>
    <row r="708" spans="1:16" s="89" customFormat="1" outlineLevel="1" x14ac:dyDescent="0.35">
      <c r="A708" s="1224"/>
      <c r="B708" s="3968"/>
      <c r="C708" s="1240" t="s">
        <v>1405</v>
      </c>
      <c r="D708" s="1240" t="s">
        <v>3</v>
      </c>
      <c r="E708" s="1241">
        <f t="shared" si="22"/>
        <v>2.3000000000000003</v>
      </c>
      <c r="F708" s="1241">
        <f>IF($D708="Trigger",VLOOKUP($C708,'Upper Cask Welding failures'!$E$516:$H$558,4,FALSE),E708+F707)</f>
        <v>69.364191039594758</v>
      </c>
      <c r="G708" s="1354"/>
      <c r="H708" s="1355" t="str">
        <f>IF(D708="operation",VLOOKUP(G708,'Generic Vertical Port Tasks'!C606:D667,2,FALSE),"N/A")</f>
        <v>N/A</v>
      </c>
      <c r="I708" s="1240"/>
      <c r="J708" s="1240"/>
      <c r="K708" s="1240"/>
      <c r="L708" s="1242" t="str">
        <f>IFERROR(INDEX('Upper Cask Movement &amp; Logistics'!$I$24:$O$30,MATCH($J708,'Upper Cask Movement &amp; Logistics'!$H$24:$H$30,0),MATCH($K708,'Upper Cask Movement &amp; Logistics'!$H$24:$H$30,0)),"N/A")</f>
        <v>N/A</v>
      </c>
      <c r="M708" s="1242" t="str">
        <f>IFERROR(VLOOKUP($I708,'Upper Cask Movement &amp; Logistics'!$H$4:$I$8,2,FALSE),"N/A")</f>
        <v>N/A</v>
      </c>
      <c r="N708" s="1356" t="str">
        <f t="shared" si="24"/>
        <v>N/A</v>
      </c>
      <c r="O708" s="1357" t="s">
        <v>1269</v>
      </c>
      <c r="P708" s="1358">
        <f>IF($D708="Logistics",VLOOKUP($O708,'Upper Cask Movement &amp; Logistics'!$C$4:$D$77,2,FALSE),"N/A")</f>
        <v>2.3000000000000003</v>
      </c>
    </row>
    <row r="709" spans="1:16" s="89" customFormat="1" outlineLevel="1" x14ac:dyDescent="0.35">
      <c r="A709" s="1224"/>
      <c r="B709" s="3968"/>
      <c r="C709" s="1240" t="s">
        <v>1402</v>
      </c>
      <c r="D709" s="1240" t="s">
        <v>778</v>
      </c>
      <c r="E709" s="1241">
        <f t="shared" si="22"/>
        <v>0.11574074074074074</v>
      </c>
      <c r="F709" s="1241">
        <f>IF($D709="Trigger",VLOOKUP($C709,'Upper Cask Welding failures'!$E$516:$H$558,4,FALSE),E709+F708)</f>
        <v>69.479931780335505</v>
      </c>
      <c r="G709" s="1354"/>
      <c r="H709" s="1355" t="str">
        <f>IF(D709="operation",VLOOKUP(G709,'Generic Vertical Port Tasks'!C606:D667,2,FALSE),"N/A")</f>
        <v>N/A</v>
      </c>
      <c r="I709" s="1240" t="s">
        <v>2501</v>
      </c>
      <c r="J709" s="1240" t="s">
        <v>901</v>
      </c>
      <c r="K709" s="1240" t="s">
        <v>858</v>
      </c>
      <c r="L709" s="1242">
        <f>IFERROR(INDEX('Upper Cask Movement &amp; Logistics'!$I$24:$O$30,MATCH($J709,'Upper Cask Movement &amp; Logistics'!$H$24:$H$30,0),MATCH($K709,'Upper Cask Movement &amp; Logistics'!$H$24:$H$30,0)),"N/A")</f>
        <v>25</v>
      </c>
      <c r="M709" s="1242">
        <f>IFERROR(VLOOKUP($I709,'Upper Cask Movement &amp; Logistics'!$H$4:$I$8,2,FALSE),"N/A")</f>
        <v>0.06</v>
      </c>
      <c r="N709" s="1356">
        <f t="shared" si="24"/>
        <v>0.11574074074074074</v>
      </c>
      <c r="O709" s="1357"/>
      <c r="P709" s="1358" t="str">
        <f>IF($D709="Logistics",VLOOKUP($O709,'Upper Cask Movement &amp; Logistics'!$C$4:$D$77,2,FALSE),"N/A")</f>
        <v>N/A</v>
      </c>
    </row>
    <row r="710" spans="1:16" s="89" customFormat="1" outlineLevel="1" x14ac:dyDescent="0.35">
      <c r="A710" s="1224"/>
      <c r="B710" s="3968"/>
      <c r="C710" s="1240" t="s">
        <v>1406</v>
      </c>
      <c r="D710" s="1240" t="s">
        <v>3</v>
      </c>
      <c r="E710" s="1241">
        <f t="shared" si="22"/>
        <v>0.63000000000000012</v>
      </c>
      <c r="F710" s="1241">
        <f>IF($D710="Trigger",VLOOKUP($C710,'Upper Cask Welding failures'!$E$516:$H$558,4,FALSE),E710+F709)</f>
        <v>70.109931780335501</v>
      </c>
      <c r="G710" s="1354"/>
      <c r="H710" s="1355" t="str">
        <f>IF(D710="operation",VLOOKUP(G710,'Generic Vertical Port Tasks'!C606:D667,2,FALSE),"N/A")</f>
        <v>N/A</v>
      </c>
      <c r="I710" s="1240"/>
      <c r="J710" s="1240"/>
      <c r="K710" s="1240"/>
      <c r="L710" s="1242" t="str">
        <f>IFERROR(INDEX('Upper Cask Movement &amp; Logistics'!$I$24:$O$30,MATCH($J710,'Upper Cask Movement &amp; Logistics'!$H$24:$H$30,0),MATCH($K710,'Upper Cask Movement &amp; Logistics'!$H$24:$H$30,0)),"N/A")</f>
        <v>N/A</v>
      </c>
      <c r="M710" s="1242" t="str">
        <f>IFERROR(VLOOKUP($I710,'Upper Cask Movement &amp; Logistics'!$H$4:$I$8,2,FALSE),"N/A")</f>
        <v>N/A</v>
      </c>
      <c r="N710" s="1356" t="str">
        <f t="shared" si="24"/>
        <v>N/A</v>
      </c>
      <c r="O710" s="1357" t="s">
        <v>1228</v>
      </c>
      <c r="P710" s="1358">
        <f>IF($D710="Logistics",VLOOKUP($O710,'Upper Cask Movement &amp; Logistics'!$C$4:$D$77,2,FALSE),"N/A")</f>
        <v>0.63000000000000012</v>
      </c>
    </row>
    <row r="711" spans="1:16" s="89" customFormat="1" outlineLevel="1" x14ac:dyDescent="0.35">
      <c r="A711" s="1224"/>
      <c r="B711" s="3961"/>
      <c r="C711" s="1243" t="s">
        <v>1340</v>
      </c>
      <c r="D711" s="1243" t="s">
        <v>778</v>
      </c>
      <c r="E711" s="1244">
        <f t="shared" si="22"/>
        <v>0.69444444444444442</v>
      </c>
      <c r="F711" s="1244">
        <f>IF($D711="Trigger",VLOOKUP($C711,'Upper Cask Welding failures'!$E$516:$H$558,4,FALSE),E711+F710)</f>
        <v>70.804376224779944</v>
      </c>
      <c r="G711" s="1309"/>
      <c r="H711" s="1310" t="str">
        <f>IF(D711="operation",VLOOKUP(G711,'Generic Vertical Port Tasks'!C606:D667,2,FALSE),"N/A")</f>
        <v>N/A</v>
      </c>
      <c r="I711" s="1243" t="s">
        <v>1789</v>
      </c>
      <c r="J711" s="1243" t="s">
        <v>831</v>
      </c>
      <c r="K711" s="1243" t="s">
        <v>901</v>
      </c>
      <c r="L711" s="1245">
        <f>IFERROR(INDEX('Upper Cask Movement &amp; Logistics'!$I$24:$O$30,MATCH($J711,'Upper Cask Movement &amp; Logistics'!$H$24:$H$30,0),MATCH($K711,'Upper Cask Movement &amp; Logistics'!$H$24:$H$30,0)),"N/A")</f>
        <v>50</v>
      </c>
      <c r="M711" s="1245">
        <f>IFERROR(VLOOKUP($I711,'Upper Cask Movement &amp; Logistics'!$H$4:$I$8,2,FALSE),"N/A")</f>
        <v>0.02</v>
      </c>
      <c r="N711" s="1311">
        <f t="shared" si="24"/>
        <v>0.69444444444444442</v>
      </c>
      <c r="O711" s="1312"/>
      <c r="P711" s="1313" t="str">
        <f>IF($D711="Logistics",VLOOKUP($O711,'Upper Cask Movement &amp; Logistics'!$C$4:$D$77,2,FALSE),"N/A")</f>
        <v>N/A</v>
      </c>
    </row>
    <row r="712" spans="1:16" s="89" customFormat="1" outlineLevel="1" x14ac:dyDescent="0.35">
      <c r="A712" s="1224"/>
      <c r="B712" s="3961"/>
      <c r="C712" s="1243" t="s">
        <v>1391</v>
      </c>
      <c r="D712" s="1243" t="s">
        <v>3</v>
      </c>
      <c r="E712" s="1244">
        <f t="shared" si="22"/>
        <v>1.4000000000000001</v>
      </c>
      <c r="F712" s="1244">
        <f>IF($D712="Trigger",VLOOKUP($C712,'Upper Cask Welding failures'!$E$516:$H$558,4,FALSE),E712+F711)</f>
        <v>72.204376224779949</v>
      </c>
      <c r="G712" s="1309"/>
      <c r="H712" s="1310" t="str">
        <f>IF(D712="operation",VLOOKUP(G712,'Generic Vertical Port Tasks'!C606:D667,2,FALSE),"N/A")</f>
        <v>N/A</v>
      </c>
      <c r="I712" s="1243"/>
      <c r="J712" s="1243"/>
      <c r="K712" s="1243"/>
      <c r="L712" s="1245" t="str">
        <f>IFERROR(INDEX('Upper Cask Movement &amp; Logistics'!$I$24:$O$30,MATCH($J712,'Upper Cask Movement &amp; Logistics'!$H$24:$H$30,0),MATCH($K712,'Upper Cask Movement &amp; Logistics'!$H$24:$H$30,0)),"N/A")</f>
        <v>N/A</v>
      </c>
      <c r="M712" s="1245" t="str">
        <f>IFERROR(VLOOKUP($I712,'Upper Cask Movement &amp; Logistics'!$H$4:$I$8,2,FALSE),"N/A")</f>
        <v>N/A</v>
      </c>
      <c r="N712" s="1311" t="str">
        <f t="shared" si="24"/>
        <v>N/A</v>
      </c>
      <c r="O712" s="1312" t="s">
        <v>1277</v>
      </c>
      <c r="P712" s="1313">
        <f>IF($D712="Logistics",VLOOKUP($O712,'Upper Cask Movement &amp; Logistics'!$C$4:$D$77,2,FALSE),"N/A")</f>
        <v>1.4000000000000001</v>
      </c>
    </row>
    <row r="713" spans="1:16" s="89" customFormat="1" ht="13.3" outlineLevel="1" thickBot="1" x14ac:dyDescent="0.4">
      <c r="A713" s="1224"/>
      <c r="B713" s="3963"/>
      <c r="C713" s="1314" t="s">
        <v>1280</v>
      </c>
      <c r="D713" s="1314" t="s">
        <v>11</v>
      </c>
      <c r="E713" s="1316">
        <f t="shared" si="22"/>
        <v>0</v>
      </c>
      <c r="F713" s="1316">
        <f>IF($D713="Trigger",VLOOKUP($C713,'Upper Cask Welding failures'!$E$516:$H$558,4,FALSE),E713+F712)</f>
        <v>72.204376224779949</v>
      </c>
      <c r="G713" s="1317"/>
      <c r="H713" s="1318" t="str">
        <f>IF(D713="operation",VLOOKUP(G713,'Generic Vertical Port Tasks'!C606:D667,2,FALSE),"N/A")</f>
        <v>N/A</v>
      </c>
      <c r="I713" s="1314"/>
      <c r="J713" s="1314"/>
      <c r="K713" s="1314"/>
      <c r="L713" s="1319" t="str">
        <f>IFERROR(INDEX('Upper Cask Movement &amp; Logistics'!$I$24:$O$30,MATCH($J713,'Upper Cask Movement &amp; Logistics'!$H$24:$H$30,0),MATCH($K713,'Upper Cask Movement &amp; Logistics'!$H$24:$H$30,0)),"N/A")</f>
        <v>N/A</v>
      </c>
      <c r="M713" s="1319" t="str">
        <f>IFERROR(VLOOKUP($I713,'Upper Cask Movement &amp; Logistics'!$H$4:$I$8,2,FALSE),"N/A")</f>
        <v>N/A</v>
      </c>
      <c r="N713" s="1320" t="str">
        <f t="shared" si="24"/>
        <v>N/A</v>
      </c>
      <c r="O713" s="1321"/>
      <c r="P713" s="1322" t="str">
        <f>IF($D713="Logistics",VLOOKUP($O713,'Upper Cask Movement &amp; Logistics'!$C$4:$D$77,2,FALSE),"N/A")</f>
        <v>N/A</v>
      </c>
    </row>
    <row r="714" spans="1:16" s="89" customFormat="1" outlineLevel="1" x14ac:dyDescent="0.35">
      <c r="A714" s="1224"/>
      <c r="B714" s="3964" t="s">
        <v>1282</v>
      </c>
      <c r="C714" s="1324" t="s">
        <v>1281</v>
      </c>
      <c r="D714" s="1324" t="s">
        <v>907</v>
      </c>
      <c r="E714" s="1291">
        <f t="shared" si="22"/>
        <v>0</v>
      </c>
      <c r="F714" s="1291">
        <f>IF($D714="Trigger",VLOOKUP($C714,'Upper Cask Welding failures'!$E$516:$H$558,4,FALSE),E714+F713)</f>
        <v>77.134376224779942</v>
      </c>
      <c r="G714" s="825"/>
      <c r="H714" s="1323" t="str">
        <f>IF(D714="operation",VLOOKUP(G714,'Generic Vertical Port Tasks'!C616:D696,2,FALSE),"N/A")</f>
        <v>N/A</v>
      </c>
      <c r="I714" s="1324"/>
      <c r="J714" s="1324"/>
      <c r="K714" s="1324"/>
      <c r="L714" s="1325" t="str">
        <f>IFERROR(INDEX('Upper Cask Movement &amp; Logistics'!$I$24:$O$30,MATCH($J714,'Upper Cask Movement &amp; Logistics'!$H$24:$H$30,0),MATCH($K714,'Upper Cask Movement &amp; Logistics'!$H$24:$H$30,0)),"N/A")</f>
        <v>N/A</v>
      </c>
      <c r="M714" s="1325" t="str">
        <f>IFERROR(VLOOKUP($I714,'Upper Cask Movement &amp; Logistics'!$H$4:$I$8,2,FALSE),"N/A")</f>
        <v>N/A</v>
      </c>
      <c r="N714" s="1326" t="str">
        <f t="shared" si="24"/>
        <v>N/A</v>
      </c>
      <c r="O714" s="1327"/>
      <c r="P714" s="824" t="str">
        <f>IF($D714="Logistics",VLOOKUP($O714,'Upper Cask Movement &amp; Logistics'!$C$4:$D$77,2,FALSE),"N/A")</f>
        <v>N/A</v>
      </c>
    </row>
    <row r="715" spans="1:16" s="89" customFormat="1" outlineLevel="1" x14ac:dyDescent="0.35">
      <c r="A715" s="1224"/>
      <c r="B715" s="3969"/>
      <c r="C715" s="1362" t="s">
        <v>1395</v>
      </c>
      <c r="D715" s="1362" t="s">
        <v>3</v>
      </c>
      <c r="E715" s="1363">
        <f t="shared" si="22"/>
        <v>2.3000000000000003</v>
      </c>
      <c r="F715" s="1363">
        <f>IF($D715="Trigger",VLOOKUP($C715,'Upper Cask Welding failures'!$E$516:$H$558,4,FALSE),E715+F714)</f>
        <v>79.434376224779939</v>
      </c>
      <c r="G715" s="1364"/>
      <c r="H715" s="1365" t="str">
        <f>IF(D715="operation",VLOOKUP(G715,'Generic Vertical Port Tasks'!C616:D696,2,FALSE),"N/A")</f>
        <v>N/A</v>
      </c>
      <c r="I715" s="1362"/>
      <c r="J715" s="1362"/>
      <c r="K715" s="1362"/>
      <c r="L715" s="1366" t="str">
        <f>IFERROR(INDEX('Upper Cask Movement &amp; Logistics'!$I$24:$O$30,MATCH($J715,'Upper Cask Movement &amp; Logistics'!$H$24:$H$30,0),MATCH($K715,'Upper Cask Movement &amp; Logistics'!$H$24:$H$30,0)),"N/A")</f>
        <v>N/A</v>
      </c>
      <c r="M715" s="1366" t="str">
        <f>IFERROR(VLOOKUP($I715,'Upper Cask Movement &amp; Logistics'!$H$4:$I$8,2,FALSE),"N/A")</f>
        <v>N/A</v>
      </c>
      <c r="N715" s="1367" t="str">
        <f t="shared" si="24"/>
        <v>N/A</v>
      </c>
      <c r="O715" s="1368" t="s">
        <v>1269</v>
      </c>
      <c r="P715" s="861">
        <f>IF($D715="Logistics",VLOOKUP($O715,'Upper Cask Movement &amp; Logistics'!$C$4:$D$77,2,FALSE),"N/A")</f>
        <v>2.3000000000000003</v>
      </c>
    </row>
    <row r="716" spans="1:16" s="89" customFormat="1" outlineLevel="1" x14ac:dyDescent="0.35">
      <c r="A716" s="1224"/>
      <c r="B716" s="3969"/>
      <c r="C716" s="1362" t="s">
        <v>1402</v>
      </c>
      <c r="D716" s="1362" t="s">
        <v>778</v>
      </c>
      <c r="E716" s="1363">
        <f t="shared" si="22"/>
        <v>0.11574074074074074</v>
      </c>
      <c r="F716" s="1363">
        <f>IF($D716="Trigger",VLOOKUP($C716,'Upper Cask Welding failures'!$E$516:$H$558,4,FALSE),E716+F715)</f>
        <v>79.550116965520687</v>
      </c>
      <c r="G716" s="1364"/>
      <c r="H716" s="1365" t="str">
        <f>IF(D716="operation",VLOOKUP(G716,'Generic Vertical Port Tasks'!C616:D696,2,FALSE),"N/A")</f>
        <v>N/A</v>
      </c>
      <c r="I716" s="1362" t="s">
        <v>2501</v>
      </c>
      <c r="J716" s="1362" t="s">
        <v>901</v>
      </c>
      <c r="K716" s="1362" t="s">
        <v>858</v>
      </c>
      <c r="L716" s="1366">
        <f>IFERROR(INDEX('Upper Cask Movement &amp; Logistics'!$I$24:$O$30,MATCH($J716,'Upper Cask Movement &amp; Logistics'!$H$24:$H$30,0),MATCH($K716,'Upper Cask Movement &amp; Logistics'!$H$24:$H$30,0)),"N/A")</f>
        <v>25</v>
      </c>
      <c r="M716" s="1366">
        <f>IFERROR(VLOOKUP($I716,'Upper Cask Movement &amp; Logistics'!$H$4:$I$8,2,FALSE),"N/A")</f>
        <v>0.06</v>
      </c>
      <c r="N716" s="1367">
        <f t="shared" si="24"/>
        <v>0.11574074074074074</v>
      </c>
      <c r="O716" s="1368"/>
      <c r="P716" s="861" t="str">
        <f>IF($D716="Logistics",VLOOKUP($O716,'Upper Cask Movement &amp; Logistics'!$C$4:$D$77,2,FALSE),"N/A")</f>
        <v>N/A</v>
      </c>
    </row>
    <row r="717" spans="1:16" s="89" customFormat="1" outlineLevel="1" x14ac:dyDescent="0.35">
      <c r="A717" s="1224"/>
      <c r="B717" s="3969"/>
      <c r="C717" s="1362" t="s">
        <v>1407</v>
      </c>
      <c r="D717" s="1362" t="s">
        <v>3</v>
      </c>
      <c r="E717" s="1363">
        <f t="shared" si="22"/>
        <v>0.63000000000000012</v>
      </c>
      <c r="F717" s="1363">
        <f>IF($D717="Trigger",VLOOKUP($C717,'Upper Cask Welding failures'!$E$516:$H$558,4,FALSE),E717+F716)</f>
        <v>80.180116965520682</v>
      </c>
      <c r="G717" s="1364"/>
      <c r="H717" s="1365" t="str">
        <f>IF(D717="operation",VLOOKUP(G717,'Generic Vertical Port Tasks'!C616:D696,2,FALSE),"N/A")</f>
        <v>N/A</v>
      </c>
      <c r="I717" s="1362"/>
      <c r="J717" s="1362"/>
      <c r="K717" s="1362"/>
      <c r="L717" s="1366" t="str">
        <f>IFERROR(INDEX('Upper Cask Movement &amp; Logistics'!$I$24:$O$30,MATCH($J717,'Upper Cask Movement &amp; Logistics'!$H$24:$H$30,0),MATCH($K717,'Upper Cask Movement &amp; Logistics'!$H$24:$H$30,0)),"N/A")</f>
        <v>N/A</v>
      </c>
      <c r="M717" s="1366" t="str">
        <f>IFERROR(VLOOKUP($I717,'Upper Cask Movement &amp; Logistics'!$H$4:$I$8,2,FALSE),"N/A")</f>
        <v>N/A</v>
      </c>
      <c r="N717" s="1367" t="str">
        <f t="shared" si="24"/>
        <v>N/A</v>
      </c>
      <c r="O717" s="1368" t="s">
        <v>1228</v>
      </c>
      <c r="P717" s="861">
        <f>IF($D717="Logistics",VLOOKUP($O717,'Upper Cask Movement &amp; Logistics'!$C$4:$D$77,2,FALSE),"N/A")</f>
        <v>0.63000000000000012</v>
      </c>
    </row>
    <row r="718" spans="1:16" s="89" customFormat="1" outlineLevel="1" x14ac:dyDescent="0.35">
      <c r="A718" s="1224"/>
      <c r="B718" s="3965"/>
      <c r="C718" s="1294" t="s">
        <v>1340</v>
      </c>
      <c r="D718" s="1294" t="s">
        <v>778</v>
      </c>
      <c r="E718" s="1292">
        <f t="shared" si="22"/>
        <v>0.69444444444444442</v>
      </c>
      <c r="F718" s="1292">
        <f>IF($D718="Trigger",VLOOKUP($C718,'Upper Cask Welding failures'!$E$516:$H$558,4,FALSE),E718+F717)</f>
        <v>80.874561409965125</v>
      </c>
      <c r="G718" s="862"/>
      <c r="H718" s="1328" t="str">
        <f>IF(D718="operation",VLOOKUP(G718,'Generic Vertical Port Tasks'!C616:D696,2,FALSE),"N/A")</f>
        <v>N/A</v>
      </c>
      <c r="I718" s="1294" t="s">
        <v>1789</v>
      </c>
      <c r="J718" s="1294" t="s">
        <v>831</v>
      </c>
      <c r="K718" s="1294" t="s">
        <v>901</v>
      </c>
      <c r="L718" s="1329">
        <f>IFERROR(INDEX('Upper Cask Movement &amp; Logistics'!$I$24:$O$30,MATCH($J718,'Upper Cask Movement &amp; Logistics'!$H$24:$H$30,0),MATCH($K718,'Upper Cask Movement &amp; Logistics'!$H$24:$H$30,0)),"N/A")</f>
        <v>50</v>
      </c>
      <c r="M718" s="1329">
        <f>IFERROR(VLOOKUP($I718,'Upper Cask Movement &amp; Logistics'!$H$4:$I$8,2,FALSE),"N/A")</f>
        <v>0.02</v>
      </c>
      <c r="N718" s="1330">
        <f t="shared" si="24"/>
        <v>0.69444444444444442</v>
      </c>
      <c r="O718" s="1331"/>
      <c r="P718" s="1332" t="str">
        <f>IF($D718="Logistics",VLOOKUP($O718,'Upper Cask Movement &amp; Logistics'!$C$4:$D$77,2,FALSE),"N/A")</f>
        <v>N/A</v>
      </c>
    </row>
    <row r="719" spans="1:16" s="89" customFormat="1" outlineLevel="1" x14ac:dyDescent="0.35">
      <c r="A719" s="1224"/>
      <c r="B719" s="3965"/>
      <c r="C719" s="1294" t="s">
        <v>1391</v>
      </c>
      <c r="D719" s="1294" t="s">
        <v>3</v>
      </c>
      <c r="E719" s="1292">
        <f t="shared" si="22"/>
        <v>1.4000000000000001</v>
      </c>
      <c r="F719" s="1292">
        <f>IF($D719="Trigger",VLOOKUP($C719,'Upper Cask Welding failures'!$E$516:$H$558,4,FALSE),E719+F718)</f>
        <v>82.274561409965131</v>
      </c>
      <c r="G719" s="862"/>
      <c r="H719" s="1328" t="str">
        <f>IF(D719="operation",VLOOKUP(G719,'Generic Vertical Port Tasks'!C616:D696,2,FALSE),"N/A")</f>
        <v>N/A</v>
      </c>
      <c r="I719" s="1294"/>
      <c r="J719" s="1294"/>
      <c r="K719" s="1294"/>
      <c r="L719" s="1329" t="str">
        <f>IFERROR(INDEX('Upper Cask Movement &amp; Logistics'!$I$24:$O$30,MATCH($J719,'Upper Cask Movement &amp; Logistics'!$H$24:$H$30,0),MATCH($K719,'Upper Cask Movement &amp; Logistics'!$H$24:$H$30,0)),"N/A")</f>
        <v>N/A</v>
      </c>
      <c r="M719" s="1329" t="str">
        <f>IFERROR(VLOOKUP($I719,'Upper Cask Movement &amp; Logistics'!$H$4:$I$8,2,FALSE),"N/A")</f>
        <v>N/A</v>
      </c>
      <c r="N719" s="1330" t="str">
        <f t="shared" si="24"/>
        <v>N/A</v>
      </c>
      <c r="O719" s="1331" t="s">
        <v>1277</v>
      </c>
      <c r="P719" s="1332">
        <f>IF($D719="Logistics",VLOOKUP($O719,'Upper Cask Movement &amp; Logistics'!$C$4:$D$77,2,FALSE),"N/A")</f>
        <v>1.4000000000000001</v>
      </c>
    </row>
    <row r="720" spans="1:16" s="89" customFormat="1" ht="13.3" outlineLevel="1" thickBot="1" x14ac:dyDescent="0.4">
      <c r="A720" s="1224"/>
      <c r="B720" s="3966"/>
      <c r="C720" s="1340" t="s">
        <v>1282</v>
      </c>
      <c r="D720" s="1340" t="s">
        <v>11</v>
      </c>
      <c r="E720" s="1295">
        <f t="shared" si="22"/>
        <v>0</v>
      </c>
      <c r="F720" s="1295">
        <f>IF($D720="Trigger",VLOOKUP($C720,'Upper Cask Welding failures'!$E$516:$H$558,4,FALSE),E720+F719)</f>
        <v>82.274561409965131</v>
      </c>
      <c r="G720" s="839"/>
      <c r="H720" s="1341" t="str">
        <f>IF(D720="operation",VLOOKUP(G720,'Generic Vertical Port Tasks'!C616:D696,2,FALSE),"N/A")</f>
        <v>N/A</v>
      </c>
      <c r="I720" s="1340"/>
      <c r="J720" s="1340"/>
      <c r="K720" s="1340"/>
      <c r="L720" s="1342" t="str">
        <f>IFERROR(INDEX('Upper Cask Movement &amp; Logistics'!$I$24:$O$30,MATCH($J720,'Upper Cask Movement &amp; Logistics'!$H$24:$H$30,0),MATCH($K720,'Upper Cask Movement &amp; Logistics'!$H$24:$H$30,0)),"N/A")</f>
        <v>N/A</v>
      </c>
      <c r="M720" s="1342" t="str">
        <f>IFERROR(VLOOKUP($I720,'Upper Cask Movement &amp; Logistics'!$H$4:$I$8,2,FALSE),"N/A")</f>
        <v>N/A</v>
      </c>
      <c r="N720" s="1343" t="str">
        <f t="shared" si="24"/>
        <v>N/A</v>
      </c>
      <c r="O720" s="1344"/>
      <c r="P720" s="1345" t="str">
        <f>IF($D720="Logistics",VLOOKUP($O720,'Upper Cask Movement &amp; Logistics'!$C$4:$D$77,2,FALSE),"N/A")</f>
        <v>N/A</v>
      </c>
    </row>
    <row r="721" spans="1:16" s="89" customFormat="1" outlineLevel="1" x14ac:dyDescent="0.35">
      <c r="A721" s="1224"/>
      <c r="B721" s="3960" t="s">
        <v>1284</v>
      </c>
      <c r="C721" s="1333" t="s">
        <v>1283</v>
      </c>
      <c r="D721" s="1333" t="s">
        <v>907</v>
      </c>
      <c r="E721" s="1303">
        <f t="shared" si="22"/>
        <v>0</v>
      </c>
      <c r="F721" s="1303">
        <f>IF($D721="Trigger",VLOOKUP($C721,'Upper Cask Welding failures'!$E$516:$H$558,4,FALSE),E721+F720)</f>
        <v>87.204561409965123</v>
      </c>
      <c r="G721" s="1304"/>
      <c r="H721" s="1305" t="str">
        <f>IF(D721="operation",VLOOKUP(G721,'Generic Vertical Port Tasks'!C623:D696,2,FALSE),"N/A")</f>
        <v>N/A</v>
      </c>
      <c r="I721" s="1333"/>
      <c r="J721" s="1333"/>
      <c r="K721" s="1333"/>
      <c r="L721" s="1334" t="str">
        <f>IFERROR(INDEX('Upper Cask Movement &amp; Logistics'!$I$24:$O$30,MATCH($J721,'Upper Cask Movement &amp; Logistics'!$H$24:$H$30,0),MATCH($K721,'Upper Cask Movement &amp; Logistics'!$H$24:$H$30,0)),"N/A")</f>
        <v>N/A</v>
      </c>
      <c r="M721" s="1334" t="str">
        <f>IFERROR(VLOOKUP($I721,'Upper Cask Movement &amp; Logistics'!$H$4:$I$8,2,FALSE),"N/A")</f>
        <v>N/A</v>
      </c>
      <c r="N721" s="1335" t="str">
        <f t="shared" si="24"/>
        <v>N/A</v>
      </c>
      <c r="O721" s="1336"/>
      <c r="P721" s="1337" t="str">
        <f>IF($D721="Logistics",VLOOKUP($O721,'Upper Cask Movement &amp; Logistics'!$C$4:$D$77,2,FALSE),"N/A")</f>
        <v>N/A</v>
      </c>
    </row>
    <row r="722" spans="1:16" s="89" customFormat="1" outlineLevel="1" x14ac:dyDescent="0.35">
      <c r="A722" s="1224"/>
      <c r="B722" s="3968"/>
      <c r="C722" s="1240" t="s">
        <v>1268</v>
      </c>
      <c r="D722" s="1240" t="s">
        <v>3</v>
      </c>
      <c r="E722" s="1241">
        <f t="shared" si="22"/>
        <v>2.3000000000000003</v>
      </c>
      <c r="F722" s="1241">
        <f>IF($D722="Trigger",VLOOKUP($C722,'Upper Cask Welding failures'!$E$516:$H$558,4,FALSE),E722+F721)</f>
        <v>89.50456140996512</v>
      </c>
      <c r="G722" s="1354"/>
      <c r="H722" s="1355" t="str">
        <f>IF(D722="operation",VLOOKUP(G722,'Generic Vertical Port Tasks'!C623:D696,2,FALSE),"N/A")</f>
        <v>N/A</v>
      </c>
      <c r="I722" s="1240"/>
      <c r="J722" s="1240"/>
      <c r="K722" s="1240"/>
      <c r="L722" s="1242" t="str">
        <f>IFERROR(INDEX('Upper Cask Movement &amp; Logistics'!$I$24:$O$30,MATCH($J722,'Upper Cask Movement &amp; Logistics'!$H$24:$H$30,0),MATCH($K722,'Upper Cask Movement &amp; Logistics'!$H$24:$H$30,0)),"N/A")</f>
        <v>N/A</v>
      </c>
      <c r="M722" s="1242" t="str">
        <f>IFERROR(VLOOKUP($I722,'Upper Cask Movement &amp; Logistics'!$H$4:$I$8,2,FALSE),"N/A")</f>
        <v>N/A</v>
      </c>
      <c r="N722" s="1356" t="str">
        <f t="shared" si="24"/>
        <v>N/A</v>
      </c>
      <c r="O722" s="1357" t="s">
        <v>1269</v>
      </c>
      <c r="P722" s="1358">
        <f>IF($D722="Logistics",VLOOKUP($O722,'Upper Cask Movement &amp; Logistics'!$C$4:$D$77,2,FALSE),"N/A")</f>
        <v>2.3000000000000003</v>
      </c>
    </row>
    <row r="723" spans="1:16" s="89" customFormat="1" outlineLevel="1" x14ac:dyDescent="0.35">
      <c r="A723" s="1224"/>
      <c r="B723" s="3968"/>
      <c r="C723" s="1240" t="s">
        <v>1402</v>
      </c>
      <c r="D723" s="1240" t="s">
        <v>778</v>
      </c>
      <c r="E723" s="1241">
        <f t="shared" si="22"/>
        <v>0.11574074074074074</v>
      </c>
      <c r="F723" s="1241">
        <f>IF($D723="Trigger",VLOOKUP($C723,'Upper Cask Welding failures'!$E$516:$H$558,4,FALSE),E723+F722)</f>
        <v>89.620302150705868</v>
      </c>
      <c r="G723" s="1354"/>
      <c r="H723" s="1355" t="str">
        <f>IF(D723="operation",VLOOKUP(G723,'Generic Vertical Port Tasks'!C623:D696,2,FALSE),"N/A")</f>
        <v>N/A</v>
      </c>
      <c r="I723" s="1240" t="s">
        <v>2501</v>
      </c>
      <c r="J723" s="1240" t="s">
        <v>901</v>
      </c>
      <c r="K723" s="1240" t="s">
        <v>858</v>
      </c>
      <c r="L723" s="1242">
        <f>IFERROR(INDEX('Upper Cask Movement &amp; Logistics'!$I$24:$O$30,MATCH($J723,'Upper Cask Movement &amp; Logistics'!$H$24:$H$30,0),MATCH($K723,'Upper Cask Movement &amp; Logistics'!$H$24:$H$30,0)),"N/A")</f>
        <v>25</v>
      </c>
      <c r="M723" s="1242">
        <f>IFERROR(VLOOKUP($I723,'Upper Cask Movement &amp; Logistics'!$H$4:$I$8,2,FALSE),"N/A")</f>
        <v>0.06</v>
      </c>
      <c r="N723" s="1356">
        <f t="shared" si="24"/>
        <v>0.11574074074074074</v>
      </c>
      <c r="O723" s="1357"/>
      <c r="P723" s="1358" t="str">
        <f>IF($D723="Logistics",VLOOKUP($O723,'Upper Cask Movement &amp; Logistics'!$C$4:$D$77,2,FALSE),"N/A")</f>
        <v>N/A</v>
      </c>
    </row>
    <row r="724" spans="1:16" s="89" customFormat="1" outlineLevel="1" x14ac:dyDescent="0.35">
      <c r="A724" s="1224"/>
      <c r="B724" s="3968"/>
      <c r="C724" s="1240" t="s">
        <v>1408</v>
      </c>
      <c r="D724" s="1240" t="s">
        <v>3</v>
      </c>
      <c r="E724" s="1241">
        <f t="shared" si="22"/>
        <v>0.63000000000000012</v>
      </c>
      <c r="F724" s="1241">
        <f>IF($D724="Trigger",VLOOKUP($C724,'Upper Cask Welding failures'!$E$516:$H$558,4,FALSE),E724+F723)</f>
        <v>90.250302150705863</v>
      </c>
      <c r="G724" s="1354"/>
      <c r="H724" s="1355" t="str">
        <f>IF(D724="operation",VLOOKUP(G724,'Generic Vertical Port Tasks'!C623:D696,2,FALSE),"N/A")</f>
        <v>N/A</v>
      </c>
      <c r="I724" s="1240"/>
      <c r="J724" s="1240"/>
      <c r="K724" s="1240"/>
      <c r="L724" s="1242" t="str">
        <f>IFERROR(INDEX('Upper Cask Movement &amp; Logistics'!$I$24:$O$30,MATCH($J724,'Upper Cask Movement &amp; Logistics'!$H$24:$H$30,0),MATCH($K724,'Upper Cask Movement &amp; Logistics'!$H$24:$H$30,0)),"N/A")</f>
        <v>N/A</v>
      </c>
      <c r="M724" s="1242" t="str">
        <f>IFERROR(VLOOKUP($I724,'Upper Cask Movement &amp; Logistics'!$H$4:$I$8,2,FALSE),"N/A")</f>
        <v>N/A</v>
      </c>
      <c r="N724" s="1356" t="str">
        <f t="shared" si="24"/>
        <v>N/A</v>
      </c>
      <c r="O724" s="1357" t="s">
        <v>1228</v>
      </c>
      <c r="P724" s="1358">
        <f>IF($D724="Logistics",VLOOKUP($O724,'Upper Cask Movement &amp; Logistics'!$C$4:$D$77,2,FALSE),"N/A")</f>
        <v>0.63000000000000012</v>
      </c>
    </row>
    <row r="725" spans="1:16" s="89" customFormat="1" outlineLevel="1" x14ac:dyDescent="0.35">
      <c r="A725" s="1224"/>
      <c r="B725" s="3961"/>
      <c r="C725" s="1243" t="s">
        <v>1366</v>
      </c>
      <c r="D725" s="1243" t="s">
        <v>778</v>
      </c>
      <c r="E725" s="1244">
        <f t="shared" si="22"/>
        <v>0.69444444444444442</v>
      </c>
      <c r="F725" s="1244">
        <f>IF($D725="Trigger",VLOOKUP($C725,'Upper Cask Welding failures'!$E$516:$H$558,4,FALSE),E725+F724)</f>
        <v>90.944746595150306</v>
      </c>
      <c r="G725" s="1309"/>
      <c r="H725" s="1310" t="str">
        <f>IF(D725="operation",VLOOKUP(G725,'Generic Vertical Port Tasks'!C623:D696,2,FALSE),"N/A")</f>
        <v>N/A</v>
      </c>
      <c r="I725" s="1243" t="s">
        <v>1789</v>
      </c>
      <c r="J725" s="1243" t="s">
        <v>831</v>
      </c>
      <c r="K725" s="1243" t="s">
        <v>901</v>
      </c>
      <c r="L725" s="1245">
        <f>IFERROR(INDEX('Upper Cask Movement &amp; Logistics'!$I$24:$O$30,MATCH($J725,'Upper Cask Movement &amp; Logistics'!$H$24:$H$30,0),MATCH($K725,'Upper Cask Movement &amp; Logistics'!$H$24:$H$30,0)),"N/A")</f>
        <v>50</v>
      </c>
      <c r="M725" s="1245">
        <f>IFERROR(VLOOKUP($I725,'Upper Cask Movement &amp; Logistics'!$H$4:$I$8,2,FALSE),"N/A")</f>
        <v>0.02</v>
      </c>
      <c r="N725" s="1311">
        <f t="shared" si="24"/>
        <v>0.69444444444444442</v>
      </c>
      <c r="O725" s="1312"/>
      <c r="P725" s="1313" t="str">
        <f>IF($D725="Logistics",VLOOKUP($O725,'Upper Cask Movement &amp; Logistics'!$C$4:$D$77,2,FALSE),"N/A")</f>
        <v>N/A</v>
      </c>
    </row>
    <row r="726" spans="1:16" s="89" customFormat="1" outlineLevel="1" x14ac:dyDescent="0.35">
      <c r="A726" s="1224"/>
      <c r="B726" s="3961"/>
      <c r="C726" s="1243" t="s">
        <v>1391</v>
      </c>
      <c r="D726" s="1243" t="s">
        <v>3</v>
      </c>
      <c r="E726" s="1244">
        <f t="shared" si="22"/>
        <v>1.4000000000000001</v>
      </c>
      <c r="F726" s="1244">
        <f>IF($D726="Trigger",VLOOKUP($C726,'Upper Cask Welding failures'!$E$516:$H$558,4,FALSE),E726+F725)</f>
        <v>92.344746595150312</v>
      </c>
      <c r="G726" s="1309"/>
      <c r="H726" s="1310" t="str">
        <f>IF(D726="operation",VLOOKUP(G726,'Generic Vertical Port Tasks'!C623:D696,2,FALSE),"N/A")</f>
        <v>N/A</v>
      </c>
      <c r="I726" s="1243"/>
      <c r="J726" s="1243"/>
      <c r="K726" s="1243"/>
      <c r="L726" s="1245" t="str">
        <f>IFERROR(INDEX('Upper Cask Movement &amp; Logistics'!$I$24:$O$30,MATCH($J726,'Upper Cask Movement &amp; Logistics'!$H$24:$H$30,0),MATCH($K726,'Upper Cask Movement &amp; Logistics'!$H$24:$H$30,0)),"N/A")</f>
        <v>N/A</v>
      </c>
      <c r="M726" s="1245" t="str">
        <f>IFERROR(VLOOKUP($I726,'Upper Cask Movement &amp; Logistics'!$H$4:$I$8,2,FALSE),"N/A")</f>
        <v>N/A</v>
      </c>
      <c r="N726" s="1311" t="str">
        <f t="shared" si="24"/>
        <v>N/A</v>
      </c>
      <c r="O726" s="1312" t="s">
        <v>1277</v>
      </c>
      <c r="P726" s="1313">
        <f>IF($D726="Logistics",VLOOKUP($O726,'Upper Cask Movement &amp; Logistics'!$C$4:$D$77,2,FALSE),"N/A")</f>
        <v>1.4000000000000001</v>
      </c>
    </row>
    <row r="727" spans="1:16" s="89" customFormat="1" ht="13.3" outlineLevel="1" thickBot="1" x14ac:dyDescent="0.4">
      <c r="A727" s="1224"/>
      <c r="B727" s="3963"/>
      <c r="C727" s="1314" t="s">
        <v>1284</v>
      </c>
      <c r="D727" s="1314" t="s">
        <v>11</v>
      </c>
      <c r="E727" s="1316">
        <f t="shared" si="22"/>
        <v>0</v>
      </c>
      <c r="F727" s="1316">
        <f>IF($D727="Trigger",VLOOKUP($C727,'Upper Cask Welding failures'!$E$516:$H$558,4,FALSE),E727+F726)</f>
        <v>92.344746595150312</v>
      </c>
      <c r="G727" s="1317"/>
      <c r="H727" s="1318" t="str">
        <f>IF(D727="operation",VLOOKUP(G727,'Generic Vertical Port Tasks'!C623:D696,2,FALSE),"N/A")</f>
        <v>N/A</v>
      </c>
      <c r="I727" s="1314"/>
      <c r="J727" s="1314"/>
      <c r="K727" s="1314"/>
      <c r="L727" s="1319" t="str">
        <f>IFERROR(INDEX('Upper Cask Movement &amp; Logistics'!$I$24:$O$30,MATCH($J727,'Upper Cask Movement &amp; Logistics'!$H$24:$H$30,0),MATCH($K727,'Upper Cask Movement &amp; Logistics'!$H$24:$H$30,0)),"N/A")</f>
        <v>N/A</v>
      </c>
      <c r="M727" s="1319" t="str">
        <f>IFERROR(VLOOKUP($I727,'Upper Cask Movement &amp; Logistics'!$H$4:$I$8,2,FALSE),"N/A")</f>
        <v>N/A</v>
      </c>
      <c r="N727" s="1320" t="str">
        <f t="shared" si="24"/>
        <v>N/A</v>
      </c>
      <c r="O727" s="1321"/>
      <c r="P727" s="1322" t="str">
        <f>IF($D727="Logistics",VLOOKUP($O727,'Upper Cask Movement &amp; Logistics'!$C$4:$D$77,2,FALSE),"N/A")</f>
        <v>N/A</v>
      </c>
    </row>
    <row r="728" spans="1:16" s="89" customFormat="1" outlineLevel="1" x14ac:dyDescent="0.35">
      <c r="A728" s="1224"/>
      <c r="B728" s="3964" t="s">
        <v>1286</v>
      </c>
      <c r="C728" s="1324" t="s">
        <v>1285</v>
      </c>
      <c r="D728" s="1324" t="s">
        <v>907</v>
      </c>
      <c r="E728" s="1291">
        <f t="shared" si="22"/>
        <v>0</v>
      </c>
      <c r="F728" s="1291">
        <f>IF($D728="Trigger",VLOOKUP($C728,'Upper Cask Welding failures'!$E$516:$H$558,4,FALSE),E728+F727)</f>
        <v>97.274746595150305</v>
      </c>
      <c r="G728" s="825"/>
      <c r="H728" s="1323" t="str">
        <f>IF(D728="operation",VLOOKUP(G728,'Generic Vertical Port Tasks'!C629:D703,2,FALSE),"N/A")</f>
        <v>N/A</v>
      </c>
      <c r="I728" s="1324"/>
      <c r="J728" s="1324"/>
      <c r="K728" s="1324"/>
      <c r="L728" s="1325" t="str">
        <f>IFERROR(INDEX('Upper Cask Movement &amp; Logistics'!$I$24:$O$30,MATCH($J728,'Upper Cask Movement &amp; Logistics'!$H$24:$H$30,0),MATCH($K728,'Upper Cask Movement &amp; Logistics'!$H$24:$H$30,0)),"N/A")</f>
        <v>N/A</v>
      </c>
      <c r="M728" s="1325" t="str">
        <f>IFERROR(VLOOKUP($I728,'Upper Cask Movement &amp; Logistics'!$H$4:$I$8,2,FALSE),"N/A")</f>
        <v>N/A</v>
      </c>
      <c r="N728" s="1326" t="str">
        <f t="shared" si="24"/>
        <v>N/A</v>
      </c>
      <c r="O728" s="1327"/>
      <c r="P728" s="824" t="str">
        <f>IF($D728="Logistics",VLOOKUP($O728,'Upper Cask Movement &amp; Logistics'!$C$4:$D$77,2,FALSE),"N/A")</f>
        <v>N/A</v>
      </c>
    </row>
    <row r="729" spans="1:16" s="89" customFormat="1" outlineLevel="1" x14ac:dyDescent="0.35">
      <c r="A729" s="1224"/>
      <c r="B729" s="3969"/>
      <c r="C729" s="1362" t="s">
        <v>1395</v>
      </c>
      <c r="D729" s="1362" t="s">
        <v>3</v>
      </c>
      <c r="E729" s="1363">
        <f t="shared" si="22"/>
        <v>2.3000000000000003</v>
      </c>
      <c r="F729" s="1363">
        <f>IF($D729="Trigger",VLOOKUP($C729,'Upper Cask Welding failures'!$E$516:$H$558,4,FALSE),E729+F728)</f>
        <v>99.574746595150302</v>
      </c>
      <c r="G729" s="1364"/>
      <c r="H729" s="1365" t="str">
        <f>IF(D729="operation",VLOOKUP(G729,'Generic Vertical Port Tasks'!C629:D703,2,FALSE),"N/A")</f>
        <v>N/A</v>
      </c>
      <c r="I729" s="1362"/>
      <c r="J729" s="1362"/>
      <c r="K729" s="1362"/>
      <c r="L729" s="1366" t="str">
        <f>IFERROR(INDEX('Upper Cask Movement &amp; Logistics'!$I$24:$O$30,MATCH($J729,'Upper Cask Movement &amp; Logistics'!$H$24:$H$30,0),MATCH($K729,'Upper Cask Movement &amp; Logistics'!$H$24:$H$30,0)),"N/A")</f>
        <v>N/A</v>
      </c>
      <c r="M729" s="1366" t="str">
        <f>IFERROR(VLOOKUP($I729,'Upper Cask Movement &amp; Logistics'!$H$4:$I$8,2,FALSE),"N/A")</f>
        <v>N/A</v>
      </c>
      <c r="N729" s="1367" t="str">
        <f t="shared" si="24"/>
        <v>N/A</v>
      </c>
      <c r="O729" s="1368" t="s">
        <v>1269</v>
      </c>
      <c r="P729" s="861">
        <f>IF($D729="Logistics",VLOOKUP($O729,'Upper Cask Movement &amp; Logistics'!$C$4:$D$77,2,FALSE),"N/A")</f>
        <v>2.3000000000000003</v>
      </c>
    </row>
    <row r="730" spans="1:16" s="89" customFormat="1" outlineLevel="1" x14ac:dyDescent="0.35">
      <c r="A730" s="1224"/>
      <c r="B730" s="3969"/>
      <c r="C730" s="1362" t="s">
        <v>1402</v>
      </c>
      <c r="D730" s="1362" t="s">
        <v>778</v>
      </c>
      <c r="E730" s="1363">
        <f t="shared" si="22"/>
        <v>0.11574074074074074</v>
      </c>
      <c r="F730" s="1363">
        <f>IF($D730="Trigger",VLOOKUP($C730,'Upper Cask Welding failures'!$E$516:$H$558,4,FALSE),E730+F729)</f>
        <v>99.690487335891049</v>
      </c>
      <c r="G730" s="1364"/>
      <c r="H730" s="1365" t="str">
        <f>IF(D730="operation",VLOOKUP(G730,'Generic Vertical Port Tasks'!C629:D703,2,FALSE),"N/A")</f>
        <v>N/A</v>
      </c>
      <c r="I730" s="1362" t="s">
        <v>2501</v>
      </c>
      <c r="J730" s="1362" t="s">
        <v>901</v>
      </c>
      <c r="K730" s="1362" t="s">
        <v>858</v>
      </c>
      <c r="L730" s="1366">
        <f>IFERROR(INDEX('Upper Cask Movement &amp; Logistics'!$I$24:$O$30,MATCH($J730,'Upper Cask Movement &amp; Logistics'!$H$24:$H$30,0),MATCH($K730,'Upper Cask Movement &amp; Logistics'!$H$24:$H$30,0)),"N/A")</f>
        <v>25</v>
      </c>
      <c r="M730" s="1366">
        <f>IFERROR(VLOOKUP($I730,'Upper Cask Movement &amp; Logistics'!$H$4:$I$8,2,FALSE),"N/A")</f>
        <v>0.06</v>
      </c>
      <c r="N730" s="1367">
        <f t="shared" si="24"/>
        <v>0.11574074074074074</v>
      </c>
      <c r="O730" s="1368"/>
      <c r="P730" s="861" t="str">
        <f>IF($D730="Logistics",VLOOKUP($O730,'Upper Cask Movement &amp; Logistics'!$C$4:$D$77,2,FALSE),"N/A")</f>
        <v>N/A</v>
      </c>
    </row>
    <row r="731" spans="1:16" s="89" customFormat="1" outlineLevel="1" x14ac:dyDescent="0.35">
      <c r="A731" s="1224"/>
      <c r="B731" s="3969"/>
      <c r="C731" s="1362" t="s">
        <v>1409</v>
      </c>
      <c r="D731" s="1362" t="s">
        <v>3</v>
      </c>
      <c r="E731" s="1363">
        <f t="shared" si="22"/>
        <v>0.63000000000000012</v>
      </c>
      <c r="F731" s="1363">
        <f>IF($D731="Trigger",VLOOKUP($C731,'Upper Cask Welding failures'!$E$516:$H$558,4,FALSE),E731+F730)</f>
        <v>100.32048733589104</v>
      </c>
      <c r="G731" s="1364"/>
      <c r="H731" s="1365" t="str">
        <f>IF(D731="operation",VLOOKUP(G731,'Generic Vertical Port Tasks'!C629:D703,2,FALSE),"N/A")</f>
        <v>N/A</v>
      </c>
      <c r="I731" s="1362"/>
      <c r="J731" s="1362"/>
      <c r="K731" s="1362"/>
      <c r="L731" s="1366" t="str">
        <f>IFERROR(INDEX('Upper Cask Movement &amp; Logistics'!$I$24:$O$30,MATCH($J731,'Upper Cask Movement &amp; Logistics'!$H$24:$H$30,0),MATCH($K731,'Upper Cask Movement &amp; Logistics'!$H$24:$H$30,0)),"N/A")</f>
        <v>N/A</v>
      </c>
      <c r="M731" s="1366" t="str">
        <f>IFERROR(VLOOKUP($I731,'Upper Cask Movement &amp; Logistics'!$H$4:$I$8,2,FALSE),"N/A")</f>
        <v>N/A</v>
      </c>
      <c r="N731" s="1367" t="str">
        <f t="shared" si="24"/>
        <v>N/A</v>
      </c>
      <c r="O731" s="1368" t="s">
        <v>1228</v>
      </c>
      <c r="P731" s="861">
        <f>IF($D731="Logistics",VLOOKUP($O731,'Upper Cask Movement &amp; Logistics'!$C$4:$D$77,2,FALSE),"N/A")</f>
        <v>0.63000000000000012</v>
      </c>
    </row>
    <row r="732" spans="1:16" s="89" customFormat="1" outlineLevel="1" x14ac:dyDescent="0.35">
      <c r="A732" s="1224"/>
      <c r="B732" s="3965"/>
      <c r="C732" s="1294" t="s">
        <v>1340</v>
      </c>
      <c r="D732" s="1294" t="s">
        <v>778</v>
      </c>
      <c r="E732" s="1292">
        <f t="shared" si="22"/>
        <v>0.69444444444444442</v>
      </c>
      <c r="F732" s="1292">
        <f>IF($D732="Trigger",VLOOKUP($C732,'Upper Cask Welding failures'!$E$516:$H$558,4,FALSE),E732+F731)</f>
        <v>101.01493178033549</v>
      </c>
      <c r="G732" s="862"/>
      <c r="H732" s="1328" t="str">
        <f>IF(D732="operation",VLOOKUP(G732,'Generic Vertical Port Tasks'!C629:D703,2,FALSE),"N/A")</f>
        <v>N/A</v>
      </c>
      <c r="I732" s="1294" t="s">
        <v>1789</v>
      </c>
      <c r="J732" s="1294" t="s">
        <v>831</v>
      </c>
      <c r="K732" s="1294" t="s">
        <v>901</v>
      </c>
      <c r="L732" s="1329">
        <f>IFERROR(INDEX('Upper Cask Movement &amp; Logistics'!$I$24:$O$30,MATCH($J732,'Upper Cask Movement &amp; Logistics'!$H$24:$H$30,0),MATCH($K732,'Upper Cask Movement &amp; Logistics'!$H$24:$H$30,0)),"N/A")</f>
        <v>50</v>
      </c>
      <c r="M732" s="1329">
        <f>IFERROR(VLOOKUP($I732,'Upper Cask Movement &amp; Logistics'!$H$4:$I$8,2,FALSE),"N/A")</f>
        <v>0.02</v>
      </c>
      <c r="N732" s="1330">
        <f t="shared" si="24"/>
        <v>0.69444444444444442</v>
      </c>
      <c r="O732" s="1331"/>
      <c r="P732" s="1332" t="str">
        <f>IF($D732="Logistics",VLOOKUP($O732,'Upper Cask Movement &amp; Logistics'!$C$4:$D$77,2,FALSE),"N/A")</f>
        <v>N/A</v>
      </c>
    </row>
    <row r="733" spans="1:16" s="89" customFormat="1" outlineLevel="1" x14ac:dyDescent="0.35">
      <c r="A733" s="1224"/>
      <c r="B733" s="3965"/>
      <c r="C733" s="1294" t="s">
        <v>1391</v>
      </c>
      <c r="D733" s="1294" t="s">
        <v>3</v>
      </c>
      <c r="E733" s="1292">
        <f t="shared" si="22"/>
        <v>1.4000000000000001</v>
      </c>
      <c r="F733" s="1292">
        <f>IF($D733="Trigger",VLOOKUP($C733,'Upper Cask Welding failures'!$E$516:$H$558,4,FALSE),E733+F732)</f>
        <v>102.41493178033549</v>
      </c>
      <c r="G733" s="862"/>
      <c r="H733" s="1328" t="str">
        <f>IF(D733="operation",VLOOKUP(G733,'Generic Vertical Port Tasks'!C629:D703,2,FALSE),"N/A")</f>
        <v>N/A</v>
      </c>
      <c r="I733" s="1294"/>
      <c r="J733" s="1294"/>
      <c r="K733" s="1294"/>
      <c r="L733" s="1329" t="str">
        <f>IFERROR(INDEX('Upper Cask Movement &amp; Logistics'!$I$24:$O$30,MATCH($J733,'Upper Cask Movement &amp; Logistics'!$H$24:$H$30,0),MATCH($K733,'Upper Cask Movement &amp; Logistics'!$H$24:$H$30,0)),"N/A")</f>
        <v>N/A</v>
      </c>
      <c r="M733" s="1329" t="str">
        <f>IFERROR(VLOOKUP($I733,'Upper Cask Movement &amp; Logistics'!$H$4:$I$8,2,FALSE),"N/A")</f>
        <v>N/A</v>
      </c>
      <c r="N733" s="1330" t="str">
        <f t="shared" si="24"/>
        <v>N/A</v>
      </c>
      <c r="O733" s="1331" t="s">
        <v>1277</v>
      </c>
      <c r="P733" s="1332">
        <f>IF($D733="Logistics",VLOOKUP($O733,'Upper Cask Movement &amp; Logistics'!$C$4:$D$77,2,FALSE),"N/A")</f>
        <v>1.4000000000000001</v>
      </c>
    </row>
    <row r="734" spans="1:16" s="89" customFormat="1" ht="13.3" outlineLevel="1" thickBot="1" x14ac:dyDescent="0.4">
      <c r="A734" s="1224"/>
      <c r="B734" s="3966"/>
      <c r="C734" s="1340" t="s">
        <v>1286</v>
      </c>
      <c r="D734" s="1340" t="s">
        <v>11</v>
      </c>
      <c r="E734" s="1295">
        <f t="shared" si="22"/>
        <v>0</v>
      </c>
      <c r="F734" s="1295">
        <f>IF($D734="Trigger",VLOOKUP($C734,'Upper Cask Welding failures'!$E$516:$H$558,4,FALSE),E734+F733)</f>
        <v>102.41493178033549</v>
      </c>
      <c r="G734" s="839"/>
      <c r="H734" s="1341" t="str">
        <f>IF(D734="operation",VLOOKUP(G734,'Generic Vertical Port Tasks'!C629:D703,2,FALSE),"N/A")</f>
        <v>N/A</v>
      </c>
      <c r="I734" s="1340"/>
      <c r="J734" s="1340"/>
      <c r="K734" s="1340"/>
      <c r="L734" s="1342" t="str">
        <f>IFERROR(INDEX('Upper Cask Movement &amp; Logistics'!$I$24:$O$30,MATCH($J734,'Upper Cask Movement &amp; Logistics'!$H$24:$H$30,0),MATCH($K734,'Upper Cask Movement &amp; Logistics'!$H$24:$H$30,0)),"N/A")</f>
        <v>N/A</v>
      </c>
      <c r="M734" s="1342" t="str">
        <f>IFERROR(VLOOKUP($I734,'Upper Cask Movement &amp; Logistics'!$H$4:$I$8,2,FALSE),"N/A")</f>
        <v>N/A</v>
      </c>
      <c r="N734" s="1343" t="str">
        <f t="shared" si="24"/>
        <v>N/A</v>
      </c>
      <c r="O734" s="1344"/>
      <c r="P734" s="1345" t="str">
        <f>IF($D734="Logistics",VLOOKUP($O734,'Upper Cask Movement &amp; Logistics'!$C$4:$D$77,2,FALSE),"N/A")</f>
        <v>N/A</v>
      </c>
    </row>
    <row r="735" spans="1:16" s="89" customFormat="1" outlineLevel="1" x14ac:dyDescent="0.35">
      <c r="A735" s="1224"/>
      <c r="B735" s="3960" t="s">
        <v>1288</v>
      </c>
      <c r="C735" s="1333" t="s">
        <v>1287</v>
      </c>
      <c r="D735" s="1333" t="s">
        <v>907</v>
      </c>
      <c r="E735" s="1303">
        <f t="shared" si="22"/>
        <v>0</v>
      </c>
      <c r="F735" s="1303">
        <f>IF($D735="Trigger",VLOOKUP($C735,'Upper Cask Welding failures'!$E$516:$H$558,4,FALSE),E735+F734)</f>
        <v>107.34493178033549</v>
      </c>
      <c r="G735" s="1304"/>
      <c r="H735" s="1305" t="str">
        <f>IF(D735="operation",VLOOKUP(G735,'Generic Vertical Port Tasks'!C631:D710,2,FALSE),"N/A")</f>
        <v>N/A</v>
      </c>
      <c r="I735" s="1333"/>
      <c r="J735" s="1333"/>
      <c r="K735" s="1333"/>
      <c r="L735" s="1334" t="str">
        <f>IFERROR(INDEX('Upper Cask Movement &amp; Logistics'!$I$24:$O$30,MATCH($J735,'Upper Cask Movement &amp; Logistics'!$H$24:$H$30,0),MATCH($K735,'Upper Cask Movement &amp; Logistics'!$H$24:$H$30,0)),"N/A")</f>
        <v>N/A</v>
      </c>
      <c r="M735" s="1334" t="str">
        <f>IFERROR(VLOOKUP($I735,'Upper Cask Movement &amp; Logistics'!$H$4:$I$8,2,FALSE),"N/A")</f>
        <v>N/A</v>
      </c>
      <c r="N735" s="1335" t="str">
        <f t="shared" si="24"/>
        <v>N/A</v>
      </c>
      <c r="O735" s="1336"/>
      <c r="P735" s="1337" t="str">
        <f>IF($D735="Logistics",VLOOKUP($O735,'Upper Cask Movement &amp; Logistics'!$C$4:$D$77,2,FALSE),"N/A")</f>
        <v>N/A</v>
      </c>
    </row>
    <row r="736" spans="1:16" s="89" customFormat="1" outlineLevel="1" x14ac:dyDescent="0.35">
      <c r="A736" s="1224"/>
      <c r="B736" s="3968"/>
      <c r="C736" s="1240" t="s">
        <v>1268</v>
      </c>
      <c r="D736" s="1240" t="s">
        <v>3</v>
      </c>
      <c r="E736" s="1241">
        <f t="shared" si="22"/>
        <v>2.3000000000000003</v>
      </c>
      <c r="F736" s="1241">
        <f>IF($D736="Trigger",VLOOKUP($C736,'Upper Cask Welding failures'!$E$516:$H$558,4,FALSE),E736+F735)</f>
        <v>109.64493178033548</v>
      </c>
      <c r="G736" s="1354"/>
      <c r="H736" s="1355" t="str">
        <f>IF(D736="operation",VLOOKUP(G736,'Generic Vertical Port Tasks'!C631:D710,2,FALSE),"N/A")</f>
        <v>N/A</v>
      </c>
      <c r="I736" s="1240"/>
      <c r="J736" s="1240"/>
      <c r="K736" s="1240"/>
      <c r="L736" s="1242" t="str">
        <f>IFERROR(INDEX('Upper Cask Movement &amp; Logistics'!$I$24:$O$30,MATCH($J736,'Upper Cask Movement &amp; Logistics'!$H$24:$H$30,0),MATCH($K736,'Upper Cask Movement &amp; Logistics'!$H$24:$H$30,0)),"N/A")</f>
        <v>N/A</v>
      </c>
      <c r="M736" s="1242" t="str">
        <f>IFERROR(VLOOKUP($I736,'Upper Cask Movement &amp; Logistics'!$H$4:$I$8,2,FALSE),"N/A")</f>
        <v>N/A</v>
      </c>
      <c r="N736" s="1356" t="str">
        <f t="shared" si="24"/>
        <v>N/A</v>
      </c>
      <c r="O736" s="1357" t="s">
        <v>1269</v>
      </c>
      <c r="P736" s="1358">
        <f>IF($D736="Logistics",VLOOKUP($O736,'Upper Cask Movement &amp; Logistics'!$C$4:$D$77,2,FALSE),"N/A")</f>
        <v>2.3000000000000003</v>
      </c>
    </row>
    <row r="737" spans="1:16" s="89" customFormat="1" outlineLevel="1" x14ac:dyDescent="0.35">
      <c r="A737" s="1224"/>
      <c r="B737" s="3968"/>
      <c r="C737" s="1240" t="s">
        <v>1410</v>
      </c>
      <c r="D737" s="1240" t="s">
        <v>778</v>
      </c>
      <c r="E737" s="1241">
        <f t="shared" si="22"/>
        <v>0.11574074074074074</v>
      </c>
      <c r="F737" s="1241">
        <f>IF($D737="Trigger",VLOOKUP($C737,'Upper Cask Welding failures'!$E$516:$H$558,4,FALSE),E737+F736)</f>
        <v>109.76067252107623</v>
      </c>
      <c r="G737" s="1354"/>
      <c r="H737" s="1355" t="str">
        <f>IF(D737="operation",VLOOKUP(G737,'Generic Vertical Port Tasks'!C631:D710,2,FALSE),"N/A")</f>
        <v>N/A</v>
      </c>
      <c r="I737" s="1240" t="s">
        <v>2501</v>
      </c>
      <c r="J737" s="1240" t="s">
        <v>901</v>
      </c>
      <c r="K737" s="1240" t="s">
        <v>858</v>
      </c>
      <c r="L737" s="1242">
        <f>IFERROR(INDEX('Upper Cask Movement &amp; Logistics'!$I$24:$O$30,MATCH($J737,'Upper Cask Movement &amp; Logistics'!$H$24:$H$30,0),MATCH($K737,'Upper Cask Movement &amp; Logistics'!$H$24:$H$30,0)),"N/A")</f>
        <v>25</v>
      </c>
      <c r="M737" s="1242">
        <f>IFERROR(VLOOKUP($I737,'Upper Cask Movement &amp; Logistics'!$H$4:$I$8,2,FALSE),"N/A")</f>
        <v>0.06</v>
      </c>
      <c r="N737" s="1356">
        <f t="shared" si="24"/>
        <v>0.11574074074074074</v>
      </c>
      <c r="O737" s="1357"/>
      <c r="P737" s="1358" t="str">
        <f>IF($D737="Logistics",VLOOKUP($O737,'Upper Cask Movement &amp; Logistics'!$C$4:$D$77,2,FALSE),"N/A")</f>
        <v>N/A</v>
      </c>
    </row>
    <row r="738" spans="1:16" s="89" customFormat="1" outlineLevel="1" x14ac:dyDescent="0.35">
      <c r="A738" s="1224"/>
      <c r="B738" s="3968"/>
      <c r="C738" s="1240" t="s">
        <v>1411</v>
      </c>
      <c r="D738" s="1240" t="s">
        <v>3</v>
      </c>
      <c r="E738" s="1241">
        <f t="shared" si="22"/>
        <v>0.63000000000000012</v>
      </c>
      <c r="F738" s="1241">
        <f>IF($D738="Trigger",VLOOKUP($C738,'Upper Cask Welding failures'!$E$516:$H$558,4,FALSE),E738+F737)</f>
        <v>110.39067252107623</v>
      </c>
      <c r="G738" s="1354"/>
      <c r="H738" s="1355" t="str">
        <f>IF(D738="operation",VLOOKUP(G738,'Generic Vertical Port Tasks'!C631:D710,2,FALSE),"N/A")</f>
        <v>N/A</v>
      </c>
      <c r="I738" s="1240"/>
      <c r="J738" s="1240"/>
      <c r="K738" s="1240"/>
      <c r="L738" s="1242" t="str">
        <f>IFERROR(INDEX('Upper Cask Movement &amp; Logistics'!$I$24:$O$30,MATCH($J738,'Upper Cask Movement &amp; Logistics'!$H$24:$H$30,0),MATCH($K738,'Upper Cask Movement &amp; Logistics'!$H$24:$H$30,0)),"N/A")</f>
        <v>N/A</v>
      </c>
      <c r="M738" s="1242" t="str">
        <f>IFERROR(VLOOKUP($I738,'Upper Cask Movement &amp; Logistics'!$H$4:$I$8,2,FALSE),"N/A")</f>
        <v>N/A</v>
      </c>
      <c r="N738" s="1356" t="str">
        <f t="shared" si="24"/>
        <v>N/A</v>
      </c>
      <c r="O738" s="1357" t="s">
        <v>1228</v>
      </c>
      <c r="P738" s="1358">
        <f>IF($D738="Logistics",VLOOKUP($O738,'Upper Cask Movement &amp; Logistics'!$C$4:$D$77,2,FALSE),"N/A")</f>
        <v>0.63000000000000012</v>
      </c>
    </row>
    <row r="739" spans="1:16" s="89" customFormat="1" outlineLevel="1" x14ac:dyDescent="0.35">
      <c r="A739" s="1224"/>
      <c r="B739" s="3961"/>
      <c r="C739" s="1243" t="s">
        <v>1366</v>
      </c>
      <c r="D739" s="1243" t="s">
        <v>778</v>
      </c>
      <c r="E739" s="1244">
        <f t="shared" si="22"/>
        <v>0.69444444444444442</v>
      </c>
      <c r="F739" s="1244">
        <f>IF($D739="Trigger",VLOOKUP($C739,'Upper Cask Welding failures'!$E$516:$H$558,4,FALSE),E739+F738)</f>
        <v>111.08511696552067</v>
      </c>
      <c r="G739" s="1309"/>
      <c r="H739" s="1310" t="str">
        <f>IF(D739="operation",VLOOKUP(G739,'Generic Vertical Port Tasks'!C631:D710,2,FALSE),"N/A")</f>
        <v>N/A</v>
      </c>
      <c r="I739" s="1243" t="s">
        <v>1789</v>
      </c>
      <c r="J739" s="1243" t="s">
        <v>831</v>
      </c>
      <c r="K739" s="1243" t="s">
        <v>901</v>
      </c>
      <c r="L739" s="1245">
        <f>IFERROR(INDEX('Upper Cask Movement &amp; Logistics'!$I$24:$O$30,MATCH($J739,'Upper Cask Movement &amp; Logistics'!$H$24:$H$30,0),MATCH($K739,'Upper Cask Movement &amp; Logistics'!$H$24:$H$30,0)),"N/A")</f>
        <v>50</v>
      </c>
      <c r="M739" s="1245">
        <f>IFERROR(VLOOKUP($I739,'Upper Cask Movement &amp; Logistics'!$H$4:$I$8,2,FALSE),"N/A")</f>
        <v>0.02</v>
      </c>
      <c r="N739" s="1311">
        <f t="shared" si="24"/>
        <v>0.69444444444444442</v>
      </c>
      <c r="O739" s="1312"/>
      <c r="P739" s="1313" t="str">
        <f>IF($D739="Logistics",VLOOKUP($O739,'Upper Cask Movement &amp; Logistics'!$C$4:$D$77,2,FALSE),"N/A")</f>
        <v>N/A</v>
      </c>
    </row>
    <row r="740" spans="1:16" s="89" customFormat="1" outlineLevel="1" x14ac:dyDescent="0.35">
      <c r="A740" s="1224"/>
      <c r="B740" s="3961"/>
      <c r="C740" s="1243" t="s">
        <v>1391</v>
      </c>
      <c r="D740" s="1243" t="s">
        <v>3</v>
      </c>
      <c r="E740" s="1244">
        <f t="shared" si="22"/>
        <v>1.4000000000000001</v>
      </c>
      <c r="F740" s="1244">
        <f>IF($D740="Trigger",VLOOKUP($C740,'Upper Cask Welding failures'!$E$516:$H$558,4,FALSE),E740+F739)</f>
        <v>112.48511696552067</v>
      </c>
      <c r="G740" s="1309"/>
      <c r="H740" s="1310" t="str">
        <f>IF(D740="operation",VLOOKUP(G740,'Generic Vertical Port Tasks'!C631:D710,2,FALSE),"N/A")</f>
        <v>N/A</v>
      </c>
      <c r="I740" s="1243"/>
      <c r="J740" s="1243"/>
      <c r="K740" s="1243"/>
      <c r="L740" s="1245" t="str">
        <f>IFERROR(INDEX('Upper Cask Movement &amp; Logistics'!$I$24:$O$30,MATCH($J740,'Upper Cask Movement &amp; Logistics'!$H$24:$H$30,0),MATCH($K740,'Upper Cask Movement &amp; Logistics'!$H$24:$H$30,0)),"N/A")</f>
        <v>N/A</v>
      </c>
      <c r="M740" s="1245" t="str">
        <f>IFERROR(VLOOKUP($I740,'Upper Cask Movement &amp; Logistics'!$H$4:$I$8,2,FALSE),"N/A")</f>
        <v>N/A</v>
      </c>
      <c r="N740" s="1311" t="str">
        <f t="shared" si="24"/>
        <v>N/A</v>
      </c>
      <c r="O740" s="1312" t="s">
        <v>1277</v>
      </c>
      <c r="P740" s="1313">
        <f>IF($D740="Logistics",VLOOKUP($O740,'Upper Cask Movement &amp; Logistics'!$C$4:$D$77,2,FALSE),"N/A")</f>
        <v>1.4000000000000001</v>
      </c>
    </row>
    <row r="741" spans="1:16" s="89" customFormat="1" ht="13.3" outlineLevel="1" thickBot="1" x14ac:dyDescent="0.4">
      <c r="A741" s="1224"/>
      <c r="B741" s="3963"/>
      <c r="C741" s="1378" t="s">
        <v>1288</v>
      </c>
      <c r="D741" s="1314" t="s">
        <v>11</v>
      </c>
      <c r="E741" s="1316">
        <f t="shared" si="22"/>
        <v>0</v>
      </c>
      <c r="F741" s="1316">
        <f>IF($D741="Trigger",VLOOKUP($C741,'Upper Cask Welding failures'!$E$516:$H$558,4,FALSE),E741+F740)</f>
        <v>112.48511696552067</v>
      </c>
      <c r="G741" s="1317"/>
      <c r="H741" s="1318" t="str">
        <f>IF(D741="operation",VLOOKUP(G741,'Generic Vertical Port Tasks'!C631:D710,2,FALSE),"N/A")</f>
        <v>N/A</v>
      </c>
      <c r="I741" s="1314"/>
      <c r="J741" s="1314"/>
      <c r="K741" s="1314"/>
      <c r="L741" s="1319" t="str">
        <f>IFERROR(INDEX('Upper Cask Movement &amp; Logistics'!$I$24:$O$30,MATCH($J741,'Upper Cask Movement &amp; Logistics'!$H$24:$H$30,0),MATCH($K741,'Upper Cask Movement &amp; Logistics'!$H$24:$H$30,0)),"N/A")</f>
        <v>N/A</v>
      </c>
      <c r="M741" s="1319" t="str">
        <f>IFERROR(VLOOKUP($I741,'Upper Cask Movement &amp; Logistics'!$H$4:$I$8,2,FALSE),"N/A")</f>
        <v>N/A</v>
      </c>
      <c r="N741" s="1320" t="str">
        <f t="shared" si="24"/>
        <v>N/A</v>
      </c>
      <c r="O741" s="1321"/>
      <c r="P741" s="1322" t="str">
        <f>IF($D741="Logistics",VLOOKUP($O741,'Upper Cask Movement &amp; Logistics'!$C$4:$D$77,2,FALSE),"N/A")</f>
        <v>N/A</v>
      </c>
    </row>
    <row r="742" spans="1:16" s="89" customFormat="1" outlineLevel="1" x14ac:dyDescent="0.35">
      <c r="A742" s="1224"/>
      <c r="B742" s="3814" t="s">
        <v>1295</v>
      </c>
      <c r="C742" s="1324" t="s">
        <v>134</v>
      </c>
      <c r="D742" s="1324" t="s">
        <v>907</v>
      </c>
      <c r="E742" s="1291">
        <f t="shared" si="22"/>
        <v>0</v>
      </c>
      <c r="F742" s="1291">
        <f>IF($D742="Trigger",VLOOKUP($C742,'Upper Cask Welding failures'!$E$516:$H$558,4,FALSE),E742+F741)</f>
        <v>116.81511696552067</v>
      </c>
      <c r="G742" s="825"/>
      <c r="H742" s="1323" t="str">
        <f>IF(D742="operation",VLOOKUP(G742,'Generic Vertical Port Tasks'!C650:D732,2,FALSE),"N/A")</f>
        <v>N/A</v>
      </c>
      <c r="I742" s="1324"/>
      <c r="J742" s="1324"/>
      <c r="K742" s="1324"/>
      <c r="L742" s="1325" t="str">
        <f>IFERROR(INDEX('Upper Cask Movement &amp; Logistics'!$I$24:$O$30,MATCH($J742,'Upper Cask Movement &amp; Logistics'!$H$24:$H$30,0),MATCH($K742,'Upper Cask Movement &amp; Logistics'!$H$24:$H$30,0)),"N/A")</f>
        <v>N/A</v>
      </c>
      <c r="M742" s="1325" t="str">
        <f>IFERROR(VLOOKUP($I742,'Upper Cask Movement &amp; Logistics'!$H$4:$I$8,2,FALSE),"N/A")</f>
        <v>N/A</v>
      </c>
      <c r="N742" s="1326" t="str">
        <f t="shared" si="24"/>
        <v>N/A</v>
      </c>
      <c r="O742" s="1327"/>
      <c r="P742" s="824" t="str">
        <f>IF($D742="Logistics",VLOOKUP($O742,'Upper Cask Movement &amp; Logistics'!$C$4:$D$77,2,FALSE),"N/A")</f>
        <v>N/A</v>
      </c>
    </row>
    <row r="743" spans="1:16" s="89" customFormat="1" outlineLevel="1" x14ac:dyDescent="0.35">
      <c r="A743" s="1224"/>
      <c r="B743" s="3815"/>
      <c r="C743" s="1294" t="s">
        <v>1345</v>
      </c>
      <c r="D743" s="1294" t="s">
        <v>778</v>
      </c>
      <c r="E743" s="1292">
        <f t="shared" si="22"/>
        <v>0.23148148148148148</v>
      </c>
      <c r="F743" s="1292">
        <f>IF($D743="Trigger",VLOOKUP($C743,'Upper Cask Welding failures'!$E$516:$H$558,4,FALSE),E743+F742)</f>
        <v>117.04659844700215</v>
      </c>
      <c r="G743" s="862"/>
      <c r="H743" s="1328" t="str">
        <f>IF(D743="operation",VLOOKUP(G743,'Generic Vertical Port Tasks'!C650:D732,2,FALSE),"N/A")</f>
        <v>N/A</v>
      </c>
      <c r="I743" s="1294" t="s">
        <v>2501</v>
      </c>
      <c r="J743" s="1294" t="s">
        <v>816</v>
      </c>
      <c r="K743" s="1294" t="s">
        <v>914</v>
      </c>
      <c r="L743" s="1329">
        <f>IFERROR(INDEX('Upper Cask Movement &amp; Logistics'!$I$24:$O$30,MATCH($J743,'Upper Cask Movement &amp; Logistics'!$H$24:$H$30,0),MATCH($K743,'Upper Cask Movement &amp; Logistics'!$H$24:$H$30,0)),"N/A")</f>
        <v>50</v>
      </c>
      <c r="M743" s="1329">
        <f>IFERROR(VLOOKUP($I743,'Upper Cask Movement &amp; Logistics'!$H$4:$I$8,2,FALSE),"N/A")</f>
        <v>0.06</v>
      </c>
      <c r="N743" s="1330">
        <f t="shared" si="24"/>
        <v>0.23148148148148148</v>
      </c>
      <c r="O743" s="1331"/>
      <c r="P743" s="1332" t="str">
        <f>IF($D743="Logistics",VLOOKUP($O743,'Upper Cask Movement &amp; Logistics'!$C$4:$D$77,2,FALSE),"N/A")</f>
        <v>N/A</v>
      </c>
    </row>
    <row r="744" spans="1:16" s="89" customFormat="1" outlineLevel="1" x14ac:dyDescent="0.35">
      <c r="A744" s="1224"/>
      <c r="B744" s="3815"/>
      <c r="C744" s="1346" t="s">
        <v>1412</v>
      </c>
      <c r="D744" s="1346" t="s">
        <v>3</v>
      </c>
      <c r="E744" s="1347">
        <f t="shared" si="22"/>
        <v>0.48000000000000004</v>
      </c>
      <c r="F744" s="1347">
        <f>IF($D744="Trigger",VLOOKUP($C744,'Upper Cask Welding failures'!$E$516:$H$558,4,FALSE),E744+F743)</f>
        <v>117.52659844700216</v>
      </c>
      <c r="G744" s="1348"/>
      <c r="H744" s="1349" t="str">
        <f>IF(D744="operation",VLOOKUP(G744,'Generic Vertical Port Tasks'!C650:D732,2,FALSE),"N/A")</f>
        <v>N/A</v>
      </c>
      <c r="I744" s="1346"/>
      <c r="J744" s="1346"/>
      <c r="K744" s="1346"/>
      <c r="L744" s="1329" t="str">
        <f>IFERROR(INDEX('Upper Cask Movement &amp; Logistics'!$I$24:$O$30,MATCH($J744,'Upper Cask Movement &amp; Logistics'!$H$24:$H$30,0),MATCH($K744,'Upper Cask Movement &amp; Logistics'!$H$24:$H$30,0)),"N/A")</f>
        <v>N/A</v>
      </c>
      <c r="M744" s="1329" t="str">
        <f>IFERROR(VLOOKUP($I744,'Upper Cask Movement &amp; Logistics'!$H$4:$I$8,2,FALSE),"N/A")</f>
        <v>N/A</v>
      </c>
      <c r="N744" s="1330" t="str">
        <f t="shared" si="24"/>
        <v>N/A</v>
      </c>
      <c r="O744" s="1352" t="s">
        <v>1330</v>
      </c>
      <c r="P744" s="1332">
        <f>IF($D744="Logistics",VLOOKUP($O744,'Upper Cask Movement &amp; Logistics'!$C$4:$D$77,2,FALSE),"N/A")</f>
        <v>0.48000000000000004</v>
      </c>
    </row>
    <row r="745" spans="1:16" s="89" customFormat="1" outlineLevel="1" x14ac:dyDescent="0.35">
      <c r="A745" s="1224"/>
      <c r="B745" s="3815"/>
      <c r="C745" s="1346" t="s">
        <v>1338</v>
      </c>
      <c r="D745" s="1346" t="s">
        <v>778</v>
      </c>
      <c r="E745" s="1347">
        <f t="shared" si="22"/>
        <v>2.7777777777777776E-2</v>
      </c>
      <c r="F745" s="1347">
        <f>IF($D745="Trigger",VLOOKUP($C745,'Upper Cask Welding failures'!$E$516:$H$558,4,FALSE),E745+F744)</f>
        <v>117.55437622477993</v>
      </c>
      <c r="G745" s="1348"/>
      <c r="H745" s="1349" t="str">
        <f>IF(D745="operation",VLOOKUP(G745,'Generic Vertical Port Tasks'!C650:D732,2,FALSE),"N/A")</f>
        <v>N/A</v>
      </c>
      <c r="I745" s="1294" t="s">
        <v>2502</v>
      </c>
      <c r="J745" s="1346" t="s">
        <v>914</v>
      </c>
      <c r="K745" s="1346" t="s">
        <v>799</v>
      </c>
      <c r="L745" s="1329">
        <f>IFERROR(INDEX('Upper Cask Movement &amp; Logistics'!$I$24:$O$30,MATCH($J745,'Upper Cask Movement &amp; Logistics'!$H$24:$H$30,0),MATCH($K745,'Upper Cask Movement &amp; Logistics'!$H$24:$H$30,0)),"N/A")</f>
        <v>20</v>
      </c>
      <c r="M745" s="1329">
        <f>IFERROR(VLOOKUP($I745,'Upper Cask Movement &amp; Logistics'!$H$4:$I$8,2,FALSE),"N/A")</f>
        <v>0.2</v>
      </c>
      <c r="N745" s="1330">
        <f t="shared" si="24"/>
        <v>2.7777777777777776E-2</v>
      </c>
      <c r="O745" s="1352"/>
      <c r="P745" s="1332" t="str">
        <f>IF($D745="Logistics",VLOOKUP($O745,'Upper Cask Movement &amp; Logistics'!$C$4:$D$77,2,FALSE),"N/A")</f>
        <v>N/A</v>
      </c>
    </row>
    <row r="746" spans="1:16" s="89" customFormat="1" outlineLevel="1" x14ac:dyDescent="0.35">
      <c r="A746" s="1224"/>
      <c r="B746" s="3815"/>
      <c r="C746" s="1346" t="s">
        <v>1358</v>
      </c>
      <c r="D746" s="1346" t="s">
        <v>3</v>
      </c>
      <c r="E746" s="1347">
        <f t="shared" si="22"/>
        <v>0.48000000000000004</v>
      </c>
      <c r="F746" s="1347">
        <f>IF($D746="Trigger",VLOOKUP($C746,'Upper Cask Welding failures'!$E$516:$H$558,4,FALSE),E746+F745)</f>
        <v>118.03437622477993</v>
      </c>
      <c r="G746" s="1348"/>
      <c r="H746" s="1349" t="str">
        <f>IF(D746="operation",VLOOKUP(G746,'Generic Vertical Port Tasks'!C650:D732,2,FALSE),"N/A")</f>
        <v>N/A</v>
      </c>
      <c r="I746" s="1346"/>
      <c r="J746" s="1346"/>
      <c r="K746" s="1346"/>
      <c r="L746" s="1329" t="str">
        <f>IFERROR(INDEX('Upper Cask Movement &amp; Logistics'!$I$24:$O$30,MATCH($J746,'Upper Cask Movement &amp; Logistics'!$H$24:$H$30,0),MATCH($K746,'Upper Cask Movement &amp; Logistics'!$H$24:$H$30,0)),"N/A")</f>
        <v>N/A</v>
      </c>
      <c r="M746" s="1329" t="str">
        <f>IFERROR(VLOOKUP($I746,'Upper Cask Movement &amp; Logistics'!$H$4:$I$8,2,FALSE),"N/A")</f>
        <v>N/A</v>
      </c>
      <c r="N746" s="1330" t="str">
        <f>IF(D746="Movement",IFERROR((L746/M746)/(60*60),"Error"),"N/A")</f>
        <v>N/A</v>
      </c>
      <c r="O746" s="1352" t="s">
        <v>1331</v>
      </c>
      <c r="P746" s="1332">
        <f>IF($D746="Logistics",VLOOKUP($O746,'Upper Cask Movement &amp; Logistics'!$C$4:$D$77,2,FALSE),"N/A")</f>
        <v>0.48000000000000004</v>
      </c>
    </row>
    <row r="747" spans="1:16" s="89" customFormat="1" outlineLevel="1" x14ac:dyDescent="0.35">
      <c r="A747" s="1224"/>
      <c r="B747" s="3815"/>
      <c r="C747" s="1346" t="s">
        <v>1340</v>
      </c>
      <c r="D747" s="1346" t="s">
        <v>778</v>
      </c>
      <c r="E747" s="1347">
        <f t="shared" si="22"/>
        <v>0.23148148148148148</v>
      </c>
      <c r="F747" s="1347">
        <f>IF($D747="Trigger",VLOOKUP($C747,'Upper Cask Welding failures'!$E$516:$H$558,4,FALSE),E747+F746)</f>
        <v>118.26585770626141</v>
      </c>
      <c r="G747" s="1348"/>
      <c r="H747" s="1349" t="str">
        <f>IF(D747="operation",VLOOKUP(G747,'Generic Vertical Port Tasks'!C650:D732,2,FALSE),"N/A")</f>
        <v>N/A</v>
      </c>
      <c r="I747" s="1346" t="s">
        <v>2501</v>
      </c>
      <c r="J747" s="1346" t="s">
        <v>799</v>
      </c>
      <c r="K747" s="1346" t="s">
        <v>901</v>
      </c>
      <c r="L747" s="1329">
        <f>IFERROR(INDEX('Upper Cask Movement &amp; Logistics'!$I$24:$O$30,MATCH($J747,'Upper Cask Movement &amp; Logistics'!$H$24:$H$30,0),MATCH($K747,'Upper Cask Movement &amp; Logistics'!$H$24:$H$30,0)),"N/A")</f>
        <v>50</v>
      </c>
      <c r="M747" s="1329">
        <f>IFERROR(VLOOKUP($I747,'Upper Cask Movement &amp; Logistics'!$H$4:$I$8,2,FALSE),"N/A")</f>
        <v>0.06</v>
      </c>
      <c r="N747" s="1330">
        <f>IF(D747="Movement",IFERROR((L747/M747)/(60*60),"Error"),"N/A")</f>
        <v>0.23148148148148148</v>
      </c>
      <c r="O747" s="1352"/>
      <c r="P747" s="1332" t="str">
        <f>IF($D747="Logistics",VLOOKUP($O747,'Upper Cask Movement &amp; Logistics'!$C$4:$D$77,2,FALSE),"N/A")</f>
        <v>N/A</v>
      </c>
    </row>
    <row r="748" spans="1:16" s="89" customFormat="1" outlineLevel="1" x14ac:dyDescent="0.35">
      <c r="A748" s="1224"/>
      <c r="B748" s="3815"/>
      <c r="C748" s="1346" t="s">
        <v>1359</v>
      </c>
      <c r="D748" s="1346" t="s">
        <v>3</v>
      </c>
      <c r="E748" s="1347">
        <f t="shared" si="22"/>
        <v>1.4000000000000001</v>
      </c>
      <c r="F748" s="1347">
        <f>IF($D748="Trigger",VLOOKUP($C748,'Upper Cask Welding failures'!$E$516:$H$558,4,FALSE),E748+F747)</f>
        <v>119.66585770626142</v>
      </c>
      <c r="G748" s="1348"/>
      <c r="H748" s="1349" t="str">
        <f>IF(D748="operation",VLOOKUP(G748,'Generic Vertical Port Tasks'!C650:D732,2,FALSE),"N/A")</f>
        <v>N/A</v>
      </c>
      <c r="I748" s="1346"/>
      <c r="J748" s="1346"/>
      <c r="K748" s="1346"/>
      <c r="L748" s="1329" t="str">
        <f>IFERROR(INDEX('Upper Cask Movement &amp; Logistics'!$I$24:$O$30,MATCH($J748,'Upper Cask Movement &amp; Logistics'!$H$24:$H$30,0),MATCH($K748,'Upper Cask Movement &amp; Logistics'!$H$24:$H$30,0)),"N/A")</f>
        <v>N/A</v>
      </c>
      <c r="M748" s="1329" t="str">
        <f>IFERROR(VLOOKUP($I748,'Upper Cask Movement &amp; Logistics'!$H$4:$I$8,2,FALSE),"N/A")</f>
        <v>N/A</v>
      </c>
      <c r="N748" s="1330" t="str">
        <f>IF(D748="Movement",IFERROR((L748/M748)/(60*60),"Error"),"N/A")</f>
        <v>N/A</v>
      </c>
      <c r="O748" s="1352" t="s">
        <v>1277</v>
      </c>
      <c r="P748" s="1332">
        <f>IF($D748="Logistics",VLOOKUP($O748,'Upper Cask Movement &amp; Logistics'!$C$4:$D$77,2,FALSE),"N/A")</f>
        <v>1.4000000000000001</v>
      </c>
    </row>
    <row r="749" spans="1:16" s="89" customFormat="1" outlineLevel="1" x14ac:dyDescent="0.35">
      <c r="A749" s="1224"/>
      <c r="B749" s="3815"/>
      <c r="C749" s="1294" t="s">
        <v>1410</v>
      </c>
      <c r="D749" s="1294" t="s">
        <v>778</v>
      </c>
      <c r="E749" s="1292">
        <f t="shared" si="22"/>
        <v>0.23148148148148148</v>
      </c>
      <c r="F749" s="1347">
        <f>IF($D749="Trigger",VLOOKUP($C749,'Upper Cask Welding failures'!$E$516:$H$558,4,FALSE),E749+F748)</f>
        <v>119.8973391877429</v>
      </c>
      <c r="G749" s="862"/>
      <c r="H749" s="1328" t="str">
        <f>IF(D749="operation",VLOOKUP(G749,'Generic Vertical Port Tasks'!C703:D763,2,FALSE),"N/A")</f>
        <v>N/A</v>
      </c>
      <c r="I749" s="1294" t="s">
        <v>2501</v>
      </c>
      <c r="J749" s="1294" t="s">
        <v>901</v>
      </c>
      <c r="K749" s="1294" t="s">
        <v>831</v>
      </c>
      <c r="L749" s="1329">
        <f>IFERROR(INDEX('Upper Cask Movement &amp; Logistics'!$I$24:$O$30,MATCH($J749,'Upper Cask Movement &amp; Logistics'!$H$24:$H$30,0),MATCH($K749,'Upper Cask Movement &amp; Logistics'!$H$24:$H$30,0)),"N/A")</f>
        <v>50</v>
      </c>
      <c r="M749" s="1329">
        <f>IFERROR(VLOOKUP($I749,'Upper Cask Movement &amp; Logistics'!$H$4:$I$8,2,FALSE),"N/A")</f>
        <v>0.06</v>
      </c>
      <c r="N749" s="1330">
        <f t="shared" ref="N749:N754" si="25">IF(D749="Movement",IFERROR((L749/M749)/(60*60),"Error"),"N/A")</f>
        <v>0.23148148148148148</v>
      </c>
      <c r="O749" s="1331"/>
      <c r="P749" s="1332" t="str">
        <f>IF($D749="Logistics",VLOOKUP($O749,'Upper Cask Movement &amp; Logistics'!$C$4:$D$77,2,FALSE),"N/A")</f>
        <v>N/A</v>
      </c>
    </row>
    <row r="750" spans="1:16" s="89" customFormat="1" outlineLevel="1" x14ac:dyDescent="0.35">
      <c r="A750" s="1224"/>
      <c r="B750" s="3815"/>
      <c r="C750" s="1294" t="s">
        <v>1413</v>
      </c>
      <c r="D750" s="1294" t="s">
        <v>3</v>
      </c>
      <c r="E750" s="1292">
        <f t="shared" si="22"/>
        <v>0.68</v>
      </c>
      <c r="F750" s="1347">
        <f>IF($D750="Trigger",VLOOKUP($C750,'Upper Cask Welding failures'!$E$516:$H$558,4,FALSE),E750+F749)</f>
        <v>120.57733918774291</v>
      </c>
      <c r="G750" s="862"/>
      <c r="H750" s="1328" t="str">
        <f>IF(D750="operation",VLOOKUP(G750,'Generic Vertical Port Tasks'!C703:D763,2,FALSE),"N/A")</f>
        <v>N/A</v>
      </c>
      <c r="I750" s="1294"/>
      <c r="J750" s="1294"/>
      <c r="K750" s="1294"/>
      <c r="L750" s="1329" t="str">
        <f>IFERROR(INDEX('Upper Cask Movement &amp; Logistics'!$I$24:$O$30,MATCH($J750,'Upper Cask Movement &amp; Logistics'!$H$24:$H$30,0),MATCH($K750,'Upper Cask Movement &amp; Logistics'!$H$24:$H$30,0)),"N/A")</f>
        <v>N/A</v>
      </c>
      <c r="M750" s="1329" t="str">
        <f>IFERROR(VLOOKUP($I750,'Upper Cask Movement &amp; Logistics'!$H$4:$I$8,2,FALSE),"N/A")</f>
        <v>N/A</v>
      </c>
      <c r="N750" s="1330" t="str">
        <f t="shared" si="25"/>
        <v>N/A</v>
      </c>
      <c r="O750" s="1331" t="s">
        <v>1213</v>
      </c>
      <c r="P750" s="1332">
        <f>IF($D750="Logistics",VLOOKUP($O750,'Upper Cask Movement &amp; Logistics'!$C$4:$D$77,2,FALSE),"N/A")</f>
        <v>0.68</v>
      </c>
    </row>
    <row r="751" spans="1:16" s="89" customFormat="1" outlineLevel="1" x14ac:dyDescent="0.35">
      <c r="A751" s="1224"/>
      <c r="B751" s="3815"/>
      <c r="C751" s="1294" t="s">
        <v>1366</v>
      </c>
      <c r="D751" s="1294" t="s">
        <v>778</v>
      </c>
      <c r="E751" s="1292">
        <f t="shared" si="22"/>
        <v>0.69444444444444442</v>
      </c>
      <c r="F751" s="1347">
        <f>IF($D751="Trigger",VLOOKUP($C751,'Upper Cask Welding failures'!$E$516:$H$558,4,FALSE),E751+F750)</f>
        <v>121.27178363218735</v>
      </c>
      <c r="G751" s="862"/>
      <c r="H751" s="1328" t="str">
        <f>IF(D751="operation",VLOOKUP(G751,'Generic Vertical Port Tasks'!C703:D763,2,FALSE),"N/A")</f>
        <v>N/A</v>
      </c>
      <c r="I751" s="1294" t="s">
        <v>1789</v>
      </c>
      <c r="J751" s="1294" t="s">
        <v>831</v>
      </c>
      <c r="K751" s="1294" t="s">
        <v>901</v>
      </c>
      <c r="L751" s="1329">
        <f>IFERROR(INDEX('Upper Cask Movement &amp; Logistics'!$I$24:$O$30,MATCH($J751,'Upper Cask Movement &amp; Logistics'!$H$24:$H$30,0),MATCH($K751,'Upper Cask Movement &amp; Logistics'!$H$24:$H$30,0)),"N/A")</f>
        <v>50</v>
      </c>
      <c r="M751" s="1329">
        <f>IFERROR(VLOOKUP($I751,'Upper Cask Movement &amp; Logistics'!$H$4:$I$8,2,FALSE),"N/A")</f>
        <v>0.02</v>
      </c>
      <c r="N751" s="1330">
        <f t="shared" si="25"/>
        <v>0.69444444444444442</v>
      </c>
      <c r="O751" s="1331"/>
      <c r="P751" s="1332" t="str">
        <f>IF($D751="Logistics",VLOOKUP($O751,'Upper Cask Movement &amp; Logistics'!$C$4:$D$77,2,FALSE),"N/A")</f>
        <v>N/A</v>
      </c>
    </row>
    <row r="752" spans="1:16" s="89" customFormat="1" outlineLevel="1" x14ac:dyDescent="0.35">
      <c r="A752" s="1224"/>
      <c r="B752" s="3815"/>
      <c r="C752" s="1294" t="s">
        <v>1367</v>
      </c>
      <c r="D752" s="1294" t="s">
        <v>3</v>
      </c>
      <c r="E752" s="1292">
        <f t="shared" si="22"/>
        <v>1.4000000000000001</v>
      </c>
      <c r="F752" s="1347">
        <f>IF($D752="Trigger",VLOOKUP($C752,'Upper Cask Welding failures'!$E$516:$H$558,4,FALSE),E752+F751)</f>
        <v>122.67178363218736</v>
      </c>
      <c r="G752" s="862"/>
      <c r="H752" s="1328" t="str">
        <f>IF(D752="operation",VLOOKUP(G752,'Generic Vertical Port Tasks'!C703:D763,2,FALSE),"N/A")</f>
        <v>N/A</v>
      </c>
      <c r="I752" s="1294"/>
      <c r="J752" s="1294"/>
      <c r="K752" s="1294"/>
      <c r="L752" s="1329" t="str">
        <f>IFERROR(INDEX('Upper Cask Movement &amp; Logistics'!$I$24:$O$30,MATCH($J752,'Upper Cask Movement &amp; Logistics'!$H$24:$H$30,0),MATCH($K752,'Upper Cask Movement &amp; Logistics'!$H$24:$H$30,0)),"N/A")</f>
        <v>N/A</v>
      </c>
      <c r="M752" s="1329" t="str">
        <f>IFERROR(VLOOKUP($I752,'Upper Cask Movement &amp; Logistics'!$H$4:$I$8,2,FALSE),"N/A")</f>
        <v>N/A</v>
      </c>
      <c r="N752" s="1330" t="str">
        <f t="shared" si="25"/>
        <v>N/A</v>
      </c>
      <c r="O752" s="1331" t="s">
        <v>1277</v>
      </c>
      <c r="P752" s="1332">
        <f>IF($D752="Logistics",VLOOKUP($O752,'Upper Cask Movement &amp; Logistics'!$C$4:$D$77,2,FALSE),"N/A")</f>
        <v>1.4000000000000001</v>
      </c>
    </row>
    <row r="753" spans="1:16" s="89" customFormat="1" ht="26.15" outlineLevel="1" thickBot="1" x14ac:dyDescent="0.4">
      <c r="A753" s="1224"/>
      <c r="B753" s="3816"/>
      <c r="C753" s="1340" t="s">
        <v>1295</v>
      </c>
      <c r="D753" s="1340" t="s">
        <v>11</v>
      </c>
      <c r="E753" s="1295">
        <f t="shared" si="22"/>
        <v>0</v>
      </c>
      <c r="F753" s="1295">
        <f>IF($D753="Trigger",VLOOKUP($C753,'Upper Cask Welding failures'!$E$516:$H$558,4,FALSE),E753+F752)</f>
        <v>122.67178363218736</v>
      </c>
      <c r="G753" s="839"/>
      <c r="H753" s="1341" t="str">
        <f>IF(D753="operation",VLOOKUP(G753,'Generic Vertical Port Tasks'!C703:D763,2,FALSE),"N/A")</f>
        <v>N/A</v>
      </c>
      <c r="I753" s="1340"/>
      <c r="J753" s="1340"/>
      <c r="K753" s="1340"/>
      <c r="L753" s="1342" t="str">
        <f>IFERROR(INDEX('Upper Cask Movement &amp; Logistics'!$I$24:$O$30,MATCH($J753,'Upper Cask Movement &amp; Logistics'!$H$24:$H$30,0),MATCH($K753,'Upper Cask Movement &amp; Logistics'!$H$24:$H$30,0)),"N/A")</f>
        <v>N/A</v>
      </c>
      <c r="M753" s="1342" t="str">
        <f>IFERROR(VLOOKUP($I753,'Upper Cask Movement &amp; Logistics'!$H$4:$I$8,2,FALSE),"N/A")</f>
        <v>N/A</v>
      </c>
      <c r="N753" s="1343" t="str">
        <f t="shared" si="25"/>
        <v>N/A</v>
      </c>
      <c r="O753" s="1344"/>
      <c r="P753" s="1345" t="str">
        <f>IF($D753="Logistics",VLOOKUP($O753,'Upper Cask Movement &amp; Logistics'!$C$4:$D$77,2,FALSE),"N/A")</f>
        <v>N/A</v>
      </c>
    </row>
    <row r="754" spans="1:16" ht="12.75" customHeight="1" outlineLevel="1" thickBot="1" x14ac:dyDescent="0.45">
      <c r="A754" s="1224"/>
      <c r="B754" s="4001" t="s">
        <v>1087</v>
      </c>
      <c r="C754" s="566" t="s">
        <v>1181</v>
      </c>
      <c r="D754" s="566" t="s">
        <v>907</v>
      </c>
      <c r="E754" s="1175">
        <f>MAX($P754,$N754,$H754)</f>
        <v>0</v>
      </c>
      <c r="F754" s="621">
        <f>IF($D754="Trigger",VLOOKUP("*"&amp;$C754&amp;"*",'Upper Cask Welding failures'!$E$46:$H$564,4,FALSE),E754+F753)</f>
        <v>0</v>
      </c>
      <c r="G754" s="568"/>
      <c r="H754" s="621" t="str">
        <f>IF(D754="operation",VLOOKUP(G754,'Upper Hot Cell Welding failures'!E793:I870,5,FALSE), "N/A")</f>
        <v>N/A</v>
      </c>
      <c r="I754" s="566"/>
      <c r="J754" s="566"/>
      <c r="K754" s="566"/>
      <c r="L754" s="1175" t="str">
        <f>IFERROR(INDEX(#REF!,MATCH($J754,#REF!,0),MATCH($K754,#REF!,0)),"N/A")</f>
        <v>N/A</v>
      </c>
      <c r="M754" s="1175" t="str">
        <f>IFERROR(VLOOKUP($I754,#REF!,2,FALSE),"N/A")</f>
        <v>N/A</v>
      </c>
      <c r="N754" s="1175" t="str">
        <f t="shared" si="25"/>
        <v>N/A</v>
      </c>
      <c r="O754" s="620"/>
      <c r="P754" s="621" t="str">
        <f>IF($D754="Logistics",VLOOKUP($O754,#REF!,2,FALSE),"N/A")</f>
        <v>N/A</v>
      </c>
    </row>
    <row r="755" spans="1:16" ht="12.75" customHeight="1" outlineLevel="1" x14ac:dyDescent="0.4">
      <c r="A755" s="1224"/>
      <c r="B755" s="4002"/>
      <c r="C755" s="573" t="s">
        <v>1182</v>
      </c>
      <c r="D755" s="573" t="s">
        <v>251</v>
      </c>
      <c r="E755" s="1176" t="e">
        <f>MAX($P755,$N755,$H755)</f>
        <v>#REF!</v>
      </c>
      <c r="F755" s="580" t="e">
        <f>IF($D755="Trigger",VLOOKUP("*"&amp;$C755&amp;"*",'Upper Cask Welding failures'!$E$46:$H$564,4,FALSE),E755+F754)</f>
        <v>#REF!</v>
      </c>
      <c r="G755" s="575" t="s">
        <v>1183</v>
      </c>
      <c r="H755" s="621" t="e">
        <f>IF(D755="operation",VLOOKUP(G755,#REF!,4,FALSE), "N/A")</f>
        <v>#REF!</v>
      </c>
      <c r="I755" s="573"/>
      <c r="J755" s="573"/>
      <c r="K755" s="573"/>
      <c r="L755" s="1176" t="str">
        <f>IFERROR(INDEX(#REF!,MATCH($J755,#REF!,0),MATCH($K755,#REF!,0)),"N/A")</f>
        <v>N/A</v>
      </c>
      <c r="M755" s="1176" t="str">
        <f>IFERROR(VLOOKUP($I755,#REF!,2,FALSE),"N/A")</f>
        <v>N/A</v>
      </c>
      <c r="N755" s="1176" t="str">
        <f>IF(D755="Movement",IFERROR((L755/M755)/(60*60),"Error"),"N/A")</f>
        <v>N/A</v>
      </c>
      <c r="O755" s="579"/>
      <c r="P755" s="580" t="str">
        <f>IF($D755="Logistics",VLOOKUP($O755,#REF!,2,FALSE),"N/A")</f>
        <v>N/A</v>
      </c>
    </row>
    <row r="756" spans="1:16" ht="13.5" customHeight="1" outlineLevel="1" thickBot="1" x14ac:dyDescent="0.45">
      <c r="A756" s="1224"/>
      <c r="B756" s="4003"/>
      <c r="C756" s="584" t="str">
        <f>B754</f>
        <v>RIB Lower Port Pipe Module installed</v>
      </c>
      <c r="D756" s="584" t="s">
        <v>11</v>
      </c>
      <c r="E756" s="1179">
        <f>MAX($P756,$N756,$H756)</f>
        <v>0</v>
      </c>
      <c r="F756" s="591" t="e">
        <f>IF($D756="Trigger",VLOOKUP("*"&amp;$C756&amp;"*",'Upper Cask Welding failures'!$E$46:$H$564,4,FALSE),E756+F755)</f>
        <v>#REF!</v>
      </c>
      <c r="G756" s="586"/>
      <c r="H756" s="591" t="str">
        <f>IF(D756="operation",VLOOKUP(G756,#REF!,5,FALSE), "N/A")</f>
        <v>N/A</v>
      </c>
      <c r="I756" s="584"/>
      <c r="J756" s="584"/>
      <c r="K756" s="584"/>
      <c r="L756" s="1179" t="str">
        <f>IFERROR(INDEX(#REF!,MATCH($J756,#REF!,0),MATCH($K756,#REF!,0)),"N/A")</f>
        <v>N/A</v>
      </c>
      <c r="M756" s="1179" t="str">
        <f>IFERROR(VLOOKUP($I756,#REF!,2,FALSE),"N/A")</f>
        <v>N/A</v>
      </c>
      <c r="N756" s="1179" t="str">
        <f>IF(D756="Movement",IFERROR((L756/M756)/(60*60),"Error"),"N/A")</f>
        <v>N/A</v>
      </c>
      <c r="O756" s="590"/>
      <c r="P756" s="591" t="str">
        <f>IF($D756="Logistics",VLOOKUP($O756,#REF!,2,FALSE),"N/A")</f>
        <v>N/A</v>
      </c>
    </row>
    <row r="757" spans="1:16" ht="13.3" thickBot="1" x14ac:dyDescent="0.45">
      <c r="A757" s="1228"/>
      <c r="B757" s="1566"/>
      <c r="C757" s="1229"/>
      <c r="D757" s="1229"/>
      <c r="E757" s="1229"/>
      <c r="F757" s="1229"/>
      <c r="G757" s="1229"/>
      <c r="H757" s="1567"/>
      <c r="I757" s="1229"/>
      <c r="J757" s="1229"/>
      <c r="K757" s="1229"/>
      <c r="L757" s="1230"/>
      <c r="M757" s="1230"/>
      <c r="N757" s="1230"/>
      <c r="O757" s="1229"/>
      <c r="P757" s="1231"/>
    </row>
  </sheetData>
  <autoFilter ref="B3:P3"/>
  <customSheetViews>
    <customSheetView guid="{9C0AA20B-B2A2-4A2C-B279-4A5988F4E71A}" showAutoFilter="1" hiddenColumns="1" state="hidden">
      <selection activeCell="U23" sqref="U23"/>
      <pageMargins left="0.7" right="0.7" top="0.75" bottom="0.75" header="0.3" footer="0.3"/>
      <autoFilter ref="B3:P3"/>
    </customSheetView>
  </customSheetViews>
  <mergeCells count="110">
    <mergeCell ref="B742:B753"/>
    <mergeCell ref="B754:B756"/>
    <mergeCell ref="B699:B706"/>
    <mergeCell ref="B707:B713"/>
    <mergeCell ref="B714:B720"/>
    <mergeCell ref="B721:B727"/>
    <mergeCell ref="B728:B734"/>
    <mergeCell ref="B735:B741"/>
    <mergeCell ref="B660:B664"/>
    <mergeCell ref="B665:B671"/>
    <mergeCell ref="B672:B678"/>
    <mergeCell ref="B679:B685"/>
    <mergeCell ref="B686:B691"/>
    <mergeCell ref="B692:B698"/>
    <mergeCell ref="B614:B620"/>
    <mergeCell ref="B621:B632"/>
    <mergeCell ref="B633:B639"/>
    <mergeCell ref="B640:B642"/>
    <mergeCell ref="B643:B645"/>
    <mergeCell ref="B649:B659"/>
    <mergeCell ref="B571:B577"/>
    <mergeCell ref="B578:B585"/>
    <mergeCell ref="B586:B592"/>
    <mergeCell ref="B593:B599"/>
    <mergeCell ref="B600:B606"/>
    <mergeCell ref="B607:B613"/>
    <mergeCell ref="B528:B538"/>
    <mergeCell ref="B539:B543"/>
    <mergeCell ref="B544:B550"/>
    <mergeCell ref="B551:B557"/>
    <mergeCell ref="B558:B564"/>
    <mergeCell ref="B565:B570"/>
    <mergeCell ref="B495:B501"/>
    <mergeCell ref="B502:B508"/>
    <mergeCell ref="B509:B511"/>
    <mergeCell ref="B512:B514"/>
    <mergeCell ref="B515:B517"/>
    <mergeCell ref="B521:B527"/>
    <mergeCell ref="B448:B454"/>
    <mergeCell ref="B455:B461"/>
    <mergeCell ref="B462:B468"/>
    <mergeCell ref="B469:B475"/>
    <mergeCell ref="B476:B482"/>
    <mergeCell ref="B483:B494"/>
    <mergeCell ref="B407:B413"/>
    <mergeCell ref="B414:B420"/>
    <mergeCell ref="B421:B427"/>
    <mergeCell ref="B428:B433"/>
    <mergeCell ref="B434:B439"/>
    <mergeCell ref="B440:B447"/>
    <mergeCell ref="B363:B365"/>
    <mergeCell ref="B369:B376"/>
    <mergeCell ref="B377:B383"/>
    <mergeCell ref="B384:B390"/>
    <mergeCell ref="B391:B401"/>
    <mergeCell ref="B402:B406"/>
    <mergeCell ref="B333:B339"/>
    <mergeCell ref="B340:B346"/>
    <mergeCell ref="B347:B353"/>
    <mergeCell ref="B354:B356"/>
    <mergeCell ref="B357:B359"/>
    <mergeCell ref="B360:B362"/>
    <mergeCell ref="B286:B292"/>
    <mergeCell ref="B293:B299"/>
    <mergeCell ref="B300:B306"/>
    <mergeCell ref="B307:B313"/>
    <mergeCell ref="B314:B320"/>
    <mergeCell ref="B321:B332"/>
    <mergeCell ref="B244:B250"/>
    <mergeCell ref="B251:B257"/>
    <mergeCell ref="B258:B264"/>
    <mergeCell ref="B265:B270"/>
    <mergeCell ref="B271:B277"/>
    <mergeCell ref="B278:B285"/>
    <mergeCell ref="B201:B203"/>
    <mergeCell ref="B207:B213"/>
    <mergeCell ref="B214:B220"/>
    <mergeCell ref="B221:B227"/>
    <mergeCell ref="B228:B238"/>
    <mergeCell ref="B239:B243"/>
    <mergeCell ref="B154:B160"/>
    <mergeCell ref="B161:B172"/>
    <mergeCell ref="B173:B179"/>
    <mergeCell ref="B180:B186"/>
    <mergeCell ref="B187:B193"/>
    <mergeCell ref="B194:B200"/>
    <mergeCell ref="B111:B117"/>
    <mergeCell ref="B118:B125"/>
    <mergeCell ref="B126:B132"/>
    <mergeCell ref="B133:B139"/>
    <mergeCell ref="B140:B146"/>
    <mergeCell ref="B147:B153"/>
    <mergeCell ref="B76:B80"/>
    <mergeCell ref="B81:B83"/>
    <mergeCell ref="B84:B90"/>
    <mergeCell ref="B91:B97"/>
    <mergeCell ref="B98:B104"/>
    <mergeCell ref="B105:B110"/>
    <mergeCell ref="B29:B36"/>
    <mergeCell ref="B37:B43"/>
    <mergeCell ref="B44:B50"/>
    <mergeCell ref="B51:B57"/>
    <mergeCell ref="B58:B64"/>
    <mergeCell ref="B65:B75"/>
    <mergeCell ref="G2:H2"/>
    <mergeCell ref="I2:N2"/>
    <mergeCell ref="O2:P2"/>
    <mergeCell ref="B7:B10"/>
    <mergeCell ref="B14:B17"/>
    <mergeCell ref="B21:B24"/>
  </mergeCells>
  <conditionalFormatting sqref="G204:P206 G366:P368 G518:P520 H434:P439 G646:P648 G757:P1048576 G1:P36">
    <cfRule type="cellIs" dxfId="477" priority="245" stopIfTrue="1" operator="equal">
      <formula>"N/A"</formula>
    </cfRule>
  </conditionalFormatting>
  <conditionalFormatting sqref="G37:P80 G118:P125 G434:P439">
    <cfRule type="cellIs" dxfId="476" priority="244" stopIfTrue="1" operator="equal">
      <formula>"Operation"</formula>
    </cfRule>
  </conditionalFormatting>
  <conditionalFormatting sqref="D366:D368 D377:D508 D646:D648 D757:D1048576 D204:D206 D518:D520 D84:D200 D1:D80">
    <cfRule type="cellIs" dxfId="475" priority="243" stopIfTrue="1" operator="equal">
      <formula>"Total"</formula>
    </cfRule>
    <cfRule type="cellIs" dxfId="474" priority="246" stopIfTrue="1" operator="equal">
      <formula>"Operation"</formula>
    </cfRule>
  </conditionalFormatting>
  <conditionalFormatting sqref="H37:P80 H118:P125">
    <cfRule type="cellIs" dxfId="473" priority="242" stopIfTrue="1" operator="equal">
      <formula>"N/A"</formula>
    </cfRule>
  </conditionalFormatting>
  <conditionalFormatting sqref="G84:P97">
    <cfRule type="cellIs" dxfId="472" priority="241" stopIfTrue="1" operator="equal">
      <formula>"Operation"</formula>
    </cfRule>
  </conditionalFormatting>
  <conditionalFormatting sqref="O98:P104">
    <cfRule type="cellIs" dxfId="471" priority="240" stopIfTrue="1" operator="equal">
      <formula>"Operation"</formula>
    </cfRule>
  </conditionalFormatting>
  <conditionalFormatting sqref="I98:J104 L98:N104">
    <cfRule type="cellIs" dxfId="470" priority="239" stopIfTrue="1" operator="equal">
      <formula>"Operation"</formula>
    </cfRule>
  </conditionalFormatting>
  <conditionalFormatting sqref="K98:K104">
    <cfRule type="cellIs" dxfId="469" priority="238" stopIfTrue="1" operator="equal">
      <formula>"Operation"</formula>
    </cfRule>
  </conditionalFormatting>
  <conditionalFormatting sqref="G98:H104">
    <cfRule type="cellIs" dxfId="468" priority="237" stopIfTrue="1" operator="equal">
      <formula>"Operation"</formula>
    </cfRule>
  </conditionalFormatting>
  <conditionalFormatting sqref="H84:P104">
    <cfRule type="cellIs" dxfId="467" priority="236" stopIfTrue="1" operator="equal">
      <formula>"N/A"</formula>
    </cfRule>
  </conditionalFormatting>
  <conditionalFormatting sqref="G105:P105 G107:P110 G106:J106 L106:P106">
    <cfRule type="cellIs" dxfId="466" priority="235" stopIfTrue="1" operator="equal">
      <formula>"Operation"</formula>
    </cfRule>
  </conditionalFormatting>
  <conditionalFormatting sqref="H105:P105 H107:P110 H106:J106 L106:P106">
    <cfRule type="cellIs" dxfId="465" priority="234" stopIfTrue="1" operator="equal">
      <formula>"N/A"</formula>
    </cfRule>
  </conditionalFormatting>
  <conditionalFormatting sqref="G111:P117">
    <cfRule type="cellIs" dxfId="464" priority="233" stopIfTrue="1" operator="equal">
      <formula>"Operation"</formula>
    </cfRule>
  </conditionalFormatting>
  <conditionalFormatting sqref="H111:P117">
    <cfRule type="cellIs" dxfId="463" priority="232" stopIfTrue="1" operator="equal">
      <formula>"N/A"</formula>
    </cfRule>
  </conditionalFormatting>
  <conditionalFormatting sqref="K106">
    <cfRule type="cellIs" dxfId="462" priority="231" stopIfTrue="1" operator="equal">
      <formula>"Operation"</formula>
    </cfRule>
  </conditionalFormatting>
  <conditionalFormatting sqref="K106">
    <cfRule type="cellIs" dxfId="461" priority="230" stopIfTrue="1" operator="equal">
      <formula>"N/A"</formula>
    </cfRule>
  </conditionalFormatting>
  <conditionalFormatting sqref="G168:P172">
    <cfRule type="cellIs" dxfId="460" priority="229" stopIfTrue="1" operator="equal">
      <formula>"Operation"</formula>
    </cfRule>
  </conditionalFormatting>
  <conditionalFormatting sqref="H168:P172">
    <cfRule type="cellIs" dxfId="459" priority="228" stopIfTrue="1" operator="equal">
      <formula>"N/A"</formula>
    </cfRule>
  </conditionalFormatting>
  <conditionalFormatting sqref="G126:P132">
    <cfRule type="cellIs" dxfId="458" priority="227" stopIfTrue="1" operator="equal">
      <formula>"Operation"</formula>
    </cfRule>
  </conditionalFormatting>
  <conditionalFormatting sqref="H126:P132">
    <cfRule type="cellIs" dxfId="457" priority="226" stopIfTrue="1" operator="equal">
      <formula>"N/A"</formula>
    </cfRule>
  </conditionalFormatting>
  <conditionalFormatting sqref="G133:P139">
    <cfRule type="cellIs" dxfId="456" priority="225" stopIfTrue="1" operator="equal">
      <formula>"Operation"</formula>
    </cfRule>
  </conditionalFormatting>
  <conditionalFormatting sqref="H133:P139">
    <cfRule type="cellIs" dxfId="455" priority="224" stopIfTrue="1" operator="equal">
      <formula>"N/A"</formula>
    </cfRule>
  </conditionalFormatting>
  <conditionalFormatting sqref="G140:P146">
    <cfRule type="cellIs" dxfId="454" priority="223" stopIfTrue="1" operator="equal">
      <formula>"Operation"</formula>
    </cfRule>
  </conditionalFormatting>
  <conditionalFormatting sqref="H140:P146">
    <cfRule type="cellIs" dxfId="453" priority="222" stopIfTrue="1" operator="equal">
      <formula>"N/A"</formula>
    </cfRule>
  </conditionalFormatting>
  <conditionalFormatting sqref="G147:P153">
    <cfRule type="cellIs" dxfId="452" priority="221" stopIfTrue="1" operator="equal">
      <formula>"Operation"</formula>
    </cfRule>
  </conditionalFormatting>
  <conditionalFormatting sqref="H147:P153">
    <cfRule type="cellIs" dxfId="451" priority="220" stopIfTrue="1" operator="equal">
      <formula>"N/A"</formula>
    </cfRule>
  </conditionalFormatting>
  <conditionalFormatting sqref="G154:P160">
    <cfRule type="cellIs" dxfId="450" priority="219" stopIfTrue="1" operator="equal">
      <formula>"Operation"</formula>
    </cfRule>
  </conditionalFormatting>
  <conditionalFormatting sqref="H154:P160">
    <cfRule type="cellIs" dxfId="449" priority="218" stopIfTrue="1" operator="equal">
      <formula>"N/A"</formula>
    </cfRule>
  </conditionalFormatting>
  <conditionalFormatting sqref="G161:P167">
    <cfRule type="cellIs" dxfId="448" priority="217" stopIfTrue="1" operator="equal">
      <formula>"Operation"</formula>
    </cfRule>
  </conditionalFormatting>
  <conditionalFormatting sqref="H161:P167">
    <cfRule type="cellIs" dxfId="447" priority="216" stopIfTrue="1" operator="equal">
      <formula>"N/A"</formula>
    </cfRule>
  </conditionalFormatting>
  <conditionalFormatting sqref="H173:P179">
    <cfRule type="cellIs" dxfId="446" priority="214" stopIfTrue="1" operator="equal">
      <formula>"N/A"</formula>
    </cfRule>
  </conditionalFormatting>
  <conditionalFormatting sqref="G173:P179">
    <cfRule type="cellIs" dxfId="445" priority="215" stopIfTrue="1" operator="equal">
      <formula>"Operation"</formula>
    </cfRule>
  </conditionalFormatting>
  <conditionalFormatting sqref="H180:P186">
    <cfRule type="cellIs" dxfId="444" priority="212" stopIfTrue="1" operator="equal">
      <formula>"N/A"</formula>
    </cfRule>
  </conditionalFormatting>
  <conditionalFormatting sqref="G180:P186">
    <cfRule type="cellIs" dxfId="443" priority="213" stopIfTrue="1" operator="equal">
      <formula>"Operation"</formula>
    </cfRule>
  </conditionalFormatting>
  <conditionalFormatting sqref="H187:P193">
    <cfRule type="cellIs" dxfId="442" priority="210" stopIfTrue="1" operator="equal">
      <formula>"N/A"</formula>
    </cfRule>
  </conditionalFormatting>
  <conditionalFormatting sqref="G187:P193">
    <cfRule type="cellIs" dxfId="441" priority="211" stopIfTrue="1" operator="equal">
      <formula>"Operation"</formula>
    </cfRule>
  </conditionalFormatting>
  <conditionalFormatting sqref="H194:P200">
    <cfRule type="cellIs" dxfId="440" priority="208" stopIfTrue="1" operator="equal">
      <formula>"N/A"</formula>
    </cfRule>
  </conditionalFormatting>
  <conditionalFormatting sqref="G194:P200">
    <cfRule type="cellIs" dxfId="439" priority="209" stopIfTrue="1" operator="equal">
      <formula>"Operation"</formula>
    </cfRule>
  </conditionalFormatting>
  <conditionalFormatting sqref="G207:P243 G278:P285">
    <cfRule type="cellIs" dxfId="438" priority="205" stopIfTrue="1" operator="equal">
      <formula>"Operation"</formula>
    </cfRule>
  </conditionalFormatting>
  <conditionalFormatting sqref="D207:D353">
    <cfRule type="cellIs" dxfId="437" priority="204" stopIfTrue="1" operator="equal">
      <formula>"Total"</formula>
    </cfRule>
    <cfRule type="cellIs" dxfId="436" priority="206" stopIfTrue="1" operator="equal">
      <formula>"Operation"</formula>
    </cfRule>
  </conditionalFormatting>
  <conditionalFormatting sqref="H207:P243 H278:P285">
    <cfRule type="cellIs" dxfId="435" priority="203" stopIfTrue="1" operator="equal">
      <formula>"N/A"</formula>
    </cfRule>
  </conditionalFormatting>
  <conditionalFormatting sqref="G244:P257">
    <cfRule type="cellIs" dxfId="434" priority="202" stopIfTrue="1" operator="equal">
      <formula>"Operation"</formula>
    </cfRule>
  </conditionalFormatting>
  <conditionalFormatting sqref="O258:P264">
    <cfRule type="cellIs" dxfId="433" priority="201" stopIfTrue="1" operator="equal">
      <formula>"Operation"</formula>
    </cfRule>
  </conditionalFormatting>
  <conditionalFormatting sqref="I258:J264 L258:N264">
    <cfRule type="cellIs" dxfId="432" priority="200" stopIfTrue="1" operator="equal">
      <formula>"Operation"</formula>
    </cfRule>
  </conditionalFormatting>
  <conditionalFormatting sqref="K258:K264">
    <cfRule type="cellIs" dxfId="431" priority="199" stopIfTrue="1" operator="equal">
      <formula>"Operation"</formula>
    </cfRule>
  </conditionalFormatting>
  <conditionalFormatting sqref="G258:H264">
    <cfRule type="cellIs" dxfId="430" priority="198" stopIfTrue="1" operator="equal">
      <formula>"Operation"</formula>
    </cfRule>
  </conditionalFormatting>
  <conditionalFormatting sqref="H244:P264">
    <cfRule type="cellIs" dxfId="429" priority="197" stopIfTrue="1" operator="equal">
      <formula>"N/A"</formula>
    </cfRule>
  </conditionalFormatting>
  <conditionalFormatting sqref="G265:P265 G267:P270 G266:J266 L266:P266">
    <cfRule type="cellIs" dxfId="428" priority="196" stopIfTrue="1" operator="equal">
      <formula>"Operation"</formula>
    </cfRule>
  </conditionalFormatting>
  <conditionalFormatting sqref="H265:P265 H267:P270 H266:J266 L266:P266">
    <cfRule type="cellIs" dxfId="427" priority="195" stopIfTrue="1" operator="equal">
      <formula>"N/A"</formula>
    </cfRule>
  </conditionalFormatting>
  <conditionalFormatting sqref="G271:P277">
    <cfRule type="cellIs" dxfId="426" priority="194" stopIfTrue="1" operator="equal">
      <formula>"Operation"</formula>
    </cfRule>
  </conditionalFormatting>
  <conditionalFormatting sqref="H271:P277">
    <cfRule type="cellIs" dxfId="425" priority="193" stopIfTrue="1" operator="equal">
      <formula>"N/A"</formula>
    </cfRule>
  </conditionalFormatting>
  <conditionalFormatting sqref="K266">
    <cfRule type="cellIs" dxfId="424" priority="192" stopIfTrue="1" operator="equal">
      <formula>"Operation"</formula>
    </cfRule>
  </conditionalFormatting>
  <conditionalFormatting sqref="K266">
    <cfRule type="cellIs" dxfId="423" priority="191" stopIfTrue="1" operator="equal">
      <formula>"N/A"</formula>
    </cfRule>
  </conditionalFormatting>
  <conditionalFormatting sqref="G328:P332">
    <cfRule type="cellIs" dxfId="422" priority="190" stopIfTrue="1" operator="equal">
      <formula>"Operation"</formula>
    </cfRule>
  </conditionalFormatting>
  <conditionalFormatting sqref="H328:P332">
    <cfRule type="cellIs" dxfId="421" priority="189" stopIfTrue="1" operator="equal">
      <formula>"N/A"</formula>
    </cfRule>
  </conditionalFormatting>
  <conditionalFormatting sqref="G286:P292">
    <cfRule type="cellIs" dxfId="420" priority="188" stopIfTrue="1" operator="equal">
      <formula>"Operation"</formula>
    </cfRule>
  </conditionalFormatting>
  <conditionalFormatting sqref="H286:P292">
    <cfRule type="cellIs" dxfId="419" priority="187" stopIfTrue="1" operator="equal">
      <formula>"N/A"</formula>
    </cfRule>
  </conditionalFormatting>
  <conditionalFormatting sqref="G293:P299">
    <cfRule type="cellIs" dxfId="418" priority="186" stopIfTrue="1" operator="equal">
      <formula>"Operation"</formula>
    </cfRule>
  </conditionalFormatting>
  <conditionalFormatting sqref="H293:P299">
    <cfRule type="cellIs" dxfId="417" priority="185" stopIfTrue="1" operator="equal">
      <formula>"N/A"</formula>
    </cfRule>
  </conditionalFormatting>
  <conditionalFormatting sqref="G300:P306">
    <cfRule type="cellIs" dxfId="416" priority="184" stopIfTrue="1" operator="equal">
      <formula>"Operation"</formula>
    </cfRule>
  </conditionalFormatting>
  <conditionalFormatting sqref="H300:P306">
    <cfRule type="cellIs" dxfId="415" priority="183" stopIfTrue="1" operator="equal">
      <formula>"N/A"</formula>
    </cfRule>
  </conditionalFormatting>
  <conditionalFormatting sqref="G307:P313">
    <cfRule type="cellIs" dxfId="414" priority="182" stopIfTrue="1" operator="equal">
      <formula>"Operation"</formula>
    </cfRule>
  </conditionalFormatting>
  <conditionalFormatting sqref="H307:P313">
    <cfRule type="cellIs" dxfId="413" priority="181" stopIfTrue="1" operator="equal">
      <formula>"N/A"</formula>
    </cfRule>
  </conditionalFormatting>
  <conditionalFormatting sqref="G314:P320">
    <cfRule type="cellIs" dxfId="412" priority="180" stopIfTrue="1" operator="equal">
      <formula>"Operation"</formula>
    </cfRule>
  </conditionalFormatting>
  <conditionalFormatting sqref="H314:P320">
    <cfRule type="cellIs" dxfId="411" priority="179" stopIfTrue="1" operator="equal">
      <formula>"N/A"</formula>
    </cfRule>
  </conditionalFormatting>
  <conditionalFormatting sqref="G321:P327">
    <cfRule type="cellIs" dxfId="410" priority="178" stopIfTrue="1" operator="equal">
      <formula>"Operation"</formula>
    </cfRule>
  </conditionalFormatting>
  <conditionalFormatting sqref="H321:P327">
    <cfRule type="cellIs" dxfId="409" priority="177" stopIfTrue="1" operator="equal">
      <formula>"N/A"</formula>
    </cfRule>
  </conditionalFormatting>
  <conditionalFormatting sqref="H333:P339">
    <cfRule type="cellIs" dxfId="408" priority="175" stopIfTrue="1" operator="equal">
      <formula>"N/A"</formula>
    </cfRule>
  </conditionalFormatting>
  <conditionalFormatting sqref="G333:P339">
    <cfRule type="cellIs" dxfId="407" priority="176" stopIfTrue="1" operator="equal">
      <formula>"Operation"</formula>
    </cfRule>
  </conditionalFormatting>
  <conditionalFormatting sqref="H340:P346">
    <cfRule type="cellIs" dxfId="406" priority="173" stopIfTrue="1" operator="equal">
      <formula>"N/A"</formula>
    </cfRule>
  </conditionalFormatting>
  <conditionalFormatting sqref="G340:P346">
    <cfRule type="cellIs" dxfId="405" priority="174" stopIfTrue="1" operator="equal">
      <formula>"Operation"</formula>
    </cfRule>
  </conditionalFormatting>
  <conditionalFormatting sqref="H347:P353">
    <cfRule type="cellIs" dxfId="404" priority="171" stopIfTrue="1" operator="equal">
      <formula>"N/A"</formula>
    </cfRule>
  </conditionalFormatting>
  <conditionalFormatting sqref="G347:P353">
    <cfRule type="cellIs" dxfId="403" priority="172" stopIfTrue="1" operator="equal">
      <formula>"Operation"</formula>
    </cfRule>
  </conditionalFormatting>
  <conditionalFormatting sqref="G369:P376">
    <cfRule type="cellIs" dxfId="402" priority="168" stopIfTrue="1" operator="equal">
      <formula>"N/A"</formula>
    </cfRule>
  </conditionalFormatting>
  <conditionalFormatting sqref="D369:D376">
    <cfRule type="cellIs" dxfId="401" priority="167" stopIfTrue="1" operator="equal">
      <formula>"Total"</formula>
    </cfRule>
    <cfRule type="cellIs" dxfId="400" priority="169" stopIfTrue="1" operator="equal">
      <formula>"Operation"</formula>
    </cfRule>
  </conditionalFormatting>
  <conditionalFormatting sqref="G377:P406 G440:P447">
    <cfRule type="cellIs" dxfId="399" priority="166" stopIfTrue="1" operator="equal">
      <formula>"Operation"</formula>
    </cfRule>
  </conditionalFormatting>
  <conditionalFormatting sqref="H377:P406 H440:P447">
    <cfRule type="cellIs" dxfId="398" priority="165" stopIfTrue="1" operator="equal">
      <formula>"N/A"</formula>
    </cfRule>
  </conditionalFormatting>
  <conditionalFormatting sqref="G407:P420">
    <cfRule type="cellIs" dxfId="397" priority="164" stopIfTrue="1" operator="equal">
      <formula>"Operation"</formula>
    </cfRule>
  </conditionalFormatting>
  <conditionalFormatting sqref="O421:P427">
    <cfRule type="cellIs" dxfId="396" priority="163" stopIfTrue="1" operator="equal">
      <formula>"Operation"</formula>
    </cfRule>
  </conditionalFormatting>
  <conditionalFormatting sqref="I421:J427 L421:N427">
    <cfRule type="cellIs" dxfId="395" priority="162" stopIfTrue="1" operator="equal">
      <formula>"Operation"</formula>
    </cfRule>
  </conditionalFormatting>
  <conditionalFormatting sqref="K421:K427">
    <cfRule type="cellIs" dxfId="394" priority="161" stopIfTrue="1" operator="equal">
      <formula>"Operation"</formula>
    </cfRule>
  </conditionalFormatting>
  <conditionalFormatting sqref="G421:H427">
    <cfRule type="cellIs" dxfId="393" priority="160" stopIfTrue="1" operator="equal">
      <formula>"Operation"</formula>
    </cfRule>
  </conditionalFormatting>
  <conditionalFormatting sqref="H407:P427">
    <cfRule type="cellIs" dxfId="392" priority="159" stopIfTrue="1" operator="equal">
      <formula>"N/A"</formula>
    </cfRule>
  </conditionalFormatting>
  <conditionalFormatting sqref="G428:P428 G430:P433 G429:J429 L429:P429">
    <cfRule type="cellIs" dxfId="391" priority="158" stopIfTrue="1" operator="equal">
      <formula>"Operation"</formula>
    </cfRule>
  </conditionalFormatting>
  <conditionalFormatting sqref="H428:P428 H430:P433 H429:J429 L429:P429">
    <cfRule type="cellIs" dxfId="390" priority="157" stopIfTrue="1" operator="equal">
      <formula>"N/A"</formula>
    </cfRule>
  </conditionalFormatting>
  <conditionalFormatting sqref="K429">
    <cfRule type="cellIs" dxfId="389" priority="156" stopIfTrue="1" operator="equal">
      <formula>"Operation"</formula>
    </cfRule>
  </conditionalFormatting>
  <conditionalFormatting sqref="K429">
    <cfRule type="cellIs" dxfId="388" priority="155" stopIfTrue="1" operator="equal">
      <formula>"N/A"</formula>
    </cfRule>
  </conditionalFormatting>
  <conditionalFormatting sqref="G490:P494">
    <cfRule type="cellIs" dxfId="387" priority="154" stopIfTrue="1" operator="equal">
      <formula>"Operation"</formula>
    </cfRule>
  </conditionalFormatting>
  <conditionalFormatting sqref="H490:P494">
    <cfRule type="cellIs" dxfId="386" priority="153" stopIfTrue="1" operator="equal">
      <formula>"N/A"</formula>
    </cfRule>
  </conditionalFormatting>
  <conditionalFormatting sqref="G448:P454">
    <cfRule type="cellIs" dxfId="385" priority="152" stopIfTrue="1" operator="equal">
      <formula>"Operation"</formula>
    </cfRule>
  </conditionalFormatting>
  <conditionalFormatting sqref="H448:P454">
    <cfRule type="cellIs" dxfId="384" priority="151" stopIfTrue="1" operator="equal">
      <formula>"N/A"</formula>
    </cfRule>
  </conditionalFormatting>
  <conditionalFormatting sqref="G455:P461">
    <cfRule type="cellIs" dxfId="383" priority="150" stopIfTrue="1" operator="equal">
      <formula>"Operation"</formula>
    </cfRule>
  </conditionalFormatting>
  <conditionalFormatting sqref="H455:P461">
    <cfRule type="cellIs" dxfId="382" priority="149" stopIfTrue="1" operator="equal">
      <formula>"N/A"</formula>
    </cfRule>
  </conditionalFormatting>
  <conditionalFormatting sqref="G462:P468">
    <cfRule type="cellIs" dxfId="381" priority="148" stopIfTrue="1" operator="equal">
      <formula>"Operation"</formula>
    </cfRule>
  </conditionalFormatting>
  <conditionalFormatting sqref="H462:P468">
    <cfRule type="cellIs" dxfId="380" priority="147" stopIfTrue="1" operator="equal">
      <formula>"N/A"</formula>
    </cfRule>
  </conditionalFormatting>
  <conditionalFormatting sqref="G469:P475">
    <cfRule type="cellIs" dxfId="379" priority="146" stopIfTrue="1" operator="equal">
      <formula>"Operation"</formula>
    </cfRule>
  </conditionalFormatting>
  <conditionalFormatting sqref="H469:P475">
    <cfRule type="cellIs" dxfId="378" priority="145" stopIfTrue="1" operator="equal">
      <formula>"N/A"</formula>
    </cfRule>
  </conditionalFormatting>
  <conditionalFormatting sqref="G476:P482">
    <cfRule type="cellIs" dxfId="377" priority="144" stopIfTrue="1" operator="equal">
      <formula>"Operation"</formula>
    </cfRule>
  </conditionalFormatting>
  <conditionalFormatting sqref="H476:P482">
    <cfRule type="cellIs" dxfId="376" priority="143" stopIfTrue="1" operator="equal">
      <formula>"N/A"</formula>
    </cfRule>
  </conditionalFormatting>
  <conditionalFormatting sqref="G483:P489">
    <cfRule type="cellIs" dxfId="375" priority="142" stopIfTrue="1" operator="equal">
      <formula>"Operation"</formula>
    </cfRule>
  </conditionalFormatting>
  <conditionalFormatting sqref="H483:P489">
    <cfRule type="cellIs" dxfId="374" priority="141" stopIfTrue="1" operator="equal">
      <formula>"N/A"</formula>
    </cfRule>
  </conditionalFormatting>
  <conditionalFormatting sqref="H495:P501">
    <cfRule type="cellIs" dxfId="373" priority="139" stopIfTrue="1" operator="equal">
      <formula>"N/A"</formula>
    </cfRule>
  </conditionalFormatting>
  <conditionalFormatting sqref="G495:P501">
    <cfRule type="cellIs" dxfId="372" priority="140" stopIfTrue="1" operator="equal">
      <formula>"Operation"</formula>
    </cfRule>
  </conditionalFormatting>
  <conditionalFormatting sqref="H502:P508">
    <cfRule type="cellIs" dxfId="371" priority="137" stopIfTrue="1" operator="equal">
      <formula>"N/A"</formula>
    </cfRule>
  </conditionalFormatting>
  <conditionalFormatting sqref="G502:P508">
    <cfRule type="cellIs" dxfId="370" priority="138" stopIfTrue="1" operator="equal">
      <formula>"Operation"</formula>
    </cfRule>
  </conditionalFormatting>
  <conditionalFormatting sqref="G521:P543 G578:P585">
    <cfRule type="cellIs" dxfId="369" priority="134" stopIfTrue="1" operator="equal">
      <formula>"Operation"</formula>
    </cfRule>
  </conditionalFormatting>
  <conditionalFormatting sqref="D521:D639">
    <cfRule type="cellIs" dxfId="368" priority="133" stopIfTrue="1" operator="equal">
      <formula>"Total"</formula>
    </cfRule>
    <cfRule type="cellIs" dxfId="367" priority="135" stopIfTrue="1" operator="equal">
      <formula>"Operation"</formula>
    </cfRule>
  </conditionalFormatting>
  <conditionalFormatting sqref="H521:P543 H578:P585">
    <cfRule type="cellIs" dxfId="366" priority="132" stopIfTrue="1" operator="equal">
      <formula>"N/A"</formula>
    </cfRule>
  </conditionalFormatting>
  <conditionalFormatting sqref="G544:P557">
    <cfRule type="cellIs" dxfId="365" priority="131" stopIfTrue="1" operator="equal">
      <formula>"Operation"</formula>
    </cfRule>
  </conditionalFormatting>
  <conditionalFormatting sqref="O558:P564">
    <cfRule type="cellIs" dxfId="364" priority="130" stopIfTrue="1" operator="equal">
      <formula>"Operation"</formula>
    </cfRule>
  </conditionalFormatting>
  <conditionalFormatting sqref="I558:J564 L558:N564">
    <cfRule type="cellIs" dxfId="363" priority="129" stopIfTrue="1" operator="equal">
      <formula>"Operation"</formula>
    </cfRule>
  </conditionalFormatting>
  <conditionalFormatting sqref="K558:K564">
    <cfRule type="cellIs" dxfId="362" priority="128" stopIfTrue="1" operator="equal">
      <formula>"Operation"</formula>
    </cfRule>
  </conditionalFormatting>
  <conditionalFormatting sqref="G558:H564">
    <cfRule type="cellIs" dxfId="361" priority="127" stopIfTrue="1" operator="equal">
      <formula>"Operation"</formula>
    </cfRule>
  </conditionalFormatting>
  <conditionalFormatting sqref="H544:P564">
    <cfRule type="cellIs" dxfId="360" priority="126" stopIfTrue="1" operator="equal">
      <formula>"N/A"</formula>
    </cfRule>
  </conditionalFormatting>
  <conditionalFormatting sqref="G565:P565 G567:P570 G566:J566 L566:P566">
    <cfRule type="cellIs" dxfId="359" priority="125" stopIfTrue="1" operator="equal">
      <formula>"Operation"</formula>
    </cfRule>
  </conditionalFormatting>
  <conditionalFormatting sqref="H565:P565 H567:P570 H566:J566 L566:P566">
    <cfRule type="cellIs" dxfId="358" priority="124" stopIfTrue="1" operator="equal">
      <formula>"N/A"</formula>
    </cfRule>
  </conditionalFormatting>
  <conditionalFormatting sqref="G571:P577">
    <cfRule type="cellIs" dxfId="357" priority="123" stopIfTrue="1" operator="equal">
      <formula>"Operation"</formula>
    </cfRule>
  </conditionalFormatting>
  <conditionalFormatting sqref="H571:P577">
    <cfRule type="cellIs" dxfId="356" priority="122" stopIfTrue="1" operator="equal">
      <formula>"N/A"</formula>
    </cfRule>
  </conditionalFormatting>
  <conditionalFormatting sqref="K566">
    <cfRule type="cellIs" dxfId="355" priority="121" stopIfTrue="1" operator="equal">
      <formula>"Operation"</formula>
    </cfRule>
  </conditionalFormatting>
  <conditionalFormatting sqref="K566">
    <cfRule type="cellIs" dxfId="354" priority="120" stopIfTrue="1" operator="equal">
      <formula>"N/A"</formula>
    </cfRule>
  </conditionalFormatting>
  <conditionalFormatting sqref="G628:P632">
    <cfRule type="cellIs" dxfId="353" priority="119" stopIfTrue="1" operator="equal">
      <formula>"Operation"</formula>
    </cfRule>
  </conditionalFormatting>
  <conditionalFormatting sqref="H628:P632">
    <cfRule type="cellIs" dxfId="352" priority="118" stopIfTrue="1" operator="equal">
      <formula>"N/A"</formula>
    </cfRule>
  </conditionalFormatting>
  <conditionalFormatting sqref="G586:P592">
    <cfRule type="cellIs" dxfId="351" priority="117" stopIfTrue="1" operator="equal">
      <formula>"Operation"</formula>
    </cfRule>
  </conditionalFormatting>
  <conditionalFormatting sqref="H586:P592">
    <cfRule type="cellIs" dxfId="350" priority="116" stopIfTrue="1" operator="equal">
      <formula>"N/A"</formula>
    </cfRule>
  </conditionalFormatting>
  <conditionalFormatting sqref="G593:P599">
    <cfRule type="cellIs" dxfId="349" priority="115" stopIfTrue="1" operator="equal">
      <formula>"Operation"</formula>
    </cfRule>
  </conditionalFormatting>
  <conditionalFormatting sqref="H593:P599">
    <cfRule type="cellIs" dxfId="348" priority="114" stopIfTrue="1" operator="equal">
      <formula>"N/A"</formula>
    </cfRule>
  </conditionalFormatting>
  <conditionalFormatting sqref="G600:P606">
    <cfRule type="cellIs" dxfId="347" priority="113" stopIfTrue="1" operator="equal">
      <formula>"Operation"</formula>
    </cfRule>
  </conditionalFormatting>
  <conditionalFormatting sqref="H600:P606">
    <cfRule type="cellIs" dxfId="346" priority="112" stopIfTrue="1" operator="equal">
      <formula>"N/A"</formula>
    </cfRule>
  </conditionalFormatting>
  <conditionalFormatting sqref="G607:P613">
    <cfRule type="cellIs" dxfId="345" priority="111" stopIfTrue="1" operator="equal">
      <formula>"Operation"</formula>
    </cfRule>
  </conditionalFormatting>
  <conditionalFormatting sqref="H607:P613">
    <cfRule type="cellIs" dxfId="344" priority="110" stopIfTrue="1" operator="equal">
      <formula>"N/A"</formula>
    </cfRule>
  </conditionalFormatting>
  <conditionalFormatting sqref="G614:P620">
    <cfRule type="cellIs" dxfId="343" priority="109" stopIfTrue="1" operator="equal">
      <formula>"Operation"</formula>
    </cfRule>
  </conditionalFormatting>
  <conditionalFormatting sqref="H614:P620">
    <cfRule type="cellIs" dxfId="342" priority="108" stopIfTrue="1" operator="equal">
      <formula>"N/A"</formula>
    </cfRule>
  </conditionalFormatting>
  <conditionalFormatting sqref="G621:P627">
    <cfRule type="cellIs" dxfId="341" priority="107" stopIfTrue="1" operator="equal">
      <formula>"Operation"</formula>
    </cfRule>
  </conditionalFormatting>
  <conditionalFormatting sqref="H621:P627">
    <cfRule type="cellIs" dxfId="340" priority="106" stopIfTrue="1" operator="equal">
      <formula>"N/A"</formula>
    </cfRule>
  </conditionalFormatting>
  <conditionalFormatting sqref="H633:P639">
    <cfRule type="cellIs" dxfId="339" priority="104" stopIfTrue="1" operator="equal">
      <formula>"N/A"</formula>
    </cfRule>
  </conditionalFormatting>
  <conditionalFormatting sqref="G633:P639">
    <cfRule type="cellIs" dxfId="338" priority="105" stopIfTrue="1" operator="equal">
      <formula>"Operation"</formula>
    </cfRule>
  </conditionalFormatting>
  <conditionalFormatting sqref="G649:P664 G699:P706">
    <cfRule type="cellIs" dxfId="337" priority="101" stopIfTrue="1" operator="equal">
      <formula>"Operation"</formula>
    </cfRule>
  </conditionalFormatting>
  <conditionalFormatting sqref="D649:D753">
    <cfRule type="cellIs" dxfId="336" priority="100" stopIfTrue="1" operator="equal">
      <formula>"Total"</formula>
    </cfRule>
    <cfRule type="cellIs" dxfId="335" priority="102" stopIfTrue="1" operator="equal">
      <formula>"Operation"</formula>
    </cfRule>
  </conditionalFormatting>
  <conditionalFormatting sqref="H649:P664 H699:P706">
    <cfRule type="cellIs" dxfId="334" priority="99" stopIfTrue="1" operator="equal">
      <formula>"N/A"</formula>
    </cfRule>
  </conditionalFormatting>
  <conditionalFormatting sqref="G665:P678">
    <cfRule type="cellIs" dxfId="333" priority="98" stopIfTrue="1" operator="equal">
      <formula>"Operation"</formula>
    </cfRule>
  </conditionalFormatting>
  <conditionalFormatting sqref="O679:P685">
    <cfRule type="cellIs" dxfId="332" priority="97" stopIfTrue="1" operator="equal">
      <formula>"Operation"</formula>
    </cfRule>
  </conditionalFormatting>
  <conditionalFormatting sqref="I679:J685 L679:N685">
    <cfRule type="cellIs" dxfId="331" priority="96" stopIfTrue="1" operator="equal">
      <formula>"Operation"</formula>
    </cfRule>
  </conditionalFormatting>
  <conditionalFormatting sqref="K679:K685">
    <cfRule type="cellIs" dxfId="330" priority="95" stopIfTrue="1" operator="equal">
      <formula>"Operation"</formula>
    </cfRule>
  </conditionalFormatting>
  <conditionalFormatting sqref="G679:H685">
    <cfRule type="cellIs" dxfId="329" priority="94" stopIfTrue="1" operator="equal">
      <formula>"Operation"</formula>
    </cfRule>
  </conditionalFormatting>
  <conditionalFormatting sqref="H665:P685">
    <cfRule type="cellIs" dxfId="328" priority="93" stopIfTrue="1" operator="equal">
      <formula>"N/A"</formula>
    </cfRule>
  </conditionalFormatting>
  <conditionalFormatting sqref="G686:P686 G688:P691 G687:J687 L687:P687">
    <cfRule type="cellIs" dxfId="327" priority="92" stopIfTrue="1" operator="equal">
      <formula>"Operation"</formula>
    </cfRule>
  </conditionalFormatting>
  <conditionalFormatting sqref="H686:P686 H688:P691 H687:J687 L687:P687">
    <cfRule type="cellIs" dxfId="326" priority="91" stopIfTrue="1" operator="equal">
      <formula>"N/A"</formula>
    </cfRule>
  </conditionalFormatting>
  <conditionalFormatting sqref="G692:P698">
    <cfRule type="cellIs" dxfId="325" priority="90" stopIfTrue="1" operator="equal">
      <formula>"Operation"</formula>
    </cfRule>
  </conditionalFormatting>
  <conditionalFormatting sqref="H692:P698">
    <cfRule type="cellIs" dxfId="324" priority="89" stopIfTrue="1" operator="equal">
      <formula>"N/A"</formula>
    </cfRule>
  </conditionalFormatting>
  <conditionalFormatting sqref="K687">
    <cfRule type="cellIs" dxfId="323" priority="88" stopIfTrue="1" operator="equal">
      <formula>"Operation"</formula>
    </cfRule>
  </conditionalFormatting>
  <conditionalFormatting sqref="K687">
    <cfRule type="cellIs" dxfId="322" priority="87" stopIfTrue="1" operator="equal">
      <formula>"N/A"</formula>
    </cfRule>
  </conditionalFormatting>
  <conditionalFormatting sqref="G749:P753">
    <cfRule type="cellIs" dxfId="321" priority="86" stopIfTrue="1" operator="equal">
      <formula>"Operation"</formula>
    </cfRule>
  </conditionalFormatting>
  <conditionalFormatting sqref="H749:P753">
    <cfRule type="cellIs" dxfId="320" priority="85" stopIfTrue="1" operator="equal">
      <formula>"N/A"</formula>
    </cfRule>
  </conditionalFormatting>
  <conditionalFormatting sqref="G707:P713">
    <cfRule type="cellIs" dxfId="319" priority="84" stopIfTrue="1" operator="equal">
      <formula>"Operation"</formula>
    </cfRule>
  </conditionalFormatting>
  <conditionalFormatting sqref="H707:P713">
    <cfRule type="cellIs" dxfId="318" priority="83" stopIfTrue="1" operator="equal">
      <formula>"N/A"</formula>
    </cfRule>
  </conditionalFormatting>
  <conditionalFormatting sqref="G714:P720">
    <cfRule type="cellIs" dxfId="317" priority="82" stopIfTrue="1" operator="equal">
      <formula>"Operation"</formula>
    </cfRule>
  </conditionalFormatting>
  <conditionalFormatting sqref="H714:P720">
    <cfRule type="cellIs" dxfId="316" priority="81" stopIfTrue="1" operator="equal">
      <formula>"N/A"</formula>
    </cfRule>
  </conditionalFormatting>
  <conditionalFormatting sqref="G721:P727">
    <cfRule type="cellIs" dxfId="315" priority="80" stopIfTrue="1" operator="equal">
      <formula>"Operation"</formula>
    </cfRule>
  </conditionalFormatting>
  <conditionalFormatting sqref="H721:P727">
    <cfRule type="cellIs" dxfId="314" priority="79" stopIfTrue="1" operator="equal">
      <formula>"N/A"</formula>
    </cfRule>
  </conditionalFormatting>
  <conditionalFormatting sqref="G728:P734">
    <cfRule type="cellIs" dxfId="313" priority="78" stopIfTrue="1" operator="equal">
      <formula>"Operation"</formula>
    </cfRule>
  </conditionalFormatting>
  <conditionalFormatting sqref="H728:P734">
    <cfRule type="cellIs" dxfId="312" priority="77" stopIfTrue="1" operator="equal">
      <formula>"N/A"</formula>
    </cfRule>
  </conditionalFormatting>
  <conditionalFormatting sqref="G735:P741">
    <cfRule type="cellIs" dxfId="311" priority="76" stopIfTrue="1" operator="equal">
      <formula>"Operation"</formula>
    </cfRule>
  </conditionalFormatting>
  <conditionalFormatting sqref="H735:P741">
    <cfRule type="cellIs" dxfId="310" priority="75" stopIfTrue="1" operator="equal">
      <formula>"N/A"</formula>
    </cfRule>
  </conditionalFormatting>
  <conditionalFormatting sqref="G742:P748">
    <cfRule type="cellIs" dxfId="309" priority="74" stopIfTrue="1" operator="equal">
      <formula>"Operation"</formula>
    </cfRule>
  </conditionalFormatting>
  <conditionalFormatting sqref="H742:P748">
    <cfRule type="cellIs" dxfId="308" priority="73" stopIfTrue="1" operator="equal">
      <formula>"N/A"</formula>
    </cfRule>
  </conditionalFormatting>
  <conditionalFormatting sqref="H201:P203">
    <cfRule type="cellIs" dxfId="307" priority="70" stopIfTrue="1" operator="equal">
      <formula>"N/A"</formula>
    </cfRule>
  </conditionalFormatting>
  <conditionalFormatting sqref="D201:D203">
    <cfRule type="cellIs" dxfId="306" priority="69" stopIfTrue="1" operator="equal">
      <formula>"Total"</formula>
    </cfRule>
    <cfRule type="cellIs" dxfId="305" priority="71" stopIfTrue="1" operator="equal">
      <formula>"Operation"</formula>
    </cfRule>
  </conditionalFormatting>
  <conditionalFormatting sqref="G201:G203">
    <cfRule type="cellIs" dxfId="304" priority="68" stopIfTrue="1" operator="equal">
      <formula>"N/A"</formula>
    </cfRule>
  </conditionalFormatting>
  <conditionalFormatting sqref="H363:P365">
    <cfRule type="cellIs" dxfId="303" priority="64" stopIfTrue="1" operator="equal">
      <formula>"N/A"</formula>
    </cfRule>
  </conditionalFormatting>
  <conditionalFormatting sqref="D363:D365">
    <cfRule type="cellIs" dxfId="302" priority="63" stopIfTrue="1" operator="equal">
      <formula>"Total"</formula>
    </cfRule>
    <cfRule type="cellIs" dxfId="301" priority="65" stopIfTrue="1" operator="equal">
      <formula>"Operation"</formula>
    </cfRule>
  </conditionalFormatting>
  <conditionalFormatting sqref="G363:G365">
    <cfRule type="cellIs" dxfId="300" priority="62" stopIfTrue="1" operator="equal">
      <formula>"N/A"</formula>
    </cfRule>
  </conditionalFormatting>
  <conditionalFormatting sqref="H360:P362">
    <cfRule type="cellIs" dxfId="299" priority="58" stopIfTrue="1" operator="equal">
      <formula>"N/A"</formula>
    </cfRule>
  </conditionalFormatting>
  <conditionalFormatting sqref="D360:D362">
    <cfRule type="cellIs" dxfId="298" priority="57" stopIfTrue="1" operator="equal">
      <formula>"Total"</formula>
    </cfRule>
    <cfRule type="cellIs" dxfId="297" priority="59" stopIfTrue="1" operator="equal">
      <formula>"Operation"</formula>
    </cfRule>
  </conditionalFormatting>
  <conditionalFormatting sqref="G360:G362">
    <cfRule type="cellIs" dxfId="296" priority="56" stopIfTrue="1" operator="equal">
      <formula>"N/A"</formula>
    </cfRule>
  </conditionalFormatting>
  <conditionalFormatting sqref="H357:P359">
    <cfRule type="cellIs" dxfId="295" priority="52" stopIfTrue="1" operator="equal">
      <formula>"N/A"</formula>
    </cfRule>
  </conditionalFormatting>
  <conditionalFormatting sqref="D357:D359">
    <cfRule type="cellIs" dxfId="294" priority="51" stopIfTrue="1" operator="equal">
      <formula>"Total"</formula>
    </cfRule>
    <cfRule type="cellIs" dxfId="293" priority="53" stopIfTrue="1" operator="equal">
      <formula>"Operation"</formula>
    </cfRule>
  </conditionalFormatting>
  <conditionalFormatting sqref="G357:G359">
    <cfRule type="cellIs" dxfId="292" priority="50" stopIfTrue="1" operator="equal">
      <formula>"N/A"</formula>
    </cfRule>
  </conditionalFormatting>
  <conditionalFormatting sqref="H354:P356">
    <cfRule type="cellIs" dxfId="291" priority="46" stopIfTrue="1" operator="equal">
      <formula>"N/A"</formula>
    </cfRule>
  </conditionalFormatting>
  <conditionalFormatting sqref="D354:D356">
    <cfRule type="cellIs" dxfId="290" priority="45" stopIfTrue="1" operator="equal">
      <formula>"Total"</formula>
    </cfRule>
    <cfRule type="cellIs" dxfId="289" priority="47" stopIfTrue="1" operator="equal">
      <formula>"Operation"</formula>
    </cfRule>
  </conditionalFormatting>
  <conditionalFormatting sqref="G354:G356">
    <cfRule type="cellIs" dxfId="288" priority="44" stopIfTrue="1" operator="equal">
      <formula>"N/A"</formula>
    </cfRule>
  </conditionalFormatting>
  <conditionalFormatting sqref="H515:P517">
    <cfRule type="cellIs" dxfId="287" priority="40" stopIfTrue="1" operator="equal">
      <formula>"N/A"</formula>
    </cfRule>
  </conditionalFormatting>
  <conditionalFormatting sqref="D515:D517">
    <cfRule type="cellIs" dxfId="286" priority="39" stopIfTrue="1" operator="equal">
      <formula>"Total"</formula>
    </cfRule>
    <cfRule type="cellIs" dxfId="285" priority="41" stopIfTrue="1" operator="equal">
      <formula>"Operation"</formula>
    </cfRule>
  </conditionalFormatting>
  <conditionalFormatting sqref="G515:G517">
    <cfRule type="cellIs" dxfId="284" priority="38" stopIfTrue="1" operator="equal">
      <formula>"N/A"</formula>
    </cfRule>
  </conditionalFormatting>
  <conditionalFormatting sqref="H512:P514">
    <cfRule type="cellIs" dxfId="283" priority="34" stopIfTrue="1" operator="equal">
      <formula>"N/A"</formula>
    </cfRule>
  </conditionalFormatting>
  <conditionalFormatting sqref="D512:D514">
    <cfRule type="cellIs" dxfId="282" priority="33" stopIfTrue="1" operator="equal">
      <formula>"Total"</formula>
    </cfRule>
    <cfRule type="cellIs" dxfId="281" priority="35" stopIfTrue="1" operator="equal">
      <formula>"Operation"</formula>
    </cfRule>
  </conditionalFormatting>
  <conditionalFormatting sqref="G512:G514">
    <cfRule type="cellIs" dxfId="280" priority="32" stopIfTrue="1" operator="equal">
      <formula>"N/A"</formula>
    </cfRule>
  </conditionalFormatting>
  <conditionalFormatting sqref="H509:P511">
    <cfRule type="cellIs" dxfId="279" priority="28" stopIfTrue="1" operator="equal">
      <formula>"N/A"</formula>
    </cfRule>
  </conditionalFormatting>
  <conditionalFormatting sqref="D509:D511">
    <cfRule type="cellIs" dxfId="278" priority="27" stopIfTrue="1" operator="equal">
      <formula>"Total"</formula>
    </cfRule>
    <cfRule type="cellIs" dxfId="277" priority="29" stopIfTrue="1" operator="equal">
      <formula>"Operation"</formula>
    </cfRule>
  </conditionalFormatting>
  <conditionalFormatting sqref="G509:G511">
    <cfRule type="cellIs" dxfId="276" priority="26" stopIfTrue="1" operator="equal">
      <formula>"N/A"</formula>
    </cfRule>
  </conditionalFormatting>
  <conditionalFormatting sqref="H643:P645">
    <cfRule type="cellIs" dxfId="275" priority="22" stopIfTrue="1" operator="equal">
      <formula>"N/A"</formula>
    </cfRule>
  </conditionalFormatting>
  <conditionalFormatting sqref="D643:D645">
    <cfRule type="cellIs" dxfId="274" priority="21" stopIfTrue="1" operator="equal">
      <formula>"Total"</formula>
    </cfRule>
    <cfRule type="cellIs" dxfId="273" priority="23" stopIfTrue="1" operator="equal">
      <formula>"Operation"</formula>
    </cfRule>
  </conditionalFormatting>
  <conditionalFormatting sqref="G643:G645">
    <cfRule type="cellIs" dxfId="272" priority="20" stopIfTrue="1" operator="equal">
      <formula>"N/A"</formula>
    </cfRule>
  </conditionalFormatting>
  <conditionalFormatting sqref="H640:P642">
    <cfRule type="cellIs" dxfId="271" priority="16" stopIfTrue="1" operator="equal">
      <formula>"N/A"</formula>
    </cfRule>
  </conditionalFormatting>
  <conditionalFormatting sqref="D640:D642">
    <cfRule type="cellIs" dxfId="270" priority="15" stopIfTrue="1" operator="equal">
      <formula>"Total"</formula>
    </cfRule>
    <cfRule type="cellIs" dxfId="269" priority="17" stopIfTrue="1" operator="equal">
      <formula>"Operation"</formula>
    </cfRule>
  </conditionalFormatting>
  <conditionalFormatting sqref="G640:G642">
    <cfRule type="cellIs" dxfId="268" priority="14" stopIfTrue="1" operator="equal">
      <formula>"N/A"</formula>
    </cfRule>
  </conditionalFormatting>
  <conditionalFormatting sqref="H754:P756">
    <cfRule type="cellIs" dxfId="267" priority="10" stopIfTrue="1" operator="equal">
      <formula>"N/A"</formula>
    </cfRule>
  </conditionalFormatting>
  <conditionalFormatting sqref="D754:D756">
    <cfRule type="cellIs" dxfId="266" priority="9" stopIfTrue="1" operator="equal">
      <formula>"Total"</formula>
    </cfRule>
    <cfRule type="cellIs" dxfId="265" priority="11" stopIfTrue="1" operator="equal">
      <formula>"Operation"</formula>
    </cfRule>
  </conditionalFormatting>
  <conditionalFormatting sqref="G754:G756">
    <cfRule type="cellIs" dxfId="264" priority="8" stopIfTrue="1" operator="equal">
      <formula>"N/A"</formula>
    </cfRule>
  </conditionalFormatting>
  <conditionalFormatting sqref="H81:P83">
    <cfRule type="cellIs" dxfId="263" priority="4" stopIfTrue="1" operator="equal">
      <formula>"N/A"</formula>
    </cfRule>
  </conditionalFormatting>
  <conditionalFormatting sqref="D81:D83">
    <cfRule type="cellIs" dxfId="262" priority="3" stopIfTrue="1" operator="equal">
      <formula>"Total"</formula>
    </cfRule>
    <cfRule type="cellIs" dxfId="261" priority="5" stopIfTrue="1" operator="equal">
      <formula>"Operation"</formula>
    </cfRule>
  </conditionalFormatting>
  <conditionalFormatting sqref="G81:G83">
    <cfRule type="cellIs" dxfId="260" priority="2" stopIfTrue="1" operator="equal">
      <formula>"N/A"</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rgb="FFFFC000"/>
  </sheetPr>
  <dimension ref="B1:N91"/>
  <sheetViews>
    <sheetView topLeftCell="A2" zoomScale="85" zoomScaleNormal="85" workbookViewId="0">
      <selection activeCell="M12" sqref="M12"/>
    </sheetView>
  </sheetViews>
  <sheetFormatPr defaultColWidth="9.15234375" defaultRowHeight="14.6" x14ac:dyDescent="0.4"/>
  <cols>
    <col min="1" max="1" width="9.15234375" style="3256"/>
    <col min="2" max="2" width="14" style="3256" customWidth="1"/>
    <col min="3" max="3" width="12.3828125" style="3257" customWidth="1"/>
    <col min="4" max="4" width="9.53515625" style="3256" customWidth="1"/>
    <col min="5" max="8" width="13.3046875" style="3256" customWidth="1"/>
    <col min="9" max="9" width="14.15234375" style="3256" customWidth="1"/>
    <col min="10" max="10" width="5.69140625" style="3256" customWidth="1"/>
    <col min="11" max="11" width="14.15234375" style="3256" customWidth="1"/>
    <col min="12" max="12" width="5.69140625" style="3256" customWidth="1"/>
    <col min="13" max="13" width="14.15234375" style="3256" customWidth="1"/>
    <col min="14" max="14" width="17.3046875" style="3329" customWidth="1"/>
    <col min="15" max="16384" width="9.15234375" style="3256"/>
  </cols>
  <sheetData>
    <row r="1" spans="2:14" ht="15" thickBot="1" x14ac:dyDescent="0.45"/>
    <row r="2" spans="2:14" ht="16.5" customHeight="1" thickBot="1" x14ac:dyDescent="0.5">
      <c r="E2" s="4004" t="s">
        <v>2532</v>
      </c>
      <c r="F2" s="4005"/>
      <c r="G2" s="4005"/>
      <c r="H2" s="4005"/>
      <c r="I2" s="4006"/>
      <c r="J2" s="3617"/>
      <c r="K2" s="3756" t="s">
        <v>2698</v>
      </c>
      <c r="L2" s="3617"/>
      <c r="M2" s="3756" t="s">
        <v>2697</v>
      </c>
      <c r="N2" s="3627"/>
    </row>
    <row r="3" spans="2:14" x14ac:dyDescent="0.4">
      <c r="E3" s="4007" t="s">
        <v>722</v>
      </c>
      <c r="F3" s="4008"/>
      <c r="G3" s="4007" t="s">
        <v>719</v>
      </c>
      <c r="H3" s="4009"/>
      <c r="I3" s="3258" t="s">
        <v>11</v>
      </c>
      <c r="J3" s="3610"/>
      <c r="K3" s="3757"/>
      <c r="L3" s="3610"/>
      <c r="M3" s="3757"/>
      <c r="N3" s="3627"/>
    </row>
    <row r="4" spans="2:14" ht="32.15" customHeight="1" thickBot="1" x14ac:dyDescent="0.45">
      <c r="E4" s="3259" t="s">
        <v>13</v>
      </c>
      <c r="F4" s="3260" t="s">
        <v>39</v>
      </c>
      <c r="G4" s="3259" t="s">
        <v>720</v>
      </c>
      <c r="H4" s="3260" t="s">
        <v>721</v>
      </c>
      <c r="I4" s="3260" t="s">
        <v>146</v>
      </c>
      <c r="J4" s="3330"/>
      <c r="K4" s="3332" t="str">
        <f>'Plant Availibility Calculator'!$P$23 &amp; " Ops"</f>
        <v>Lower Port Hot Cell Ops</v>
      </c>
      <c r="L4" s="3330"/>
      <c r="M4" s="3332" t="s">
        <v>2696</v>
      </c>
      <c r="N4" s="3330"/>
    </row>
    <row r="5" spans="2:14" x14ac:dyDescent="0.4">
      <c r="B5" s="4010" t="s">
        <v>23</v>
      </c>
      <c r="C5" s="4013" t="s">
        <v>18</v>
      </c>
      <c r="D5" s="3261" t="s">
        <v>26</v>
      </c>
      <c r="E5" s="3262">
        <f>'Upper Hot Cell Critical Path'!$E$84</f>
        <v>154.91902210302825</v>
      </c>
      <c r="F5" s="3263">
        <f>'Upper Hot Cell Critical Path'!$E$156</f>
        <v>290.1264405371457</v>
      </c>
      <c r="G5" s="3262">
        <f>'Upper HotCell HardwareRecovery'!$D$11</f>
        <v>38.90133796296297</v>
      </c>
      <c r="H5" s="3264">
        <f>'Upper Hot Cell Welding failures'!$E$23</f>
        <v>241.87472234853911</v>
      </c>
      <c r="I5" s="3265">
        <f>SUM(E5:H5)</f>
        <v>725.821522951676</v>
      </c>
      <c r="J5" s="3611"/>
      <c r="K5" s="3265">
        <f>IF('Plant Availibility Calculator'!$P$23="Lower Port Cask System",'Lower Cask Summary'!$I5,IF('Plant Availibility Calculator'!$P$23="Lower Port Hot Cell",'Lower Hot Cell Summary'!$I5,"ERROR"))</f>
        <v>906.80948934387982</v>
      </c>
      <c r="L5" s="3611"/>
      <c r="M5" s="3265"/>
      <c r="N5" s="3331"/>
    </row>
    <row r="6" spans="2:14" x14ac:dyDescent="0.4">
      <c r="B6" s="4011"/>
      <c r="C6" s="4014"/>
      <c r="D6" s="3267" t="s">
        <v>27</v>
      </c>
      <c r="E6" s="3268">
        <f>E5/$E11</f>
        <v>0.75047190757992899</v>
      </c>
      <c r="F6" s="3269">
        <f>F5/$F11</f>
        <v>0.93867649577025336</v>
      </c>
      <c r="G6" s="3268">
        <f>G5/G11</f>
        <v>0.52554575909842005</v>
      </c>
      <c r="H6" s="3270">
        <f>H5/H11</f>
        <v>0.81364599137326499</v>
      </c>
      <c r="I6" s="3271">
        <f>I5/I11</f>
        <v>0.8184701737402712</v>
      </c>
      <c r="J6" s="3612"/>
      <c r="K6" s="3271">
        <f>IF('Plant Availibility Calculator'!$P$23="Lower Port Cask System",'Lower Cask Summary'!$I6,IF('Plant Availibility Calculator'!$P$23="Lower Port Hot Cell",'Lower Hot Cell Summary'!$I6,"ERROR"))</f>
        <v>0.77968074512209151</v>
      </c>
      <c r="L6" s="3612"/>
      <c r="M6" s="3271"/>
      <c r="N6" s="3331"/>
    </row>
    <row r="7" spans="2:14" x14ac:dyDescent="0.4">
      <c r="B7" s="4011"/>
      <c r="C7" s="4015" t="s">
        <v>3</v>
      </c>
      <c r="D7" s="3272" t="s">
        <v>26</v>
      </c>
      <c r="E7" s="3273">
        <f>'Upper Hot Cell Critical Path'!$E$85+'Upper Hot Cell Critical Path'!$E$86</f>
        <v>21.023333333333333</v>
      </c>
      <c r="F7" s="3274">
        <f>'Upper Hot Cell Critical Path'!$E$157+'Upper Hot Cell Critical Path'!$E$158</f>
        <v>17.804444444444449</v>
      </c>
      <c r="G7" s="3273">
        <f>'Upper HotCell HardwareRecovery'!$D$12</f>
        <v>27.445496296296298</v>
      </c>
      <c r="H7" s="3275">
        <f>'Upper Hot Cell Welding failures'!$E$24</f>
        <v>7.8574754767295651</v>
      </c>
      <c r="I7" s="3276">
        <f>SUM(E7:H7)</f>
        <v>74.130749550803642</v>
      </c>
      <c r="J7" s="3611"/>
      <c r="K7" s="3276">
        <f>IF('Plant Availibility Calculator'!$P$23="Lower Port Cask System",'Lower Cask Summary'!$I7,IF('Plant Availibility Calculator'!$P$23="Lower Port Hot Cell",'Lower Hot Cell Summary'!$I7,"ERROR"))</f>
        <v>134.40959013674836</v>
      </c>
      <c r="L7" s="3611"/>
      <c r="M7" s="3276"/>
      <c r="N7" s="3331"/>
    </row>
    <row r="8" spans="2:14" x14ac:dyDescent="0.4">
      <c r="B8" s="4011"/>
      <c r="C8" s="4016"/>
      <c r="D8" s="3272" t="s">
        <v>27</v>
      </c>
      <c r="E8" s="3277">
        <f>E7/E$11</f>
        <v>0.10184302002540828</v>
      </c>
      <c r="F8" s="3278">
        <f>F7/F$11</f>
        <v>5.7604586087725118E-2</v>
      </c>
      <c r="G8" s="3277">
        <f>G7/G11</f>
        <v>0.37078067079858612</v>
      </c>
      <c r="H8" s="3279">
        <f>H7/H11</f>
        <v>2.6431879122706347E-2</v>
      </c>
      <c r="I8" s="3280">
        <f>I7/I11</f>
        <v>8.3593287806625644E-2</v>
      </c>
      <c r="J8" s="3612"/>
      <c r="K8" s="3280">
        <f>IF('Plant Availibility Calculator'!$P$23="Lower Port Cask System",'Lower Cask Summary'!$I8,IF('Plant Availibility Calculator'!$P$23="Lower Port Hot Cell",'Lower Hot Cell Summary'!$I8,"ERROR"))</f>
        <v>0.11556624695800244</v>
      </c>
      <c r="L8" s="3612"/>
      <c r="M8" s="3280"/>
      <c r="N8" s="3331"/>
    </row>
    <row r="9" spans="2:14" x14ac:dyDescent="0.4">
      <c r="B9" s="4011"/>
      <c r="C9" s="4016"/>
      <c r="D9" s="3272" t="s">
        <v>2699</v>
      </c>
      <c r="E9" s="3281">
        <f>-SUMIF('Upper Hot Cell Critical Path'!$S$4:$S$82, "&lt;0")</f>
        <v>30.486453608071031</v>
      </c>
      <c r="F9" s="3282">
        <f>-SUMIF('Upper Hot Cell Critical Path'!$S$87:$S$151, "&lt;0")</f>
        <v>1.1494444444444445</v>
      </c>
      <c r="G9" s="3281">
        <f>'Upper HotCell HardwareRecovery'!$D$13</f>
        <v>7.6740046296296294</v>
      </c>
      <c r="H9" s="3283">
        <f>'Upper Hot Cell Welding failures'!$E$25</f>
        <v>47.540479620489961</v>
      </c>
      <c r="I9" s="3284">
        <f>SUM(E9:H9)</f>
        <v>86.850382302635069</v>
      </c>
      <c r="J9" s="3613"/>
      <c r="K9" s="3284">
        <f>IF('Plant Availibility Calculator'!$P$23="Lower Port Cask System",'Lower Cask Summary'!$I9,IF('Plant Availibility Calculator'!$P$23="Lower Port Hot Cell",'Lower Hot Cell Summary'!$I9,"ERROR"))</f>
        <v>121.83322752726237</v>
      </c>
      <c r="L9" s="3613"/>
      <c r="M9" s="3284"/>
      <c r="N9" s="3331"/>
    </row>
    <row r="10" spans="2:14" x14ac:dyDescent="0.4">
      <c r="B10" s="4011"/>
      <c r="C10" s="4016"/>
      <c r="D10" s="3285" t="s">
        <v>27</v>
      </c>
      <c r="E10" s="3286">
        <f>E9/E11</f>
        <v>0.14768507239466269</v>
      </c>
      <c r="F10" s="3287">
        <f>F9/F11</f>
        <v>3.718918142021444E-3</v>
      </c>
      <c r="G10" s="3286">
        <f>G9/G11</f>
        <v>0.10367357010299375</v>
      </c>
      <c r="H10" s="3288">
        <f>H9/H11</f>
        <v>0.1599221295040287</v>
      </c>
      <c r="I10" s="3289">
        <f>I9/I11</f>
        <v>9.7936538453103142E-2</v>
      </c>
      <c r="J10" s="3614"/>
      <c r="K10" s="3289">
        <f>IF('Plant Availibility Calculator'!$P$23="Lower Port Cask System",'Lower Cask Summary'!$I10,IF('Plant Availibility Calculator'!$P$23="Lower Port Hot Cell",'Lower Hot Cell Summary'!$I10,"ERROR"))</f>
        <v>0.10475300791990587</v>
      </c>
      <c r="L10" s="3614"/>
      <c r="M10" s="3289"/>
      <c r="N10" s="3331"/>
    </row>
    <row r="11" spans="2:14" s="3295" customFormat="1" x14ac:dyDescent="0.4">
      <c r="B11" s="4011"/>
      <c r="C11" s="4017" t="s">
        <v>25</v>
      </c>
      <c r="D11" s="3290" t="s">
        <v>26</v>
      </c>
      <c r="E11" s="3291">
        <f>E5+E7+E9</f>
        <v>206.42880904443263</v>
      </c>
      <c r="F11" s="3292">
        <f>F5+F7+F9</f>
        <v>309.08032942603461</v>
      </c>
      <c r="G11" s="3291">
        <f>G5+G7+G9</f>
        <v>74.020838888888903</v>
      </c>
      <c r="H11" s="3293">
        <f>H5+H7+H9</f>
        <v>297.27267744575863</v>
      </c>
      <c r="I11" s="3294">
        <f>SUM(E11:H11)</f>
        <v>886.80265480511468</v>
      </c>
      <c r="J11" s="3615"/>
      <c r="K11" s="3294">
        <f>IF('Plant Availibility Calculator'!$P$23="Lower Port Cask System",'Lower Cask Summary'!$I11,IF('Plant Availibility Calculator'!$P$23="Lower Port Hot Cell",'Lower Hot Cell Summary'!$I11,"ERROR"))</f>
        <v>1163.0523070078907</v>
      </c>
      <c r="L11" s="3615"/>
      <c r="M11" s="3294">
        <f t="shared" ref="M11:M64" si="0">MAX(K11,I11)</f>
        <v>1163.0523070078907</v>
      </c>
      <c r="N11" s="3331"/>
    </row>
    <row r="12" spans="2:14" ht="15" customHeight="1" thickBot="1" x14ac:dyDescent="0.45">
      <c r="B12" s="4011"/>
      <c r="C12" s="4018"/>
      <c r="D12" s="3296" t="s">
        <v>28</v>
      </c>
      <c r="E12" s="3297">
        <f>E11/24</f>
        <v>8.6012003768513594</v>
      </c>
      <c r="F12" s="3298">
        <f>F11/24</f>
        <v>12.878347059418109</v>
      </c>
      <c r="G12" s="3299">
        <f>G11/24</f>
        <v>3.0842016203703708</v>
      </c>
      <c r="H12" s="3300">
        <f>H11/24</f>
        <v>12.386361560239942</v>
      </c>
      <c r="I12" s="3298">
        <f>I11/24</f>
        <v>36.950110616879776</v>
      </c>
      <c r="J12" s="3616"/>
      <c r="K12" s="3626">
        <f>IF('Plant Availibility Calculator'!$P$23="Lower Port Cask System",'Lower Cask Summary'!$I12,IF('Plant Availibility Calculator'!$P$23="Lower Port Hot Cell",'Lower Hot Cell Summary'!$I12,"ERROR"))</f>
        <v>48.460512791995448</v>
      </c>
      <c r="L12" s="3616"/>
      <c r="M12" s="3626">
        <f t="shared" si="0"/>
        <v>48.460512791995448</v>
      </c>
      <c r="N12" s="3331"/>
    </row>
    <row r="13" spans="2:14" ht="15" customHeight="1" x14ac:dyDescent="0.4">
      <c r="B13" s="4011"/>
      <c r="C13" s="4019" t="s">
        <v>111</v>
      </c>
      <c r="D13" s="3301" t="s">
        <v>26</v>
      </c>
      <c r="E13" s="3302">
        <f>((E5+E7+E9)/two_shift_productivity_ratio)*1.1</f>
        <v>340.60753492331389</v>
      </c>
      <c r="F13" s="3303">
        <f>((F5+F7+F9)/two_shift_productivity_ratio)*1.1</f>
        <v>509.98254355295717</v>
      </c>
      <c r="G13" s="3302">
        <f>((G5+G7+G9)/two_shift_productivity_ratio)*1.1</f>
        <v>122.13438416666671</v>
      </c>
      <c r="H13" s="3303">
        <f>((H5+H7+H9)/two_shift_productivity_ratio)*1.1</f>
        <v>490.49991778550179</v>
      </c>
      <c r="I13" s="3304">
        <f>SUM(E13:H13)</f>
        <v>1463.2243804284394</v>
      </c>
      <c r="J13" s="3611"/>
      <c r="K13" s="3304">
        <f>IF('Plant Availibility Calculator'!$P$23="Lower Port Cask System",'Lower Cask Summary'!$I13,IF('Plant Availibility Calculator'!$P$23="Lower Port Hot Cell",'Lower Hot Cell Summary'!$I13,"ERROR"))</f>
        <v>1919.0363065630199</v>
      </c>
      <c r="L13" s="3611"/>
      <c r="M13" s="3304">
        <f t="shared" si="0"/>
        <v>1919.0363065630199</v>
      </c>
      <c r="N13" s="3331"/>
    </row>
    <row r="14" spans="2:14" x14ac:dyDescent="0.4">
      <c r="B14" s="4011"/>
      <c r="C14" s="4020"/>
      <c r="D14" s="3305" t="s">
        <v>112</v>
      </c>
      <c r="E14" s="3306">
        <f>E13/24</f>
        <v>14.191980621804746</v>
      </c>
      <c r="F14" s="3307">
        <f>F13/24</f>
        <v>21.249272648039881</v>
      </c>
      <c r="G14" s="3306">
        <f>G13/24</f>
        <v>5.0889326736111125</v>
      </c>
      <c r="H14" s="3308">
        <f>H13/24</f>
        <v>20.437496574395908</v>
      </c>
      <c r="I14" s="3309">
        <f>I13/24</f>
        <v>60.967682517851642</v>
      </c>
      <c r="J14" s="3611"/>
      <c r="K14" s="3309">
        <f>IF('Plant Availibility Calculator'!$P$23="Lower Port Cask System",'Lower Cask Summary'!$I14,IF('Plant Availibility Calculator'!$P$23="Lower Port Hot Cell",'Lower Hot Cell Summary'!$I14,"ERROR"))</f>
        <v>79.959846106792511</v>
      </c>
      <c r="L14" s="3611"/>
      <c r="M14" s="3309">
        <f t="shared" si="0"/>
        <v>79.959846106792511</v>
      </c>
      <c r="N14" s="3331"/>
    </row>
    <row r="15" spans="2:14" x14ac:dyDescent="0.4">
      <c r="B15" s="4011"/>
      <c r="C15" s="4020"/>
      <c r="D15" s="3305" t="s">
        <v>113</v>
      </c>
      <c r="E15" s="3306">
        <f>E14/30</f>
        <v>0.47306602072682485</v>
      </c>
      <c r="F15" s="3307">
        <f>F14/30</f>
        <v>0.70830908826799599</v>
      </c>
      <c r="G15" s="3306">
        <f>G14/30</f>
        <v>0.16963108912037042</v>
      </c>
      <c r="H15" s="3308">
        <f>H14/30</f>
        <v>0.6812498858131969</v>
      </c>
      <c r="I15" s="3309">
        <f>I14/30</f>
        <v>2.0322560839283881</v>
      </c>
      <c r="J15" s="3611"/>
      <c r="K15" s="3309">
        <f>IF('Plant Availibility Calculator'!$P$23="Lower Port Cask System",'Lower Cask Summary'!$I15,IF('Plant Availibility Calculator'!$P$23="Lower Port Hot Cell",'Lower Hot Cell Summary'!$I15,"ERROR"))</f>
        <v>2.6653282035597501</v>
      </c>
      <c r="L15" s="3611"/>
      <c r="M15" s="3309">
        <f t="shared" si="0"/>
        <v>2.6653282035597501</v>
      </c>
      <c r="N15" s="3331"/>
    </row>
    <row r="16" spans="2:14" s="3315" customFormat="1" ht="15" thickBot="1" x14ac:dyDescent="0.45">
      <c r="B16" s="4012"/>
      <c r="C16" s="4021"/>
      <c r="D16" s="3310" t="s">
        <v>513</v>
      </c>
      <c r="E16" s="3311">
        <f>E13/$I$13</f>
        <v>0.23277874499574858</v>
      </c>
      <c r="F16" s="3312">
        <f>F13/$I$13</f>
        <v>0.34853338310535237</v>
      </c>
      <c r="G16" s="3311">
        <f>G13/$I$13</f>
        <v>8.346934742223551E-2</v>
      </c>
      <c r="H16" s="3313">
        <f>H13/$I$13</f>
        <v>0.33521852447666362</v>
      </c>
      <c r="I16" s="3314">
        <f>SUM(E16:H16)</f>
        <v>1</v>
      </c>
      <c r="J16" s="3612"/>
      <c r="K16" s="3314">
        <f>IF('Plant Availibility Calculator'!$P$23="Lower Port Cask System",'Lower Cask Summary'!$I16,IF('Plant Availibility Calculator'!$P$23="Lower Port Hot Cell",'Lower Hot Cell Summary'!$I16,"ERROR"))</f>
        <v>1</v>
      </c>
      <c r="L16" s="3612"/>
      <c r="M16" s="3314">
        <f t="shared" si="0"/>
        <v>1</v>
      </c>
      <c r="N16" s="3331"/>
    </row>
    <row r="17" spans="2:14" s="3315" customFormat="1" ht="15" thickBot="1" x14ac:dyDescent="0.45">
      <c r="C17" s="3316"/>
      <c r="D17" s="3317"/>
      <c r="E17" s="3266"/>
      <c r="F17" s="3266"/>
      <c r="G17" s="3266"/>
      <c r="H17" s="3266"/>
      <c r="I17" s="3266"/>
      <c r="J17" s="3266"/>
      <c r="K17" s="3266"/>
      <c r="L17" s="3266"/>
      <c r="M17" s="3266"/>
      <c r="N17" s="3331"/>
    </row>
    <row r="18" spans="2:14" ht="15" customHeight="1" x14ac:dyDescent="0.4">
      <c r="B18" s="4010" t="str">
        <f>"All "&amp;Tokamak_Segmts&amp;" Ports in series"</f>
        <v>All 16 Ports in series</v>
      </c>
      <c r="C18" s="4013" t="s">
        <v>18</v>
      </c>
      <c r="D18" s="3261" t="s">
        <v>26</v>
      </c>
      <c r="E18" s="3262">
        <f>E5*Tokamak_Segmts</f>
        <v>2478.7043536484521</v>
      </c>
      <c r="F18" s="3263">
        <f>F5*Tokamak_Segmts</f>
        <v>4642.0230485943312</v>
      </c>
      <c r="G18" s="3262">
        <f>'Upper HotCell HardwareRecovery'!$E$11</f>
        <v>622.42140740740751</v>
      </c>
      <c r="H18" s="3618">
        <f>'Upper Hot Cell Welding failures'!$F$23</f>
        <v>3869.9955575766257</v>
      </c>
      <c r="I18" s="3265">
        <f>SUM(E18:H18)</f>
        <v>11613.144367226816</v>
      </c>
      <c r="J18" s="3611"/>
      <c r="K18" s="3265">
        <f>IF('Plant Availibility Calculator'!$P$23="Lower Port Cask System",'Lower Cask Summary'!$I18,IF('Plant Availibility Calculator'!$P$23="Lower Port Hot Cell",'Lower Hot Cell Summary'!$I18,"ERROR"))</f>
        <v>10265.261525099373</v>
      </c>
      <c r="L18" s="3611"/>
      <c r="M18" s="3265"/>
      <c r="N18" s="3331"/>
    </row>
    <row r="19" spans="2:14" s="3266" customFormat="1" x14ac:dyDescent="0.4">
      <c r="B19" s="4011"/>
      <c r="C19" s="4014"/>
      <c r="D19" s="3318" t="s">
        <v>28</v>
      </c>
      <c r="E19" s="3319">
        <f>E18/24</f>
        <v>103.27934806868551</v>
      </c>
      <c r="F19" s="3320">
        <f>F18/24</f>
        <v>193.41762702476379</v>
      </c>
      <c r="G19" s="3319">
        <f>G18/24</f>
        <v>25.934225308641981</v>
      </c>
      <c r="H19" s="3318">
        <f>H18/24</f>
        <v>161.24981489902606</v>
      </c>
      <c r="I19" s="3321">
        <f>I18/24</f>
        <v>483.88101530111732</v>
      </c>
      <c r="J19" s="3611"/>
      <c r="K19" s="3321">
        <f>IF('Plant Availibility Calculator'!$P$23="Lower Port Cask System",'Lower Cask Summary'!$I19,IF('Plant Availibility Calculator'!$P$23="Lower Port Hot Cell",'Lower Hot Cell Summary'!$I19,"ERROR"))</f>
        <v>427.71923021247392</v>
      </c>
      <c r="L19" s="3611"/>
      <c r="M19" s="3321"/>
      <c r="N19" s="3331"/>
    </row>
    <row r="20" spans="2:14" x14ac:dyDescent="0.4">
      <c r="B20" s="4011"/>
      <c r="C20" s="4015" t="s">
        <v>3</v>
      </c>
      <c r="D20" s="3272" t="s">
        <v>26</v>
      </c>
      <c r="E20" s="3273">
        <f>E7*Tokamak_Segmts</f>
        <v>336.37333333333333</v>
      </c>
      <c r="F20" s="3274">
        <f>F7*Tokamak_Segmts</f>
        <v>284.87111111111119</v>
      </c>
      <c r="G20" s="3273">
        <f>'Upper HotCell HardwareRecovery'!$E$12</f>
        <v>439.12794074074077</v>
      </c>
      <c r="H20" s="3619">
        <f>'Upper Hot Cell Welding failures'!$F$24</f>
        <v>125.71960762767304</v>
      </c>
      <c r="I20" s="3276">
        <f>SUM(E20:H20)</f>
        <v>1186.0919928128583</v>
      </c>
      <c r="J20" s="3611"/>
      <c r="K20" s="3276">
        <f>IF('Plant Availibility Calculator'!$P$23="Lower Port Cask System",'Lower Cask Summary'!$I20,IF('Plant Availibility Calculator'!$P$23="Lower Port Hot Cell",'Lower Hot Cell Summary'!$I20,"ERROR"))</f>
        <v>1630.4721914929717</v>
      </c>
      <c r="L20" s="3611"/>
      <c r="M20" s="3276"/>
      <c r="N20" s="3331"/>
    </row>
    <row r="21" spans="2:14" s="3266" customFormat="1" x14ac:dyDescent="0.4">
      <c r="B21" s="4011"/>
      <c r="C21" s="4016"/>
      <c r="D21" s="3322" t="s">
        <v>28</v>
      </c>
      <c r="E21" s="3273">
        <f>E20/24</f>
        <v>14.015555555555556</v>
      </c>
      <c r="F21" s="3274">
        <f>F20/24</f>
        <v>11.869629629629634</v>
      </c>
      <c r="G21" s="3273">
        <f>G20/24</f>
        <v>18.2969975308642</v>
      </c>
      <c r="H21" s="3619">
        <f>H20/24</f>
        <v>5.2383169844863771</v>
      </c>
      <c r="I21" s="3276">
        <f>I20/24</f>
        <v>49.420499700535764</v>
      </c>
      <c r="J21" s="3611"/>
      <c r="K21" s="3276">
        <f>IF('Plant Availibility Calculator'!$P$23="Lower Port Cask System",'Lower Cask Summary'!$I21,IF('Plant Availibility Calculator'!$P$23="Lower Port Hot Cell",'Lower Hot Cell Summary'!$I21,"ERROR"))</f>
        <v>67.936341312207148</v>
      </c>
      <c r="L21" s="3611"/>
      <c r="M21" s="3276"/>
      <c r="N21" s="3331"/>
    </row>
    <row r="22" spans="2:14" x14ac:dyDescent="0.4">
      <c r="B22" s="4011"/>
      <c r="C22" s="4016"/>
      <c r="D22" s="3285" t="s">
        <v>2699</v>
      </c>
      <c r="E22" s="3323">
        <f>E9*Tokamak_Segmts</f>
        <v>487.78325772913649</v>
      </c>
      <c r="F22" s="3324">
        <f>F9*Tokamak_Segmts</f>
        <v>18.391111111111112</v>
      </c>
      <c r="G22" s="3323">
        <f>'Upper HotCell HardwareRecovery'!$E$13</f>
        <v>122.78407407407407</v>
      </c>
      <c r="H22" s="3620">
        <f>'Upper Hot Cell Welding failures'!$F$25</f>
        <v>760.64767392783938</v>
      </c>
      <c r="I22" s="3325">
        <f>SUM(E22:H22)</f>
        <v>1389.6061168421611</v>
      </c>
      <c r="J22" s="3613"/>
      <c r="K22" s="3325">
        <f>IF('Plant Availibility Calculator'!$P$23="Lower Port Cask System",'Lower Cask Summary'!$I22,IF('Plant Availibility Calculator'!$P$23="Lower Port Hot Cell",'Lower Hot Cell Summary'!$I22,"ERROR"))</f>
        <v>191.66430738119624</v>
      </c>
      <c r="L22" s="3613"/>
      <c r="M22" s="3325"/>
      <c r="N22" s="3331"/>
    </row>
    <row r="23" spans="2:14" ht="15" customHeight="1" x14ac:dyDescent="0.4">
      <c r="B23" s="4011"/>
      <c r="C23" s="4017" t="s">
        <v>25</v>
      </c>
      <c r="D23" s="3290" t="s">
        <v>26</v>
      </c>
      <c r="E23" s="3291">
        <f>E18+E20+E22</f>
        <v>3302.860944710922</v>
      </c>
      <c r="F23" s="3292">
        <f>F18+F20+F22</f>
        <v>4945.2852708165537</v>
      </c>
      <c r="G23" s="3291">
        <f>G18+G20+G22</f>
        <v>1184.3334222222225</v>
      </c>
      <c r="H23" s="3621">
        <f>H18+H20+H22</f>
        <v>4756.3628391321381</v>
      </c>
      <c r="I23" s="3294">
        <f>SUM(E23:H23)</f>
        <v>14188.842476881835</v>
      </c>
      <c r="J23" s="3615"/>
      <c r="K23" s="3294">
        <f>IF('Plant Availibility Calculator'!$P$23="Lower Port Cask System",'Lower Cask Summary'!$I23,IF('Plant Availibility Calculator'!$P$23="Lower Port Hot Cell",'Lower Hot Cell Summary'!$I23,"ERROR"))</f>
        <v>12087.398023973545</v>
      </c>
      <c r="L23" s="3615"/>
      <c r="M23" s="3294">
        <f t="shared" si="0"/>
        <v>14188.842476881835</v>
      </c>
      <c r="N23" s="3331"/>
    </row>
    <row r="24" spans="2:14" ht="15" customHeight="1" thickBot="1" x14ac:dyDescent="0.45">
      <c r="B24" s="4011"/>
      <c r="C24" s="4018"/>
      <c r="D24" s="3296" t="s">
        <v>28</v>
      </c>
      <c r="E24" s="3297">
        <f>E23/24</f>
        <v>137.61920602962175</v>
      </c>
      <c r="F24" s="3298">
        <f>F23/24</f>
        <v>206.05355295068975</v>
      </c>
      <c r="G24" s="3299">
        <f>G23/24</f>
        <v>49.347225925925933</v>
      </c>
      <c r="H24" s="3622">
        <f>H23/24</f>
        <v>198.18178496383908</v>
      </c>
      <c r="I24" s="3626">
        <f>I23/24</f>
        <v>591.20176987007642</v>
      </c>
      <c r="J24" s="3616"/>
      <c r="K24" s="3626">
        <f>IF('Plant Availibility Calculator'!$P$23="Lower Port Cask System",'Lower Cask Summary'!$I24,IF('Plant Availibility Calculator'!$P$23="Lower Port Hot Cell",'Lower Hot Cell Summary'!$I24,"ERROR"))</f>
        <v>503.64158433223088</v>
      </c>
      <c r="L24" s="3616"/>
      <c r="M24" s="3626">
        <f t="shared" si="0"/>
        <v>591.20176987007642</v>
      </c>
      <c r="N24" s="3331"/>
    </row>
    <row r="25" spans="2:14" s="3266" customFormat="1" ht="15" customHeight="1" x14ac:dyDescent="0.4">
      <c r="B25" s="4011"/>
      <c r="C25" s="4019" t="s">
        <v>111</v>
      </c>
      <c r="D25" s="3301" t="s">
        <v>26</v>
      </c>
      <c r="E25" s="3302">
        <f>((E18+E20+E22)/two_shift_productivity_ratio)*1.1</f>
        <v>5449.7205587730223</v>
      </c>
      <c r="F25" s="3303">
        <f>((F18+F20+F22)/two_shift_productivity_ratio)*1.1</f>
        <v>8159.7206968473147</v>
      </c>
      <c r="G25" s="3302">
        <f>((G18+G20+G22)/two_shift_productivity_ratio)*1.1</f>
        <v>1954.1501466666673</v>
      </c>
      <c r="H25" s="3623">
        <f>((H18+H20+H22)/two_shift_productivity_ratio)*1.1</f>
        <v>7847.9986845680287</v>
      </c>
      <c r="I25" s="3304">
        <f>SUM(E25:H25)</f>
        <v>23411.590086855031</v>
      </c>
      <c r="J25" s="3611"/>
      <c r="K25" s="3304">
        <f>IF('Plant Availibility Calculator'!$P$23="Lower Port Cask System",'Lower Cask Summary'!$I25,IF('Plant Availibility Calculator'!$P$23="Lower Port Hot Cell",'Lower Hot Cell Summary'!$I25,"ERROR"))</f>
        <v>19944.20673955635</v>
      </c>
      <c r="L25" s="3611"/>
      <c r="M25" s="3304">
        <f t="shared" si="0"/>
        <v>23411.590086855031</v>
      </c>
      <c r="N25" s="3331"/>
    </row>
    <row r="26" spans="2:14" ht="15" customHeight="1" x14ac:dyDescent="0.4">
      <c r="B26" s="4011"/>
      <c r="C26" s="4020"/>
      <c r="D26" s="3305" t="s">
        <v>112</v>
      </c>
      <c r="E26" s="3306">
        <f>E25/24</f>
        <v>227.07168994887593</v>
      </c>
      <c r="F26" s="3307">
        <f>F25/24</f>
        <v>339.98836236863809</v>
      </c>
      <c r="G26" s="3306">
        <f>G25/24</f>
        <v>81.422922777777799</v>
      </c>
      <c r="H26" s="3624">
        <f>H25/24</f>
        <v>326.99994519033453</v>
      </c>
      <c r="I26" s="3309">
        <f>I25/24</f>
        <v>975.48292028562628</v>
      </c>
      <c r="J26" s="3611"/>
      <c r="K26" s="3309">
        <f>IF('Plant Availibility Calculator'!$P$23="Lower Port Cask System",'Lower Cask Summary'!$I26,IF('Plant Availibility Calculator'!$P$23="Lower Port Hot Cell",'Lower Hot Cell Summary'!$I26,"ERROR"))</f>
        <v>831.00861414818132</v>
      </c>
      <c r="L26" s="3611"/>
      <c r="M26" s="3309">
        <f t="shared" si="0"/>
        <v>975.48292028562628</v>
      </c>
      <c r="N26" s="3331"/>
    </row>
    <row r="27" spans="2:14" x14ac:dyDescent="0.4">
      <c r="B27" s="4011"/>
      <c r="C27" s="4020"/>
      <c r="D27" s="3305" t="s">
        <v>113</v>
      </c>
      <c r="E27" s="3306">
        <f>E26/30</f>
        <v>7.5690563316291977</v>
      </c>
      <c r="F27" s="3307">
        <f>F26/30</f>
        <v>11.332945412287936</v>
      </c>
      <c r="G27" s="3306">
        <f>G26/30</f>
        <v>2.7140974259259267</v>
      </c>
      <c r="H27" s="3624">
        <f>H26/30</f>
        <v>10.89999817301115</v>
      </c>
      <c r="I27" s="3309">
        <f>I26/30</f>
        <v>32.516097342854209</v>
      </c>
      <c r="J27" s="3611"/>
      <c r="K27" s="3309">
        <f>IF('Plant Availibility Calculator'!$P$23="Lower Port Cask System",'Lower Cask Summary'!$I27,IF('Plant Availibility Calculator'!$P$23="Lower Port Hot Cell",'Lower Hot Cell Summary'!$I27,"ERROR"))</f>
        <v>27.700287138272706</v>
      </c>
      <c r="L27" s="3611"/>
      <c r="M27" s="3309">
        <f t="shared" si="0"/>
        <v>32.516097342854209</v>
      </c>
      <c r="N27" s="3331"/>
    </row>
    <row r="28" spans="2:14" s="3327" customFormat="1" ht="15" thickBot="1" x14ac:dyDescent="0.45">
      <c r="B28" s="4012"/>
      <c r="C28" s="4021"/>
      <c r="D28" s="3326" t="s">
        <v>513</v>
      </c>
      <c r="E28" s="3311">
        <f>E25/$I$25</f>
        <v>0.23277874499574858</v>
      </c>
      <c r="F28" s="3312">
        <f>F25/$I$25</f>
        <v>0.34853338310535237</v>
      </c>
      <c r="G28" s="3311">
        <f>G25/$I$25</f>
        <v>8.346934742223551E-2</v>
      </c>
      <c r="H28" s="3625">
        <f>H25/$I$25</f>
        <v>0.33521852447666362</v>
      </c>
      <c r="I28" s="3314">
        <f>I25/$I$25</f>
        <v>1</v>
      </c>
      <c r="J28" s="3612"/>
      <c r="K28" s="3314">
        <f>IF('Plant Availibility Calculator'!$P$23="Lower Port Cask System",'Lower Cask Summary'!$I28,IF('Plant Availibility Calculator'!$P$23="Lower Port Hot Cell",'Lower Hot Cell Summary'!$I28,"ERROR"))</f>
        <v>1</v>
      </c>
      <c r="L28" s="3612"/>
      <c r="M28" s="3314">
        <f t="shared" si="0"/>
        <v>1</v>
      </c>
      <c r="N28" s="3331"/>
    </row>
    <row r="29" spans="2:14" s="3315" customFormat="1" ht="15" thickBot="1" x14ac:dyDescent="0.45">
      <c r="C29" s="3316"/>
      <c r="D29" s="3317"/>
      <c r="E29" s="3266"/>
      <c r="F29" s="3266"/>
      <c r="G29" s="3266"/>
      <c r="H29" s="3266"/>
      <c r="I29" s="3266"/>
      <c r="J29" s="3266"/>
      <c r="K29" s="3266"/>
      <c r="L29" s="3266"/>
      <c r="M29" s="3266"/>
      <c r="N29" s="3331"/>
    </row>
    <row r="30" spans="2:14" ht="15" customHeight="1" x14ac:dyDescent="0.4">
      <c r="B30" s="4010" t="str">
        <f>"All "&amp;Tokamak_Segmts&amp;" Ports with 2 Systems"</f>
        <v>All 16 Ports with 2 Systems</v>
      </c>
      <c r="C30" s="4013" t="s">
        <v>18</v>
      </c>
      <c r="D30" s="3261" t="s">
        <v>26</v>
      </c>
      <c r="E30" s="3262">
        <f>E5*(ROUNDUP((Tokamak_Segmts/2),0))</f>
        <v>1239.352176824226</v>
      </c>
      <c r="F30" s="3263">
        <f>F5*(ROUNDUP((Tokamak_Segmts/2),0))</f>
        <v>2321.0115242971656</v>
      </c>
      <c r="G30" s="3262">
        <f>'Upper HotCell HardwareRecovery'!F$11</f>
        <v>311.21070370370376</v>
      </c>
      <c r="H30" s="3618">
        <f>'Upper Hot Cell Welding failures'!$G$23</f>
        <v>1934.9977787883129</v>
      </c>
      <c r="I30" s="3265">
        <f>SUM(E30:H30)</f>
        <v>5806.572183613408</v>
      </c>
      <c r="J30" s="3611"/>
      <c r="K30" s="3265">
        <f>IF('Plant Availibility Calculator'!$P$23="Lower Port Cask System",'Lower Cask Summary'!$I30,IF('Plant Availibility Calculator'!$P$23="Lower Port Hot Cell",'Lower Hot Cell Summary'!$I30,"ERROR"))</f>
        <v>7254.4759147510385</v>
      </c>
      <c r="L30" s="3611"/>
      <c r="M30" s="3265"/>
      <c r="N30" s="3331"/>
    </row>
    <row r="31" spans="2:14" s="3266" customFormat="1" x14ac:dyDescent="0.4">
      <c r="B31" s="4011"/>
      <c r="C31" s="4014"/>
      <c r="D31" s="3318" t="s">
        <v>28</v>
      </c>
      <c r="E31" s="3319">
        <f>E30/24</f>
        <v>51.639674034342754</v>
      </c>
      <c r="F31" s="3320">
        <f>F30/24</f>
        <v>96.708813512381894</v>
      </c>
      <c r="G31" s="3319">
        <f>G30/24</f>
        <v>12.96711265432099</v>
      </c>
      <c r="H31" s="3318">
        <f>H30/24</f>
        <v>80.624907449513032</v>
      </c>
      <c r="I31" s="3321">
        <f>I30/24</f>
        <v>241.94050765055866</v>
      </c>
      <c r="J31" s="3611"/>
      <c r="K31" s="3321">
        <f>IF('Plant Availibility Calculator'!$P$23="Lower Port Cask System",'Lower Cask Summary'!$I31,IF('Plant Availibility Calculator'!$P$23="Lower Port Hot Cell",'Lower Hot Cell Summary'!$I31,"ERROR"))</f>
        <v>302.26982978129331</v>
      </c>
      <c r="L31" s="3611"/>
      <c r="M31" s="3321"/>
      <c r="N31" s="3331"/>
    </row>
    <row r="32" spans="2:14" s="3266" customFormat="1" x14ac:dyDescent="0.4">
      <c r="B32" s="4011"/>
      <c r="C32" s="4015" t="s">
        <v>3</v>
      </c>
      <c r="D32" s="3272" t="s">
        <v>26</v>
      </c>
      <c r="E32" s="3273">
        <f>E7*(ROUNDUP((Tokamak_Segmts/2),0))</f>
        <v>168.18666666666667</v>
      </c>
      <c r="F32" s="3274">
        <f>F7*(ROUNDUP((Tokamak_Segmts/2),0))</f>
        <v>142.4355555555556</v>
      </c>
      <c r="G32" s="3273">
        <f>'Upper HotCell HardwareRecovery'!$F$12</f>
        <v>219.56397037037038</v>
      </c>
      <c r="H32" s="3619">
        <f>'Upper Hot Cell Welding failures'!$G$24</f>
        <v>62.859803813836521</v>
      </c>
      <c r="I32" s="3276">
        <f>SUM(E32:H32)</f>
        <v>593.04599640642914</v>
      </c>
      <c r="J32" s="3611"/>
      <c r="K32" s="3276">
        <f>IF('Plant Availibility Calculator'!$P$23="Lower Port Cask System",'Lower Cask Summary'!$I32,IF('Plant Availibility Calculator'!$P$23="Lower Port Hot Cell",'Lower Hot Cell Summary'!$I32,"ERROR"))</f>
        <v>1075.2767210939869</v>
      </c>
      <c r="L32" s="3611"/>
      <c r="M32" s="3276"/>
      <c r="N32" s="3331"/>
    </row>
    <row r="33" spans="2:14" s="3266" customFormat="1" x14ac:dyDescent="0.4">
      <c r="B33" s="4011"/>
      <c r="C33" s="4016"/>
      <c r="D33" s="3322" t="s">
        <v>28</v>
      </c>
      <c r="E33" s="3273">
        <f>E32/24</f>
        <v>7.0077777777777781</v>
      </c>
      <c r="F33" s="3274">
        <f>F32/24</f>
        <v>5.9348148148148168</v>
      </c>
      <c r="G33" s="3273">
        <f>G32/24</f>
        <v>9.1484987654320999</v>
      </c>
      <c r="H33" s="3619">
        <f>H32/24</f>
        <v>2.6191584922431885</v>
      </c>
      <c r="I33" s="3276">
        <f>SUM(E33:H33)</f>
        <v>24.710249850267882</v>
      </c>
      <c r="J33" s="3611"/>
      <c r="K33" s="3276">
        <f>IF('Plant Availibility Calculator'!$P$23="Lower Port Cask System",'Lower Cask Summary'!$I33,IF('Plant Availibility Calculator'!$P$23="Lower Port Hot Cell",'Lower Hot Cell Summary'!$I33,"ERROR"))</f>
        <v>44.803196712249452</v>
      </c>
      <c r="L33" s="3611"/>
      <c r="M33" s="3276"/>
      <c r="N33" s="3331"/>
    </row>
    <row r="34" spans="2:14" x14ac:dyDescent="0.4">
      <c r="B34" s="4011"/>
      <c r="C34" s="4016"/>
      <c r="D34" s="3285" t="s">
        <v>2699</v>
      </c>
      <c r="E34" s="3323">
        <f>E9*(ROUNDUP((Tokamak_Segmts/2),0))</f>
        <v>243.89162886456825</v>
      </c>
      <c r="F34" s="3324">
        <f>F9*(ROUNDUP((Tokamak_Segmts/2),0))</f>
        <v>9.1955555555555559</v>
      </c>
      <c r="G34" s="3323">
        <f>'Upper HotCell HardwareRecovery'!$F$13</f>
        <v>61.392037037037035</v>
      </c>
      <c r="H34" s="3620">
        <f>'Upper Hot Cell Welding failures'!$G$25</f>
        <v>380.32383696391969</v>
      </c>
      <c r="I34" s="3325">
        <f>SUM(E34:H34)</f>
        <v>694.80305842108055</v>
      </c>
      <c r="J34" s="3613"/>
      <c r="K34" s="3325">
        <f>IF('Plant Availibility Calculator'!$P$23="Lower Port Cask System",'Lower Cask Summary'!$I34,IF('Plant Availibility Calculator'!$P$23="Lower Port Hot Cell",'Lower Hot Cell Summary'!$I34,"ERROR"))</f>
        <v>974.66582021809893</v>
      </c>
      <c r="L34" s="3613"/>
      <c r="M34" s="3325"/>
      <c r="N34" s="3331"/>
    </row>
    <row r="35" spans="2:14" ht="15" customHeight="1" x14ac:dyDescent="0.4">
      <c r="B35" s="4011"/>
      <c r="C35" s="4017" t="s">
        <v>25</v>
      </c>
      <c r="D35" s="3290" t="s">
        <v>26</v>
      </c>
      <c r="E35" s="3291">
        <f>E30+E32+E34</f>
        <v>1651.430472355461</v>
      </c>
      <c r="F35" s="3292">
        <f>F30+F32+F34</f>
        <v>2472.6426354082769</v>
      </c>
      <c r="G35" s="3291">
        <f>G30+G32+G34</f>
        <v>592.16671111111123</v>
      </c>
      <c r="H35" s="3621">
        <f>H30+H32+H34</f>
        <v>2378.1814195660691</v>
      </c>
      <c r="I35" s="3294">
        <f>SUM(E35:H35)</f>
        <v>7094.4212384409175</v>
      </c>
      <c r="J35" s="3615"/>
      <c r="K35" s="3294">
        <f>IF('Plant Availibility Calculator'!$P$23="Lower Port Cask System",'Lower Cask Summary'!$I35,IF('Plant Availibility Calculator'!$P$23="Lower Port Hot Cell",'Lower Hot Cell Summary'!$I35,"ERROR"))</f>
        <v>9304.4184560631256</v>
      </c>
      <c r="L35" s="3615"/>
      <c r="M35" s="3294">
        <f t="shared" si="0"/>
        <v>9304.4184560631256</v>
      </c>
      <c r="N35" s="3331"/>
    </row>
    <row r="36" spans="2:14" ht="15" customHeight="1" thickBot="1" x14ac:dyDescent="0.45">
      <c r="B36" s="4011"/>
      <c r="C36" s="4018"/>
      <c r="D36" s="3296" t="s">
        <v>28</v>
      </c>
      <c r="E36" s="3297">
        <f>E35/24</f>
        <v>68.809603014810875</v>
      </c>
      <c r="F36" s="3298">
        <f>F35/24</f>
        <v>103.02677647534487</v>
      </c>
      <c r="G36" s="3299">
        <f>G35/24</f>
        <v>24.673612962962967</v>
      </c>
      <c r="H36" s="3622">
        <f>H35/24</f>
        <v>99.090892481919539</v>
      </c>
      <c r="I36" s="3626">
        <f>I35/24</f>
        <v>295.60088493503821</v>
      </c>
      <c r="J36" s="3616"/>
      <c r="K36" s="3626">
        <f>IF('Plant Availibility Calculator'!$P$23="Lower Port Cask System",'Lower Cask Summary'!$I36,IF('Plant Availibility Calculator'!$P$23="Lower Port Hot Cell",'Lower Hot Cell Summary'!$I36,"ERROR"))</f>
        <v>387.68410233596359</v>
      </c>
      <c r="L36" s="3616"/>
      <c r="M36" s="3626">
        <f t="shared" si="0"/>
        <v>387.68410233596359</v>
      </c>
      <c r="N36" s="3331"/>
    </row>
    <row r="37" spans="2:14" s="3266" customFormat="1" ht="15" customHeight="1" x14ac:dyDescent="0.4">
      <c r="B37" s="4011"/>
      <c r="C37" s="4019" t="s">
        <v>111</v>
      </c>
      <c r="D37" s="3301" t="s">
        <v>26</v>
      </c>
      <c r="E37" s="3302">
        <f>((E30+E32+E34)/two_shift_productivity_ratio)*1.1</f>
        <v>2724.8602793865111</v>
      </c>
      <c r="F37" s="3303">
        <f>((F30+F32+F34)/two_shift_productivity_ratio)*1.1</f>
        <v>4079.8603484236573</v>
      </c>
      <c r="G37" s="3302">
        <f>((G30+G32+G34)/two_shift_productivity_ratio)*1.1</f>
        <v>977.07507333333365</v>
      </c>
      <c r="H37" s="3623">
        <f>((H30+H32+H34)/two_shift_productivity_ratio)*1.1</f>
        <v>3923.9993422840143</v>
      </c>
      <c r="I37" s="3304">
        <f>SUM(E37:H37)</f>
        <v>11705.795043427515</v>
      </c>
      <c r="J37" s="3611"/>
      <c r="K37" s="3304">
        <f>IF('Plant Availibility Calculator'!$P$23="Lower Port Cask System",'Lower Cask Summary'!$I37,IF('Plant Availibility Calculator'!$P$23="Lower Port Hot Cell",'Lower Hot Cell Summary'!$I37,"ERROR"))</f>
        <v>15352.290452504159</v>
      </c>
      <c r="L37" s="3611"/>
      <c r="M37" s="3304">
        <f t="shared" si="0"/>
        <v>15352.290452504159</v>
      </c>
      <c r="N37" s="3331"/>
    </row>
    <row r="38" spans="2:14" ht="15" customHeight="1" x14ac:dyDescent="0.4">
      <c r="B38" s="4011"/>
      <c r="C38" s="4020"/>
      <c r="D38" s="3305" t="s">
        <v>112</v>
      </c>
      <c r="E38" s="3306">
        <f>E37/24</f>
        <v>113.53584497443796</v>
      </c>
      <c r="F38" s="3307">
        <f>F37/24</f>
        <v>169.99418118431905</v>
      </c>
      <c r="G38" s="3306">
        <f>G37/24</f>
        <v>40.7114613888889</v>
      </c>
      <c r="H38" s="3624">
        <f>H37/24</f>
        <v>163.49997259516726</v>
      </c>
      <c r="I38" s="3309">
        <f>I37/24</f>
        <v>487.74146014281314</v>
      </c>
      <c r="J38" s="3611"/>
      <c r="K38" s="3309">
        <f>IF('Plant Availibility Calculator'!$P$23="Lower Port Cask System",'Lower Cask Summary'!$I38,IF('Plant Availibility Calculator'!$P$23="Lower Port Hot Cell",'Lower Hot Cell Summary'!$I38,"ERROR"))</f>
        <v>639.67876885433998</v>
      </c>
      <c r="L38" s="3611"/>
      <c r="M38" s="3309">
        <f t="shared" si="0"/>
        <v>639.67876885433998</v>
      </c>
      <c r="N38" s="3331"/>
    </row>
    <row r="39" spans="2:14" x14ac:dyDescent="0.4">
      <c r="B39" s="4011"/>
      <c r="C39" s="4020"/>
      <c r="D39" s="3305" t="s">
        <v>113</v>
      </c>
      <c r="E39" s="3306">
        <f>E38/30</f>
        <v>3.7845281658145988</v>
      </c>
      <c r="F39" s="3307">
        <f>F38/30</f>
        <v>5.6664727061439679</v>
      </c>
      <c r="G39" s="3306">
        <f>G38/30</f>
        <v>1.3570487129629634</v>
      </c>
      <c r="H39" s="3624">
        <f>H38/30</f>
        <v>5.4499990865055752</v>
      </c>
      <c r="I39" s="3309">
        <f>I38/30</f>
        <v>16.258048671427105</v>
      </c>
      <c r="J39" s="3611"/>
      <c r="K39" s="3309">
        <f>IF('Plant Availibility Calculator'!$P$23="Lower Port Cask System",'Lower Cask Summary'!$I39,IF('Plant Availibility Calculator'!$P$23="Lower Port Hot Cell",'Lower Hot Cell Summary'!$I39,"ERROR"))</f>
        <v>21.322625628478001</v>
      </c>
      <c r="L39" s="3611"/>
      <c r="M39" s="3309">
        <f t="shared" si="0"/>
        <v>21.322625628478001</v>
      </c>
      <c r="N39" s="3331"/>
    </row>
    <row r="40" spans="2:14" s="3328" customFormat="1" ht="15" thickBot="1" x14ac:dyDescent="0.45">
      <c r="B40" s="4012"/>
      <c r="C40" s="4021"/>
      <c r="D40" s="3326" t="s">
        <v>513</v>
      </c>
      <c r="E40" s="3311">
        <f>E37/$I$49</f>
        <v>0.31038327181160169</v>
      </c>
      <c r="F40" s="3312">
        <f>F37/$I$49</f>
        <v>0.46472856353693914</v>
      </c>
      <c r="G40" s="3311">
        <f>G37/$I$49</f>
        <v>0.11129662697238921</v>
      </c>
      <c r="H40" s="3625">
        <f>H37/$I$49</f>
        <v>0.44697475450700891</v>
      </c>
      <c r="I40" s="3314">
        <f>I37/$I$49</f>
        <v>1.3333832168279387</v>
      </c>
      <c r="J40" s="3612"/>
      <c r="K40" s="3314">
        <f>IF('Plant Availibility Calculator'!$P$23="Lower Port Cask System",'Lower Cask Summary'!$I40,IF('Plant Availibility Calculator'!$P$23="Lower Port Hot Cell",'Lower Hot Cell Summary'!$I40,"ERROR"))</f>
        <v>1</v>
      </c>
      <c r="L40" s="3612"/>
      <c r="M40" s="3314">
        <f t="shared" si="0"/>
        <v>1.3333832168279387</v>
      </c>
      <c r="N40" s="3331"/>
    </row>
    <row r="41" spans="2:14" s="3315" customFormat="1" ht="15" thickBot="1" x14ac:dyDescent="0.45">
      <c r="C41" s="3316"/>
      <c r="D41" s="3317"/>
      <c r="E41" s="3266"/>
      <c r="F41" s="3266"/>
      <c r="G41" s="3266"/>
      <c r="H41" s="3266"/>
      <c r="I41" s="3266"/>
      <c r="J41" s="3266"/>
      <c r="K41" s="3266"/>
      <c r="L41" s="3266"/>
      <c r="M41" s="3266"/>
      <c r="N41" s="3331"/>
    </row>
    <row r="42" spans="2:14" ht="15" customHeight="1" x14ac:dyDescent="0.4">
      <c r="B42" s="4010" t="str">
        <f>"All "&amp;Tokamak_Segmts&amp;" Ports with 3 Systems"</f>
        <v>All 16 Ports with 3 Systems</v>
      </c>
      <c r="C42" s="4013" t="s">
        <v>18</v>
      </c>
      <c r="D42" s="3261" t="s">
        <v>26</v>
      </c>
      <c r="E42" s="3262">
        <f>E5*(ROUNDUP((Tokamak_Segmts/3),0))</f>
        <v>929.51413261816947</v>
      </c>
      <c r="F42" s="3263">
        <f>F5*(ROUNDUP((Tokamak_Segmts/3),0))</f>
        <v>1740.7586432228741</v>
      </c>
      <c r="G42" s="3262">
        <f>'Upper HotCell HardwareRecovery'!$G$11</f>
        <v>233.29357777777778</v>
      </c>
      <c r="H42" s="3618">
        <f>'Upper Hot Cell Welding failures'!$H$23</f>
        <v>1451.2483340912347</v>
      </c>
      <c r="I42" s="3265">
        <f>SUM(E42:H42)</f>
        <v>4354.8146877100562</v>
      </c>
      <c r="J42" s="3611"/>
      <c r="K42" s="3265">
        <f>IF('Plant Availibility Calculator'!$P$23="Lower Port Cask System",'Lower Cask Summary'!$I42,IF('Plant Availibility Calculator'!$P$23="Lower Port Hot Cell",'Lower Hot Cell Summary'!$I42,"ERROR"))</f>
        <v>5440.8569360632791</v>
      </c>
      <c r="L42" s="3611"/>
      <c r="M42" s="3265"/>
      <c r="N42" s="3331"/>
    </row>
    <row r="43" spans="2:14" s="3266" customFormat="1" x14ac:dyDescent="0.4">
      <c r="B43" s="4011"/>
      <c r="C43" s="4014"/>
      <c r="D43" s="3318" t="s">
        <v>28</v>
      </c>
      <c r="E43" s="3319">
        <f>E42/24</f>
        <v>38.729755525757064</v>
      </c>
      <c r="F43" s="3320">
        <f>F42/24</f>
        <v>72.531610134286424</v>
      </c>
      <c r="G43" s="3319">
        <f>G42/24</f>
        <v>9.7205657407407404</v>
      </c>
      <c r="H43" s="3318">
        <f>H42/24</f>
        <v>60.468680587134777</v>
      </c>
      <c r="I43" s="3321">
        <f>I42/24</f>
        <v>181.45061198791902</v>
      </c>
      <c r="J43" s="3611"/>
      <c r="K43" s="3321">
        <f>IF('Plant Availibility Calculator'!$P$23="Lower Port Cask System",'Lower Cask Summary'!$I43,IF('Plant Availibility Calculator'!$P$23="Lower Port Hot Cell",'Lower Hot Cell Summary'!$I43,"ERROR"))</f>
        <v>181.23894637839578</v>
      </c>
      <c r="L43" s="3611"/>
      <c r="M43" s="3321"/>
      <c r="N43" s="3331"/>
    </row>
    <row r="44" spans="2:14" s="3266" customFormat="1" x14ac:dyDescent="0.4">
      <c r="B44" s="4011"/>
      <c r="C44" s="4015" t="s">
        <v>3</v>
      </c>
      <c r="D44" s="3272" t="s">
        <v>26</v>
      </c>
      <c r="E44" s="3273">
        <f>E7*(ROUNDUP((Tokamak_Segmts/3),0))</f>
        <v>126.14</v>
      </c>
      <c r="F44" s="3274">
        <f>F7*(ROUNDUP((Tokamak_Segmts/3),0))</f>
        <v>106.8266666666667</v>
      </c>
      <c r="G44" s="3273">
        <f>'Upper HotCell HardwareRecovery'!$G$12</f>
        <v>164.58836955555554</v>
      </c>
      <c r="H44" s="3619">
        <f>'Upper Hot Cell Welding failures'!$H$24</f>
        <v>47.144852860377391</v>
      </c>
      <c r="I44" s="3276">
        <f>SUM(E44:H44)</f>
        <v>444.69988908259967</v>
      </c>
      <c r="J44" s="3611"/>
      <c r="K44" s="3276">
        <f>IF('Plant Availibility Calculator'!$P$23="Lower Port Cask System",'Lower Cask Summary'!$I44,IF('Plant Availibility Calculator'!$P$23="Lower Port Hot Cell",'Lower Hot Cell Summary'!$I44,"ERROR"))</f>
        <v>806.45754082049018</v>
      </c>
      <c r="L44" s="3611"/>
      <c r="M44" s="3276"/>
      <c r="N44" s="3331"/>
    </row>
    <row r="45" spans="2:14" s="3266" customFormat="1" x14ac:dyDescent="0.4">
      <c r="B45" s="4011"/>
      <c r="C45" s="4016"/>
      <c r="D45" s="3322" t="s">
        <v>28</v>
      </c>
      <c r="E45" s="3273">
        <f>E44/24</f>
        <v>5.2558333333333334</v>
      </c>
      <c r="F45" s="3274">
        <f>F44/24</f>
        <v>4.4511111111111124</v>
      </c>
      <c r="G45" s="3273">
        <f>G44/24</f>
        <v>6.8578487314814813</v>
      </c>
      <c r="H45" s="3619">
        <f>H44/24</f>
        <v>1.9643688691823913</v>
      </c>
      <c r="I45" s="3276">
        <f>SUM(E45:H45)</f>
        <v>18.529162045108318</v>
      </c>
      <c r="J45" s="3611"/>
      <c r="K45" s="3276">
        <f>IF('Plant Availibility Calculator'!$P$23="Lower Port Cask System",'Lower Cask Summary'!$I45,IF('Plant Availibility Calculator'!$P$23="Lower Port Hot Cell",'Lower Hot Cell Summary'!$I45,"ERROR"))</f>
        <v>27.30136267579929</v>
      </c>
      <c r="L45" s="3611"/>
      <c r="M45" s="3276"/>
      <c r="N45" s="3331"/>
    </row>
    <row r="46" spans="2:14" x14ac:dyDescent="0.4">
      <c r="B46" s="4011"/>
      <c r="C46" s="4016"/>
      <c r="D46" s="3285" t="s">
        <v>2699</v>
      </c>
      <c r="E46" s="3323">
        <f>E9*(ROUNDUP((Tokamak_Segmts/3),0))</f>
        <v>182.91872164842619</v>
      </c>
      <c r="F46" s="3324">
        <f>F9*(ROUNDUP((Tokamak_Segmts/3),0))</f>
        <v>6.8966666666666665</v>
      </c>
      <c r="G46" s="3323">
        <f>'Upper HotCell HardwareRecovery'!$G$13</f>
        <v>46.044027777777771</v>
      </c>
      <c r="H46" s="3620">
        <f>'Upper Hot Cell Welding failures'!$H$25</f>
        <v>285.24287772293974</v>
      </c>
      <c r="I46" s="3325">
        <f>SUM(E46:H46)</f>
        <v>521.1022938158103</v>
      </c>
      <c r="J46" s="3613"/>
      <c r="K46" s="3325">
        <f>IF('Plant Availibility Calculator'!$P$23="Lower Port Cask System",'Lower Cask Summary'!$I46,IF('Plant Availibility Calculator'!$P$23="Lower Port Hot Cell",'Lower Hot Cell Summary'!$I46,"ERROR"))</f>
        <v>730.99936516357411</v>
      </c>
      <c r="L46" s="3613"/>
      <c r="M46" s="3325"/>
      <c r="N46" s="3331"/>
    </row>
    <row r="47" spans="2:14" ht="15" customHeight="1" x14ac:dyDescent="0.4">
      <c r="B47" s="4011"/>
      <c r="C47" s="4017" t="s">
        <v>25</v>
      </c>
      <c r="D47" s="3290" t="s">
        <v>26</v>
      </c>
      <c r="E47" s="3291">
        <f>E42+E44+E46</f>
        <v>1238.5728542665956</v>
      </c>
      <c r="F47" s="3292">
        <f>F42+F44+F46</f>
        <v>1854.4819765562074</v>
      </c>
      <c r="G47" s="3291">
        <f>G42+G44+G46</f>
        <v>443.92597511111109</v>
      </c>
      <c r="H47" s="3621">
        <f>H42+H44+H46</f>
        <v>1783.6360646745518</v>
      </c>
      <c r="I47" s="3294">
        <f>SUM(E47:H47)</f>
        <v>5320.6168706084663</v>
      </c>
      <c r="J47" s="3615"/>
      <c r="K47" s="3294">
        <f>IF('Plant Availibility Calculator'!$P$23="Lower Port Cask System",'Lower Cask Summary'!$I47,IF('Plant Availibility Calculator'!$P$23="Lower Port Hot Cell",'Lower Hot Cell Summary'!$I47,"ERROR"))</f>
        <v>6978.3138420473442</v>
      </c>
      <c r="L47" s="3615"/>
      <c r="M47" s="3294">
        <f t="shared" si="0"/>
        <v>6978.3138420473442</v>
      </c>
      <c r="N47" s="3331"/>
    </row>
    <row r="48" spans="2:14" ht="15" customHeight="1" thickBot="1" x14ac:dyDescent="0.45">
      <c r="B48" s="4011"/>
      <c r="C48" s="4018"/>
      <c r="D48" s="3296" t="s">
        <v>28</v>
      </c>
      <c r="E48" s="3297">
        <f>E47/24</f>
        <v>51.607202261108149</v>
      </c>
      <c r="F48" s="3298">
        <f>F47/24</f>
        <v>77.270082356508638</v>
      </c>
      <c r="G48" s="3299">
        <f>G47/24</f>
        <v>18.49691562962963</v>
      </c>
      <c r="H48" s="3622">
        <f>H47/24</f>
        <v>74.318169361439658</v>
      </c>
      <c r="I48" s="3626">
        <f>I47/24</f>
        <v>221.69236960868611</v>
      </c>
      <c r="J48" s="3616"/>
      <c r="K48" s="3626">
        <f>IF('Plant Availibility Calculator'!$P$23="Lower Port Cask System",'Lower Cask Summary'!$I48,IF('Plant Availibility Calculator'!$P$23="Lower Port Hot Cell",'Lower Hot Cell Summary'!$I48,"ERROR"))</f>
        <v>238.7160943993552</v>
      </c>
      <c r="L48" s="3616"/>
      <c r="M48" s="3626">
        <f t="shared" si="0"/>
        <v>238.7160943993552</v>
      </c>
      <c r="N48" s="3331"/>
    </row>
    <row r="49" spans="2:14" s="3266" customFormat="1" ht="15" customHeight="1" x14ac:dyDescent="0.4">
      <c r="B49" s="4011"/>
      <c r="C49" s="4019" t="s">
        <v>111</v>
      </c>
      <c r="D49" s="3301" t="s">
        <v>26</v>
      </c>
      <c r="E49" s="3302">
        <f>((E42+E44+E46)/two_shift_productivity_ratio)*1.1</f>
        <v>2043.6452095398829</v>
      </c>
      <c r="F49" s="3303">
        <f>((F42+F44+F46)/two_shift_productivity_ratio)*1.1</f>
        <v>3059.8952613177426</v>
      </c>
      <c r="G49" s="3302">
        <f>((G42+G44+G46)/two_shift_productivity_ratio)*1.1</f>
        <v>732.47785893333344</v>
      </c>
      <c r="H49" s="3623">
        <f>((H42+H44+H46)/two_shift_productivity_ratio)*1.1</f>
        <v>2942.9995067130108</v>
      </c>
      <c r="I49" s="3304">
        <f>SUM(E49:H49)</f>
        <v>8779.0178365039701</v>
      </c>
      <c r="J49" s="3611"/>
      <c r="K49" s="3304">
        <f>IF('Plant Availibility Calculator'!$P$23="Lower Port Cask System",'Lower Cask Summary'!$I49,IF('Plant Availibility Calculator'!$P$23="Lower Port Hot Cell",'Lower Hot Cell Summary'!$I49,"ERROR"))</f>
        <v>11514.217839378118</v>
      </c>
      <c r="L49" s="3611"/>
      <c r="M49" s="3304">
        <f t="shared" si="0"/>
        <v>11514.217839378118</v>
      </c>
      <c r="N49" s="3331"/>
    </row>
    <row r="50" spans="2:14" ht="15" customHeight="1" x14ac:dyDescent="0.4">
      <c r="B50" s="4011"/>
      <c r="C50" s="4020"/>
      <c r="D50" s="3305" t="s">
        <v>112</v>
      </c>
      <c r="E50" s="3306">
        <f>E49/24</f>
        <v>85.151883730828459</v>
      </c>
      <c r="F50" s="3307">
        <f>F49/24</f>
        <v>127.49563588823928</v>
      </c>
      <c r="G50" s="3306">
        <f>G49/24</f>
        <v>30.519910788888893</v>
      </c>
      <c r="H50" s="3624">
        <f>H49/24</f>
        <v>122.62497944637545</v>
      </c>
      <c r="I50" s="3309">
        <f>I49/24</f>
        <v>365.79240985433211</v>
      </c>
      <c r="J50" s="3611"/>
      <c r="K50" s="3309">
        <f>IF('Plant Availibility Calculator'!$P$23="Lower Port Cask System",'Lower Cask Summary'!$I50,IF('Plant Availibility Calculator'!$P$23="Lower Port Hot Cell",'Lower Hot Cell Summary'!$I50,"ERROR"))</f>
        <v>479.75907664075493</v>
      </c>
      <c r="L50" s="3611"/>
      <c r="M50" s="3309">
        <f t="shared" si="0"/>
        <v>479.75907664075493</v>
      </c>
      <c r="N50" s="3331"/>
    </row>
    <row r="51" spans="2:14" x14ac:dyDescent="0.4">
      <c r="B51" s="4011"/>
      <c r="C51" s="4020"/>
      <c r="D51" s="3305" t="s">
        <v>113</v>
      </c>
      <c r="E51" s="3306">
        <f>E50/30</f>
        <v>2.8383961243609486</v>
      </c>
      <c r="F51" s="3307">
        <f>F50/30</f>
        <v>4.2498545296079762</v>
      </c>
      <c r="G51" s="3306">
        <f>G50/30</f>
        <v>1.0173303596296297</v>
      </c>
      <c r="H51" s="3624">
        <f>H50/30</f>
        <v>4.0874993148791816</v>
      </c>
      <c r="I51" s="3309">
        <f>I50/30</f>
        <v>12.193080328477738</v>
      </c>
      <c r="J51" s="3611"/>
      <c r="K51" s="3309">
        <f>IF('Plant Availibility Calculator'!$P$23="Lower Port Cask System",'Lower Cask Summary'!$I51,IF('Plant Availibility Calculator'!$P$23="Lower Port Hot Cell",'Lower Hot Cell Summary'!$I51,"ERROR"))</f>
        <v>15.991969221358497</v>
      </c>
      <c r="L51" s="3611"/>
      <c r="M51" s="3309">
        <f t="shared" si="0"/>
        <v>15.991969221358497</v>
      </c>
      <c r="N51" s="3331"/>
    </row>
    <row r="52" spans="2:14" s="3328" customFormat="1" ht="15" thickBot="1" x14ac:dyDescent="0.45">
      <c r="B52" s="4012"/>
      <c r="C52" s="4021"/>
      <c r="D52" s="3326" t="s">
        <v>513</v>
      </c>
      <c r="E52" s="3311">
        <f>E49/$I$49</f>
        <v>0.23278745385870123</v>
      </c>
      <c r="F52" s="3312">
        <f>F49/$I$49</f>
        <v>0.3485464226527043</v>
      </c>
      <c r="G52" s="3311">
        <f>G49/$I$49</f>
        <v>8.3435057608337762E-2</v>
      </c>
      <c r="H52" s="3625">
        <f>H49/$I$49</f>
        <v>0.33523106588025664</v>
      </c>
      <c r="I52" s="3314">
        <f>I49/$I$49</f>
        <v>1</v>
      </c>
      <c r="J52" s="3612"/>
      <c r="K52" s="3314">
        <f>IF('Plant Availibility Calculator'!$P$23="Lower Port Cask System",'Lower Cask Summary'!$I52,IF('Plant Availibility Calculator'!$P$23="Lower Port Hot Cell",'Lower Hot Cell Summary'!$I52,"ERROR"))</f>
        <v>1</v>
      </c>
      <c r="L52" s="3612"/>
      <c r="M52" s="3314">
        <f t="shared" si="0"/>
        <v>1</v>
      </c>
      <c r="N52" s="3331"/>
    </row>
    <row r="53" spans="2:14" s="3315" customFormat="1" ht="15" thickBot="1" x14ac:dyDescent="0.45">
      <c r="C53" s="3316"/>
      <c r="D53" s="3317"/>
      <c r="E53" s="3266"/>
      <c r="F53" s="3266"/>
      <c r="G53" s="3266"/>
      <c r="H53" s="3266"/>
      <c r="I53" s="3266"/>
      <c r="J53" s="3266"/>
      <c r="K53" s="3266"/>
      <c r="L53" s="3266"/>
      <c r="M53" s="3266"/>
      <c r="N53" s="3331"/>
    </row>
    <row r="54" spans="2:14" ht="15" customHeight="1" x14ac:dyDescent="0.4">
      <c r="B54" s="4010" t="str">
        <f>"All "&amp;Tokamak_Segmts&amp;" Ports with 4 Systems"</f>
        <v>All 16 Ports with 4 Systems</v>
      </c>
      <c r="C54" s="4022" t="s">
        <v>18</v>
      </c>
      <c r="D54" s="3261" t="s">
        <v>26</v>
      </c>
      <c r="E54" s="3262">
        <f>E$5*(ROUNDUP((Tokamak_Segmts/4),0))</f>
        <v>619.67608841211302</v>
      </c>
      <c r="F54" s="3263">
        <f>F$5*(ROUNDUP((Tokamak_Segmts/4),0))</f>
        <v>1160.5057621485828</v>
      </c>
      <c r="G54" s="3262">
        <f>'Upper HotCell HardwareRecovery'!$H$11</f>
        <v>155.60535185185188</v>
      </c>
      <c r="H54" s="3618">
        <f>'Upper Hot Cell Welding failures'!$I$23</f>
        <v>967.49888939415644</v>
      </c>
      <c r="I54" s="3265">
        <f>SUM(E54:H54)</f>
        <v>2903.286091806704</v>
      </c>
      <c r="J54" s="3611"/>
      <c r="K54" s="3265">
        <f>IF('Plant Availibility Calculator'!$P$23="Lower Port Cask System",'Lower Cask Summary'!$I54,IF('Plant Availibility Calculator'!$P$23="Lower Port Hot Cell",'Lower Hot Cell Summary'!$I54,"ERROR"))</f>
        <v>3627.2379573755193</v>
      </c>
      <c r="L54" s="3611"/>
      <c r="M54" s="3265"/>
      <c r="N54" s="3331"/>
    </row>
    <row r="55" spans="2:14" s="3266" customFormat="1" x14ac:dyDescent="0.4">
      <c r="B55" s="4011"/>
      <c r="C55" s="4023"/>
      <c r="D55" s="3318" t="s">
        <v>28</v>
      </c>
      <c r="E55" s="3319">
        <f>E54/24</f>
        <v>25.819837017171377</v>
      </c>
      <c r="F55" s="3320">
        <f>F54/24</f>
        <v>48.354406756190947</v>
      </c>
      <c r="G55" s="3319">
        <f>G54/24</f>
        <v>6.4835563271604952</v>
      </c>
      <c r="H55" s="3318">
        <f>H54/24</f>
        <v>40.312453724756516</v>
      </c>
      <c r="I55" s="3321">
        <f>I54/24</f>
        <v>120.97025382527933</v>
      </c>
      <c r="J55" s="3611"/>
      <c r="K55" s="3321">
        <f>IF('Plant Availibility Calculator'!$P$23="Lower Port Cask System",'Lower Cask Summary'!$I55,IF('Plant Availibility Calculator'!$P$23="Lower Port Hot Cell",'Lower Hot Cell Summary'!$I55,"ERROR"))</f>
        <v>104.2938093586005</v>
      </c>
      <c r="L55" s="3611"/>
      <c r="M55" s="3321"/>
      <c r="N55" s="3331"/>
    </row>
    <row r="56" spans="2:14" s="3266" customFormat="1" x14ac:dyDescent="0.4">
      <c r="B56" s="4011"/>
      <c r="C56" s="4024" t="s">
        <v>3</v>
      </c>
      <c r="D56" s="3272" t="s">
        <v>26</v>
      </c>
      <c r="E56" s="3273">
        <f>E$7*(ROUNDUP((Tokamak_Segmts/4),0))</f>
        <v>84.093333333333334</v>
      </c>
      <c r="F56" s="3274">
        <f>F$7*(ROUNDUP((Tokamak_Segmts/4),0))</f>
        <v>71.217777777777798</v>
      </c>
      <c r="G56" s="3273">
        <f>'Upper HotCell HardwareRecovery'!$H$12</f>
        <v>109.78198518518519</v>
      </c>
      <c r="H56" s="3619">
        <f>'Upper Hot Cell Welding failures'!$I$24</f>
        <v>31.429901906918261</v>
      </c>
      <c r="I56" s="3276">
        <f>SUM(E56:H56)</f>
        <v>296.52299820321457</v>
      </c>
      <c r="J56" s="3611"/>
      <c r="K56" s="3276">
        <f>IF('Plant Availibility Calculator'!$P$23="Lower Port Cask System",'Lower Cask Summary'!$I56,IF('Plant Availibility Calculator'!$P$23="Lower Port Hot Cell",'Lower Hot Cell Summary'!$I56,"ERROR"))</f>
        <v>537.63836054699345</v>
      </c>
      <c r="L56" s="3611"/>
      <c r="M56" s="3276"/>
      <c r="N56" s="3331"/>
    </row>
    <row r="57" spans="2:14" s="3266" customFormat="1" x14ac:dyDescent="0.4">
      <c r="B57" s="4011"/>
      <c r="C57" s="4025"/>
      <c r="D57" s="3322" t="s">
        <v>28</v>
      </c>
      <c r="E57" s="3273">
        <f>E56/24</f>
        <v>3.5038888888888891</v>
      </c>
      <c r="F57" s="3274">
        <f>F56/24</f>
        <v>2.9674074074074084</v>
      </c>
      <c r="G57" s="3273">
        <f>G56/24</f>
        <v>4.57424938271605</v>
      </c>
      <c r="H57" s="3619">
        <f>H56/24</f>
        <v>1.3095792461215943</v>
      </c>
      <c r="I57" s="3276">
        <f>SUM(E57:H57)</f>
        <v>12.355124925133941</v>
      </c>
      <c r="J57" s="3611"/>
      <c r="K57" s="3276">
        <f>IF('Plant Availibility Calculator'!$P$23="Lower Port Cask System",'Lower Cask Summary'!$I57,IF('Plant Availibility Calculator'!$P$23="Lower Port Hot Cell",'Lower Hot Cell Summary'!$I57,"ERROR"))</f>
        <v>15.909623047482746</v>
      </c>
      <c r="L57" s="3611"/>
      <c r="M57" s="3276"/>
      <c r="N57" s="3331"/>
    </row>
    <row r="58" spans="2:14" x14ac:dyDescent="0.4">
      <c r="B58" s="4011"/>
      <c r="C58" s="4026"/>
      <c r="D58" s="3285" t="s">
        <v>2699</v>
      </c>
      <c r="E58" s="3323">
        <f>E$9*(ROUNDUP((Tokamak_Segmts/4),0))</f>
        <v>121.94581443228412</v>
      </c>
      <c r="F58" s="3324">
        <f>F$9*(ROUNDUP((Tokamak_Segmts/4),0))</f>
        <v>4.597777777777778</v>
      </c>
      <c r="G58" s="3323">
        <f>'Upper HotCell HardwareRecovery'!$H$13</f>
        <v>30.696018518518517</v>
      </c>
      <c r="H58" s="3620">
        <f>'Upper Hot Cell Welding failures'!$I$25</f>
        <v>190.16191848195984</v>
      </c>
      <c r="I58" s="3325">
        <f>SUM(E58:H58)</f>
        <v>347.40152921054028</v>
      </c>
      <c r="J58" s="3613"/>
      <c r="K58" s="3325">
        <f>IF('Plant Availibility Calculator'!$P$23="Lower Port Cask System",'Lower Cask Summary'!$I58,IF('Plant Availibility Calculator'!$P$23="Lower Port Hot Cell",'Lower Hot Cell Summary'!$I58,"ERROR"))</f>
        <v>487.33291010904946</v>
      </c>
      <c r="L58" s="3613"/>
      <c r="M58" s="3325"/>
      <c r="N58" s="3331"/>
    </row>
    <row r="59" spans="2:14" ht="15" customHeight="1" x14ac:dyDescent="0.4">
      <c r="B59" s="4011"/>
      <c r="C59" s="4027" t="s">
        <v>25</v>
      </c>
      <c r="D59" s="3290" t="s">
        <v>26</v>
      </c>
      <c r="E59" s="3291">
        <f>E54+E56+E58</f>
        <v>825.7152361777305</v>
      </c>
      <c r="F59" s="3292">
        <f>F54+F56+F58</f>
        <v>1236.3213177041384</v>
      </c>
      <c r="G59" s="3291">
        <f>G54+G56+G58</f>
        <v>296.08335555555561</v>
      </c>
      <c r="H59" s="3621">
        <f>H54+H56+H58</f>
        <v>1189.0907097830345</v>
      </c>
      <c r="I59" s="3294">
        <f>SUM(E59:H59)</f>
        <v>3547.2106192204587</v>
      </c>
      <c r="J59" s="3615"/>
      <c r="K59" s="3294">
        <f>IF('Plant Availibility Calculator'!$P$23="Lower Port Cask System",'Lower Cask Summary'!$I59,IF('Plant Availibility Calculator'!$P$23="Lower Port Hot Cell",'Lower Hot Cell Summary'!$I59,"ERROR"))</f>
        <v>4652.2092280315628</v>
      </c>
      <c r="L59" s="3615"/>
      <c r="M59" s="3294">
        <f t="shared" si="0"/>
        <v>4652.2092280315628</v>
      </c>
      <c r="N59" s="3331"/>
    </row>
    <row r="60" spans="2:14" ht="15" customHeight="1" thickBot="1" x14ac:dyDescent="0.45">
      <c r="B60" s="4011"/>
      <c r="C60" s="4028"/>
      <c r="D60" s="3296" t="s">
        <v>28</v>
      </c>
      <c r="E60" s="3297">
        <f>E59/24</f>
        <v>34.404801507405438</v>
      </c>
      <c r="F60" s="3298">
        <f>F59/24</f>
        <v>51.513388237672437</v>
      </c>
      <c r="G60" s="3299">
        <f>G59/24</f>
        <v>12.336806481481483</v>
      </c>
      <c r="H60" s="3622">
        <f>H59/24</f>
        <v>49.54544624095977</v>
      </c>
      <c r="I60" s="3626">
        <f>I59/24</f>
        <v>147.8004424675191</v>
      </c>
      <c r="J60" s="3616"/>
      <c r="K60" s="3626">
        <f>IF('Plant Availibility Calculator'!$P$23="Lower Port Cask System",'Lower Cask Summary'!$I60,IF('Plant Availibility Calculator'!$P$23="Lower Port Hot Cell",'Lower Hot Cell Summary'!$I60,"ERROR"))</f>
        <v>140.21788753195167</v>
      </c>
      <c r="L60" s="3616"/>
      <c r="M60" s="3626">
        <f t="shared" si="0"/>
        <v>147.8004424675191</v>
      </c>
      <c r="N60" s="3331"/>
    </row>
    <row r="61" spans="2:14" s="3266" customFormat="1" ht="15" customHeight="1" x14ac:dyDescent="0.4">
      <c r="B61" s="4011"/>
      <c r="C61" s="4029" t="s">
        <v>111</v>
      </c>
      <c r="D61" s="3301" t="s">
        <v>26</v>
      </c>
      <c r="E61" s="3302">
        <f>((E54+E56+E58)/two_shift_productivity_ratio)*1.1</f>
        <v>1362.4301396932556</v>
      </c>
      <c r="F61" s="3303">
        <f>((F54+F56+F58)/two_shift_productivity_ratio)*1.1</f>
        <v>2039.9301742118287</v>
      </c>
      <c r="G61" s="3302">
        <f>((G54+G56+G58)/two_shift_productivity_ratio)*1.1</f>
        <v>488.53753666666682</v>
      </c>
      <c r="H61" s="3623">
        <f>((H54+H56+H58)/two_shift_productivity_ratio)*1.1</f>
        <v>1961.9996711420072</v>
      </c>
      <c r="I61" s="3304">
        <f>SUM(E61:H61)</f>
        <v>5852.8975217137577</v>
      </c>
      <c r="J61" s="3611"/>
      <c r="K61" s="3304">
        <f>IF('Plant Availibility Calculator'!$P$23="Lower Port Cask System",'Lower Cask Summary'!$I61,IF('Plant Availibility Calculator'!$P$23="Lower Port Hot Cell",'Lower Hot Cell Summary'!$I61,"ERROR"))</f>
        <v>7676.1452262520797</v>
      </c>
      <c r="L61" s="3611"/>
      <c r="M61" s="3304">
        <f t="shared" si="0"/>
        <v>7676.1452262520797</v>
      </c>
      <c r="N61" s="3331"/>
    </row>
    <row r="62" spans="2:14" ht="15" customHeight="1" x14ac:dyDescent="0.4">
      <c r="B62" s="4011"/>
      <c r="C62" s="4030"/>
      <c r="D62" s="3305" t="s">
        <v>112</v>
      </c>
      <c r="E62" s="3306">
        <f>E61/24</f>
        <v>56.767922487218982</v>
      </c>
      <c r="F62" s="3307">
        <f>F61/24</f>
        <v>84.997090592159523</v>
      </c>
      <c r="G62" s="3306">
        <f>G61/24</f>
        <v>20.35573069444445</v>
      </c>
      <c r="H62" s="3624">
        <f>H61/24</f>
        <v>81.749986297583632</v>
      </c>
      <c r="I62" s="3309">
        <f>I61/24</f>
        <v>243.87073007140657</v>
      </c>
      <c r="J62" s="3611"/>
      <c r="K62" s="3309">
        <f>IF('Plant Availibility Calculator'!$P$23="Lower Port Cask System",'Lower Cask Summary'!$I62,IF('Plant Availibility Calculator'!$P$23="Lower Port Hot Cell",'Lower Hot Cell Summary'!$I62,"ERROR"))</f>
        <v>319.83938442716999</v>
      </c>
      <c r="L62" s="3611"/>
      <c r="M62" s="3309">
        <f t="shared" si="0"/>
        <v>319.83938442716999</v>
      </c>
      <c r="N62" s="3331"/>
    </row>
    <row r="63" spans="2:14" x14ac:dyDescent="0.4">
      <c r="B63" s="4011"/>
      <c r="C63" s="4030"/>
      <c r="D63" s="3305" t="s">
        <v>113</v>
      </c>
      <c r="E63" s="3306">
        <f>E62/30</f>
        <v>1.8922640829072994</v>
      </c>
      <c r="F63" s="3307">
        <f>F62/30</f>
        <v>2.833236353071984</v>
      </c>
      <c r="G63" s="3306">
        <f>G62/30</f>
        <v>0.67852435648148168</v>
      </c>
      <c r="H63" s="3624">
        <f>H62/30</f>
        <v>2.7249995432527876</v>
      </c>
      <c r="I63" s="3309">
        <f>I62/30</f>
        <v>8.1290243357135523</v>
      </c>
      <c r="J63" s="3611"/>
      <c r="K63" s="3309">
        <f>IF('Plant Availibility Calculator'!$P$23="Lower Port Cask System",'Lower Cask Summary'!$I63,IF('Plant Availibility Calculator'!$P$23="Lower Port Hot Cell",'Lower Hot Cell Summary'!$I63,"ERROR"))</f>
        <v>10.661312814239</v>
      </c>
      <c r="L63" s="3611"/>
      <c r="M63" s="3309">
        <f t="shared" si="0"/>
        <v>10.661312814239</v>
      </c>
      <c r="N63" s="3331"/>
    </row>
    <row r="64" spans="2:14" s="3328" customFormat="1" ht="15" thickBot="1" x14ac:dyDescent="0.45">
      <c r="B64" s="4012"/>
      <c r="C64" s="4031"/>
      <c r="D64" s="3326" t="s">
        <v>513</v>
      </c>
      <c r="E64" s="3311">
        <f>E61/$I$49</f>
        <v>0.15519163590580085</v>
      </c>
      <c r="F64" s="3312">
        <f>F61/$I$49</f>
        <v>0.23236428176846957</v>
      </c>
      <c r="G64" s="3311">
        <f>G61/$I$49</f>
        <v>5.5648313486194603E-2</v>
      </c>
      <c r="H64" s="3625">
        <f>H61/$I$49</f>
        <v>0.22348737725350445</v>
      </c>
      <c r="I64" s="3314">
        <f>I61/$I$49</f>
        <v>0.66669160841396935</v>
      </c>
      <c r="J64" s="3612"/>
      <c r="K64" s="3314">
        <f>IF('Plant Availibility Calculator'!$P$23="Lower Port Cask System",'Lower Cask Summary'!$I64,IF('Plant Availibility Calculator'!$P$23="Lower Port Hot Cell",'Lower Hot Cell Summary'!$I64,"ERROR"))</f>
        <v>1</v>
      </c>
      <c r="L64" s="3612"/>
      <c r="M64" s="3314">
        <f t="shared" si="0"/>
        <v>1</v>
      </c>
      <c r="N64" s="3331"/>
    </row>
    <row r="65" spans="2:14" ht="15" thickBot="1" x14ac:dyDescent="0.45">
      <c r="E65" s="3266"/>
      <c r="F65" s="3266"/>
      <c r="G65" s="3266"/>
      <c r="H65" s="3266"/>
      <c r="I65" s="3266"/>
      <c r="J65" s="3266"/>
      <c r="K65" s="3266"/>
      <c r="L65" s="3266"/>
      <c r="M65" s="3266"/>
      <c r="N65" s="3331"/>
    </row>
    <row r="66" spans="2:14" ht="15" customHeight="1" x14ac:dyDescent="0.4">
      <c r="B66" s="4010" t="str">
        <f>"All "&amp;Tokamak_Segmts&amp;" Ports with 6 Systems"</f>
        <v>All 16 Ports with 6 Systems</v>
      </c>
      <c r="C66" s="4013" t="s">
        <v>18</v>
      </c>
      <c r="D66" s="3261" t="s">
        <v>26</v>
      </c>
      <c r="E66" s="3262">
        <f>E5*(ROUNDUP((Tokamak_Segmts/6),0))</f>
        <v>464.75706630908473</v>
      </c>
      <c r="F66" s="3263">
        <f>F5*(ROUNDUP((Tokamak_Segmts/6),0))</f>
        <v>870.37932161143704</v>
      </c>
      <c r="G66" s="3262">
        <f>'Upper HotCell HardwareRecovery'!$I$11</f>
        <v>116.64678888888889</v>
      </c>
      <c r="H66" s="3618">
        <f>'Upper Hot Cell Welding failures'!$J$23</f>
        <v>725.62416704561736</v>
      </c>
      <c r="I66" s="3265">
        <f>SUM(E66:H66)</f>
        <v>2177.4073438550281</v>
      </c>
      <c r="J66" s="3611"/>
      <c r="K66" s="3265">
        <f>IF('Plant Availibility Calculator'!$P$23="Lower Port Cask System",'Lower Cask Summary'!$I66,IF('Plant Availibility Calculator'!$P$23="Lower Port Hot Cell",'Lower Hot Cell Summary'!$I66,"ERROR"))</f>
        <v>2720.4284680316396</v>
      </c>
      <c r="L66" s="3611"/>
      <c r="M66" s="3265"/>
      <c r="N66" s="3331"/>
    </row>
    <row r="67" spans="2:14" s="3266" customFormat="1" x14ac:dyDescent="0.4">
      <c r="B67" s="4011"/>
      <c r="C67" s="4014"/>
      <c r="D67" s="3318" t="s">
        <v>28</v>
      </c>
      <c r="E67" s="3319">
        <f>E66/24</f>
        <v>19.364877762878532</v>
      </c>
      <c r="F67" s="3320">
        <f>F66/24</f>
        <v>36.265805067143212</v>
      </c>
      <c r="G67" s="3319">
        <f>G66/24</f>
        <v>4.8602828703703702</v>
      </c>
      <c r="H67" s="3318">
        <f>H66/24</f>
        <v>30.234340293567389</v>
      </c>
      <c r="I67" s="3321">
        <f>I66/24</f>
        <v>90.725305993959509</v>
      </c>
      <c r="J67" s="3611"/>
      <c r="K67" s="3321">
        <f>IF('Plant Availibility Calculator'!$P$23="Lower Port Cask System",'Lower Cask Summary'!$I67,IF('Plant Availibility Calculator'!$P$23="Lower Port Hot Cell",'Lower Hot Cell Summary'!$I67,"ERROR"))</f>
        <v>65.046296088062405</v>
      </c>
      <c r="L67" s="3611"/>
      <c r="M67" s="3321"/>
      <c r="N67" s="3331"/>
    </row>
    <row r="68" spans="2:14" x14ac:dyDescent="0.4">
      <c r="B68" s="4011"/>
      <c r="C68" s="4015" t="s">
        <v>3</v>
      </c>
      <c r="D68" s="3272" t="s">
        <v>26</v>
      </c>
      <c r="E68" s="3273">
        <f>E$7*(ROUNDUP((Tokamak_Segmts/6),0))</f>
        <v>63.07</v>
      </c>
      <c r="F68" s="3274">
        <f>F$7*(ROUNDUP((Tokamak_Segmts/6),0))</f>
        <v>53.413333333333348</v>
      </c>
      <c r="G68" s="3273">
        <f>'Upper HotCell HardwareRecovery'!$I$12</f>
        <v>82.294184777777772</v>
      </c>
      <c r="H68" s="3619">
        <f>'Upper Hot Cell Welding failures'!$J$24</f>
        <v>23.572426430188695</v>
      </c>
      <c r="I68" s="3276">
        <f>SUM(E68:H68)</f>
        <v>222.34994454129983</v>
      </c>
      <c r="J68" s="3611"/>
      <c r="K68" s="3276">
        <f>IF('Plant Availibility Calculator'!$P$23="Lower Port Cask System",'Lower Cask Summary'!$I68,IF('Plant Availibility Calculator'!$P$23="Lower Port Hot Cell",'Lower Hot Cell Summary'!$I68,"ERROR"))</f>
        <v>403.22877041024509</v>
      </c>
      <c r="L68" s="3611"/>
      <c r="M68" s="3276"/>
      <c r="N68" s="3331"/>
    </row>
    <row r="69" spans="2:14" s="3266" customFormat="1" x14ac:dyDescent="0.4">
      <c r="B69" s="4011"/>
      <c r="C69" s="4016"/>
      <c r="D69" s="3322" t="s">
        <v>28</v>
      </c>
      <c r="E69" s="3273">
        <f>E68/24</f>
        <v>2.6279166666666667</v>
      </c>
      <c r="F69" s="3274">
        <f>F68/24</f>
        <v>2.2255555555555562</v>
      </c>
      <c r="G69" s="3273">
        <f>G68/G71</f>
        <v>0.3707563395324196</v>
      </c>
      <c r="H69" s="3619">
        <f>H68/H71</f>
        <v>2.6431879122706347E-2</v>
      </c>
      <c r="I69" s="3276">
        <f>I68/24</f>
        <v>9.2645810225541592</v>
      </c>
      <c r="J69" s="3611"/>
      <c r="K69" s="3276">
        <f>IF('Plant Availibility Calculator'!$P$23="Lower Port Cask System",'Lower Cask Summary'!$I69,IF('Plant Availibility Calculator'!$P$23="Lower Port Hot Cell",'Lower Hot Cell Summary'!$I69,"ERROR"))</f>
        <v>10.106349230056505</v>
      </c>
      <c r="L69" s="3611"/>
      <c r="M69" s="3276"/>
      <c r="N69" s="3331"/>
    </row>
    <row r="70" spans="2:14" x14ac:dyDescent="0.4">
      <c r="B70" s="4011"/>
      <c r="C70" s="4016"/>
      <c r="D70" s="3285" t="s">
        <v>2699</v>
      </c>
      <c r="E70" s="3323">
        <f>E$9*(ROUNDUP((Tokamak_Segmts/6),0))</f>
        <v>91.459360824213093</v>
      </c>
      <c r="F70" s="3324">
        <f>F$9*(ROUNDUP((Tokamak_Segmts/6),0))</f>
        <v>3.4483333333333333</v>
      </c>
      <c r="G70" s="3323">
        <f>'Upper HotCell HardwareRecovery'!$I$13</f>
        <v>23.022013888888885</v>
      </c>
      <c r="H70" s="3620">
        <f>'Upper Hot Cell Welding failures'!$J$25</f>
        <v>142.62143886146987</v>
      </c>
      <c r="I70" s="3325">
        <f>SUM(E70:H70)</f>
        <v>260.55114690790515</v>
      </c>
      <c r="J70" s="3613"/>
      <c r="K70" s="3325">
        <f>IF('Plant Availibility Calculator'!$P$23="Lower Port Cask System",'Lower Cask Summary'!$I70,IF('Plant Availibility Calculator'!$P$23="Lower Port Hot Cell",'Lower Hot Cell Summary'!$I70,"ERROR"))</f>
        <v>365.49968258178706</v>
      </c>
      <c r="L70" s="3613"/>
      <c r="M70" s="3325"/>
      <c r="N70" s="3331"/>
    </row>
    <row r="71" spans="2:14" ht="15" customHeight="1" x14ac:dyDescent="0.4">
      <c r="B71" s="4011"/>
      <c r="C71" s="4017" t="s">
        <v>25</v>
      </c>
      <c r="D71" s="3290" t="s">
        <v>26</v>
      </c>
      <c r="E71" s="3291">
        <f>E66+E68+E70</f>
        <v>619.28642713329782</v>
      </c>
      <c r="F71" s="3292">
        <f>F66+F68+F70</f>
        <v>927.24098827810371</v>
      </c>
      <c r="G71" s="3291">
        <f>G66+G68+G70</f>
        <v>221.96298755555554</v>
      </c>
      <c r="H71" s="3621">
        <f>H66+H68+H70</f>
        <v>891.81803233727589</v>
      </c>
      <c r="I71" s="3294">
        <f>SUM(E71:H71)</f>
        <v>2660.3084353042332</v>
      </c>
      <c r="J71" s="3615"/>
      <c r="K71" s="3294">
        <f>IF('Plant Availibility Calculator'!$P$23="Lower Port Cask System",'Lower Cask Summary'!$I71,IF('Plant Availibility Calculator'!$P$23="Lower Port Hot Cell",'Lower Hot Cell Summary'!$I71,"ERROR"))</f>
        <v>3489.1569210236721</v>
      </c>
      <c r="L71" s="3615"/>
      <c r="M71" s="3294">
        <f t="shared" ref="M71:M76" si="1">MAX(K71,I71)</f>
        <v>3489.1569210236721</v>
      </c>
      <c r="N71" s="3331"/>
    </row>
    <row r="72" spans="2:14" ht="15" thickBot="1" x14ac:dyDescent="0.45">
      <c r="B72" s="4011"/>
      <c r="C72" s="4018"/>
      <c r="D72" s="3296" t="s">
        <v>28</v>
      </c>
      <c r="E72" s="3297">
        <f>E71/24</f>
        <v>25.803601130554075</v>
      </c>
      <c r="F72" s="3298">
        <f>F71/24</f>
        <v>38.635041178254319</v>
      </c>
      <c r="G72" s="3299">
        <f>G71/24</f>
        <v>9.2484578148148149</v>
      </c>
      <c r="H72" s="3622">
        <f>H71/24</f>
        <v>37.159084680719829</v>
      </c>
      <c r="I72" s="3626">
        <f>I71/24</f>
        <v>110.84618480434305</v>
      </c>
      <c r="J72" s="3616"/>
      <c r="K72" s="3626">
        <f>IF('Plant Availibility Calculator'!$P$23="Lower Port Cask System",'Lower Cask Summary'!$I72,IF('Plant Availibility Calculator'!$P$23="Lower Port Hot Cell",'Lower Hot Cell Summary'!$I72,"ERROR"))</f>
        <v>90.081619626330294</v>
      </c>
      <c r="L72" s="3616"/>
      <c r="M72" s="3626">
        <f t="shared" si="1"/>
        <v>110.84618480434305</v>
      </c>
      <c r="N72" s="3331"/>
    </row>
    <row r="73" spans="2:14" s="3266" customFormat="1" ht="15" customHeight="1" x14ac:dyDescent="0.4">
      <c r="B73" s="4011"/>
      <c r="C73" s="4019" t="s">
        <v>111</v>
      </c>
      <c r="D73" s="3301" t="s">
        <v>26</v>
      </c>
      <c r="E73" s="3302">
        <f>((E66+E68+E70)/two_shift_productivity_ratio)*1.1</f>
        <v>1021.8226047699414</v>
      </c>
      <c r="F73" s="3303">
        <f>((F66+F68+F70)/two_shift_productivity_ratio)*1.1</f>
        <v>1529.9476306588713</v>
      </c>
      <c r="G73" s="3302">
        <f>((G66+G68+G70)/two_shift_productivity_ratio)*1.1</f>
        <v>366.23892946666672</v>
      </c>
      <c r="H73" s="3623">
        <f>((H66+H68+H70)/two_shift_productivity_ratio)*1.1</f>
        <v>1471.4997533565054</v>
      </c>
      <c r="I73" s="3304">
        <f>SUM(E73:H73)</f>
        <v>4389.5089182519851</v>
      </c>
      <c r="J73" s="3611"/>
      <c r="K73" s="3304">
        <f>IF('Plant Availibility Calculator'!$P$23="Lower Port Cask System",'Lower Cask Summary'!$I73,IF('Plant Availibility Calculator'!$P$23="Lower Port Hot Cell",'Lower Hot Cell Summary'!$I73,"ERROR"))</f>
        <v>5757.1089196890589</v>
      </c>
      <c r="L73" s="3611"/>
      <c r="M73" s="3304">
        <f t="shared" si="1"/>
        <v>5757.1089196890589</v>
      </c>
      <c r="N73" s="3331"/>
    </row>
    <row r="74" spans="2:14" ht="15" customHeight="1" x14ac:dyDescent="0.4">
      <c r="B74" s="4011"/>
      <c r="C74" s="4020"/>
      <c r="D74" s="3305" t="s">
        <v>112</v>
      </c>
      <c r="E74" s="3306">
        <f>E73/24</f>
        <v>42.575941865414229</v>
      </c>
      <c r="F74" s="3307">
        <f>F73/24</f>
        <v>63.747817944119639</v>
      </c>
      <c r="G74" s="3306">
        <f>G73/24</f>
        <v>15.259955394444447</v>
      </c>
      <c r="H74" s="3624">
        <f>H73/24</f>
        <v>61.312489723187724</v>
      </c>
      <c r="I74" s="3309">
        <f>I73/24</f>
        <v>182.89620492716605</v>
      </c>
      <c r="J74" s="3611"/>
      <c r="K74" s="3309">
        <f>IF('Plant Availibility Calculator'!$P$23="Lower Port Cask System",'Lower Cask Summary'!$I74,IF('Plant Availibility Calculator'!$P$23="Lower Port Hot Cell",'Lower Hot Cell Summary'!$I74,"ERROR"))</f>
        <v>239.87953832037746</v>
      </c>
      <c r="L74" s="3611"/>
      <c r="M74" s="3309">
        <f t="shared" si="1"/>
        <v>239.87953832037746</v>
      </c>
      <c r="N74" s="3331"/>
    </row>
    <row r="75" spans="2:14" x14ac:dyDescent="0.4">
      <c r="B75" s="4011"/>
      <c r="C75" s="4020"/>
      <c r="D75" s="3305" t="s">
        <v>113</v>
      </c>
      <c r="E75" s="3306">
        <f>E74/30</f>
        <v>1.4191980621804743</v>
      </c>
      <c r="F75" s="3307">
        <f>F74/30</f>
        <v>2.1249272648039881</v>
      </c>
      <c r="G75" s="3306">
        <f>G74/30</f>
        <v>0.50866517981481485</v>
      </c>
      <c r="H75" s="3624">
        <f>H74/30</f>
        <v>2.0437496574395908</v>
      </c>
      <c r="I75" s="3309">
        <f>I74/30</f>
        <v>6.0965401642388688</v>
      </c>
      <c r="J75" s="3611"/>
      <c r="K75" s="3309">
        <f>IF('Plant Availibility Calculator'!$P$23="Lower Port Cask System",'Lower Cask Summary'!$I75,IF('Plant Availibility Calculator'!$P$23="Lower Port Hot Cell",'Lower Hot Cell Summary'!$I75,"ERROR"))</f>
        <v>7.9959846106792485</v>
      </c>
      <c r="L75" s="3611"/>
      <c r="M75" s="3309">
        <f t="shared" si="1"/>
        <v>7.9959846106792485</v>
      </c>
      <c r="N75" s="3331"/>
    </row>
    <row r="76" spans="2:14" s="3328" customFormat="1" ht="15" thickBot="1" x14ac:dyDescent="0.45">
      <c r="B76" s="4012"/>
      <c r="C76" s="4021"/>
      <c r="D76" s="3326" t="s">
        <v>513</v>
      </c>
      <c r="E76" s="3311">
        <f>E73/$I$73</f>
        <v>0.23278745385870123</v>
      </c>
      <c r="F76" s="3312">
        <f>F73/$I$73</f>
        <v>0.3485464226527043</v>
      </c>
      <c r="G76" s="3311">
        <f>G73/$I$73</f>
        <v>8.3435057608337762E-2</v>
      </c>
      <c r="H76" s="3625">
        <f>H73/$I$73</f>
        <v>0.33523106588025664</v>
      </c>
      <c r="I76" s="3314">
        <f>I73/$I$73</f>
        <v>1</v>
      </c>
      <c r="J76" s="3612"/>
      <c r="K76" s="3314">
        <f>IF('Plant Availibility Calculator'!$P$23="Lower Port Cask System",'Lower Cask Summary'!$I76,IF('Plant Availibility Calculator'!$P$23="Lower Port Hot Cell",'Lower Hot Cell Summary'!$I76,"ERROR"))</f>
        <v>1</v>
      </c>
      <c r="L76" s="3612"/>
      <c r="M76" s="3314">
        <f t="shared" si="1"/>
        <v>1</v>
      </c>
      <c r="N76" s="3331"/>
    </row>
    <row r="77" spans="2:14" x14ac:dyDescent="0.4">
      <c r="E77" s="3266"/>
      <c r="F77" s="3266"/>
      <c r="G77" s="3266"/>
      <c r="H77" s="3266"/>
      <c r="I77" s="3266"/>
      <c r="J77" s="3266"/>
      <c r="K77" s="3266"/>
      <c r="L77" s="3266"/>
      <c r="M77" s="3266"/>
    </row>
    <row r="82" spans="7:13" x14ac:dyDescent="0.4">
      <c r="G82" s="3266"/>
      <c r="H82" s="3266"/>
      <c r="I82" s="3266"/>
      <c r="J82" s="3266"/>
      <c r="K82" s="3266"/>
      <c r="L82" s="3266"/>
      <c r="M82" s="3266"/>
    </row>
    <row r="83" spans="7:13" x14ac:dyDescent="0.4">
      <c r="G83" s="3266"/>
      <c r="H83" s="3266"/>
      <c r="I83" s="3266"/>
      <c r="J83" s="3266"/>
      <c r="K83" s="3266"/>
      <c r="L83" s="3266"/>
      <c r="M83" s="3266"/>
    </row>
    <row r="84" spans="7:13" x14ac:dyDescent="0.4">
      <c r="G84" s="3266"/>
      <c r="H84" s="3266"/>
      <c r="I84" s="3266"/>
      <c r="J84" s="3266"/>
      <c r="K84" s="3266"/>
      <c r="L84" s="3266"/>
      <c r="M84" s="3266"/>
    </row>
    <row r="85" spans="7:13" x14ac:dyDescent="0.4">
      <c r="G85" s="3266"/>
      <c r="H85" s="3266"/>
      <c r="I85" s="3266"/>
      <c r="J85" s="3266"/>
      <c r="K85" s="3266"/>
      <c r="L85" s="3266"/>
      <c r="M85" s="3266"/>
    </row>
    <row r="88" spans="7:13" x14ac:dyDescent="0.4">
      <c r="G88" s="3266"/>
      <c r="H88" s="3266"/>
      <c r="I88" s="3266"/>
      <c r="J88" s="3266"/>
      <c r="K88" s="3266"/>
      <c r="L88" s="3266"/>
      <c r="M88" s="3266"/>
    </row>
    <row r="89" spans="7:13" x14ac:dyDescent="0.4">
      <c r="G89" s="3266"/>
      <c r="H89" s="3266"/>
      <c r="I89" s="3266"/>
      <c r="J89" s="3266"/>
      <c r="K89" s="3266"/>
      <c r="L89" s="3266"/>
      <c r="M89" s="3266"/>
    </row>
    <row r="90" spans="7:13" x14ac:dyDescent="0.4">
      <c r="G90" s="3266"/>
      <c r="H90" s="3266"/>
      <c r="I90" s="3266"/>
      <c r="J90" s="3266"/>
      <c r="K90" s="3266"/>
      <c r="L90" s="3266"/>
      <c r="M90" s="3266"/>
    </row>
    <row r="91" spans="7:13" x14ac:dyDescent="0.4">
      <c r="G91" s="3266"/>
      <c r="H91" s="3266"/>
      <c r="I91" s="3266"/>
      <c r="J91" s="3266"/>
      <c r="K91" s="3266"/>
      <c r="L91" s="3266"/>
      <c r="M91" s="3266"/>
    </row>
  </sheetData>
  <sheetProtection algorithmName="SHA-512" hashValue="hk9K3/35NGFm+VG9mxY1bScZ8yvEqgAdGKEUhzqsnz4txJDjJ/+QCpLtWEnErtV/BxAi8iObCWbqFCciOJVWrw==" saltValue="Q2+OIelwlyt09kagHQ3LvQ==" spinCount="100000" sheet="1" objects="1" scenarios="1"/>
  <customSheetViews>
    <customSheetView guid="{9C0AA20B-B2A2-4A2C-B279-4A5988F4E71A}">
      <selection activeCell="K5" sqref="K5"/>
      <pageMargins left="0.7" right="0.7" top="0.75" bottom="0.75" header="0.3" footer="0.3"/>
      <pageSetup paperSize="9" orientation="portrait" verticalDpi="0" r:id="rId1"/>
    </customSheetView>
  </customSheetViews>
  <mergeCells count="35">
    <mergeCell ref="B66:B76"/>
    <mergeCell ref="C66:C67"/>
    <mergeCell ref="C68:C70"/>
    <mergeCell ref="C71:C72"/>
    <mergeCell ref="C73:C76"/>
    <mergeCell ref="B42:B52"/>
    <mergeCell ref="C42:C43"/>
    <mergeCell ref="C44:C46"/>
    <mergeCell ref="C47:C48"/>
    <mergeCell ref="C49:C52"/>
    <mergeCell ref="B54:B64"/>
    <mergeCell ref="C54:C55"/>
    <mergeCell ref="C56:C58"/>
    <mergeCell ref="C59:C60"/>
    <mergeCell ref="C61:C64"/>
    <mergeCell ref="B18:B28"/>
    <mergeCell ref="C18:C19"/>
    <mergeCell ref="C20:C22"/>
    <mergeCell ref="C23:C24"/>
    <mergeCell ref="C25:C28"/>
    <mergeCell ref="B30:B40"/>
    <mergeCell ref="C30:C31"/>
    <mergeCell ref="C32:C34"/>
    <mergeCell ref="C35:C36"/>
    <mergeCell ref="C37:C40"/>
    <mergeCell ref="B5:B16"/>
    <mergeCell ref="C5:C6"/>
    <mergeCell ref="C7:C10"/>
    <mergeCell ref="C11:C12"/>
    <mergeCell ref="C13:C16"/>
    <mergeCell ref="M2:M3"/>
    <mergeCell ref="E2:I2"/>
    <mergeCell ref="E3:F3"/>
    <mergeCell ref="G3:H3"/>
    <mergeCell ref="K2:K3"/>
  </mergeCells>
  <pageMargins left="0.7" right="0.7" top="0.75" bottom="0.75" header="0.3" footer="0.3"/>
  <pageSetup paperSize="9" orientation="portrait" verticalDpi="0" r:id="rId2"/>
  <drawing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B1:S164"/>
  <sheetViews>
    <sheetView topLeftCell="A100" zoomScale="70" zoomScaleNormal="70" workbookViewId="0">
      <selection activeCell="H129" sqref="H129"/>
    </sheetView>
  </sheetViews>
  <sheetFormatPr defaultColWidth="9.15234375" defaultRowHeight="14.6" outlineLevelCol="1" x14ac:dyDescent="0.4"/>
  <cols>
    <col min="1" max="1" width="1.53515625" style="82" customWidth="1"/>
    <col min="2" max="2" width="16.3828125" style="168" customWidth="1"/>
    <col min="3" max="3" width="58.69140625" style="82" customWidth="1"/>
    <col min="4" max="4" width="12.3828125" style="82" bestFit="1" customWidth="1"/>
    <col min="5" max="5" width="11.69140625" style="82" bestFit="1" customWidth="1"/>
    <col min="6" max="6" width="14" style="82" customWidth="1"/>
    <col min="7" max="7" width="46.3828125" style="82" customWidth="1" outlineLevel="1"/>
    <col min="8" max="8" width="16.3046875" style="82" bestFit="1" customWidth="1"/>
    <col min="9" max="9" width="28.53515625" style="82" customWidth="1" outlineLevel="1"/>
    <col min="10" max="10" width="23" style="82" customWidth="1" outlineLevel="1"/>
    <col min="11" max="11" width="21" style="82" customWidth="1" outlineLevel="1"/>
    <col min="12" max="12" width="14.3828125" style="82" customWidth="1" outlineLevel="1"/>
    <col min="13" max="13" width="14.15234375" style="82" customWidth="1" outlineLevel="1"/>
    <col min="14" max="14" width="10.69140625" style="82" bestFit="1" customWidth="1"/>
    <col min="15" max="15" width="37.15234375" style="82" hidden="1" customWidth="1" outlineLevel="1"/>
    <col min="16" max="16" width="12" style="291" customWidth="1" collapsed="1"/>
    <col min="17" max="17" width="71.15234375" style="82" hidden="1" customWidth="1" outlineLevel="1"/>
    <col min="18" max="18" width="12" style="82" hidden="1" customWidth="1" outlineLevel="1"/>
    <col min="19" max="19" width="16.3828125" style="82" customWidth="1" collapsed="1"/>
    <col min="20" max="25" width="9.15234375" style="82" customWidth="1"/>
    <col min="26" max="16384" width="9.15234375" style="82"/>
  </cols>
  <sheetData>
    <row r="1" spans="2:19" ht="15" thickBot="1" x14ac:dyDescent="0.45"/>
    <row r="2" spans="2:19" ht="30" customHeight="1" thickBot="1" x14ac:dyDescent="0.45">
      <c r="E2" s="292"/>
      <c r="F2" s="293"/>
      <c r="G2" s="4032" t="s">
        <v>18</v>
      </c>
      <c r="H2" s="4033"/>
      <c r="I2" s="4034" t="s">
        <v>778</v>
      </c>
      <c r="J2" s="4035"/>
      <c r="K2" s="4035"/>
      <c r="L2" s="4035"/>
      <c r="M2" s="4035"/>
      <c r="N2" s="4036"/>
      <c r="O2" s="4034" t="s">
        <v>3</v>
      </c>
      <c r="P2" s="4036"/>
      <c r="Q2" s="3838" t="s">
        <v>779</v>
      </c>
      <c r="R2" s="3839"/>
      <c r="S2" s="3840"/>
    </row>
    <row r="3" spans="2:19" s="168" customFormat="1" ht="29.6" thickBot="1" x14ac:dyDescent="0.45">
      <c r="B3" s="294" t="s">
        <v>780</v>
      </c>
      <c r="C3" s="294" t="s">
        <v>781</v>
      </c>
      <c r="D3" s="295" t="s">
        <v>782</v>
      </c>
      <c r="E3" s="296" t="s">
        <v>783</v>
      </c>
      <c r="F3" s="297" t="s">
        <v>784</v>
      </c>
      <c r="G3" s="298" t="s">
        <v>785</v>
      </c>
      <c r="H3" s="296" t="str">
        <f>IF(D3="operation",VLOOKUP(G3,'Generic Vertical Port Tasks'!C$4:D$190,2,FALSE),"N/A")</f>
        <v>N/A</v>
      </c>
      <c r="I3" s="294" t="s">
        <v>786</v>
      </c>
      <c r="J3" s="299" t="s">
        <v>787</v>
      </c>
      <c r="K3" s="299" t="s">
        <v>788</v>
      </c>
      <c r="L3" s="299" t="s">
        <v>789</v>
      </c>
      <c r="M3" s="299" t="s">
        <v>790</v>
      </c>
      <c r="N3" s="300" t="s">
        <v>783</v>
      </c>
      <c r="O3" s="298" t="s">
        <v>785</v>
      </c>
      <c r="P3" s="301" t="s">
        <v>783</v>
      </c>
      <c r="Q3" s="302" t="s">
        <v>781</v>
      </c>
      <c r="R3" s="303" t="s">
        <v>791</v>
      </c>
      <c r="S3" s="304" t="s">
        <v>792</v>
      </c>
    </row>
    <row r="4" spans="2:19" ht="15" customHeight="1" x14ac:dyDescent="0.4">
      <c r="B4" s="3886" t="s">
        <v>10</v>
      </c>
      <c r="C4" s="2397" t="s">
        <v>0</v>
      </c>
      <c r="D4" s="2398" t="s">
        <v>251</v>
      </c>
      <c r="E4" s="326">
        <f t="shared" ref="E4:E79" si="0">MAX($P4,$N4,$H4)</f>
        <v>0</v>
      </c>
      <c r="F4" s="327">
        <f>E4</f>
        <v>0</v>
      </c>
      <c r="G4" s="2399" t="s">
        <v>0</v>
      </c>
      <c r="H4" s="336">
        <f>IF(D4="operation",VLOOKUP(G4,'Generic Vertical Port Tasks'!C$4:D$197,2,FALSE),"N/A")</f>
        <v>0</v>
      </c>
      <c r="I4" s="2399"/>
      <c r="J4" s="2400"/>
      <c r="K4" s="2400"/>
      <c r="L4" s="2401" t="str">
        <f>IFERROR(INDEX('Upper Hot Cell Logistics'!$I$35:$O$41,MATCH($J4,'Upper Hot Cell Logistics'!$H$35:$H$41,0),MATCH($K4,'Upper Hot Cell Logistics'!$H$35:$H$41,0)),"N/A")</f>
        <v>N/A</v>
      </c>
      <c r="M4" s="2401" t="str">
        <f>IFERROR(VLOOKUP($I4,'Upper Hot Cell Logistics'!$H$4:$I$10,2,FALSE),"N/A")</f>
        <v>N/A</v>
      </c>
      <c r="N4" s="336" t="str">
        <f t="shared" ref="N4:N79" si="1">IF(D4="Movement",IFERROR((L4/M4)/(60*60),"Error"),"N/A")</f>
        <v>N/A</v>
      </c>
      <c r="O4" s="333"/>
      <c r="P4" s="1624" t="str">
        <f>IF($D4="Logistics",VLOOKUP($O4,'Upper Hot Cell Logistics'!$C$4:$D$51,2,FALSE),"N/A")</f>
        <v>N/A</v>
      </c>
      <c r="Q4" s="337"/>
      <c r="R4" s="1624" t="str">
        <f>IFERROR(VLOOKUP($Q4,'Upper Hot Cell Dependencies'!$C$5:$F$229,4,FALSE),"N/A")</f>
        <v>N/A</v>
      </c>
      <c r="S4" s="332" t="str">
        <f>IFERROR(F4-E4-R4,"N/A")</f>
        <v>N/A</v>
      </c>
    </row>
    <row r="5" spans="2:19" x14ac:dyDescent="0.4">
      <c r="B5" s="3890"/>
      <c r="C5" s="2402" t="s">
        <v>793</v>
      </c>
      <c r="D5" s="2391" t="s">
        <v>3</v>
      </c>
      <c r="E5" s="390">
        <f t="shared" si="0"/>
        <v>1.08</v>
      </c>
      <c r="F5" s="385">
        <f>IF(S5&lt;0,E5+F4+(-S5),E5+F4)</f>
        <v>1.08</v>
      </c>
      <c r="G5" s="2392"/>
      <c r="H5" s="336" t="str">
        <f>IF(D5="operation",VLOOKUP(G5,'Generic Vertical Port Tasks'!C$4:D$197,2,FALSE),"N/A")</f>
        <v>N/A</v>
      </c>
      <c r="I5" s="2392"/>
      <c r="J5" s="2390"/>
      <c r="K5" s="2390"/>
      <c r="L5" s="2393" t="str">
        <f>IFERROR(INDEX('Upper Hot Cell Logistics'!$I$35:$O$41,MATCH($J5,'Upper Hot Cell Logistics'!$H$35:$H$41,0),MATCH($K5,'Upper Hot Cell Logistics'!$H$35:$H$41,0)),"N/A")</f>
        <v>N/A</v>
      </c>
      <c r="M5" s="2393" t="str">
        <f>IFERROR(VLOOKUP($I5,'Upper Hot Cell Logistics'!$H$4:$I$10,2,FALSE),"N/A")</f>
        <v>N/A</v>
      </c>
      <c r="N5" s="336" t="str">
        <f t="shared" si="1"/>
        <v>N/A</v>
      </c>
      <c r="O5" s="334" t="s">
        <v>794</v>
      </c>
      <c r="P5" s="335">
        <f>IF($D5="Logistics",VLOOKUP($O5,'Upper Hot Cell Logistics'!$C$4:$D$51,2,FALSE),"N/A")</f>
        <v>1.08</v>
      </c>
      <c r="Q5" s="346"/>
      <c r="R5" s="335" t="str">
        <f>IFERROR(VLOOKUP($Q5,'Upper Hot Cell Dependencies'!$C$5:$F$229,4,FALSE),"N/A")</f>
        <v>N/A</v>
      </c>
      <c r="S5" s="336" t="str">
        <f>IFERROR(F4-R5,"N/A")</f>
        <v>N/A</v>
      </c>
    </row>
    <row r="6" spans="2:19" x14ac:dyDescent="0.4">
      <c r="B6" s="3890"/>
      <c r="C6" s="2402" t="s">
        <v>795</v>
      </c>
      <c r="D6" s="2391" t="s">
        <v>3</v>
      </c>
      <c r="E6" s="390">
        <f t="shared" si="0"/>
        <v>0.58000000000000007</v>
      </c>
      <c r="F6" s="385">
        <f t="shared" ref="F6:F81" si="2">IF(S6&lt;0,E6+F5+(-S6),E6+F5)</f>
        <v>1.6600000000000001</v>
      </c>
      <c r="G6" s="2392"/>
      <c r="H6" s="336" t="str">
        <f>IF(D6="operation",VLOOKUP(G6,'Generic Vertical Port Tasks'!C$4:D$197,2,FALSE),"N/A")</f>
        <v>N/A</v>
      </c>
      <c r="I6" s="2392"/>
      <c r="J6" s="2390"/>
      <c r="K6" s="2390"/>
      <c r="L6" s="2393" t="str">
        <f>IFERROR(INDEX('Upper Hot Cell Logistics'!$I$35:$O$41,MATCH($J6,'Upper Hot Cell Logistics'!$H$35:$H$41,0),MATCH($K6,'Upper Hot Cell Logistics'!$H$35:$H$41,0)),"N/A")</f>
        <v>N/A</v>
      </c>
      <c r="M6" s="2393" t="str">
        <f>IFERROR(VLOOKUP($I6,'Upper Hot Cell Logistics'!$H$4:$I$10,2,FALSE),"N/A")</f>
        <v>N/A</v>
      </c>
      <c r="N6" s="336" t="str">
        <f t="shared" si="1"/>
        <v>N/A</v>
      </c>
      <c r="O6" s="334" t="s">
        <v>796</v>
      </c>
      <c r="P6" s="335">
        <f>IF($D6="Logistics",VLOOKUP($O6,'Upper Hot Cell Logistics'!$C$4:$D$51,2,FALSE),"N/A")</f>
        <v>0.58000000000000007</v>
      </c>
      <c r="Q6" s="346"/>
      <c r="R6" s="335" t="str">
        <f>IFERROR(VLOOKUP($Q6,'Upper Hot Cell Dependencies'!$C$5:$F$229,4,FALSE),"N/A")</f>
        <v>N/A</v>
      </c>
      <c r="S6" s="336" t="str">
        <f t="shared" ref="S6:S82" si="3">IFERROR(F5-R6,"N/A")</f>
        <v>N/A</v>
      </c>
    </row>
    <row r="7" spans="2:19" x14ac:dyDescent="0.4">
      <c r="B7" s="3890"/>
      <c r="C7" s="2402" t="s">
        <v>797</v>
      </c>
      <c r="D7" s="2391" t="s">
        <v>778</v>
      </c>
      <c r="E7" s="340">
        <f t="shared" si="0"/>
        <v>6.9444444444444448E-2</v>
      </c>
      <c r="F7" s="385">
        <f t="shared" si="2"/>
        <v>1.7294444444444446</v>
      </c>
      <c r="G7" s="342"/>
      <c r="H7" s="336" t="str">
        <f>IF(D7="operation",VLOOKUP(G7,'Generic Vertical Port Tasks'!C$4:D$197,2,FALSE),"N/A")</f>
        <v>N/A</v>
      </c>
      <c r="I7" s="342" t="s">
        <v>798</v>
      </c>
      <c r="J7" s="344" t="s">
        <v>799</v>
      </c>
      <c r="K7" s="344" t="s">
        <v>452</v>
      </c>
      <c r="L7" s="345">
        <f>IFERROR(INDEX('Upper Hot Cell Logistics'!$I$35:$O$41,MATCH($J7,'Upper Hot Cell Logistics'!$H$35:$H$41,0),MATCH($K7,'Upper Hot Cell Logistics'!$H$35:$H$41,0)),"N/A")</f>
        <v>50</v>
      </c>
      <c r="M7" s="345">
        <f>IFERROR(VLOOKUP($I7,'Upper Hot Cell Logistics'!$H$4:$I$10,2,FALSE),"N/A")</f>
        <v>0.2</v>
      </c>
      <c r="N7" s="336">
        <f t="shared" si="1"/>
        <v>6.9444444444444448E-2</v>
      </c>
      <c r="O7" s="334"/>
      <c r="P7" s="335" t="str">
        <f>IF($D7="Logistics",VLOOKUP($O7,'Upper Hot Cell Logistics'!$C$4:$D$51,2,FALSE),"N/A")</f>
        <v>N/A</v>
      </c>
      <c r="Q7" s="346"/>
      <c r="R7" s="335" t="str">
        <f>IFERROR(VLOOKUP($Q7,'Upper Hot Cell Dependencies'!$C$5:$F$229,4,FALSE),"N/A")</f>
        <v>N/A</v>
      </c>
      <c r="S7" s="336" t="str">
        <f t="shared" si="3"/>
        <v>N/A</v>
      </c>
    </row>
    <row r="8" spans="2:19" x14ac:dyDescent="0.4">
      <c r="B8" s="3890"/>
      <c r="C8" s="2402" t="s">
        <v>10</v>
      </c>
      <c r="D8" s="2391" t="s">
        <v>251</v>
      </c>
      <c r="E8" s="390">
        <f t="shared" si="0"/>
        <v>0.56666666666666665</v>
      </c>
      <c r="F8" s="385">
        <f t="shared" si="2"/>
        <v>2.2961111111111112</v>
      </c>
      <c r="G8" s="2392" t="s">
        <v>10</v>
      </c>
      <c r="H8" s="343">
        <f>IF(D8="operation",VLOOKUP(G8,'Generic Vertical Port Tasks'!C$4:D$197,2,FALSE),"N/A")</f>
        <v>0.56666666666666665</v>
      </c>
      <c r="I8" s="2392"/>
      <c r="J8" s="2390"/>
      <c r="K8" s="2390"/>
      <c r="L8" s="2393" t="str">
        <f>IFERROR(INDEX('Upper Hot Cell Logistics'!$I$35:$O$41,MATCH($J8,'Upper Hot Cell Logistics'!$H$35:$H$41,0),MATCH($K8,'Upper Hot Cell Logistics'!$H$35:$H$41,0)),"N/A")</f>
        <v>N/A</v>
      </c>
      <c r="M8" s="2393" t="str">
        <f>IFERROR(VLOOKUP($I8,'Upper Hot Cell Logistics'!$H$4:$I$10,2,FALSE),"N/A")</f>
        <v>N/A</v>
      </c>
      <c r="N8" s="343" t="str">
        <f t="shared" si="1"/>
        <v>N/A</v>
      </c>
      <c r="O8" s="1133"/>
      <c r="P8" s="464" t="str">
        <f>IF($D8="Logistics",VLOOKUP($O8,'Upper Hot Cell Logistics'!$C$4:$D$51,2,FALSE),"N/A")</f>
        <v>N/A</v>
      </c>
      <c r="Q8" s="2394"/>
      <c r="R8" s="464" t="str">
        <f>IFERROR(VLOOKUP($Q8,'Upper Hot Cell Dependencies'!$C$5:$F$229,4,FALSE),"N/A")</f>
        <v>N/A</v>
      </c>
      <c r="S8" s="343" t="str">
        <f t="shared" si="3"/>
        <v>N/A</v>
      </c>
    </row>
    <row r="9" spans="2:19" ht="15" thickBot="1" x14ac:dyDescent="0.45">
      <c r="B9" s="3887"/>
      <c r="C9" s="338" t="s">
        <v>800</v>
      </c>
      <c r="D9" s="339" t="s">
        <v>778</v>
      </c>
      <c r="E9" s="340">
        <f t="shared" si="0"/>
        <v>0.41666666666666669</v>
      </c>
      <c r="F9" s="341">
        <f t="shared" si="2"/>
        <v>2.7127777777777777</v>
      </c>
      <c r="G9" s="342"/>
      <c r="H9" s="336" t="str">
        <f>IF(D9="operation",VLOOKUP(G9,'Generic Vertical Port Tasks'!C$4:D$197,2,FALSE),"N/A")</f>
        <v>N/A</v>
      </c>
      <c r="I9" s="342" t="s">
        <v>857</v>
      </c>
      <c r="J9" s="344" t="s">
        <v>452</v>
      </c>
      <c r="K9" s="344" t="s">
        <v>901</v>
      </c>
      <c r="L9" s="2393">
        <f>IFERROR(INDEX('Upper Hot Cell Logistics'!$I$35:$O$41,MATCH($J9,'Upper Hot Cell Logistics'!$H$35:$H$41,0),MATCH($K9,'Upper Hot Cell Logistics'!$H$35:$H$41,0)),"N/A")</f>
        <v>30</v>
      </c>
      <c r="M9" s="2393">
        <f>IFERROR(VLOOKUP($I9,'Upper Hot Cell Logistics'!$H$4:$I$10,2,FALSE),"N/A")</f>
        <v>0.02</v>
      </c>
      <c r="N9" s="343">
        <f t="shared" si="1"/>
        <v>0.41666666666666669</v>
      </c>
      <c r="O9" s="1133"/>
      <c r="P9" s="464" t="str">
        <f>IF($D9="Logistics",VLOOKUP($O9,'Upper Hot Cell Logistics'!$C$4:$D$51,2,FALSE),"N/A")</f>
        <v>N/A</v>
      </c>
      <c r="Q9" s="2394"/>
      <c r="R9" s="464" t="str">
        <f>IFERROR(VLOOKUP($Q9,'Upper Hot Cell Dependencies'!$C$5:$F$229,4,FALSE),"N/A")</f>
        <v>N/A</v>
      </c>
      <c r="S9" s="343" t="str">
        <f t="shared" si="3"/>
        <v>N/A</v>
      </c>
    </row>
    <row r="10" spans="2:19" x14ac:dyDescent="0.4">
      <c r="B10" s="4037" t="s">
        <v>801</v>
      </c>
      <c r="C10" s="354" t="s">
        <v>2383</v>
      </c>
      <c r="D10" s="355" t="s">
        <v>3</v>
      </c>
      <c r="E10" s="305">
        <f t="shared" si="0"/>
        <v>1.28</v>
      </c>
      <c r="F10" s="306">
        <f t="shared" si="2"/>
        <v>3.9927777777777775</v>
      </c>
      <c r="G10" s="358"/>
      <c r="H10" s="2389" t="str">
        <f>IF(D10="operation",VLOOKUP(G10,'Generic Vertical Port Tasks'!C$4:D$197,2,FALSE),"N/A")</f>
        <v>N/A</v>
      </c>
      <c r="I10" s="358"/>
      <c r="J10" s="359"/>
      <c r="K10" s="359"/>
      <c r="L10" s="360"/>
      <c r="M10" s="360"/>
      <c r="N10" s="309" t="str">
        <f t="shared" si="1"/>
        <v>N/A</v>
      </c>
      <c r="O10" s="308" t="s">
        <v>802</v>
      </c>
      <c r="P10" s="3665">
        <f>IF($D10="Logistics",VLOOKUP($O10,'Upper Hot Cell Logistics'!$C$4:$D$51,2,FALSE),"N/A")</f>
        <v>1.28</v>
      </c>
      <c r="Q10" s="314" t="s">
        <v>803</v>
      </c>
      <c r="R10" s="313">
        <f>IFERROR(VLOOKUP($Q10,'Upper Hot Cell Dependencies'!$C$5:$F$229,4,FALSE),"N/A")</f>
        <v>1.7744444444444445</v>
      </c>
      <c r="S10" s="307">
        <f t="shared" si="3"/>
        <v>0.93833333333333324</v>
      </c>
    </row>
    <row r="11" spans="2:19" x14ac:dyDescent="0.4">
      <c r="B11" s="4039"/>
      <c r="C11" s="321" t="s">
        <v>596</v>
      </c>
      <c r="D11" s="322" t="s">
        <v>251</v>
      </c>
      <c r="E11" s="315">
        <f t="shared" si="0"/>
        <v>6.7722222222222221</v>
      </c>
      <c r="F11" s="323">
        <f t="shared" si="2"/>
        <v>10.765000000000001</v>
      </c>
      <c r="G11" s="316" t="s">
        <v>596</v>
      </c>
      <c r="H11" s="319">
        <f>IF(D11="operation",VLOOKUP(G11,'Generic Vertical Port Tasks'!C$4:D$197,2,FALSE),"N/A")</f>
        <v>6.7722222222222221</v>
      </c>
      <c r="I11" s="316"/>
      <c r="J11" s="317"/>
      <c r="K11" s="317"/>
      <c r="L11" s="318" t="str">
        <f>IFERROR(INDEX('Upper Hot Cell Logistics'!$I$35:$O$41,MATCH($J11,'Upper Hot Cell Logistics'!$H$35:$H$41,0),MATCH($K11,'Upper Hot Cell Logistics'!$H$35:$H$41,0)),"N/A")</f>
        <v>N/A</v>
      </c>
      <c r="M11" s="318" t="str">
        <f>IFERROR(VLOOKUP($I11,'Upper Hot Cell Logistics'!$H$4:$I$10,2,FALSE),"N/A")</f>
        <v>N/A</v>
      </c>
      <c r="N11" s="307" t="str">
        <f t="shared" si="1"/>
        <v>N/A</v>
      </c>
      <c r="O11" s="312"/>
      <c r="P11" s="313" t="str">
        <f>IF($D11="Logistics",VLOOKUP($O11,'Upper Hot Cell Logistics'!$C$4:$D$51,2,FALSE),"N/A")</f>
        <v>N/A</v>
      </c>
      <c r="Q11" s="314"/>
      <c r="R11" s="313" t="str">
        <f>IFERROR(VLOOKUP($Q11,'Upper Hot Cell Dependencies'!$C$5:$F$229,4,FALSE),"N/A")</f>
        <v>N/A</v>
      </c>
      <c r="S11" s="307" t="str">
        <f t="shared" si="3"/>
        <v>N/A</v>
      </c>
    </row>
    <row r="12" spans="2:19" ht="15" thickBot="1" x14ac:dyDescent="0.45">
      <c r="B12" s="4038"/>
      <c r="C12" s="366" t="s">
        <v>2382</v>
      </c>
      <c r="D12" s="361" t="s">
        <v>3</v>
      </c>
      <c r="E12" s="362">
        <f t="shared" si="0"/>
        <v>1.1000000000000001</v>
      </c>
      <c r="F12" s="363">
        <f t="shared" si="2"/>
        <v>11.865</v>
      </c>
      <c r="G12" s="364"/>
      <c r="H12" s="319" t="str">
        <f>IF(D12="operation",VLOOKUP(G12,'Generic Vertical Port Tasks'!C$4:D$197,2,FALSE),"N/A")</f>
        <v>N/A</v>
      </c>
      <c r="I12" s="316"/>
      <c r="J12" s="317"/>
      <c r="K12" s="317"/>
      <c r="L12" s="318" t="str">
        <f>IFERROR(INDEX('Upper Hot Cell Logistics'!$I$35:$O$41,MATCH($J12,'Upper Hot Cell Logistics'!$H$35:$H$41,0),MATCH($K12,'Upper Hot Cell Logistics'!$H$35:$H$41,0)),"N/A")</f>
        <v>N/A</v>
      </c>
      <c r="M12" s="318" t="str">
        <f>IFERROR(VLOOKUP($I12,'Upper Hot Cell Logistics'!$H$4:$I$10,2,FALSE),"N/A")</f>
        <v>N/A</v>
      </c>
      <c r="N12" s="307" t="str">
        <f t="shared" si="1"/>
        <v>N/A</v>
      </c>
      <c r="O12" s="367" t="s">
        <v>805</v>
      </c>
      <c r="P12" s="368">
        <f>IF($D12="Logistics",VLOOKUP($O12,'Upper Hot Cell Logistics'!$C$4:$D$51,2,FALSE),"N/A")</f>
        <v>1.1000000000000001</v>
      </c>
      <c r="Q12" s="314"/>
      <c r="R12" s="313" t="str">
        <f>IFERROR(VLOOKUP($Q12,'Upper Hot Cell Dependencies'!$C$5:$F$229,4,FALSE),"N/A")</f>
        <v>N/A</v>
      </c>
      <c r="S12" s="307" t="str">
        <f t="shared" si="3"/>
        <v>N/A</v>
      </c>
    </row>
    <row r="13" spans="2:19" x14ac:dyDescent="0.4">
      <c r="B13" s="3886" t="s">
        <v>806</v>
      </c>
      <c r="C13" s="324" t="s">
        <v>807</v>
      </c>
      <c r="D13" s="325" t="s">
        <v>778</v>
      </c>
      <c r="E13" s="2276">
        <f t="shared" si="0"/>
        <v>0.69444444444444442</v>
      </c>
      <c r="F13" s="2277">
        <f t="shared" si="2"/>
        <v>12.559444444444445</v>
      </c>
      <c r="G13" s="328"/>
      <c r="H13" s="332" t="str">
        <f>IF(D13="operation",VLOOKUP(G13,'Generic Vertical Port Tasks'!C$4:D$197,2,FALSE),"N/A")</f>
        <v>N/A</v>
      </c>
      <c r="I13" s="328" t="s">
        <v>855</v>
      </c>
      <c r="J13" s="344" t="s">
        <v>799</v>
      </c>
      <c r="K13" s="330" t="s">
        <v>452</v>
      </c>
      <c r="L13" s="331">
        <f>IFERROR(INDEX('Upper Hot Cell Logistics'!$I$35:$O$41,MATCH($J13,'Upper Hot Cell Logistics'!$H$35:$H$41,0),MATCH($K13,'Upper Hot Cell Logistics'!$H$35:$H$41,0)),"N/A")</f>
        <v>50</v>
      </c>
      <c r="M13" s="331">
        <f>IFERROR(VLOOKUP($I13,'Upper Hot Cell Logistics'!$H$4:$I$10,2,FALSE),"N/A")</f>
        <v>0.02</v>
      </c>
      <c r="N13" s="332">
        <f t="shared" si="1"/>
        <v>0.69444444444444442</v>
      </c>
      <c r="O13" s="333"/>
      <c r="P13" s="1624" t="str">
        <f>IF($D13="Logistics",VLOOKUP($O13,'Upper Hot Cell Logistics'!$C$4:$D$51,2,FALSE),"N/A")</f>
        <v>N/A</v>
      </c>
      <c r="Q13" s="337" t="s">
        <v>809</v>
      </c>
      <c r="R13" s="1624">
        <f>IFERROR(VLOOKUP($Q13,'Upper Hot Cell Dependencies'!$C$5:$F$229,4,FALSE),"N/A")</f>
        <v>4.6500000000000004</v>
      </c>
      <c r="S13" s="332">
        <f t="shared" si="3"/>
        <v>7.2149999999999999</v>
      </c>
    </row>
    <row r="14" spans="2:19" x14ac:dyDescent="0.4">
      <c r="B14" s="3890"/>
      <c r="C14" s="2390" t="s">
        <v>810</v>
      </c>
      <c r="D14" s="2391" t="s">
        <v>251</v>
      </c>
      <c r="E14" s="390">
        <f t="shared" si="0"/>
        <v>0.5</v>
      </c>
      <c r="F14" s="385">
        <f t="shared" si="2"/>
        <v>13.059444444444445</v>
      </c>
      <c r="G14" s="2392" t="s">
        <v>603</v>
      </c>
      <c r="H14" s="343">
        <f>IF(D14="operation",VLOOKUP(G14,'Generic Vertical Port Tasks'!C$4:D$197,2,FALSE),"N/A")</f>
        <v>0.5</v>
      </c>
      <c r="I14" s="2392"/>
      <c r="J14" s="2390"/>
      <c r="K14" s="2390"/>
      <c r="L14" s="2393" t="str">
        <f>IFERROR(INDEX('Upper Hot Cell Logistics'!$I$35:$O$41,MATCH($J14,'Upper Hot Cell Logistics'!$H$35:$H$41,0),MATCH($K14,'Upper Hot Cell Logistics'!$H$35:$H$41,0)),"N/A")</f>
        <v>N/A</v>
      </c>
      <c r="M14" s="2393" t="str">
        <f>IFERROR(VLOOKUP($I14,'Upper Hot Cell Logistics'!$H$4:$I$10,2,FALSE),"N/A")</f>
        <v>N/A</v>
      </c>
      <c r="N14" s="343" t="str">
        <f t="shared" si="1"/>
        <v>N/A</v>
      </c>
      <c r="O14" s="1133"/>
      <c r="P14" s="464" t="str">
        <f>IF($D14="Logistics",VLOOKUP($O14,'Upper Hot Cell Logistics'!$C$4:$D$51,2,FALSE),"N/A")</f>
        <v>N/A</v>
      </c>
      <c r="Q14" s="2394"/>
      <c r="R14" s="464" t="str">
        <f>IFERROR(VLOOKUP($Q14,'Upper Hot Cell Dependencies'!$C$5:$F$229,4,FALSE),"N/A")</f>
        <v>N/A</v>
      </c>
      <c r="S14" s="343" t="str">
        <f t="shared" si="3"/>
        <v>N/A</v>
      </c>
    </row>
    <row r="15" spans="2:19" ht="15" thickBot="1" x14ac:dyDescent="0.45">
      <c r="B15" s="3887"/>
      <c r="C15" s="2395" t="s">
        <v>600</v>
      </c>
      <c r="D15" s="348" t="s">
        <v>251</v>
      </c>
      <c r="E15" s="349">
        <f t="shared" si="0"/>
        <v>2.2000000000000002</v>
      </c>
      <c r="F15" s="350">
        <f t="shared" si="2"/>
        <v>15.259444444444444</v>
      </c>
      <c r="G15" s="351" t="s">
        <v>600</v>
      </c>
      <c r="H15" s="353">
        <f>IF(D15="operation",VLOOKUP(G15,'Generic Vertical Port Tasks'!C$4:D$197,2,FALSE),"N/A")</f>
        <v>2.2000000000000002</v>
      </c>
      <c r="I15" s="351"/>
      <c r="J15" s="347"/>
      <c r="K15" s="347"/>
      <c r="L15" s="2396" t="str">
        <f>IFERROR(INDEX('Upper Hot Cell Logistics'!$I$35:$O$41,MATCH($J15,'Upper Hot Cell Logistics'!$H$35:$H$41,0),MATCH($K15,'Upper Hot Cell Logistics'!$H$35:$H$41,0)),"N/A")</f>
        <v>N/A</v>
      </c>
      <c r="M15" s="2396" t="str">
        <f>IFERROR(VLOOKUP($I15,'Upper Hot Cell Logistics'!$H$4:$I$10,2,FALSE),"N/A")</f>
        <v>N/A</v>
      </c>
      <c r="N15" s="353" t="str">
        <f t="shared" si="1"/>
        <v>N/A</v>
      </c>
      <c r="O15" s="352"/>
      <c r="P15" s="471" t="str">
        <f>IF($D15="Logistics",VLOOKUP($O15,'Upper Hot Cell Logistics'!$C$4:$D$51,2,FALSE),"N/A")</f>
        <v>N/A</v>
      </c>
      <c r="Q15" s="2196"/>
      <c r="R15" s="471" t="str">
        <f>IFERROR(VLOOKUP($Q15,'Upper Hot Cell Dependencies'!$C$5:$F$229,4,FALSE),"N/A")</f>
        <v>N/A</v>
      </c>
      <c r="S15" s="353" t="str">
        <f t="shared" si="3"/>
        <v>N/A</v>
      </c>
    </row>
    <row r="16" spans="2:19" x14ac:dyDescent="0.4">
      <c r="B16" s="4037" t="s">
        <v>2396</v>
      </c>
      <c r="C16" s="354" t="s">
        <v>2384</v>
      </c>
      <c r="D16" s="355" t="s">
        <v>3</v>
      </c>
      <c r="E16" s="305">
        <f t="shared" si="0"/>
        <v>1.28</v>
      </c>
      <c r="F16" s="306">
        <f t="shared" si="2"/>
        <v>16.539444444444445</v>
      </c>
      <c r="G16" s="358"/>
      <c r="H16" s="2389" t="str">
        <f>IF(D16="operation",VLOOKUP(G16,'Generic Vertical Port Tasks'!C$4:D$197,2,FALSE),"N/A")</f>
        <v>N/A</v>
      </c>
      <c r="I16" s="358"/>
      <c r="J16" s="359"/>
      <c r="K16" s="359"/>
      <c r="L16" s="360"/>
      <c r="M16" s="360"/>
      <c r="N16" s="309" t="str">
        <f t="shared" si="1"/>
        <v>N/A</v>
      </c>
      <c r="O16" s="308" t="s">
        <v>802</v>
      </c>
      <c r="P16" s="3665">
        <f>IF($D16="Logistics",VLOOKUP($O16,'Upper Hot Cell Logistics'!$C$4:$D$51,2,FALSE),"N/A")</f>
        <v>1.28</v>
      </c>
      <c r="Q16" s="314"/>
      <c r="R16" s="313" t="str">
        <f>IFERROR(VLOOKUP($Q16,'Upper Hot Cell Dependencies'!$C$5:$F$229,4,FALSE),"N/A")</f>
        <v>N/A</v>
      </c>
      <c r="S16" s="307" t="str">
        <f t="shared" si="3"/>
        <v>N/A</v>
      </c>
    </row>
    <row r="17" spans="2:19" x14ac:dyDescent="0.4">
      <c r="B17" s="4039"/>
      <c r="C17" s="321" t="s">
        <v>2385</v>
      </c>
      <c r="D17" s="322" t="s">
        <v>251</v>
      </c>
      <c r="E17" s="315">
        <f>MAX($P17,$N17,$H17)</f>
        <v>5.7722222222222221</v>
      </c>
      <c r="F17" s="323">
        <f t="shared" si="2"/>
        <v>22.311666666666667</v>
      </c>
      <c r="G17" s="316" t="s">
        <v>2385</v>
      </c>
      <c r="H17" s="319">
        <f>IF(D17="operation",VLOOKUP(G17,'Generic Vertical Port Tasks'!C$4:D$197,2,FALSE),"N/A")</f>
        <v>5.7722222222222221</v>
      </c>
      <c r="I17" s="316"/>
      <c r="J17" s="317"/>
      <c r="K17" s="317"/>
      <c r="L17" s="318" t="str">
        <f>IFERROR(INDEX('Upper Hot Cell Logistics'!$I$35:$O$41,MATCH($J17,'Upper Hot Cell Logistics'!$H$35:$H$41,0),MATCH($K17,'Upper Hot Cell Logistics'!$H$35:$H$41,0)),"N/A")</f>
        <v>N/A</v>
      </c>
      <c r="M17" s="318" t="str">
        <f>IFERROR(VLOOKUP($I17,'Upper Hot Cell Logistics'!$H$4:$I$10,2,FALSE),"N/A")</f>
        <v>N/A</v>
      </c>
      <c r="N17" s="307" t="str">
        <f t="shared" si="1"/>
        <v>N/A</v>
      </c>
      <c r="O17" s="312"/>
      <c r="P17" s="313" t="str">
        <f>IF($D17="Logistics",VLOOKUP($O17,'Upper Hot Cell Logistics'!$C$4:$D$51,2,FALSE),"N/A")</f>
        <v>N/A</v>
      </c>
      <c r="Q17" s="314"/>
      <c r="R17" s="313" t="str">
        <f>IFERROR(VLOOKUP($Q17,'Upper Hot Cell Dependencies'!$C$5:$F$229,4,FALSE),"N/A")</f>
        <v>N/A</v>
      </c>
      <c r="S17" s="307" t="str">
        <f t="shared" si="3"/>
        <v>N/A</v>
      </c>
    </row>
    <row r="18" spans="2:19" ht="15" thickBot="1" x14ac:dyDescent="0.45">
      <c r="B18" s="4038"/>
      <c r="C18" s="366" t="s">
        <v>804</v>
      </c>
      <c r="D18" s="361" t="s">
        <v>3</v>
      </c>
      <c r="E18" s="362">
        <f t="shared" si="0"/>
        <v>1.1000000000000001</v>
      </c>
      <c r="F18" s="363">
        <f t="shared" si="2"/>
        <v>23.411666666666669</v>
      </c>
      <c r="G18" s="364"/>
      <c r="H18" s="319" t="str">
        <f>IF(D18="operation",VLOOKUP(G18,'Generic Vertical Port Tasks'!C$4:D$197,2,FALSE),"N/A")</f>
        <v>N/A</v>
      </c>
      <c r="I18" s="316"/>
      <c r="J18" s="317"/>
      <c r="K18" s="317"/>
      <c r="L18" s="318" t="str">
        <f>IFERROR(INDEX('Upper Hot Cell Logistics'!$I$35:$O$41,MATCH($J18,'Upper Hot Cell Logistics'!$H$35:$H$41,0),MATCH($K18,'Upper Hot Cell Logistics'!$H$35:$H$41,0)),"N/A")</f>
        <v>N/A</v>
      </c>
      <c r="M18" s="318" t="str">
        <f>IFERROR(VLOOKUP($I18,'Upper Hot Cell Logistics'!$H$4:$I$10,2,FALSE),"N/A")</f>
        <v>N/A</v>
      </c>
      <c r="N18" s="307" t="str">
        <f t="shared" si="1"/>
        <v>N/A</v>
      </c>
      <c r="O18" s="367" t="s">
        <v>805</v>
      </c>
      <c r="P18" s="368">
        <f>IF($D18="Logistics",VLOOKUP($O18,'Upper Hot Cell Logistics'!$C$4:$D$51,2,FALSE),"N/A")</f>
        <v>1.1000000000000001</v>
      </c>
      <c r="Q18" s="314"/>
      <c r="R18" s="313" t="str">
        <f>IFERROR(VLOOKUP($Q18,'Upper Hot Cell Dependencies'!$C$5:$F$229,4,FALSE),"N/A")</f>
        <v>N/A</v>
      </c>
      <c r="S18" s="307" t="str">
        <f t="shared" si="3"/>
        <v>N/A</v>
      </c>
    </row>
    <row r="19" spans="2:19" x14ac:dyDescent="0.4">
      <c r="B19" s="3823" t="s">
        <v>771</v>
      </c>
      <c r="C19" s="369" t="s">
        <v>811</v>
      </c>
      <c r="D19" s="370" t="s">
        <v>778</v>
      </c>
      <c r="E19" s="371">
        <f t="shared" si="0"/>
        <v>0.69444444444444442</v>
      </c>
      <c r="F19" s="372">
        <f t="shared" si="2"/>
        <v>24.106111111111112</v>
      </c>
      <c r="G19" s="373"/>
      <c r="H19" s="327" t="str">
        <f>IF(D19="operation",VLOOKUP(G19,'Generic Vertical Port Tasks'!C$4:D$197,2,FALSE),"N/A")</f>
        <v>N/A</v>
      </c>
      <c r="I19" s="373" t="s">
        <v>12</v>
      </c>
      <c r="J19" s="374" t="s">
        <v>799</v>
      </c>
      <c r="K19" s="374" t="s">
        <v>452</v>
      </c>
      <c r="L19" s="375">
        <f>IFERROR(INDEX('Upper Hot Cell Logistics'!$I$35:$O$41,MATCH($J19,'Upper Hot Cell Logistics'!$H$35:$H$41,0),MATCH($K19,'Upper Hot Cell Logistics'!$H$35:$H$41,0)),"N/A")</f>
        <v>50</v>
      </c>
      <c r="M19" s="375">
        <f>IFERROR(VLOOKUP($I19,'Upper Hot Cell Logistics'!$H$4:$I$10,2,FALSE),"N/A")</f>
        <v>0.02</v>
      </c>
      <c r="N19" s="327">
        <f t="shared" si="1"/>
        <v>0.69444444444444442</v>
      </c>
      <c r="O19" s="376"/>
      <c r="P19" s="326" t="str">
        <f>IF($D19="Logistics",VLOOKUP($O19,'Upper Hot Cell Logistics'!$C$4:$D$51,2,FALSE),"N/A")</f>
        <v>N/A</v>
      </c>
      <c r="Q19" s="378"/>
      <c r="R19" s="326" t="str">
        <f>IFERROR(VLOOKUP($Q19,'Upper Hot Cell Dependencies'!$C$5:$F$229,4,FALSE),"N/A")</f>
        <v>N/A</v>
      </c>
      <c r="S19" s="327" t="str">
        <f t="shared" si="3"/>
        <v>N/A</v>
      </c>
    </row>
    <row r="20" spans="2:19" x14ac:dyDescent="0.4">
      <c r="B20" s="3824"/>
      <c r="C20" s="380" t="s">
        <v>813</v>
      </c>
      <c r="D20" s="381" t="s">
        <v>251</v>
      </c>
      <c r="E20" s="382">
        <f t="shared" si="0"/>
        <v>9.4250000000000007</v>
      </c>
      <c r="F20" s="383">
        <f t="shared" si="2"/>
        <v>33.531111111111116</v>
      </c>
      <c r="G20" s="384" t="s">
        <v>4</v>
      </c>
      <c r="H20" s="385">
        <f>IF(D20="operation",VLOOKUP(G20,'Generic Vertical Port Tasks'!C$4:D$197,2,FALSE),"N/A")</f>
        <v>9.4250000000000007</v>
      </c>
      <c r="I20" s="384"/>
      <c r="J20" s="386"/>
      <c r="K20" s="386"/>
      <c r="L20" s="387" t="str">
        <f>IFERROR(INDEX('Upper Hot Cell Logistics'!$I$35:$O$41,MATCH($J20,'Upper Hot Cell Logistics'!$H$35:$H$41,0),MATCH($K20,'Upper Hot Cell Logistics'!$H$35:$H$41,0)),"N/A")</f>
        <v>N/A</v>
      </c>
      <c r="M20" s="387" t="str">
        <f>IFERROR(VLOOKUP($I20,'Upper Hot Cell Logistics'!$H$4:$I$10,2,FALSE),"N/A")</f>
        <v>N/A</v>
      </c>
      <c r="N20" s="385" t="str">
        <f t="shared" si="1"/>
        <v>N/A</v>
      </c>
      <c r="O20" s="388"/>
      <c r="P20" s="390" t="str">
        <f>IF($D20="Logistics",VLOOKUP($O20,'Upper Hot Cell Logistics'!$C$4:$D$51,2,FALSE),"N/A")</f>
        <v>N/A</v>
      </c>
      <c r="Q20" s="391"/>
      <c r="R20" s="390" t="str">
        <f>IFERROR(VLOOKUP($Q20,'Upper Hot Cell Dependencies'!$C$5:$F$229,4,FALSE),"N/A")</f>
        <v>N/A</v>
      </c>
      <c r="S20" s="385" t="str">
        <f t="shared" si="3"/>
        <v>N/A</v>
      </c>
    </row>
    <row r="21" spans="2:19" x14ac:dyDescent="0.4">
      <c r="B21" s="3824"/>
      <c r="C21" s="380" t="s">
        <v>797</v>
      </c>
      <c r="D21" s="381" t="s">
        <v>778</v>
      </c>
      <c r="E21" s="382">
        <f t="shared" si="0"/>
        <v>6.9444444444444448E-2</v>
      </c>
      <c r="F21" s="383">
        <f t="shared" si="2"/>
        <v>33.600555555555559</v>
      </c>
      <c r="G21" s="384"/>
      <c r="H21" s="385" t="str">
        <f>IF(D21="operation",VLOOKUP(G21,'Generic Vertical Port Tasks'!C$4:D$197,2,FALSE),"N/A")</f>
        <v>N/A</v>
      </c>
      <c r="I21" s="384" t="s">
        <v>798</v>
      </c>
      <c r="J21" s="386" t="s">
        <v>799</v>
      </c>
      <c r="K21" s="386" t="s">
        <v>452</v>
      </c>
      <c r="L21" s="387">
        <f>IFERROR(INDEX('Upper Hot Cell Logistics'!$I$35:$O$41,MATCH($J21,'Upper Hot Cell Logistics'!$H$35:$H$41,0),MATCH($K21,'Upper Hot Cell Logistics'!$H$35:$H$41,0)),"N/A")</f>
        <v>50</v>
      </c>
      <c r="M21" s="387">
        <f>IFERROR(VLOOKUP($I21,'Upper Hot Cell Logistics'!$H$4:$I$10,2,FALSE),"N/A")</f>
        <v>0.2</v>
      </c>
      <c r="N21" s="385">
        <f t="shared" si="1"/>
        <v>6.9444444444444448E-2</v>
      </c>
      <c r="O21" s="388"/>
      <c r="P21" s="390" t="str">
        <f>IF($D21="Logistics",VLOOKUP($O21,'Upper Hot Cell Logistics'!$C$4:$D$51,2,FALSE),"N/A")</f>
        <v>N/A</v>
      </c>
      <c r="Q21" s="391"/>
      <c r="R21" s="390" t="str">
        <f>IFERROR(VLOOKUP($Q21,'Upper Hot Cell Dependencies'!$C$5:$F$229,4,FALSE),"N/A")</f>
        <v>N/A</v>
      </c>
      <c r="S21" s="385" t="str">
        <f t="shared" si="3"/>
        <v>N/A</v>
      </c>
    </row>
    <row r="22" spans="2:19" ht="15" thickBot="1" x14ac:dyDescent="0.45">
      <c r="B22" s="3825"/>
      <c r="C22" s="392" t="s">
        <v>5</v>
      </c>
      <c r="D22" s="393" t="s">
        <v>251</v>
      </c>
      <c r="E22" s="394">
        <f t="shared" si="0"/>
        <v>2.1749999999999998</v>
      </c>
      <c r="F22" s="395">
        <f t="shared" si="2"/>
        <v>35.775555555555556</v>
      </c>
      <c r="G22" s="396" t="s">
        <v>5</v>
      </c>
      <c r="H22" s="350">
        <f>IF(D22="operation",VLOOKUP(G22,'Generic Vertical Port Tasks'!C$4:D$197,2,FALSE),"N/A")</f>
        <v>2.1749999999999998</v>
      </c>
      <c r="I22" s="396"/>
      <c r="J22" s="397"/>
      <c r="K22" s="397"/>
      <c r="L22" s="398" t="str">
        <f>IFERROR(INDEX('Upper Hot Cell Logistics'!$I$35:$O$41,MATCH($J22,'Upper Hot Cell Logistics'!$H$35:$H$41,0),MATCH($K22,'Upper Hot Cell Logistics'!$H$35:$H$41,0)),"N/A")</f>
        <v>N/A</v>
      </c>
      <c r="M22" s="398" t="str">
        <f>IFERROR(VLOOKUP($I22,'Upper Hot Cell Logistics'!$H$4:$I$10,2,FALSE),"N/A")</f>
        <v>N/A</v>
      </c>
      <c r="N22" s="350" t="str">
        <f t="shared" si="1"/>
        <v>N/A</v>
      </c>
      <c r="O22" s="399"/>
      <c r="P22" s="349" t="str">
        <f>IF($D22="Logistics",VLOOKUP($O22,'Upper Hot Cell Logistics'!$C$4:$D$51,2,FALSE),"N/A")</f>
        <v>N/A</v>
      </c>
      <c r="Q22" s="401" t="s">
        <v>812</v>
      </c>
      <c r="R22" s="349">
        <f>IFERROR(VLOOKUP($Q22,'Upper Hot Cell Dependencies'!$C$5:$F$229,4,FALSE),"N/A")</f>
        <v>17.513333333333328</v>
      </c>
      <c r="S22" s="350">
        <f t="shared" si="3"/>
        <v>16.087222222222231</v>
      </c>
    </row>
    <row r="23" spans="2:19" x14ac:dyDescent="0.4">
      <c r="B23" s="4037" t="s">
        <v>801</v>
      </c>
      <c r="C23" s="354" t="s">
        <v>2383</v>
      </c>
      <c r="D23" s="355" t="s">
        <v>3</v>
      </c>
      <c r="E23" s="305">
        <f t="shared" si="0"/>
        <v>1.28</v>
      </c>
      <c r="F23" s="306">
        <f t="shared" si="2"/>
        <v>37.055555555555557</v>
      </c>
      <c r="G23" s="358"/>
      <c r="H23" s="2389" t="str">
        <f>IF(D23="operation",VLOOKUP(G23,'Generic Vertical Port Tasks'!C$4:D$197,2,FALSE),"N/A")</f>
        <v>N/A</v>
      </c>
      <c r="I23" s="358"/>
      <c r="J23" s="359"/>
      <c r="K23" s="359"/>
      <c r="L23" s="360"/>
      <c r="M23" s="360"/>
      <c r="N23" s="309" t="str">
        <f t="shared" ref="N23:N28" si="4">IF(D23="Movement",IFERROR((L23/M23)/(60*60),"Error"),"N/A")</f>
        <v>N/A</v>
      </c>
      <c r="O23" s="308" t="s">
        <v>802</v>
      </c>
      <c r="P23" s="3665">
        <f>IF($D23="Logistics",VLOOKUP($O23,'Upper Hot Cell Logistics'!$C$4:$D$51,2,FALSE),"N/A")</f>
        <v>1.28</v>
      </c>
      <c r="Q23" s="314"/>
      <c r="R23" s="313" t="str">
        <f>IFERROR(VLOOKUP($Q23,'Upper Hot Cell Dependencies'!$C$5:$F$229,4,FALSE),"N/A")</f>
        <v>N/A</v>
      </c>
      <c r="S23" s="307" t="str">
        <f t="shared" si="3"/>
        <v>N/A</v>
      </c>
    </row>
    <row r="24" spans="2:19" x14ac:dyDescent="0.4">
      <c r="B24" s="4039"/>
      <c r="C24" s="321" t="s">
        <v>596</v>
      </c>
      <c r="D24" s="322" t="s">
        <v>251</v>
      </c>
      <c r="E24" s="315">
        <f t="shared" si="0"/>
        <v>6.7722222222222221</v>
      </c>
      <c r="F24" s="323">
        <f t="shared" si="2"/>
        <v>43.827777777777783</v>
      </c>
      <c r="G24" s="316" t="s">
        <v>596</v>
      </c>
      <c r="H24" s="319">
        <f>IF(D24="operation",VLOOKUP(G24,'Generic Vertical Port Tasks'!C$4:D$197,2,FALSE),"N/A")</f>
        <v>6.7722222222222221</v>
      </c>
      <c r="I24" s="316"/>
      <c r="J24" s="317"/>
      <c r="K24" s="317"/>
      <c r="L24" s="318" t="str">
        <f>IFERROR(INDEX('Upper Hot Cell Logistics'!$I$35:$O$41,MATCH($J24,'Upper Hot Cell Logistics'!$H$35:$H$41,0),MATCH($K24,'Upper Hot Cell Logistics'!$H$35:$H$41,0)),"N/A")</f>
        <v>N/A</v>
      </c>
      <c r="M24" s="318" t="str">
        <f>IFERROR(VLOOKUP($I24,'Upper Hot Cell Logistics'!$H$4:$I$10,2,FALSE),"N/A")</f>
        <v>N/A</v>
      </c>
      <c r="N24" s="307" t="str">
        <f t="shared" si="4"/>
        <v>N/A</v>
      </c>
      <c r="O24" s="312"/>
      <c r="P24" s="313" t="str">
        <f>IF($D24="Logistics",VLOOKUP($O24,'Upper Hot Cell Logistics'!$C$4:$D$51,2,FALSE),"N/A")</f>
        <v>N/A</v>
      </c>
      <c r="Q24" s="314"/>
      <c r="R24" s="313" t="str">
        <f>IFERROR(VLOOKUP($Q24,'Upper Hot Cell Dependencies'!$C$5:$F$229,4,FALSE),"N/A")</f>
        <v>N/A</v>
      </c>
      <c r="S24" s="307" t="str">
        <f t="shared" si="3"/>
        <v>N/A</v>
      </c>
    </row>
    <row r="25" spans="2:19" ht="15" thickBot="1" x14ac:dyDescent="0.45">
      <c r="B25" s="4038"/>
      <c r="C25" s="366" t="s">
        <v>2382</v>
      </c>
      <c r="D25" s="361" t="s">
        <v>3</v>
      </c>
      <c r="E25" s="362">
        <f t="shared" si="0"/>
        <v>1.1000000000000001</v>
      </c>
      <c r="F25" s="363">
        <f t="shared" si="2"/>
        <v>44.927777777777784</v>
      </c>
      <c r="G25" s="364"/>
      <c r="H25" s="319" t="str">
        <f>IF(D25="operation",VLOOKUP(G25,'Generic Vertical Port Tasks'!C$4:D$197,2,FALSE),"N/A")</f>
        <v>N/A</v>
      </c>
      <c r="I25" s="316"/>
      <c r="J25" s="317"/>
      <c r="K25" s="317"/>
      <c r="L25" s="318" t="str">
        <f>IFERROR(INDEX('Upper Hot Cell Logistics'!$I$35:$O$41,MATCH($J25,'Upper Hot Cell Logistics'!$H$35:$H$41,0),MATCH($K25,'Upper Hot Cell Logistics'!$H$35:$H$41,0)),"N/A")</f>
        <v>N/A</v>
      </c>
      <c r="M25" s="318" t="str">
        <f>IFERROR(VLOOKUP($I25,'Upper Hot Cell Logistics'!$H$4:$I$10,2,FALSE),"N/A")</f>
        <v>N/A</v>
      </c>
      <c r="N25" s="307" t="str">
        <f t="shared" si="4"/>
        <v>N/A</v>
      </c>
      <c r="O25" s="367" t="s">
        <v>805</v>
      </c>
      <c r="P25" s="368">
        <f>IF($D25="Logistics",VLOOKUP($O25,'Upper Hot Cell Logistics'!$C$4:$D$51,2,FALSE),"N/A")</f>
        <v>1.1000000000000001</v>
      </c>
      <c r="Q25" s="314"/>
      <c r="R25" s="313" t="str">
        <f>IFERROR(VLOOKUP($Q25,'Upper Hot Cell Dependencies'!$C$5:$F$229,4,FALSE),"N/A")</f>
        <v>N/A</v>
      </c>
      <c r="S25" s="307" t="str">
        <f t="shared" si="3"/>
        <v>N/A</v>
      </c>
    </row>
    <row r="26" spans="2:19" x14ac:dyDescent="0.4">
      <c r="B26" s="3886" t="s">
        <v>2396</v>
      </c>
      <c r="C26" s="324" t="s">
        <v>2384</v>
      </c>
      <c r="D26" s="325" t="s">
        <v>3</v>
      </c>
      <c r="E26" s="326">
        <f t="shared" si="0"/>
        <v>1.28</v>
      </c>
      <c r="F26" s="327">
        <f t="shared" si="2"/>
        <v>46.207777777777785</v>
      </c>
      <c r="G26" s="328"/>
      <c r="H26" s="329" t="str">
        <f>IF(D26="operation",VLOOKUP(G26,'Generic Vertical Port Tasks'!C$4:D$197,2,FALSE),"N/A")</f>
        <v>N/A</v>
      </c>
      <c r="I26" s="328"/>
      <c r="J26" s="330"/>
      <c r="K26" s="330"/>
      <c r="L26" s="331"/>
      <c r="M26" s="331"/>
      <c r="N26" s="332" t="str">
        <f t="shared" si="4"/>
        <v>N/A</v>
      </c>
      <c r="O26" s="333" t="s">
        <v>802</v>
      </c>
      <c r="P26" s="1624">
        <f>IF($D26="Logistics",VLOOKUP($O26,'Upper Hot Cell Logistics'!$C$4:$D$51,2,FALSE),"N/A")</f>
        <v>1.28</v>
      </c>
      <c r="Q26" s="346"/>
      <c r="R26" s="335" t="str">
        <f>IFERROR(VLOOKUP($Q26,'Upper Hot Cell Dependencies'!$C$5:$F$229,4,FALSE),"N/A")</f>
        <v>N/A</v>
      </c>
      <c r="S26" s="336" t="str">
        <f t="shared" si="3"/>
        <v>N/A</v>
      </c>
    </row>
    <row r="27" spans="2:19" x14ac:dyDescent="0.4">
      <c r="B27" s="3890"/>
      <c r="C27" s="338" t="s">
        <v>2385</v>
      </c>
      <c r="D27" s="339" t="s">
        <v>251</v>
      </c>
      <c r="E27" s="340">
        <f>MAX($P27,$N27,$H27)</f>
        <v>5.7722222222222221</v>
      </c>
      <c r="F27" s="341">
        <f t="shared" si="2"/>
        <v>51.980000000000004</v>
      </c>
      <c r="G27" s="342" t="s">
        <v>2385</v>
      </c>
      <c r="H27" s="343">
        <f>IF(D27="operation",VLOOKUP(G27,'Generic Vertical Port Tasks'!C$4:D$197,2,FALSE),"N/A")</f>
        <v>5.7722222222222221</v>
      </c>
      <c r="I27" s="342"/>
      <c r="J27" s="344"/>
      <c r="K27" s="344"/>
      <c r="L27" s="345" t="str">
        <f>IFERROR(INDEX('Upper Hot Cell Logistics'!$I$35:$O$41,MATCH($J27,'Upper Hot Cell Logistics'!$H$35:$H$41,0),MATCH($K27,'Upper Hot Cell Logistics'!$H$35:$H$41,0)),"N/A")</f>
        <v>N/A</v>
      </c>
      <c r="M27" s="345" t="str">
        <f>IFERROR(VLOOKUP($I27,'Upper Hot Cell Logistics'!$H$4:$I$10,2,FALSE),"N/A")</f>
        <v>N/A</v>
      </c>
      <c r="N27" s="336" t="str">
        <f t="shared" si="4"/>
        <v>N/A</v>
      </c>
      <c r="O27" s="334"/>
      <c r="P27" s="335" t="str">
        <f>IF($D27="Logistics",VLOOKUP($O27,'Upper Hot Cell Logistics'!$C$4:$D$51,2,FALSE),"N/A")</f>
        <v>N/A</v>
      </c>
      <c r="Q27" s="346"/>
      <c r="R27" s="335" t="str">
        <f>IFERROR(VLOOKUP($Q27,'Upper Hot Cell Dependencies'!$C$5:$F$229,4,FALSE),"N/A")</f>
        <v>N/A</v>
      </c>
      <c r="S27" s="336" t="str">
        <f t="shared" si="3"/>
        <v>N/A</v>
      </c>
    </row>
    <row r="28" spans="2:19" ht="15" thickBot="1" x14ac:dyDescent="0.45">
      <c r="B28" s="3887"/>
      <c r="C28" s="347" t="s">
        <v>804</v>
      </c>
      <c r="D28" s="348" t="s">
        <v>3</v>
      </c>
      <c r="E28" s="349">
        <f t="shared" si="0"/>
        <v>1.1000000000000001</v>
      </c>
      <c r="F28" s="350">
        <f t="shared" si="2"/>
        <v>53.080000000000005</v>
      </c>
      <c r="G28" s="351"/>
      <c r="H28" s="343" t="str">
        <f>IF(D28="operation",VLOOKUP(G28,'Generic Vertical Port Tasks'!C$4:D$197,2,FALSE),"N/A")</f>
        <v>N/A</v>
      </c>
      <c r="I28" s="342"/>
      <c r="J28" s="344"/>
      <c r="K28" s="344"/>
      <c r="L28" s="345" t="str">
        <f>IFERROR(INDEX('Upper Hot Cell Logistics'!$I$35:$O$41,MATCH($J28,'Upper Hot Cell Logistics'!$H$35:$H$41,0),MATCH($K28,'Upper Hot Cell Logistics'!$H$35:$H$41,0)),"N/A")</f>
        <v>N/A</v>
      </c>
      <c r="M28" s="345" t="str">
        <f>IFERROR(VLOOKUP($I28,'Upper Hot Cell Logistics'!$H$4:$I$10,2,FALSE),"N/A")</f>
        <v>N/A</v>
      </c>
      <c r="N28" s="336" t="str">
        <f t="shared" si="4"/>
        <v>N/A</v>
      </c>
      <c r="O28" s="352" t="s">
        <v>805</v>
      </c>
      <c r="P28" s="471">
        <f>IF($D28="Logistics",VLOOKUP($O28,'Upper Hot Cell Logistics'!$C$4:$D$51,2,FALSE),"N/A")</f>
        <v>1.1000000000000001</v>
      </c>
      <c r="Q28" s="346"/>
      <c r="R28" s="335" t="str">
        <f>IFERROR(VLOOKUP($Q28,'Upper Hot Cell Dependencies'!$C$5:$F$229,4,FALSE),"N/A")</f>
        <v>N/A</v>
      </c>
      <c r="S28" s="336" t="str">
        <f t="shared" si="3"/>
        <v>N/A</v>
      </c>
    </row>
    <row r="29" spans="2:19" ht="29.15" x14ac:dyDescent="0.4">
      <c r="B29" s="4037" t="s">
        <v>772</v>
      </c>
      <c r="C29" s="403" t="s">
        <v>814</v>
      </c>
      <c r="D29" s="404" t="s">
        <v>778</v>
      </c>
      <c r="E29" s="356">
        <f t="shared" si="0"/>
        <v>0.69444444444444442</v>
      </c>
      <c r="F29" s="357">
        <f t="shared" si="2"/>
        <v>53.774444444444448</v>
      </c>
      <c r="G29" s="405"/>
      <c r="H29" s="357" t="str">
        <f>IF(D29="operation",VLOOKUP(G29,'Generic Vertical Port Tasks'!C$4:D$197,2,FALSE),"N/A")</f>
        <v>N/A</v>
      </c>
      <c r="I29" s="405" t="s">
        <v>815</v>
      </c>
      <c r="J29" s="406" t="s">
        <v>799</v>
      </c>
      <c r="K29" s="406" t="s">
        <v>452</v>
      </c>
      <c r="L29" s="407">
        <f>IFERROR(INDEX('Upper Hot Cell Logistics'!$I$35:$O$41,MATCH($J29,'Upper Hot Cell Logistics'!$H$35:$H$41,0),MATCH($K29,'Upper Hot Cell Logistics'!$H$35:$H$41,0)),"N/A")</f>
        <v>50</v>
      </c>
      <c r="M29" s="407">
        <f>IFERROR(VLOOKUP($I29,'Upper Hot Cell Logistics'!$H$4:$I$10,2,FALSE),"N/A")</f>
        <v>0.02</v>
      </c>
      <c r="N29" s="357">
        <f t="shared" si="1"/>
        <v>0.69444444444444442</v>
      </c>
      <c r="O29" s="408"/>
      <c r="P29" s="356" t="str">
        <f>IF($D29="Logistics",VLOOKUP($O29,'Upper Hot Cell Logistics'!$C$4:$D$51,2,FALSE),"N/A")</f>
        <v>N/A</v>
      </c>
      <c r="Q29" s="409"/>
      <c r="R29" s="356" t="str">
        <f>IFERROR(VLOOKUP($Q29,'Upper Hot Cell Dependencies'!$C$5:$F$229,4,FALSE),"N/A")</f>
        <v>N/A</v>
      </c>
      <c r="S29" s="357" t="str">
        <f t="shared" si="3"/>
        <v>N/A</v>
      </c>
    </row>
    <row r="30" spans="2:19" x14ac:dyDescent="0.4">
      <c r="B30" s="4039"/>
      <c r="C30" s="410" t="s">
        <v>811</v>
      </c>
      <c r="D30" s="411" t="s">
        <v>778</v>
      </c>
      <c r="E30" s="310">
        <f t="shared" si="0"/>
        <v>0.20833333333333334</v>
      </c>
      <c r="F30" s="311">
        <f t="shared" si="2"/>
        <v>53.982777777777784</v>
      </c>
      <c r="G30" s="412"/>
      <c r="H30" s="311" t="str">
        <f>IF(D30="operation",VLOOKUP(G30,'Generic Vertical Port Tasks'!C$4:D$197,2,FALSE),"N/A")</f>
        <v>N/A</v>
      </c>
      <c r="I30" s="412" t="s">
        <v>12</v>
      </c>
      <c r="J30" s="413" t="s">
        <v>816</v>
      </c>
      <c r="K30" s="413" t="s">
        <v>452</v>
      </c>
      <c r="L30" s="414">
        <f>IFERROR(INDEX('Upper Hot Cell Logistics'!$I$35:$O$41,MATCH($J30,'Upper Hot Cell Logistics'!$H$35:$H$41,0),MATCH($K30,'Upper Hot Cell Logistics'!$H$35:$H$41,0)),"N/A")</f>
        <v>15</v>
      </c>
      <c r="M30" s="414">
        <f>IFERROR(VLOOKUP($I30,'Upper Hot Cell Logistics'!$H$4:$I$10,2,FALSE),"N/A")</f>
        <v>0.02</v>
      </c>
      <c r="N30" s="311">
        <f t="shared" si="1"/>
        <v>0.20833333333333334</v>
      </c>
      <c r="O30" s="415"/>
      <c r="P30" s="310" t="str">
        <f>IF($D30="Logistics",VLOOKUP($O30,'Upper Hot Cell Logistics'!$C$4:$D$51,2,FALSE),"N/A")</f>
        <v>N/A</v>
      </c>
      <c r="Q30" s="417"/>
      <c r="R30" s="310" t="str">
        <f>IFERROR(VLOOKUP($Q30,'Upper Hot Cell Dependencies'!$C$5:$F$229,4,FALSE),"N/A")</f>
        <v>N/A</v>
      </c>
      <c r="S30" s="311" t="str">
        <f t="shared" si="3"/>
        <v>N/A</v>
      </c>
    </row>
    <row r="31" spans="2:19" x14ac:dyDescent="0.4">
      <c r="B31" s="4039"/>
      <c r="C31" s="410" t="s">
        <v>817</v>
      </c>
      <c r="D31" s="411" t="s">
        <v>3</v>
      </c>
      <c r="E31" s="310">
        <f t="shared" si="0"/>
        <v>1.28</v>
      </c>
      <c r="F31" s="311">
        <f t="shared" si="2"/>
        <v>55.262777777777785</v>
      </c>
      <c r="G31" s="412"/>
      <c r="H31" s="311" t="str">
        <f>IF(D31="operation",VLOOKUP(G31,'Generic Vertical Port Tasks'!C$4:D$197,2,FALSE),"N/A")</f>
        <v>N/A</v>
      </c>
      <c r="I31" s="412"/>
      <c r="J31" s="413"/>
      <c r="K31" s="413"/>
      <c r="L31" s="414" t="str">
        <f>IFERROR(INDEX('Upper Hot Cell Logistics'!$I$35:$O$41,MATCH($J31,'Upper Hot Cell Logistics'!$H$35:$H$41,0),MATCH($K31,'Upper Hot Cell Logistics'!$H$35:$H$41,0)),"N/A")</f>
        <v>N/A</v>
      </c>
      <c r="M31" s="414" t="str">
        <f>IFERROR(VLOOKUP($I31,'Upper Hot Cell Logistics'!$H$4:$I$10,2,FALSE),"N/A")</f>
        <v>N/A</v>
      </c>
      <c r="N31" s="311" t="str">
        <f t="shared" si="1"/>
        <v>N/A</v>
      </c>
      <c r="O31" s="415" t="s">
        <v>802</v>
      </c>
      <c r="P31" s="310">
        <f>IF($D31="Logistics",VLOOKUP($O31,'Upper Hot Cell Logistics'!$C$4:$D$51,2,FALSE),"N/A")</f>
        <v>1.28</v>
      </c>
      <c r="Q31" s="417"/>
      <c r="R31" s="310" t="str">
        <f>IFERROR(VLOOKUP($Q31,'Upper Hot Cell Dependencies'!$C$5:$F$229,4,FALSE),"N/A")</f>
        <v>N/A</v>
      </c>
      <c r="S31" s="311" t="str">
        <f t="shared" si="3"/>
        <v>N/A</v>
      </c>
    </row>
    <row r="32" spans="2:19" x14ac:dyDescent="0.4">
      <c r="B32" s="4039"/>
      <c r="C32" s="410" t="s">
        <v>818</v>
      </c>
      <c r="D32" s="411" t="s">
        <v>251</v>
      </c>
      <c r="E32" s="310">
        <f t="shared" si="0"/>
        <v>29.333333333333336</v>
      </c>
      <c r="F32" s="311">
        <f t="shared" si="2"/>
        <v>84.596111111111128</v>
      </c>
      <c r="G32" s="412" t="s">
        <v>6</v>
      </c>
      <c r="H32" s="311">
        <f>IF(D32="operation",VLOOKUP(G32,'Generic Vertical Port Tasks'!C$4:D$197,2,FALSE),"N/A")</f>
        <v>29.333333333333336</v>
      </c>
      <c r="I32" s="412"/>
      <c r="J32" s="413"/>
      <c r="K32" s="413"/>
      <c r="L32" s="414" t="str">
        <f>IFERROR(INDEX('Upper Hot Cell Logistics'!$I$35:$O$41,MATCH($J32,'Upper Hot Cell Logistics'!$H$35:$H$41,0),MATCH($K32,'Upper Hot Cell Logistics'!$H$35:$H$41,0)),"N/A")</f>
        <v>N/A</v>
      </c>
      <c r="M32" s="414" t="str">
        <f>IFERROR(VLOOKUP($I32,'Upper Hot Cell Logistics'!$H$4:$I$10,2,FALSE),"N/A")</f>
        <v>N/A</v>
      </c>
      <c r="N32" s="311" t="str">
        <f t="shared" si="1"/>
        <v>N/A</v>
      </c>
      <c r="O32" s="415"/>
      <c r="P32" s="310" t="str">
        <f>IF($D32="Logistics",VLOOKUP($O32,'Upper Hot Cell Logistics'!$C$4:$D$51,2,FALSE),"N/A")</f>
        <v>N/A</v>
      </c>
      <c r="Q32" s="417"/>
      <c r="R32" s="310" t="str">
        <f>IFERROR(VLOOKUP($Q32,'Upper Hot Cell Dependencies'!$C$5:$F$229,4,FALSE),"N/A")</f>
        <v>N/A</v>
      </c>
      <c r="S32" s="311" t="str">
        <f t="shared" si="3"/>
        <v>N/A</v>
      </c>
    </row>
    <row r="33" spans="2:19" x14ac:dyDescent="0.4">
      <c r="B33" s="4039"/>
      <c r="C33" s="410" t="s">
        <v>819</v>
      </c>
      <c r="D33" s="411" t="s">
        <v>3</v>
      </c>
      <c r="E33" s="310">
        <f t="shared" si="0"/>
        <v>1.1000000000000001</v>
      </c>
      <c r="F33" s="311">
        <f t="shared" si="2"/>
        <v>85.696111111111122</v>
      </c>
      <c r="G33" s="412"/>
      <c r="H33" s="311" t="str">
        <f>IF(D33="operation",VLOOKUP(G33,'Generic Vertical Port Tasks'!C$4:D$197,2,FALSE),"N/A")</f>
        <v>N/A</v>
      </c>
      <c r="I33" s="412"/>
      <c r="J33" s="413"/>
      <c r="K33" s="413"/>
      <c r="L33" s="414" t="str">
        <f>IFERROR(INDEX('Upper Hot Cell Logistics'!$I$35:$O$41,MATCH($J33,'Upper Hot Cell Logistics'!$H$35:$H$41,0),MATCH($K33,'Upper Hot Cell Logistics'!$H$35:$H$41,0)),"N/A")</f>
        <v>N/A</v>
      </c>
      <c r="M33" s="414" t="str">
        <f>IFERROR(VLOOKUP($I33,'Upper Hot Cell Logistics'!$H$4:$I$10,2,FALSE),"N/A")</f>
        <v>N/A</v>
      </c>
      <c r="N33" s="311" t="str">
        <f t="shared" si="1"/>
        <v>N/A</v>
      </c>
      <c r="O33" s="415" t="s">
        <v>805</v>
      </c>
      <c r="P33" s="310">
        <f>IF($D33="Logistics",VLOOKUP($O33,'Upper Hot Cell Logistics'!$C$4:$D$51,2,FALSE),"N/A")</f>
        <v>1.1000000000000001</v>
      </c>
      <c r="Q33" s="417"/>
      <c r="R33" s="310" t="str">
        <f>IFERROR(VLOOKUP($Q33,'Upper Hot Cell Dependencies'!$C$5:$F$229,4,FALSE),"N/A")</f>
        <v>N/A</v>
      </c>
      <c r="S33" s="311" t="str">
        <f t="shared" si="3"/>
        <v>N/A</v>
      </c>
    </row>
    <row r="34" spans="2:19" x14ac:dyDescent="0.4">
      <c r="B34" s="4039"/>
      <c r="C34" s="410" t="s">
        <v>820</v>
      </c>
      <c r="D34" s="411" t="s">
        <v>778</v>
      </c>
      <c r="E34" s="310">
        <f t="shared" si="0"/>
        <v>6.9444444444444448E-2</v>
      </c>
      <c r="F34" s="311">
        <f t="shared" si="2"/>
        <v>85.765555555555565</v>
      </c>
      <c r="G34" s="412"/>
      <c r="H34" s="311" t="str">
        <f>IF(D34="operation",VLOOKUP(G34,'Generic Vertical Port Tasks'!C$4:D$197,2,FALSE),"N/A")</f>
        <v>N/A</v>
      </c>
      <c r="I34" s="412" t="s">
        <v>798</v>
      </c>
      <c r="J34" s="413" t="s">
        <v>799</v>
      </c>
      <c r="K34" s="413" t="s">
        <v>452</v>
      </c>
      <c r="L34" s="414">
        <f>IFERROR(INDEX('Upper Hot Cell Logistics'!$I$35:$O$41,MATCH($J34,'Upper Hot Cell Logistics'!$H$35:$H$41,0),MATCH($K34,'Upper Hot Cell Logistics'!$H$35:$H$41,0)),"N/A")</f>
        <v>50</v>
      </c>
      <c r="M34" s="414">
        <f>IFERROR(VLOOKUP($I34,'Upper Hot Cell Logistics'!$H$4:$I$10,2,FALSE),"N/A")</f>
        <v>0.2</v>
      </c>
      <c r="N34" s="311">
        <f t="shared" si="1"/>
        <v>6.9444444444444448E-2</v>
      </c>
      <c r="O34" s="415"/>
      <c r="P34" s="310" t="str">
        <f>IF($D34="Logistics",VLOOKUP($O34,'Upper Hot Cell Logistics'!$C$4:$D$51,2,FALSE),"N/A")</f>
        <v>N/A</v>
      </c>
      <c r="Q34" s="417"/>
      <c r="R34" s="310" t="str">
        <f>IFERROR(VLOOKUP($Q34,'Upper Hot Cell Dependencies'!$C$5:$F$229,4,FALSE),"N/A")</f>
        <v>N/A</v>
      </c>
      <c r="S34" s="311" t="str">
        <f t="shared" si="3"/>
        <v>N/A</v>
      </c>
    </row>
    <row r="35" spans="2:19" ht="15" customHeight="1" thickBot="1" x14ac:dyDescent="0.45">
      <c r="B35" s="4038"/>
      <c r="C35" s="418" t="s">
        <v>7</v>
      </c>
      <c r="D35" s="419" t="s">
        <v>251</v>
      </c>
      <c r="E35" s="362">
        <f t="shared" si="0"/>
        <v>0.375</v>
      </c>
      <c r="F35" s="363">
        <f t="shared" si="2"/>
        <v>86.140555555555565</v>
      </c>
      <c r="G35" s="420" t="s">
        <v>7</v>
      </c>
      <c r="H35" s="363">
        <f>IF(D35="operation",VLOOKUP(G35,'Generic Vertical Port Tasks'!C$4:D$197,2,FALSE),"N/A")</f>
        <v>0.375</v>
      </c>
      <c r="I35" s="420"/>
      <c r="J35" s="421"/>
      <c r="K35" s="421"/>
      <c r="L35" s="422" t="str">
        <f>IFERROR(INDEX('Upper Hot Cell Logistics'!$I$35:$O$41,MATCH($J35,'Upper Hot Cell Logistics'!$H$35:$H$41,0),MATCH($K35,'Upper Hot Cell Logistics'!$H$35:$H$41,0)),"N/A")</f>
        <v>N/A</v>
      </c>
      <c r="M35" s="422" t="str">
        <f>IFERROR(VLOOKUP($I35,'Upper Hot Cell Logistics'!$H$4:$I$10,2,FALSE),"N/A")</f>
        <v>N/A</v>
      </c>
      <c r="N35" s="363" t="str">
        <f t="shared" si="1"/>
        <v>N/A</v>
      </c>
      <c r="O35" s="423"/>
      <c r="P35" s="362" t="str">
        <f>IF($D35="Logistics",VLOOKUP($O35,'Upper Hot Cell Logistics'!$C$4:$D$51,2,FALSE),"N/A")</f>
        <v>N/A</v>
      </c>
      <c r="Q35" s="417" t="s">
        <v>2387</v>
      </c>
      <c r="R35" s="362">
        <f>IFERROR(VLOOKUP($Q35,'Upper Hot Cell Dependencies'!$C$5:$F$229,4,FALSE),"N/A")</f>
        <v>18.313333333333333</v>
      </c>
      <c r="S35" s="363">
        <f t="shared" si="3"/>
        <v>67.452222222222233</v>
      </c>
    </row>
    <row r="36" spans="2:19" x14ac:dyDescent="0.4">
      <c r="B36" s="3823" t="s">
        <v>773</v>
      </c>
      <c r="C36" s="369" t="s">
        <v>811</v>
      </c>
      <c r="D36" s="370" t="s">
        <v>778</v>
      </c>
      <c r="E36" s="371">
        <f t="shared" si="0"/>
        <v>0.20833333333333334</v>
      </c>
      <c r="F36" s="372">
        <f t="shared" si="2"/>
        <v>86.348888888888894</v>
      </c>
      <c r="G36" s="373"/>
      <c r="H36" s="327" t="str">
        <f>IF(D36="operation",VLOOKUP(G36,'Generic Vertical Port Tasks'!C$4:D$197,2,FALSE),"N/A")</f>
        <v>N/A</v>
      </c>
      <c r="I36" s="373" t="s">
        <v>12</v>
      </c>
      <c r="J36" s="374" t="s">
        <v>816</v>
      </c>
      <c r="K36" s="374" t="s">
        <v>452</v>
      </c>
      <c r="L36" s="375">
        <f>IFERROR(INDEX('Upper Hot Cell Logistics'!$I$35:$O$41,MATCH($J36,'Upper Hot Cell Logistics'!$H$35:$H$41,0),MATCH($K36,'Upper Hot Cell Logistics'!$H$35:$H$41,0)),"N/A")</f>
        <v>15</v>
      </c>
      <c r="M36" s="375">
        <f>IFERROR(VLOOKUP($I36,'Upper Hot Cell Logistics'!$H$4:$I$10,2,FALSE),"N/A")</f>
        <v>0.02</v>
      </c>
      <c r="N36" s="327">
        <f t="shared" si="1"/>
        <v>0.20833333333333334</v>
      </c>
      <c r="O36" s="376"/>
      <c r="P36" s="326" t="str">
        <f>IF($D36="Logistics",VLOOKUP($O36,'Upper Hot Cell Logistics'!$C$4:$D$51,2,FALSE),"N/A")</f>
        <v>N/A</v>
      </c>
      <c r="Q36" s="378"/>
      <c r="R36" s="326" t="str">
        <f>IFERROR(VLOOKUP($Q36,'Upper Hot Cell Dependencies'!$C$5:$F$229,4,FALSE),"N/A")</f>
        <v>N/A</v>
      </c>
      <c r="S36" s="327" t="str">
        <f t="shared" si="3"/>
        <v>N/A</v>
      </c>
    </row>
    <row r="37" spans="2:19" x14ac:dyDescent="0.4">
      <c r="B37" s="3824"/>
      <c r="C37" s="380" t="s">
        <v>821</v>
      </c>
      <c r="D37" s="381" t="s">
        <v>251</v>
      </c>
      <c r="E37" s="382">
        <f t="shared" si="0"/>
        <v>3.8333333333333335</v>
      </c>
      <c r="F37" s="383">
        <f t="shared" si="2"/>
        <v>90.182222222222222</v>
      </c>
      <c r="G37" s="384" t="s">
        <v>8</v>
      </c>
      <c r="H37" s="385">
        <f>IF(D37="operation",VLOOKUP(G37,'Generic Vertical Port Tasks'!C$4:D$197,2,FALSE),"N/A")</f>
        <v>3.8333333333333335</v>
      </c>
      <c r="I37" s="384"/>
      <c r="J37" s="386"/>
      <c r="K37" s="386"/>
      <c r="L37" s="387" t="str">
        <f>IFERROR(INDEX('Upper Hot Cell Logistics'!$I$35:$O$41,MATCH($J37,'Upper Hot Cell Logistics'!$H$35:$H$41,0),MATCH($K37,'Upper Hot Cell Logistics'!$H$35:$H$41,0)),"N/A")</f>
        <v>N/A</v>
      </c>
      <c r="M37" s="387" t="str">
        <f>IFERROR(VLOOKUP($I37,'Upper Hot Cell Logistics'!$H$4:$I$10,2,FALSE),"N/A")</f>
        <v>N/A</v>
      </c>
      <c r="N37" s="385" t="str">
        <f t="shared" si="1"/>
        <v>N/A</v>
      </c>
      <c r="O37" s="388"/>
      <c r="P37" s="390" t="str">
        <f>IF($D37="Logistics",VLOOKUP($O37,'Upper Hot Cell Logistics'!$C$4:$D$51,2,FALSE),"N/A")</f>
        <v>N/A</v>
      </c>
      <c r="Q37" s="391"/>
      <c r="R37" s="390" t="str">
        <f>IFERROR(VLOOKUP($Q37,'Upper Hot Cell Dependencies'!$C$5:$F$229,4,FALSE),"N/A")</f>
        <v>N/A</v>
      </c>
      <c r="S37" s="385" t="str">
        <f t="shared" si="3"/>
        <v>N/A</v>
      </c>
    </row>
    <row r="38" spans="2:19" x14ac:dyDescent="0.4">
      <c r="B38" s="3824"/>
      <c r="C38" s="380" t="s">
        <v>797</v>
      </c>
      <c r="D38" s="381" t="s">
        <v>778</v>
      </c>
      <c r="E38" s="382">
        <f t="shared" si="0"/>
        <v>6.9444444444444448E-2</v>
      </c>
      <c r="F38" s="383">
        <f t="shared" si="2"/>
        <v>90.251666666666665</v>
      </c>
      <c r="G38" s="384"/>
      <c r="H38" s="385" t="str">
        <f>IF(D38="operation",VLOOKUP(G38,'Generic Vertical Port Tasks'!C$4:D$197,2,FALSE),"N/A")</f>
        <v>N/A</v>
      </c>
      <c r="I38" s="384" t="s">
        <v>798</v>
      </c>
      <c r="J38" s="386" t="s">
        <v>799</v>
      </c>
      <c r="K38" s="386" t="s">
        <v>452</v>
      </c>
      <c r="L38" s="387">
        <f>IFERROR(INDEX('Upper Hot Cell Logistics'!$I$35:$O$41,MATCH($J38,'Upper Hot Cell Logistics'!$H$35:$H$41,0),MATCH($K38,'Upper Hot Cell Logistics'!$H$35:$H$41,0)),"N/A")</f>
        <v>50</v>
      </c>
      <c r="M38" s="387">
        <f>IFERROR(VLOOKUP($I38,'Upper Hot Cell Logistics'!$H$4:$I$10,2,FALSE),"N/A")</f>
        <v>0.2</v>
      </c>
      <c r="N38" s="385">
        <f t="shared" si="1"/>
        <v>6.9444444444444448E-2</v>
      </c>
      <c r="O38" s="388"/>
      <c r="P38" s="390" t="str">
        <f>IF($D38="Logistics",VLOOKUP($O38,'Upper Hot Cell Logistics'!$C$4:$D$51,2,FALSE),"N/A")</f>
        <v>N/A</v>
      </c>
      <c r="Q38" s="391" t="s">
        <v>925</v>
      </c>
      <c r="R38" s="390">
        <f>IFERROR(VLOOKUP($Q38,'Upper Hot Cell Dependencies'!$C$5:$F$229,4,FALSE),"N/A")</f>
        <v>38.865555555555552</v>
      </c>
      <c r="S38" s="385">
        <f t="shared" si="3"/>
        <v>51.31666666666667</v>
      </c>
    </row>
    <row r="39" spans="2:19" ht="15" thickBot="1" x14ac:dyDescent="0.45">
      <c r="B39" s="3825"/>
      <c r="C39" s="392" t="s">
        <v>9</v>
      </c>
      <c r="D39" s="393" t="s">
        <v>251</v>
      </c>
      <c r="E39" s="394">
        <f t="shared" si="0"/>
        <v>3.9250000000000003</v>
      </c>
      <c r="F39" s="395">
        <f t="shared" si="2"/>
        <v>94.176666666666662</v>
      </c>
      <c r="G39" s="396" t="s">
        <v>9</v>
      </c>
      <c r="H39" s="350">
        <f>IF(D39="operation",VLOOKUP(G39,'Generic Vertical Port Tasks'!C$4:D$197,2,FALSE),"N/A")</f>
        <v>3.9250000000000003</v>
      </c>
      <c r="I39" s="396"/>
      <c r="J39" s="397"/>
      <c r="K39" s="397"/>
      <c r="L39" s="398" t="str">
        <f>IFERROR(INDEX('Upper Hot Cell Logistics'!$I$35:$O$41,MATCH($J39,'Upper Hot Cell Logistics'!$H$35:$H$41,0),MATCH($K39,'Upper Hot Cell Logistics'!$H$35:$H$41,0)),"N/A")</f>
        <v>N/A</v>
      </c>
      <c r="M39" s="398" t="str">
        <f>IFERROR(VLOOKUP($I39,'Upper Hot Cell Logistics'!$H$4:$I$10,2,FALSE),"N/A")</f>
        <v>N/A</v>
      </c>
      <c r="N39" s="350" t="str">
        <f t="shared" si="1"/>
        <v>N/A</v>
      </c>
      <c r="O39" s="399"/>
      <c r="P39" s="349" t="str">
        <f>IF($D39="Logistics",VLOOKUP($O39,'Upper Hot Cell Logistics'!$C$4:$D$51,2,FALSE),"N/A")</f>
        <v>N/A</v>
      </c>
      <c r="Q39" s="401"/>
      <c r="R39" s="349" t="str">
        <f>IFERROR(VLOOKUP($Q39,'Upper Hot Cell Dependencies'!$C$5:$F$229,4,FALSE),"N/A")</f>
        <v>N/A</v>
      </c>
      <c r="S39" s="350" t="str">
        <f t="shared" si="3"/>
        <v>N/A</v>
      </c>
    </row>
    <row r="40" spans="2:19" x14ac:dyDescent="0.4">
      <c r="B40" s="4037" t="s">
        <v>2381</v>
      </c>
      <c r="C40" s="354" t="s">
        <v>2384</v>
      </c>
      <c r="D40" s="355" t="s">
        <v>3</v>
      </c>
      <c r="E40" s="305">
        <f t="shared" si="0"/>
        <v>1.28</v>
      </c>
      <c r="F40" s="306">
        <f t="shared" si="2"/>
        <v>95.456666666666663</v>
      </c>
      <c r="G40" s="358"/>
      <c r="H40" s="2389" t="str">
        <f>IF(D40="operation",VLOOKUP(G40,'Generic Vertical Port Tasks'!C$4:D$197,2,FALSE),"N/A")</f>
        <v>N/A</v>
      </c>
      <c r="I40" s="358"/>
      <c r="J40" s="359"/>
      <c r="K40" s="359"/>
      <c r="L40" s="360"/>
      <c r="M40" s="360"/>
      <c r="N40" s="309" t="str">
        <f>IF(D40="Movement",IFERROR((L40/M40)/(60*60),"Error"),"N/A")</f>
        <v>N/A</v>
      </c>
      <c r="O40" s="308" t="s">
        <v>802</v>
      </c>
      <c r="P40" s="3665">
        <f>IF($D40="Logistics",VLOOKUP($O40,'Upper Hot Cell Logistics'!$C$4:$D$51,2,FALSE),"N/A")</f>
        <v>1.28</v>
      </c>
      <c r="Q40" s="314"/>
      <c r="R40" s="313" t="str">
        <f>IFERROR(VLOOKUP($Q40,'Upper Hot Cell Dependencies'!$C$5:$F$229,4,FALSE),"N/A")</f>
        <v>N/A</v>
      </c>
      <c r="S40" s="307" t="str">
        <f t="shared" si="3"/>
        <v>N/A</v>
      </c>
    </row>
    <row r="41" spans="2:19" x14ac:dyDescent="0.4">
      <c r="B41" s="4039"/>
      <c r="C41" s="321" t="s">
        <v>2385</v>
      </c>
      <c r="D41" s="322" t="s">
        <v>251</v>
      </c>
      <c r="E41" s="315">
        <f>MAX($P41,$N41,$H41)</f>
        <v>5.7722222222222221</v>
      </c>
      <c r="F41" s="323">
        <f t="shared" si="2"/>
        <v>101.22888888888889</v>
      </c>
      <c r="G41" s="316" t="s">
        <v>2385</v>
      </c>
      <c r="H41" s="319">
        <f>IF(D41="operation",VLOOKUP(G41,'Generic Vertical Port Tasks'!C$4:D$197,2,FALSE),"N/A")</f>
        <v>5.7722222222222221</v>
      </c>
      <c r="I41" s="316"/>
      <c r="J41" s="317"/>
      <c r="K41" s="317"/>
      <c r="L41" s="318" t="str">
        <f>IFERROR(INDEX('Upper Hot Cell Logistics'!$I$35:$O$41,MATCH($J41,'Upper Hot Cell Logistics'!$H$35:$H$41,0),MATCH($K41,'Upper Hot Cell Logistics'!$H$35:$H$41,0)),"N/A")</f>
        <v>N/A</v>
      </c>
      <c r="M41" s="318" t="str">
        <f>IFERROR(VLOOKUP($I41,'Upper Hot Cell Logistics'!$H$4:$I$10,2,FALSE),"N/A")</f>
        <v>N/A</v>
      </c>
      <c r="N41" s="307" t="str">
        <f>IF(D41="Movement",IFERROR((L41/M41)/(60*60),"Error"),"N/A")</f>
        <v>N/A</v>
      </c>
      <c r="O41" s="312"/>
      <c r="P41" s="313" t="str">
        <f>IF($D41="Logistics",VLOOKUP($O41,'Upper Hot Cell Logistics'!$C$4:$D$51,2,FALSE),"N/A")</f>
        <v>N/A</v>
      </c>
      <c r="Q41" s="314"/>
      <c r="R41" s="313" t="str">
        <f>IFERROR(VLOOKUP($Q41,'Upper Hot Cell Dependencies'!$C$5:$F$229,4,FALSE),"N/A")</f>
        <v>N/A</v>
      </c>
      <c r="S41" s="307" t="str">
        <f t="shared" si="3"/>
        <v>N/A</v>
      </c>
    </row>
    <row r="42" spans="2:19" ht="15" thickBot="1" x14ac:dyDescent="0.45">
      <c r="B42" s="4038"/>
      <c r="C42" s="366" t="s">
        <v>804</v>
      </c>
      <c r="D42" s="361" t="s">
        <v>3</v>
      </c>
      <c r="E42" s="362">
        <f t="shared" si="0"/>
        <v>1.1000000000000001</v>
      </c>
      <c r="F42" s="363">
        <f t="shared" si="2"/>
        <v>102.32888888888888</v>
      </c>
      <c r="G42" s="364"/>
      <c r="H42" s="319" t="str">
        <f>IF(D42="operation",VLOOKUP(G42,'Generic Vertical Port Tasks'!C$4:D$197,2,FALSE),"N/A")</f>
        <v>N/A</v>
      </c>
      <c r="I42" s="316"/>
      <c r="J42" s="317"/>
      <c r="K42" s="317"/>
      <c r="L42" s="318" t="str">
        <f>IFERROR(INDEX('Upper Hot Cell Logistics'!$I$35:$O$41,MATCH($J42,'Upper Hot Cell Logistics'!$H$35:$H$41,0),MATCH($K42,'Upper Hot Cell Logistics'!$H$35:$H$41,0)),"N/A")</f>
        <v>N/A</v>
      </c>
      <c r="M42" s="318" t="str">
        <f>IFERROR(VLOOKUP($I42,'Upper Hot Cell Logistics'!$H$4:$I$10,2,FALSE),"N/A")</f>
        <v>N/A</v>
      </c>
      <c r="N42" s="307" t="str">
        <f>IF(D42="Movement",IFERROR((L42/M42)/(60*60),"Error"),"N/A")</f>
        <v>N/A</v>
      </c>
      <c r="O42" s="367" t="s">
        <v>805</v>
      </c>
      <c r="P42" s="368">
        <f>IF($D42="Logistics",VLOOKUP($O42,'Upper Hot Cell Logistics'!$C$4:$D$51,2,FALSE),"N/A")</f>
        <v>1.1000000000000001</v>
      </c>
      <c r="Q42" s="314"/>
      <c r="R42" s="313" t="str">
        <f>IFERROR(VLOOKUP($Q42,'Upper Hot Cell Dependencies'!$C$5:$F$229,4,FALSE),"N/A")</f>
        <v>N/A</v>
      </c>
      <c r="S42" s="307" t="str">
        <f t="shared" si="3"/>
        <v>N/A</v>
      </c>
    </row>
    <row r="43" spans="2:19" x14ac:dyDescent="0.4">
      <c r="B43" s="3886" t="s">
        <v>822</v>
      </c>
      <c r="C43" s="501" t="s">
        <v>811</v>
      </c>
      <c r="D43" s="370" t="s">
        <v>778</v>
      </c>
      <c r="E43" s="326">
        <f t="shared" si="0"/>
        <v>0.20833333333333334</v>
      </c>
      <c r="F43" s="327">
        <f t="shared" si="2"/>
        <v>102.53722222222221</v>
      </c>
      <c r="G43" s="373"/>
      <c r="H43" s="327" t="str">
        <f>IF(D43="operation",VLOOKUP(G43,'Generic Vertical Port Tasks'!C$4:D$197,2,FALSE),"N/A")</f>
        <v>N/A</v>
      </c>
      <c r="I43" s="373" t="s">
        <v>12</v>
      </c>
      <c r="J43" s="374" t="s">
        <v>816</v>
      </c>
      <c r="K43" s="374" t="s">
        <v>452</v>
      </c>
      <c r="L43" s="375">
        <f>IFERROR(INDEX('Upper Hot Cell Logistics'!$I$35:$O$41,MATCH($J43,'Upper Hot Cell Logistics'!$H$35:$H$41,0),MATCH($K43,'Upper Hot Cell Logistics'!$H$35:$H$41,0)),"N/A")</f>
        <v>15</v>
      </c>
      <c r="M43" s="375">
        <f>IFERROR(VLOOKUP($I43,'Upper Hot Cell Logistics'!$H$4:$I$10,2,FALSE),"N/A")</f>
        <v>0.02</v>
      </c>
      <c r="N43" s="327">
        <f t="shared" si="1"/>
        <v>0.20833333333333334</v>
      </c>
      <c r="O43" s="376"/>
      <c r="P43" s="326" t="str">
        <f>IF($D43="Logistics",VLOOKUP($O43,'Upper Hot Cell Logistics'!$C$4:$D$51,2,FALSE),"N/A")</f>
        <v>N/A</v>
      </c>
      <c r="Q43" s="378"/>
      <c r="R43" s="326" t="str">
        <f>IFERROR(VLOOKUP($Q43,'Upper Hot Cell Dependencies'!$C$5:$F$229,4,FALSE),"N/A")</f>
        <v>N/A</v>
      </c>
      <c r="S43" s="327" t="str">
        <f t="shared" si="3"/>
        <v>N/A</v>
      </c>
    </row>
    <row r="44" spans="2:19" x14ac:dyDescent="0.4">
      <c r="B44" s="3890"/>
      <c r="C44" s="519" t="s">
        <v>823</v>
      </c>
      <c r="D44" s="381" t="s">
        <v>251</v>
      </c>
      <c r="E44" s="390">
        <f t="shared" si="0"/>
        <v>6.83</v>
      </c>
      <c r="F44" s="385">
        <f t="shared" si="2"/>
        <v>109.36722222222221</v>
      </c>
      <c r="G44" s="384" t="s">
        <v>252</v>
      </c>
      <c r="H44" s="385">
        <f>IF(D44="operation",VLOOKUP(G44,'Generic Vertical Port Tasks'!C$4:D$197,2,FALSE),"N/A")</f>
        <v>6.83</v>
      </c>
      <c r="I44" s="384"/>
      <c r="J44" s="386"/>
      <c r="K44" s="386"/>
      <c r="L44" s="387" t="str">
        <f>IFERROR(INDEX('Upper Hot Cell Logistics'!$I$35:$O$41,MATCH($J44,'Upper Hot Cell Logistics'!$H$35:$H$41,0),MATCH($K44,'Upper Hot Cell Logistics'!$H$35:$H$41,0)),"N/A")</f>
        <v>N/A</v>
      </c>
      <c r="M44" s="387" t="str">
        <f>IFERROR(VLOOKUP($I44,'Upper Hot Cell Logistics'!$H$4:$I$10,2,FALSE),"N/A")</f>
        <v>N/A</v>
      </c>
      <c r="N44" s="385" t="str">
        <f t="shared" si="1"/>
        <v>N/A</v>
      </c>
      <c r="O44" s="388"/>
      <c r="P44" s="390" t="str">
        <f>IF($D44="Logistics",VLOOKUP($O44,'Upper Hot Cell Logistics'!$C$4:$D$51,2,FALSE),"N/A")</f>
        <v>N/A</v>
      </c>
      <c r="Q44" s="391"/>
      <c r="R44" s="390" t="str">
        <f>IFERROR(VLOOKUP($Q44,'Upper Hot Cell Dependencies'!$C$5:$F$229,4,FALSE),"N/A")</f>
        <v>N/A</v>
      </c>
      <c r="S44" s="385" t="str">
        <f t="shared" si="3"/>
        <v>N/A</v>
      </c>
    </row>
    <row r="45" spans="2:19" x14ac:dyDescent="0.4">
      <c r="B45" s="3890"/>
      <c r="C45" s="519" t="s">
        <v>820</v>
      </c>
      <c r="D45" s="381" t="s">
        <v>778</v>
      </c>
      <c r="E45" s="390">
        <f>MAX($P45,$N45,$H45)</f>
        <v>6.9444444444444448E-2</v>
      </c>
      <c r="F45" s="385">
        <f t="shared" si="2"/>
        <v>109.43666666666665</v>
      </c>
      <c r="G45" s="384"/>
      <c r="H45" s="385" t="str">
        <f>IF(D45="operation",VLOOKUP(G45,'Generic Vertical Port Tasks'!C$4:D$197,2,FALSE),"N/A")</f>
        <v>N/A</v>
      </c>
      <c r="I45" s="384" t="s">
        <v>798</v>
      </c>
      <c r="J45" s="386" t="s">
        <v>799</v>
      </c>
      <c r="K45" s="386" t="s">
        <v>452</v>
      </c>
      <c r="L45" s="387">
        <f>IFERROR(INDEX('Upper Hot Cell Logistics'!$I$35:$O$41,MATCH($J45,'Upper Hot Cell Logistics'!$H$35:$H$41,0),MATCH($K45,'Upper Hot Cell Logistics'!$H$35:$H$41,0)),"N/A")</f>
        <v>50</v>
      </c>
      <c r="M45" s="387">
        <f>IFERROR(VLOOKUP($I45,'Upper Hot Cell Logistics'!$H$4:$I$10,2,FALSE),"N/A")</f>
        <v>0.2</v>
      </c>
      <c r="N45" s="385">
        <f t="shared" si="1"/>
        <v>6.9444444444444448E-2</v>
      </c>
      <c r="O45" s="388"/>
      <c r="P45" s="390" t="str">
        <f>IF($D45="Logistics",VLOOKUP($O45,'Upper Hot Cell Logistics'!$C$4:$D$51,2,FALSE),"N/A")</f>
        <v>N/A</v>
      </c>
      <c r="Q45" s="391" t="str">
        <f>'Upper Hot Cell Dependencies'!B41</f>
        <v>Closure plate &amp; Closure Attachment Stored &amp; Service Joint System collected</v>
      </c>
      <c r="R45" s="390">
        <f>IFERROR(VLOOKUP($Q45,'Upper Hot Cell Dependencies'!$C$5:$F$229,4,FALSE),"N/A")</f>
        <v>89.230555555555554</v>
      </c>
      <c r="S45" s="385">
        <f t="shared" si="3"/>
        <v>20.136666666666656</v>
      </c>
    </row>
    <row r="46" spans="2:19" ht="15" thickBot="1" x14ac:dyDescent="0.45">
      <c r="B46" s="3887"/>
      <c r="C46" s="503" t="s">
        <v>824</v>
      </c>
      <c r="D46" s="393" t="s">
        <v>251</v>
      </c>
      <c r="E46" s="349">
        <f t="shared" si="0"/>
        <v>1.0499155317167692</v>
      </c>
      <c r="F46" s="350">
        <f t="shared" si="2"/>
        <v>110.48658219838342</v>
      </c>
      <c r="G46" s="396" t="s">
        <v>2491</v>
      </c>
      <c r="H46" s="350">
        <f>IF(D46="operation",VLOOKUP(G46,'Generic Vertical Port Tasks'!C$4:D$197,2,FALSE),"N/A")</f>
        <v>1.0499155317167692</v>
      </c>
      <c r="I46" s="396"/>
      <c r="J46" s="397"/>
      <c r="K46" s="397"/>
      <c r="L46" s="398" t="str">
        <f>IFERROR(INDEX('Upper Hot Cell Logistics'!$I$35:$O$41,MATCH($J46,'Upper Hot Cell Logistics'!$H$35:$H$41,0),MATCH($K46,'Upper Hot Cell Logistics'!$H$35:$H$41,0)),"N/A")</f>
        <v>N/A</v>
      </c>
      <c r="M46" s="398" t="str">
        <f>IFERROR(VLOOKUP($I46,'Upper Hot Cell Logistics'!$H$4:$I$10,2,FALSE),"N/A")</f>
        <v>N/A</v>
      </c>
      <c r="N46" s="350" t="str">
        <f t="shared" si="1"/>
        <v>N/A</v>
      </c>
      <c r="O46" s="399"/>
      <c r="P46" s="349" t="str">
        <f>IF($D46="Logistics",VLOOKUP($O46,'Upper Hot Cell Logistics'!$C$4:$D$51,2,FALSE),"N/A")</f>
        <v>N/A</v>
      </c>
      <c r="Q46" s="401"/>
      <c r="R46" s="349" t="str">
        <f>IFERROR(VLOOKUP($Q46,'Upper Hot Cell Dependencies'!$C$5:$F$229,4,FALSE),"N/A")</f>
        <v>N/A</v>
      </c>
      <c r="S46" s="350" t="str">
        <f t="shared" si="3"/>
        <v>N/A</v>
      </c>
    </row>
    <row r="47" spans="2:19" x14ac:dyDescent="0.4">
      <c r="B47" s="4037" t="s">
        <v>825</v>
      </c>
      <c r="C47" s="426" t="s">
        <v>826</v>
      </c>
      <c r="D47" s="427" t="s">
        <v>778</v>
      </c>
      <c r="E47" s="305">
        <f t="shared" si="0"/>
        <v>6.9444444444444448E-2</v>
      </c>
      <c r="F47" s="306">
        <f t="shared" si="2"/>
        <v>110.55602664282786</v>
      </c>
      <c r="G47" s="428"/>
      <c r="H47" s="306" t="str">
        <f>IF(D47="operation",VLOOKUP(G47,'Generic Vertical Port Tasks'!C$4:D$197,2,FALSE),"N/A")</f>
        <v>N/A</v>
      </c>
      <c r="I47" s="428" t="s">
        <v>798</v>
      </c>
      <c r="J47" s="429" t="s">
        <v>799</v>
      </c>
      <c r="K47" s="429" t="s">
        <v>452</v>
      </c>
      <c r="L47" s="430">
        <f>IFERROR(INDEX('Upper Hot Cell Logistics'!$I$35:$O$41,MATCH($J47,'Upper Hot Cell Logistics'!$H$35:$H$41,0),MATCH($K47,'Upper Hot Cell Logistics'!$H$35:$H$41,0)),"N/A")</f>
        <v>50</v>
      </c>
      <c r="M47" s="430">
        <f>IFERROR(VLOOKUP($I47,'Upper Hot Cell Logistics'!$H$4:$I$10,2,FALSE),"N/A")</f>
        <v>0.2</v>
      </c>
      <c r="N47" s="306">
        <f t="shared" si="1"/>
        <v>6.9444444444444448E-2</v>
      </c>
      <c r="O47" s="431"/>
      <c r="P47" s="305" t="str">
        <f>IF($D47="Logistics",VLOOKUP($O47,'Upper Hot Cell Logistics'!$C$4:$D$51,2,FALSE),"N/A")</f>
        <v>N/A</v>
      </c>
      <c r="Q47" s="432" t="str">
        <f>'Upper Hot Cell Dependencies'!B49</f>
        <v>Shield Plug &amp; Shield Plug Equip stored &amp; Pipe Lifter collected</v>
      </c>
      <c r="R47" s="305">
        <f>IFERROR(VLOOKUP($Q47,'Upper Hot Cell Dependencies'!$C$5:$F$229,4,FALSE),"N/A")</f>
        <v>97.366666666666646</v>
      </c>
      <c r="S47" s="306">
        <f t="shared" si="3"/>
        <v>13.119915531716771</v>
      </c>
    </row>
    <row r="48" spans="2:19" ht="15" thickBot="1" x14ac:dyDescent="0.45">
      <c r="B48" s="4038"/>
      <c r="C48" s="418" t="s">
        <v>123</v>
      </c>
      <c r="D48" s="419" t="s">
        <v>251</v>
      </c>
      <c r="E48" s="362">
        <f t="shared" si="0"/>
        <v>0.72499999999999998</v>
      </c>
      <c r="F48" s="363">
        <f t="shared" si="2"/>
        <v>111.28102664282785</v>
      </c>
      <c r="G48" s="420" t="s">
        <v>253</v>
      </c>
      <c r="H48" s="363">
        <f>IF(D48="operation",VLOOKUP(G48,'Generic Vertical Port Tasks'!C$4:D$197,2,FALSE),"N/A")</f>
        <v>0.72499999999999998</v>
      </c>
      <c r="I48" s="420"/>
      <c r="J48" s="421"/>
      <c r="K48" s="421"/>
      <c r="L48" s="422" t="str">
        <f>IFERROR(INDEX('Upper Hot Cell Logistics'!$I$35:$O$41,MATCH($J48,'Upper Hot Cell Logistics'!$H$35:$H$41,0),MATCH($K48,'Upper Hot Cell Logistics'!$H$35:$H$41,0)),"N/A")</f>
        <v>N/A</v>
      </c>
      <c r="M48" s="422" t="str">
        <f>IFERROR(VLOOKUP($I48,'Upper Hot Cell Logistics'!$H$4:$I$10,2,FALSE),"N/A")</f>
        <v>N/A</v>
      </c>
      <c r="N48" s="363" t="str">
        <f t="shared" si="1"/>
        <v>N/A</v>
      </c>
      <c r="O48" s="423"/>
      <c r="P48" s="362" t="str">
        <f>IF($D48="Logistics",VLOOKUP($O48,'Upper Hot Cell Logistics'!$C$4:$D$51,2,FALSE),"N/A")</f>
        <v>N/A</v>
      </c>
      <c r="Q48" s="425"/>
      <c r="R48" s="362" t="str">
        <f>IFERROR(VLOOKUP($Q48,'Upper Hot Cell Dependencies'!$C$5:$F$229,4,FALSE),"N/A")</f>
        <v>N/A</v>
      </c>
      <c r="S48" s="363" t="str">
        <f t="shared" si="3"/>
        <v>N/A</v>
      </c>
    </row>
    <row r="49" spans="2:19" x14ac:dyDescent="0.4">
      <c r="B49" s="3886" t="s">
        <v>827</v>
      </c>
      <c r="C49" s="501" t="s">
        <v>811</v>
      </c>
      <c r="D49" s="370" t="s">
        <v>778</v>
      </c>
      <c r="E49" s="326">
        <f t="shared" si="0"/>
        <v>0.20833333333333334</v>
      </c>
      <c r="F49" s="327">
        <f t="shared" si="2"/>
        <v>111.48935997616118</v>
      </c>
      <c r="G49" s="373"/>
      <c r="H49" s="327" t="str">
        <f>IF(D49="operation",VLOOKUP(G49,'Generic Vertical Port Tasks'!C$4:D$197,2,FALSE),"N/A")</f>
        <v>N/A</v>
      </c>
      <c r="I49" s="373" t="s">
        <v>12</v>
      </c>
      <c r="J49" s="374" t="s">
        <v>816</v>
      </c>
      <c r="K49" s="374" t="s">
        <v>452</v>
      </c>
      <c r="L49" s="375">
        <f>IFERROR(INDEX('Upper Hot Cell Logistics'!$I$35:$O$41,MATCH($J49,'Upper Hot Cell Logistics'!$H$35:$H$41,0),MATCH($K49,'Upper Hot Cell Logistics'!$H$35:$H$41,0)),"N/A")</f>
        <v>15</v>
      </c>
      <c r="M49" s="375">
        <f>IFERROR(VLOOKUP($I49,'Upper Hot Cell Logistics'!$H$4:$I$10,2,FALSE),"N/A")</f>
        <v>0.02</v>
      </c>
      <c r="N49" s="327">
        <f t="shared" si="1"/>
        <v>0.20833333333333334</v>
      </c>
      <c r="O49" s="376"/>
      <c r="P49" s="326" t="str">
        <f>IF($D49="Logistics",VLOOKUP($O49,'Upper Hot Cell Logistics'!$C$4:$D$51,2,FALSE),"N/A")</f>
        <v>N/A</v>
      </c>
      <c r="Q49" s="378"/>
      <c r="R49" s="326" t="str">
        <f>IFERROR(VLOOKUP($Q49,'Upper Hot Cell Dependencies'!$C$5:$F$229,4,FALSE),"N/A")</f>
        <v>N/A</v>
      </c>
      <c r="S49" s="327" t="str">
        <f t="shared" si="3"/>
        <v>N/A</v>
      </c>
    </row>
    <row r="50" spans="2:19" x14ac:dyDescent="0.4">
      <c r="B50" s="3890"/>
      <c r="C50" s="519" t="s">
        <v>828</v>
      </c>
      <c r="D50" s="381" t="s">
        <v>251</v>
      </c>
      <c r="E50" s="390">
        <f t="shared" si="0"/>
        <v>6.83</v>
      </c>
      <c r="F50" s="385">
        <f t="shared" si="2"/>
        <v>118.31935997616118</v>
      </c>
      <c r="G50" s="384" t="s">
        <v>252</v>
      </c>
      <c r="H50" s="385">
        <f>IF(D50="operation",VLOOKUP(G50,'Generic Vertical Port Tasks'!C$4:D$197,2,FALSE),"N/A")</f>
        <v>6.83</v>
      </c>
      <c r="I50" s="384"/>
      <c r="J50" s="386"/>
      <c r="K50" s="386"/>
      <c r="L50" s="387" t="str">
        <f>IFERROR(INDEX('Upper Hot Cell Logistics'!$I$35:$O$41,MATCH($J50,'Upper Hot Cell Logistics'!$H$35:$H$41,0),MATCH($K50,'Upper Hot Cell Logistics'!$H$35:$H$41,0)),"N/A")</f>
        <v>N/A</v>
      </c>
      <c r="M50" s="387" t="str">
        <f>IFERROR(VLOOKUP($I50,'Upper Hot Cell Logistics'!$H$4:$I$10,2,FALSE),"N/A")</f>
        <v>N/A</v>
      </c>
      <c r="N50" s="385" t="str">
        <f t="shared" si="1"/>
        <v>N/A</v>
      </c>
      <c r="O50" s="388"/>
      <c r="P50" s="390" t="str">
        <f>IF($D50="Logistics",VLOOKUP($O50,'Upper Hot Cell Logistics'!$C$4:$D$51,2,FALSE),"N/A")</f>
        <v>N/A</v>
      </c>
      <c r="Q50" s="391"/>
      <c r="R50" s="390" t="str">
        <f>IFERROR(VLOOKUP($Q50,'Upper Hot Cell Dependencies'!$C$5:$F$229,4,FALSE),"N/A")</f>
        <v>N/A</v>
      </c>
      <c r="S50" s="385" t="str">
        <f t="shared" si="3"/>
        <v>N/A</v>
      </c>
    </row>
    <row r="51" spans="2:19" x14ac:dyDescent="0.4">
      <c r="B51" s="3890"/>
      <c r="C51" s="519" t="s">
        <v>820</v>
      </c>
      <c r="D51" s="381" t="s">
        <v>778</v>
      </c>
      <c r="E51" s="390">
        <f t="shared" si="0"/>
        <v>2.0833333333333332E-2</v>
      </c>
      <c r="F51" s="385">
        <f t="shared" si="2"/>
        <v>118.34019330949451</v>
      </c>
      <c r="G51" s="384"/>
      <c r="H51" s="385" t="str">
        <f>IF(D51="operation",VLOOKUP(G51,'Generic Vertical Port Tasks'!C$4:D$197,2,FALSE),"N/A")</f>
        <v>N/A</v>
      </c>
      <c r="I51" s="384" t="s">
        <v>798</v>
      </c>
      <c r="J51" s="386" t="s">
        <v>816</v>
      </c>
      <c r="K51" s="386" t="s">
        <v>452</v>
      </c>
      <c r="L51" s="387">
        <f>IFERROR(INDEX('Upper Hot Cell Logistics'!$I$35:$O$41,MATCH($J51,'Upper Hot Cell Logistics'!$H$35:$H$41,0),MATCH($K51,'Upper Hot Cell Logistics'!$H$35:$H$41,0)),"N/A")</f>
        <v>15</v>
      </c>
      <c r="M51" s="387">
        <f>IFERROR(VLOOKUP($I51,'Upper Hot Cell Logistics'!$H$4:$I$10,2,FALSE),"N/A")</f>
        <v>0.2</v>
      </c>
      <c r="N51" s="385">
        <f t="shared" si="1"/>
        <v>2.0833333333333332E-2</v>
      </c>
      <c r="O51" s="388"/>
      <c r="P51" s="390" t="str">
        <f>IF($D51="Logistics",VLOOKUP($O51,'Upper Hot Cell Logistics'!$C$4:$D$51,2,FALSE),"N/A")</f>
        <v>N/A</v>
      </c>
      <c r="Q51" s="391"/>
      <c r="R51" s="390" t="str">
        <f>IFERROR(VLOOKUP($Q51,'Upper Hot Cell Dependencies'!$C$5:$F$229,4,FALSE),"N/A")</f>
        <v>N/A</v>
      </c>
      <c r="S51" s="385" t="str">
        <f t="shared" si="3"/>
        <v>N/A</v>
      </c>
    </row>
    <row r="52" spans="2:19" ht="15" thickBot="1" x14ac:dyDescent="0.45">
      <c r="B52" s="3887"/>
      <c r="C52" s="503" t="s">
        <v>829</v>
      </c>
      <c r="D52" s="393" t="s">
        <v>251</v>
      </c>
      <c r="E52" s="349">
        <f>MAX($P52,$N52,$H52)</f>
        <v>1.0499155317167692</v>
      </c>
      <c r="F52" s="350">
        <f t="shared" si="2"/>
        <v>119.39010884121127</v>
      </c>
      <c r="G52" s="396" t="s">
        <v>2491</v>
      </c>
      <c r="H52" s="350">
        <f>IF(D52="operation",VLOOKUP(G52,'Generic Vertical Port Tasks'!C$4:D$197,2,FALSE),"N/A")</f>
        <v>1.0499155317167692</v>
      </c>
      <c r="I52" s="396"/>
      <c r="J52" s="397"/>
      <c r="K52" s="397"/>
      <c r="L52" s="398" t="str">
        <f>IFERROR(INDEX('Upper Hot Cell Logistics'!$I$35:$O$41,MATCH($J52,'Upper Hot Cell Logistics'!$H$35:$H$41,0),MATCH($K52,'Upper Hot Cell Logistics'!$H$35:$H$41,0)),"N/A")</f>
        <v>N/A</v>
      </c>
      <c r="M52" s="398" t="str">
        <f>IFERROR(VLOOKUP($I52,'Upper Hot Cell Logistics'!$H$4:$I$10,2,FALSE),"N/A")</f>
        <v>N/A</v>
      </c>
      <c r="N52" s="350" t="str">
        <f t="shared" si="1"/>
        <v>N/A</v>
      </c>
      <c r="O52" s="399"/>
      <c r="P52" s="349" t="str">
        <f>IF($D52="Logistics",VLOOKUP($O52,'Upper Hot Cell Logistics'!$C$4:$D$51,2,FALSE),"N/A")</f>
        <v>N/A</v>
      </c>
      <c r="Q52" s="401"/>
      <c r="R52" s="349" t="str">
        <f>IFERROR(VLOOKUP($Q52,'Upper Hot Cell Dependencies'!$C$5:$F$229,4,FALSE),"N/A")</f>
        <v>N/A</v>
      </c>
      <c r="S52" s="350" t="str">
        <f t="shared" si="3"/>
        <v>N/A</v>
      </c>
    </row>
    <row r="53" spans="2:19" x14ac:dyDescent="0.4">
      <c r="B53" s="4037" t="s">
        <v>830</v>
      </c>
      <c r="C53" s="426" t="s">
        <v>826</v>
      </c>
      <c r="D53" s="427" t="s">
        <v>778</v>
      </c>
      <c r="E53" s="305">
        <f t="shared" si="0"/>
        <v>6.9444444444444448E-2</v>
      </c>
      <c r="F53" s="306">
        <f t="shared" si="2"/>
        <v>119.45955328565572</v>
      </c>
      <c r="G53" s="428"/>
      <c r="H53" s="306" t="str">
        <f>IF(D53="operation",VLOOKUP(G53,'Generic Vertical Port Tasks'!C$4:D$197,2,FALSE),"N/A")</f>
        <v>N/A</v>
      </c>
      <c r="I53" s="428" t="s">
        <v>798</v>
      </c>
      <c r="J53" s="429" t="s">
        <v>831</v>
      </c>
      <c r="K53" s="429" t="s">
        <v>452</v>
      </c>
      <c r="L53" s="430">
        <f>IFERROR(INDEX('Upper Hot Cell Logistics'!$I$35:$O$41,MATCH($J53,'Upper Hot Cell Logistics'!$H$35:$H$41,0),MATCH($K53,'Upper Hot Cell Logistics'!$H$35:$H$41,0)),"N/A")</f>
        <v>50</v>
      </c>
      <c r="M53" s="430">
        <f>IFERROR(VLOOKUP($I53,'Upper Hot Cell Logistics'!$H$4:$I$10,2,FALSE),"N/A")</f>
        <v>0.2</v>
      </c>
      <c r="N53" s="306">
        <f t="shared" si="1"/>
        <v>6.9444444444444448E-2</v>
      </c>
      <c r="O53" s="431"/>
      <c r="P53" s="305" t="str">
        <f>IF($D53="Logistics",VLOOKUP($O53,'Upper Hot Cell Logistics'!$C$4:$D$51,2,FALSE),"N/A")</f>
        <v>N/A</v>
      </c>
      <c r="Q53" s="432" t="str">
        <f>'Upper Hot Cell Dependencies'!B57</f>
        <v>Pipe Module 1 Stored</v>
      </c>
      <c r="R53" s="305">
        <f>IFERROR(VLOOKUP($Q53,'Upper Hot Cell Dependencies'!$C$5:$F$229,4,FALSE),"N/A")</f>
        <v>112.55547108727229</v>
      </c>
      <c r="S53" s="306">
        <f t="shared" si="3"/>
        <v>6.8346377539389778</v>
      </c>
    </row>
    <row r="54" spans="2:19" ht="15" thickBot="1" x14ac:dyDescent="0.45">
      <c r="B54" s="4038"/>
      <c r="C54" s="418" t="s">
        <v>125</v>
      </c>
      <c r="D54" s="419" t="s">
        <v>251</v>
      </c>
      <c r="E54" s="362">
        <f t="shared" si="0"/>
        <v>0.72499999999999998</v>
      </c>
      <c r="F54" s="363">
        <f t="shared" si="2"/>
        <v>120.18455328565571</v>
      </c>
      <c r="G54" s="420" t="s">
        <v>253</v>
      </c>
      <c r="H54" s="363">
        <f>IF(D54="operation",VLOOKUP(G54,'Generic Vertical Port Tasks'!C$4:D$197,2,FALSE),"N/A")</f>
        <v>0.72499999999999998</v>
      </c>
      <c r="I54" s="420"/>
      <c r="J54" s="421"/>
      <c r="K54" s="421"/>
      <c r="L54" s="422" t="str">
        <f>IFERROR(INDEX('Upper Hot Cell Logistics'!$I$35:$O$41,MATCH($J54,'Upper Hot Cell Logistics'!$H$35:$H$41,0),MATCH($K54,'Upper Hot Cell Logistics'!$H$35:$H$41,0)),"N/A")</f>
        <v>N/A</v>
      </c>
      <c r="M54" s="422" t="str">
        <f>IFERROR(VLOOKUP($I54,'Upper Hot Cell Logistics'!$H$4:$I$10,2,FALSE),"N/A")</f>
        <v>N/A</v>
      </c>
      <c r="N54" s="363" t="str">
        <f t="shared" si="1"/>
        <v>N/A</v>
      </c>
      <c r="O54" s="423"/>
      <c r="P54" s="362" t="str">
        <f>IF($D54="Logistics",VLOOKUP($O54,'Upper Hot Cell Logistics'!$C$4:$D$51,2,FALSE),"N/A")</f>
        <v>N/A</v>
      </c>
      <c r="Q54" s="425"/>
      <c r="R54" s="362" t="str">
        <f>IFERROR(VLOOKUP($Q54,'Upper Hot Cell Dependencies'!$C$5:$F$229,4,FALSE),"N/A")</f>
        <v>N/A</v>
      </c>
      <c r="S54" s="363" t="str">
        <f t="shared" si="3"/>
        <v>N/A</v>
      </c>
    </row>
    <row r="55" spans="2:19" x14ac:dyDescent="0.4">
      <c r="B55" s="3886" t="s">
        <v>832</v>
      </c>
      <c r="C55" s="501" t="s">
        <v>811</v>
      </c>
      <c r="D55" s="370" t="s">
        <v>778</v>
      </c>
      <c r="E55" s="326">
        <f t="shared" si="0"/>
        <v>0.20833333333333334</v>
      </c>
      <c r="F55" s="327">
        <f t="shared" si="2"/>
        <v>120.39288661898904</v>
      </c>
      <c r="G55" s="373"/>
      <c r="H55" s="327" t="str">
        <f>IF(D55="operation",VLOOKUP(G55,'Generic Vertical Port Tasks'!C$4:D$197,2,FALSE),"N/A")</f>
        <v>N/A</v>
      </c>
      <c r="I55" s="373" t="s">
        <v>12</v>
      </c>
      <c r="J55" s="374" t="s">
        <v>816</v>
      </c>
      <c r="K55" s="374" t="s">
        <v>452</v>
      </c>
      <c r="L55" s="375">
        <f>IFERROR(INDEX('Upper Hot Cell Logistics'!$I$35:$O$41,MATCH($J55,'Upper Hot Cell Logistics'!$H$35:$H$41,0),MATCH($K55,'Upper Hot Cell Logistics'!$H$35:$H$41,0)),"N/A")</f>
        <v>15</v>
      </c>
      <c r="M55" s="375">
        <f>IFERROR(VLOOKUP($I55,'Upper Hot Cell Logistics'!$H$4:$I$10,2,FALSE),"N/A")</f>
        <v>0.02</v>
      </c>
      <c r="N55" s="327">
        <f t="shared" si="1"/>
        <v>0.20833333333333334</v>
      </c>
      <c r="O55" s="376"/>
      <c r="P55" s="326" t="str">
        <f>IF($D55="Logistics",VLOOKUP($O55,'Upper Hot Cell Logistics'!$C$4:$D$51,2,FALSE),"N/A")</f>
        <v>N/A</v>
      </c>
      <c r="Q55" s="378"/>
      <c r="R55" s="326" t="str">
        <f>IFERROR(VLOOKUP($Q55,'Upper Hot Cell Dependencies'!$C$5:$F$229,4,FALSE),"N/A")</f>
        <v>N/A</v>
      </c>
      <c r="S55" s="327" t="str">
        <f t="shared" si="3"/>
        <v>N/A</v>
      </c>
    </row>
    <row r="56" spans="2:19" x14ac:dyDescent="0.4">
      <c r="B56" s="3890"/>
      <c r="C56" s="519" t="s">
        <v>833</v>
      </c>
      <c r="D56" s="381" t="s">
        <v>251</v>
      </c>
      <c r="E56" s="390">
        <f t="shared" si="0"/>
        <v>6.83</v>
      </c>
      <c r="F56" s="385">
        <f t="shared" si="2"/>
        <v>127.22288661898904</v>
      </c>
      <c r="G56" s="384" t="s">
        <v>252</v>
      </c>
      <c r="H56" s="385">
        <f>IF(D56="operation",VLOOKUP(G56,'Generic Vertical Port Tasks'!C$4:D$197,2,FALSE),"N/A")</f>
        <v>6.83</v>
      </c>
      <c r="I56" s="384"/>
      <c r="J56" s="386"/>
      <c r="K56" s="386"/>
      <c r="L56" s="387" t="str">
        <f>IFERROR(INDEX('Upper Hot Cell Logistics'!$I$35:$O$41,MATCH($J56,'Upper Hot Cell Logistics'!$H$35:$H$41,0),MATCH($K56,'Upper Hot Cell Logistics'!$H$35:$H$41,0)),"N/A")</f>
        <v>N/A</v>
      </c>
      <c r="M56" s="387" t="str">
        <f>IFERROR(VLOOKUP($I56,'Upper Hot Cell Logistics'!$H$4:$I$10,2,FALSE),"N/A")</f>
        <v>N/A</v>
      </c>
      <c r="N56" s="385" t="str">
        <f t="shared" si="1"/>
        <v>N/A</v>
      </c>
      <c r="O56" s="388"/>
      <c r="P56" s="390" t="str">
        <f>IF($D56="Logistics",VLOOKUP($O56,'Upper Hot Cell Logistics'!$C$4:$D$51,2,FALSE),"N/A")</f>
        <v>N/A</v>
      </c>
      <c r="Q56" s="391"/>
      <c r="R56" s="390" t="str">
        <f>IFERROR(VLOOKUP($Q56,'Upper Hot Cell Dependencies'!$C$5:$F$229,4,FALSE),"N/A")</f>
        <v>N/A</v>
      </c>
      <c r="S56" s="385" t="str">
        <f t="shared" si="3"/>
        <v>N/A</v>
      </c>
    </row>
    <row r="57" spans="2:19" x14ac:dyDescent="0.4">
      <c r="B57" s="3890"/>
      <c r="C57" s="519" t="s">
        <v>820</v>
      </c>
      <c r="D57" s="381" t="s">
        <v>778</v>
      </c>
      <c r="E57" s="390">
        <f t="shared" si="0"/>
        <v>2.0833333333333332E-2</v>
      </c>
      <c r="F57" s="385">
        <f t="shared" si="2"/>
        <v>127.24371995232237</v>
      </c>
      <c r="G57" s="384"/>
      <c r="H57" s="385" t="str">
        <f>IF(D57="operation",VLOOKUP(G57,'Generic Vertical Port Tasks'!C$4:D$197,2,FALSE),"N/A")</f>
        <v>N/A</v>
      </c>
      <c r="I57" s="384" t="s">
        <v>798</v>
      </c>
      <c r="J57" s="386" t="s">
        <v>816</v>
      </c>
      <c r="K57" s="386" t="s">
        <v>452</v>
      </c>
      <c r="L57" s="387">
        <f>IFERROR(INDEX('Upper Hot Cell Logistics'!$I$35:$O$41,MATCH($J57,'Upper Hot Cell Logistics'!$H$35:$H$41,0),MATCH($K57,'Upper Hot Cell Logistics'!$H$35:$H$41,0)),"N/A")</f>
        <v>15</v>
      </c>
      <c r="M57" s="387">
        <f>IFERROR(VLOOKUP($I57,'Upper Hot Cell Logistics'!$H$4:$I$10,2,FALSE),"N/A")</f>
        <v>0.2</v>
      </c>
      <c r="N57" s="385">
        <f t="shared" si="1"/>
        <v>2.0833333333333332E-2</v>
      </c>
      <c r="O57" s="388"/>
      <c r="P57" s="390" t="str">
        <f>IF($D57="Logistics",VLOOKUP($O57,'Upper Hot Cell Logistics'!$C$4:$D$51,2,FALSE),"N/A")</f>
        <v>N/A</v>
      </c>
      <c r="Q57" s="391"/>
      <c r="R57" s="390" t="str">
        <f>IFERROR(VLOOKUP($Q57,'Upper Hot Cell Dependencies'!$C$5:$F$229,4,FALSE),"N/A")</f>
        <v>N/A</v>
      </c>
      <c r="S57" s="385" t="str">
        <f t="shared" si="3"/>
        <v>N/A</v>
      </c>
    </row>
    <row r="58" spans="2:19" ht="15" thickBot="1" x14ac:dyDescent="0.45">
      <c r="B58" s="3887"/>
      <c r="C58" s="503" t="s">
        <v>834</v>
      </c>
      <c r="D58" s="393" t="s">
        <v>251</v>
      </c>
      <c r="E58" s="349">
        <f t="shared" si="0"/>
        <v>1.0499155317167692</v>
      </c>
      <c r="F58" s="350">
        <f t="shared" si="2"/>
        <v>128.29363548403913</v>
      </c>
      <c r="G58" s="396" t="s">
        <v>2491</v>
      </c>
      <c r="H58" s="350">
        <f>IF(D58="operation",VLOOKUP(G58,'Generic Vertical Port Tasks'!C$4:D$197,2,FALSE),"N/A")</f>
        <v>1.0499155317167692</v>
      </c>
      <c r="I58" s="396"/>
      <c r="J58" s="397"/>
      <c r="K58" s="397"/>
      <c r="L58" s="398" t="str">
        <f>IFERROR(INDEX('Upper Hot Cell Logistics'!$I$35:$O$41,MATCH($J58,'Upper Hot Cell Logistics'!$H$35:$H$41,0),MATCH($K58,'Upper Hot Cell Logistics'!$H$35:$H$41,0)),"N/A")</f>
        <v>N/A</v>
      </c>
      <c r="M58" s="398" t="str">
        <f>IFERROR(VLOOKUP($I58,'Upper Hot Cell Logistics'!$H$4:$I$10,2,FALSE),"N/A")</f>
        <v>N/A</v>
      </c>
      <c r="N58" s="350" t="str">
        <f t="shared" si="1"/>
        <v>N/A</v>
      </c>
      <c r="O58" s="399"/>
      <c r="P58" s="349" t="str">
        <f>IF($D58="Logistics",VLOOKUP($O58,'Upper Hot Cell Logistics'!$C$4:$D$51,2,FALSE),"N/A")</f>
        <v>N/A</v>
      </c>
      <c r="Q58" s="401"/>
      <c r="R58" s="349" t="str">
        <f>IFERROR(VLOOKUP($Q58,'Upper Hot Cell Dependencies'!$C$5:$F$229,4,FALSE),"N/A")</f>
        <v>N/A</v>
      </c>
      <c r="S58" s="350" t="str">
        <f t="shared" si="3"/>
        <v>N/A</v>
      </c>
    </row>
    <row r="59" spans="2:19" x14ac:dyDescent="0.4">
      <c r="B59" s="4037" t="s">
        <v>835</v>
      </c>
      <c r="C59" s="426" t="s">
        <v>826</v>
      </c>
      <c r="D59" s="427" t="s">
        <v>778</v>
      </c>
      <c r="E59" s="305">
        <f t="shared" si="0"/>
        <v>6.9444444444444448E-2</v>
      </c>
      <c r="F59" s="306">
        <f t="shared" si="2"/>
        <v>128.36307992848359</v>
      </c>
      <c r="G59" s="428"/>
      <c r="H59" s="306" t="str">
        <f>IF(D59="operation",VLOOKUP(G59,'Generic Vertical Port Tasks'!C$4:D$197,2,FALSE),"N/A")</f>
        <v>N/A</v>
      </c>
      <c r="I59" s="428" t="s">
        <v>798</v>
      </c>
      <c r="J59" s="429" t="s">
        <v>831</v>
      </c>
      <c r="K59" s="429" t="s">
        <v>452</v>
      </c>
      <c r="L59" s="430">
        <f>IFERROR(INDEX('Upper Hot Cell Logistics'!$I$35:$O$41,MATCH($J59,'Upper Hot Cell Logistics'!$H$35:$H$41,0),MATCH($K59,'Upper Hot Cell Logistics'!$H$35:$H$41,0)),"N/A")</f>
        <v>50</v>
      </c>
      <c r="M59" s="430">
        <f>IFERROR(VLOOKUP($I59,'Upper Hot Cell Logistics'!$H$4:$I$10,2,FALSE),"N/A")</f>
        <v>0.2</v>
      </c>
      <c r="N59" s="306">
        <f t="shared" si="1"/>
        <v>6.9444444444444448E-2</v>
      </c>
      <c r="O59" s="431"/>
      <c r="P59" s="305" t="str">
        <f>IF($D59="Logistics",VLOOKUP($O59,'Upper Hot Cell Logistics'!$C$4:$D$51,2,FALSE),"N/A")</f>
        <v>N/A</v>
      </c>
      <c r="Q59" s="432" t="str">
        <f>'Upper Hot Cell Dependencies'!B61</f>
        <v>Pipe Module 2 Stored</v>
      </c>
      <c r="R59" s="305">
        <f>IFERROR(VLOOKUP($Q59,'Upper Hot Cell Dependencies'!$C$5:$F$229,4,FALSE),"N/A")</f>
        <v>121.45899773010015</v>
      </c>
      <c r="S59" s="306">
        <f t="shared" si="3"/>
        <v>6.8346377539389778</v>
      </c>
    </row>
    <row r="60" spans="2:19" ht="15" thickBot="1" x14ac:dyDescent="0.45">
      <c r="B60" s="4038"/>
      <c r="C60" s="418" t="s">
        <v>127</v>
      </c>
      <c r="D60" s="419" t="s">
        <v>251</v>
      </c>
      <c r="E60" s="362">
        <f t="shared" si="0"/>
        <v>0.72499999999999998</v>
      </c>
      <c r="F60" s="363">
        <f t="shared" si="2"/>
        <v>129.08807992848358</v>
      </c>
      <c r="G60" s="420" t="s">
        <v>253</v>
      </c>
      <c r="H60" s="363">
        <f>IF(D60="operation",VLOOKUP(G60,'Generic Vertical Port Tasks'!C$4:D$197,2,FALSE),"N/A")</f>
        <v>0.72499999999999998</v>
      </c>
      <c r="I60" s="420"/>
      <c r="J60" s="421"/>
      <c r="K60" s="421"/>
      <c r="L60" s="422" t="str">
        <f>IFERROR(INDEX('Upper Hot Cell Logistics'!$I$35:$O$41,MATCH($J60,'Upper Hot Cell Logistics'!$H$35:$H$41,0),MATCH($K60,'Upper Hot Cell Logistics'!$H$35:$H$41,0)),"N/A")</f>
        <v>N/A</v>
      </c>
      <c r="M60" s="422" t="str">
        <f>IFERROR(VLOOKUP($I60,'Upper Hot Cell Logistics'!$H$4:$I$10,2,FALSE),"N/A")</f>
        <v>N/A</v>
      </c>
      <c r="N60" s="363" t="str">
        <f t="shared" si="1"/>
        <v>N/A</v>
      </c>
      <c r="O60" s="423"/>
      <c r="P60" s="362" t="str">
        <f>IF($D60="Logistics",VLOOKUP($O60,'Upper Hot Cell Logistics'!$C$4:$D$51,2,FALSE),"N/A")</f>
        <v>N/A</v>
      </c>
      <c r="Q60" s="425"/>
      <c r="R60" s="362" t="str">
        <f>IFERROR(VLOOKUP($Q60,'Upper Hot Cell Dependencies'!$C$5:$F$229,4,FALSE),"N/A")</f>
        <v>N/A</v>
      </c>
      <c r="S60" s="363" t="str">
        <f t="shared" si="3"/>
        <v>N/A</v>
      </c>
    </row>
    <row r="61" spans="2:19" x14ac:dyDescent="0.4">
      <c r="B61" s="3886" t="s">
        <v>836</v>
      </c>
      <c r="C61" s="501" t="s">
        <v>811</v>
      </c>
      <c r="D61" s="370" t="s">
        <v>778</v>
      </c>
      <c r="E61" s="326">
        <f t="shared" si="0"/>
        <v>0.20833333333333334</v>
      </c>
      <c r="F61" s="327">
        <f t="shared" si="2"/>
        <v>129.29641326181692</v>
      </c>
      <c r="G61" s="373"/>
      <c r="H61" s="327" t="str">
        <f>IF(D61="operation",VLOOKUP(G61,'Generic Vertical Port Tasks'!C$4:D$197,2,FALSE),"N/A")</f>
        <v>N/A</v>
      </c>
      <c r="I61" s="373" t="s">
        <v>12</v>
      </c>
      <c r="J61" s="374" t="s">
        <v>816</v>
      </c>
      <c r="K61" s="374" t="s">
        <v>452</v>
      </c>
      <c r="L61" s="375">
        <f>IFERROR(INDEX('Upper Hot Cell Logistics'!$I$35:$O$41,MATCH($J61,'Upper Hot Cell Logistics'!$H$35:$H$41,0),MATCH($K61,'Upper Hot Cell Logistics'!$H$35:$H$41,0)),"N/A")</f>
        <v>15</v>
      </c>
      <c r="M61" s="375">
        <f>IFERROR(VLOOKUP($I61,'Upper Hot Cell Logistics'!$H$4:$I$10,2,FALSE),"N/A")</f>
        <v>0.02</v>
      </c>
      <c r="N61" s="327">
        <f t="shared" si="1"/>
        <v>0.20833333333333334</v>
      </c>
      <c r="O61" s="376"/>
      <c r="P61" s="326" t="str">
        <f>IF($D61="Logistics",VLOOKUP($O61,'Upper Hot Cell Logistics'!$C$4:$D$51,2,FALSE),"N/A")</f>
        <v>N/A</v>
      </c>
      <c r="Q61" s="378"/>
      <c r="R61" s="326" t="str">
        <f>IFERROR(VLOOKUP($Q61,'Upper Hot Cell Dependencies'!$C$5:$F$229,4,FALSE),"N/A")</f>
        <v>N/A</v>
      </c>
      <c r="S61" s="327" t="str">
        <f t="shared" si="3"/>
        <v>N/A</v>
      </c>
    </row>
    <row r="62" spans="2:19" x14ac:dyDescent="0.4">
      <c r="B62" s="3890"/>
      <c r="C62" s="519" t="s">
        <v>837</v>
      </c>
      <c r="D62" s="381" t="s">
        <v>251</v>
      </c>
      <c r="E62" s="390">
        <f t="shared" si="0"/>
        <v>6.83</v>
      </c>
      <c r="F62" s="385">
        <f t="shared" si="2"/>
        <v>136.12641326181694</v>
      </c>
      <c r="G62" s="384" t="s">
        <v>252</v>
      </c>
      <c r="H62" s="385">
        <f>IF(D62="operation",VLOOKUP(G62,'Generic Vertical Port Tasks'!C$4:D$197,2,FALSE),"N/A")</f>
        <v>6.83</v>
      </c>
      <c r="I62" s="384"/>
      <c r="J62" s="386"/>
      <c r="K62" s="386"/>
      <c r="L62" s="387" t="str">
        <f>IFERROR(INDEX('Upper Hot Cell Logistics'!$I$35:$O$41,MATCH($J62,'Upper Hot Cell Logistics'!$H$35:$H$41,0),MATCH($K62,'Upper Hot Cell Logistics'!$H$35:$H$41,0)),"N/A")</f>
        <v>N/A</v>
      </c>
      <c r="M62" s="387" t="str">
        <f>IFERROR(VLOOKUP($I62,'Upper Hot Cell Logistics'!$H$4:$I$10,2,FALSE),"N/A")</f>
        <v>N/A</v>
      </c>
      <c r="N62" s="385" t="str">
        <f t="shared" si="1"/>
        <v>N/A</v>
      </c>
      <c r="O62" s="388"/>
      <c r="P62" s="390" t="str">
        <f>IF($D62="Logistics",VLOOKUP($O62,'Upper Hot Cell Logistics'!$C$4:$D$51,2,FALSE),"N/A")</f>
        <v>N/A</v>
      </c>
      <c r="Q62" s="391"/>
      <c r="R62" s="390" t="str">
        <f>IFERROR(VLOOKUP($Q62,'Upper Hot Cell Dependencies'!$C$5:$F$229,4,FALSE),"N/A")</f>
        <v>N/A</v>
      </c>
      <c r="S62" s="385" t="str">
        <f t="shared" si="3"/>
        <v>N/A</v>
      </c>
    </row>
    <row r="63" spans="2:19" x14ac:dyDescent="0.4">
      <c r="B63" s="3890"/>
      <c r="C63" s="519" t="s">
        <v>820</v>
      </c>
      <c r="D63" s="381" t="s">
        <v>778</v>
      </c>
      <c r="E63" s="390">
        <f t="shared" si="0"/>
        <v>2.0833333333333332E-2</v>
      </c>
      <c r="F63" s="385">
        <f t="shared" si="2"/>
        <v>136.14724659515028</v>
      </c>
      <c r="G63" s="384"/>
      <c r="H63" s="385" t="str">
        <f>IF(D63="operation",VLOOKUP(G63,'Generic Vertical Port Tasks'!C$4:D$197,2,FALSE),"N/A")</f>
        <v>N/A</v>
      </c>
      <c r="I63" s="384" t="s">
        <v>798</v>
      </c>
      <c r="J63" s="386" t="s">
        <v>816</v>
      </c>
      <c r="K63" s="386" t="s">
        <v>452</v>
      </c>
      <c r="L63" s="387">
        <f>IFERROR(INDEX('Upper Hot Cell Logistics'!$I$35:$O$41,MATCH($J63,'Upper Hot Cell Logistics'!$H$35:$H$41,0),MATCH($K63,'Upper Hot Cell Logistics'!$H$35:$H$41,0)),"N/A")</f>
        <v>15</v>
      </c>
      <c r="M63" s="387">
        <f>IFERROR(VLOOKUP($I63,'Upper Hot Cell Logistics'!$H$4:$I$10,2,FALSE),"N/A")</f>
        <v>0.2</v>
      </c>
      <c r="N63" s="385">
        <f t="shared" si="1"/>
        <v>2.0833333333333332E-2</v>
      </c>
      <c r="O63" s="388"/>
      <c r="P63" s="390" t="str">
        <f>IF($D63="Logistics",VLOOKUP($O63,'Upper Hot Cell Logistics'!$C$4:$D$51,2,FALSE),"N/A")</f>
        <v>N/A</v>
      </c>
      <c r="Q63" s="391"/>
      <c r="R63" s="390" t="str">
        <f>IFERROR(VLOOKUP($Q63,'Upper Hot Cell Dependencies'!$C$5:$F$229,4,FALSE),"N/A")</f>
        <v>N/A</v>
      </c>
      <c r="S63" s="385" t="str">
        <f t="shared" si="3"/>
        <v>N/A</v>
      </c>
    </row>
    <row r="64" spans="2:19" ht="15" thickBot="1" x14ac:dyDescent="0.45">
      <c r="B64" s="3887"/>
      <c r="C64" s="503" t="s">
        <v>838</v>
      </c>
      <c r="D64" s="393" t="s">
        <v>251</v>
      </c>
      <c r="E64" s="349">
        <f t="shared" si="0"/>
        <v>1.0499155317167692</v>
      </c>
      <c r="F64" s="350">
        <f t="shared" si="2"/>
        <v>137.19716212686706</v>
      </c>
      <c r="G64" s="396" t="s">
        <v>2491</v>
      </c>
      <c r="H64" s="350">
        <f>IF(D64="operation",VLOOKUP(G64,'Generic Vertical Port Tasks'!C$4:D$197,2,FALSE),"N/A")</f>
        <v>1.0499155317167692</v>
      </c>
      <c r="I64" s="396"/>
      <c r="J64" s="397"/>
      <c r="K64" s="397"/>
      <c r="L64" s="398" t="str">
        <f>IFERROR(INDEX('Upper Hot Cell Logistics'!$I$35:$O$41,MATCH($J64,'Upper Hot Cell Logistics'!$H$35:$H$41,0),MATCH($K64,'Upper Hot Cell Logistics'!$H$35:$H$41,0)),"N/A")</f>
        <v>N/A</v>
      </c>
      <c r="M64" s="398" t="str">
        <f>IFERROR(VLOOKUP($I64,'Upper Hot Cell Logistics'!$H$4:$I$10,2,FALSE),"N/A")</f>
        <v>N/A</v>
      </c>
      <c r="N64" s="350" t="str">
        <f t="shared" si="1"/>
        <v>N/A</v>
      </c>
      <c r="O64" s="399"/>
      <c r="P64" s="349" t="str">
        <f>IF($D64="Logistics",VLOOKUP($O64,'Upper Hot Cell Logistics'!$C$4:$D$51,2,FALSE),"N/A")</f>
        <v>N/A</v>
      </c>
      <c r="Q64" s="401"/>
      <c r="R64" s="349" t="str">
        <f>IFERROR(VLOOKUP($Q64,'Upper Hot Cell Dependencies'!$C$5:$F$229,4,FALSE),"N/A")</f>
        <v>N/A</v>
      </c>
      <c r="S64" s="350" t="str">
        <f t="shared" si="3"/>
        <v>N/A</v>
      </c>
    </row>
    <row r="65" spans="2:19" x14ac:dyDescent="0.4">
      <c r="B65" s="4037" t="s">
        <v>839</v>
      </c>
      <c r="C65" s="426" t="s">
        <v>826</v>
      </c>
      <c r="D65" s="427" t="s">
        <v>778</v>
      </c>
      <c r="E65" s="305">
        <f t="shared" si="0"/>
        <v>6.9444444444444448E-2</v>
      </c>
      <c r="F65" s="306">
        <f t="shared" si="2"/>
        <v>137.26660657131151</v>
      </c>
      <c r="G65" s="428"/>
      <c r="H65" s="306" t="str">
        <f>IF(D65="operation",VLOOKUP(G65,'Generic Vertical Port Tasks'!C$4:D$197,2,FALSE),"N/A")</f>
        <v>N/A</v>
      </c>
      <c r="I65" s="428" t="s">
        <v>798</v>
      </c>
      <c r="J65" s="429" t="s">
        <v>831</v>
      </c>
      <c r="K65" s="429" t="s">
        <v>452</v>
      </c>
      <c r="L65" s="430">
        <f>IFERROR(INDEX('Upper Hot Cell Logistics'!$I$35:$O$41,MATCH($J65,'Upper Hot Cell Logistics'!$H$35:$H$41,0),MATCH($K65,'Upper Hot Cell Logistics'!$H$35:$H$41,0)),"N/A")</f>
        <v>50</v>
      </c>
      <c r="M65" s="430">
        <f>IFERROR(VLOOKUP($I65,'Upper Hot Cell Logistics'!$H$4:$I$10,2,FALSE),"N/A")</f>
        <v>0.2</v>
      </c>
      <c r="N65" s="306">
        <f t="shared" si="1"/>
        <v>6.9444444444444448E-2</v>
      </c>
      <c r="O65" s="431"/>
      <c r="P65" s="305" t="str">
        <f>IF($D65="Logistics",VLOOKUP($O65,'Upper Hot Cell Logistics'!$C$4:$D$51,2,FALSE),"N/A")</f>
        <v>N/A</v>
      </c>
      <c r="Q65" s="432" t="str">
        <f>'Upper Hot Cell Dependencies'!B65</f>
        <v>Pipe Module 3 Stored</v>
      </c>
      <c r="R65" s="305">
        <f>IFERROR(VLOOKUP($Q65,'Upper Hot Cell Dependencies'!$C$5:$F$229,4,FALSE),"N/A")</f>
        <v>130.36252437292805</v>
      </c>
      <c r="S65" s="306">
        <f t="shared" si="3"/>
        <v>6.8346377539390062</v>
      </c>
    </row>
    <row r="66" spans="2:19" ht="15" thickBot="1" x14ac:dyDescent="0.45">
      <c r="B66" s="4038"/>
      <c r="C66" s="418" t="s">
        <v>129</v>
      </c>
      <c r="D66" s="419" t="s">
        <v>251</v>
      </c>
      <c r="E66" s="362">
        <f t="shared" si="0"/>
        <v>0.72499999999999998</v>
      </c>
      <c r="F66" s="363">
        <f t="shared" si="2"/>
        <v>137.99160657131151</v>
      </c>
      <c r="G66" s="420" t="s">
        <v>253</v>
      </c>
      <c r="H66" s="363">
        <f>IF(D66="operation",VLOOKUP(G66,'Generic Vertical Port Tasks'!C$4:D$197,2,FALSE),"N/A")</f>
        <v>0.72499999999999998</v>
      </c>
      <c r="I66" s="420"/>
      <c r="J66" s="421"/>
      <c r="K66" s="421"/>
      <c r="L66" s="422" t="str">
        <f>IFERROR(INDEX('Upper Hot Cell Logistics'!$I$35:$O$41,MATCH($J66,'Upper Hot Cell Logistics'!$H$35:$H$41,0),MATCH($K66,'Upper Hot Cell Logistics'!$H$35:$H$41,0)),"N/A")</f>
        <v>N/A</v>
      </c>
      <c r="M66" s="422" t="str">
        <f>IFERROR(VLOOKUP($I66,'Upper Hot Cell Logistics'!$H$4:$I$10,2,FALSE),"N/A")</f>
        <v>N/A</v>
      </c>
      <c r="N66" s="363" t="str">
        <f t="shared" si="1"/>
        <v>N/A</v>
      </c>
      <c r="O66" s="423"/>
      <c r="P66" s="362" t="str">
        <f>IF($D66="Logistics",VLOOKUP($O66,'Upper Hot Cell Logistics'!$C$4:$D$51,2,FALSE),"N/A")</f>
        <v>N/A</v>
      </c>
      <c r="Q66" s="425"/>
      <c r="R66" s="362" t="str">
        <f>IFERROR(VLOOKUP($Q66,'Upper Hot Cell Dependencies'!$C$5:$F$229,4,FALSE),"N/A")</f>
        <v>N/A</v>
      </c>
      <c r="S66" s="363" t="str">
        <f t="shared" si="3"/>
        <v>N/A</v>
      </c>
    </row>
    <row r="67" spans="2:19" x14ac:dyDescent="0.4">
      <c r="B67" s="3886" t="s">
        <v>840</v>
      </c>
      <c r="C67" s="501" t="s">
        <v>811</v>
      </c>
      <c r="D67" s="370" t="s">
        <v>778</v>
      </c>
      <c r="E67" s="326">
        <f t="shared" si="0"/>
        <v>0.20833333333333334</v>
      </c>
      <c r="F67" s="327">
        <f t="shared" si="2"/>
        <v>138.19993990464485</v>
      </c>
      <c r="G67" s="373"/>
      <c r="H67" s="327" t="str">
        <f>IF(D67="operation",VLOOKUP(G67,'Generic Vertical Port Tasks'!C$4:D$197,2,FALSE),"N/A")</f>
        <v>N/A</v>
      </c>
      <c r="I67" s="373" t="s">
        <v>12</v>
      </c>
      <c r="J67" s="374" t="s">
        <v>816</v>
      </c>
      <c r="K67" s="374" t="s">
        <v>452</v>
      </c>
      <c r="L67" s="375">
        <f>IFERROR(INDEX('Upper Hot Cell Logistics'!$I$35:$O$41,MATCH($J67,'Upper Hot Cell Logistics'!$H$35:$H$41,0),MATCH($K67,'Upper Hot Cell Logistics'!$H$35:$H$41,0)),"N/A")</f>
        <v>15</v>
      </c>
      <c r="M67" s="375">
        <f>IFERROR(VLOOKUP($I67,'Upper Hot Cell Logistics'!$H$4:$I$10,2,FALSE),"N/A")</f>
        <v>0.02</v>
      </c>
      <c r="N67" s="327">
        <f t="shared" si="1"/>
        <v>0.20833333333333334</v>
      </c>
      <c r="O67" s="376"/>
      <c r="P67" s="326" t="str">
        <f>IF($D67="Logistics",VLOOKUP($O67,'Upper Hot Cell Logistics'!$C$4:$D$51,2,FALSE),"N/A")</f>
        <v>N/A</v>
      </c>
      <c r="Q67" s="378"/>
      <c r="R67" s="326" t="str">
        <f>IFERROR(VLOOKUP($Q67,'Upper Hot Cell Dependencies'!$C$5:$F$229,4,FALSE),"N/A")</f>
        <v>N/A</v>
      </c>
      <c r="S67" s="327" t="str">
        <f t="shared" si="3"/>
        <v>N/A</v>
      </c>
    </row>
    <row r="68" spans="2:19" x14ac:dyDescent="0.4">
      <c r="B68" s="3890"/>
      <c r="C68" s="519" t="s">
        <v>841</v>
      </c>
      <c r="D68" s="381" t="s">
        <v>251</v>
      </c>
      <c r="E68" s="390">
        <f t="shared" si="0"/>
        <v>6.83</v>
      </c>
      <c r="F68" s="385">
        <f t="shared" si="2"/>
        <v>145.02993990464486</v>
      </c>
      <c r="G68" s="384" t="s">
        <v>252</v>
      </c>
      <c r="H68" s="385">
        <f>IF(D68="operation",VLOOKUP(G68,'Generic Vertical Port Tasks'!C$4:D$197,2,FALSE),"N/A")</f>
        <v>6.83</v>
      </c>
      <c r="I68" s="384"/>
      <c r="J68" s="386"/>
      <c r="K68" s="386"/>
      <c r="L68" s="387" t="str">
        <f>IFERROR(INDEX('Upper Hot Cell Logistics'!$I$35:$O$41,MATCH($J68,'Upper Hot Cell Logistics'!$H$35:$H$41,0),MATCH($K68,'Upper Hot Cell Logistics'!$H$35:$H$41,0)),"N/A")</f>
        <v>N/A</v>
      </c>
      <c r="M68" s="387" t="str">
        <f>IFERROR(VLOOKUP($I68,'Upper Hot Cell Logistics'!$H$4:$I$10,2,FALSE),"N/A")</f>
        <v>N/A</v>
      </c>
      <c r="N68" s="385" t="str">
        <f t="shared" si="1"/>
        <v>N/A</v>
      </c>
      <c r="O68" s="388"/>
      <c r="P68" s="390" t="str">
        <f>IF($D68="Logistics",VLOOKUP($O68,'Upper Hot Cell Logistics'!$C$4:$D$51,2,FALSE),"N/A")</f>
        <v>N/A</v>
      </c>
      <c r="Q68" s="391"/>
      <c r="R68" s="390" t="str">
        <f>IFERROR(VLOOKUP($Q68,'Upper Hot Cell Dependencies'!$C$5:$F$229,4,FALSE),"N/A")</f>
        <v>N/A</v>
      </c>
      <c r="S68" s="385" t="str">
        <f t="shared" si="3"/>
        <v>N/A</v>
      </c>
    </row>
    <row r="69" spans="2:19" x14ac:dyDescent="0.4">
      <c r="B69" s="3890"/>
      <c r="C69" s="519" t="s">
        <v>820</v>
      </c>
      <c r="D69" s="381" t="s">
        <v>778</v>
      </c>
      <c r="E69" s="390">
        <f t="shared" si="0"/>
        <v>2.0833333333333332E-2</v>
      </c>
      <c r="F69" s="385">
        <f t="shared" si="2"/>
        <v>145.05077323797821</v>
      </c>
      <c r="G69" s="384"/>
      <c r="H69" s="385" t="str">
        <f>IF(D69="operation",VLOOKUP(G69,'Generic Vertical Port Tasks'!C$4:D$197,2,FALSE),"N/A")</f>
        <v>N/A</v>
      </c>
      <c r="I69" s="384" t="s">
        <v>798</v>
      </c>
      <c r="J69" s="386" t="s">
        <v>816</v>
      </c>
      <c r="K69" s="386" t="s">
        <v>452</v>
      </c>
      <c r="L69" s="387">
        <f>IFERROR(INDEX('Upper Hot Cell Logistics'!$I$35:$O$41,MATCH($J69,'Upper Hot Cell Logistics'!$H$35:$H$41,0),MATCH($K69,'Upper Hot Cell Logistics'!$H$35:$H$41,0)),"N/A")</f>
        <v>15</v>
      </c>
      <c r="M69" s="387">
        <f>IFERROR(VLOOKUP($I69,'Upper Hot Cell Logistics'!$H$4:$I$10,2,FALSE),"N/A")</f>
        <v>0.2</v>
      </c>
      <c r="N69" s="385">
        <f t="shared" si="1"/>
        <v>2.0833333333333332E-2</v>
      </c>
      <c r="O69" s="388"/>
      <c r="P69" s="390" t="str">
        <f>IF($D69="Logistics",VLOOKUP($O69,'Upper Hot Cell Logistics'!$C$4:$D$51,2,FALSE),"N/A")</f>
        <v>N/A</v>
      </c>
      <c r="Q69" s="391"/>
      <c r="R69" s="390" t="str">
        <f>IFERROR(VLOOKUP($Q69,'Upper Hot Cell Dependencies'!$C$5:$F$229,4,FALSE),"N/A")</f>
        <v>N/A</v>
      </c>
      <c r="S69" s="385" t="str">
        <f t="shared" si="3"/>
        <v>N/A</v>
      </c>
    </row>
    <row r="70" spans="2:19" ht="15" thickBot="1" x14ac:dyDescent="0.45">
      <c r="B70" s="3887"/>
      <c r="C70" s="503" t="s">
        <v>842</v>
      </c>
      <c r="D70" s="393" t="s">
        <v>251</v>
      </c>
      <c r="E70" s="349">
        <f t="shared" si="0"/>
        <v>1.0499155317167692</v>
      </c>
      <c r="F70" s="350">
        <f t="shared" si="2"/>
        <v>146.10068876969498</v>
      </c>
      <c r="G70" s="396" t="s">
        <v>2491</v>
      </c>
      <c r="H70" s="350">
        <f>IF(D70="operation",VLOOKUP(G70,'Generic Vertical Port Tasks'!C$4:D$197,2,FALSE),"N/A")</f>
        <v>1.0499155317167692</v>
      </c>
      <c r="I70" s="396"/>
      <c r="J70" s="397"/>
      <c r="K70" s="397"/>
      <c r="L70" s="398" t="str">
        <f>IFERROR(INDEX('Upper Hot Cell Logistics'!$I$35:$O$41,MATCH($J70,'Upper Hot Cell Logistics'!$H$35:$H$41,0),MATCH($K70,'Upper Hot Cell Logistics'!$H$35:$H$41,0)),"N/A")</f>
        <v>N/A</v>
      </c>
      <c r="M70" s="398" t="str">
        <f>IFERROR(VLOOKUP($I70,'Upper Hot Cell Logistics'!$H$4:$I$10,2,FALSE),"N/A")</f>
        <v>N/A</v>
      </c>
      <c r="N70" s="350" t="str">
        <f t="shared" si="1"/>
        <v>N/A</v>
      </c>
      <c r="O70" s="399"/>
      <c r="P70" s="349" t="str">
        <f>IF($D70="Logistics",VLOOKUP($O70,'Upper Hot Cell Logistics'!$C$4:$D$51,2,FALSE),"N/A")</f>
        <v>N/A</v>
      </c>
      <c r="Q70" s="401"/>
      <c r="R70" s="349" t="str">
        <f>IFERROR(VLOOKUP($Q70,'Upper Hot Cell Dependencies'!$C$5:$F$229,4,FALSE),"N/A")</f>
        <v>N/A</v>
      </c>
      <c r="S70" s="350" t="str">
        <f t="shared" si="3"/>
        <v>N/A</v>
      </c>
    </row>
    <row r="71" spans="2:19" x14ac:dyDescent="0.4">
      <c r="B71" s="4037" t="s">
        <v>843</v>
      </c>
      <c r="C71" s="426" t="s">
        <v>826</v>
      </c>
      <c r="D71" s="427" t="s">
        <v>778</v>
      </c>
      <c r="E71" s="305">
        <f t="shared" si="0"/>
        <v>6.9444444444444448E-2</v>
      </c>
      <c r="F71" s="306">
        <f t="shared" si="2"/>
        <v>146.17013321413944</v>
      </c>
      <c r="G71" s="428"/>
      <c r="H71" s="306" t="str">
        <f>IF(D71="operation",VLOOKUP(G71,'Generic Vertical Port Tasks'!C$4:D$197,2,FALSE),"N/A")</f>
        <v>N/A</v>
      </c>
      <c r="I71" s="428" t="s">
        <v>798</v>
      </c>
      <c r="J71" s="429" t="s">
        <v>831</v>
      </c>
      <c r="K71" s="429" t="s">
        <v>452</v>
      </c>
      <c r="L71" s="430">
        <f>IFERROR(INDEX('Upper Hot Cell Logistics'!$I$35:$O$41,MATCH($J71,'Upper Hot Cell Logistics'!$H$35:$H$41,0),MATCH($K71,'Upper Hot Cell Logistics'!$H$35:$H$41,0)),"N/A")</f>
        <v>50</v>
      </c>
      <c r="M71" s="430">
        <f>IFERROR(VLOOKUP($I71,'Upper Hot Cell Logistics'!$H$4:$I$10,2,FALSE),"N/A")</f>
        <v>0.2</v>
      </c>
      <c r="N71" s="306">
        <f t="shared" si="1"/>
        <v>6.9444444444444448E-2</v>
      </c>
      <c r="O71" s="431"/>
      <c r="P71" s="305" t="str">
        <f>IF($D71="Logistics",VLOOKUP($O71,'Upper Hot Cell Logistics'!$C$4:$D$51,2,FALSE),"N/A")</f>
        <v>N/A</v>
      </c>
      <c r="Q71" s="432" t="str">
        <f>'Upper Hot Cell Dependencies'!B69</f>
        <v>Pipe Module 4 Stored</v>
      </c>
      <c r="R71" s="305">
        <f>IFERROR(VLOOKUP($Q71,'Upper Hot Cell Dependencies'!$C$5:$F$229,4,FALSE),"N/A")</f>
        <v>139.26605101575598</v>
      </c>
      <c r="S71" s="306">
        <f t="shared" si="3"/>
        <v>6.8346377539390062</v>
      </c>
    </row>
    <row r="72" spans="2:19" ht="15" thickBot="1" x14ac:dyDescent="0.45">
      <c r="B72" s="4038"/>
      <c r="C72" s="418" t="s">
        <v>131</v>
      </c>
      <c r="D72" s="419" t="s">
        <v>251</v>
      </c>
      <c r="E72" s="362">
        <f t="shared" si="0"/>
        <v>0.72499999999999998</v>
      </c>
      <c r="F72" s="363">
        <f t="shared" si="2"/>
        <v>146.89513321413943</v>
      </c>
      <c r="G72" s="420" t="s">
        <v>253</v>
      </c>
      <c r="H72" s="363">
        <f>IF(D72="operation",VLOOKUP(G72,'Generic Vertical Port Tasks'!C$4:D$197,2,FALSE),"N/A")</f>
        <v>0.72499999999999998</v>
      </c>
      <c r="I72" s="420"/>
      <c r="J72" s="421"/>
      <c r="K72" s="421"/>
      <c r="L72" s="422" t="str">
        <f>IFERROR(INDEX('Upper Hot Cell Logistics'!$I$35:$O$41,MATCH($J72,'Upper Hot Cell Logistics'!$H$35:$H$41,0),MATCH($K72,'Upper Hot Cell Logistics'!$H$35:$H$41,0)),"N/A")</f>
        <v>N/A</v>
      </c>
      <c r="M72" s="422" t="str">
        <f>IFERROR(VLOOKUP($I72,'Upper Hot Cell Logistics'!$H$4:$I$10,2,FALSE),"N/A")</f>
        <v>N/A</v>
      </c>
      <c r="N72" s="363" t="str">
        <f t="shared" si="1"/>
        <v>N/A</v>
      </c>
      <c r="O72" s="423"/>
      <c r="P72" s="362" t="str">
        <f>IF($D72="Logistics",VLOOKUP($O72,'Upper Hot Cell Logistics'!$C$4:$D$51,2,FALSE),"N/A")</f>
        <v>N/A</v>
      </c>
      <c r="Q72" s="425"/>
      <c r="R72" s="362" t="str">
        <f>IFERROR(VLOOKUP($Q72,'Upper Hot Cell Dependencies'!$C$5:$F$229,4,FALSE),"N/A")</f>
        <v>N/A</v>
      </c>
      <c r="S72" s="363" t="str">
        <f t="shared" si="3"/>
        <v>N/A</v>
      </c>
    </row>
    <row r="73" spans="2:19" x14ac:dyDescent="0.4">
      <c r="B73" s="3886" t="s">
        <v>13</v>
      </c>
      <c r="C73" s="501" t="s">
        <v>820</v>
      </c>
      <c r="D73" s="370" t="s">
        <v>778</v>
      </c>
      <c r="E73" s="326">
        <f t="shared" si="0"/>
        <v>6.9444444444444448E-2</v>
      </c>
      <c r="F73" s="327">
        <f t="shared" si="2"/>
        <v>148.12735543636168</v>
      </c>
      <c r="G73" s="373"/>
      <c r="H73" s="327" t="str">
        <f>IF(D73="operation",VLOOKUP(G73,'Generic Vertical Port Tasks'!C$4:D$197,2,FALSE),"N/A")</f>
        <v>N/A</v>
      </c>
      <c r="I73" s="373" t="s">
        <v>798</v>
      </c>
      <c r="J73" s="374" t="s">
        <v>799</v>
      </c>
      <c r="K73" s="374" t="s">
        <v>452</v>
      </c>
      <c r="L73" s="375">
        <f>IFERROR(INDEX('Upper Hot Cell Logistics'!$I$35:$O$41,MATCH($J73,'Upper Hot Cell Logistics'!$H$35:$H$41,0),MATCH($K73,'Upper Hot Cell Logistics'!$H$35:$H$41,0)),"N/A")</f>
        <v>50</v>
      </c>
      <c r="M73" s="375">
        <f>IFERROR(VLOOKUP($I73,'Upper Hot Cell Logistics'!$H$4:$I$10,2,FALSE),"N/A")</f>
        <v>0.2</v>
      </c>
      <c r="N73" s="327">
        <f t="shared" si="1"/>
        <v>6.9444444444444448E-2</v>
      </c>
      <c r="O73" s="376"/>
      <c r="P73" s="326" t="str">
        <f>IF($D73="Logistics",VLOOKUP($O73,'Upper Hot Cell Logistics'!$C$4:$D$51,2,FALSE),"N/A")</f>
        <v>N/A</v>
      </c>
      <c r="Q73" s="378" t="str">
        <f>'Upper Hot Cell Dependencies'!B88</f>
        <v>Service Joint System stored &amp; Blanket Transporter collected</v>
      </c>
      <c r="R73" s="326">
        <f>IFERROR(VLOOKUP($Q73,'Upper Hot Cell Dependencies'!$C$5:$F$229,4,FALSE),"N/A")</f>
        <v>148.05791099191723</v>
      </c>
      <c r="S73" s="327">
        <f t="shared" si="3"/>
        <v>-1.1627777777777908</v>
      </c>
    </row>
    <row r="74" spans="2:19" x14ac:dyDescent="0.4">
      <c r="B74" s="3890"/>
      <c r="C74" s="519" t="s">
        <v>122</v>
      </c>
      <c r="D74" s="381" t="s">
        <v>251</v>
      </c>
      <c r="E74" s="390">
        <f t="shared" si="0"/>
        <v>5.74</v>
      </c>
      <c r="F74" s="385">
        <f t="shared" si="2"/>
        <v>178.91045591518613</v>
      </c>
      <c r="G74" s="384" t="s">
        <v>254</v>
      </c>
      <c r="H74" s="385">
        <f>IF(D74="operation",VLOOKUP(G74,'Generic Vertical Port Tasks'!C$4:D$197,2,FALSE),"N/A")</f>
        <v>5.74</v>
      </c>
      <c r="I74" s="384"/>
      <c r="J74" s="386"/>
      <c r="K74" s="386"/>
      <c r="L74" s="387" t="str">
        <f>IFERROR(INDEX('Upper Hot Cell Logistics'!$I$35:$O$41,MATCH($J74,'Upper Hot Cell Logistics'!$H$35:$H$41,0),MATCH($K74,'Upper Hot Cell Logistics'!$H$35:$H$41,0)),"N/A")</f>
        <v>N/A</v>
      </c>
      <c r="M74" s="387" t="str">
        <f>IFERROR(VLOOKUP($I74,'Upper Hot Cell Logistics'!$H$4:$I$10,2,FALSE),"N/A")</f>
        <v>N/A</v>
      </c>
      <c r="N74" s="385" t="str">
        <f t="shared" si="1"/>
        <v>N/A</v>
      </c>
      <c r="O74" s="388"/>
      <c r="P74" s="390" t="str">
        <f>IF($D74="Logistics",VLOOKUP($O74,'Upper Hot Cell Logistics'!$C$4:$D$51,2,FALSE),"N/A")</f>
        <v>N/A</v>
      </c>
      <c r="Q74" s="391" t="s">
        <v>844</v>
      </c>
      <c r="R74" s="390">
        <f>IFERROR(VLOOKUP($Q74,'Upper Hot Cell Dependencies'!$C$5:$F$229,4,FALSE),"N/A")</f>
        <v>173.17045591518612</v>
      </c>
      <c r="S74" s="385">
        <f t="shared" si="3"/>
        <v>-25.043100478824442</v>
      </c>
    </row>
    <row r="75" spans="2:19" x14ac:dyDescent="0.4">
      <c r="B75" s="3890"/>
      <c r="C75" s="519" t="s">
        <v>797</v>
      </c>
      <c r="D75" s="381" t="s">
        <v>778</v>
      </c>
      <c r="E75" s="390">
        <f t="shared" si="0"/>
        <v>6.9444444444444448E-2</v>
      </c>
      <c r="F75" s="385">
        <f t="shared" si="2"/>
        <v>178.97990035963059</v>
      </c>
      <c r="G75" s="384"/>
      <c r="H75" s="385" t="str">
        <f>IF(D75="operation",VLOOKUP(G75,'Generic Vertical Port Tasks'!C$4:D$197,2,FALSE),"N/A")</f>
        <v>N/A</v>
      </c>
      <c r="I75" s="384" t="s">
        <v>798</v>
      </c>
      <c r="J75" s="386" t="s">
        <v>799</v>
      </c>
      <c r="K75" s="386" t="s">
        <v>452</v>
      </c>
      <c r="L75" s="387">
        <f>IFERROR(INDEX('Upper Hot Cell Logistics'!$I$35:$O$41,MATCH($J75,'Upper Hot Cell Logistics'!$H$35:$H$41,0),MATCH($K75,'Upper Hot Cell Logistics'!$H$35:$H$41,0)),"N/A")</f>
        <v>50</v>
      </c>
      <c r="M75" s="387">
        <f>IFERROR(VLOOKUP($I75,'Upper Hot Cell Logistics'!$H$4:$I$10,2,FALSE),"N/A")</f>
        <v>0.2</v>
      </c>
      <c r="N75" s="385">
        <f t="shared" si="1"/>
        <v>6.9444444444444448E-2</v>
      </c>
      <c r="O75" s="388"/>
      <c r="P75" s="390" t="str">
        <f>IF($D75="Logistics",VLOOKUP($O75,'Upper Hot Cell Logistics'!$C$4:$D$51,2,FALSE),"N/A")</f>
        <v>N/A</v>
      </c>
      <c r="Q75" s="391" t="str">
        <f>'Upper Hot Cell Dependencies'!B94</f>
        <v>Pipe Module 5 &amp; Pipe Lifter Stored &amp; Blanket Transporter collected</v>
      </c>
      <c r="R75" s="390">
        <f>IFERROR(VLOOKUP($Q75,'Upper Hot Cell Dependencies'!$C$5:$F$229,4,FALSE),"N/A")</f>
        <v>150.08513321413946</v>
      </c>
      <c r="S75" s="385">
        <f t="shared" si="3"/>
        <v>28.825322701046673</v>
      </c>
    </row>
    <row r="76" spans="2:19" x14ac:dyDescent="0.4">
      <c r="B76" s="3890"/>
      <c r="C76" s="519" t="s">
        <v>135</v>
      </c>
      <c r="D76" s="381" t="s">
        <v>251</v>
      </c>
      <c r="E76" s="390">
        <f t="shared" si="0"/>
        <v>5.74</v>
      </c>
      <c r="F76" s="385">
        <f t="shared" si="2"/>
        <v>189.0004757110994</v>
      </c>
      <c r="G76" s="384" t="s">
        <v>254</v>
      </c>
      <c r="H76" s="385">
        <f>IF(D76="operation",VLOOKUP(G76,'Generic Vertical Port Tasks'!C$4:D$197,2,FALSE),"N/A")</f>
        <v>5.74</v>
      </c>
      <c r="I76" s="384"/>
      <c r="J76" s="386"/>
      <c r="K76" s="386"/>
      <c r="L76" s="387" t="str">
        <f>IFERROR(INDEX('Upper Hot Cell Logistics'!$I$35:$O$41,MATCH($J76,'Upper Hot Cell Logistics'!$H$35:$H$41,0),MATCH($K76,'Upper Hot Cell Logistics'!$H$35:$H$41,0)),"N/A")</f>
        <v>N/A</v>
      </c>
      <c r="M76" s="387" t="str">
        <f>IFERROR(VLOOKUP($I76,'Upper Hot Cell Logistics'!$H$4:$I$10,2,FALSE),"N/A")</f>
        <v>N/A</v>
      </c>
      <c r="N76" s="385" t="str">
        <f t="shared" si="1"/>
        <v>N/A</v>
      </c>
      <c r="O76" s="388"/>
      <c r="P76" s="390" t="str">
        <f>IF($D76="Logistics",VLOOKUP($O76,'Upper Hot Cell Logistics'!$C$4:$D$51,2,FALSE),"N/A")</f>
        <v>N/A</v>
      </c>
      <c r="Q76" s="391" t="s">
        <v>845</v>
      </c>
      <c r="R76" s="390">
        <f>IFERROR(VLOOKUP($Q76,'Upper Hot Cell Dependencies'!$C$5:$F$229,4,FALSE),"N/A")</f>
        <v>183.26047571109939</v>
      </c>
      <c r="S76" s="385">
        <f t="shared" si="3"/>
        <v>-4.2805753514687979</v>
      </c>
    </row>
    <row r="77" spans="2:19" x14ac:dyDescent="0.4">
      <c r="B77" s="3890"/>
      <c r="C77" s="519" t="s">
        <v>820</v>
      </c>
      <c r="D77" s="381" t="s">
        <v>778</v>
      </c>
      <c r="E77" s="390">
        <f t="shared" si="0"/>
        <v>6.9444444444444448E-2</v>
      </c>
      <c r="F77" s="385">
        <f t="shared" si="2"/>
        <v>189.06992015554385</v>
      </c>
      <c r="G77" s="384"/>
      <c r="H77" s="385" t="str">
        <f>IF(D77="operation",VLOOKUP(G77,'Generic Vertical Port Tasks'!C$4:D$197,2,FALSE),"N/A")</f>
        <v>N/A</v>
      </c>
      <c r="I77" s="384" t="s">
        <v>798</v>
      </c>
      <c r="J77" s="386" t="s">
        <v>831</v>
      </c>
      <c r="K77" s="386" t="s">
        <v>452</v>
      </c>
      <c r="L77" s="387">
        <f>IFERROR(INDEX('Upper Hot Cell Logistics'!$I$35:$O$41,MATCH($J77,'Upper Hot Cell Logistics'!$H$35:$H$41,0),MATCH($K77,'Upper Hot Cell Logistics'!$H$35:$H$41,0)),"N/A")</f>
        <v>50</v>
      </c>
      <c r="M77" s="387">
        <f>IFERROR(VLOOKUP($I77,'Upper Hot Cell Logistics'!$H$4:$I$10,2,FALSE),"N/A")</f>
        <v>0.2</v>
      </c>
      <c r="N77" s="385">
        <f t="shared" si="1"/>
        <v>6.9444444444444448E-2</v>
      </c>
      <c r="O77" s="388"/>
      <c r="P77" s="390" t="str">
        <f>IF($D77="Logistics",VLOOKUP($O77,'Upper Hot Cell Logistics'!$C$4:$D$51,2,FALSE),"N/A")</f>
        <v>N/A</v>
      </c>
      <c r="Q77" s="391" t="str">
        <f>'Upper Hot Cell Dependencies'!B102</f>
        <v>COB Blanket Segment Stored</v>
      </c>
      <c r="R77" s="390">
        <f>IFERROR(VLOOKUP($Q77,'Upper Hot Cell Dependencies'!$C$5:$F$229,4,FALSE),"N/A")</f>
        <v>180.1849003596306</v>
      </c>
      <c r="S77" s="385">
        <f t="shared" si="3"/>
        <v>8.8155753514687945</v>
      </c>
    </row>
    <row r="78" spans="2:19" x14ac:dyDescent="0.4">
      <c r="B78" s="3890"/>
      <c r="C78" s="519" t="s">
        <v>136</v>
      </c>
      <c r="D78" s="381" t="s">
        <v>251</v>
      </c>
      <c r="E78" s="390">
        <f t="shared" si="0"/>
        <v>5.74</v>
      </c>
      <c r="F78" s="385">
        <f t="shared" si="2"/>
        <v>194.80992015554386</v>
      </c>
      <c r="G78" s="384" t="s">
        <v>254</v>
      </c>
      <c r="H78" s="385">
        <f>IF(D78="operation",VLOOKUP(G78,'Generic Vertical Port Tasks'!C$4:D$197,2,FALSE),"N/A")</f>
        <v>5.74</v>
      </c>
      <c r="I78" s="384"/>
      <c r="J78" s="386"/>
      <c r="K78" s="386"/>
      <c r="L78" s="387" t="str">
        <f>IFERROR(INDEX('Upper Hot Cell Logistics'!$I$35:$O$41,MATCH($J78,'Upper Hot Cell Logistics'!$H$35:$H$41,0),MATCH($K78,'Upper Hot Cell Logistics'!$H$35:$H$41,0)),"N/A")</f>
        <v>N/A</v>
      </c>
      <c r="M78" s="387" t="str">
        <f>IFERROR(VLOOKUP($I78,'Upper Hot Cell Logistics'!$H$4:$I$10,2,FALSE),"N/A")</f>
        <v>N/A</v>
      </c>
      <c r="N78" s="385" t="str">
        <f t="shared" si="1"/>
        <v>N/A</v>
      </c>
      <c r="O78" s="388"/>
      <c r="P78" s="390" t="str">
        <f>IF($D78="Logistics",VLOOKUP($O78,'Upper Hot Cell Logistics'!$C$4:$D$51,2,FALSE),"N/A")</f>
        <v>N/A</v>
      </c>
      <c r="Q78" s="391" t="s">
        <v>846</v>
      </c>
      <c r="R78" s="390">
        <f>IFERROR(VLOOKUP($Q78,'Upper Hot Cell Dependencies'!$C$5:$F$229,4,FALSE),"N/A")</f>
        <v>184.93049550701264</v>
      </c>
      <c r="S78" s="385">
        <f t="shared" si="3"/>
        <v>4.1394246485312181</v>
      </c>
    </row>
    <row r="79" spans="2:19" x14ac:dyDescent="0.4">
      <c r="B79" s="3890"/>
      <c r="C79" s="519" t="s">
        <v>797</v>
      </c>
      <c r="D79" s="381" t="s">
        <v>778</v>
      </c>
      <c r="E79" s="390">
        <f t="shared" si="0"/>
        <v>6.9444444444444448E-2</v>
      </c>
      <c r="F79" s="385">
        <f t="shared" si="2"/>
        <v>194.87936459998832</v>
      </c>
      <c r="G79" s="384"/>
      <c r="H79" s="385" t="str">
        <f>IF(D79="operation",VLOOKUP(G79,'Generic Vertical Port Tasks'!C$4:D$197,2,FALSE),"N/A")</f>
        <v>N/A</v>
      </c>
      <c r="I79" s="384" t="s">
        <v>798</v>
      </c>
      <c r="J79" s="386" t="s">
        <v>831</v>
      </c>
      <c r="K79" s="386" t="s">
        <v>452</v>
      </c>
      <c r="L79" s="387">
        <f>IFERROR(INDEX('Upper Hot Cell Logistics'!$I$35:$O$41,MATCH($J79,'Upper Hot Cell Logistics'!$H$35:$H$41,0),MATCH($K79,'Upper Hot Cell Logistics'!$H$35:$H$41,0)),"N/A")</f>
        <v>50</v>
      </c>
      <c r="M79" s="387">
        <f>IFERROR(VLOOKUP($I79,'Upper Hot Cell Logistics'!$H$4:$I$10,2,FALSE),"N/A")</f>
        <v>0.2</v>
      </c>
      <c r="N79" s="385">
        <f t="shared" si="1"/>
        <v>6.9444444444444448E-2</v>
      </c>
      <c r="O79" s="388"/>
      <c r="P79" s="390" t="str">
        <f>IF($D79="Logistics",VLOOKUP($O79,'Upper Hot Cell Logistics'!$C$4:$D$51,2,FALSE),"N/A")</f>
        <v>N/A</v>
      </c>
      <c r="Q79" s="391" t="str">
        <f>'Upper Hot Cell Dependencies'!B106</f>
        <v>LOB Blanket Segment Stored</v>
      </c>
      <c r="R79" s="390">
        <f>IFERROR(VLOOKUP($Q79,'Upper Hot Cell Dependencies'!$C$5:$F$229,4,FALSE),"N/A")</f>
        <v>190.27492015554387</v>
      </c>
      <c r="S79" s="385">
        <f t="shared" si="3"/>
        <v>4.5349999999999966</v>
      </c>
    </row>
    <row r="80" spans="2:19" x14ac:dyDescent="0.4">
      <c r="B80" s="3890"/>
      <c r="C80" s="519" t="s">
        <v>138</v>
      </c>
      <c r="D80" s="381" t="s">
        <v>251</v>
      </c>
      <c r="E80" s="390">
        <f>MAX($P80,$N80,$H80)</f>
        <v>5.74</v>
      </c>
      <c r="F80" s="385">
        <f t="shared" si="2"/>
        <v>200.61936459998833</v>
      </c>
      <c r="G80" s="384" t="s">
        <v>254</v>
      </c>
      <c r="H80" s="385">
        <f>IF(D80="operation",VLOOKUP(G80,'Generic Vertical Port Tasks'!C$4:D$197,2,FALSE),"N/A")</f>
        <v>5.74</v>
      </c>
      <c r="I80" s="384"/>
      <c r="J80" s="386"/>
      <c r="K80" s="386"/>
      <c r="L80" s="387" t="str">
        <f>IFERROR(INDEX('Upper Hot Cell Logistics'!$I$35:$O$41,MATCH($J80,'Upper Hot Cell Logistics'!$H$35:$H$41,0),MATCH($K80,'Upper Hot Cell Logistics'!$H$35:$H$41,0)),"N/A")</f>
        <v>N/A</v>
      </c>
      <c r="M80" s="387" t="str">
        <f>IFERROR(VLOOKUP($I80,'Upper Hot Cell Logistics'!$H$4:$I$10,2,FALSE),"N/A")</f>
        <v>N/A</v>
      </c>
      <c r="N80" s="385" t="str">
        <f>IF(D80="Movement",IFERROR((L80/M80)/(60*60),"Error"),"N/A")</f>
        <v>N/A</v>
      </c>
      <c r="O80" s="388"/>
      <c r="P80" s="390" t="str">
        <f>IF($D80="Logistics",VLOOKUP($O80,'Upper Hot Cell Logistics'!$C$4:$D$51,2,FALSE),"N/A")</f>
        <v>N/A</v>
      </c>
      <c r="Q80" s="391" t="s">
        <v>847</v>
      </c>
      <c r="R80" s="390">
        <f>IFERROR(VLOOKUP($Q80,'Upper Hot Cell Dependencies'!$C$5:$F$229,4,FALSE),"N/A")</f>
        <v>191.03051530292589</v>
      </c>
      <c r="S80" s="385">
        <f t="shared" si="3"/>
        <v>3.8488492970624293</v>
      </c>
    </row>
    <row r="81" spans="2:19" x14ac:dyDescent="0.4">
      <c r="B81" s="3890"/>
      <c r="C81" s="519" t="s">
        <v>820</v>
      </c>
      <c r="D81" s="381" t="s">
        <v>778</v>
      </c>
      <c r="E81" s="390">
        <f>MAX($P81,$N81,$H81)</f>
        <v>6.9444444444444448E-2</v>
      </c>
      <c r="F81" s="385">
        <f t="shared" si="2"/>
        <v>200.68880904443279</v>
      </c>
      <c r="G81" s="384"/>
      <c r="H81" s="385" t="str">
        <f>IF(D81="operation",VLOOKUP(G81,'Generic Vertical Port Tasks'!C$4:D$197,2,FALSE),"N/A")</f>
        <v>N/A</v>
      </c>
      <c r="I81" s="384" t="s">
        <v>798</v>
      </c>
      <c r="J81" s="386" t="s">
        <v>831</v>
      </c>
      <c r="K81" s="386" t="s">
        <v>452</v>
      </c>
      <c r="L81" s="387">
        <f>IFERROR(INDEX('Upper Hot Cell Logistics'!$I$35:$O$41,MATCH($J81,'Upper Hot Cell Logistics'!$H$35:$H$41,0),MATCH($K81,'Upper Hot Cell Logistics'!$H$35:$H$41,0)),"N/A")</f>
        <v>50</v>
      </c>
      <c r="M81" s="387">
        <f>IFERROR(VLOOKUP($I81,'Upper Hot Cell Logistics'!$H$4:$I$10,2,FALSE),"N/A")</f>
        <v>0.2</v>
      </c>
      <c r="N81" s="385">
        <f>IF(D81="Movement",IFERROR((L81/M81)/(60*60),"Error"),"N/A")</f>
        <v>6.9444444444444448E-2</v>
      </c>
      <c r="O81" s="388"/>
      <c r="P81" s="390" t="str">
        <f>IF($D81="Logistics",VLOOKUP($O81,'Upper Hot Cell Logistics'!$C$4:$D$51,2,FALSE),"N/A")</f>
        <v>N/A</v>
      </c>
      <c r="Q81" s="391" t="str">
        <f>'Upper Hot Cell Dependencies'!B110</f>
        <v>ROB Blanket Segment Stored</v>
      </c>
      <c r="R81" s="390">
        <f>IFERROR(VLOOKUP($Q81,'Upper Hot Cell Dependencies'!$C$5:$F$229,4,FALSE),"N/A")</f>
        <v>196.08436459998833</v>
      </c>
      <c r="S81" s="385">
        <f t="shared" si="3"/>
        <v>4.5349999999999966</v>
      </c>
    </row>
    <row r="82" spans="2:19" ht="15" thickBot="1" x14ac:dyDescent="0.45">
      <c r="B82" s="3887"/>
      <c r="C82" s="503" t="s">
        <v>140</v>
      </c>
      <c r="D82" s="393" t="s">
        <v>251</v>
      </c>
      <c r="E82" s="349">
        <f>MAX($P82,$N82,$H82)</f>
        <v>5.74</v>
      </c>
      <c r="F82" s="350">
        <f>IF(S82&lt;0,E82+F81+(-S82),E82+F81)</f>
        <v>206.4288090444328</v>
      </c>
      <c r="G82" s="396" t="s">
        <v>254</v>
      </c>
      <c r="H82" s="350">
        <f>IF(D82="operation",VLOOKUP(G82,'Generic Vertical Port Tasks'!C$4:D$197,2,FALSE),"N/A")</f>
        <v>5.74</v>
      </c>
      <c r="I82" s="396"/>
      <c r="J82" s="397"/>
      <c r="K82" s="397"/>
      <c r="L82" s="398" t="str">
        <f>IFERROR(INDEX('Upper Hot Cell Logistics'!$I$35:$O$41,MATCH($J82,'Upper Hot Cell Logistics'!$H$35:$H$41,0),MATCH($K82,'Upper Hot Cell Logistics'!$H$35:$H$41,0)),"N/A")</f>
        <v>N/A</v>
      </c>
      <c r="M82" s="398" t="str">
        <f>IFERROR(VLOOKUP($I82,'Upper Hot Cell Logistics'!$H$4:$I$10,2,FALSE),"N/A")</f>
        <v>N/A</v>
      </c>
      <c r="N82" s="350" t="str">
        <f>IF(D82="Movement",IFERROR((L82/M82)/(60*60),"Error"),"N/A")</f>
        <v>N/A</v>
      </c>
      <c r="O82" s="399"/>
      <c r="P82" s="349" t="str">
        <f>IF($D82="Logistics",VLOOKUP($O82,'Upper Hot Cell Logistics'!$C$4:$D$51,2,FALSE),"N/A")</f>
        <v>N/A</v>
      </c>
      <c r="Q82" s="401" t="s">
        <v>848</v>
      </c>
      <c r="R82" s="349">
        <f>IFERROR(VLOOKUP($Q82,'Upper Hot Cell Dependencies'!$C$5:$F$229,4,FALSE),"N/A")</f>
        <v>192.70053509883914</v>
      </c>
      <c r="S82" s="350">
        <f t="shared" si="3"/>
        <v>7.9882739455936473</v>
      </c>
    </row>
    <row r="83" spans="2:19" x14ac:dyDescent="0.4">
      <c r="B83" s="4040" t="s">
        <v>849</v>
      </c>
      <c r="C83" s="433" t="s">
        <v>850</v>
      </c>
      <c r="D83" s="433"/>
      <c r="E83" s="434">
        <f>F82</f>
        <v>206.4288090444328</v>
      </c>
      <c r="F83" s="434"/>
      <c r="G83" s="435"/>
      <c r="H83" s="435"/>
      <c r="I83" s="435"/>
      <c r="J83" s="435"/>
      <c r="K83" s="435"/>
      <c r="L83" s="435"/>
      <c r="M83" s="435"/>
      <c r="N83" s="435"/>
      <c r="O83" s="435"/>
      <c r="P83" s="436"/>
      <c r="Q83" s="437"/>
      <c r="R83" s="437"/>
      <c r="S83" s="438"/>
    </row>
    <row r="84" spans="2:19" x14ac:dyDescent="0.4">
      <c r="B84" s="4041"/>
      <c r="C84" s="440" t="s">
        <v>851</v>
      </c>
      <c r="D84" s="440"/>
      <c r="E84" s="441">
        <f>SUMIF(D4:D82,"Operation",E4:E82)</f>
        <v>154.91902210302825</v>
      </c>
      <c r="F84" s="441"/>
      <c r="G84" s="442"/>
      <c r="H84" s="443">
        <f>E84/$E$83</f>
        <v>0.75047190757992843</v>
      </c>
      <c r="I84" s="442"/>
      <c r="J84" s="442"/>
      <c r="K84" s="442"/>
      <c r="L84" s="442"/>
      <c r="M84" s="442"/>
      <c r="N84" s="442"/>
      <c r="O84" s="442"/>
      <c r="P84" s="444"/>
      <c r="Q84" s="439"/>
      <c r="R84" s="439"/>
      <c r="S84" s="445"/>
    </row>
    <row r="85" spans="2:19" x14ac:dyDescent="0.4">
      <c r="B85" s="4041"/>
      <c r="C85" s="440" t="s">
        <v>852</v>
      </c>
      <c r="D85" s="440"/>
      <c r="E85" s="441">
        <f>SUMIF(D4:D82,"Logistics",E4:E82)</f>
        <v>15.94</v>
      </c>
      <c r="F85" s="441"/>
      <c r="G85" s="446"/>
      <c r="H85" s="443">
        <f>E85/$E$83</f>
        <v>7.7217904195576656E-2</v>
      </c>
      <c r="I85" s="440"/>
      <c r="J85" s="440"/>
      <c r="K85" s="440"/>
      <c r="L85" s="440"/>
      <c r="M85" s="440"/>
      <c r="N85" s="440"/>
      <c r="O85" s="440"/>
      <c r="P85" s="447"/>
      <c r="Q85" s="439"/>
      <c r="R85" s="448" t="s">
        <v>116</v>
      </c>
      <c r="S85" s="449">
        <f>SUMIF(S4:S82, "&lt;0")</f>
        <v>-30.486453608071031</v>
      </c>
    </row>
    <row r="86" spans="2:19" ht="15" thickBot="1" x14ac:dyDescent="0.45">
      <c r="B86" s="4041"/>
      <c r="C86" s="440" t="s">
        <v>853</v>
      </c>
      <c r="D86" s="440"/>
      <c r="E86" s="441">
        <f>SUMIF(D4:D82,"Movement",E4:E82)</f>
        <v>5.0833333333333348</v>
      </c>
      <c r="F86" s="441"/>
      <c r="G86" s="446"/>
      <c r="H86" s="443">
        <f>E86/$E$83</f>
        <v>2.4625115829831543E-2</v>
      </c>
      <c r="I86" s="440"/>
      <c r="J86" s="440"/>
      <c r="K86" s="440"/>
      <c r="L86" s="440"/>
      <c r="M86" s="440"/>
      <c r="N86" s="440"/>
      <c r="O86" s="440"/>
      <c r="P86" s="447"/>
      <c r="Q86" s="439"/>
      <c r="R86" s="439"/>
      <c r="S86" s="445"/>
    </row>
    <row r="87" spans="2:19" s="88" customFormat="1" ht="12.75" customHeight="1" x14ac:dyDescent="0.4">
      <c r="B87" s="3850" t="s">
        <v>774</v>
      </c>
      <c r="C87" s="450" t="s">
        <v>38</v>
      </c>
      <c r="D87" s="451" t="s">
        <v>251</v>
      </c>
      <c r="E87" s="326">
        <f>MAX($P87,$N87,$H87)</f>
        <v>0</v>
      </c>
      <c r="F87" s="452">
        <f>E87</f>
        <v>0</v>
      </c>
      <c r="G87" s="451" t="s">
        <v>0</v>
      </c>
      <c r="H87" s="453">
        <f>IF(D87="operation",VLOOKUP(G87,'Generic Vertical Port Tasks'!C$4:D$197,2,FALSE),"N/A")</f>
        <v>0</v>
      </c>
      <c r="I87" s="454"/>
      <c r="J87" s="451"/>
      <c r="K87" s="451"/>
      <c r="L87" s="375" t="str">
        <f>IFERROR(INDEX('Upper Hot Cell Logistics'!$I$35:$O$41,MATCH($J87,'Upper Hot Cell Logistics'!$H$35:$H$41,0),MATCH($K87,'Upper Hot Cell Logistics'!$H$35:$H$41,0)),"N/A")</f>
        <v>N/A</v>
      </c>
      <c r="M87" s="375" t="str">
        <f>IFERROR(VLOOKUP($I87,'Upper Hot Cell Logistics'!$H$4:$I$10,2,FALSE),"N/A")</f>
        <v>N/A</v>
      </c>
      <c r="N87" s="327" t="str">
        <f>IF(D87="Movement",IFERROR((L87/M87)/(60*60),"Error"),"N/A")</f>
        <v>N/A</v>
      </c>
      <c r="O87" s="455"/>
      <c r="P87" s="456" t="str">
        <f>IF($D87="Logistics",VLOOKUP($O87,'Upper Hot Cell Logistics'!$C$4:$D$51,2,FALSE),"N/A")</f>
        <v>N/A</v>
      </c>
      <c r="Q87" s="455"/>
      <c r="R87" s="326" t="str">
        <f>IFERROR(VLOOKUP($Q87,'Upper Hot Cell Dependencies'!$C$5:$F$229,4,FALSE),"N/A")</f>
        <v>N/A</v>
      </c>
      <c r="S87" s="327" t="str">
        <f t="shared" ref="S87:S150" si="5">IFERROR(F86-R87,"N/A")</f>
        <v>N/A</v>
      </c>
    </row>
    <row r="88" spans="2:19" s="88" customFormat="1" ht="12.75" customHeight="1" x14ac:dyDescent="0.4">
      <c r="B88" s="3854"/>
      <c r="C88" s="457" t="s">
        <v>854</v>
      </c>
      <c r="D88" s="458" t="s">
        <v>778</v>
      </c>
      <c r="E88" s="459">
        <f>MAX($P88,$N88,$H88)</f>
        <v>0.69444444444444442</v>
      </c>
      <c r="F88" s="460">
        <f>IF(S88&lt;0,E88+F87+(-S88),E88+F87)</f>
        <v>1.8438888888888889</v>
      </c>
      <c r="G88" s="458"/>
      <c r="H88" s="461" t="str">
        <f>IF(D88="operation",VLOOKUP(G88,'Generic Vertical Port Tasks'!C$4:D$197,2,FALSE),"N/A")</f>
        <v>N/A</v>
      </c>
      <c r="I88" s="462" t="s">
        <v>855</v>
      </c>
      <c r="J88" s="458" t="s">
        <v>799</v>
      </c>
      <c r="K88" s="458" t="s">
        <v>452</v>
      </c>
      <c r="L88" s="387">
        <f>IFERROR(INDEX('Upper Hot Cell Logistics'!$I$35:$O$41,MATCH($J88,'Upper Hot Cell Logistics'!$H$35:$H$41,0),MATCH($K88,'Upper Hot Cell Logistics'!$H$35:$H$41,0)),"N/A")</f>
        <v>50</v>
      </c>
      <c r="M88" s="387">
        <f>IFERROR(VLOOKUP($I88,'Upper Hot Cell Logistics'!$H$4:$I$10,2,FALSE),"N/A")</f>
        <v>0.02</v>
      </c>
      <c r="N88" s="385">
        <f>IF(D88="Movement",IFERROR((L88/M88)/(60*60),"Error"),"N/A")</f>
        <v>0.69444444444444442</v>
      </c>
      <c r="O88" s="463"/>
      <c r="P88" s="464" t="str">
        <f>IF($D88="Logistics",VLOOKUP($O88,'Upper Hot Cell Logistics'!$C$4:$D$51,2,FALSE),"N/A")</f>
        <v>N/A</v>
      </c>
      <c r="Q88" s="463" t="s">
        <v>856</v>
      </c>
      <c r="R88" s="390">
        <f>IFERROR(VLOOKUP($Q88,'Upper Hot Cell Dependencies'!$C$5:$F$229,4,FALSE),"N/A")</f>
        <v>1.1494444444444445</v>
      </c>
      <c r="S88" s="385">
        <f t="shared" si="5"/>
        <v>-1.1494444444444445</v>
      </c>
    </row>
    <row r="89" spans="2:19" s="88" customFormat="1" ht="15" customHeight="1" x14ac:dyDescent="0.4">
      <c r="B89" s="3854"/>
      <c r="C89" s="457" t="s">
        <v>144</v>
      </c>
      <c r="D89" s="458" t="s">
        <v>251</v>
      </c>
      <c r="E89" s="459">
        <f>MAX($P89,$N89,$H89)</f>
        <v>8.5</v>
      </c>
      <c r="F89" s="460">
        <f t="shared" ref="F89:F151" si="6">IF(S89&lt;0,E89+F88+(-S89),E89+F88)</f>
        <v>10.343888888888889</v>
      </c>
      <c r="G89" s="458" t="s">
        <v>144</v>
      </c>
      <c r="H89" s="461">
        <f>IF(D89="operation",VLOOKUP(G89,'Generic Vertical Port Tasks'!C$4:D$197,2,FALSE),"N/A")</f>
        <v>8.5</v>
      </c>
      <c r="I89" s="462"/>
      <c r="J89" s="458"/>
      <c r="K89" s="458"/>
      <c r="L89" s="387" t="str">
        <f>IFERROR(INDEX('Upper Hot Cell Logistics'!$I$35:$O$41,MATCH($J89,'Upper Hot Cell Logistics'!$H$35:$H$41,0),MATCH($K89,'Upper Hot Cell Logistics'!$H$35:$H$41,0)),"N/A")</f>
        <v>N/A</v>
      </c>
      <c r="M89" s="387" t="str">
        <f>IFERROR(VLOOKUP($I89,'Upper Hot Cell Logistics'!$H$4:$I$10,2,FALSE),"N/A")</f>
        <v>N/A</v>
      </c>
      <c r="N89" s="385" t="str">
        <f>IF(D89="Movement",IFERROR((L89/M89)/(60*60),"Error"),"N/A")</f>
        <v>N/A</v>
      </c>
      <c r="O89" s="463"/>
      <c r="P89" s="464" t="str">
        <f>IF($D89="Logistics",VLOOKUP($O89,'Upper Hot Cell Logistics'!$C$4:$D$51,2,FALSE),"N/A")</f>
        <v>N/A</v>
      </c>
      <c r="Q89" s="463"/>
      <c r="R89" s="390" t="str">
        <f>IFERROR(VLOOKUP($Q89,'Upper Hot Cell Dependencies'!$C$5:$F$229,4,FALSE),"N/A")</f>
        <v>N/A</v>
      </c>
      <c r="S89" s="385" t="str">
        <f t="shared" si="5"/>
        <v>N/A</v>
      </c>
    </row>
    <row r="90" spans="2:19" s="88" customFormat="1" ht="15" customHeight="1" thickBot="1" x14ac:dyDescent="0.45">
      <c r="B90" s="3851"/>
      <c r="C90" s="465" t="s">
        <v>145</v>
      </c>
      <c r="D90" s="466" t="s">
        <v>251</v>
      </c>
      <c r="E90" s="467">
        <f>MAX($P90,$N90,$H90)</f>
        <v>8.5</v>
      </c>
      <c r="F90" s="400">
        <f>IF(S90&lt;0,E90+F89+(-S90),E90+F89)</f>
        <v>18.843888888888891</v>
      </c>
      <c r="G90" s="466" t="s">
        <v>255</v>
      </c>
      <c r="H90" s="468">
        <f>IF(D90="operation",VLOOKUP(G90,'Generic Vertical Port Tasks'!C$4:D$197,2,FALSE),"N/A")</f>
        <v>8.5</v>
      </c>
      <c r="I90" s="469"/>
      <c r="J90" s="466"/>
      <c r="K90" s="466"/>
      <c r="L90" s="398" t="str">
        <f>IFERROR(INDEX('Upper Hot Cell Logistics'!$I$35:$O$41,MATCH($J90,'Upper Hot Cell Logistics'!$H$35:$H$41,0),MATCH($K90,'Upper Hot Cell Logistics'!$H$35:$H$41,0)),"N/A")</f>
        <v>N/A</v>
      </c>
      <c r="M90" s="398" t="str">
        <f>IFERROR(VLOOKUP($I90,'Upper Hot Cell Logistics'!$H$4:$I$10,2,FALSE),"N/A")</f>
        <v>N/A</v>
      </c>
      <c r="N90" s="350" t="str">
        <f>IF(D90="Movement",IFERROR((L90/M90)/(60*60),"Error"),"N/A")</f>
        <v>N/A</v>
      </c>
      <c r="O90" s="470"/>
      <c r="P90" s="471" t="str">
        <f>IF($D90="Logistics",VLOOKUP($O90,'Upper Hot Cell Logistics'!$C$4:$D$51,2,FALSE),"N/A")</f>
        <v>N/A</v>
      </c>
      <c r="Q90" s="470"/>
      <c r="R90" s="349" t="str">
        <f>IFERROR(VLOOKUP($Q90,'Upper Hot Cell Dependencies'!$C$5:$F$229,4,FALSE),"N/A")</f>
        <v>N/A</v>
      </c>
      <c r="S90" s="350" t="str">
        <f t="shared" si="5"/>
        <v>N/A</v>
      </c>
    </row>
    <row r="91" spans="2:19" x14ac:dyDescent="0.4">
      <c r="B91" s="3773" t="s">
        <v>775</v>
      </c>
      <c r="C91" s="472" t="s">
        <v>797</v>
      </c>
      <c r="D91" s="473" t="s">
        <v>778</v>
      </c>
      <c r="E91" s="474">
        <f t="shared" ref="E91:E130" si="7">MAX($P91,$N91,$H91)</f>
        <v>0.69444444444444442</v>
      </c>
      <c r="F91" s="475">
        <f t="shared" si="6"/>
        <v>19.538333333333334</v>
      </c>
      <c r="G91" s="476"/>
      <c r="H91" s="475" t="str">
        <f>IF(D91="operation",VLOOKUP(G91,'Generic Vertical Port Tasks'!C$4:D$197,2,FALSE),"N/A")</f>
        <v>N/A</v>
      </c>
      <c r="I91" s="476" t="s">
        <v>857</v>
      </c>
      <c r="J91" s="477" t="s">
        <v>858</v>
      </c>
      <c r="K91" s="477" t="s">
        <v>452</v>
      </c>
      <c r="L91" s="478">
        <f>IFERROR(INDEX('Upper Hot Cell Logistics'!$I$35:$O$41,MATCH($J91,'Upper Hot Cell Logistics'!$H$35:$H$41,0),MATCH($K91,'Upper Hot Cell Logistics'!$H$35:$H$41,0)),"N/A")</f>
        <v>50</v>
      </c>
      <c r="M91" s="478">
        <f>IFERROR(VLOOKUP($I91,'Upper Hot Cell Logistics'!$H$4:$I$10,2,FALSE),"N/A")</f>
        <v>0.02</v>
      </c>
      <c r="N91" s="475">
        <f t="shared" ref="N91:N147" si="8">IF(D91="Movement",IFERROR((L91/M91)/(60*60),"Error"),"N/A")</f>
        <v>0.69444444444444442</v>
      </c>
      <c r="O91" s="479"/>
      <c r="P91" s="474" t="str">
        <f>IF($D91="Logistics",VLOOKUP($O91,'Upper Hot Cell Logistics'!$C$4:$D$51,2,FALSE),"N/A")</f>
        <v>N/A</v>
      </c>
      <c r="Q91" s="480" t="s">
        <v>859</v>
      </c>
      <c r="R91" s="474">
        <f>IFERROR(VLOOKUP($Q91,'Upper Hot Cell Dependencies'!$C$5:$F$229,4,FALSE),"N/A")</f>
        <v>0.84944444444444445</v>
      </c>
      <c r="S91" s="475">
        <f t="shared" si="5"/>
        <v>17.994444444444447</v>
      </c>
    </row>
    <row r="92" spans="2:19" x14ac:dyDescent="0.4">
      <c r="B92" s="3773"/>
      <c r="C92" s="481" t="s">
        <v>141</v>
      </c>
      <c r="D92" s="482" t="s">
        <v>251</v>
      </c>
      <c r="E92" s="483">
        <f t="shared" si="7"/>
        <v>4.33</v>
      </c>
      <c r="F92" s="484">
        <f t="shared" si="6"/>
        <v>23.868333333333332</v>
      </c>
      <c r="G92" s="485" t="s">
        <v>256</v>
      </c>
      <c r="H92" s="484">
        <f>IF(D92="operation",VLOOKUP(G92,'Generic Vertical Port Tasks'!C$4:D$197,2,FALSE),"N/A")</f>
        <v>4.33</v>
      </c>
      <c r="I92" s="485"/>
      <c r="J92" s="486"/>
      <c r="K92" s="486"/>
      <c r="L92" s="487" t="str">
        <f>IFERROR(INDEX('Upper Hot Cell Logistics'!$I$35:$O$41,MATCH($J92,'Upper Hot Cell Logistics'!$H$35:$H$41,0),MATCH($K92,'Upper Hot Cell Logistics'!$H$35:$H$41,0)),"N/A")</f>
        <v>N/A</v>
      </c>
      <c r="M92" s="487" t="str">
        <f>IFERROR(VLOOKUP($I92,'Upper Hot Cell Logistics'!$H$4:$I$10,2,FALSE),"N/A")</f>
        <v>N/A</v>
      </c>
      <c r="N92" s="484" t="str">
        <f t="shared" si="8"/>
        <v>N/A</v>
      </c>
      <c r="O92" s="488"/>
      <c r="P92" s="483" t="str">
        <f>IF($D92="Logistics",VLOOKUP($O92,'Upper Hot Cell Logistics'!$C$4:$D$51,2,FALSE),"N/A")</f>
        <v>N/A</v>
      </c>
      <c r="Q92" s="489"/>
      <c r="R92" s="483" t="str">
        <f>IFERROR(VLOOKUP($Q92,'Upper Hot Cell Dependencies'!$C$5:$F$229,4,FALSE),"N/A")</f>
        <v>N/A</v>
      </c>
      <c r="S92" s="484" t="str">
        <f t="shared" si="5"/>
        <v>N/A</v>
      </c>
    </row>
    <row r="93" spans="2:19" ht="29.15" x14ac:dyDescent="0.4">
      <c r="B93" s="3773"/>
      <c r="C93" s="481" t="s">
        <v>860</v>
      </c>
      <c r="D93" s="482" t="s">
        <v>778</v>
      </c>
      <c r="E93" s="483">
        <f t="shared" si="7"/>
        <v>0.69444444444444442</v>
      </c>
      <c r="F93" s="484">
        <f t="shared" si="6"/>
        <v>24.562777777777775</v>
      </c>
      <c r="G93" s="485"/>
      <c r="H93" s="484" t="str">
        <f>IF(D93="operation",VLOOKUP(G93,'Generic Vertical Port Tasks'!C$4:D$197,2,FALSE),"N/A")</f>
        <v>N/A</v>
      </c>
      <c r="I93" s="485" t="s">
        <v>857</v>
      </c>
      <c r="J93" s="486" t="s">
        <v>858</v>
      </c>
      <c r="K93" s="486" t="s">
        <v>452</v>
      </c>
      <c r="L93" s="487">
        <f>IFERROR(INDEX('Upper Hot Cell Logistics'!$I$35:$O$41,MATCH($J93,'Upper Hot Cell Logistics'!$H$35:$H$41,0),MATCH($K93,'Upper Hot Cell Logistics'!$H$35:$H$41,0)),"N/A")</f>
        <v>50</v>
      </c>
      <c r="M93" s="487">
        <f>IFERROR(VLOOKUP($I93,'Upper Hot Cell Logistics'!$H$4:$I$10,2,FALSE),"N/A")</f>
        <v>0.02</v>
      </c>
      <c r="N93" s="484">
        <f t="shared" si="8"/>
        <v>0.69444444444444442</v>
      </c>
      <c r="O93" s="488"/>
      <c r="P93" s="483" t="str">
        <f>IF($D93="Logistics",VLOOKUP($O93,'Upper Hot Cell Logistics'!$C$4:$D$51,2,FALSE),"N/A")</f>
        <v>N/A</v>
      </c>
      <c r="Q93" s="489" t="s">
        <v>861</v>
      </c>
      <c r="R93" s="483">
        <f>IFERROR(VLOOKUP($Q93,'Upper Hot Cell Dependencies'!$C$5:$F$229,4,FALSE),"N/A")</f>
        <v>20.318333333333335</v>
      </c>
      <c r="S93" s="484">
        <f t="shared" si="5"/>
        <v>3.5499999999999972</v>
      </c>
    </row>
    <row r="94" spans="2:19" x14ac:dyDescent="0.4">
      <c r="B94" s="3773"/>
      <c r="C94" s="481" t="s">
        <v>139</v>
      </c>
      <c r="D94" s="482" t="s">
        <v>251</v>
      </c>
      <c r="E94" s="483">
        <f t="shared" si="7"/>
        <v>4.33</v>
      </c>
      <c r="F94" s="484">
        <f t="shared" si="6"/>
        <v>28.892777777777773</v>
      </c>
      <c r="G94" s="485" t="s">
        <v>256</v>
      </c>
      <c r="H94" s="484">
        <f>IF(D94="operation",VLOOKUP(G94,'Generic Vertical Port Tasks'!C$4:D$197,2,FALSE),"N/A")</f>
        <v>4.33</v>
      </c>
      <c r="I94" s="485"/>
      <c r="J94" s="486"/>
      <c r="K94" s="486"/>
      <c r="L94" s="487" t="str">
        <f>IFERROR(INDEX('Upper Hot Cell Logistics'!$I$35:$O$41,MATCH($J94,'Upper Hot Cell Logistics'!$H$35:$H$41,0),MATCH($K94,'Upper Hot Cell Logistics'!$H$35:$H$41,0)),"N/A")</f>
        <v>N/A</v>
      </c>
      <c r="M94" s="487" t="str">
        <f>IFERROR(VLOOKUP($I94,'Upper Hot Cell Logistics'!$H$4:$I$10,2,FALSE),"N/A")</f>
        <v>N/A</v>
      </c>
      <c r="N94" s="484" t="str">
        <f t="shared" si="8"/>
        <v>N/A</v>
      </c>
      <c r="O94" s="488"/>
      <c r="P94" s="483" t="str">
        <f>IF($D94="Logistics",VLOOKUP($O94,'Upper Hot Cell Logistics'!$C$4:$D$51,2,FALSE),"N/A")</f>
        <v>N/A</v>
      </c>
      <c r="Q94" s="489"/>
      <c r="R94" s="483" t="str">
        <f>IFERROR(VLOOKUP($Q94,'Upper Hot Cell Dependencies'!$C$5:$F$229,4,FALSE),"N/A")</f>
        <v>N/A</v>
      </c>
      <c r="S94" s="484" t="str">
        <f t="shared" si="5"/>
        <v>N/A</v>
      </c>
    </row>
    <row r="95" spans="2:19" x14ac:dyDescent="0.4">
      <c r="B95" s="3773"/>
      <c r="C95" s="481" t="s">
        <v>862</v>
      </c>
      <c r="D95" s="482" t="s">
        <v>778</v>
      </c>
      <c r="E95" s="483">
        <f t="shared" si="7"/>
        <v>0.69444444444444442</v>
      </c>
      <c r="F95" s="484">
        <f t="shared" si="6"/>
        <v>29.587222222222216</v>
      </c>
      <c r="G95" s="485"/>
      <c r="H95" s="484" t="str">
        <f>IF(D95="operation",VLOOKUP(G95,'Generic Vertical Port Tasks'!C$4:D$197,2,FALSE),"N/A")</f>
        <v>N/A</v>
      </c>
      <c r="I95" s="485" t="s">
        <v>857</v>
      </c>
      <c r="J95" s="486" t="s">
        <v>858</v>
      </c>
      <c r="K95" s="486" t="s">
        <v>452</v>
      </c>
      <c r="L95" s="487">
        <f>IFERROR(INDEX('Upper Hot Cell Logistics'!$I$35:$O$41,MATCH($J95,'Upper Hot Cell Logistics'!$H$35:$H$41,0),MATCH($K95,'Upper Hot Cell Logistics'!$H$35:$H$41,0)),"N/A")</f>
        <v>50</v>
      </c>
      <c r="M95" s="487">
        <f>IFERROR(VLOOKUP($I95,'Upper Hot Cell Logistics'!$H$4:$I$10,2,FALSE),"N/A")</f>
        <v>0.02</v>
      </c>
      <c r="N95" s="484">
        <f t="shared" si="8"/>
        <v>0.69444444444444442</v>
      </c>
      <c r="O95" s="488"/>
      <c r="P95" s="483" t="str">
        <f>IF($D95="Logistics",VLOOKUP($O95,'Upper Hot Cell Logistics'!$C$4:$D$51,2,FALSE),"N/A")</f>
        <v>N/A</v>
      </c>
      <c r="Q95" s="489" t="s">
        <v>863</v>
      </c>
      <c r="R95" s="483">
        <f>IFERROR(VLOOKUP($Q95,'Upper Hot Cell Dependencies'!$C$5:$F$229,4,FALSE),"N/A")</f>
        <v>25.342777777777776</v>
      </c>
      <c r="S95" s="484">
        <f t="shared" si="5"/>
        <v>3.5499999999999972</v>
      </c>
    </row>
    <row r="96" spans="2:19" x14ac:dyDescent="0.4">
      <c r="B96" s="3773"/>
      <c r="C96" s="481" t="s">
        <v>137</v>
      </c>
      <c r="D96" s="482" t="s">
        <v>251</v>
      </c>
      <c r="E96" s="483">
        <f t="shared" si="7"/>
        <v>4.33</v>
      </c>
      <c r="F96" s="484">
        <f t="shared" si="6"/>
        <v>33.917222222222215</v>
      </c>
      <c r="G96" s="485" t="s">
        <v>256</v>
      </c>
      <c r="H96" s="484">
        <f>IF(D96="operation",VLOOKUP(G96,'Generic Vertical Port Tasks'!C$4:D$197,2,FALSE),"N/A")</f>
        <v>4.33</v>
      </c>
      <c r="I96" s="485"/>
      <c r="J96" s="486"/>
      <c r="K96" s="486"/>
      <c r="L96" s="487" t="str">
        <f>IFERROR(INDEX('Upper Hot Cell Logistics'!$I$35:$O$41,MATCH($J96,'Upper Hot Cell Logistics'!$H$35:$H$41,0),MATCH($K96,'Upper Hot Cell Logistics'!$H$35:$H$41,0)),"N/A")</f>
        <v>N/A</v>
      </c>
      <c r="M96" s="487" t="str">
        <f>IFERROR(VLOOKUP($I96,'Upper Hot Cell Logistics'!$H$4:$I$10,2,FALSE),"N/A")</f>
        <v>N/A</v>
      </c>
      <c r="N96" s="484" t="str">
        <f t="shared" si="8"/>
        <v>N/A</v>
      </c>
      <c r="O96" s="488"/>
      <c r="P96" s="483" t="str">
        <f>IF($D96="Logistics",VLOOKUP($O96,'Upper Hot Cell Logistics'!$C$4:$D$51,2,FALSE),"N/A")</f>
        <v>N/A</v>
      </c>
      <c r="Q96" s="489"/>
      <c r="R96" s="483" t="str">
        <f>IFERROR(VLOOKUP($Q96,'Upper Hot Cell Dependencies'!$C$5:$F$229,4,FALSE),"N/A")</f>
        <v>N/A</v>
      </c>
      <c r="S96" s="484" t="str">
        <f t="shared" si="5"/>
        <v>N/A</v>
      </c>
    </row>
    <row r="97" spans="2:19" x14ac:dyDescent="0.4">
      <c r="B97" s="3773"/>
      <c r="C97" s="490" t="s">
        <v>864</v>
      </c>
      <c r="D97" s="482" t="s">
        <v>778</v>
      </c>
      <c r="E97" s="483">
        <f t="shared" si="7"/>
        <v>0.69444444444444442</v>
      </c>
      <c r="F97" s="484">
        <f t="shared" si="6"/>
        <v>34.611666666666657</v>
      </c>
      <c r="G97" s="485"/>
      <c r="H97" s="484" t="str">
        <f>IF(D97="operation",VLOOKUP(G97,'Generic Vertical Port Tasks'!C$4:D$197,2,FALSE),"N/A")</f>
        <v>N/A</v>
      </c>
      <c r="I97" s="485" t="s">
        <v>857</v>
      </c>
      <c r="J97" s="486" t="s">
        <v>858</v>
      </c>
      <c r="K97" s="486" t="s">
        <v>452</v>
      </c>
      <c r="L97" s="487">
        <f>IFERROR(INDEX('Upper Hot Cell Logistics'!$I$35:$O$41,MATCH($J97,'Upper Hot Cell Logistics'!$H$35:$H$41,0),MATCH($K97,'Upper Hot Cell Logistics'!$H$35:$H$41,0)),"N/A")</f>
        <v>50</v>
      </c>
      <c r="M97" s="487">
        <f>IFERROR(VLOOKUP($I97,'Upper Hot Cell Logistics'!$H$4:$I$10,2,FALSE),"N/A")</f>
        <v>0.02</v>
      </c>
      <c r="N97" s="484">
        <f t="shared" si="8"/>
        <v>0.69444444444444442</v>
      </c>
      <c r="O97" s="488"/>
      <c r="P97" s="483" t="str">
        <f>IF($D97="Logistics",VLOOKUP($O97,'Upper Hot Cell Logistics'!$C$4:$D$51,2,FALSE),"N/A")</f>
        <v>N/A</v>
      </c>
      <c r="Q97" s="489" t="s">
        <v>865</v>
      </c>
      <c r="R97" s="483">
        <f>IFERROR(VLOOKUP($Q97,'Upper Hot Cell Dependencies'!$C$5:$F$229,4,FALSE),"N/A")</f>
        <v>30.367222222222217</v>
      </c>
      <c r="S97" s="484">
        <f t="shared" si="5"/>
        <v>3.5499999999999972</v>
      </c>
    </row>
    <row r="98" spans="2:19" x14ac:dyDescent="0.4">
      <c r="B98" s="3773"/>
      <c r="C98" s="481" t="s">
        <v>133</v>
      </c>
      <c r="D98" s="482" t="s">
        <v>251</v>
      </c>
      <c r="E98" s="483">
        <f t="shared" si="7"/>
        <v>4.33</v>
      </c>
      <c r="F98" s="484">
        <f t="shared" si="6"/>
        <v>38.941666666666656</v>
      </c>
      <c r="G98" s="485" t="s">
        <v>256</v>
      </c>
      <c r="H98" s="484">
        <f>IF(D98="operation",VLOOKUP(G98,'Generic Vertical Port Tasks'!C$4:D$197,2,FALSE),"N/A")</f>
        <v>4.33</v>
      </c>
      <c r="I98" s="485"/>
      <c r="J98" s="486"/>
      <c r="K98" s="486"/>
      <c r="L98" s="487" t="str">
        <f>IFERROR(INDEX('Upper Hot Cell Logistics'!$I$35:$O$41,MATCH($J98,'Upper Hot Cell Logistics'!$H$35:$H$41,0),MATCH($K98,'Upper Hot Cell Logistics'!$H$35:$H$41,0)),"N/A")</f>
        <v>N/A</v>
      </c>
      <c r="M98" s="487" t="str">
        <f>IFERROR(VLOOKUP($I98,'Upper Hot Cell Logistics'!$H$4:$I$10,2,FALSE),"N/A")</f>
        <v>N/A</v>
      </c>
      <c r="N98" s="484" t="str">
        <f t="shared" si="8"/>
        <v>N/A</v>
      </c>
      <c r="O98" s="488"/>
      <c r="P98" s="483" t="str">
        <f>IF($D98="Logistics",VLOOKUP($O98,'Upper Hot Cell Logistics'!$C$4:$D$51,2,FALSE),"N/A")</f>
        <v>N/A</v>
      </c>
      <c r="Q98" s="489"/>
      <c r="R98" s="483" t="str">
        <f>IFERROR(VLOOKUP($Q98,'Upper Hot Cell Dependencies'!$C$5:$F$229,4,FALSE),"N/A")</f>
        <v>N/A</v>
      </c>
      <c r="S98" s="484" t="str">
        <f t="shared" si="5"/>
        <v>N/A</v>
      </c>
    </row>
    <row r="99" spans="2:19" x14ac:dyDescent="0.4">
      <c r="B99" s="3773"/>
      <c r="C99" s="481" t="s">
        <v>866</v>
      </c>
      <c r="D99" s="482" t="s">
        <v>778</v>
      </c>
      <c r="E99" s="483">
        <f t="shared" si="7"/>
        <v>0.69444444444444442</v>
      </c>
      <c r="F99" s="484">
        <f t="shared" si="6"/>
        <v>39.636111111111099</v>
      </c>
      <c r="G99" s="485"/>
      <c r="H99" s="484" t="str">
        <f>IF(D99="operation",VLOOKUP(G99,'Generic Vertical Port Tasks'!C$4:D$197,2,FALSE),"N/A")</f>
        <v>N/A</v>
      </c>
      <c r="I99" s="485" t="s">
        <v>857</v>
      </c>
      <c r="J99" s="486" t="s">
        <v>858</v>
      </c>
      <c r="K99" s="486" t="s">
        <v>452</v>
      </c>
      <c r="L99" s="487">
        <f>IFERROR(INDEX('Upper Hot Cell Logistics'!$I$35:$O$41,MATCH($J99,'Upper Hot Cell Logistics'!$H$35:$H$41,0),MATCH($K99,'Upper Hot Cell Logistics'!$H$35:$H$41,0)),"N/A")</f>
        <v>50</v>
      </c>
      <c r="M99" s="487">
        <f>IFERROR(VLOOKUP($I99,'Upper Hot Cell Logistics'!$H$4:$I$10,2,FALSE),"N/A")</f>
        <v>0.02</v>
      </c>
      <c r="N99" s="484">
        <f t="shared" si="8"/>
        <v>0.69444444444444442</v>
      </c>
      <c r="O99" s="488"/>
      <c r="P99" s="483" t="str">
        <f>IF($D99="Logistics",VLOOKUP($O99,'Upper Hot Cell Logistics'!$C$4:$D$51,2,FALSE),"N/A")</f>
        <v>N/A</v>
      </c>
      <c r="Q99" s="489" t="s">
        <v>867</v>
      </c>
      <c r="R99" s="483">
        <f>IFERROR(VLOOKUP($Q99,'Upper Hot Cell Dependencies'!$C$5:$F$229,4,FALSE),"N/A")</f>
        <v>35.391666666666659</v>
      </c>
      <c r="S99" s="484">
        <f t="shared" si="5"/>
        <v>3.5499999999999972</v>
      </c>
    </row>
    <row r="100" spans="2:19" ht="15" thickBot="1" x14ac:dyDescent="0.45">
      <c r="B100" s="3889"/>
      <c r="C100" s="491" t="s">
        <v>134</v>
      </c>
      <c r="D100" s="492" t="s">
        <v>251</v>
      </c>
      <c r="E100" s="493">
        <f t="shared" si="7"/>
        <v>4.33</v>
      </c>
      <c r="F100" s="484">
        <f t="shared" si="6"/>
        <v>43.966111111111097</v>
      </c>
      <c r="G100" s="494" t="s">
        <v>256</v>
      </c>
      <c r="H100" s="495">
        <f>IF(D100="operation",VLOOKUP(G100,'Generic Vertical Port Tasks'!C$4:D$197,2,FALSE),"N/A")</f>
        <v>4.33</v>
      </c>
      <c r="I100" s="494"/>
      <c r="J100" s="496"/>
      <c r="K100" s="496"/>
      <c r="L100" s="497" t="str">
        <f>IFERROR(INDEX('Upper Hot Cell Logistics'!$I$35:$O$41,MATCH($J100,'Upper Hot Cell Logistics'!$H$35:$H$41,0),MATCH($K100,'Upper Hot Cell Logistics'!$H$35:$H$41,0)),"N/A")</f>
        <v>N/A</v>
      </c>
      <c r="M100" s="497" t="str">
        <f>IFERROR(VLOOKUP($I100,'Upper Hot Cell Logistics'!$H$4:$I$10,2,FALSE),"N/A")</f>
        <v>N/A</v>
      </c>
      <c r="N100" s="495" t="str">
        <f t="shared" si="8"/>
        <v>N/A</v>
      </c>
      <c r="O100" s="498"/>
      <c r="P100" s="493" t="str">
        <f>IF($D100="Logistics",VLOOKUP($O100,'Upper Hot Cell Logistics'!$C$4:$D$51,2,FALSE),"N/A")</f>
        <v>N/A</v>
      </c>
      <c r="Q100" s="500"/>
      <c r="R100" s="493" t="str">
        <f>IFERROR(VLOOKUP($Q100,'Upper Hot Cell Dependencies'!$C$5:$F$229,4,FALSE),"N/A")</f>
        <v>N/A</v>
      </c>
      <c r="S100" s="495" t="str">
        <f t="shared" si="5"/>
        <v>N/A</v>
      </c>
    </row>
    <row r="101" spans="2:19" ht="29.15" x14ac:dyDescent="0.4">
      <c r="B101" s="3886" t="s">
        <v>117</v>
      </c>
      <c r="C101" s="501" t="s">
        <v>826</v>
      </c>
      <c r="D101" s="370" t="s">
        <v>778</v>
      </c>
      <c r="E101" s="326">
        <f t="shared" si="7"/>
        <v>6.9444444444444448E-2</v>
      </c>
      <c r="F101" s="327">
        <f t="shared" si="6"/>
        <v>44.03555555555554</v>
      </c>
      <c r="G101" s="501"/>
      <c r="H101" s="327" t="str">
        <f>IF(D101="operation",VLOOKUP(G101,'Generic Vertical Port Tasks'!C$4:D$197,2,FALSE),"N/A")</f>
        <v>N/A</v>
      </c>
      <c r="I101" s="502" t="s">
        <v>798</v>
      </c>
      <c r="J101" s="374" t="s">
        <v>858</v>
      </c>
      <c r="K101" s="374" t="s">
        <v>452</v>
      </c>
      <c r="L101" s="375">
        <f>IFERROR(INDEX('Upper Hot Cell Logistics'!$I$35:$O$41,MATCH($J101,'Upper Hot Cell Logistics'!$H$35:$H$41,0),MATCH($K101,'Upper Hot Cell Logistics'!$H$35:$H$41,0)),"N/A")</f>
        <v>50</v>
      </c>
      <c r="M101" s="375">
        <f>IFERROR(VLOOKUP($I101,'Upper Hot Cell Logistics'!$H$4:$I$10,2,FALSE),"N/A")</f>
        <v>0.2</v>
      </c>
      <c r="N101" s="327">
        <f t="shared" si="8"/>
        <v>6.9444444444444448E-2</v>
      </c>
      <c r="O101" s="376"/>
      <c r="P101" s="326" t="str">
        <f>IF($D101="Logistics",VLOOKUP($O101,'Upper Hot Cell Logistics'!$C$4:$D$51,2,FALSE),"N/A")</f>
        <v>N/A</v>
      </c>
      <c r="Q101" s="378" t="s">
        <v>868</v>
      </c>
      <c r="R101" s="326" t="str">
        <f>IFERROR(VLOOKUP($Q101,'Upper Hot Cell Dependencies'!$C$5:$F$229,4,FALSE),"N/A")</f>
        <v>N/A</v>
      </c>
      <c r="S101" s="327" t="str">
        <f t="shared" si="5"/>
        <v>N/A</v>
      </c>
    </row>
    <row r="102" spans="2:19" ht="15" thickBot="1" x14ac:dyDescent="0.45">
      <c r="B102" s="3887"/>
      <c r="C102" s="503" t="s">
        <v>117</v>
      </c>
      <c r="D102" s="393" t="s">
        <v>251</v>
      </c>
      <c r="E102" s="349">
        <f t="shared" si="7"/>
        <v>4.0949999999999998</v>
      </c>
      <c r="F102" s="350">
        <f t="shared" si="6"/>
        <v>48.130555555555539</v>
      </c>
      <c r="G102" s="503" t="s">
        <v>35</v>
      </c>
      <c r="H102" s="350">
        <f>IF(D102="operation",VLOOKUP(G102,'Generic Vertical Port Tasks'!C$4:D$197,2,FALSE),"N/A")</f>
        <v>4.0949999999999998</v>
      </c>
      <c r="I102" s="396"/>
      <c r="J102" s="397"/>
      <c r="K102" s="397"/>
      <c r="L102" s="398" t="str">
        <f>IFERROR(INDEX('Upper Hot Cell Logistics'!$I$35:$O$41,MATCH($J102,'Upper Hot Cell Logistics'!$H$35:$H$41,0),MATCH($K102,'Upper Hot Cell Logistics'!$H$35:$H$41,0)),"N/A")</f>
        <v>N/A</v>
      </c>
      <c r="M102" s="398" t="str">
        <f>IFERROR(VLOOKUP($I102,'Upper Hot Cell Logistics'!$H$4:$I$10,2,FALSE),"N/A")</f>
        <v>N/A</v>
      </c>
      <c r="N102" s="350" t="str">
        <f t="shared" si="8"/>
        <v>N/A</v>
      </c>
      <c r="O102" s="399"/>
      <c r="P102" s="349" t="str">
        <f>IF($D102="Logistics",VLOOKUP($O102,'Upper Hot Cell Logistics'!$C$4:$D$51,2,FALSE),"N/A")</f>
        <v>N/A</v>
      </c>
      <c r="Q102" s="401"/>
      <c r="R102" s="349" t="str">
        <f>IFERROR(VLOOKUP($Q102,'Upper Hot Cell Dependencies'!$C$5:$F$229,4,FALSE),"N/A")</f>
        <v>N/A</v>
      </c>
      <c r="S102" s="350" t="str">
        <f t="shared" si="5"/>
        <v>N/A</v>
      </c>
    </row>
    <row r="103" spans="2:19" x14ac:dyDescent="0.4">
      <c r="B103" s="3888" t="s">
        <v>869</v>
      </c>
      <c r="C103" s="472" t="s">
        <v>820</v>
      </c>
      <c r="D103" s="473" t="s">
        <v>778</v>
      </c>
      <c r="E103" s="474">
        <f t="shared" si="7"/>
        <v>0.69444444444444442</v>
      </c>
      <c r="F103" s="475">
        <f t="shared" si="6"/>
        <v>48.824999999999982</v>
      </c>
      <c r="G103" s="504"/>
      <c r="H103" s="505" t="str">
        <f>IF(D103="operation",VLOOKUP(G103,'Generic Vertical Port Tasks'!C$4:D$197,2,FALSE),"N/A")</f>
        <v>N/A</v>
      </c>
      <c r="I103" s="504" t="s">
        <v>857</v>
      </c>
      <c r="J103" s="506" t="s">
        <v>858</v>
      </c>
      <c r="K103" s="506" t="s">
        <v>452</v>
      </c>
      <c r="L103" s="507">
        <f>IFERROR(INDEX('Upper Hot Cell Logistics'!$I$35:$O$41,MATCH($J103,'Upper Hot Cell Logistics'!$H$35:$H$41,0),MATCH($K103,'Upper Hot Cell Logistics'!$H$35:$H$41,0)),"N/A")</f>
        <v>50</v>
      </c>
      <c r="M103" s="507">
        <f>IFERROR(VLOOKUP($I103,'Upper Hot Cell Logistics'!$H$4:$I$10,2,FALSE),"N/A")</f>
        <v>0.02</v>
      </c>
      <c r="N103" s="505">
        <f t="shared" si="8"/>
        <v>0.69444444444444442</v>
      </c>
      <c r="O103" s="508"/>
      <c r="P103" s="511" t="str">
        <f>IF($D103="Logistics",VLOOKUP($O103,'Upper Hot Cell Logistics'!$C$4:$D$51,2,FALSE),"N/A")</f>
        <v>N/A</v>
      </c>
      <c r="Q103" s="512"/>
      <c r="R103" s="483" t="str">
        <f>IFERROR(VLOOKUP($Q103,'Upper Hot Cell Dependencies'!$C$5:$F$229,4,FALSE),"N/A")</f>
        <v>N/A</v>
      </c>
      <c r="S103" s="505" t="str">
        <f t="shared" si="5"/>
        <v>N/A</v>
      </c>
    </row>
    <row r="104" spans="2:19" x14ac:dyDescent="0.4">
      <c r="B104" s="3773"/>
      <c r="C104" s="481" t="s">
        <v>870</v>
      </c>
      <c r="D104" s="482" t="s">
        <v>251</v>
      </c>
      <c r="E104" s="483">
        <f>MAX($P104,$N104,$H104)</f>
        <v>24.022732551873563</v>
      </c>
      <c r="F104" s="484">
        <f t="shared" si="6"/>
        <v>72.847732551873548</v>
      </c>
      <c r="G104" s="485" t="s">
        <v>2492</v>
      </c>
      <c r="H104" s="484">
        <f>IF(D104="operation",VLOOKUP(G104,'Generic Vertical Port Tasks'!C$4:D$197,2,FALSE),"N/A")</f>
        <v>24.022732551873563</v>
      </c>
      <c r="I104" s="485"/>
      <c r="J104" s="486"/>
      <c r="K104" s="486"/>
      <c r="L104" s="487" t="str">
        <f>IFERROR(INDEX('Upper Hot Cell Logistics'!$I$35:$O$41,MATCH($J104,'Upper Hot Cell Logistics'!$H$35:$H$41,0),MATCH($K104,'Upper Hot Cell Logistics'!$H$35:$H$41,0)),"N/A")</f>
        <v>N/A</v>
      </c>
      <c r="M104" s="487" t="str">
        <f>IFERROR(VLOOKUP($I104,'Upper Hot Cell Logistics'!$H$4:$I$10,2,FALSE),"N/A")</f>
        <v>N/A</v>
      </c>
      <c r="N104" s="484" t="str">
        <f t="shared" si="8"/>
        <v>N/A</v>
      </c>
      <c r="O104" s="488"/>
      <c r="P104" s="483" t="str">
        <f>IF($D104="Logistics",VLOOKUP($O104,'Upper Hot Cell Logistics'!$C$4:$D$51,2,FALSE),"N/A")</f>
        <v>N/A</v>
      </c>
      <c r="Q104" s="489" t="s">
        <v>871</v>
      </c>
      <c r="R104" s="483">
        <f>IFERROR(VLOOKUP($Q104,'Upper Hot Cell Dependencies'!$C$5:$F$229,4,FALSE),"N/A")</f>
        <v>46.534444444444425</v>
      </c>
      <c r="S104" s="484">
        <f t="shared" si="5"/>
        <v>2.2905555555555566</v>
      </c>
    </row>
    <row r="105" spans="2:19" x14ac:dyDescent="0.4">
      <c r="B105" s="3773"/>
      <c r="C105" s="481" t="s">
        <v>811</v>
      </c>
      <c r="D105" s="482" t="s">
        <v>778</v>
      </c>
      <c r="E105" s="483">
        <f t="shared" si="7"/>
        <v>0.20833333333333334</v>
      </c>
      <c r="F105" s="484">
        <f t="shared" si="6"/>
        <v>73.056065885206877</v>
      </c>
      <c r="G105" s="485"/>
      <c r="H105" s="484" t="str">
        <f>IF(D105="operation",VLOOKUP(G105,'Generic Vertical Port Tasks'!C$4:D$197,2,FALSE),"N/A")</f>
        <v>N/A</v>
      </c>
      <c r="I105" s="485" t="s">
        <v>12</v>
      </c>
      <c r="J105" s="486" t="s">
        <v>816</v>
      </c>
      <c r="K105" s="486" t="s">
        <v>452</v>
      </c>
      <c r="L105" s="487">
        <f>IFERROR(INDEX('Upper Hot Cell Logistics'!$I$35:$O$41,MATCH($J105,'Upper Hot Cell Logistics'!$H$35:$H$41,0),MATCH($K105,'Upper Hot Cell Logistics'!$H$35:$H$41,0)),"N/A")</f>
        <v>15</v>
      </c>
      <c r="M105" s="487">
        <f>IFERROR(VLOOKUP($I105,'Upper Hot Cell Logistics'!$H$4:$I$10,2,FALSE),"N/A")</f>
        <v>0.02</v>
      </c>
      <c r="N105" s="484">
        <f t="shared" si="8"/>
        <v>0.20833333333333334</v>
      </c>
      <c r="O105" s="488"/>
      <c r="P105" s="483" t="str">
        <f>IF($D105="Logistics",VLOOKUP($O105,'Upper Hot Cell Logistics'!$C$4:$D$51,2,FALSE),"N/A")</f>
        <v>N/A</v>
      </c>
      <c r="Q105" s="489"/>
      <c r="R105" s="483" t="str">
        <f>IFERROR(VLOOKUP($Q105,'Upper Hot Cell Dependencies'!$C$5:$F$229,4,FALSE),"N/A")</f>
        <v>N/A</v>
      </c>
      <c r="S105" s="484" t="str">
        <f t="shared" si="5"/>
        <v>N/A</v>
      </c>
    </row>
    <row r="106" spans="2:19" ht="15" thickBot="1" x14ac:dyDescent="0.45">
      <c r="B106" s="3889"/>
      <c r="C106" s="491" t="s">
        <v>872</v>
      </c>
      <c r="D106" s="492" t="s">
        <v>251</v>
      </c>
      <c r="E106" s="493">
        <f t="shared" si="7"/>
        <v>7.83</v>
      </c>
      <c r="F106" s="495">
        <f t="shared" si="6"/>
        <v>80.886065885206875</v>
      </c>
      <c r="G106" s="494" t="s">
        <v>257</v>
      </c>
      <c r="H106" s="495">
        <f>IF(D106="operation",VLOOKUP(G106,'Generic Vertical Port Tasks'!C$4:D$197,2,FALSE),"N/A")</f>
        <v>7.83</v>
      </c>
      <c r="I106" s="494"/>
      <c r="J106" s="496"/>
      <c r="K106" s="496"/>
      <c r="L106" s="497" t="str">
        <f>IFERROR(INDEX('Upper Hot Cell Logistics'!$I$35:$O$41,MATCH($J106,'Upper Hot Cell Logistics'!$H$35:$H$41,0),MATCH($K106,'Upper Hot Cell Logistics'!$H$35:$H$41,0)),"N/A")</f>
        <v>N/A</v>
      </c>
      <c r="M106" s="497" t="str">
        <f>IFERROR(VLOOKUP($I106,'Upper Hot Cell Logistics'!$H$4:$I$10,2,FALSE),"N/A")</f>
        <v>N/A</v>
      </c>
      <c r="N106" s="495" t="str">
        <f t="shared" si="8"/>
        <v>N/A</v>
      </c>
      <c r="O106" s="498"/>
      <c r="P106" s="493" t="str">
        <f>IF($D106="Logistics",VLOOKUP($O106,'Upper Hot Cell Logistics'!$C$4:$D$51,2,FALSE),"N/A")</f>
        <v>N/A</v>
      </c>
      <c r="Q106" s="500"/>
      <c r="R106" s="493" t="str">
        <f>IFERROR(VLOOKUP($Q106,'Upper Hot Cell Dependencies'!$C$5:$F$229,4,FALSE),"N/A")</f>
        <v>N/A</v>
      </c>
      <c r="S106" s="495" t="str">
        <f t="shared" si="5"/>
        <v>N/A</v>
      </c>
    </row>
    <row r="107" spans="2:19" x14ac:dyDescent="0.4">
      <c r="B107" s="3886" t="s">
        <v>873</v>
      </c>
      <c r="C107" s="369" t="s">
        <v>826</v>
      </c>
      <c r="D107" s="370" t="s">
        <v>778</v>
      </c>
      <c r="E107" s="326">
        <f t="shared" si="7"/>
        <v>6.9444444444444448E-2</v>
      </c>
      <c r="F107" s="327">
        <f t="shared" si="6"/>
        <v>80.955510329651318</v>
      </c>
      <c r="G107" s="501"/>
      <c r="H107" s="327" t="str">
        <f>IF(D107="operation",VLOOKUP(G107,'Generic Vertical Port Tasks'!C$4:D$197,2,FALSE),"N/A")</f>
        <v>N/A</v>
      </c>
      <c r="I107" s="502" t="s">
        <v>798</v>
      </c>
      <c r="J107" s="374" t="s">
        <v>858</v>
      </c>
      <c r="K107" s="374" t="s">
        <v>452</v>
      </c>
      <c r="L107" s="375">
        <f>IFERROR(INDEX('Upper Hot Cell Logistics'!$I$35:$O$41,MATCH($J107,'Upper Hot Cell Logistics'!$H$35:$H$41,0),MATCH($K107,'Upper Hot Cell Logistics'!$H$35:$H$41,0)),"N/A")</f>
        <v>50</v>
      </c>
      <c r="M107" s="375">
        <f>IFERROR(VLOOKUP($I107,'Upper Hot Cell Logistics'!$H$4:$I$10,2,FALSE),"N/A")</f>
        <v>0.2</v>
      </c>
      <c r="N107" s="327">
        <f t="shared" si="8"/>
        <v>6.9444444444444448E-2</v>
      </c>
      <c r="O107" s="376"/>
      <c r="P107" s="326" t="str">
        <f>IF($D107="Logistics",VLOOKUP($O107,'Upper Hot Cell Logistics'!$C$4:$D$51,2,FALSE),"N/A")</f>
        <v>N/A</v>
      </c>
      <c r="Q107" s="378" t="s">
        <v>874</v>
      </c>
      <c r="R107" s="326" t="str">
        <f>IFERROR(VLOOKUP($Q107,'Upper Hot Cell Dependencies'!$C$5:$F$229,4,FALSE),"N/A")</f>
        <v>N/A</v>
      </c>
      <c r="S107" s="327" t="str">
        <f t="shared" si="5"/>
        <v>N/A</v>
      </c>
    </row>
    <row r="108" spans="2:19" ht="15" thickBot="1" x14ac:dyDescent="0.45">
      <c r="B108" s="3887"/>
      <c r="C108" s="503" t="s">
        <v>118</v>
      </c>
      <c r="D108" s="393" t="s">
        <v>251</v>
      </c>
      <c r="E108" s="349">
        <f t="shared" si="7"/>
        <v>4.0949999999999998</v>
      </c>
      <c r="F108" s="350">
        <f t="shared" si="6"/>
        <v>85.050510329651317</v>
      </c>
      <c r="G108" s="503" t="s">
        <v>35</v>
      </c>
      <c r="H108" s="350">
        <f>IF(D108="operation",VLOOKUP(G108,'Generic Vertical Port Tasks'!C$4:D$197,2,FALSE),"N/A")</f>
        <v>4.0949999999999998</v>
      </c>
      <c r="I108" s="396"/>
      <c r="J108" s="397"/>
      <c r="K108" s="397"/>
      <c r="L108" s="398" t="str">
        <f>IFERROR(INDEX('Upper Hot Cell Logistics'!$I$35:$O$41,MATCH($J108,'Upper Hot Cell Logistics'!$H$35:$H$41,0),MATCH($K108,'Upper Hot Cell Logistics'!$H$35:$H$41,0)),"N/A")</f>
        <v>N/A</v>
      </c>
      <c r="M108" s="398" t="str">
        <f>IFERROR(VLOOKUP($I108,'Upper Hot Cell Logistics'!$H$4:$I$10,2,FALSE),"N/A")</f>
        <v>N/A</v>
      </c>
      <c r="N108" s="350" t="str">
        <f t="shared" si="8"/>
        <v>N/A</v>
      </c>
      <c r="O108" s="399"/>
      <c r="P108" s="349" t="str">
        <f>IF($D108="Logistics",VLOOKUP($O108,'Upper Hot Cell Logistics'!$C$4:$D$51,2,FALSE),"N/A")</f>
        <v>N/A</v>
      </c>
      <c r="Q108" s="401"/>
      <c r="R108" s="349" t="str">
        <f>IFERROR(VLOOKUP($Q108,'Upper Hot Cell Dependencies'!$C$5:$F$229,4,FALSE),"N/A")</f>
        <v>N/A</v>
      </c>
      <c r="S108" s="350" t="str">
        <f t="shared" si="5"/>
        <v>N/A</v>
      </c>
    </row>
    <row r="109" spans="2:19" x14ac:dyDescent="0.4">
      <c r="B109" s="3888" t="s">
        <v>875</v>
      </c>
      <c r="C109" s="509" t="s">
        <v>820</v>
      </c>
      <c r="D109" s="510" t="s">
        <v>778</v>
      </c>
      <c r="E109" s="511">
        <f t="shared" si="7"/>
        <v>0.69444444444444442</v>
      </c>
      <c r="F109" s="505">
        <f t="shared" si="6"/>
        <v>85.74495477409576</v>
      </c>
      <c r="G109" s="504"/>
      <c r="H109" s="505" t="str">
        <f>IF(D109="operation",VLOOKUP(G109,'Generic Vertical Port Tasks'!C$4:D$197,2,FALSE),"N/A")</f>
        <v>N/A</v>
      </c>
      <c r="I109" s="504" t="s">
        <v>857</v>
      </c>
      <c r="J109" s="506" t="s">
        <v>858</v>
      </c>
      <c r="K109" s="506" t="s">
        <v>452</v>
      </c>
      <c r="L109" s="507">
        <f>IFERROR(INDEX('Upper Hot Cell Logistics'!$I$35:$O$41,MATCH($J109,'Upper Hot Cell Logistics'!$H$35:$H$41,0),MATCH($K109,'Upper Hot Cell Logistics'!$H$35:$H$41,0)),"N/A")</f>
        <v>50</v>
      </c>
      <c r="M109" s="507">
        <f>IFERROR(VLOOKUP($I109,'Upper Hot Cell Logistics'!$H$4:$I$10,2,FALSE),"N/A")</f>
        <v>0.02</v>
      </c>
      <c r="N109" s="505">
        <f t="shared" si="8"/>
        <v>0.69444444444444442</v>
      </c>
      <c r="O109" s="508"/>
      <c r="P109" s="511" t="str">
        <f>IF($D109="Logistics",VLOOKUP($O109,'Upper Hot Cell Logistics'!$C$4:$D$51,2,FALSE),"N/A")</f>
        <v>N/A</v>
      </c>
      <c r="Q109" s="512"/>
      <c r="R109" s="511" t="str">
        <f>IFERROR(VLOOKUP($Q109,'Upper Hot Cell Dependencies'!$C$5:$F$229,4,FALSE),"N/A")</f>
        <v>N/A</v>
      </c>
      <c r="S109" s="505" t="str">
        <f t="shared" si="5"/>
        <v>N/A</v>
      </c>
    </row>
    <row r="110" spans="2:19" x14ac:dyDescent="0.4">
      <c r="B110" s="3773"/>
      <c r="C110" s="481" t="s">
        <v>876</v>
      </c>
      <c r="D110" s="482" t="s">
        <v>251</v>
      </c>
      <c r="E110" s="483">
        <f t="shared" si="7"/>
        <v>24.022732551873563</v>
      </c>
      <c r="F110" s="484">
        <f t="shared" si="6"/>
        <v>109.76768732596932</v>
      </c>
      <c r="G110" s="485" t="s">
        <v>2492</v>
      </c>
      <c r="H110" s="484">
        <f>IF(D110="operation",VLOOKUP(G110,'Generic Vertical Port Tasks'!C$4:D$197,2,FALSE),"N/A")</f>
        <v>24.022732551873563</v>
      </c>
      <c r="I110" s="485"/>
      <c r="J110" s="486"/>
      <c r="K110" s="486"/>
      <c r="L110" s="487" t="str">
        <f>IFERROR(INDEX('Upper Hot Cell Logistics'!$I$35:$O$41,MATCH($J110,'Upper Hot Cell Logistics'!$H$35:$H$41,0),MATCH($K110,'Upper Hot Cell Logistics'!$H$35:$H$41,0)),"N/A")</f>
        <v>N/A</v>
      </c>
      <c r="M110" s="487" t="str">
        <f>IFERROR(VLOOKUP($I110,'Upper Hot Cell Logistics'!$H$4:$I$10,2,FALSE),"N/A")</f>
        <v>N/A</v>
      </c>
      <c r="N110" s="484" t="str">
        <f t="shared" si="8"/>
        <v>N/A</v>
      </c>
      <c r="O110" s="488"/>
      <c r="P110" s="483" t="str">
        <f>IF($D110="Logistics",VLOOKUP($O110,'Upper Hot Cell Logistics'!$C$4:$D$51,2,FALSE),"N/A")</f>
        <v>N/A</v>
      </c>
      <c r="Q110" s="489"/>
      <c r="R110" s="483" t="str">
        <f>IFERROR(VLOOKUP($Q110,'Upper Hot Cell Dependencies'!$C$5:$F$229,4,FALSE),"N/A")</f>
        <v>N/A</v>
      </c>
      <c r="S110" s="484" t="str">
        <f t="shared" si="5"/>
        <v>N/A</v>
      </c>
    </row>
    <row r="111" spans="2:19" x14ac:dyDescent="0.4">
      <c r="B111" s="3773"/>
      <c r="C111" s="481" t="s">
        <v>811</v>
      </c>
      <c r="D111" s="482" t="s">
        <v>778</v>
      </c>
      <c r="E111" s="483">
        <f t="shared" si="7"/>
        <v>0.20833333333333334</v>
      </c>
      <c r="F111" s="484">
        <f t="shared" si="6"/>
        <v>109.97602065930265</v>
      </c>
      <c r="G111" s="485"/>
      <c r="H111" s="484" t="str">
        <f>IF(D111="operation",VLOOKUP(G111,'Generic Vertical Port Tasks'!C$4:D$197,2,FALSE),"N/A")</f>
        <v>N/A</v>
      </c>
      <c r="I111" s="485" t="s">
        <v>12</v>
      </c>
      <c r="J111" s="486" t="s">
        <v>816</v>
      </c>
      <c r="K111" s="486" t="s">
        <v>452</v>
      </c>
      <c r="L111" s="487">
        <f>IFERROR(INDEX('Upper Hot Cell Logistics'!$I$35:$O$41,MATCH($J111,'Upper Hot Cell Logistics'!$H$35:$H$41,0),MATCH($K111,'Upper Hot Cell Logistics'!$H$35:$H$41,0)),"N/A")</f>
        <v>15</v>
      </c>
      <c r="M111" s="487">
        <f>IFERROR(VLOOKUP($I111,'Upper Hot Cell Logistics'!$H$4:$I$10,2,FALSE),"N/A")</f>
        <v>0.02</v>
      </c>
      <c r="N111" s="484">
        <f t="shared" si="8"/>
        <v>0.20833333333333334</v>
      </c>
      <c r="O111" s="488"/>
      <c r="P111" s="483" t="str">
        <f>IF($D111="Logistics",VLOOKUP($O111,'Upper Hot Cell Logistics'!$C$4:$D$51,2,FALSE),"N/A")</f>
        <v>N/A</v>
      </c>
      <c r="Q111" s="489"/>
      <c r="R111" s="483" t="str">
        <f>IFERROR(VLOOKUP($Q111,'Upper Hot Cell Dependencies'!$C$5:$F$229,4,FALSE),"N/A")</f>
        <v>N/A</v>
      </c>
      <c r="S111" s="484" t="str">
        <f t="shared" si="5"/>
        <v>N/A</v>
      </c>
    </row>
    <row r="112" spans="2:19" ht="15" thickBot="1" x14ac:dyDescent="0.45">
      <c r="B112" s="3889"/>
      <c r="C112" s="491" t="s">
        <v>877</v>
      </c>
      <c r="D112" s="492" t="s">
        <v>251</v>
      </c>
      <c r="E112" s="493">
        <f t="shared" si="7"/>
        <v>7.83</v>
      </c>
      <c r="F112" s="495">
        <f t="shared" si="6"/>
        <v>117.80602065930265</v>
      </c>
      <c r="G112" s="494" t="s">
        <v>257</v>
      </c>
      <c r="H112" s="495">
        <f>IF(D112="operation",VLOOKUP(G112,'Generic Vertical Port Tasks'!C$4:D$197,2,FALSE),"N/A")</f>
        <v>7.83</v>
      </c>
      <c r="I112" s="494"/>
      <c r="J112" s="496"/>
      <c r="K112" s="496"/>
      <c r="L112" s="497" t="str">
        <f>IFERROR(INDEX('Upper Hot Cell Logistics'!$I$35:$O$41,MATCH($J112,'Upper Hot Cell Logistics'!$H$35:$H$41,0),MATCH($K112,'Upper Hot Cell Logistics'!$H$35:$H$41,0)),"N/A")</f>
        <v>N/A</v>
      </c>
      <c r="M112" s="497" t="str">
        <f>IFERROR(VLOOKUP($I112,'Upper Hot Cell Logistics'!$H$4:$I$10,2,FALSE),"N/A")</f>
        <v>N/A</v>
      </c>
      <c r="N112" s="495" t="str">
        <f t="shared" si="8"/>
        <v>N/A</v>
      </c>
      <c r="O112" s="498"/>
      <c r="P112" s="493" t="str">
        <f>IF($D112="Logistics",VLOOKUP($O112,'Upper Hot Cell Logistics'!$C$4:$D$51,2,FALSE),"N/A")</f>
        <v>N/A</v>
      </c>
      <c r="Q112" s="500"/>
      <c r="R112" s="493" t="str">
        <f>IFERROR(VLOOKUP($Q112,'Upper Hot Cell Dependencies'!$C$5:$F$229,4,FALSE),"N/A")</f>
        <v>N/A</v>
      </c>
      <c r="S112" s="495" t="str">
        <f t="shared" si="5"/>
        <v>N/A</v>
      </c>
    </row>
    <row r="113" spans="2:19" x14ac:dyDescent="0.4">
      <c r="B113" s="3886" t="s">
        <v>878</v>
      </c>
      <c r="C113" s="369" t="s">
        <v>826</v>
      </c>
      <c r="D113" s="370" t="s">
        <v>778</v>
      </c>
      <c r="E113" s="326">
        <f t="shared" si="7"/>
        <v>6.9444444444444448E-2</v>
      </c>
      <c r="F113" s="327">
        <f t="shared" si="6"/>
        <v>117.87546510374709</v>
      </c>
      <c r="G113" s="501"/>
      <c r="H113" s="327" t="str">
        <f>IF(D113="operation",VLOOKUP(G113,'Generic Vertical Port Tasks'!C$4:D$197,2,FALSE),"N/A")</f>
        <v>N/A</v>
      </c>
      <c r="I113" s="502" t="s">
        <v>798</v>
      </c>
      <c r="J113" s="374" t="s">
        <v>858</v>
      </c>
      <c r="K113" s="374" t="s">
        <v>452</v>
      </c>
      <c r="L113" s="375">
        <f>IFERROR(INDEX('Upper Hot Cell Logistics'!$I$35:$O$41,MATCH($J113,'Upper Hot Cell Logistics'!$H$35:$H$41,0),MATCH($K113,'Upper Hot Cell Logistics'!$H$35:$H$41,0)),"N/A")</f>
        <v>50</v>
      </c>
      <c r="M113" s="375">
        <f>IFERROR(VLOOKUP($I113,'Upper Hot Cell Logistics'!$H$4:$I$10,2,FALSE),"N/A")</f>
        <v>0.2</v>
      </c>
      <c r="N113" s="327">
        <f t="shared" si="8"/>
        <v>6.9444444444444448E-2</v>
      </c>
      <c r="O113" s="376"/>
      <c r="P113" s="326" t="str">
        <f>IF($D113="Logistics",VLOOKUP($O113,'Upper Hot Cell Logistics'!$C$4:$D$51,2,FALSE),"N/A")</f>
        <v>N/A</v>
      </c>
      <c r="Q113" s="378" t="s">
        <v>879</v>
      </c>
      <c r="R113" s="326" t="str">
        <f>IFERROR(VLOOKUP($Q113,'Upper Hot Cell Dependencies'!$C$5:$F$229,4,FALSE),"N/A")</f>
        <v>N/A</v>
      </c>
      <c r="S113" s="327" t="str">
        <f t="shared" si="5"/>
        <v>N/A</v>
      </c>
    </row>
    <row r="114" spans="2:19" ht="15" thickBot="1" x14ac:dyDescent="0.45">
      <c r="B114" s="3887"/>
      <c r="C114" s="503" t="s">
        <v>119</v>
      </c>
      <c r="D114" s="393" t="s">
        <v>251</v>
      </c>
      <c r="E114" s="349">
        <f t="shared" si="7"/>
        <v>4.0949999999999998</v>
      </c>
      <c r="F114" s="350">
        <f t="shared" si="6"/>
        <v>121.97046510374709</v>
      </c>
      <c r="G114" s="503" t="s">
        <v>35</v>
      </c>
      <c r="H114" s="350">
        <f>IF(D114="operation",VLOOKUP(G114,'Generic Vertical Port Tasks'!C$4:D$197,2,FALSE),"N/A")</f>
        <v>4.0949999999999998</v>
      </c>
      <c r="I114" s="396"/>
      <c r="J114" s="397"/>
      <c r="K114" s="397"/>
      <c r="L114" s="398" t="str">
        <f>IFERROR(INDEX('Upper Hot Cell Logistics'!$I$35:$O$41,MATCH($J114,'Upper Hot Cell Logistics'!$H$35:$H$41,0),MATCH($K114,'Upper Hot Cell Logistics'!$H$35:$H$41,0)),"N/A")</f>
        <v>N/A</v>
      </c>
      <c r="M114" s="398" t="str">
        <f>IFERROR(VLOOKUP($I114,'Upper Hot Cell Logistics'!$H$4:$I$10,2,FALSE),"N/A")</f>
        <v>N/A</v>
      </c>
      <c r="N114" s="350" t="str">
        <f t="shared" si="8"/>
        <v>N/A</v>
      </c>
      <c r="O114" s="399"/>
      <c r="P114" s="349" t="str">
        <f>IF($D114="Logistics",VLOOKUP($O114,'Upper Hot Cell Logistics'!$C$4:$D$51,2,FALSE),"N/A")</f>
        <v>N/A</v>
      </c>
      <c r="Q114" s="401"/>
      <c r="R114" s="349" t="str">
        <f>IFERROR(VLOOKUP($Q114,'Upper Hot Cell Dependencies'!$C$5:$F$229,4,FALSE),"N/A")</f>
        <v>N/A</v>
      </c>
      <c r="S114" s="350" t="str">
        <f t="shared" si="5"/>
        <v>N/A</v>
      </c>
    </row>
    <row r="115" spans="2:19" x14ac:dyDescent="0.4">
      <c r="B115" s="3888" t="s">
        <v>880</v>
      </c>
      <c r="C115" s="509" t="s">
        <v>820</v>
      </c>
      <c r="D115" s="510" t="s">
        <v>778</v>
      </c>
      <c r="E115" s="511">
        <f t="shared" si="7"/>
        <v>0.69444444444444442</v>
      </c>
      <c r="F115" s="505">
        <f t="shared" si="6"/>
        <v>122.66490954819153</v>
      </c>
      <c r="G115" s="504"/>
      <c r="H115" s="505" t="str">
        <f>IF(D115="operation",VLOOKUP(G115,'Generic Vertical Port Tasks'!C$4:D$197,2,FALSE),"N/A")</f>
        <v>N/A</v>
      </c>
      <c r="I115" s="504" t="s">
        <v>857</v>
      </c>
      <c r="J115" s="506" t="s">
        <v>858</v>
      </c>
      <c r="K115" s="506" t="s">
        <v>452</v>
      </c>
      <c r="L115" s="507">
        <f>IFERROR(INDEX('Upper Hot Cell Logistics'!$I$35:$O$41,MATCH($J115,'Upper Hot Cell Logistics'!$H$35:$H$41,0),MATCH($K115,'Upper Hot Cell Logistics'!$H$35:$H$41,0)),"N/A")</f>
        <v>50</v>
      </c>
      <c r="M115" s="507">
        <f>IFERROR(VLOOKUP($I115,'Upper Hot Cell Logistics'!$H$4:$I$10,2,FALSE),"N/A")</f>
        <v>0.02</v>
      </c>
      <c r="N115" s="505">
        <f t="shared" si="8"/>
        <v>0.69444444444444442</v>
      </c>
      <c r="O115" s="508"/>
      <c r="P115" s="511" t="str">
        <f>IF($D115="Logistics",VLOOKUP($O115,'Upper Hot Cell Logistics'!$C$4:$D$51,2,FALSE),"N/A")</f>
        <v>N/A</v>
      </c>
      <c r="Q115" s="512"/>
      <c r="R115" s="511" t="str">
        <f>IFERROR(VLOOKUP($Q115,'Upper Hot Cell Dependencies'!$C$5:$F$229,4,FALSE),"N/A")</f>
        <v>N/A</v>
      </c>
      <c r="S115" s="505" t="str">
        <f t="shared" si="5"/>
        <v>N/A</v>
      </c>
    </row>
    <row r="116" spans="2:19" x14ac:dyDescent="0.4">
      <c r="B116" s="3773"/>
      <c r="C116" s="481" t="s">
        <v>881</v>
      </c>
      <c r="D116" s="482" t="s">
        <v>251</v>
      </c>
      <c r="E116" s="483">
        <f t="shared" si="7"/>
        <v>24.022732551873563</v>
      </c>
      <c r="F116" s="484">
        <f t="shared" si="6"/>
        <v>146.68764210006509</v>
      </c>
      <c r="G116" s="485" t="s">
        <v>2492</v>
      </c>
      <c r="H116" s="484">
        <f>IF(D116="operation",VLOOKUP(G116,'Generic Vertical Port Tasks'!C$4:D$197,2,FALSE),"N/A")</f>
        <v>24.022732551873563</v>
      </c>
      <c r="I116" s="485"/>
      <c r="J116" s="486"/>
      <c r="K116" s="486"/>
      <c r="L116" s="487" t="str">
        <f>IFERROR(INDEX('Upper Hot Cell Logistics'!$I$35:$O$41,MATCH($J116,'Upper Hot Cell Logistics'!$H$35:$H$41,0),MATCH($K116,'Upper Hot Cell Logistics'!$H$35:$H$41,0)),"N/A")</f>
        <v>N/A</v>
      </c>
      <c r="M116" s="487" t="str">
        <f>IFERROR(VLOOKUP($I116,'Upper Hot Cell Logistics'!$H$4:$I$10,2,FALSE),"N/A")</f>
        <v>N/A</v>
      </c>
      <c r="N116" s="484" t="str">
        <f t="shared" si="8"/>
        <v>N/A</v>
      </c>
      <c r="O116" s="488"/>
      <c r="P116" s="483" t="str">
        <f>IF($D116="Logistics",VLOOKUP($O116,'Upper Hot Cell Logistics'!$C$4:$D$51,2,FALSE),"N/A")</f>
        <v>N/A</v>
      </c>
      <c r="Q116" s="489"/>
      <c r="R116" s="483" t="str">
        <f>IFERROR(VLOOKUP($Q116,'Upper Hot Cell Dependencies'!$C$5:$F$229,4,FALSE),"N/A")</f>
        <v>N/A</v>
      </c>
      <c r="S116" s="484" t="str">
        <f t="shared" si="5"/>
        <v>N/A</v>
      </c>
    </row>
    <row r="117" spans="2:19" x14ac:dyDescent="0.4">
      <c r="B117" s="3773"/>
      <c r="C117" s="481" t="s">
        <v>811</v>
      </c>
      <c r="D117" s="482" t="s">
        <v>778</v>
      </c>
      <c r="E117" s="483">
        <f t="shared" si="7"/>
        <v>0.20833333333333334</v>
      </c>
      <c r="F117" s="484">
        <f t="shared" si="6"/>
        <v>146.89597543339843</v>
      </c>
      <c r="G117" s="485"/>
      <c r="H117" s="484" t="str">
        <f>IF(D117="operation",VLOOKUP(G117,'Generic Vertical Port Tasks'!C$4:D$197,2,FALSE),"N/A")</f>
        <v>N/A</v>
      </c>
      <c r="I117" s="485" t="s">
        <v>12</v>
      </c>
      <c r="J117" s="486" t="s">
        <v>816</v>
      </c>
      <c r="K117" s="486" t="s">
        <v>452</v>
      </c>
      <c r="L117" s="487">
        <f>IFERROR(INDEX('Upper Hot Cell Logistics'!$I$35:$O$41,MATCH($J117,'Upper Hot Cell Logistics'!$H$35:$H$41,0),MATCH($K117,'Upper Hot Cell Logistics'!$H$35:$H$41,0)),"N/A")</f>
        <v>15</v>
      </c>
      <c r="M117" s="487">
        <f>IFERROR(VLOOKUP($I117,'Upper Hot Cell Logistics'!$H$4:$I$10,2,FALSE),"N/A")</f>
        <v>0.02</v>
      </c>
      <c r="N117" s="484">
        <f t="shared" si="8"/>
        <v>0.20833333333333334</v>
      </c>
      <c r="O117" s="488"/>
      <c r="P117" s="483" t="str">
        <f>IF($D117="Logistics",VLOOKUP($O117,'Upper Hot Cell Logistics'!$C$4:$D$51,2,FALSE),"N/A")</f>
        <v>N/A</v>
      </c>
      <c r="Q117" s="489"/>
      <c r="R117" s="483" t="str">
        <f>IFERROR(VLOOKUP($Q117,'Upper Hot Cell Dependencies'!$C$5:$F$229,4,FALSE),"N/A")</f>
        <v>N/A</v>
      </c>
      <c r="S117" s="484" t="str">
        <f t="shared" si="5"/>
        <v>N/A</v>
      </c>
    </row>
    <row r="118" spans="2:19" ht="15" thickBot="1" x14ac:dyDescent="0.45">
      <c r="B118" s="3889"/>
      <c r="C118" s="491" t="s">
        <v>882</v>
      </c>
      <c r="D118" s="492" t="s">
        <v>251</v>
      </c>
      <c r="E118" s="493">
        <f t="shared" si="7"/>
        <v>7.83</v>
      </c>
      <c r="F118" s="495">
        <f t="shared" si="6"/>
        <v>154.72597543339845</v>
      </c>
      <c r="G118" s="494" t="s">
        <v>257</v>
      </c>
      <c r="H118" s="495">
        <f>IF(D118="operation",VLOOKUP(G118,'Generic Vertical Port Tasks'!C$4:D$197,2,FALSE),"N/A")</f>
        <v>7.83</v>
      </c>
      <c r="I118" s="494"/>
      <c r="J118" s="496"/>
      <c r="K118" s="496"/>
      <c r="L118" s="497" t="str">
        <f>IFERROR(INDEX('Upper Hot Cell Logistics'!$I$35:$O$41,MATCH($J118,'Upper Hot Cell Logistics'!$H$35:$H$41,0),MATCH($K118,'Upper Hot Cell Logistics'!$H$35:$H$41,0)),"N/A")</f>
        <v>N/A</v>
      </c>
      <c r="M118" s="497" t="str">
        <f>IFERROR(VLOOKUP($I118,'Upper Hot Cell Logistics'!$H$4:$I$10,2,FALSE),"N/A")</f>
        <v>N/A</v>
      </c>
      <c r="N118" s="495" t="str">
        <f t="shared" si="8"/>
        <v>N/A</v>
      </c>
      <c r="O118" s="498"/>
      <c r="P118" s="493" t="str">
        <f>IF($D118="Logistics",VLOOKUP($O118,'Upper Hot Cell Logistics'!$C$4:$D$51,2,FALSE),"N/A")</f>
        <v>N/A</v>
      </c>
      <c r="Q118" s="500"/>
      <c r="R118" s="493" t="str">
        <f>IFERROR(VLOOKUP($Q118,'Upper Hot Cell Dependencies'!$C$5:$F$229,4,FALSE),"N/A")</f>
        <v>N/A</v>
      </c>
      <c r="S118" s="495" t="str">
        <f t="shared" si="5"/>
        <v>N/A</v>
      </c>
    </row>
    <row r="119" spans="2:19" x14ac:dyDescent="0.4">
      <c r="B119" s="3886" t="s">
        <v>883</v>
      </c>
      <c r="C119" s="369" t="s">
        <v>826</v>
      </c>
      <c r="D119" s="370" t="s">
        <v>778</v>
      </c>
      <c r="E119" s="326">
        <f t="shared" si="7"/>
        <v>6.9444444444444448E-2</v>
      </c>
      <c r="F119" s="327">
        <f t="shared" si="6"/>
        <v>154.7954198778429</v>
      </c>
      <c r="G119" s="501"/>
      <c r="H119" s="327" t="str">
        <f>IF(D119="operation",VLOOKUP(G119,'Generic Vertical Port Tasks'!C$4:D$197,2,FALSE),"N/A")</f>
        <v>N/A</v>
      </c>
      <c r="I119" s="502" t="s">
        <v>798</v>
      </c>
      <c r="J119" s="374" t="s">
        <v>858</v>
      </c>
      <c r="K119" s="374" t="s">
        <v>452</v>
      </c>
      <c r="L119" s="375">
        <f>IFERROR(INDEX('Upper Hot Cell Logistics'!$I$35:$O$41,MATCH($J119,'Upper Hot Cell Logistics'!$H$35:$H$41,0),MATCH($K119,'Upper Hot Cell Logistics'!$H$35:$H$41,0)),"N/A")</f>
        <v>50</v>
      </c>
      <c r="M119" s="375">
        <f>IFERROR(VLOOKUP($I119,'Upper Hot Cell Logistics'!$H$4:$I$10,2,FALSE),"N/A")</f>
        <v>0.2</v>
      </c>
      <c r="N119" s="327">
        <f t="shared" si="8"/>
        <v>6.9444444444444448E-2</v>
      </c>
      <c r="O119" s="376"/>
      <c r="P119" s="326" t="str">
        <f>IF($D119="Logistics",VLOOKUP($O119,'Upper Hot Cell Logistics'!$C$4:$D$51,2,FALSE),"N/A")</f>
        <v>N/A</v>
      </c>
      <c r="Q119" s="378" t="s">
        <v>884</v>
      </c>
      <c r="R119" s="326" t="str">
        <f>IFERROR(VLOOKUP($Q119,'Upper Hot Cell Dependencies'!$C$5:$F$229,4,FALSE),"N/A")</f>
        <v>N/A</v>
      </c>
      <c r="S119" s="327" t="str">
        <f t="shared" si="5"/>
        <v>N/A</v>
      </c>
    </row>
    <row r="120" spans="2:19" ht="15" thickBot="1" x14ac:dyDescent="0.45">
      <c r="B120" s="3887"/>
      <c r="C120" s="503" t="s">
        <v>120</v>
      </c>
      <c r="D120" s="393" t="s">
        <v>251</v>
      </c>
      <c r="E120" s="349">
        <f t="shared" si="7"/>
        <v>4.0949999999999998</v>
      </c>
      <c r="F120" s="350">
        <f t="shared" si="6"/>
        <v>158.8904198778429</v>
      </c>
      <c r="G120" s="503" t="s">
        <v>35</v>
      </c>
      <c r="H120" s="350">
        <f>IF(D120="operation",VLOOKUP(G120,'Generic Vertical Port Tasks'!C$4:D$197,2,FALSE),"N/A")</f>
        <v>4.0949999999999998</v>
      </c>
      <c r="I120" s="396"/>
      <c r="J120" s="397"/>
      <c r="K120" s="397"/>
      <c r="L120" s="398" t="str">
        <f>IFERROR(INDEX('Upper Hot Cell Logistics'!$I$35:$O$41,MATCH($J120,'Upper Hot Cell Logistics'!$H$35:$H$41,0),MATCH($K120,'Upper Hot Cell Logistics'!$H$35:$H$41,0)),"N/A")</f>
        <v>N/A</v>
      </c>
      <c r="M120" s="398" t="str">
        <f>IFERROR(VLOOKUP($I120,'Upper Hot Cell Logistics'!$H$4:$I$10,2,FALSE),"N/A")</f>
        <v>N/A</v>
      </c>
      <c r="N120" s="350" t="str">
        <f t="shared" si="8"/>
        <v>N/A</v>
      </c>
      <c r="O120" s="399"/>
      <c r="P120" s="349" t="str">
        <f>IF($D120="Logistics",VLOOKUP($O120,'Upper Hot Cell Logistics'!$C$4:$D$51,2,FALSE),"N/A")</f>
        <v>N/A</v>
      </c>
      <c r="Q120" s="401"/>
      <c r="R120" s="349" t="str">
        <f>IFERROR(VLOOKUP($Q120,'Upper Hot Cell Dependencies'!$C$5:$F$229,4,FALSE),"N/A")</f>
        <v>N/A</v>
      </c>
      <c r="S120" s="350" t="str">
        <f t="shared" si="5"/>
        <v>N/A</v>
      </c>
    </row>
    <row r="121" spans="2:19" x14ac:dyDescent="0.4">
      <c r="B121" s="3888" t="s">
        <v>885</v>
      </c>
      <c r="C121" s="509" t="s">
        <v>820</v>
      </c>
      <c r="D121" s="510" t="s">
        <v>778</v>
      </c>
      <c r="E121" s="511">
        <f t="shared" si="7"/>
        <v>0.69444444444444442</v>
      </c>
      <c r="F121" s="505">
        <f t="shared" si="6"/>
        <v>159.58486432228736</v>
      </c>
      <c r="G121" s="504"/>
      <c r="H121" s="505" t="str">
        <f>IF(D121="operation",VLOOKUP(G121,'Generic Vertical Port Tasks'!C$4:D$197,2,FALSE),"N/A")</f>
        <v>N/A</v>
      </c>
      <c r="I121" s="504" t="s">
        <v>857</v>
      </c>
      <c r="J121" s="506" t="s">
        <v>858</v>
      </c>
      <c r="K121" s="506" t="s">
        <v>452</v>
      </c>
      <c r="L121" s="507">
        <f>IFERROR(INDEX('Upper Hot Cell Logistics'!$I$35:$O$41,MATCH($J121,'Upper Hot Cell Logistics'!$H$35:$H$41,0),MATCH($K121,'Upper Hot Cell Logistics'!$H$35:$H$41,0)),"N/A")</f>
        <v>50</v>
      </c>
      <c r="M121" s="507">
        <f>IFERROR(VLOOKUP($I121,'Upper Hot Cell Logistics'!$H$4:$I$10,2,FALSE),"N/A")</f>
        <v>0.02</v>
      </c>
      <c r="N121" s="505">
        <f t="shared" si="8"/>
        <v>0.69444444444444442</v>
      </c>
      <c r="O121" s="508"/>
      <c r="P121" s="511" t="str">
        <f>IF($D121="Logistics",VLOOKUP($O121,'Upper Hot Cell Logistics'!$C$4:$D$51,2,FALSE),"N/A")</f>
        <v>N/A</v>
      </c>
      <c r="Q121" s="512"/>
      <c r="R121" s="511" t="str">
        <f>IFERROR(VLOOKUP($Q121,'Upper Hot Cell Dependencies'!$C$5:$F$229,4,FALSE),"N/A")</f>
        <v>N/A</v>
      </c>
      <c r="S121" s="505" t="str">
        <f t="shared" si="5"/>
        <v>N/A</v>
      </c>
    </row>
    <row r="122" spans="2:19" x14ac:dyDescent="0.4">
      <c r="B122" s="3773"/>
      <c r="C122" s="481" t="s">
        <v>886</v>
      </c>
      <c r="D122" s="482" t="s">
        <v>251</v>
      </c>
      <c r="E122" s="483">
        <f t="shared" si="7"/>
        <v>24.022732551873563</v>
      </c>
      <c r="F122" s="484">
        <f t="shared" si="6"/>
        <v>183.60759687416092</v>
      </c>
      <c r="G122" s="485" t="s">
        <v>2492</v>
      </c>
      <c r="H122" s="484">
        <f>IF(D122="operation",VLOOKUP(G122,'Generic Vertical Port Tasks'!C$4:D$197,2,FALSE),"N/A")</f>
        <v>24.022732551873563</v>
      </c>
      <c r="I122" s="485"/>
      <c r="J122" s="486"/>
      <c r="K122" s="486"/>
      <c r="L122" s="487" t="str">
        <f>IFERROR(INDEX('Upper Hot Cell Logistics'!$I$35:$O$41,MATCH($J122,'Upper Hot Cell Logistics'!$H$35:$H$41,0),MATCH($K122,'Upper Hot Cell Logistics'!$H$35:$H$41,0)),"N/A")</f>
        <v>N/A</v>
      </c>
      <c r="M122" s="487" t="str">
        <f>IFERROR(VLOOKUP($I122,'Upper Hot Cell Logistics'!$H$4:$I$10,2,FALSE),"N/A")</f>
        <v>N/A</v>
      </c>
      <c r="N122" s="484" t="str">
        <f t="shared" si="8"/>
        <v>N/A</v>
      </c>
      <c r="O122" s="488"/>
      <c r="P122" s="483" t="str">
        <f>IF($D122="Logistics",VLOOKUP($O122,'Upper Hot Cell Logistics'!$C$4:$D$51,2,FALSE),"N/A")</f>
        <v>N/A</v>
      </c>
      <c r="Q122" s="489"/>
      <c r="R122" s="483" t="str">
        <f>IFERROR(VLOOKUP($Q122,'Upper Hot Cell Dependencies'!$C$5:$F$229,4,FALSE),"N/A")</f>
        <v>N/A</v>
      </c>
      <c r="S122" s="484" t="str">
        <f t="shared" si="5"/>
        <v>N/A</v>
      </c>
    </row>
    <row r="123" spans="2:19" x14ac:dyDescent="0.4">
      <c r="B123" s="3773"/>
      <c r="C123" s="481" t="s">
        <v>811</v>
      </c>
      <c r="D123" s="482" t="s">
        <v>778</v>
      </c>
      <c r="E123" s="483">
        <f t="shared" si="7"/>
        <v>0.20833333333333334</v>
      </c>
      <c r="F123" s="484">
        <f t="shared" si="6"/>
        <v>183.81593020749426</v>
      </c>
      <c r="G123" s="485"/>
      <c r="H123" s="484" t="str">
        <f>IF(D123="operation",VLOOKUP(G123,'Generic Vertical Port Tasks'!C$4:D$197,2,FALSE),"N/A")</f>
        <v>N/A</v>
      </c>
      <c r="I123" s="485" t="s">
        <v>12</v>
      </c>
      <c r="J123" s="486" t="s">
        <v>816</v>
      </c>
      <c r="K123" s="486" t="s">
        <v>452</v>
      </c>
      <c r="L123" s="487">
        <f>IFERROR(INDEX('Upper Hot Cell Logistics'!$I$35:$O$41,MATCH($J123,'Upper Hot Cell Logistics'!$H$35:$H$41,0),MATCH($K123,'Upper Hot Cell Logistics'!$H$35:$H$41,0)),"N/A")</f>
        <v>15</v>
      </c>
      <c r="M123" s="487">
        <f>IFERROR(VLOOKUP($I123,'Upper Hot Cell Logistics'!$H$4:$I$10,2,FALSE),"N/A")</f>
        <v>0.02</v>
      </c>
      <c r="N123" s="484">
        <f t="shared" si="8"/>
        <v>0.20833333333333334</v>
      </c>
      <c r="O123" s="488"/>
      <c r="P123" s="483" t="str">
        <f>IF($D123="Logistics",VLOOKUP($O123,'Upper Hot Cell Logistics'!$C$4:$D$51,2,FALSE),"N/A")</f>
        <v>N/A</v>
      </c>
      <c r="Q123" s="489"/>
      <c r="R123" s="483" t="str">
        <f>IFERROR(VLOOKUP($Q123,'Upper Hot Cell Dependencies'!$C$5:$F$229,4,FALSE),"N/A")</f>
        <v>N/A</v>
      </c>
      <c r="S123" s="484" t="str">
        <f t="shared" si="5"/>
        <v>N/A</v>
      </c>
    </row>
    <row r="124" spans="2:19" ht="15" thickBot="1" x14ac:dyDescent="0.45">
      <c r="B124" s="3889"/>
      <c r="C124" s="491" t="s">
        <v>887</v>
      </c>
      <c r="D124" s="492" t="s">
        <v>251</v>
      </c>
      <c r="E124" s="493">
        <f t="shared" si="7"/>
        <v>7.83</v>
      </c>
      <c r="F124" s="495">
        <f t="shared" si="6"/>
        <v>191.64593020749427</v>
      </c>
      <c r="G124" s="494" t="s">
        <v>257</v>
      </c>
      <c r="H124" s="495">
        <f>IF(D124="operation",VLOOKUP(G124,'Generic Vertical Port Tasks'!C$4:D$197,2,FALSE),"N/A")</f>
        <v>7.83</v>
      </c>
      <c r="I124" s="494"/>
      <c r="J124" s="496"/>
      <c r="K124" s="496"/>
      <c r="L124" s="497" t="str">
        <f>IFERROR(INDEX('Upper Hot Cell Logistics'!$I$35:$O$41,MATCH($J124,'Upper Hot Cell Logistics'!$H$35:$H$41,0),MATCH($K124,'Upper Hot Cell Logistics'!$H$35:$H$41,0)),"N/A")</f>
        <v>N/A</v>
      </c>
      <c r="M124" s="497" t="str">
        <f>IFERROR(VLOOKUP($I124,'Upper Hot Cell Logistics'!$H$4:$I$10,2,FALSE),"N/A")</f>
        <v>N/A</v>
      </c>
      <c r="N124" s="495" t="str">
        <f t="shared" si="8"/>
        <v>N/A</v>
      </c>
      <c r="O124" s="498"/>
      <c r="P124" s="493" t="str">
        <f>IF($D124="Logistics",VLOOKUP($O124,'Upper Hot Cell Logistics'!$C$4:$D$51,2,FALSE),"N/A")</f>
        <v>N/A</v>
      </c>
      <c r="Q124" s="515"/>
      <c r="R124" s="513" t="str">
        <f>IFERROR(VLOOKUP($Q124,'Upper Hot Cell Dependencies'!$C$5:$F$229,4,FALSE),"N/A")</f>
        <v>N/A</v>
      </c>
      <c r="S124" s="514" t="str">
        <f t="shared" si="5"/>
        <v>N/A</v>
      </c>
    </row>
    <row r="125" spans="2:19" x14ac:dyDescent="0.4">
      <c r="B125" s="3886" t="s">
        <v>888</v>
      </c>
      <c r="C125" s="369" t="s">
        <v>826</v>
      </c>
      <c r="D125" s="370" t="s">
        <v>778</v>
      </c>
      <c r="E125" s="326">
        <f t="shared" si="7"/>
        <v>6.9444444444444448E-2</v>
      </c>
      <c r="F125" s="327">
        <f t="shared" si="6"/>
        <v>191.71537465193873</v>
      </c>
      <c r="G125" s="501"/>
      <c r="H125" s="327" t="str">
        <f>IF(D125="operation",VLOOKUP(G125,'Generic Vertical Port Tasks'!C$4:D$197,2,FALSE),"N/A")</f>
        <v>N/A</v>
      </c>
      <c r="I125" s="502" t="s">
        <v>798</v>
      </c>
      <c r="J125" s="374" t="s">
        <v>858</v>
      </c>
      <c r="K125" s="374" t="s">
        <v>452</v>
      </c>
      <c r="L125" s="375">
        <f>IFERROR(INDEX('Upper Hot Cell Logistics'!$I$35:$O$41,MATCH($J125,'Upper Hot Cell Logistics'!$H$35:$H$41,0),MATCH($K125,'Upper Hot Cell Logistics'!$H$35:$H$41,0)),"N/A")</f>
        <v>50</v>
      </c>
      <c r="M125" s="375">
        <f>IFERROR(VLOOKUP($I125,'Upper Hot Cell Logistics'!$H$4:$I$10,2,FALSE),"N/A")</f>
        <v>0.2</v>
      </c>
      <c r="N125" s="327">
        <f t="shared" si="8"/>
        <v>6.9444444444444448E-2</v>
      </c>
      <c r="O125" s="376"/>
      <c r="P125" s="326" t="str">
        <f>IF($D125="Logistics",VLOOKUP($O125,'Upper Hot Cell Logistics'!$C$4:$D$51,2,FALSE),"N/A")</f>
        <v>N/A</v>
      </c>
      <c r="Q125" s="378" t="s">
        <v>889</v>
      </c>
      <c r="R125" s="326" t="str">
        <f>IFERROR(VLOOKUP($Q125,'Upper Hot Cell Dependencies'!$C$5:$F$229,4,FALSE),"N/A")</f>
        <v>N/A</v>
      </c>
      <c r="S125" s="327" t="str">
        <f t="shared" si="5"/>
        <v>N/A</v>
      </c>
    </row>
    <row r="126" spans="2:19" ht="15" thickBot="1" x14ac:dyDescent="0.45">
      <c r="B126" s="3887"/>
      <c r="C126" s="503" t="s">
        <v>121</v>
      </c>
      <c r="D126" s="393" t="s">
        <v>251</v>
      </c>
      <c r="E126" s="349">
        <f>MAX($P126,$N126,$H126)</f>
        <v>4.0949999999999998</v>
      </c>
      <c r="F126" s="350">
        <f t="shared" si="6"/>
        <v>195.81037465193873</v>
      </c>
      <c r="G126" s="503" t="s">
        <v>35</v>
      </c>
      <c r="H126" s="350">
        <f>IF(D126="operation",VLOOKUP(G126,'Generic Vertical Port Tasks'!C$4:D$197,2,FALSE),"N/A")</f>
        <v>4.0949999999999998</v>
      </c>
      <c r="I126" s="396"/>
      <c r="J126" s="397"/>
      <c r="K126" s="397"/>
      <c r="L126" s="398" t="str">
        <f>IFERROR(INDEX('Upper Hot Cell Logistics'!$I$35:$O$41,MATCH($J126,'Upper Hot Cell Logistics'!$H$35:$H$41,0),MATCH($K126,'Upper Hot Cell Logistics'!$H$35:$H$41,0)),"N/A")</f>
        <v>N/A</v>
      </c>
      <c r="M126" s="398" t="str">
        <f>IFERROR(VLOOKUP($I126,'Upper Hot Cell Logistics'!$H$4:$I$10,2,FALSE),"N/A")</f>
        <v>N/A</v>
      </c>
      <c r="N126" s="350" t="str">
        <f t="shared" si="8"/>
        <v>N/A</v>
      </c>
      <c r="O126" s="399"/>
      <c r="P126" s="349" t="str">
        <f>IF($D126="Logistics",VLOOKUP($O126,'Upper Hot Cell Logistics'!$C$4:$D$51,2,FALSE),"N/A")</f>
        <v>N/A</v>
      </c>
      <c r="Q126" s="401"/>
      <c r="R126" s="349" t="str">
        <f>IFERROR(VLOOKUP($Q126,'Upper Hot Cell Dependencies'!$C$5:$F$229,4,FALSE),"N/A")</f>
        <v>N/A</v>
      </c>
      <c r="S126" s="350" t="str">
        <f t="shared" si="5"/>
        <v>N/A</v>
      </c>
    </row>
    <row r="127" spans="2:19" x14ac:dyDescent="0.4">
      <c r="B127" s="3888" t="s">
        <v>890</v>
      </c>
      <c r="C127" s="509" t="s">
        <v>820</v>
      </c>
      <c r="D127" s="510" t="s">
        <v>778</v>
      </c>
      <c r="E127" s="511">
        <f t="shared" si="7"/>
        <v>0.69444444444444442</v>
      </c>
      <c r="F127" s="505">
        <f t="shared" si="6"/>
        <v>196.50481909638319</v>
      </c>
      <c r="G127" s="504"/>
      <c r="H127" s="505" t="str">
        <f>IF(D127="operation",VLOOKUP(G127,'Generic Vertical Port Tasks'!C$4:D$197,2,FALSE),"N/A")</f>
        <v>N/A</v>
      </c>
      <c r="I127" s="504" t="s">
        <v>857</v>
      </c>
      <c r="J127" s="506" t="s">
        <v>858</v>
      </c>
      <c r="K127" s="506" t="s">
        <v>452</v>
      </c>
      <c r="L127" s="507">
        <f>IFERROR(INDEX('Upper Hot Cell Logistics'!$I$35:$O$41,MATCH($J127,'Upper Hot Cell Logistics'!$H$35:$H$41,0),MATCH($K127,'Upper Hot Cell Logistics'!$H$35:$H$41,0)),"N/A")</f>
        <v>50</v>
      </c>
      <c r="M127" s="507">
        <f>IFERROR(VLOOKUP($I127,'Upper Hot Cell Logistics'!$H$4:$I$10,2,FALSE),"N/A")</f>
        <v>0.02</v>
      </c>
      <c r="N127" s="505">
        <f t="shared" si="8"/>
        <v>0.69444444444444442</v>
      </c>
      <c r="O127" s="508"/>
      <c r="P127" s="511" t="str">
        <f>IF($D127="Logistics",VLOOKUP($O127,'Upper Hot Cell Logistics'!$C$4:$D$51,2,FALSE),"N/A")</f>
        <v>N/A</v>
      </c>
      <c r="Q127" s="472"/>
      <c r="R127" s="474" t="str">
        <f>IFERROR(VLOOKUP(#REF!,'Upper Hot Cell Dependencies'!$C$5:$F$229,4,FALSE),"N/A")</f>
        <v>N/A</v>
      </c>
      <c r="S127" s="475" t="str">
        <f t="shared" si="5"/>
        <v>N/A</v>
      </c>
    </row>
    <row r="128" spans="2:19" x14ac:dyDescent="0.4">
      <c r="B128" s="3773"/>
      <c r="C128" s="481" t="s">
        <v>891</v>
      </c>
      <c r="D128" s="482" t="s">
        <v>251</v>
      </c>
      <c r="E128" s="483">
        <f t="shared" si="7"/>
        <v>24.022732551873563</v>
      </c>
      <c r="F128" s="484">
        <f t="shared" si="6"/>
        <v>220.52755164825675</v>
      </c>
      <c r="G128" s="485" t="s">
        <v>2492</v>
      </c>
      <c r="H128" s="484">
        <f>IF(D128="operation",VLOOKUP(G128,'Generic Vertical Port Tasks'!C$4:D$197,2,FALSE),"N/A")</f>
        <v>24.022732551873563</v>
      </c>
      <c r="I128" s="485"/>
      <c r="J128" s="486"/>
      <c r="K128" s="486"/>
      <c r="L128" s="487" t="str">
        <f>IFERROR(INDEX('Upper Hot Cell Logistics'!$I$35:$O$41,MATCH($J128,'Upper Hot Cell Logistics'!$H$35:$H$41,0),MATCH($K128,'Upper Hot Cell Logistics'!$H$35:$H$41,0)),"N/A")</f>
        <v>N/A</v>
      </c>
      <c r="M128" s="487" t="str">
        <f>IFERROR(VLOOKUP($I128,'Upper Hot Cell Logistics'!$H$4:$I$10,2,FALSE),"N/A")</f>
        <v>N/A</v>
      </c>
      <c r="N128" s="484" t="str">
        <f t="shared" si="8"/>
        <v>N/A</v>
      </c>
      <c r="O128" s="488"/>
      <c r="P128" s="483" t="str">
        <f>IF($D128="Logistics",VLOOKUP($O128,'Upper Hot Cell Logistics'!$C$4:$D$51,2,FALSE),"N/A")</f>
        <v>N/A</v>
      </c>
      <c r="Q128" s="481"/>
      <c r="R128" s="483" t="str">
        <f>IFERROR(VLOOKUP(#REF!,'Upper Hot Cell Dependencies'!$C$5:$F$229,4,FALSE),"N/A")</f>
        <v>N/A</v>
      </c>
      <c r="S128" s="484" t="str">
        <f t="shared" si="5"/>
        <v>N/A</v>
      </c>
    </row>
    <row r="129" spans="2:19" x14ac:dyDescent="0.4">
      <c r="B129" s="3773"/>
      <c r="C129" s="481" t="s">
        <v>811</v>
      </c>
      <c r="D129" s="482" t="s">
        <v>778</v>
      </c>
      <c r="E129" s="483">
        <f t="shared" si="7"/>
        <v>0.20833333333333334</v>
      </c>
      <c r="F129" s="484">
        <f t="shared" si="6"/>
        <v>220.73588498159009</v>
      </c>
      <c r="G129" s="485"/>
      <c r="H129" s="484" t="str">
        <f>IF(D129="operation",VLOOKUP(G129,'Generic Vertical Port Tasks'!C$4:D$197,2,FALSE),"N/A")</f>
        <v>N/A</v>
      </c>
      <c r="I129" s="485" t="s">
        <v>12</v>
      </c>
      <c r="J129" s="486" t="s">
        <v>816</v>
      </c>
      <c r="K129" s="486" t="s">
        <v>452</v>
      </c>
      <c r="L129" s="487">
        <f>IFERROR(INDEX('Upper Hot Cell Logistics'!$I$35:$O$41,MATCH($J129,'Upper Hot Cell Logistics'!$H$35:$H$41,0),MATCH($K129,'Upper Hot Cell Logistics'!$H$35:$H$41,0)),"N/A")</f>
        <v>15</v>
      </c>
      <c r="M129" s="487">
        <f>IFERROR(VLOOKUP($I129,'Upper Hot Cell Logistics'!$H$4:$I$10,2,FALSE),"N/A")</f>
        <v>0.02</v>
      </c>
      <c r="N129" s="484">
        <f t="shared" si="8"/>
        <v>0.20833333333333334</v>
      </c>
      <c r="O129" s="488"/>
      <c r="P129" s="483" t="str">
        <f>IF($D129="Logistics",VLOOKUP($O129,'Upper Hot Cell Logistics'!$C$4:$D$51,2,FALSE),"N/A")</f>
        <v>N/A</v>
      </c>
      <c r="Q129" s="489"/>
      <c r="R129" s="483" t="str">
        <f>IFERROR(VLOOKUP(#REF!,'Upper Hot Cell Dependencies'!$C$5:$F$229,4,FALSE),"N/A")</f>
        <v>N/A</v>
      </c>
      <c r="S129" s="484" t="str">
        <f t="shared" si="5"/>
        <v>N/A</v>
      </c>
    </row>
    <row r="130" spans="2:19" ht="15" thickBot="1" x14ac:dyDescent="0.45">
      <c r="B130" s="3889"/>
      <c r="C130" s="491" t="s">
        <v>892</v>
      </c>
      <c r="D130" s="492" t="s">
        <v>251</v>
      </c>
      <c r="E130" s="493">
        <f t="shared" si="7"/>
        <v>7.83</v>
      </c>
      <c r="F130" s="495">
        <f t="shared" si="6"/>
        <v>228.5658849815901</v>
      </c>
      <c r="G130" s="494" t="s">
        <v>257</v>
      </c>
      <c r="H130" s="495">
        <f>IF(D130="operation",VLOOKUP(G130,'Generic Vertical Port Tasks'!C$4:D$197,2,FALSE),"N/A")</f>
        <v>7.83</v>
      </c>
      <c r="I130" s="494"/>
      <c r="J130" s="496"/>
      <c r="K130" s="496"/>
      <c r="L130" s="497" t="str">
        <f>IFERROR(INDEX('Upper Hot Cell Logistics'!$I$35:$O$41,MATCH($J130,'Upper Hot Cell Logistics'!$H$35:$H$41,0),MATCH($K130,'Upper Hot Cell Logistics'!$H$35:$H$41,0)),"N/A")</f>
        <v>N/A</v>
      </c>
      <c r="M130" s="497" t="str">
        <f>IFERROR(VLOOKUP($I130,'Upper Hot Cell Logistics'!$H$4:$I$10,2,FALSE),"N/A")</f>
        <v>N/A</v>
      </c>
      <c r="N130" s="495" t="str">
        <f t="shared" si="8"/>
        <v>N/A</v>
      </c>
      <c r="O130" s="498"/>
      <c r="P130" s="493" t="str">
        <f>IF($D130="Logistics",VLOOKUP($O130,'Upper Hot Cell Logistics'!$C$4:$D$51,2,FALSE),"N/A")</f>
        <v>N/A</v>
      </c>
      <c r="Q130" s="500"/>
      <c r="R130" s="493" t="str">
        <f>IFERROR(VLOOKUP($Q130,'Upper Hot Cell Dependencies'!$C$5:$F$229,4,FALSE),"N/A")</f>
        <v>N/A</v>
      </c>
      <c r="S130" s="495" t="str">
        <f t="shared" si="5"/>
        <v>N/A</v>
      </c>
    </row>
    <row r="131" spans="2:19" ht="29.15" x14ac:dyDescent="0.4">
      <c r="B131" s="3886" t="s">
        <v>776</v>
      </c>
      <c r="C131" s="369" t="s">
        <v>826</v>
      </c>
      <c r="D131" s="370" t="s">
        <v>778</v>
      </c>
      <c r="E131" s="326">
        <f>MAX($P131,$N131,$H131)</f>
        <v>0.20833333333333334</v>
      </c>
      <c r="F131" s="385">
        <f t="shared" si="6"/>
        <v>228.77421831492344</v>
      </c>
      <c r="G131" s="373"/>
      <c r="H131" s="327" t="str">
        <f>IF(D131="operation",VLOOKUP(G131,'Generic Vertical Port Tasks'!C$4:D$197,2,FALSE),"N/A")</f>
        <v>N/A</v>
      </c>
      <c r="I131" s="373" t="s">
        <v>857</v>
      </c>
      <c r="J131" s="374" t="s">
        <v>816</v>
      </c>
      <c r="K131" s="374" t="s">
        <v>452</v>
      </c>
      <c r="L131" s="375">
        <f>IFERROR(INDEX('Upper Hot Cell Logistics'!$I$35:$O$41,MATCH($J131,'Upper Hot Cell Logistics'!$H$35:$H$41,0),MATCH($K131,'Upper Hot Cell Logistics'!$H$35:$H$41,0)),"N/A")</f>
        <v>15</v>
      </c>
      <c r="M131" s="375">
        <f>IFERROR(VLOOKUP($I131,'Upper Hot Cell Logistics'!$H$4:$I$10,2,FALSE),"N/A")</f>
        <v>0.02</v>
      </c>
      <c r="N131" s="327">
        <f t="shared" si="8"/>
        <v>0.20833333333333334</v>
      </c>
      <c r="O131" s="376"/>
      <c r="P131" s="326" t="str">
        <f>IF($D131="Logistics",VLOOKUP($O131,'Upper Hot Cell Logistics'!$C$4:$D$51,2,FALSE),"N/A")</f>
        <v>N/A</v>
      </c>
      <c r="Q131" s="518" t="s">
        <v>893</v>
      </c>
      <c r="R131" s="459">
        <f>IFERROR(VLOOKUP($Q131,'Upper Hot Cell Dependencies'!$C$5:$F$229,4,FALSE),"N/A")</f>
        <v>197.76759687416097</v>
      </c>
      <c r="S131" s="517">
        <f t="shared" si="5"/>
        <v>30.79828810742913</v>
      </c>
    </row>
    <row r="132" spans="2:19" x14ac:dyDescent="0.4">
      <c r="B132" s="3890"/>
      <c r="C132" s="519" t="s">
        <v>142</v>
      </c>
      <c r="D132" s="381" t="s">
        <v>251</v>
      </c>
      <c r="E132" s="390">
        <f>MAX($P132,$N132,$H132)</f>
        <v>3.6949999999999998</v>
      </c>
      <c r="F132" s="385">
        <f t="shared" si="6"/>
        <v>232.46921831492344</v>
      </c>
      <c r="G132" s="384" t="s">
        <v>258</v>
      </c>
      <c r="H132" s="385">
        <f>IF(D132="operation",VLOOKUP(G132,'Generic Vertical Port Tasks'!C$4:D$197,2,FALSE),"N/A")</f>
        <v>3.6949999999999998</v>
      </c>
      <c r="I132" s="384"/>
      <c r="J132" s="386"/>
      <c r="K132" s="386"/>
      <c r="L132" s="387" t="str">
        <f>IFERROR(INDEX('Upper Hot Cell Logistics'!$I$35:$O$41,MATCH($J132,'Upper Hot Cell Logistics'!$H$35:$H$41,0),MATCH($K132,'Upper Hot Cell Logistics'!$H$35:$H$41,0)),"N/A")</f>
        <v>N/A</v>
      </c>
      <c r="M132" s="387" t="str">
        <f>IFERROR(VLOOKUP($I132,'Upper Hot Cell Logistics'!$H$4:$I$10,2,FALSE),"N/A")</f>
        <v>N/A</v>
      </c>
      <c r="N132" s="385" t="str">
        <f t="shared" si="8"/>
        <v>N/A</v>
      </c>
      <c r="O132" s="388"/>
      <c r="P132" s="390" t="str">
        <f>IF($D132="Logistics",VLOOKUP($O132,'Upper Hot Cell Logistics'!$C$4:$D$51,2,FALSE),"N/A")</f>
        <v>N/A</v>
      </c>
      <c r="Q132" s="391"/>
      <c r="R132" s="390" t="str">
        <f>IFERROR(VLOOKUP($Q132,'Upper Hot Cell Dependencies'!$C$5:$F$229,4,FALSE),"N/A")</f>
        <v>N/A</v>
      </c>
      <c r="S132" s="385" t="str">
        <f t="shared" si="5"/>
        <v>N/A</v>
      </c>
    </row>
    <row r="133" spans="2:19" x14ac:dyDescent="0.4">
      <c r="B133" s="3890"/>
      <c r="C133" s="519" t="s">
        <v>811</v>
      </c>
      <c r="D133" s="381" t="s">
        <v>778</v>
      </c>
      <c r="E133" s="390">
        <f>MAX($P133,$N133,$H133)</f>
        <v>6.9444444444444448E-2</v>
      </c>
      <c r="F133" s="385">
        <f t="shared" si="6"/>
        <v>232.5386627593679</v>
      </c>
      <c r="G133" s="384"/>
      <c r="H133" s="385" t="str">
        <f>IF(D133="operation",VLOOKUP(G133,'Generic Vertical Port Tasks'!C$4:D$197,2,FALSE),"N/A")</f>
        <v>N/A</v>
      </c>
      <c r="I133" s="384" t="s">
        <v>798</v>
      </c>
      <c r="J133" s="386" t="s">
        <v>799</v>
      </c>
      <c r="K133" s="386" t="s">
        <v>452</v>
      </c>
      <c r="L133" s="387">
        <f>IFERROR(INDEX('Upper Hot Cell Logistics'!$I$35:$O$41,MATCH($J133,'Upper Hot Cell Logistics'!$H$35:$H$41,0),MATCH($K133,'Upper Hot Cell Logistics'!$H$35:$H$41,0)),"N/A")</f>
        <v>50</v>
      </c>
      <c r="M133" s="387">
        <f>IFERROR(VLOOKUP($I133,'Upper Hot Cell Logistics'!$H$4:$I$10,2,FALSE),"N/A")</f>
        <v>0.2</v>
      </c>
      <c r="N133" s="385">
        <f t="shared" si="8"/>
        <v>6.9444444444444448E-2</v>
      </c>
      <c r="O133" s="388"/>
      <c r="P133" s="390" t="str">
        <f>IF($D133="Logistics",VLOOKUP($O133,'Upper Hot Cell Logistics'!$C$4:$D$51,2,FALSE),"N/A")</f>
        <v>N/A</v>
      </c>
      <c r="Q133" s="391"/>
      <c r="R133" s="390" t="str">
        <f>IFERROR(VLOOKUP($Q133,'Upper Hot Cell Dependencies'!$C$5:$F$229,4,FALSE),"N/A")</f>
        <v>N/A</v>
      </c>
      <c r="S133" s="385" t="str">
        <f t="shared" si="5"/>
        <v>N/A</v>
      </c>
    </row>
    <row r="134" spans="2:19" ht="15" thickBot="1" x14ac:dyDescent="0.45">
      <c r="B134" s="3887"/>
      <c r="C134" s="503" t="s">
        <v>894</v>
      </c>
      <c r="D134" s="393" t="s">
        <v>251</v>
      </c>
      <c r="E134" s="349">
        <f>MAX($P134,$N134,$H134)</f>
        <v>4.1050000000000004</v>
      </c>
      <c r="F134" s="350">
        <f t="shared" si="6"/>
        <v>236.64366275936788</v>
      </c>
      <c r="G134" s="396" t="s">
        <v>36</v>
      </c>
      <c r="H134" s="350">
        <f>IF(D134="operation",VLOOKUP(G134,'Generic Vertical Port Tasks'!C$4:D$197,2,FALSE),"N/A")</f>
        <v>4.1050000000000004</v>
      </c>
      <c r="I134" s="396"/>
      <c r="J134" s="397"/>
      <c r="K134" s="397"/>
      <c r="L134" s="398" t="str">
        <f>IFERROR(INDEX('Upper Hot Cell Logistics'!$I$35:$O$41,MATCH($J134,'Upper Hot Cell Logistics'!$H$35:$H$41,0),MATCH($K134,'Upper Hot Cell Logistics'!$H$35:$H$41,0)),"N/A")</f>
        <v>N/A</v>
      </c>
      <c r="M134" s="398" t="str">
        <f>IFERROR(VLOOKUP($I134,'Upper Hot Cell Logistics'!$H$4:$I$10,2,FALSE),"N/A")</f>
        <v>N/A</v>
      </c>
      <c r="N134" s="350" t="str">
        <f t="shared" si="8"/>
        <v>N/A</v>
      </c>
      <c r="O134" s="399"/>
      <c r="P134" s="349" t="str">
        <f>IF($D134="Logistics",VLOOKUP($O134,'Upper Hot Cell Logistics'!$C$4:$D$51,2,FALSE),"N/A")</f>
        <v>N/A</v>
      </c>
      <c r="Q134" s="401" t="s">
        <v>895</v>
      </c>
      <c r="R134" s="349">
        <f>IFERROR(VLOOKUP($Q134,'Upper Hot Cell Dependencies'!$C$5:$F$229,4,FALSE),"N/A")</f>
        <v>223.41755164825676</v>
      </c>
      <c r="S134" s="350">
        <f t="shared" si="5"/>
        <v>9.1211111111111336</v>
      </c>
    </row>
    <row r="135" spans="2:19" x14ac:dyDescent="0.4">
      <c r="B135" s="3888" t="s">
        <v>777</v>
      </c>
      <c r="C135" s="509" t="s">
        <v>797</v>
      </c>
      <c r="D135" s="510" t="s">
        <v>778</v>
      </c>
      <c r="E135" s="483">
        <f>MAX($P135,$N135,$H135)</f>
        <v>0.69444444444444442</v>
      </c>
      <c r="F135" s="484">
        <f t="shared" si="6"/>
        <v>237.33810720381234</v>
      </c>
      <c r="G135" s="504"/>
      <c r="H135" s="505" t="str">
        <f>IF(D135="operation",VLOOKUP(G135,'Generic Vertical Port Tasks'!C$4:D$197,2,FALSE),"N/A")</f>
        <v>N/A</v>
      </c>
      <c r="I135" s="504" t="s">
        <v>857</v>
      </c>
      <c r="J135" s="506" t="s">
        <v>858</v>
      </c>
      <c r="K135" s="506" t="s">
        <v>452</v>
      </c>
      <c r="L135" s="507">
        <f>IFERROR(INDEX('Upper Hot Cell Logistics'!$I$35:$O$41,MATCH($J135,'Upper Hot Cell Logistics'!$H$35:$H$41,0),MATCH($K135,'Upper Hot Cell Logistics'!$H$35:$H$41,0)),"N/A")</f>
        <v>50</v>
      </c>
      <c r="M135" s="507">
        <f>IFERROR(VLOOKUP($I135,'Upper Hot Cell Logistics'!$H$4:$I$10,2,FALSE),"N/A")</f>
        <v>0.02</v>
      </c>
      <c r="N135" s="505">
        <f t="shared" si="8"/>
        <v>0.69444444444444442</v>
      </c>
      <c r="O135" s="508"/>
      <c r="P135" s="511" t="str">
        <f>IF($D135="Logistics",VLOOKUP($O135,'Upper Hot Cell Logistics'!$C$4:$D$51,2,FALSE),"N/A")</f>
        <v>N/A</v>
      </c>
      <c r="Q135" s="512"/>
      <c r="R135" s="483" t="str">
        <f>IFERROR(VLOOKUP($Q135,'Upper Hot Cell Dependencies'!$C$5:$F$229,4,FALSE),"N/A")</f>
        <v>N/A</v>
      </c>
      <c r="S135" s="484" t="str">
        <f t="shared" si="5"/>
        <v>N/A</v>
      </c>
    </row>
    <row r="136" spans="2:19" x14ac:dyDescent="0.4">
      <c r="B136" s="3773"/>
      <c r="C136" s="481" t="s">
        <v>143</v>
      </c>
      <c r="D136" s="482" t="s">
        <v>251</v>
      </c>
      <c r="E136" s="483">
        <f t="shared" ref="E136:E150" si="9">MAX($P136,$N136,$H136)</f>
        <v>0.37500000000000006</v>
      </c>
      <c r="F136" s="484">
        <f t="shared" si="6"/>
        <v>237.71310720381234</v>
      </c>
      <c r="G136" s="485" t="s">
        <v>259</v>
      </c>
      <c r="H136" s="484">
        <f>IF(D136="operation",VLOOKUP(G136,'Generic Vertical Port Tasks'!C$4:D$197,2,FALSE),"N/A")</f>
        <v>0.37500000000000006</v>
      </c>
      <c r="I136" s="485"/>
      <c r="J136" s="486"/>
      <c r="K136" s="486"/>
      <c r="L136" s="487" t="str">
        <f>IFERROR(INDEX('Upper Hot Cell Logistics'!$I$35:$O$41,MATCH($J136,'Upper Hot Cell Logistics'!$H$35:$H$41,0),MATCH($K136,'Upper Hot Cell Logistics'!$H$35:$H$41,0)),"N/A")</f>
        <v>N/A</v>
      </c>
      <c r="M136" s="487" t="str">
        <f>IFERROR(VLOOKUP($I136,'Upper Hot Cell Logistics'!$H$4:$I$10,2,FALSE),"N/A")</f>
        <v>N/A</v>
      </c>
      <c r="N136" s="484" t="str">
        <f t="shared" si="8"/>
        <v>N/A</v>
      </c>
      <c r="O136" s="488"/>
      <c r="P136" s="483" t="str">
        <f>IF($D136="Logistics",VLOOKUP($O136,'Upper Hot Cell Logistics'!$C$4:$D$51,2,FALSE),"N/A")</f>
        <v>N/A</v>
      </c>
      <c r="Q136" s="489"/>
      <c r="R136" s="483" t="str">
        <f>IFERROR(VLOOKUP($Q136,'Upper Hot Cell Dependencies'!$C$5:$F$229,4,FALSE),"N/A")</f>
        <v>N/A</v>
      </c>
      <c r="S136" s="484" t="str">
        <f t="shared" si="5"/>
        <v>N/A</v>
      </c>
    </row>
    <row r="137" spans="2:19" ht="29.15" x14ac:dyDescent="0.4">
      <c r="B137" s="3773"/>
      <c r="C137" s="481" t="s">
        <v>814</v>
      </c>
      <c r="D137" s="482" t="s">
        <v>778</v>
      </c>
      <c r="E137" s="483">
        <f t="shared" si="9"/>
        <v>0</v>
      </c>
      <c r="F137" s="484">
        <f t="shared" ref="F137:F145" si="10">IF(S137&lt;0,E137+F136+(-S137),E137+F136)</f>
        <v>237.71310720381234</v>
      </c>
      <c r="G137" s="485"/>
      <c r="H137" s="484" t="str">
        <f>IF(D137="operation",VLOOKUP(G137,'Generic Vertical Port Tasks'!C$4:D$197,2,FALSE),"N/A")</f>
        <v>N/A</v>
      </c>
      <c r="I137" s="485" t="s">
        <v>897</v>
      </c>
      <c r="J137" s="486" t="s">
        <v>799</v>
      </c>
      <c r="K137" s="486" t="s">
        <v>452</v>
      </c>
      <c r="L137" s="487">
        <f>IFERROR(INDEX('Upper Hot Cell Logistics'!$I$35:$O$41,MATCH($J137,'Upper Hot Cell Logistics'!$H$35:$H$41,0),MATCH($K137,'Upper Hot Cell Logistics'!$H$35:$H$41,0)),"N/A")</f>
        <v>50</v>
      </c>
      <c r="M137" s="487" t="str">
        <f>IFERROR(VLOOKUP($I137,'Upper Hot Cell Logistics'!$H$4:$I$10,2,FALSE),"N/A")</f>
        <v>N/A</v>
      </c>
      <c r="N137" s="484" t="str">
        <f t="shared" si="8"/>
        <v>Error</v>
      </c>
      <c r="O137" s="488"/>
      <c r="P137" s="483" t="str">
        <f>IF($D137="Logistics",VLOOKUP($O137,'Upper Hot Cell Logistics'!$C$4:$D$51,2,FALSE),"N/A")</f>
        <v>N/A</v>
      </c>
      <c r="Q137" s="489"/>
      <c r="R137" s="483" t="str">
        <f>IFERROR(VLOOKUP($Q137,'Upper Hot Cell Dependencies'!$C$5:$F$229,4,FALSE),"N/A")</f>
        <v>N/A</v>
      </c>
      <c r="S137" s="484" t="str">
        <f t="shared" si="5"/>
        <v>N/A</v>
      </c>
    </row>
    <row r="138" spans="2:19" x14ac:dyDescent="0.4">
      <c r="B138" s="3773"/>
      <c r="C138" s="481" t="s">
        <v>811</v>
      </c>
      <c r="D138" s="482" t="s">
        <v>778</v>
      </c>
      <c r="E138" s="483">
        <f t="shared" si="9"/>
        <v>0.20833333333333334</v>
      </c>
      <c r="F138" s="484">
        <f t="shared" si="10"/>
        <v>237.92144053714568</v>
      </c>
      <c r="G138" s="485"/>
      <c r="H138" s="484" t="str">
        <f>IF(D138="operation",VLOOKUP(G138,'Generic Vertical Port Tasks'!C$4:D$197,2,FALSE),"N/A")</f>
        <v>N/A</v>
      </c>
      <c r="I138" s="485" t="s">
        <v>12</v>
      </c>
      <c r="J138" s="486" t="s">
        <v>816</v>
      </c>
      <c r="K138" s="486" t="s">
        <v>452</v>
      </c>
      <c r="L138" s="487">
        <f>IFERROR(INDEX('Upper Hot Cell Logistics'!$I$35:$O$41,MATCH($J138,'Upper Hot Cell Logistics'!$H$35:$H$41,0),MATCH($K138,'Upper Hot Cell Logistics'!$H$35:$H$41,0)),"N/A")</f>
        <v>15</v>
      </c>
      <c r="M138" s="487">
        <f>IFERROR(VLOOKUP($I138,'Upper Hot Cell Logistics'!$H$4:$I$10,2,FALSE),"N/A")</f>
        <v>0.02</v>
      </c>
      <c r="N138" s="484">
        <f t="shared" si="8"/>
        <v>0.20833333333333334</v>
      </c>
      <c r="O138" s="488"/>
      <c r="P138" s="483" t="str">
        <f>IF($D138="Logistics",VLOOKUP($O138,'Upper Hot Cell Logistics'!$C$4:$D$51,2,FALSE),"N/A")</f>
        <v>N/A</v>
      </c>
      <c r="Q138" s="489"/>
      <c r="R138" s="483" t="str">
        <f>IFERROR(VLOOKUP($Q138,'Upper Hot Cell Dependencies'!$C$5:$F$229,4,FALSE),"N/A")</f>
        <v>N/A</v>
      </c>
      <c r="S138" s="484" t="str">
        <f t="shared" si="5"/>
        <v>N/A</v>
      </c>
    </row>
    <row r="139" spans="2:19" ht="15" thickBot="1" x14ac:dyDescent="0.45">
      <c r="B139" s="3773"/>
      <c r="C139" s="491" t="s">
        <v>898</v>
      </c>
      <c r="D139" s="492" t="s">
        <v>251</v>
      </c>
      <c r="E139" s="483">
        <f t="shared" si="9"/>
        <v>34.32</v>
      </c>
      <c r="F139" s="484">
        <f t="shared" si="10"/>
        <v>272.24144053714571</v>
      </c>
      <c r="G139" s="494" t="s">
        <v>37</v>
      </c>
      <c r="H139" s="495">
        <f>IF(D139="operation",VLOOKUP(G139,'Generic Vertical Port Tasks'!C$4:D$197,2,FALSE),"N/A")</f>
        <v>34.32</v>
      </c>
      <c r="I139" s="494"/>
      <c r="J139" s="496"/>
      <c r="K139" s="496"/>
      <c r="L139" s="497" t="str">
        <f>IFERROR(INDEX('Upper Hot Cell Logistics'!$I$35:$O$41,MATCH($J139,'Upper Hot Cell Logistics'!$H$35:$H$41,0),MATCH($K139,'Upper Hot Cell Logistics'!$H$35:$H$41,0)),"N/A")</f>
        <v>N/A</v>
      </c>
      <c r="M139" s="497" t="str">
        <f>IFERROR(VLOOKUP($I139,'Upper Hot Cell Logistics'!$H$4:$I$10,2,FALSE),"N/A")</f>
        <v>N/A</v>
      </c>
      <c r="N139" s="495" t="str">
        <f t="shared" si="8"/>
        <v>N/A</v>
      </c>
      <c r="O139" s="498"/>
      <c r="P139" s="493" t="str">
        <f>IF($D139="Logistics",VLOOKUP($O139,'Upper Hot Cell Logistics'!$C$4:$D$51,2,FALSE),"N/A")</f>
        <v>N/A</v>
      </c>
      <c r="Q139" s="500"/>
      <c r="R139" s="493" t="str">
        <f>IFERROR(VLOOKUP($Q139,'Upper Hot Cell Dependencies'!$C$5:$F$229,4,FALSE),"N/A")</f>
        <v>N/A</v>
      </c>
      <c r="S139" s="495" t="str">
        <f t="shared" si="5"/>
        <v>N/A</v>
      </c>
    </row>
    <row r="140" spans="2:19" x14ac:dyDescent="0.4">
      <c r="B140" s="3886" t="s">
        <v>44</v>
      </c>
      <c r="C140" s="501" t="s">
        <v>797</v>
      </c>
      <c r="D140" s="370" t="s">
        <v>778</v>
      </c>
      <c r="E140" s="326">
        <f t="shared" si="9"/>
        <v>0.69444444444444442</v>
      </c>
      <c r="F140" s="327">
        <f t="shared" si="10"/>
        <v>272.93588498159016</v>
      </c>
      <c r="G140" s="373"/>
      <c r="H140" s="327" t="str">
        <f>IF(D140="operation",VLOOKUP(G140,'Generic Vertical Port Tasks'!C$4:D$197,2,FALSE),"N/A")</f>
        <v>N/A</v>
      </c>
      <c r="I140" s="373" t="s">
        <v>857</v>
      </c>
      <c r="J140" s="374" t="s">
        <v>858</v>
      </c>
      <c r="K140" s="374" t="s">
        <v>452</v>
      </c>
      <c r="L140" s="375">
        <f>IFERROR(INDEX('Upper Hot Cell Logistics'!$I$35:$O$41,MATCH($J140,'Upper Hot Cell Logistics'!$H$35:$H$41,0),MATCH($K140,'Upper Hot Cell Logistics'!$H$35:$H$41,0)),"N/A")</f>
        <v>50</v>
      </c>
      <c r="M140" s="375">
        <f>IFERROR(VLOOKUP($I140,'Upper Hot Cell Logistics'!$H$4:$I$10,2,FALSE),"N/A")</f>
        <v>0.02</v>
      </c>
      <c r="N140" s="327">
        <f t="shared" si="8"/>
        <v>0.69444444444444442</v>
      </c>
      <c r="O140" s="376"/>
      <c r="P140" s="326" t="str">
        <f>IF($D140="Logistics",VLOOKUP($O140,'Upper Hot Cell Logistics'!$C$4:$D$51,2,FALSE),"N/A")</f>
        <v>N/A</v>
      </c>
      <c r="Q140" s="378"/>
      <c r="R140" s="390" t="str">
        <f>IFERROR(VLOOKUP($Q140,'Upper Hot Cell Dependencies'!$C$5:$F$229,4,FALSE),"N/A")</f>
        <v>N/A</v>
      </c>
      <c r="S140" s="385" t="str">
        <f t="shared" si="5"/>
        <v>N/A</v>
      </c>
    </row>
    <row r="141" spans="2:19" x14ac:dyDescent="0.4">
      <c r="B141" s="3890"/>
      <c r="C141" s="519" t="s">
        <v>44</v>
      </c>
      <c r="D141" s="381" t="s">
        <v>251</v>
      </c>
      <c r="E141" s="390">
        <f t="shared" si="9"/>
        <v>0.16666666666666666</v>
      </c>
      <c r="F141" s="385">
        <f t="shared" si="10"/>
        <v>273.10255164825685</v>
      </c>
      <c r="G141" s="384" t="s">
        <v>260</v>
      </c>
      <c r="H141" s="385">
        <f>IF(D141="operation",VLOOKUP(G141,'Generic Vertical Port Tasks'!C$4:D$197,2,FALSE),"N/A")</f>
        <v>0.16666666666666666</v>
      </c>
      <c r="I141" s="384"/>
      <c r="J141" s="386"/>
      <c r="K141" s="386"/>
      <c r="L141" s="387" t="str">
        <f>IFERROR(INDEX('Upper Hot Cell Logistics'!$I$35:$O$41,MATCH($J141,'Upper Hot Cell Logistics'!$H$35:$H$41,0),MATCH($K141,'Upper Hot Cell Logistics'!$H$35:$H$41,0)),"N/A")</f>
        <v>N/A</v>
      </c>
      <c r="M141" s="387" t="str">
        <f>IFERROR(VLOOKUP($I141,'Upper Hot Cell Logistics'!$H$4:$I$10,2,FALSE),"N/A")</f>
        <v>N/A</v>
      </c>
      <c r="N141" s="385" t="str">
        <f t="shared" si="8"/>
        <v>N/A</v>
      </c>
      <c r="O141" s="388"/>
      <c r="P141" s="390" t="str">
        <f>IF($D141="Logistics",VLOOKUP($O141,'Upper Hot Cell Logistics'!$C$4:$D$51,2,FALSE),"N/A")</f>
        <v>N/A</v>
      </c>
      <c r="Q141" s="391"/>
      <c r="R141" s="390" t="str">
        <f>IFERROR(VLOOKUP($Q141,'Upper Hot Cell Dependencies'!$C$5:$F$229,4,FALSE),"N/A")</f>
        <v>N/A</v>
      </c>
      <c r="S141" s="385" t="str">
        <f t="shared" si="5"/>
        <v>N/A</v>
      </c>
    </row>
    <row r="142" spans="2:19" x14ac:dyDescent="0.4">
      <c r="B142" s="3890"/>
      <c r="C142" s="519" t="s">
        <v>811</v>
      </c>
      <c r="D142" s="381" t="s">
        <v>778</v>
      </c>
      <c r="E142" s="390">
        <f t="shared" si="9"/>
        <v>0.20833333333333334</v>
      </c>
      <c r="F142" s="385">
        <f t="shared" si="10"/>
        <v>273.31088498159016</v>
      </c>
      <c r="G142" s="384"/>
      <c r="H142" s="385" t="str">
        <f>IF(D142="operation",VLOOKUP(G142,'Generic Vertical Port Tasks'!C$4:D$197,2,FALSE),"N/A")</f>
        <v>N/A</v>
      </c>
      <c r="I142" s="384" t="s">
        <v>12</v>
      </c>
      <c r="J142" s="386" t="s">
        <v>816</v>
      </c>
      <c r="K142" s="386" t="s">
        <v>452</v>
      </c>
      <c r="L142" s="387">
        <f>IFERROR(INDEX('Upper Hot Cell Logistics'!$I$35:$O$41,MATCH($J142,'Upper Hot Cell Logistics'!$H$35:$H$41,0),MATCH($K142,'Upper Hot Cell Logistics'!$H$35:$H$41,0)),"N/A")</f>
        <v>15</v>
      </c>
      <c r="M142" s="387">
        <f>IFERROR(VLOOKUP($I142,'Upper Hot Cell Logistics'!$H$4:$I$10,2,FALSE),"N/A")</f>
        <v>0.02</v>
      </c>
      <c r="N142" s="385">
        <f t="shared" si="8"/>
        <v>0.20833333333333334</v>
      </c>
      <c r="O142" s="388"/>
      <c r="P142" s="390" t="str">
        <f>IF($D142="Logistics",VLOOKUP($O142,'Upper Hot Cell Logistics'!$C$4:$D$51,2,FALSE),"N/A")</f>
        <v>N/A</v>
      </c>
      <c r="Q142" s="391"/>
      <c r="R142" s="390" t="str">
        <f>IFERROR(VLOOKUP($Q142,'Upper Hot Cell Dependencies'!$C$5:$F$229,4,FALSE),"N/A")</f>
        <v>N/A</v>
      </c>
      <c r="S142" s="385" t="str">
        <f t="shared" si="5"/>
        <v>N/A</v>
      </c>
    </row>
    <row r="143" spans="2:19" ht="15" thickBot="1" x14ac:dyDescent="0.45">
      <c r="B143" s="3887"/>
      <c r="C143" s="503" t="s">
        <v>899</v>
      </c>
      <c r="D143" s="393" t="s">
        <v>251</v>
      </c>
      <c r="E143" s="349">
        <f t="shared" si="9"/>
        <v>14.565</v>
      </c>
      <c r="F143" s="350">
        <f t="shared" si="10"/>
        <v>287.87588498159016</v>
      </c>
      <c r="G143" s="396" t="s">
        <v>261</v>
      </c>
      <c r="H143" s="350">
        <f>IF(D143="operation",VLOOKUP(G143,'Generic Vertical Port Tasks'!C$4:D$197,2,FALSE),"N/A")</f>
        <v>14.565</v>
      </c>
      <c r="I143" s="396"/>
      <c r="J143" s="397"/>
      <c r="K143" s="397"/>
      <c r="L143" s="398" t="str">
        <f>IFERROR(INDEX('Upper Hot Cell Logistics'!$I$35:$O$41,MATCH($J143,'Upper Hot Cell Logistics'!$H$35:$H$41,0),MATCH($K143,'Upper Hot Cell Logistics'!$H$35:$H$41,0)),"N/A")</f>
        <v>N/A</v>
      </c>
      <c r="M143" s="398" t="str">
        <f>IFERROR(VLOOKUP($I143,'Upper Hot Cell Logistics'!$H$4:$I$10,2,FALSE),"N/A")</f>
        <v>N/A</v>
      </c>
      <c r="N143" s="350" t="str">
        <f t="shared" si="8"/>
        <v>N/A</v>
      </c>
      <c r="O143" s="399"/>
      <c r="P143" s="349" t="str">
        <f>IF($D143="Logistics",VLOOKUP($O143,'Upper Hot Cell Logistics'!$C$4:$D$51,2,FALSE),"N/A")</f>
        <v>N/A</v>
      </c>
      <c r="Q143" s="401"/>
      <c r="R143" s="349" t="str">
        <f>IFERROR(VLOOKUP($Q143,'Upper Hot Cell Dependencies'!$C$5:$F$229,4,FALSE),"N/A")</f>
        <v>N/A</v>
      </c>
      <c r="S143" s="350" t="str">
        <f t="shared" si="5"/>
        <v>N/A</v>
      </c>
    </row>
    <row r="144" spans="2:19" x14ac:dyDescent="0.4">
      <c r="B144" s="4037" t="s">
        <v>2381</v>
      </c>
      <c r="C144" s="354" t="s">
        <v>2384</v>
      </c>
      <c r="D144" s="355" t="s">
        <v>3</v>
      </c>
      <c r="E144" s="305">
        <f t="shared" si="9"/>
        <v>1.28</v>
      </c>
      <c r="F144" s="306">
        <f t="shared" si="10"/>
        <v>289.15588498159013</v>
      </c>
      <c r="G144" s="358"/>
      <c r="H144" s="2389" t="str">
        <f>IF(D144="operation",VLOOKUP(G144,'Generic Vertical Port Tasks'!C$4:D$197,2,FALSE),"N/A")</f>
        <v>N/A</v>
      </c>
      <c r="I144" s="358"/>
      <c r="J144" s="359"/>
      <c r="K144" s="359"/>
      <c r="L144" s="360"/>
      <c r="M144" s="360"/>
      <c r="N144" s="309" t="str">
        <f t="shared" si="8"/>
        <v>N/A</v>
      </c>
      <c r="O144" s="308" t="s">
        <v>802</v>
      </c>
      <c r="P144" s="3665">
        <f>IF($D144="Logistics",VLOOKUP($O144,'Upper Hot Cell Logistics'!$C$4:$D$51,2,FALSE),"N/A")</f>
        <v>1.28</v>
      </c>
      <c r="Q144" s="314"/>
      <c r="R144" s="313" t="str">
        <f>IFERROR(VLOOKUP($Q144,'Upper Hot Cell Dependencies'!$C$5:$F$229,4,FALSE),"N/A")</f>
        <v>N/A</v>
      </c>
      <c r="S144" s="307" t="str">
        <f t="shared" si="5"/>
        <v>N/A</v>
      </c>
    </row>
    <row r="145" spans="2:19" x14ac:dyDescent="0.4">
      <c r="B145" s="4039"/>
      <c r="C145" s="321" t="s">
        <v>2385</v>
      </c>
      <c r="D145" s="322" t="s">
        <v>251</v>
      </c>
      <c r="E145" s="315">
        <f t="shared" si="9"/>
        <v>5.7722222222222221</v>
      </c>
      <c r="F145" s="323">
        <f t="shared" si="10"/>
        <v>294.92810720381237</v>
      </c>
      <c r="G145" s="316" t="s">
        <v>2385</v>
      </c>
      <c r="H145" s="319">
        <f>IF(D145="operation",VLOOKUP(G145,'Generic Vertical Port Tasks'!C$4:D$197,2,FALSE),"N/A")</f>
        <v>5.7722222222222221</v>
      </c>
      <c r="I145" s="316"/>
      <c r="J145" s="317"/>
      <c r="K145" s="317"/>
      <c r="L145" s="318" t="str">
        <f>IFERROR(INDEX('Upper Hot Cell Logistics'!$I$35:$O$41,MATCH($J145,'Upper Hot Cell Logistics'!$H$35:$H$41,0),MATCH($K145,'Upper Hot Cell Logistics'!$H$35:$H$41,0)),"N/A")</f>
        <v>N/A</v>
      </c>
      <c r="M145" s="318" t="str">
        <f>IFERROR(VLOOKUP($I145,'Upper Hot Cell Logistics'!$H$4:$I$10,2,FALSE),"N/A")</f>
        <v>N/A</v>
      </c>
      <c r="N145" s="307" t="str">
        <f t="shared" si="8"/>
        <v>N/A</v>
      </c>
      <c r="O145" s="312"/>
      <c r="P145" s="313" t="str">
        <f>IF($D145="Logistics",VLOOKUP($O145,'Upper Hot Cell Logistics'!$C$4:$D$51,2,FALSE),"N/A")</f>
        <v>N/A</v>
      </c>
      <c r="Q145" s="314"/>
      <c r="R145" s="313" t="str">
        <f>IFERROR(VLOOKUP($Q145,'Upper Hot Cell Dependencies'!$C$5:$F$229,4,FALSE),"N/A")</f>
        <v>N/A</v>
      </c>
      <c r="S145" s="307" t="str">
        <f t="shared" si="5"/>
        <v>N/A</v>
      </c>
    </row>
    <row r="146" spans="2:19" ht="15" thickBot="1" x14ac:dyDescent="0.45">
      <c r="B146" s="4039"/>
      <c r="C146" s="317" t="s">
        <v>804</v>
      </c>
      <c r="D146" s="322" t="s">
        <v>3</v>
      </c>
      <c r="E146" s="315">
        <f t="shared" si="9"/>
        <v>1.1000000000000001</v>
      </c>
      <c r="F146" s="323">
        <f t="shared" si="6"/>
        <v>296.0281072038124</v>
      </c>
      <c r="G146" s="316"/>
      <c r="H146" s="307" t="str">
        <f>IF(D146="operation",VLOOKUP(G146,'Generic Vertical Port Tasks'!C$4:D$197,2,FALSE),"N/A")</f>
        <v>N/A</v>
      </c>
      <c r="I146" s="316"/>
      <c r="J146" s="317"/>
      <c r="K146" s="317"/>
      <c r="L146" s="318" t="str">
        <f>IFERROR(INDEX('Upper Hot Cell Logistics'!$I$35:$O$41,MATCH($J146,'Upper Hot Cell Logistics'!$H$35:$H$41,0),MATCH($K146,'Upper Hot Cell Logistics'!$H$35:$H$41,0)),"N/A")</f>
        <v>N/A</v>
      </c>
      <c r="M146" s="318" t="str">
        <f>IFERROR(VLOOKUP($I146,'Upper Hot Cell Logistics'!$H$4:$I$10,2,FALSE),"N/A")</f>
        <v>N/A</v>
      </c>
      <c r="N146" s="307" t="str">
        <f t="shared" si="8"/>
        <v>N/A</v>
      </c>
      <c r="O146" s="312" t="s">
        <v>805</v>
      </c>
      <c r="P146" s="313">
        <f>IF($D146="Logistics",VLOOKUP($O146,'Upper Hot Cell Logistics'!$C$4:$D$51,2,FALSE),"N/A")</f>
        <v>1.1000000000000001</v>
      </c>
      <c r="Q146" s="314"/>
      <c r="R146" s="313" t="str">
        <f>IFERROR(VLOOKUP($Q146,'Upper Hot Cell Dependencies'!$C$5:$F$229,4,FALSE),"N/A")</f>
        <v>N/A</v>
      </c>
      <c r="S146" s="307" t="str">
        <f t="shared" si="5"/>
        <v>N/A</v>
      </c>
    </row>
    <row r="147" spans="2:19" x14ac:dyDescent="0.4">
      <c r="B147" s="3886" t="s">
        <v>900</v>
      </c>
      <c r="C147" s="501" t="s">
        <v>797</v>
      </c>
      <c r="D147" s="370" t="s">
        <v>778</v>
      </c>
      <c r="E147" s="326">
        <f t="shared" si="9"/>
        <v>0.41666666666666669</v>
      </c>
      <c r="F147" s="327">
        <f>IF(S147&lt;0,E147+F146+(-S147),E147+F146)</f>
        <v>296.44477387047908</v>
      </c>
      <c r="G147" s="373"/>
      <c r="H147" s="327" t="str">
        <f>IF(D147="operation",VLOOKUP(G147,'Generic Vertical Port Tasks'!C$4:D$197,2,FALSE),"N/A")</f>
        <v>N/A</v>
      </c>
      <c r="I147" s="373" t="s">
        <v>857</v>
      </c>
      <c r="J147" s="374" t="s">
        <v>901</v>
      </c>
      <c r="K147" s="374" t="s">
        <v>452</v>
      </c>
      <c r="L147" s="375">
        <f>IFERROR(INDEX('Upper Hot Cell Logistics'!$I$35:$O$41,MATCH($J147,'Upper Hot Cell Logistics'!$H$35:$H$41,0),MATCH($K147,'Upper Hot Cell Logistics'!$H$35:$H$41,0)),"N/A")</f>
        <v>30</v>
      </c>
      <c r="M147" s="375">
        <f>IFERROR(VLOOKUP($I147,'Upper Hot Cell Logistics'!$H$4:$I$10,2,FALSE),"N/A")</f>
        <v>0.02</v>
      </c>
      <c r="N147" s="327">
        <f t="shared" si="8"/>
        <v>0.41666666666666669</v>
      </c>
      <c r="O147" s="376"/>
      <c r="P147" s="326" t="str">
        <f>IF($D147="Logistics",VLOOKUP($O147,'Upper Hot Cell Logistics'!$C$4:$D$51,2,FALSE),"N/A")</f>
        <v>N/A</v>
      </c>
      <c r="Q147" s="378"/>
      <c r="R147" s="326" t="str">
        <f>IFERROR(VLOOKUP($Q147,'Upper Hot Cell Dependencies'!$C$5:$F$229,4,FALSE),"N/A")</f>
        <v>N/A</v>
      </c>
      <c r="S147" s="327" t="str">
        <f t="shared" si="5"/>
        <v>N/A</v>
      </c>
    </row>
    <row r="148" spans="2:19" x14ac:dyDescent="0.4">
      <c r="B148" s="3890"/>
      <c r="C148" s="2411" t="s">
        <v>2407</v>
      </c>
      <c r="D148" s="2412" t="s">
        <v>251</v>
      </c>
      <c r="E148" s="459">
        <f t="shared" si="9"/>
        <v>0.8666666666666667</v>
      </c>
      <c r="F148" s="517">
        <f>IF(S148&lt;0,E148+F147+(-S148),E148+F147)</f>
        <v>297.31144053714576</v>
      </c>
      <c r="G148" s="2413" t="s">
        <v>2407</v>
      </c>
      <c r="H148" s="517">
        <f>IF(D148="operation",VLOOKUP(G148,'Generic Vertical Port Tasks'!C$4:D$197,2,FALSE),"N/A")</f>
        <v>0.8666666666666667</v>
      </c>
      <c r="I148" s="2413"/>
      <c r="J148" s="2414"/>
      <c r="K148" s="2414"/>
      <c r="L148" s="2415" t="str">
        <f>IFERROR(INDEX('Upper Hot Cell Logistics'!$I$35:$O$41,MATCH($J148,'Upper Hot Cell Logistics'!$H$35:$H$41,0),MATCH($K148,'Upper Hot Cell Logistics'!$H$35:$H$41,0)),"N/A")</f>
        <v>N/A</v>
      </c>
      <c r="M148" s="2415" t="str">
        <f>IFERROR(VLOOKUP($I148,'Upper Hot Cell Logistics'!$H$4:$I$10,2,FALSE),"N/A")</f>
        <v>N/A</v>
      </c>
      <c r="N148" s="517" t="str">
        <f t="shared" ref="N148:N154" si="11">IF(D148="Movement",IFERROR((L148/M148)/(60*60),"Error"),"N/A")</f>
        <v>N/A</v>
      </c>
      <c r="O148" s="516"/>
      <c r="P148" s="459" t="str">
        <f>IF($D148="Logistics",VLOOKUP($O148,'Upper Hot Cell Logistics'!$C$4:$D$51,2,FALSE),"N/A")</f>
        <v>N/A</v>
      </c>
      <c r="Q148" s="518"/>
      <c r="R148" s="459" t="str">
        <f>IFERROR(VLOOKUP($Q148,'Upper Hot Cell Dependencies'!$C$5:$F$229,4,FALSE),"N/A")</f>
        <v>N/A</v>
      </c>
      <c r="S148" s="517" t="str">
        <f t="shared" si="5"/>
        <v>N/A</v>
      </c>
    </row>
    <row r="149" spans="2:19" x14ac:dyDescent="0.4">
      <c r="B149" s="3890"/>
      <c r="C149" s="344" t="s">
        <v>2408</v>
      </c>
      <c r="D149" s="339" t="s">
        <v>3</v>
      </c>
      <c r="E149" s="340">
        <f>MAX($P149,$N149,$H149)</f>
        <v>1.1000000000000001</v>
      </c>
      <c r="F149" s="517">
        <f>IF(S149&lt;0,E149+F148+(-S149),E149+F148)</f>
        <v>298.41144053714578</v>
      </c>
      <c r="G149" s="342"/>
      <c r="H149" s="336" t="str">
        <f>IF(D149="operation",VLOOKUP(G149,'Generic Vertical Port Tasks'!C$4:D$197,2,FALSE),"N/A")</f>
        <v>N/A</v>
      </c>
      <c r="I149" s="342"/>
      <c r="J149" s="344"/>
      <c r="K149" s="344"/>
      <c r="L149" s="345" t="str">
        <f>IFERROR(INDEX('Upper Hot Cell Logistics'!$I$35:$O$41,MATCH($J149,'Upper Hot Cell Logistics'!$H$35:$H$41,0),MATCH($K149,'Upper Hot Cell Logistics'!$H$35:$H$41,0)),"N/A")</f>
        <v>N/A</v>
      </c>
      <c r="M149" s="345" t="str">
        <f>IFERROR(VLOOKUP($I149,'Upper Hot Cell Logistics'!$H$4:$I$10,2,FALSE),"N/A")</f>
        <v>N/A</v>
      </c>
      <c r="N149" s="336" t="str">
        <f t="shared" si="11"/>
        <v>N/A</v>
      </c>
      <c r="O149" s="334" t="s">
        <v>805</v>
      </c>
      <c r="P149" s="335">
        <f>IF($D149="Logistics",VLOOKUP($O149,'Upper Hot Cell Logistics'!$C$4:$D$51,2,FALSE),"N/A")</f>
        <v>1.1000000000000001</v>
      </c>
      <c r="Q149" s="346"/>
      <c r="R149" s="335" t="str">
        <f>IFERROR(VLOOKUP($Q149,'Upper Hot Cell Dependencies'!$C$5:$F$229,4,FALSE),"N/A")</f>
        <v>N/A</v>
      </c>
      <c r="S149" s="336" t="str">
        <f t="shared" si="5"/>
        <v>N/A</v>
      </c>
    </row>
    <row r="150" spans="2:19" x14ac:dyDescent="0.4">
      <c r="B150" s="3890"/>
      <c r="C150" s="519" t="s">
        <v>820</v>
      </c>
      <c r="D150" s="381" t="s">
        <v>778</v>
      </c>
      <c r="E150" s="390">
        <f t="shared" si="9"/>
        <v>0.41666666666666669</v>
      </c>
      <c r="F150" s="385">
        <f>IF(S150&lt;0,E150+F149+(-S150),E150+F149)</f>
        <v>298.82810720381246</v>
      </c>
      <c r="G150" s="384"/>
      <c r="H150" s="385" t="str">
        <f>IF(D150="operation",VLOOKUP(G150,'Generic Vertical Port Tasks'!C$4:D$197,2,FALSE),"N/A")</f>
        <v>N/A</v>
      </c>
      <c r="I150" s="384" t="s">
        <v>857</v>
      </c>
      <c r="J150" s="386" t="s">
        <v>901</v>
      </c>
      <c r="K150" s="386" t="s">
        <v>452</v>
      </c>
      <c r="L150" s="387">
        <f>IFERROR(INDEX('Upper Hot Cell Logistics'!$I$35:$O$41,MATCH($J150,'Upper Hot Cell Logistics'!$H$35:$H$41,0),MATCH($K150,'Upper Hot Cell Logistics'!$H$35:$H$41,0)),"N/A")</f>
        <v>30</v>
      </c>
      <c r="M150" s="387">
        <f>IFERROR(VLOOKUP($I150,'Upper Hot Cell Logistics'!$H$4:$I$10,2,FALSE),"N/A")</f>
        <v>0.02</v>
      </c>
      <c r="N150" s="385">
        <f t="shared" si="11"/>
        <v>0.41666666666666669</v>
      </c>
      <c r="O150" s="388"/>
      <c r="P150" s="390" t="str">
        <f>IF($D150="Logistics",VLOOKUP($O150,'Upper Hot Cell Logistics'!$C$4:$D$51,2,FALSE),"N/A")</f>
        <v>N/A</v>
      </c>
      <c r="Q150" s="391"/>
      <c r="R150" s="390" t="str">
        <f>IFERROR(VLOOKUP($Q150,'Upper Hot Cell Dependencies'!$C$5:$F$229,4,FALSE),"N/A")</f>
        <v>N/A</v>
      </c>
      <c r="S150" s="385" t="str">
        <f t="shared" si="5"/>
        <v>N/A</v>
      </c>
    </row>
    <row r="151" spans="2:19" ht="15" thickBot="1" x14ac:dyDescent="0.45">
      <c r="B151" s="3890"/>
      <c r="C151" s="519" t="s">
        <v>46</v>
      </c>
      <c r="D151" s="381" t="s">
        <v>251</v>
      </c>
      <c r="E151" s="390">
        <f>MAX($P151,$N151,$H151)</f>
        <v>1.0999999999999999</v>
      </c>
      <c r="F151" s="385">
        <f t="shared" si="6"/>
        <v>299.92810720381249</v>
      </c>
      <c r="G151" s="384" t="s">
        <v>46</v>
      </c>
      <c r="H151" s="385">
        <f>IF(D151="operation",VLOOKUP(G151,'Generic Vertical Port Tasks'!C$4:D$197,2,FALSE),"N/A")</f>
        <v>1.0999999999999999</v>
      </c>
      <c r="I151" s="384"/>
      <c r="J151" s="386"/>
      <c r="K151" s="386"/>
      <c r="L151" s="387" t="str">
        <f>IFERROR(INDEX('Upper Hot Cell Logistics'!$I$35:$O$41,MATCH($J151,'Upper Hot Cell Logistics'!$H$35:$H$41,0),MATCH($K151,'Upper Hot Cell Logistics'!$H$35:$H$41,0)),"N/A")</f>
        <v>N/A</v>
      </c>
      <c r="M151" s="387" t="str">
        <f>IFERROR(VLOOKUP($I151,'Upper Hot Cell Logistics'!$H$4:$I$10,2,FALSE),"N/A")</f>
        <v>N/A</v>
      </c>
      <c r="N151" s="385" t="str">
        <f t="shared" si="11"/>
        <v>N/A</v>
      </c>
      <c r="O151" s="388"/>
      <c r="P151" s="390" t="str">
        <f>IF($D151="Logistics",VLOOKUP($O151,'Upper Hot Cell Logistics'!$C$4:$D$51,2,FALSE),"N/A")</f>
        <v>N/A</v>
      </c>
      <c r="Q151" s="391"/>
      <c r="R151" s="390" t="str">
        <f>IFERROR(VLOOKUP($Q151,'Upper Hot Cell Dependencies'!$C$5:$F$229,4,FALSE),"N/A")</f>
        <v>N/A</v>
      </c>
      <c r="S151" s="385" t="str">
        <f>IFERROR(F150-R151,"N/A")</f>
        <v>N/A</v>
      </c>
    </row>
    <row r="152" spans="2:19" x14ac:dyDescent="0.4">
      <c r="B152" s="4037" t="s">
        <v>801</v>
      </c>
      <c r="C152" s="354" t="s">
        <v>2383</v>
      </c>
      <c r="D152" s="355" t="s">
        <v>3</v>
      </c>
      <c r="E152" s="305">
        <f>MAX($P152,$N152,$H152)</f>
        <v>1.28</v>
      </c>
      <c r="F152" s="306">
        <f>IF(S152&lt;0,E152+F151+(-S152),E152+F151)</f>
        <v>301.20810720381246</v>
      </c>
      <c r="G152" s="358"/>
      <c r="H152" s="2389" t="str">
        <f>IF(D152="operation",VLOOKUP(G152,'Generic Vertical Port Tasks'!C$4:D$197,2,FALSE),"N/A")</f>
        <v>N/A</v>
      </c>
      <c r="I152" s="358"/>
      <c r="J152" s="359"/>
      <c r="K152" s="359"/>
      <c r="L152" s="360"/>
      <c r="M152" s="360"/>
      <c r="N152" s="309" t="str">
        <f t="shared" si="11"/>
        <v>N/A</v>
      </c>
      <c r="O152" s="308" t="s">
        <v>802</v>
      </c>
      <c r="P152" s="3665">
        <f>IF($D152="Logistics",VLOOKUP($O152,'Upper Hot Cell Logistics'!$C$4:$D$51,2,FALSE),"N/A")</f>
        <v>1.28</v>
      </c>
      <c r="Q152" s="314" t="s">
        <v>803</v>
      </c>
      <c r="R152" s="313">
        <f>IFERROR(VLOOKUP($Q152,'Upper Hot Cell Dependencies'!$C$5:$F$229,4,FALSE),"N/A")</f>
        <v>1.7744444444444445</v>
      </c>
      <c r="S152" s="307">
        <f>IFERROR(F151-R152,"N/A")</f>
        <v>298.15366275936805</v>
      </c>
    </row>
    <row r="153" spans="2:19" x14ac:dyDescent="0.4">
      <c r="B153" s="4039"/>
      <c r="C153" s="321" t="s">
        <v>596</v>
      </c>
      <c r="D153" s="322" t="s">
        <v>251</v>
      </c>
      <c r="E153" s="315">
        <f>MAX($P153,$N153,$H153)</f>
        <v>6.7722222222222221</v>
      </c>
      <c r="F153" s="323">
        <f>IF(S153&lt;0,E153+F152+(-S153),E153+F152)</f>
        <v>307.9803294260347</v>
      </c>
      <c r="G153" s="316" t="s">
        <v>596</v>
      </c>
      <c r="H153" s="319">
        <f>IF(D153="operation",VLOOKUP(G153,'Generic Vertical Port Tasks'!C$4:D$197,2,FALSE),"N/A")</f>
        <v>6.7722222222222221</v>
      </c>
      <c r="I153" s="316"/>
      <c r="J153" s="317"/>
      <c r="K153" s="317"/>
      <c r="L153" s="318" t="str">
        <f>IFERROR(INDEX('Upper Hot Cell Logistics'!$I$35:$O$41,MATCH($J153,'Upper Hot Cell Logistics'!$H$35:$H$41,0),MATCH($K153,'Upper Hot Cell Logistics'!$H$35:$H$41,0)),"N/A")</f>
        <v>N/A</v>
      </c>
      <c r="M153" s="318" t="str">
        <f>IFERROR(VLOOKUP($I153,'Upper Hot Cell Logistics'!$H$4:$I$10,2,FALSE),"N/A")</f>
        <v>N/A</v>
      </c>
      <c r="N153" s="307" t="str">
        <f t="shared" si="11"/>
        <v>N/A</v>
      </c>
      <c r="O153" s="312"/>
      <c r="P153" s="313" t="str">
        <f>IF($D153="Logistics",VLOOKUP($O153,'Upper Hot Cell Logistics'!$C$4:$D$51,2,FALSE),"N/A")</f>
        <v>N/A</v>
      </c>
      <c r="Q153" s="314"/>
      <c r="R153" s="313" t="str">
        <f>IFERROR(VLOOKUP($Q153,'Upper Hot Cell Dependencies'!$C$5:$F$229,4,FALSE),"N/A")</f>
        <v>N/A</v>
      </c>
      <c r="S153" s="307" t="str">
        <f>IFERROR(F152-R153,"N/A")</f>
        <v>N/A</v>
      </c>
    </row>
    <row r="154" spans="2:19" ht="15" thickBot="1" x14ac:dyDescent="0.45">
      <c r="B154" s="4038"/>
      <c r="C154" s="366" t="s">
        <v>2382</v>
      </c>
      <c r="D154" s="361" t="s">
        <v>3</v>
      </c>
      <c r="E154" s="362">
        <f>MAX($P154,$N154,$H154)</f>
        <v>1.1000000000000001</v>
      </c>
      <c r="F154" s="363">
        <f>IF(S154&lt;0,E154+F153+(-S154),E154+F153)</f>
        <v>309.08032942603472</v>
      </c>
      <c r="G154" s="364"/>
      <c r="H154" s="319" t="str">
        <f>IF(D154="operation",VLOOKUP(G154,'Generic Vertical Port Tasks'!C$4:D$197,2,FALSE),"N/A")</f>
        <v>N/A</v>
      </c>
      <c r="I154" s="316"/>
      <c r="J154" s="317"/>
      <c r="K154" s="317"/>
      <c r="L154" s="318" t="str">
        <f>IFERROR(INDEX('Upper Hot Cell Logistics'!$I$35:$O$41,MATCH($J154,'Upper Hot Cell Logistics'!$H$35:$H$41,0),MATCH($K154,'Upper Hot Cell Logistics'!$H$35:$H$41,0)),"N/A")</f>
        <v>N/A</v>
      </c>
      <c r="M154" s="318" t="str">
        <f>IFERROR(VLOOKUP($I154,'Upper Hot Cell Logistics'!$H$4:$I$10,2,FALSE),"N/A")</f>
        <v>N/A</v>
      </c>
      <c r="N154" s="307" t="str">
        <f t="shared" si="11"/>
        <v>N/A</v>
      </c>
      <c r="O154" s="367" t="s">
        <v>805</v>
      </c>
      <c r="P154" s="368">
        <f>IF($D154="Logistics",VLOOKUP($O154,'Upper Hot Cell Logistics'!$C$4:$D$51,2,FALSE),"N/A")</f>
        <v>1.1000000000000001</v>
      </c>
      <c r="Q154" s="314"/>
      <c r="R154" s="313" t="str">
        <f>IFERROR(VLOOKUP($Q154,'Upper Hot Cell Dependencies'!$C$5:$F$229,4,FALSE),"N/A")</f>
        <v>N/A</v>
      </c>
      <c r="S154" s="307" t="str">
        <f>IFERROR(F153-R154,"N/A")</f>
        <v>N/A</v>
      </c>
    </row>
    <row r="155" spans="2:19" x14ac:dyDescent="0.4">
      <c r="B155" s="3817" t="s">
        <v>905</v>
      </c>
      <c r="C155" s="520" t="s">
        <v>850</v>
      </c>
      <c r="D155" s="520"/>
      <c r="E155" s="521">
        <f>F154</f>
        <v>309.08032942603472</v>
      </c>
      <c r="F155" s="522">
        <f>F154+(-S157)</f>
        <v>310.22977387047916</v>
      </c>
      <c r="G155" s="523"/>
      <c r="H155" s="523"/>
      <c r="I155" s="523"/>
      <c r="J155" s="523"/>
      <c r="K155" s="523"/>
      <c r="L155" s="523"/>
      <c r="M155" s="523"/>
      <c r="N155" s="523"/>
      <c r="O155" s="523"/>
      <c r="P155" s="524"/>
      <c r="Q155" s="525"/>
      <c r="R155" s="525"/>
      <c r="S155" s="526"/>
    </row>
    <row r="156" spans="2:19" x14ac:dyDescent="0.4">
      <c r="B156" s="3818"/>
      <c r="C156" s="527" t="s">
        <v>851</v>
      </c>
      <c r="D156" s="527"/>
      <c r="E156" s="528">
        <f>SUMIF(D87:D154,"Operation",E87:E154)</f>
        <v>290.1264405371457</v>
      </c>
      <c r="F156" s="529"/>
      <c r="G156" s="529"/>
      <c r="H156" s="529">
        <f>E156/$E$155</f>
        <v>0.93867649577025303</v>
      </c>
      <c r="I156" s="530"/>
      <c r="J156" s="530"/>
      <c r="K156" s="530"/>
      <c r="L156" s="530"/>
      <c r="M156" s="530"/>
      <c r="N156" s="530"/>
      <c r="O156" s="530"/>
      <c r="P156" s="531"/>
      <c r="Q156" s="532"/>
      <c r="R156" s="532"/>
      <c r="S156" s="533"/>
    </row>
    <row r="157" spans="2:19" x14ac:dyDescent="0.4">
      <c r="B157" s="3818"/>
      <c r="C157" s="527" t="s">
        <v>852</v>
      </c>
      <c r="D157" s="527"/>
      <c r="E157" s="528">
        <f>SUMIF(D87:D154,"Logistics",E87:E154)</f>
        <v>5.8599999999999994</v>
      </c>
      <c r="F157" s="529"/>
      <c r="G157" s="529"/>
      <c r="H157" s="529">
        <f>E157/$E$155</f>
        <v>1.8959472480445709E-2</v>
      </c>
      <c r="I157" s="527"/>
      <c r="J157" s="527"/>
      <c r="K157" s="527"/>
      <c r="L157" s="527"/>
      <c r="M157" s="527"/>
      <c r="N157" s="527"/>
      <c r="O157" s="527"/>
      <c r="P157" s="534" t="s">
        <v>116</v>
      </c>
      <c r="Q157" s="532"/>
      <c r="R157" s="534" t="s">
        <v>116</v>
      </c>
      <c r="S157" s="3666">
        <f>SUMIF(S87:S151, "&lt;0")</f>
        <v>-1.1494444444444445</v>
      </c>
    </row>
    <row r="158" spans="2:19" ht="15" thickBot="1" x14ac:dyDescent="0.45">
      <c r="B158" s="3819"/>
      <c r="C158" s="633" t="s">
        <v>853</v>
      </c>
      <c r="D158" s="633"/>
      <c r="E158" s="1737">
        <f>SUMIF(D87:D154,"Movement",E87:E154)</f>
        <v>11.944444444444448</v>
      </c>
      <c r="F158" s="3667"/>
      <c r="G158" s="3667"/>
      <c r="H158" s="3667">
        <f>E158/$E$155</f>
        <v>3.8645113607279381E-2</v>
      </c>
      <c r="I158" s="633"/>
      <c r="J158" s="633"/>
      <c r="K158" s="633"/>
      <c r="L158" s="633"/>
      <c r="M158" s="633"/>
      <c r="N158" s="633"/>
      <c r="O158" s="633"/>
      <c r="P158" s="3668"/>
      <c r="Q158" s="3668"/>
      <c r="R158" s="3668"/>
      <c r="S158" s="635"/>
    </row>
    <row r="159" spans="2:19" x14ac:dyDescent="0.4">
      <c r="B159" s="4042" t="s">
        <v>906</v>
      </c>
      <c r="C159" s="535" t="s">
        <v>850</v>
      </c>
      <c r="D159" s="535"/>
      <c r="E159" s="536">
        <f>E155+F83</f>
        <v>309.08032942603472</v>
      </c>
      <c r="F159" s="537"/>
      <c r="G159" s="537"/>
      <c r="H159" s="537"/>
      <c r="I159" s="538"/>
      <c r="J159" s="538"/>
      <c r="K159" s="538"/>
      <c r="L159" s="538"/>
      <c r="M159" s="538"/>
      <c r="N159" s="538"/>
      <c r="O159" s="538"/>
      <c r="P159" s="539"/>
      <c r="Q159" s="539"/>
      <c r="R159" s="539"/>
      <c r="S159" s="540"/>
    </row>
    <row r="160" spans="2:19" x14ac:dyDescent="0.4">
      <c r="B160" s="4043"/>
      <c r="C160" s="541" t="s">
        <v>851</v>
      </c>
      <c r="D160" s="541"/>
      <c r="E160" s="542">
        <f>E156+F84</f>
        <v>290.1264405371457</v>
      </c>
      <c r="F160" s="543"/>
      <c r="G160" s="543"/>
      <c r="H160" s="543">
        <f>E160/$E$159</f>
        <v>0.93867649577025303</v>
      </c>
      <c r="I160" s="544"/>
      <c r="J160" s="544"/>
      <c r="K160" s="544"/>
      <c r="L160" s="544"/>
      <c r="M160" s="544"/>
      <c r="N160" s="544"/>
      <c r="O160" s="544"/>
      <c r="P160" s="545"/>
      <c r="Q160" s="545"/>
      <c r="R160" s="545"/>
      <c r="S160" s="546"/>
    </row>
    <row r="161" spans="2:19" x14ac:dyDescent="0.4">
      <c r="B161" s="4043"/>
      <c r="C161" s="541" t="s">
        <v>852</v>
      </c>
      <c r="D161" s="541"/>
      <c r="E161" s="542">
        <f>E157+F85</f>
        <v>5.8599999999999994</v>
      </c>
      <c r="F161" s="543"/>
      <c r="G161" s="543"/>
      <c r="H161" s="543">
        <f>E161/$E$159</f>
        <v>1.8959472480445709E-2</v>
      </c>
      <c r="I161" s="541"/>
      <c r="J161" s="541"/>
      <c r="K161" s="541"/>
      <c r="L161" s="541"/>
      <c r="M161" s="541"/>
      <c r="N161" s="541"/>
      <c r="O161" s="541"/>
      <c r="P161" s="547" t="s">
        <v>116</v>
      </c>
      <c r="Q161" s="545"/>
      <c r="R161" s="547" t="s">
        <v>116</v>
      </c>
      <c r="S161" s="548">
        <f>S157+S85</f>
        <v>-31.635898052515476</v>
      </c>
    </row>
    <row r="162" spans="2:19" ht="15" thickBot="1" x14ac:dyDescent="0.45">
      <c r="B162" s="4044"/>
      <c r="C162" s="549" t="s">
        <v>853</v>
      </c>
      <c r="D162" s="549"/>
      <c r="E162" s="550">
        <f>E158+F86</f>
        <v>11.944444444444448</v>
      </c>
      <c r="F162" s="551"/>
      <c r="G162" s="551"/>
      <c r="H162" s="551">
        <f>E162/$E$159</f>
        <v>3.8645113607279381E-2</v>
      </c>
      <c r="I162" s="549"/>
      <c r="J162" s="549"/>
      <c r="K162" s="549"/>
      <c r="L162" s="549"/>
      <c r="M162" s="549"/>
      <c r="N162" s="549"/>
      <c r="O162" s="549"/>
      <c r="P162" s="552"/>
      <c r="Q162" s="553"/>
      <c r="R162" s="553"/>
      <c r="S162" s="554"/>
    </row>
    <row r="164" spans="2:19" x14ac:dyDescent="0.4">
      <c r="C164" s="88"/>
      <c r="D164" s="555"/>
    </row>
  </sheetData>
  <autoFilter ref="C3:P162"/>
  <customSheetViews>
    <customSheetView guid="{9C0AA20B-B2A2-4A2C-B279-4A5988F4E71A}" scale="70" showAutoFilter="1" hiddenColumns="1" state="hidden" topLeftCell="A100">
      <selection activeCell="H129" sqref="H129"/>
      <pageMargins left="0.7" right="0.7" top="0.75" bottom="0.75" header="0.3" footer="0.3"/>
      <pageSetup paperSize="9" orientation="portrait" verticalDpi="0" r:id="rId1"/>
      <autoFilter ref="C3:P82"/>
    </customSheetView>
  </customSheetViews>
  <mergeCells count="46">
    <mergeCell ref="B159:B162"/>
    <mergeCell ref="B113:B114"/>
    <mergeCell ref="B115:B118"/>
    <mergeCell ref="B119:B120"/>
    <mergeCell ref="B121:B124"/>
    <mergeCell ref="B125:B126"/>
    <mergeCell ref="B127:B130"/>
    <mergeCell ref="B144:B146"/>
    <mergeCell ref="B131:B134"/>
    <mergeCell ref="B135:B139"/>
    <mergeCell ref="B140:B143"/>
    <mergeCell ref="B147:B151"/>
    <mergeCell ref="B155:B158"/>
    <mergeCell ref="B152:B154"/>
    <mergeCell ref="B55:B58"/>
    <mergeCell ref="B16:B18"/>
    <mergeCell ref="B23:B25"/>
    <mergeCell ref="B26:B28"/>
    <mergeCell ref="B109:B112"/>
    <mergeCell ref="B61:B64"/>
    <mergeCell ref="B65:B66"/>
    <mergeCell ref="B67:B70"/>
    <mergeCell ref="B71:B72"/>
    <mergeCell ref="B73:B82"/>
    <mergeCell ref="B83:B86"/>
    <mergeCell ref="B87:B90"/>
    <mergeCell ref="B91:B100"/>
    <mergeCell ref="B101:B102"/>
    <mergeCell ref="B103:B106"/>
    <mergeCell ref="B107:B108"/>
    <mergeCell ref="G2:H2"/>
    <mergeCell ref="I2:N2"/>
    <mergeCell ref="O2:P2"/>
    <mergeCell ref="Q2:S2"/>
    <mergeCell ref="B59:B60"/>
    <mergeCell ref="B4:B9"/>
    <mergeCell ref="B10:B12"/>
    <mergeCell ref="B13:B15"/>
    <mergeCell ref="B19:B22"/>
    <mergeCell ref="B29:B35"/>
    <mergeCell ref="B36:B39"/>
    <mergeCell ref="B40:B42"/>
    <mergeCell ref="B43:B46"/>
    <mergeCell ref="B47:B48"/>
    <mergeCell ref="B49:B52"/>
    <mergeCell ref="B53:B54"/>
  </mergeCells>
  <conditionalFormatting sqref="D73:D82 D34:D39 G34:P39 G73:P82 G45:P48 H44:P44 D101:D102 G102:P102 G101:I101 K101:P101 Q129:Q131 L88:N90 G87:K90 O87:P90 D87:D92 G91:Q92 D4:D15 H30:H33 H49:H72 G19:P22 D19:D22 D29 G29:P29 G43:P43 D43:D48 G4:P15 D147:D148 G147:Q148">
    <cfRule type="cellIs" dxfId="259" priority="346" stopIfTrue="1" operator="equal">
      <formula>"Operation"</formula>
    </cfRule>
  </conditionalFormatting>
  <conditionalFormatting sqref="L49:P49 H50:P52 D49:D54 H54:P54 G49:H49 G53:P53">
    <cfRule type="cellIs" dxfId="258" priority="345" stopIfTrue="1" operator="equal">
      <formula>"Operation"</formula>
    </cfRule>
  </conditionalFormatting>
  <conditionalFormatting sqref="L55:P55 L57:P57 H58:P58 H56:P56 D55:D60 H60:P60 G59:P59 G55:H55 H57">
    <cfRule type="cellIs" dxfId="257" priority="344" stopIfTrue="1" operator="equal">
      <formula>"Operation"</formula>
    </cfRule>
  </conditionalFormatting>
  <conditionalFormatting sqref="L61:P61 L63:P63 D61:D66 L65:P65 H64:P64 H62:P62 H66:P66 G65:H65 G61:H61 H63">
    <cfRule type="cellIs" dxfId="256" priority="343" stopIfTrue="1" operator="equal">
      <formula>"Operation"</formula>
    </cfRule>
  </conditionalFormatting>
  <conditionalFormatting sqref="L67:P67 L69:P69 D67:D72 L71:P71 H70:P70 H68:P68 H72:P72 G71:H71 G67:H67 H69">
    <cfRule type="cellIs" dxfId="255" priority="342" stopIfTrue="1" operator="equal">
      <formula>"Operation"</formula>
    </cfRule>
  </conditionalFormatting>
  <conditionalFormatting sqref="D30:D33 G30:P33">
    <cfRule type="cellIs" dxfId="254" priority="341" stopIfTrue="1" operator="equal">
      <formula>"Operation"</formula>
    </cfRule>
  </conditionalFormatting>
  <conditionalFormatting sqref="I49:K49">
    <cfRule type="cellIs" dxfId="253" priority="340" stopIfTrue="1" operator="equal">
      <formula>"Operation"</formula>
    </cfRule>
  </conditionalFormatting>
  <conditionalFormatting sqref="I55:K55">
    <cfRule type="cellIs" dxfId="252" priority="339" stopIfTrue="1" operator="equal">
      <formula>"Operation"</formula>
    </cfRule>
  </conditionalFormatting>
  <conditionalFormatting sqref="I61:K61">
    <cfRule type="cellIs" dxfId="251" priority="338" stopIfTrue="1" operator="equal">
      <formula>"Operation"</formula>
    </cfRule>
  </conditionalFormatting>
  <conditionalFormatting sqref="I67:K67">
    <cfRule type="cellIs" dxfId="250" priority="337" stopIfTrue="1" operator="equal">
      <formula>"Operation"</formula>
    </cfRule>
  </conditionalFormatting>
  <conditionalFormatting sqref="I57:K57">
    <cfRule type="cellIs" dxfId="249" priority="336" stopIfTrue="1" operator="equal">
      <formula>"Operation"</formula>
    </cfRule>
  </conditionalFormatting>
  <conditionalFormatting sqref="I63:K63">
    <cfRule type="cellIs" dxfId="248" priority="335" stopIfTrue="1" operator="equal">
      <formula>"Operation"</formula>
    </cfRule>
  </conditionalFormatting>
  <conditionalFormatting sqref="I69:K69">
    <cfRule type="cellIs" dxfId="247" priority="334" stopIfTrue="1" operator="equal">
      <formula>"Operation"</formula>
    </cfRule>
  </conditionalFormatting>
  <conditionalFormatting sqref="I65:K65">
    <cfRule type="cellIs" dxfId="246" priority="333" stopIfTrue="1" operator="equal">
      <formula>"Operation"</formula>
    </cfRule>
  </conditionalFormatting>
  <conditionalFormatting sqref="I71:K71">
    <cfRule type="cellIs" dxfId="245" priority="332" stopIfTrue="1" operator="equal">
      <formula>"Operation"</formula>
    </cfRule>
  </conditionalFormatting>
  <conditionalFormatting sqref="G50:G52">
    <cfRule type="cellIs" dxfId="244" priority="331" stopIfTrue="1" operator="equal">
      <formula>"Operation"</formula>
    </cfRule>
  </conditionalFormatting>
  <conditionalFormatting sqref="G57:G58">
    <cfRule type="cellIs" dxfId="243" priority="330" stopIfTrue="1" operator="equal">
      <formula>"Operation"</formula>
    </cfRule>
  </conditionalFormatting>
  <conditionalFormatting sqref="G63:G64">
    <cfRule type="cellIs" dxfId="242" priority="329" stopIfTrue="1" operator="equal">
      <formula>"Operation"</formula>
    </cfRule>
  </conditionalFormatting>
  <conditionalFormatting sqref="G69:G70">
    <cfRule type="cellIs" dxfId="241" priority="328" stopIfTrue="1" operator="equal">
      <formula>"Operation"</formula>
    </cfRule>
  </conditionalFormatting>
  <conditionalFormatting sqref="G54">
    <cfRule type="cellIs" dxfId="240" priority="327" stopIfTrue="1" operator="equal">
      <formula>"Operation"</formula>
    </cfRule>
  </conditionalFormatting>
  <conditionalFormatting sqref="G60">
    <cfRule type="cellIs" dxfId="239" priority="326" stopIfTrue="1" operator="equal">
      <formula>"Operation"</formula>
    </cfRule>
  </conditionalFormatting>
  <conditionalFormatting sqref="G66">
    <cfRule type="cellIs" dxfId="238" priority="325" stopIfTrue="1" operator="equal">
      <formula>"Operation"</formula>
    </cfRule>
  </conditionalFormatting>
  <conditionalFormatting sqref="G72">
    <cfRule type="cellIs" dxfId="237" priority="324" stopIfTrue="1" operator="equal">
      <formula>"Operation"</formula>
    </cfRule>
  </conditionalFormatting>
  <conditionalFormatting sqref="D101:D102 D163 D87:D92 D165:D65522 D19:D22 D29:D39 D43:D82 D147:D148 D1:D15">
    <cfRule type="cellIs" dxfId="236" priority="323" stopIfTrue="1" operator="equal">
      <formula>"Total"</formula>
    </cfRule>
  </conditionalFormatting>
  <conditionalFormatting sqref="S101:S102 S91:S92 S4:S15 S19:S22 S29:S39 S43:S82 S147:S148">
    <cfRule type="cellIs" dxfId="235" priority="321" stopIfTrue="1" operator="lessThan">
      <formula>0</formula>
    </cfRule>
  </conditionalFormatting>
  <conditionalFormatting sqref="H102:P102 H101:I101 K101:P101 H110:P112 R110:S112 R101:S102 Q129:Q131 H87:K90 L88:Q90 O87:Q87 H91:S92 H19:S22 H29:S39 H43:S82 H4:S15 H147:S148">
    <cfRule type="cellIs" dxfId="234" priority="320" stopIfTrue="1" operator="equal">
      <formula>"N/A"</formula>
    </cfRule>
  </conditionalFormatting>
  <conditionalFormatting sqref="G56">
    <cfRule type="cellIs" dxfId="233" priority="319" stopIfTrue="1" operator="equal">
      <formula>"Operation"</formula>
    </cfRule>
  </conditionalFormatting>
  <conditionalFormatting sqref="G62">
    <cfRule type="cellIs" dxfId="232" priority="318" stopIfTrue="1" operator="equal">
      <formula>"Operation"</formula>
    </cfRule>
  </conditionalFormatting>
  <conditionalFormatting sqref="G68">
    <cfRule type="cellIs" dxfId="231" priority="317" stopIfTrue="1" operator="equal">
      <formula>"Operation"</formula>
    </cfRule>
  </conditionalFormatting>
  <conditionalFormatting sqref="G44">
    <cfRule type="cellIs" dxfId="230" priority="316" stopIfTrue="1" operator="equal">
      <formula>"Operation"</formula>
    </cfRule>
  </conditionalFormatting>
  <conditionalFormatting sqref="D93:D100 G93:H100 L93:P100">
    <cfRule type="cellIs" dxfId="229" priority="315" stopIfTrue="1" operator="equal">
      <formula>"Operation"</formula>
    </cfRule>
  </conditionalFormatting>
  <conditionalFormatting sqref="D93:D100">
    <cfRule type="cellIs" dxfId="228" priority="314" stopIfTrue="1" operator="equal">
      <formula>"Total"</formula>
    </cfRule>
  </conditionalFormatting>
  <conditionalFormatting sqref="S93:S100">
    <cfRule type="cellIs" dxfId="227" priority="312" stopIfTrue="1" operator="lessThan">
      <formula>0</formula>
    </cfRule>
  </conditionalFormatting>
  <conditionalFormatting sqref="H93:H100 R93:S100 L93:P100">
    <cfRule type="cellIs" dxfId="226" priority="311" stopIfTrue="1" operator="equal">
      <formula>"N/A"</formula>
    </cfRule>
  </conditionalFormatting>
  <conditionalFormatting sqref="I109 K109">
    <cfRule type="cellIs" dxfId="225" priority="298" stopIfTrue="1" operator="equal">
      <formula>"Operation"</formula>
    </cfRule>
  </conditionalFormatting>
  <conditionalFormatting sqref="I123:K123">
    <cfRule type="cellIs" dxfId="224" priority="267" stopIfTrue="1" operator="equal">
      <formula>"Operation"</formula>
    </cfRule>
  </conditionalFormatting>
  <conditionalFormatting sqref="I118:K118 I116:K116">
    <cfRule type="cellIs" dxfId="223" priority="258" stopIfTrue="1" operator="equal">
      <formula>"Operation"</formula>
    </cfRule>
  </conditionalFormatting>
  <conditionalFormatting sqref="H103:H106">
    <cfRule type="cellIs" dxfId="222" priority="310" stopIfTrue="1" operator="equal">
      <formula>"Operation"</formula>
    </cfRule>
  </conditionalFormatting>
  <conditionalFormatting sqref="D103:D106 G103:H103 H104:H106 L103:P106">
    <cfRule type="cellIs" dxfId="221" priority="309" stopIfTrue="1" operator="equal">
      <formula>"Operation"</formula>
    </cfRule>
  </conditionalFormatting>
  <conditionalFormatting sqref="G105:G106">
    <cfRule type="cellIs" dxfId="220" priority="308" stopIfTrue="1" operator="equal">
      <formula>"Operation"</formula>
    </cfRule>
  </conditionalFormatting>
  <conditionalFormatting sqref="D103:D106">
    <cfRule type="cellIs" dxfId="219" priority="307" stopIfTrue="1" operator="equal">
      <formula>"Total"</formula>
    </cfRule>
  </conditionalFormatting>
  <conditionalFormatting sqref="S103:S106">
    <cfRule type="cellIs" dxfId="218" priority="305" stopIfTrue="1" operator="lessThan">
      <formula>0</formula>
    </cfRule>
  </conditionalFormatting>
  <conditionalFormatting sqref="H103:H106 L103:P106 R103:S106">
    <cfRule type="cellIs" dxfId="217" priority="304" stopIfTrue="1" operator="equal">
      <formula>"N/A"</formula>
    </cfRule>
  </conditionalFormatting>
  <conditionalFormatting sqref="G104">
    <cfRule type="cellIs" dxfId="216" priority="303" stopIfTrue="1" operator="equal">
      <formula>"Operation"</formula>
    </cfRule>
  </conditionalFormatting>
  <conditionalFormatting sqref="J101">
    <cfRule type="cellIs" dxfId="215" priority="302" stopIfTrue="1" operator="equal">
      <formula>"Operation"</formula>
    </cfRule>
  </conditionalFormatting>
  <conditionalFormatting sqref="J101">
    <cfRule type="cellIs" dxfId="214" priority="301" stopIfTrue="1" operator="equal">
      <formula>"N/A"</formula>
    </cfRule>
  </conditionalFormatting>
  <conditionalFormatting sqref="H109:H112">
    <cfRule type="cellIs" dxfId="213" priority="300" stopIfTrue="1" operator="equal">
      <formula>"Operation"</formula>
    </cfRule>
  </conditionalFormatting>
  <conditionalFormatting sqref="L109:P109 L111:P111 D109:D112 H112:P112 H110:P110 G109:H109 H111">
    <cfRule type="cellIs" dxfId="212" priority="299" stopIfTrue="1" operator="equal">
      <formula>"Operation"</formula>
    </cfRule>
  </conditionalFormatting>
  <conditionalFormatting sqref="I111:K111">
    <cfRule type="cellIs" dxfId="211" priority="297" stopIfTrue="1" operator="equal">
      <formula>"Operation"</formula>
    </cfRule>
  </conditionalFormatting>
  <conditionalFormatting sqref="G111:G112">
    <cfRule type="cellIs" dxfId="210" priority="296" stopIfTrue="1" operator="equal">
      <formula>"Operation"</formula>
    </cfRule>
  </conditionalFormatting>
  <conditionalFormatting sqref="D109:D112">
    <cfRule type="cellIs" dxfId="209" priority="295" stopIfTrue="1" operator="equal">
      <formula>"Total"</formula>
    </cfRule>
  </conditionalFormatting>
  <conditionalFormatting sqref="S109:S112">
    <cfRule type="cellIs" dxfId="208" priority="293" stopIfTrue="1" operator="lessThan">
      <formula>0</formula>
    </cfRule>
  </conditionalFormatting>
  <conditionalFormatting sqref="H109:I109 K109:P109 R109:S109">
    <cfRule type="cellIs" dxfId="207" priority="292" stopIfTrue="1" operator="equal">
      <formula>"N/A"</formula>
    </cfRule>
  </conditionalFormatting>
  <conditionalFormatting sqref="G110">
    <cfRule type="cellIs" dxfId="206" priority="291" stopIfTrue="1" operator="equal">
      <formula>"Operation"</formula>
    </cfRule>
  </conditionalFormatting>
  <conditionalFormatting sqref="J109">
    <cfRule type="cellIs" dxfId="205" priority="290" stopIfTrue="1" operator="equal">
      <formula>"Operation"</formula>
    </cfRule>
  </conditionalFormatting>
  <conditionalFormatting sqref="J109">
    <cfRule type="cellIs" dxfId="204" priority="289" stopIfTrue="1" operator="equal">
      <formula>"N/A"</formula>
    </cfRule>
  </conditionalFormatting>
  <conditionalFormatting sqref="J121">
    <cfRule type="cellIs" dxfId="203" priority="260" stopIfTrue="1" operator="equal">
      <formula>"Operation"</formula>
    </cfRule>
  </conditionalFormatting>
  <conditionalFormatting sqref="I115 K115">
    <cfRule type="cellIs" dxfId="202" priority="257" stopIfTrue="1" operator="equal">
      <formula>"Operation"</formula>
    </cfRule>
  </conditionalFormatting>
  <conditionalFormatting sqref="J115">
    <cfRule type="cellIs" dxfId="201" priority="253" stopIfTrue="1" operator="equal">
      <formula>"N/A"</formula>
    </cfRule>
  </conditionalFormatting>
  <conditionalFormatting sqref="H127:H130">
    <cfRule type="cellIs" dxfId="200" priority="252" stopIfTrue="1" operator="equal">
      <formula>"Operation"</formula>
    </cfRule>
  </conditionalFormatting>
  <conditionalFormatting sqref="G128">
    <cfRule type="cellIs" dxfId="199" priority="243" stopIfTrue="1" operator="equal">
      <formula>"Operation"</formula>
    </cfRule>
  </conditionalFormatting>
  <conditionalFormatting sqref="J127">
    <cfRule type="cellIs" dxfId="198" priority="241" stopIfTrue="1" operator="equal">
      <formula>"N/A"</formula>
    </cfRule>
  </conditionalFormatting>
  <conditionalFormatting sqref="D131 G131:P131 G133:P134 D133:D134">
    <cfRule type="cellIs" dxfId="197" priority="288" stopIfTrue="1" operator="equal">
      <formula>"Operation"</formula>
    </cfRule>
  </conditionalFormatting>
  <conditionalFormatting sqref="D131 D133:D134">
    <cfRule type="cellIs" dxfId="196" priority="287" stopIfTrue="1" operator="equal">
      <formula>"Total"</formula>
    </cfRule>
  </conditionalFormatting>
  <conditionalFormatting sqref="S133:S134">
    <cfRule type="cellIs" dxfId="195" priority="286" stopIfTrue="1" operator="lessThan">
      <formula>0</formula>
    </cfRule>
  </conditionalFormatting>
  <conditionalFormatting sqref="H131:P131 H133:P134 R133:S134">
    <cfRule type="cellIs" dxfId="194" priority="285" stopIfTrue="1" operator="equal">
      <formula>"N/A"</formula>
    </cfRule>
  </conditionalFormatting>
  <conditionalFormatting sqref="I103 K103">
    <cfRule type="cellIs" dxfId="193" priority="283" stopIfTrue="1" operator="equal">
      <formula>"Operation"</formula>
    </cfRule>
  </conditionalFormatting>
  <conditionalFormatting sqref="I106:K106 I104:K104">
    <cfRule type="cellIs" dxfId="192" priority="284" stopIfTrue="1" operator="equal">
      <formula>"Operation"</formula>
    </cfRule>
  </conditionalFormatting>
  <conditionalFormatting sqref="I105:K105">
    <cfRule type="cellIs" dxfId="191" priority="282" stopIfTrue="1" operator="equal">
      <formula>"Operation"</formula>
    </cfRule>
  </conditionalFormatting>
  <conditionalFormatting sqref="I104:K106 I103 K103">
    <cfRule type="cellIs" dxfId="190" priority="281" stopIfTrue="1" operator="equal">
      <formula>"N/A"</formula>
    </cfRule>
  </conditionalFormatting>
  <conditionalFormatting sqref="J103">
    <cfRule type="cellIs" dxfId="189" priority="280" stopIfTrue="1" operator="equal">
      <formula>"Operation"</formula>
    </cfRule>
  </conditionalFormatting>
  <conditionalFormatting sqref="J103">
    <cfRule type="cellIs" dxfId="188" priority="279" stopIfTrue="1" operator="equal">
      <formula>"N/A"</formula>
    </cfRule>
  </conditionalFormatting>
  <conditionalFormatting sqref="G122">
    <cfRule type="cellIs" dxfId="187" priority="261" stopIfTrue="1" operator="equal">
      <formula>"Operation"</formula>
    </cfRule>
  </conditionalFormatting>
  <conditionalFormatting sqref="J121">
    <cfRule type="cellIs" dxfId="186" priority="259" stopIfTrue="1" operator="equal">
      <formula>"N/A"</formula>
    </cfRule>
  </conditionalFormatting>
  <conditionalFormatting sqref="I117:K117">
    <cfRule type="cellIs" dxfId="185" priority="256" stopIfTrue="1" operator="equal">
      <formula>"Operation"</formula>
    </cfRule>
  </conditionalFormatting>
  <conditionalFormatting sqref="G129:G130">
    <cfRule type="cellIs" dxfId="184" priority="248" stopIfTrue="1" operator="equal">
      <formula>"Operation"</formula>
    </cfRule>
  </conditionalFormatting>
  <conditionalFormatting sqref="I93:K100">
    <cfRule type="cellIs" dxfId="183" priority="240" stopIfTrue="1" operator="equal">
      <formula>"Operation"</formula>
    </cfRule>
  </conditionalFormatting>
  <conditionalFormatting sqref="I121 K121">
    <cfRule type="cellIs" dxfId="182" priority="268" stopIfTrue="1" operator="equal">
      <formula>"Operation"</formula>
    </cfRule>
  </conditionalFormatting>
  <conditionalFormatting sqref="H115:H118">
    <cfRule type="cellIs" dxfId="181" priority="278" stopIfTrue="1" operator="equal">
      <formula>"Operation"</formula>
    </cfRule>
  </conditionalFormatting>
  <conditionalFormatting sqref="D115:D118 G115:H115 H116:H118 L115:P118">
    <cfRule type="cellIs" dxfId="180" priority="277" stopIfTrue="1" operator="equal">
      <formula>"Operation"</formula>
    </cfRule>
  </conditionalFormatting>
  <conditionalFormatting sqref="G117:G118">
    <cfRule type="cellIs" dxfId="179" priority="276" stopIfTrue="1" operator="equal">
      <formula>"Operation"</formula>
    </cfRule>
  </conditionalFormatting>
  <conditionalFormatting sqref="D115:D118">
    <cfRule type="cellIs" dxfId="178" priority="275" stopIfTrue="1" operator="equal">
      <formula>"Total"</formula>
    </cfRule>
  </conditionalFormatting>
  <conditionalFormatting sqref="S115:S118">
    <cfRule type="cellIs" dxfId="177" priority="273" stopIfTrue="1" operator="lessThan">
      <formula>0</formula>
    </cfRule>
  </conditionalFormatting>
  <conditionalFormatting sqref="H115:H118 L115:P118 R115:S118">
    <cfRule type="cellIs" dxfId="176" priority="272" stopIfTrue="1" operator="equal">
      <formula>"N/A"</formula>
    </cfRule>
  </conditionalFormatting>
  <conditionalFormatting sqref="G116">
    <cfRule type="cellIs" dxfId="175" priority="271" stopIfTrue="1" operator="equal">
      <formula>"Operation"</formula>
    </cfRule>
  </conditionalFormatting>
  <conditionalFormatting sqref="H121:H124">
    <cfRule type="cellIs" dxfId="174" priority="270" stopIfTrue="1" operator="equal">
      <formula>"Operation"</formula>
    </cfRule>
  </conditionalFormatting>
  <conditionalFormatting sqref="L121:P121 L123:P123 D121:D124 H124:P124 H122:P122 G121:H121 H123">
    <cfRule type="cellIs" dxfId="173" priority="269" stopIfTrue="1" operator="equal">
      <formula>"Operation"</formula>
    </cfRule>
  </conditionalFormatting>
  <conditionalFormatting sqref="G123:G124">
    <cfRule type="cellIs" dxfId="172" priority="266" stopIfTrue="1" operator="equal">
      <formula>"Operation"</formula>
    </cfRule>
  </conditionalFormatting>
  <conditionalFormatting sqref="D121:D124">
    <cfRule type="cellIs" dxfId="171" priority="265" stopIfTrue="1" operator="equal">
      <formula>"Total"</formula>
    </cfRule>
  </conditionalFormatting>
  <conditionalFormatting sqref="S121:S124">
    <cfRule type="cellIs" dxfId="170" priority="263" stopIfTrue="1" operator="lessThan">
      <formula>0</formula>
    </cfRule>
  </conditionalFormatting>
  <conditionalFormatting sqref="H122:P124 H121:I121 K121:P121 R121:S124">
    <cfRule type="cellIs" dxfId="169" priority="262" stopIfTrue="1" operator="equal">
      <formula>"N/A"</formula>
    </cfRule>
  </conditionalFormatting>
  <conditionalFormatting sqref="I116:K118 I115 K115">
    <cfRule type="cellIs" dxfId="168" priority="255" stopIfTrue="1" operator="equal">
      <formula>"N/A"</formula>
    </cfRule>
  </conditionalFormatting>
  <conditionalFormatting sqref="J115">
    <cfRule type="cellIs" dxfId="167" priority="254" stopIfTrue="1" operator="equal">
      <formula>"Operation"</formula>
    </cfRule>
  </conditionalFormatting>
  <conditionalFormatting sqref="I127 K127">
    <cfRule type="cellIs" dxfId="166" priority="250" stopIfTrue="1" operator="equal">
      <formula>"Operation"</formula>
    </cfRule>
  </conditionalFormatting>
  <conditionalFormatting sqref="L127:P127 L129:P129 D127:D130 H130:P130 H128:P128 G127:H127 H129">
    <cfRule type="cellIs" dxfId="165" priority="251" stopIfTrue="1" operator="equal">
      <formula>"Operation"</formula>
    </cfRule>
  </conditionalFormatting>
  <conditionalFormatting sqref="I129:K129">
    <cfRule type="cellIs" dxfId="164" priority="249" stopIfTrue="1" operator="equal">
      <formula>"Operation"</formula>
    </cfRule>
  </conditionalFormatting>
  <conditionalFormatting sqref="D127:D130">
    <cfRule type="cellIs" dxfId="163" priority="247" stopIfTrue="1" operator="equal">
      <formula>"Total"</formula>
    </cfRule>
  </conditionalFormatting>
  <conditionalFormatting sqref="S127:S130">
    <cfRule type="cellIs" dxfId="162" priority="245" stopIfTrue="1" operator="lessThan">
      <formula>0</formula>
    </cfRule>
  </conditionalFormatting>
  <conditionalFormatting sqref="H128:P130 H127:I127 K127:P127 R127:S130">
    <cfRule type="cellIs" dxfId="161" priority="244" stopIfTrue="1" operator="equal">
      <formula>"N/A"</formula>
    </cfRule>
  </conditionalFormatting>
  <conditionalFormatting sqref="J127">
    <cfRule type="cellIs" dxfId="160" priority="242" stopIfTrue="1" operator="equal">
      <formula>"Operation"</formula>
    </cfRule>
  </conditionalFormatting>
  <conditionalFormatting sqref="I93:K100">
    <cfRule type="cellIs" dxfId="159" priority="239" stopIfTrue="1" operator="equal">
      <formula>"N/A"</formula>
    </cfRule>
  </conditionalFormatting>
  <conditionalFormatting sqref="G135:P137">
    <cfRule type="cellIs" dxfId="158" priority="238" stopIfTrue="1" operator="equal">
      <formula>"Operation"</formula>
    </cfRule>
  </conditionalFormatting>
  <conditionalFormatting sqref="S135:S138">
    <cfRule type="cellIs" dxfId="157" priority="237" stopIfTrue="1" operator="lessThan">
      <formula>0</formula>
    </cfRule>
  </conditionalFormatting>
  <conditionalFormatting sqref="H135:P137 R135:S138">
    <cfRule type="cellIs" dxfId="156" priority="236" stopIfTrue="1" operator="equal">
      <formula>"N/A"</formula>
    </cfRule>
  </conditionalFormatting>
  <conditionalFormatting sqref="D135:D137">
    <cfRule type="cellIs" dxfId="155" priority="234" stopIfTrue="1" operator="equal">
      <formula>"Operation"</formula>
    </cfRule>
  </conditionalFormatting>
  <conditionalFormatting sqref="D135:D137">
    <cfRule type="cellIs" dxfId="154" priority="233" stopIfTrue="1" operator="equal">
      <formula>"Total"</formula>
    </cfRule>
  </conditionalFormatting>
  <conditionalFormatting sqref="G138:P139">
    <cfRule type="cellIs" dxfId="153" priority="232" stopIfTrue="1" operator="equal">
      <formula>"Operation"</formula>
    </cfRule>
  </conditionalFormatting>
  <conditionalFormatting sqref="S139">
    <cfRule type="cellIs" dxfId="152" priority="231" stopIfTrue="1" operator="lessThan">
      <formula>0</formula>
    </cfRule>
  </conditionalFormatting>
  <conditionalFormatting sqref="H138:P139 R139:S139">
    <cfRule type="cellIs" dxfId="151" priority="230" stopIfTrue="1" operator="equal">
      <formula>"N/A"</formula>
    </cfRule>
  </conditionalFormatting>
  <conditionalFormatting sqref="D138:D139">
    <cfRule type="cellIs" dxfId="150" priority="228" stopIfTrue="1" operator="equal">
      <formula>"Operation"</formula>
    </cfRule>
  </conditionalFormatting>
  <conditionalFormatting sqref="D138:D139">
    <cfRule type="cellIs" dxfId="149" priority="227" stopIfTrue="1" operator="equal">
      <formula>"Total"</formula>
    </cfRule>
  </conditionalFormatting>
  <conditionalFormatting sqref="D140:D143 G140:P143">
    <cfRule type="cellIs" dxfId="148" priority="226" stopIfTrue="1" operator="equal">
      <formula>"Operation"</formula>
    </cfRule>
  </conditionalFormatting>
  <conditionalFormatting sqref="D140:D143">
    <cfRule type="cellIs" dxfId="147" priority="225" stopIfTrue="1" operator="equal">
      <formula>"Total"</formula>
    </cfRule>
  </conditionalFormatting>
  <conditionalFormatting sqref="S140:S143">
    <cfRule type="cellIs" dxfId="146" priority="223" stopIfTrue="1" operator="lessThan">
      <formula>0</formula>
    </cfRule>
  </conditionalFormatting>
  <conditionalFormatting sqref="H140:P143 R140:S143">
    <cfRule type="cellIs" dxfId="145" priority="222" stopIfTrue="1" operator="equal">
      <formula>"N/A"</formula>
    </cfRule>
  </conditionalFormatting>
  <conditionalFormatting sqref="D132 G132:P132">
    <cfRule type="cellIs" dxfId="144" priority="221" stopIfTrue="1" operator="equal">
      <formula>"Operation"</formula>
    </cfRule>
  </conditionalFormatting>
  <conditionalFormatting sqref="D132">
    <cfRule type="cellIs" dxfId="143" priority="220" stopIfTrue="1" operator="equal">
      <formula>"Total"</formula>
    </cfRule>
  </conditionalFormatting>
  <conditionalFormatting sqref="S131:S132">
    <cfRule type="cellIs" dxfId="142" priority="218" stopIfTrue="1" operator="lessThan">
      <formula>0</formula>
    </cfRule>
  </conditionalFormatting>
  <conditionalFormatting sqref="H132:P132 R131:S132">
    <cfRule type="cellIs" dxfId="141" priority="217" stopIfTrue="1" operator="equal">
      <formula>"N/A"</formula>
    </cfRule>
  </conditionalFormatting>
  <conditionalFormatting sqref="D155:D158">
    <cfRule type="cellIs" dxfId="140" priority="212" stopIfTrue="1" operator="equal">
      <formula>"Total"</formula>
    </cfRule>
  </conditionalFormatting>
  <conditionalFormatting sqref="D107:D108 G108:P108 G107:I107 K107:P107">
    <cfRule type="cellIs" dxfId="139" priority="211" stopIfTrue="1" operator="equal">
      <formula>"Operation"</formula>
    </cfRule>
  </conditionalFormatting>
  <conditionalFormatting sqref="D107:D108">
    <cfRule type="cellIs" dxfId="138" priority="210" stopIfTrue="1" operator="equal">
      <formula>"Total"</formula>
    </cfRule>
  </conditionalFormatting>
  <conditionalFormatting sqref="H108:P108 H107:I107 K107:P107">
    <cfRule type="cellIs" dxfId="137" priority="208" stopIfTrue="1" operator="equal">
      <formula>"N/A"</formula>
    </cfRule>
  </conditionalFormatting>
  <conditionalFormatting sqref="J107">
    <cfRule type="cellIs" dxfId="136" priority="207" stopIfTrue="1" operator="equal">
      <formula>"Operation"</formula>
    </cfRule>
  </conditionalFormatting>
  <conditionalFormatting sqref="J107">
    <cfRule type="cellIs" dxfId="135" priority="206" stopIfTrue="1" operator="equal">
      <formula>"N/A"</formula>
    </cfRule>
  </conditionalFormatting>
  <conditionalFormatting sqref="D113:D114 G114:P114 G113:I113 K113:P113">
    <cfRule type="cellIs" dxfId="134" priority="205" stopIfTrue="1" operator="equal">
      <formula>"Operation"</formula>
    </cfRule>
  </conditionalFormatting>
  <conditionalFormatting sqref="D113:D114">
    <cfRule type="cellIs" dxfId="133" priority="204" stopIfTrue="1" operator="equal">
      <formula>"Total"</formula>
    </cfRule>
  </conditionalFormatting>
  <conditionalFormatting sqref="H114:P114 H113:I113 K113:P113">
    <cfRule type="cellIs" dxfId="132" priority="202" stopIfTrue="1" operator="equal">
      <formula>"N/A"</formula>
    </cfRule>
  </conditionalFormatting>
  <conditionalFormatting sqref="J113">
    <cfRule type="cellIs" dxfId="131" priority="201" stopIfTrue="1" operator="equal">
      <formula>"Operation"</formula>
    </cfRule>
  </conditionalFormatting>
  <conditionalFormatting sqref="J113">
    <cfRule type="cellIs" dxfId="130" priority="200" stopIfTrue="1" operator="equal">
      <formula>"N/A"</formula>
    </cfRule>
  </conditionalFormatting>
  <conditionalFormatting sqref="D119:D120 G120:P120 G119:I119 K119:P119">
    <cfRule type="cellIs" dxfId="129" priority="199" stopIfTrue="1" operator="equal">
      <formula>"Operation"</formula>
    </cfRule>
  </conditionalFormatting>
  <conditionalFormatting sqref="D119:D120">
    <cfRule type="cellIs" dxfId="128" priority="198" stopIfTrue="1" operator="equal">
      <formula>"Total"</formula>
    </cfRule>
  </conditionalFormatting>
  <conditionalFormatting sqref="H120:P120 H119:I119 K119:P119">
    <cfRule type="cellIs" dxfId="127" priority="196" stopIfTrue="1" operator="equal">
      <formula>"N/A"</formula>
    </cfRule>
  </conditionalFormatting>
  <conditionalFormatting sqref="J119">
    <cfRule type="cellIs" dxfId="126" priority="195" stopIfTrue="1" operator="equal">
      <formula>"Operation"</formula>
    </cfRule>
  </conditionalFormatting>
  <conditionalFormatting sqref="J119">
    <cfRule type="cellIs" dxfId="125" priority="194" stopIfTrue="1" operator="equal">
      <formula>"N/A"</formula>
    </cfRule>
  </conditionalFormatting>
  <conditionalFormatting sqref="D125:D126 G126:P126 G125:I125 K125:P125">
    <cfRule type="cellIs" dxfId="124" priority="193" stopIfTrue="1" operator="equal">
      <formula>"Operation"</formula>
    </cfRule>
  </conditionalFormatting>
  <conditionalFormatting sqref="D125:D126">
    <cfRule type="cellIs" dxfId="123" priority="192" stopIfTrue="1" operator="equal">
      <formula>"Total"</formula>
    </cfRule>
  </conditionalFormatting>
  <conditionalFormatting sqref="S125:S126">
    <cfRule type="cellIs" dxfId="122" priority="190" stopIfTrue="1" operator="lessThan">
      <formula>0</formula>
    </cfRule>
  </conditionalFormatting>
  <conditionalFormatting sqref="H126:P126 H125:I125 K125:P125 R125:S126">
    <cfRule type="cellIs" dxfId="121" priority="189" stopIfTrue="1" operator="equal">
      <formula>"N/A"</formula>
    </cfRule>
  </conditionalFormatting>
  <conditionalFormatting sqref="J125">
    <cfRule type="cellIs" dxfId="120" priority="188" stopIfTrue="1" operator="equal">
      <formula>"Operation"</formula>
    </cfRule>
  </conditionalFormatting>
  <conditionalFormatting sqref="J125">
    <cfRule type="cellIs" dxfId="119" priority="187" stopIfTrue="1" operator="equal">
      <formula>"N/A"</formula>
    </cfRule>
  </conditionalFormatting>
  <conditionalFormatting sqref="H150:P151 R150:S151">
    <cfRule type="cellIs" dxfId="118" priority="182" stopIfTrue="1" operator="equal">
      <formula>"N/A"</formula>
    </cfRule>
  </conditionalFormatting>
  <conditionalFormatting sqref="D150:D151 G150:P151">
    <cfRule type="cellIs" dxfId="117" priority="185" stopIfTrue="1" operator="equal">
      <formula>"Operation"</formula>
    </cfRule>
  </conditionalFormatting>
  <conditionalFormatting sqref="D150:D151">
    <cfRule type="cellIs" dxfId="116" priority="184" stopIfTrue="1" operator="equal">
      <formula>"Total"</formula>
    </cfRule>
  </conditionalFormatting>
  <conditionalFormatting sqref="S150:S151">
    <cfRule type="cellIs" dxfId="115" priority="183" stopIfTrue="1" operator="lessThan">
      <formula>0</formula>
    </cfRule>
  </conditionalFormatting>
  <conditionalFormatting sqref="D83:D86">
    <cfRule type="cellIs" dxfId="114" priority="181" stopIfTrue="1" operator="equal">
      <formula>"Total"</formula>
    </cfRule>
  </conditionalFormatting>
  <conditionalFormatting sqref="D159:D162">
    <cfRule type="cellIs" dxfId="113" priority="180" stopIfTrue="1" operator="equal">
      <formula>"Total"</formula>
    </cfRule>
  </conditionalFormatting>
  <conditionalFormatting sqref="Q126">
    <cfRule type="cellIs" dxfId="112" priority="154" stopIfTrue="1" operator="equal">
      <formula>"N/A"</formula>
    </cfRule>
  </conditionalFormatting>
  <conditionalFormatting sqref="Q119">
    <cfRule type="cellIs" dxfId="111" priority="144" stopIfTrue="1" operator="equal">
      <formula>"N/A"</formula>
    </cfRule>
  </conditionalFormatting>
  <conditionalFormatting sqref="Q125">
    <cfRule type="cellIs" dxfId="110" priority="150" stopIfTrue="1" operator="equal">
      <formula>"N/A"</formula>
    </cfRule>
  </conditionalFormatting>
  <conditionalFormatting sqref="Q108">
    <cfRule type="cellIs" dxfId="109" priority="135" stopIfTrue="1" operator="equal">
      <formula>"Operation"</formula>
    </cfRule>
  </conditionalFormatting>
  <conditionalFormatting sqref="Q108">
    <cfRule type="cellIs" dxfId="108" priority="134" stopIfTrue="1" operator="equal">
      <formula>"N/A"</formula>
    </cfRule>
  </conditionalFormatting>
  <conditionalFormatting sqref="Q125">
    <cfRule type="cellIs" dxfId="107" priority="151" stopIfTrue="1" operator="equal">
      <formula>"Operation"</formula>
    </cfRule>
  </conditionalFormatting>
  <conditionalFormatting sqref="Q101:Q102">
    <cfRule type="cellIs" dxfId="106" priority="179" stopIfTrue="1" operator="equal">
      <formula>"Operation"</formula>
    </cfRule>
  </conditionalFormatting>
  <conditionalFormatting sqref="Q101:Q102 Q110:Q112">
    <cfRule type="cellIs" dxfId="105" priority="178" stopIfTrue="1" operator="equal">
      <formula>"N/A"</formula>
    </cfRule>
  </conditionalFormatting>
  <conditionalFormatting sqref="Q93:Q100">
    <cfRule type="cellIs" dxfId="104" priority="177" stopIfTrue="1" operator="equal">
      <formula>"Operation"</formula>
    </cfRule>
  </conditionalFormatting>
  <conditionalFormatting sqref="Q93:Q100">
    <cfRule type="cellIs" dxfId="103" priority="176" stopIfTrue="1" operator="equal">
      <formula>"N/A"</formula>
    </cfRule>
  </conditionalFormatting>
  <conditionalFormatting sqref="Q103:Q106">
    <cfRule type="cellIs" dxfId="102" priority="175" stopIfTrue="1" operator="equal">
      <formula>"Operation"</formula>
    </cfRule>
  </conditionalFormatting>
  <conditionalFormatting sqref="Q103:Q106">
    <cfRule type="cellIs" dxfId="101" priority="174" stopIfTrue="1" operator="equal">
      <formula>"N/A"</formula>
    </cfRule>
  </conditionalFormatting>
  <conditionalFormatting sqref="Q109:Q112">
    <cfRule type="cellIs" dxfId="100" priority="173" stopIfTrue="1" operator="equal">
      <formula>"Operation"</formula>
    </cfRule>
  </conditionalFormatting>
  <conditionalFormatting sqref="Q109">
    <cfRule type="cellIs" dxfId="99" priority="172" stopIfTrue="1" operator="equal">
      <formula>"N/A"</formula>
    </cfRule>
  </conditionalFormatting>
  <conditionalFormatting sqref="Q133:Q134">
    <cfRule type="cellIs" dxfId="98" priority="171" stopIfTrue="1" operator="equal">
      <formula>"Operation"</formula>
    </cfRule>
  </conditionalFormatting>
  <conditionalFormatting sqref="Q133:Q134">
    <cfRule type="cellIs" dxfId="97" priority="170" stopIfTrue="1" operator="equal">
      <formula>"N/A"</formula>
    </cfRule>
  </conditionalFormatting>
  <conditionalFormatting sqref="Q115:Q118">
    <cfRule type="cellIs" dxfId="96" priority="169" stopIfTrue="1" operator="equal">
      <formula>"Operation"</formula>
    </cfRule>
  </conditionalFormatting>
  <conditionalFormatting sqref="Q115:Q118">
    <cfRule type="cellIs" dxfId="95" priority="168" stopIfTrue="1" operator="equal">
      <formula>"N/A"</formula>
    </cfRule>
  </conditionalFormatting>
  <conditionalFormatting sqref="Q121:Q124">
    <cfRule type="cellIs" dxfId="94" priority="167" stopIfTrue="1" operator="equal">
      <formula>"Operation"</formula>
    </cfRule>
  </conditionalFormatting>
  <conditionalFormatting sqref="Q121:Q124">
    <cfRule type="cellIs" dxfId="93" priority="166" stopIfTrue="1" operator="equal">
      <formula>"N/A"</formula>
    </cfRule>
  </conditionalFormatting>
  <conditionalFormatting sqref="Q135:Q137">
    <cfRule type="cellIs" dxfId="92" priority="165" stopIfTrue="1" operator="equal">
      <formula>"Operation"</formula>
    </cfRule>
  </conditionalFormatting>
  <conditionalFormatting sqref="Q135:Q137">
    <cfRule type="cellIs" dxfId="91" priority="164" stopIfTrue="1" operator="equal">
      <formula>"N/A"</formula>
    </cfRule>
  </conditionalFormatting>
  <conditionalFormatting sqref="Q138:Q139">
    <cfRule type="cellIs" dxfId="90" priority="163" stopIfTrue="1" operator="equal">
      <formula>"Operation"</formula>
    </cfRule>
  </conditionalFormatting>
  <conditionalFormatting sqref="Q138:Q139">
    <cfRule type="cellIs" dxfId="89" priority="162" stopIfTrue="1" operator="equal">
      <formula>"N/A"</formula>
    </cfRule>
  </conditionalFormatting>
  <conditionalFormatting sqref="Q140:Q143">
    <cfRule type="cellIs" dxfId="88" priority="161" stopIfTrue="1" operator="equal">
      <formula>"Operation"</formula>
    </cfRule>
  </conditionalFormatting>
  <conditionalFormatting sqref="Q140:Q143">
    <cfRule type="cellIs" dxfId="87" priority="160" stopIfTrue="1" operator="equal">
      <formula>"N/A"</formula>
    </cfRule>
  </conditionalFormatting>
  <conditionalFormatting sqref="Q132">
    <cfRule type="cellIs" dxfId="86" priority="159" stopIfTrue="1" operator="equal">
      <formula>"Operation"</formula>
    </cfRule>
  </conditionalFormatting>
  <conditionalFormatting sqref="Q132">
    <cfRule type="cellIs" dxfId="85" priority="158" stopIfTrue="1" operator="equal">
      <formula>"N/A"</formula>
    </cfRule>
  </conditionalFormatting>
  <conditionalFormatting sqref="Q126">
    <cfRule type="cellIs" dxfId="84" priority="155" stopIfTrue="1" operator="equal">
      <formula>"Operation"</formula>
    </cfRule>
  </conditionalFormatting>
  <conditionalFormatting sqref="Q119">
    <cfRule type="cellIs" dxfId="83" priority="145" stopIfTrue="1" operator="equal">
      <formula>"Operation"</formula>
    </cfRule>
  </conditionalFormatting>
  <conditionalFormatting sqref="Q150:Q151">
    <cfRule type="cellIs" dxfId="82" priority="152" stopIfTrue="1" operator="equal">
      <formula>"N/A"</formula>
    </cfRule>
  </conditionalFormatting>
  <conditionalFormatting sqref="Q150:Q151">
    <cfRule type="cellIs" dxfId="81" priority="153" stopIfTrue="1" operator="equal">
      <formula>"Operation"</formula>
    </cfRule>
  </conditionalFormatting>
  <conditionalFormatting sqref="S119:S120">
    <cfRule type="cellIs" dxfId="80" priority="149" stopIfTrue="1" operator="lessThan">
      <formula>0</formula>
    </cfRule>
  </conditionalFormatting>
  <conditionalFormatting sqref="R119:S120">
    <cfRule type="cellIs" dxfId="79" priority="148" stopIfTrue="1" operator="equal">
      <formula>"N/A"</formula>
    </cfRule>
  </conditionalFormatting>
  <conditionalFormatting sqref="Q120">
    <cfRule type="cellIs" dxfId="78" priority="146" stopIfTrue="1" operator="equal">
      <formula>"N/A"</formula>
    </cfRule>
  </conditionalFormatting>
  <conditionalFormatting sqref="Q120">
    <cfRule type="cellIs" dxfId="77" priority="147" stopIfTrue="1" operator="equal">
      <formula>"Operation"</formula>
    </cfRule>
  </conditionalFormatting>
  <conditionalFormatting sqref="S113:S114">
    <cfRule type="cellIs" dxfId="76" priority="143" stopIfTrue="1" operator="lessThan">
      <formula>0</formula>
    </cfRule>
  </conditionalFormatting>
  <conditionalFormatting sqref="R113:S114">
    <cfRule type="cellIs" dxfId="75" priority="142" stopIfTrue="1" operator="equal">
      <formula>"N/A"</formula>
    </cfRule>
  </conditionalFormatting>
  <conditionalFormatting sqref="Q114">
    <cfRule type="cellIs" dxfId="74" priority="140" stopIfTrue="1" operator="equal">
      <formula>"N/A"</formula>
    </cfRule>
  </conditionalFormatting>
  <conditionalFormatting sqref="Q113">
    <cfRule type="cellIs" dxfId="73" priority="138" stopIfTrue="1" operator="equal">
      <formula>"N/A"</formula>
    </cfRule>
  </conditionalFormatting>
  <conditionalFormatting sqref="Q113">
    <cfRule type="cellIs" dxfId="72" priority="139" stopIfTrue="1" operator="equal">
      <formula>"Operation"</formula>
    </cfRule>
  </conditionalFormatting>
  <conditionalFormatting sqref="Q114">
    <cfRule type="cellIs" dxfId="71" priority="141" stopIfTrue="1" operator="equal">
      <formula>"Operation"</formula>
    </cfRule>
  </conditionalFormatting>
  <conditionalFormatting sqref="S107:S108">
    <cfRule type="cellIs" dxfId="70" priority="137" stopIfTrue="1" operator="lessThan">
      <formula>0</formula>
    </cfRule>
  </conditionalFormatting>
  <conditionalFormatting sqref="R107:S108">
    <cfRule type="cellIs" dxfId="69" priority="136" stopIfTrue="1" operator="equal">
      <formula>"N/A"</formula>
    </cfRule>
  </conditionalFormatting>
  <conditionalFormatting sqref="Q107">
    <cfRule type="cellIs" dxfId="68" priority="132" stopIfTrue="1" operator="equal">
      <formula>"N/A"</formula>
    </cfRule>
  </conditionalFormatting>
  <conditionalFormatting sqref="Q107">
    <cfRule type="cellIs" dxfId="67" priority="133" stopIfTrue="1" operator="equal">
      <formula>"Operation"</formula>
    </cfRule>
  </conditionalFormatting>
  <conditionalFormatting sqref="L87:N87">
    <cfRule type="cellIs" dxfId="66" priority="131" stopIfTrue="1" operator="equal">
      <formula>"Operation"</formula>
    </cfRule>
  </conditionalFormatting>
  <conditionalFormatting sqref="L87:N87">
    <cfRule type="cellIs" dxfId="65" priority="130" stopIfTrue="1" operator="equal">
      <formula>"N/A"</formula>
    </cfRule>
  </conditionalFormatting>
  <conditionalFormatting sqref="S87:S89">
    <cfRule type="cellIs" dxfId="64" priority="127" stopIfTrue="1" operator="lessThan">
      <formula>0</formula>
    </cfRule>
  </conditionalFormatting>
  <conditionalFormatting sqref="R87:S89">
    <cfRule type="cellIs" dxfId="63" priority="126" stopIfTrue="1" operator="equal">
      <formula>"N/A"</formula>
    </cfRule>
  </conditionalFormatting>
  <conditionalFormatting sqref="S90">
    <cfRule type="cellIs" dxfId="62" priority="129" stopIfTrue="1" operator="lessThan">
      <formula>0</formula>
    </cfRule>
  </conditionalFormatting>
  <conditionalFormatting sqref="R90:S90">
    <cfRule type="cellIs" dxfId="61" priority="128" stopIfTrue="1" operator="equal">
      <formula>"N/A"</formula>
    </cfRule>
  </conditionalFormatting>
  <conditionalFormatting sqref="D164">
    <cfRule type="cellIs" dxfId="60" priority="125" stopIfTrue="1" operator="equal">
      <formula>"Total"</formula>
    </cfRule>
  </conditionalFormatting>
  <conditionalFormatting sqref="D16:D18 G16:P18">
    <cfRule type="cellIs" dxfId="59" priority="35" stopIfTrue="1" operator="equal">
      <formula>"Operation"</formula>
    </cfRule>
  </conditionalFormatting>
  <conditionalFormatting sqref="D16:D18">
    <cfRule type="cellIs" dxfId="58" priority="34" stopIfTrue="1" operator="equal">
      <formula>"Total"</formula>
    </cfRule>
  </conditionalFormatting>
  <conditionalFormatting sqref="S16:S18">
    <cfRule type="cellIs" dxfId="57" priority="32" stopIfTrue="1" operator="lessThan">
      <formula>0</formula>
    </cfRule>
  </conditionalFormatting>
  <conditionalFormatting sqref="H16:S18">
    <cfRule type="cellIs" dxfId="56" priority="31" stopIfTrue="1" operator="equal">
      <formula>"N/A"</formula>
    </cfRule>
  </conditionalFormatting>
  <conditionalFormatting sqref="D23:D25 G23:P25">
    <cfRule type="cellIs" dxfId="55" priority="30" stopIfTrue="1" operator="equal">
      <formula>"Operation"</formula>
    </cfRule>
  </conditionalFormatting>
  <conditionalFormatting sqref="D23:D25">
    <cfRule type="cellIs" dxfId="54" priority="29" stopIfTrue="1" operator="equal">
      <formula>"Total"</formula>
    </cfRule>
  </conditionalFormatting>
  <conditionalFormatting sqref="S23:S25">
    <cfRule type="cellIs" dxfId="53" priority="27" stopIfTrue="1" operator="lessThan">
      <formula>0</formula>
    </cfRule>
  </conditionalFormatting>
  <conditionalFormatting sqref="H23:S25">
    <cfRule type="cellIs" dxfId="52" priority="26" stopIfTrue="1" operator="equal">
      <formula>"N/A"</formula>
    </cfRule>
  </conditionalFormatting>
  <conditionalFormatting sqref="D26:D28 G26:P28">
    <cfRule type="cellIs" dxfId="51" priority="25" stopIfTrue="1" operator="equal">
      <formula>"Operation"</formula>
    </cfRule>
  </conditionalFormatting>
  <conditionalFormatting sqref="D26:D28">
    <cfRule type="cellIs" dxfId="50" priority="24" stopIfTrue="1" operator="equal">
      <formula>"Total"</formula>
    </cfRule>
  </conditionalFormatting>
  <conditionalFormatting sqref="S26:S28">
    <cfRule type="cellIs" dxfId="49" priority="22" stopIfTrue="1" operator="lessThan">
      <formula>0</formula>
    </cfRule>
  </conditionalFormatting>
  <conditionalFormatting sqref="H26:S28">
    <cfRule type="cellIs" dxfId="48" priority="21" stopIfTrue="1" operator="equal">
      <formula>"N/A"</formula>
    </cfRule>
  </conditionalFormatting>
  <conditionalFormatting sqref="D40:D42 G40:P42">
    <cfRule type="cellIs" dxfId="47" priority="20" stopIfTrue="1" operator="equal">
      <formula>"Operation"</formula>
    </cfRule>
  </conditionalFormatting>
  <conditionalFormatting sqref="D40:D42">
    <cfRule type="cellIs" dxfId="46" priority="19" stopIfTrue="1" operator="equal">
      <formula>"Total"</formula>
    </cfRule>
  </conditionalFormatting>
  <conditionalFormatting sqref="S40:S42">
    <cfRule type="cellIs" dxfId="45" priority="17" stopIfTrue="1" operator="lessThan">
      <formula>0</formula>
    </cfRule>
  </conditionalFormatting>
  <conditionalFormatting sqref="H40:S42">
    <cfRule type="cellIs" dxfId="44" priority="16" stopIfTrue="1" operator="equal">
      <formula>"N/A"</formula>
    </cfRule>
  </conditionalFormatting>
  <conditionalFormatting sqref="D144:D146 G144:P146">
    <cfRule type="cellIs" dxfId="43" priority="15" stopIfTrue="1" operator="equal">
      <formula>"Operation"</formula>
    </cfRule>
  </conditionalFormatting>
  <conditionalFormatting sqref="D144:D146">
    <cfRule type="cellIs" dxfId="42" priority="14" stopIfTrue="1" operator="equal">
      <formula>"Total"</formula>
    </cfRule>
  </conditionalFormatting>
  <conditionalFormatting sqref="S144:S146">
    <cfRule type="cellIs" dxfId="41" priority="12" stopIfTrue="1" operator="lessThan">
      <formula>0</formula>
    </cfRule>
  </conditionalFormatting>
  <conditionalFormatting sqref="H144:S146">
    <cfRule type="cellIs" dxfId="40" priority="11" stopIfTrue="1" operator="equal">
      <formula>"N/A"</formula>
    </cfRule>
  </conditionalFormatting>
  <conditionalFormatting sqref="H149:S149">
    <cfRule type="cellIs" dxfId="39" priority="6" stopIfTrue="1" operator="equal">
      <formula>"N/A"</formula>
    </cfRule>
  </conditionalFormatting>
  <conditionalFormatting sqref="D149 G149:P149">
    <cfRule type="cellIs" dxfId="38" priority="10" stopIfTrue="1" operator="equal">
      <formula>"Operation"</formula>
    </cfRule>
  </conditionalFormatting>
  <conditionalFormatting sqref="D149">
    <cfRule type="cellIs" dxfId="37" priority="9" stopIfTrue="1" operator="equal">
      <formula>"Total"</formula>
    </cfRule>
  </conditionalFormatting>
  <conditionalFormatting sqref="S149">
    <cfRule type="cellIs" dxfId="36" priority="7" stopIfTrue="1" operator="lessThan">
      <formula>0</formula>
    </cfRule>
  </conditionalFormatting>
  <conditionalFormatting sqref="D152:D154 G152:P154">
    <cfRule type="cellIs" dxfId="35" priority="5" stopIfTrue="1" operator="equal">
      <formula>"Operation"</formula>
    </cfRule>
  </conditionalFormatting>
  <conditionalFormatting sqref="D152:D154">
    <cfRule type="cellIs" dxfId="34" priority="4" stopIfTrue="1" operator="equal">
      <formula>"Total"</formula>
    </cfRule>
  </conditionalFormatting>
  <conditionalFormatting sqref="S152:S154">
    <cfRule type="cellIs" dxfId="33" priority="2" stopIfTrue="1" operator="lessThan">
      <formula>0</formula>
    </cfRule>
  </conditionalFormatting>
  <conditionalFormatting sqref="H152:S154">
    <cfRule type="cellIs" dxfId="32" priority="1" stopIfTrue="1" operator="equal">
      <formula>"N/A"</formula>
    </cfRule>
  </conditionalFormatting>
  <pageMargins left="0.7" right="0.7" top="0.75" bottom="0.75" header="0.3" footer="0.3"/>
  <pageSetup paperSize="9" orientation="portrait"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3:S229"/>
  <sheetViews>
    <sheetView workbookViewId="0">
      <selection activeCell="H129" sqref="H129"/>
    </sheetView>
  </sheetViews>
  <sheetFormatPr defaultRowHeight="14.6" outlineLevelCol="1" x14ac:dyDescent="0.4"/>
  <cols>
    <col min="1" max="1" width="9.15234375" style="89" customWidth="1"/>
    <col min="2" max="2" width="31.15234375" style="556" customWidth="1"/>
    <col min="3" max="3" width="47.53515625" style="89" customWidth="1"/>
    <col min="4" max="4" width="12.3828125" style="89" bestFit="1" customWidth="1"/>
    <col min="5" max="5" width="8.3828125" style="89" bestFit="1" customWidth="1"/>
    <col min="6" max="6" width="11.3828125" style="89" customWidth="1"/>
    <col min="7" max="7" width="20.84375" style="89" customWidth="1" outlineLevel="1"/>
    <col min="8" max="8" width="10.69140625" style="89" bestFit="1"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24.84375" style="89" customWidth="1" outlineLevel="1"/>
    <col min="16" max="16" width="10.3828125" style="89" customWidth="1"/>
    <col min="17" max="17" width="9.15234375" style="89"/>
  </cols>
  <sheetData>
    <row r="3" spans="1:16" ht="15" thickBot="1" x14ac:dyDescent="0.45">
      <c r="A3" s="88"/>
      <c r="C3" s="88"/>
      <c r="D3" s="88"/>
      <c r="E3" s="88"/>
      <c r="F3" s="88"/>
      <c r="G3" s="88"/>
      <c r="H3" s="88"/>
      <c r="I3" s="88"/>
      <c r="J3" s="88"/>
      <c r="K3" s="88"/>
      <c r="L3" s="88"/>
      <c r="M3" s="88"/>
      <c r="N3" s="88"/>
      <c r="O3" s="88"/>
      <c r="P3" s="88"/>
    </row>
    <row r="4" spans="1:16" ht="15" thickBot="1" x14ac:dyDescent="0.45">
      <c r="A4" s="88"/>
      <c r="C4" s="88"/>
      <c r="D4" s="88"/>
      <c r="E4" s="88"/>
      <c r="F4" s="88"/>
      <c r="G4" s="3791" t="s">
        <v>18</v>
      </c>
      <c r="H4" s="3792"/>
      <c r="I4" s="3793" t="s">
        <v>778</v>
      </c>
      <c r="J4" s="3794"/>
      <c r="K4" s="3794"/>
      <c r="L4" s="3794"/>
      <c r="M4" s="3794"/>
      <c r="N4" s="3794"/>
      <c r="O4" s="3793" t="s">
        <v>3</v>
      </c>
      <c r="P4" s="3795"/>
    </row>
    <row r="5" spans="1:16" ht="15" thickBot="1" x14ac:dyDescent="0.45">
      <c r="A5" s="88"/>
      <c r="B5" s="557" t="s">
        <v>780</v>
      </c>
      <c r="C5" s="558" t="s">
        <v>781</v>
      </c>
      <c r="D5" s="558" t="s">
        <v>782</v>
      </c>
      <c r="E5" s="559" t="s">
        <v>783</v>
      </c>
      <c r="F5" s="559" t="s">
        <v>769</v>
      </c>
      <c r="G5" s="560" t="s">
        <v>785</v>
      </c>
      <c r="H5" s="561" t="s">
        <v>783</v>
      </c>
      <c r="I5" s="562" t="s">
        <v>786</v>
      </c>
      <c r="J5" s="563" t="s">
        <v>787</v>
      </c>
      <c r="K5" s="563" t="s">
        <v>788</v>
      </c>
      <c r="L5" s="563" t="s">
        <v>789</v>
      </c>
      <c r="M5" s="563" t="s">
        <v>790</v>
      </c>
      <c r="N5" s="564" t="s">
        <v>783</v>
      </c>
      <c r="O5" s="565" t="s">
        <v>785</v>
      </c>
      <c r="P5" s="561" t="s">
        <v>783</v>
      </c>
    </row>
    <row r="6" spans="1:16" x14ac:dyDescent="0.4">
      <c r="A6" s="88"/>
      <c r="B6" s="3992" t="s">
        <v>803</v>
      </c>
      <c r="C6" s="592" t="str">
        <f>'Upper Hot Cell Critical Path'!C4</f>
        <v>Blanket Removal Required</v>
      </c>
      <c r="D6" s="592" t="s">
        <v>907</v>
      </c>
      <c r="E6" s="593">
        <f>MAX($P6,$N6,$H6)</f>
        <v>0</v>
      </c>
      <c r="F6" s="593">
        <f>IF($D6="Trigger",VLOOKUP($C6,'Upper Hot Cell Critical Path'!$C$3:$F$322,4,FALSE),E6+F5)</f>
        <v>0</v>
      </c>
      <c r="G6" s="594"/>
      <c r="H6" s="595" t="str">
        <f>IF(D6="operation",VLOOKUP(G6,'Generic Vertical Port Tasks'!#REF!,2,FALSE),"N/A")</f>
        <v>N/A</v>
      </c>
      <c r="I6" s="592"/>
      <c r="J6" s="592"/>
      <c r="K6" s="592"/>
      <c r="L6" s="958" t="str">
        <f>IFERROR(INDEX('Upper Hot Cell Logistics'!$I$35:$O$41,MATCH($J6,'Upper Hot Cell Logistics'!$H$35:$H$41,0),MATCH($K6,'Upper Hot Cell Logistics'!$H$35:$H$41,0)),"N/A")</f>
        <v>N/A</v>
      </c>
      <c r="M6" s="958" t="str">
        <f>IFERROR(VLOOKUP($I6,'Upper Hot Cell Logistics'!$H$4:$I$9,2,FALSE),"N/A")</f>
        <v>N/A</v>
      </c>
      <c r="N6" s="2403" t="str">
        <f>IF(D6="Movement",IFERROR((L6/M6)/(60*60),"Error"),"N/A")</f>
        <v>N/A</v>
      </c>
      <c r="O6" s="594"/>
      <c r="P6" s="595" t="str">
        <f>IF($D6="Logistics",VLOOKUP($O6,'Upper Hot Cell Logistics'!$C$4:$D$51,2,FALSE),"N/A")</f>
        <v>N/A</v>
      </c>
    </row>
    <row r="7" spans="1:16" x14ac:dyDescent="0.4">
      <c r="A7" s="88"/>
      <c r="B7" s="3993"/>
      <c r="C7" s="601" t="s">
        <v>908</v>
      </c>
      <c r="D7" s="977" t="s">
        <v>3</v>
      </c>
      <c r="E7" s="602">
        <f t="shared" ref="E7:E93" si="0">MAX($P7,$N7,$H7)</f>
        <v>1.08</v>
      </c>
      <c r="F7" s="602">
        <f>IF($D7="Trigger",VLOOKUP($C7,'Upper Hot Cell Critical Path'!$C$3:$F$322,4,FALSE),E7+F6)</f>
        <v>1.08</v>
      </c>
      <c r="G7" s="603"/>
      <c r="H7" s="604" t="str">
        <f>IF(D7="operation",VLOOKUP(G7,'Generic Vertical Port Tasks'!#REF!,2,FALSE),"N/A")</f>
        <v>N/A</v>
      </c>
      <c r="I7" s="601"/>
      <c r="J7" s="601"/>
      <c r="K7" s="601"/>
      <c r="L7" s="605" t="str">
        <f>IFERROR(INDEX('Upper Hot Cell Logistics'!$I$35:$O$41,MATCH($J7,'Upper Hot Cell Logistics'!$H$35:$H$41,0),MATCH($K7,'Upper Hot Cell Logistics'!$H$35:$H$41,0)),"N/A")</f>
        <v>N/A</v>
      </c>
      <c r="M7" s="605" t="str">
        <f>IFERROR(VLOOKUP($I7,'Upper Hot Cell Logistics'!$H$4:$I$9,2,FALSE),"N/A")</f>
        <v>N/A</v>
      </c>
      <c r="N7" s="606" t="str">
        <f>IF(D7="Movement",IFERROR((L7/M7)/(60*60),"Error"),"N/A")</f>
        <v>N/A</v>
      </c>
      <c r="O7" s="607" t="s">
        <v>909</v>
      </c>
      <c r="P7" s="608">
        <f>IF($D7="Logistics",VLOOKUP($O7,'Upper Hot Cell Logistics'!$C$4:$D$51,2,FALSE),"N/A")</f>
        <v>1.08</v>
      </c>
    </row>
    <row r="8" spans="1:16" x14ac:dyDescent="0.4">
      <c r="A8" s="88"/>
      <c r="B8" s="3999"/>
      <c r="C8" s="645" t="s">
        <v>910</v>
      </c>
      <c r="D8" s="1267" t="s">
        <v>778</v>
      </c>
      <c r="E8" s="602">
        <f t="shared" si="0"/>
        <v>0.69444444444444442</v>
      </c>
      <c r="F8" s="602">
        <f>IF($D8="Trigger",VLOOKUP($C8,'Upper Hot Cell Critical Path'!$C$3:$F$322,4,FALSE),E8+F7)</f>
        <v>1.7744444444444445</v>
      </c>
      <c r="G8" s="603"/>
      <c r="H8" s="604" t="str">
        <f>IF(D8="operation",VLOOKUP(G8,'Generic Vertical Port Tasks'!#REF!,2,FALSE),"N/A")</f>
        <v>N/A</v>
      </c>
      <c r="I8" s="601" t="s">
        <v>855</v>
      </c>
      <c r="J8" s="601" t="s">
        <v>799</v>
      </c>
      <c r="K8" s="601" t="s">
        <v>452</v>
      </c>
      <c r="L8" s="605">
        <f>IFERROR(INDEX('Upper Hot Cell Logistics'!$I$35:$O$41,MATCH($J8,'Upper Hot Cell Logistics'!$H$35:$H$41,0),MATCH($K8,'Upper Hot Cell Logistics'!$H$35:$H$41,0)),"N/A")</f>
        <v>50</v>
      </c>
      <c r="M8" s="605">
        <f>IFERROR(VLOOKUP($I8,'Upper Hot Cell Logistics'!$H$4:$I$9,2,FALSE),"N/A")</f>
        <v>0.02</v>
      </c>
      <c r="N8" s="606">
        <f>IF(D8="Movement",IFERROR((L8/M8)/(60*60),"Error"),"N/A")</f>
        <v>0.69444444444444442</v>
      </c>
      <c r="O8" s="607"/>
      <c r="P8" s="608" t="str">
        <f>IF($D8="Logistics",VLOOKUP($O8,'Upper Hot Cell Logistics'!$C$4:$D$51,2,FALSE),"N/A")</f>
        <v>N/A</v>
      </c>
    </row>
    <row r="9" spans="1:16" ht="15" thickBot="1" x14ac:dyDescent="0.45">
      <c r="A9" s="88"/>
      <c r="B9" s="3994"/>
      <c r="C9" s="609" t="str">
        <f>B6</f>
        <v>Port Inspection System collected</v>
      </c>
      <c r="D9" s="966" t="s">
        <v>11</v>
      </c>
      <c r="E9" s="610">
        <f t="shared" si="0"/>
        <v>0</v>
      </c>
      <c r="F9" s="610">
        <f>IF($D9="Trigger",VLOOKUP($C9,'Upper Hot Cell Critical Path'!$C$3:$F$322,4,FALSE),E9+F8)</f>
        <v>1.7744444444444445</v>
      </c>
      <c r="G9" s="611"/>
      <c r="H9" s="612" t="str">
        <f>IF(D9="operation",VLOOKUP(G9,'Generic Vertical Port Tasks'!#REF!,2,FALSE),"N/A")</f>
        <v>N/A</v>
      </c>
      <c r="I9" s="609"/>
      <c r="J9" s="609"/>
      <c r="K9" s="609"/>
      <c r="L9" s="613" t="str">
        <f>IFERROR(INDEX('Upper Hot Cell Logistics'!$I$35:$O$41,MATCH($J9,'Upper Hot Cell Logistics'!$H$35:$H$41,0),MATCH($K9,'Upper Hot Cell Logistics'!$H$35:$H$41,0)),"N/A")</f>
        <v>N/A</v>
      </c>
      <c r="M9" s="613" t="str">
        <f>IFERROR(VLOOKUP($I9,'Upper Hot Cell Logistics'!$H$4:$I$9,2,FALSE),"N/A")</f>
        <v>N/A</v>
      </c>
      <c r="N9" s="614" t="str">
        <f>IF(D9="Movement",IFERROR((L9/M9)/(60*60),"Error"),"N/A")</f>
        <v>N/A</v>
      </c>
      <c r="O9" s="615"/>
      <c r="P9" s="616" t="str">
        <f>IF($D9="Logistics",VLOOKUP($O9,'Upper Hot Cell Logistics'!$C$4:$D$51,2,FALSE),"N/A")</f>
        <v>N/A</v>
      </c>
    </row>
    <row r="10" spans="1:16" x14ac:dyDescent="0.4">
      <c r="A10" s="88"/>
      <c r="B10" s="3995" t="s">
        <v>809</v>
      </c>
      <c r="C10" s="566" t="str">
        <f>'Upper Hot Cell Critical Path'!C8</f>
        <v>Open Bioshield</v>
      </c>
      <c r="D10" s="566" t="s">
        <v>907</v>
      </c>
      <c r="E10" s="567">
        <f t="shared" si="0"/>
        <v>0</v>
      </c>
      <c r="F10" s="567">
        <f>IF($D10="Trigger",VLOOKUP($C10,'Upper Hot Cell Critical Path'!$C$3:$F$322,4,FALSE),E10+F9)</f>
        <v>2.2961111111111112</v>
      </c>
      <c r="G10" s="1174"/>
      <c r="H10" s="569" t="str">
        <f>IF(D10="operation",VLOOKUP(G10,'Generic Vertical Port Tasks'!#REF!,2,FALSE),"N/A")</f>
        <v>N/A</v>
      </c>
      <c r="I10" s="617"/>
      <c r="J10" s="617"/>
      <c r="K10" s="617"/>
      <c r="L10" s="618" t="str">
        <f>IFERROR(INDEX('Upper Hot Cell Logistics'!$I$35:$O$41,MATCH($J10,'Upper Hot Cell Logistics'!$H$35:$H$41,0),MATCH($K10,'Upper Hot Cell Logistics'!$H$35:$H$41,0)),"N/A")</f>
        <v>N/A</v>
      </c>
      <c r="M10" s="618" t="str">
        <f>IFERROR(VLOOKUP($I10,'Upper Hot Cell Logistics'!$H$4:$I$9,2,FALSE),"N/A")</f>
        <v>N/A</v>
      </c>
      <c r="N10" s="619" t="str">
        <f>IF(D10="Movement",IFERROR((L10/M10)/(60*60),"Error"),"N/A")</f>
        <v>N/A</v>
      </c>
      <c r="O10" s="620"/>
      <c r="P10" s="621" t="str">
        <f>IF($D10="Logistics",VLOOKUP($O10,'Upper Hot Cell Logistics'!$C$4:$D$51,2,FALSE),"N/A")</f>
        <v>N/A</v>
      </c>
    </row>
    <row r="11" spans="1:16" x14ac:dyDescent="0.4">
      <c r="A11" s="88"/>
      <c r="B11" s="3996"/>
      <c r="C11" s="572" t="s">
        <v>911</v>
      </c>
      <c r="D11" s="572" t="s">
        <v>778</v>
      </c>
      <c r="E11" s="574">
        <f t="shared" si="0"/>
        <v>0.41666666666666669</v>
      </c>
      <c r="F11" s="574">
        <f>IF($D11="Trigger",VLOOKUP($C11,'Upper Hot Cell Critical Path'!$C$3:$F$322,4,FALSE),E11+F10)</f>
        <v>2.7127777777777777</v>
      </c>
      <c r="G11" s="1177"/>
      <c r="H11" s="576" t="str">
        <f>IF(D11="operation",VLOOKUP(G11,'Generic Vertical Port Tasks'!#REF!,2,FALSE),"N/A")</f>
        <v>N/A</v>
      </c>
      <c r="I11" s="572" t="s">
        <v>857</v>
      </c>
      <c r="J11" s="572" t="s">
        <v>452</v>
      </c>
      <c r="K11" s="572" t="s">
        <v>901</v>
      </c>
      <c r="L11" s="577">
        <f>IFERROR(INDEX('Upper Hot Cell Logistics'!$I$35:$O$41,MATCH($J11,'Upper Hot Cell Logistics'!$H$35:$H$41,0),MATCH($K11,'Upper Hot Cell Logistics'!$H$35:$H$41,0)),"N/A")</f>
        <v>30</v>
      </c>
      <c r="M11" s="577">
        <f>IFERROR(VLOOKUP($I11,'Upper Hot Cell Logistics'!$H$4:$I$9,2,FALSE),"N/A")</f>
        <v>0.02</v>
      </c>
      <c r="N11" s="578">
        <f t="shared" ref="N11:N96" si="1">IF(D11="Movement",IFERROR((L11/M11)/(60*60),"Error"),"N/A")</f>
        <v>0.41666666666666669</v>
      </c>
      <c r="O11" s="579"/>
      <c r="P11" s="580" t="str">
        <f>IF($D11="Logistics",VLOOKUP($O11,'Upper Hot Cell Logistics'!$C$4:$D$51,2,FALSE),"N/A")</f>
        <v>N/A</v>
      </c>
    </row>
    <row r="12" spans="1:16" x14ac:dyDescent="0.4">
      <c r="A12" s="88"/>
      <c r="B12" s="3996"/>
      <c r="C12" s="572" t="s">
        <v>912</v>
      </c>
      <c r="D12" s="572" t="s">
        <v>3</v>
      </c>
      <c r="E12" s="574">
        <f t="shared" si="0"/>
        <v>0.58000000000000007</v>
      </c>
      <c r="F12" s="574">
        <f>IF($D12="Trigger",VLOOKUP($C12,'Upper Hot Cell Critical Path'!$C$3:$F$322,4,FALSE),E12+F11)</f>
        <v>3.2927777777777778</v>
      </c>
      <c r="G12" s="1177"/>
      <c r="H12" s="576" t="str">
        <f>IF(D12="operation",VLOOKUP(G12,'Generic Vertical Port Tasks'!#REF!,2,FALSE),"N/A")</f>
        <v>N/A</v>
      </c>
      <c r="I12" s="572"/>
      <c r="J12" s="572"/>
      <c r="K12" s="572"/>
      <c r="L12" s="577" t="str">
        <f>IFERROR(INDEX('Upper Hot Cell Logistics'!$I$35:$O$41,MATCH($J12,'Upper Hot Cell Logistics'!$H$35:$H$41,0),MATCH($K12,'Upper Hot Cell Logistics'!$H$35:$H$41,0)),"N/A")</f>
        <v>N/A</v>
      </c>
      <c r="M12" s="577" t="str">
        <f>IFERROR(VLOOKUP($I12,'Upper Hot Cell Logistics'!$H$4:$I$9,2,FALSE),"N/A")</f>
        <v>N/A</v>
      </c>
      <c r="N12" s="578" t="str">
        <f t="shared" si="1"/>
        <v>N/A</v>
      </c>
      <c r="O12" s="579" t="s">
        <v>904</v>
      </c>
      <c r="P12" s="580">
        <f>IF($D12="Logistics",VLOOKUP($O12,'Upper Hot Cell Logistics'!$C$4:$D$51,2,FALSE),"N/A")</f>
        <v>0.58000000000000007</v>
      </c>
    </row>
    <row r="13" spans="1:16" x14ac:dyDescent="0.4">
      <c r="A13" s="88"/>
      <c r="B13" s="3996"/>
      <c r="C13" s="572" t="s">
        <v>913</v>
      </c>
      <c r="D13" s="572" t="s">
        <v>778</v>
      </c>
      <c r="E13" s="574">
        <f t="shared" si="0"/>
        <v>6.9444444444444448E-2</v>
      </c>
      <c r="F13" s="574">
        <f>IF($D13="Trigger",VLOOKUP($C13,'Upper Hot Cell Critical Path'!$C$3:$F$322,4,FALSE),E13+F12)</f>
        <v>3.3622222222222224</v>
      </c>
      <c r="G13" s="1177"/>
      <c r="H13" s="576" t="str">
        <f>IF(D13="operation",VLOOKUP(G13,'Generic Vertical Port Tasks'!#REF!,2,FALSE),"N/A")</f>
        <v>N/A</v>
      </c>
      <c r="I13" s="572" t="s">
        <v>798</v>
      </c>
      <c r="J13" s="572" t="s">
        <v>901</v>
      </c>
      <c r="K13" s="572" t="s">
        <v>914</v>
      </c>
      <c r="L13" s="577">
        <f>IFERROR(INDEX('Upper Hot Cell Logistics'!$I$35:$O$41,MATCH($J13,'Upper Hot Cell Logistics'!$H$35:$H$41,0),MATCH($K13,'Upper Hot Cell Logistics'!$H$35:$H$41,0)),"N/A")</f>
        <v>50</v>
      </c>
      <c r="M13" s="577">
        <f>IFERROR(VLOOKUP($I13,'Upper Hot Cell Logistics'!$H$4:$I$9,2,FALSE),"N/A")</f>
        <v>0.2</v>
      </c>
      <c r="N13" s="578">
        <f t="shared" si="1"/>
        <v>6.9444444444444448E-2</v>
      </c>
      <c r="O13" s="579"/>
      <c r="P13" s="580" t="str">
        <f>IF($D13="Logistics",VLOOKUP($O13,'Upper Hot Cell Logistics'!$C$4:$D$51,2,FALSE),"N/A")</f>
        <v>N/A</v>
      </c>
    </row>
    <row r="14" spans="1:16" x14ac:dyDescent="0.4">
      <c r="A14" s="88"/>
      <c r="B14" s="3996"/>
      <c r="C14" s="572" t="s">
        <v>915</v>
      </c>
      <c r="D14" s="572" t="s">
        <v>3</v>
      </c>
      <c r="E14" s="574">
        <f t="shared" si="0"/>
        <v>0.68</v>
      </c>
      <c r="F14" s="574">
        <f>IF($D14="Trigger",VLOOKUP($C14,'Upper Hot Cell Critical Path'!$C$3:$F$322,4,FALSE),E14+F13)</f>
        <v>4.0422222222222226</v>
      </c>
      <c r="G14" s="1177"/>
      <c r="H14" s="576" t="str">
        <f>IF(D14="operation",VLOOKUP(G14,'Generic Vertical Port Tasks'!#REF!,2,FALSE),"N/A")</f>
        <v>N/A</v>
      </c>
      <c r="I14" s="572"/>
      <c r="J14" s="572"/>
      <c r="K14" s="572"/>
      <c r="L14" s="577" t="str">
        <f>IFERROR(INDEX('Upper Hot Cell Logistics'!$I$35:$O$41,MATCH($J14,'Upper Hot Cell Logistics'!$H$35:$H$41,0),MATCH($K14,'Upper Hot Cell Logistics'!$H$35:$H$41,0)),"N/A")</f>
        <v>N/A</v>
      </c>
      <c r="M14" s="577" t="str">
        <f>IFERROR(VLOOKUP($I14,'Upper Hot Cell Logistics'!$H$4:$I$9,2,FALSE),"N/A")</f>
        <v>N/A</v>
      </c>
      <c r="N14" s="578" t="str">
        <f t="shared" si="1"/>
        <v>N/A</v>
      </c>
      <c r="O14" s="579" t="s">
        <v>916</v>
      </c>
      <c r="P14" s="580">
        <f>IF($D14="Logistics",VLOOKUP($O14,'Upper Hot Cell Logistics'!$C$4:$D$51,2,FALSE),"N/A")</f>
        <v>0.68</v>
      </c>
    </row>
    <row r="15" spans="1:16" x14ac:dyDescent="0.4">
      <c r="A15" s="88"/>
      <c r="B15" s="3996"/>
      <c r="C15" s="572" t="s">
        <v>917</v>
      </c>
      <c r="D15" s="572" t="s">
        <v>778</v>
      </c>
      <c r="E15" s="574">
        <f t="shared" si="0"/>
        <v>2.7777777777777776E-2</v>
      </c>
      <c r="F15" s="574">
        <f>IF($D15="Trigger",VLOOKUP($C15,'Upper Hot Cell Critical Path'!$C$3:$F$322,4,FALSE),E15+F14)</f>
        <v>4.07</v>
      </c>
      <c r="G15" s="1177"/>
      <c r="H15" s="576" t="str">
        <f>IF(D15="operation",VLOOKUP(G15,'Generic Vertical Port Tasks'!#REF!,2,FALSE),"N/A")</f>
        <v>N/A</v>
      </c>
      <c r="I15" s="572" t="s">
        <v>798</v>
      </c>
      <c r="J15" s="572" t="s">
        <v>914</v>
      </c>
      <c r="K15" s="572" t="s">
        <v>799</v>
      </c>
      <c r="L15" s="577">
        <f>IFERROR(INDEX('Upper Hot Cell Logistics'!$I$35:$O$41,MATCH($J15,'Upper Hot Cell Logistics'!$H$35:$H$41,0),MATCH($K15,'Upper Hot Cell Logistics'!$H$35:$H$41,0)),"N/A")</f>
        <v>20</v>
      </c>
      <c r="M15" s="577">
        <f>IFERROR(VLOOKUP($I15,'Upper Hot Cell Logistics'!$H$4:$I$9,2,FALSE),"N/A")</f>
        <v>0.2</v>
      </c>
      <c r="N15" s="578">
        <f t="shared" si="1"/>
        <v>2.7777777777777776E-2</v>
      </c>
      <c r="O15" s="579"/>
      <c r="P15" s="580" t="str">
        <f>IF($D15="Logistics",VLOOKUP($O15,'Upper Hot Cell Logistics'!$C$4:$D$51,2,FALSE),"N/A")</f>
        <v>N/A</v>
      </c>
    </row>
    <row r="16" spans="1:16" x14ac:dyDescent="0.4">
      <c r="A16" s="88"/>
      <c r="B16" s="3996"/>
      <c r="C16" s="572" t="s">
        <v>918</v>
      </c>
      <c r="D16" s="572" t="s">
        <v>3</v>
      </c>
      <c r="E16" s="574">
        <f t="shared" si="0"/>
        <v>0.58000000000000007</v>
      </c>
      <c r="F16" s="574">
        <f>IF($D16="Trigger",VLOOKUP($C16,'Upper Hot Cell Critical Path'!$C$3:$F$322,4,FALSE),E16+F15)</f>
        <v>4.6500000000000004</v>
      </c>
      <c r="G16" s="1177"/>
      <c r="H16" s="576" t="str">
        <f>IF(D16="operation",VLOOKUP(G16,'Generic Vertical Port Tasks'!#REF!,2,FALSE),"N/A")</f>
        <v>N/A</v>
      </c>
      <c r="I16" s="572"/>
      <c r="J16" s="572"/>
      <c r="K16" s="572"/>
      <c r="L16" s="577" t="str">
        <f>IFERROR(INDEX('Upper Hot Cell Logistics'!$I$35:$O$41,MATCH($J16,'Upper Hot Cell Logistics'!$H$35:$H$41,0),MATCH($K16,'Upper Hot Cell Logistics'!$H$35:$H$41,0)),"N/A")</f>
        <v>N/A</v>
      </c>
      <c r="M16" s="577" t="str">
        <f>IFERROR(VLOOKUP($I16,'Upper Hot Cell Logistics'!$H$4:$I$9,2,FALSE),"N/A")</f>
        <v>N/A</v>
      </c>
      <c r="N16" s="578" t="str">
        <f t="shared" si="1"/>
        <v>N/A</v>
      </c>
      <c r="O16" s="579" t="s">
        <v>796</v>
      </c>
      <c r="P16" s="580">
        <f>IF($D16="Logistics",VLOOKUP($O16,'Upper Hot Cell Logistics'!$C$4:$D$51,2,FALSE),"N/A")</f>
        <v>0.58000000000000007</v>
      </c>
    </row>
    <row r="17" spans="1:16" ht="15" thickBot="1" x14ac:dyDescent="0.45">
      <c r="A17" s="88"/>
      <c r="B17" s="3997"/>
      <c r="C17" s="583" t="str">
        <f>B10</f>
        <v>Bioshield Attachment stored &amp; CCS Attachment collected</v>
      </c>
      <c r="D17" s="583" t="s">
        <v>11</v>
      </c>
      <c r="E17" s="585">
        <f t="shared" si="0"/>
        <v>0</v>
      </c>
      <c r="F17" s="585">
        <f>IF($D17="Trigger",VLOOKUP($C17,'Upper Hot Cell Critical Path'!$C$3:$F$322,4,FALSE),E17+F16)</f>
        <v>4.6500000000000004</v>
      </c>
      <c r="G17" s="1178"/>
      <c r="H17" s="587" t="str">
        <f>IF(D17="operation",VLOOKUP(G17,'Generic Vertical Port Tasks'!#REF!,2,FALSE),"N/A")</f>
        <v>N/A</v>
      </c>
      <c r="I17" s="583"/>
      <c r="J17" s="583"/>
      <c r="K17" s="583"/>
      <c r="L17" s="588" t="str">
        <f>IFERROR(INDEX('Upper Hot Cell Logistics'!$I$35:$O$41,MATCH($J17,'Upper Hot Cell Logistics'!$H$35:$H$41,0),MATCH($K17,'Upper Hot Cell Logistics'!$H$35:$H$41,0)),"N/A")</f>
        <v>N/A</v>
      </c>
      <c r="M17" s="588" t="str">
        <f>IFERROR(VLOOKUP($I17,'Upper Hot Cell Logistics'!$H$4:$I$9,2,FALSE),"N/A")</f>
        <v>N/A</v>
      </c>
      <c r="N17" s="589" t="str">
        <f t="shared" si="1"/>
        <v>N/A</v>
      </c>
      <c r="O17" s="590"/>
      <c r="P17" s="591" t="str">
        <f>IF($D17="Logistics",VLOOKUP($O17,'Upper Hot Cell Logistics'!$C$4:$D$51,2,FALSE),"N/A")</f>
        <v>N/A</v>
      </c>
    </row>
    <row r="18" spans="1:16" x14ac:dyDescent="0.4">
      <c r="A18" s="88"/>
      <c r="B18" s="3992" t="s">
        <v>2387</v>
      </c>
      <c r="C18" s="592" t="str">
        <f>'Upper Hot Cell Critical Path'!C16</f>
        <v xml:space="preserve">Deploy Port Inspection Hardware </v>
      </c>
      <c r="D18" s="592" t="s">
        <v>907</v>
      </c>
      <c r="E18" s="593">
        <f t="shared" si="0"/>
        <v>0</v>
      </c>
      <c r="F18" s="593">
        <f>IF($D18="Trigger",VLOOKUP($C18,'Upper Hot Cell Critical Path'!$C$3:$F$322,4,FALSE),E18+F17)</f>
        <v>16.539444444444445</v>
      </c>
      <c r="G18" s="594"/>
      <c r="H18" s="595" t="str">
        <f>IF(D18="operation",VLOOKUP(G18,'Generic Vertical Port Tasks'!#REF!,2,FALSE),"N/A")</f>
        <v>N/A</v>
      </c>
      <c r="I18" s="596"/>
      <c r="J18" s="596"/>
      <c r="K18" s="596"/>
      <c r="L18" s="597" t="str">
        <f>IFERROR(INDEX('Upper Hot Cell Logistics'!$I$35:$O$41,MATCH($J18,'Upper Hot Cell Logistics'!$H$35:$H$41,0),MATCH($K18,'Upper Hot Cell Logistics'!$H$35:$H$41,0)),"N/A")</f>
        <v>N/A</v>
      </c>
      <c r="M18" s="597" t="str">
        <f>IFERROR(VLOOKUP($I18,'Upper Hot Cell Logistics'!$H$4:$I$9,2,FALSE),"N/A")</f>
        <v>N/A</v>
      </c>
      <c r="N18" s="598" t="str">
        <f>IF(D18="Movement",IFERROR((L18/M18)/(60*60),"Error"),"N/A")</f>
        <v>N/A</v>
      </c>
      <c r="O18" s="599"/>
      <c r="P18" s="600" t="str">
        <f>IF($D18="Logistics",VLOOKUP($O18,'Upper Hot Cell Logistics'!$C$4:$D$51,2,FALSE),"N/A")</f>
        <v>N/A</v>
      </c>
    </row>
    <row r="19" spans="1:16" x14ac:dyDescent="0.4">
      <c r="A19" s="88"/>
      <c r="B19" s="3993"/>
      <c r="C19" s="601" t="s">
        <v>2388</v>
      </c>
      <c r="D19" s="601" t="s">
        <v>778</v>
      </c>
      <c r="E19" s="602">
        <f t="shared" si="0"/>
        <v>0.41666666666666669</v>
      </c>
      <c r="F19" s="602">
        <f>IF($D19="Trigger",VLOOKUP($C19,'Upper Hot Cell Critical Path'!$C$3:$F$322,4,FALSE),E19+F18)</f>
        <v>16.956111111111113</v>
      </c>
      <c r="G19" s="603"/>
      <c r="H19" s="604" t="str">
        <f>IF(D19="operation",VLOOKUP(G19,'Generic Vertical Port Tasks'!#REF!,2,FALSE),"N/A")</f>
        <v>N/A</v>
      </c>
      <c r="I19" s="601" t="s">
        <v>857</v>
      </c>
      <c r="J19" s="601" t="s">
        <v>452</v>
      </c>
      <c r="K19" s="601" t="s">
        <v>901</v>
      </c>
      <c r="L19" s="605">
        <f>IFERROR(INDEX('Upper Hot Cell Logistics'!$I$35:$O$41,MATCH($J19,'Upper Hot Cell Logistics'!$H$35:$H$41,0),MATCH($K19,'Upper Hot Cell Logistics'!$H$35:$H$41,0)),"N/A")</f>
        <v>30</v>
      </c>
      <c r="M19" s="605">
        <f>IFERROR(VLOOKUP($I19,'Upper Hot Cell Logistics'!$H$4:$I$9,2,FALSE),"N/A")</f>
        <v>0.02</v>
      </c>
      <c r="N19" s="606">
        <f t="shared" ref="N19:N24" si="2">IF(D19="Movement",IFERROR((L19/M19)/(60*60),"Error"),"N/A")</f>
        <v>0.41666666666666669</v>
      </c>
      <c r="O19" s="607"/>
      <c r="P19" s="608" t="str">
        <f>IF($D19="Logistics",VLOOKUP($O19,'Upper Hot Cell Logistics'!$C$4:$D$51,2,FALSE),"N/A")</f>
        <v>N/A</v>
      </c>
    </row>
    <row r="20" spans="1:16" x14ac:dyDescent="0.4">
      <c r="A20" s="88"/>
      <c r="B20" s="3993"/>
      <c r="C20" s="601" t="s">
        <v>2234</v>
      </c>
      <c r="D20" s="601" t="s">
        <v>3</v>
      </c>
      <c r="E20" s="602">
        <f t="shared" si="0"/>
        <v>0.58000000000000007</v>
      </c>
      <c r="F20" s="602">
        <f>IF($D20="Trigger",VLOOKUP($C20,'Upper Hot Cell Critical Path'!$C$3:$F$322,4,FALSE),E20+F19)</f>
        <v>17.536111111111111</v>
      </c>
      <c r="G20" s="603"/>
      <c r="H20" s="604" t="str">
        <f>IF(D20="operation",VLOOKUP(G20,'Generic Vertical Port Tasks'!#REF!,2,FALSE),"N/A")</f>
        <v>N/A</v>
      </c>
      <c r="I20" s="601"/>
      <c r="J20" s="601"/>
      <c r="K20" s="601"/>
      <c r="L20" s="605" t="str">
        <f>IFERROR(INDEX('Upper Hot Cell Logistics'!$I$35:$O$41,MATCH($J20,'Upper Hot Cell Logistics'!$H$35:$H$41,0),MATCH($K20,'Upper Hot Cell Logistics'!$H$35:$H$41,0)),"N/A")</f>
        <v>N/A</v>
      </c>
      <c r="M20" s="605" t="str">
        <f>IFERROR(VLOOKUP($I20,'Upper Hot Cell Logistics'!$H$4:$I$9,2,FALSE),"N/A")</f>
        <v>N/A</v>
      </c>
      <c r="N20" s="606" t="str">
        <f t="shared" si="2"/>
        <v>N/A</v>
      </c>
      <c r="O20" s="607" t="s">
        <v>904</v>
      </c>
      <c r="P20" s="608">
        <f>IF($D20="Logistics",VLOOKUP($O20,'Upper Hot Cell Logistics'!$C$4:$D$51,2,FALSE),"N/A")</f>
        <v>0.58000000000000007</v>
      </c>
    </row>
    <row r="21" spans="1:16" x14ac:dyDescent="0.4">
      <c r="A21" s="88"/>
      <c r="B21" s="3993"/>
      <c r="C21" s="601" t="s">
        <v>2389</v>
      </c>
      <c r="D21" s="601" t="s">
        <v>778</v>
      </c>
      <c r="E21" s="602">
        <f t="shared" si="0"/>
        <v>6.9444444444444448E-2</v>
      </c>
      <c r="F21" s="602">
        <f>IF($D21="Trigger",VLOOKUP($C21,'Upper Hot Cell Critical Path'!$C$3:$F$322,4,FALSE),E21+F20)</f>
        <v>17.605555555555554</v>
      </c>
      <c r="G21" s="603"/>
      <c r="H21" s="604" t="str">
        <f>IF(D21="operation",VLOOKUP(G21,'Generic Vertical Port Tasks'!#REF!,2,FALSE),"N/A")</f>
        <v>N/A</v>
      </c>
      <c r="I21" s="601" t="s">
        <v>798</v>
      </c>
      <c r="J21" s="601" t="s">
        <v>901</v>
      </c>
      <c r="K21" s="601" t="s">
        <v>914</v>
      </c>
      <c r="L21" s="605">
        <f>IFERROR(INDEX('Upper Hot Cell Logistics'!$I$35:$O$41,MATCH($J21,'Upper Hot Cell Logistics'!$H$35:$H$41,0),MATCH($K21,'Upper Hot Cell Logistics'!$H$35:$H$41,0)),"N/A")</f>
        <v>50</v>
      </c>
      <c r="M21" s="605">
        <f>IFERROR(VLOOKUP($I21,'Upper Hot Cell Logistics'!$H$4:$I$9,2,FALSE),"N/A")</f>
        <v>0.2</v>
      </c>
      <c r="N21" s="606">
        <f t="shared" si="2"/>
        <v>6.9444444444444448E-2</v>
      </c>
      <c r="O21" s="607"/>
      <c r="P21" s="608" t="str">
        <f>IF($D21="Logistics",VLOOKUP($O21,'Upper Hot Cell Logistics'!$C$4:$D$51,2,FALSE),"N/A")</f>
        <v>N/A</v>
      </c>
    </row>
    <row r="22" spans="1:16" x14ac:dyDescent="0.4">
      <c r="A22" s="88"/>
      <c r="B22" s="3993"/>
      <c r="C22" s="601" t="s">
        <v>2390</v>
      </c>
      <c r="D22" s="601" t="s">
        <v>3</v>
      </c>
      <c r="E22" s="602">
        <f t="shared" si="0"/>
        <v>0.68</v>
      </c>
      <c r="F22" s="602">
        <f>IF($D22="Trigger",VLOOKUP($C22,'Upper Hot Cell Critical Path'!$C$3:$F$322,4,FALSE),E22+F21)</f>
        <v>18.285555555555554</v>
      </c>
      <c r="G22" s="603"/>
      <c r="H22" s="604" t="str">
        <f>IF(D22="operation",VLOOKUP(G22,'Generic Vertical Port Tasks'!#REF!,2,FALSE),"N/A")</f>
        <v>N/A</v>
      </c>
      <c r="I22" s="601"/>
      <c r="J22" s="601"/>
      <c r="K22" s="601"/>
      <c r="L22" s="605" t="str">
        <f>IFERROR(INDEX('Upper Hot Cell Logistics'!$I$35:$O$41,MATCH($J22,'Upper Hot Cell Logistics'!$H$35:$H$41,0),MATCH($K22,'Upper Hot Cell Logistics'!$H$35:$H$41,0)),"N/A")</f>
        <v>N/A</v>
      </c>
      <c r="M22" s="605" t="str">
        <f>IFERROR(VLOOKUP($I22,'Upper Hot Cell Logistics'!$H$4:$I$9,2,FALSE),"N/A")</f>
        <v>N/A</v>
      </c>
      <c r="N22" s="606" t="str">
        <f t="shared" si="2"/>
        <v>N/A</v>
      </c>
      <c r="O22" s="607" t="s">
        <v>916</v>
      </c>
      <c r="P22" s="608">
        <f>IF($D22="Logistics",VLOOKUP($O22,'Upper Hot Cell Logistics'!$C$4:$D$51,2,FALSE),"N/A")</f>
        <v>0.68</v>
      </c>
    </row>
    <row r="23" spans="1:16" x14ac:dyDescent="0.4">
      <c r="A23" s="88"/>
      <c r="B23" s="3993"/>
      <c r="C23" s="601" t="s">
        <v>2391</v>
      </c>
      <c r="D23" s="601" t="s">
        <v>778</v>
      </c>
      <c r="E23" s="602">
        <f t="shared" si="0"/>
        <v>2.7777777777777776E-2</v>
      </c>
      <c r="F23" s="602">
        <f>IF($D23="Trigger",VLOOKUP($C23,'Upper Hot Cell Critical Path'!$C$3:$F$322,4,FALSE),E23+F22)</f>
        <v>18.313333333333333</v>
      </c>
      <c r="G23" s="603"/>
      <c r="H23" s="604" t="str">
        <f>IF(D23="operation",VLOOKUP(G23,'Generic Vertical Port Tasks'!#REF!,2,FALSE),"N/A")</f>
        <v>N/A</v>
      </c>
      <c r="I23" s="601" t="s">
        <v>798</v>
      </c>
      <c r="J23" s="601" t="s">
        <v>914</v>
      </c>
      <c r="K23" s="601" t="s">
        <v>799</v>
      </c>
      <c r="L23" s="605">
        <f>IFERROR(INDEX('Upper Hot Cell Logistics'!$I$35:$O$41,MATCH($J23,'Upper Hot Cell Logistics'!$H$35:$H$41,0),MATCH($K23,'Upper Hot Cell Logistics'!$H$35:$H$41,0)),"N/A")</f>
        <v>20</v>
      </c>
      <c r="M23" s="605">
        <f>IFERROR(VLOOKUP($I23,'Upper Hot Cell Logistics'!$H$4:$I$9,2,FALSE),"N/A")</f>
        <v>0.2</v>
      </c>
      <c r="N23" s="606">
        <f t="shared" si="2"/>
        <v>2.7777777777777776E-2</v>
      </c>
      <c r="O23" s="607"/>
      <c r="P23" s="608" t="str">
        <f>IF($D23="Logistics",VLOOKUP($O23,'Upper Hot Cell Logistics'!$C$4:$D$51,2,FALSE),"N/A")</f>
        <v>N/A</v>
      </c>
    </row>
    <row r="24" spans="1:16" ht="26.6" thickBot="1" x14ac:dyDescent="0.45">
      <c r="A24" s="88"/>
      <c r="B24" s="3994"/>
      <c r="C24" s="609" t="str">
        <f>B18</f>
        <v>Port Inspection System stored and Port Closure plate lifting hardware collected</v>
      </c>
      <c r="D24" s="609" t="s">
        <v>11</v>
      </c>
      <c r="E24" s="610">
        <f t="shared" si="0"/>
        <v>0</v>
      </c>
      <c r="F24" s="610">
        <f>IF($D24="Trigger",VLOOKUP($C24,'Upper Hot Cell Critical Path'!$C$3:$F$322,4,FALSE),E24+F23)</f>
        <v>18.313333333333333</v>
      </c>
      <c r="G24" s="611"/>
      <c r="H24" s="612" t="str">
        <f>IF(D24="operation",VLOOKUP(G24,'Generic Vertical Port Tasks'!#REF!,2,FALSE),"N/A")</f>
        <v>N/A</v>
      </c>
      <c r="I24" s="609"/>
      <c r="J24" s="609"/>
      <c r="K24" s="609"/>
      <c r="L24" s="613" t="str">
        <f>IFERROR(INDEX('Upper Hot Cell Logistics'!$I$35:$O$41,MATCH($J24,'Upper Hot Cell Logistics'!$H$35:$H$41,0),MATCH($K24,'Upper Hot Cell Logistics'!$H$35:$H$41,0)),"N/A")</f>
        <v>N/A</v>
      </c>
      <c r="M24" s="613" t="str">
        <f>IFERROR(VLOOKUP($I24,'Upper Hot Cell Logistics'!$H$4:$I$9,2,FALSE),"N/A")</f>
        <v>N/A</v>
      </c>
      <c r="N24" s="614" t="str">
        <f t="shared" si="2"/>
        <v>N/A</v>
      </c>
      <c r="O24" s="615"/>
      <c r="P24" s="616" t="str">
        <f>IF($D24="Logistics",VLOOKUP($O24,'Upper Hot Cell Logistics'!$C$4:$D$51,2,FALSE),"N/A")</f>
        <v>N/A</v>
      </c>
    </row>
    <row r="25" spans="1:16" x14ac:dyDescent="0.4">
      <c r="A25" s="88"/>
      <c r="B25" s="3995" t="s">
        <v>812</v>
      </c>
      <c r="C25" s="617" t="str">
        <f>'Upper Hot Cell Critical Path'!C15</f>
        <v>Commission Contamination Control System</v>
      </c>
      <c r="D25" s="617" t="s">
        <v>907</v>
      </c>
      <c r="E25" s="567">
        <f t="shared" si="0"/>
        <v>0</v>
      </c>
      <c r="F25" s="567">
        <f>IF($D25="Trigger",VLOOKUP($C25,'Upper Hot Cell Critical Path'!$C$3:$F$322,4,FALSE),E25+F24)</f>
        <v>15.259444444444444</v>
      </c>
      <c r="G25" s="568"/>
      <c r="H25" s="569" t="str">
        <f>IF(D25="operation",VLOOKUP(G25,'Generic Vertical Port Tasks'!#REF!,2,FALSE),"N/A")</f>
        <v>N/A</v>
      </c>
      <c r="I25" s="617"/>
      <c r="J25" s="617"/>
      <c r="K25" s="617"/>
      <c r="L25" s="618" t="str">
        <f>IFERROR(INDEX('Upper Hot Cell Logistics'!$I$35:$O$41,MATCH($J25,'Upper Hot Cell Logistics'!$H$35:$H$41,0),MATCH($K25,'Upper Hot Cell Logistics'!$H$35:$H$41,0)),"N/A")</f>
        <v>N/A</v>
      </c>
      <c r="M25" s="618" t="str">
        <f>IFERROR(VLOOKUP($I25,'Upper Hot Cell Logistics'!$H$4:$I$9,2,FALSE),"N/A")</f>
        <v>N/A</v>
      </c>
      <c r="N25" s="619" t="str">
        <f t="shared" si="1"/>
        <v>N/A</v>
      </c>
      <c r="O25" s="620"/>
      <c r="P25" s="621" t="str">
        <f>IF($D25="Logistics",VLOOKUP($O25,'Upper Hot Cell Logistics'!$C$4:$D$51,2,FALSE),"N/A")</f>
        <v>N/A</v>
      </c>
    </row>
    <row r="26" spans="1:16" x14ac:dyDescent="0.4">
      <c r="A26" s="88"/>
      <c r="B26" s="3996"/>
      <c r="C26" s="572" t="s">
        <v>919</v>
      </c>
      <c r="D26" s="572" t="s">
        <v>778</v>
      </c>
      <c r="E26" s="574">
        <f t="shared" si="0"/>
        <v>0.41666666666666669</v>
      </c>
      <c r="F26" s="574">
        <f>IF($D26="Trigger",VLOOKUP($C26,'Upper Hot Cell Critical Path'!$C$3:$F$322,4,FALSE),E26+F25)</f>
        <v>15.67611111111111</v>
      </c>
      <c r="G26" s="575"/>
      <c r="H26" s="576" t="str">
        <f>IF(D26="operation",VLOOKUP(G26,'Generic Vertical Port Tasks'!#REF!,2,FALSE),"N/A")</f>
        <v>N/A</v>
      </c>
      <c r="I26" s="572" t="s">
        <v>857</v>
      </c>
      <c r="J26" s="572" t="s">
        <v>452</v>
      </c>
      <c r="K26" s="572" t="s">
        <v>901</v>
      </c>
      <c r="L26" s="577">
        <f>IFERROR(INDEX('Upper Hot Cell Logistics'!$I$35:$O$41,MATCH($J26,'Upper Hot Cell Logistics'!$H$35:$H$41,0),MATCH($K26,'Upper Hot Cell Logistics'!$H$35:$H$41,0)),"N/A")</f>
        <v>30</v>
      </c>
      <c r="M26" s="577">
        <f>IFERROR(VLOOKUP($I26,'Upper Hot Cell Logistics'!$H$4:$I$9,2,FALSE),"N/A")</f>
        <v>0.02</v>
      </c>
      <c r="N26" s="578">
        <f t="shared" si="1"/>
        <v>0.41666666666666669</v>
      </c>
      <c r="O26" s="579"/>
      <c r="P26" s="580" t="str">
        <f>IF($D26="Logistics",VLOOKUP($O26,'Upper Hot Cell Logistics'!$C$4:$D$51,2,FALSE),"N/A")</f>
        <v>N/A</v>
      </c>
    </row>
    <row r="27" spans="1:16" x14ac:dyDescent="0.4">
      <c r="A27" s="88"/>
      <c r="B27" s="3996"/>
      <c r="C27" s="572" t="s">
        <v>920</v>
      </c>
      <c r="D27" s="572" t="s">
        <v>3</v>
      </c>
      <c r="E27" s="574">
        <f t="shared" si="0"/>
        <v>0.58000000000000007</v>
      </c>
      <c r="F27" s="574">
        <f>IF($D27="Trigger",VLOOKUP($C27,'Upper Hot Cell Critical Path'!$C$3:$F$322,4,FALSE),E27+F26)</f>
        <v>16.25611111111111</v>
      </c>
      <c r="G27" s="575"/>
      <c r="H27" s="576" t="str">
        <f>IF(D27="operation",VLOOKUP(G27,'Generic Vertical Port Tasks'!#REF!,2,FALSE),"N/A")</f>
        <v>N/A</v>
      </c>
      <c r="I27" s="572"/>
      <c r="J27" s="572"/>
      <c r="K27" s="572"/>
      <c r="L27" s="577" t="str">
        <f>IFERROR(INDEX('Upper Hot Cell Logistics'!$I$35:$O$41,MATCH($J27,'Upper Hot Cell Logistics'!$H$35:$H$41,0),MATCH($K27,'Upper Hot Cell Logistics'!$H$35:$H$41,0)),"N/A")</f>
        <v>N/A</v>
      </c>
      <c r="M27" s="577" t="str">
        <f>IFERROR(VLOOKUP($I27,'Upper Hot Cell Logistics'!$H$4:$I$9,2,FALSE),"N/A")</f>
        <v>N/A</v>
      </c>
      <c r="N27" s="578" t="str">
        <f t="shared" si="1"/>
        <v>N/A</v>
      </c>
      <c r="O27" s="579" t="s">
        <v>904</v>
      </c>
      <c r="P27" s="580">
        <f>IF($D27="Logistics",VLOOKUP($O27,'Upper Hot Cell Logistics'!$C$4:$D$51,2,FALSE),"N/A")</f>
        <v>0.58000000000000007</v>
      </c>
    </row>
    <row r="28" spans="1:16" x14ac:dyDescent="0.4">
      <c r="A28" s="88"/>
      <c r="B28" s="3996"/>
      <c r="C28" s="572" t="s">
        <v>921</v>
      </c>
      <c r="D28" s="572" t="s">
        <v>778</v>
      </c>
      <c r="E28" s="574">
        <f t="shared" si="0"/>
        <v>6.9444444444444448E-2</v>
      </c>
      <c r="F28" s="574">
        <f>IF($D28="Trigger",VLOOKUP($C28,'Upper Hot Cell Critical Path'!$C$3:$F$322,4,FALSE),E28+F27)</f>
        <v>16.325555555555553</v>
      </c>
      <c r="G28" s="575"/>
      <c r="H28" s="576" t="str">
        <f>IF(D28="operation",VLOOKUP(G28,'Generic Vertical Port Tasks'!#REF!,2,FALSE),"N/A")</f>
        <v>N/A</v>
      </c>
      <c r="I28" s="572" t="s">
        <v>798</v>
      </c>
      <c r="J28" s="572" t="s">
        <v>901</v>
      </c>
      <c r="K28" s="572" t="s">
        <v>914</v>
      </c>
      <c r="L28" s="577">
        <f>IFERROR(INDEX('Upper Hot Cell Logistics'!$I$35:$O$41,MATCH($J28,'Upper Hot Cell Logistics'!$H$35:$H$41,0),MATCH($K28,'Upper Hot Cell Logistics'!$H$35:$H$41,0)),"N/A")</f>
        <v>50</v>
      </c>
      <c r="M28" s="577">
        <f>IFERROR(VLOOKUP($I28,'Upper Hot Cell Logistics'!$H$4:$I$9,2,FALSE),"N/A")</f>
        <v>0.2</v>
      </c>
      <c r="N28" s="578">
        <f t="shared" si="1"/>
        <v>6.9444444444444448E-2</v>
      </c>
      <c r="O28" s="579"/>
      <c r="P28" s="580" t="str">
        <f>IF($D28="Logistics",VLOOKUP($O28,'Upper Hot Cell Logistics'!$C$4:$D$51,2,FALSE),"N/A")</f>
        <v>N/A</v>
      </c>
    </row>
    <row r="29" spans="1:16" x14ac:dyDescent="0.4">
      <c r="A29" s="88"/>
      <c r="B29" s="3996"/>
      <c r="C29" s="572" t="s">
        <v>922</v>
      </c>
      <c r="D29" s="572" t="s">
        <v>3</v>
      </c>
      <c r="E29" s="574">
        <f t="shared" si="0"/>
        <v>0.58000000000000007</v>
      </c>
      <c r="F29" s="574">
        <f>IF($D29="Trigger",VLOOKUP($C29,'Upper Hot Cell Critical Path'!$C$3:$F$322,4,FALSE),E29+F28)</f>
        <v>16.905555555555551</v>
      </c>
      <c r="G29" s="575"/>
      <c r="H29" s="576" t="str">
        <f>IF(D29="operation",VLOOKUP(G29,'Generic Vertical Port Tasks'!#REF!,2,FALSE),"N/A")</f>
        <v>N/A</v>
      </c>
      <c r="I29" s="572"/>
      <c r="J29" s="572"/>
      <c r="K29" s="572"/>
      <c r="L29" s="577" t="str">
        <f>IFERROR(INDEX('Upper Hot Cell Logistics'!$I$35:$O$41,MATCH($J29,'Upper Hot Cell Logistics'!$H$35:$H$41,0),MATCH($K29,'Upper Hot Cell Logistics'!$H$35:$H$41,0)),"N/A")</f>
        <v>N/A</v>
      </c>
      <c r="M29" s="577" t="str">
        <f>IFERROR(VLOOKUP($I29,'Upper Hot Cell Logistics'!$H$4:$I$9,2,FALSE),"N/A")</f>
        <v>N/A</v>
      </c>
      <c r="N29" s="578" t="str">
        <f t="shared" si="1"/>
        <v>N/A</v>
      </c>
      <c r="O29" s="579" t="s">
        <v>904</v>
      </c>
      <c r="P29" s="580">
        <f>IF($D29="Logistics",VLOOKUP($O29,'Upper Hot Cell Logistics'!$C$4:$D$51,2,FALSE),"N/A")</f>
        <v>0.58000000000000007</v>
      </c>
    </row>
    <row r="30" spans="1:16" x14ac:dyDescent="0.4">
      <c r="A30" s="88"/>
      <c r="B30" s="3996"/>
      <c r="C30" s="572" t="s">
        <v>923</v>
      </c>
      <c r="D30" s="572" t="s">
        <v>778</v>
      </c>
      <c r="E30" s="574">
        <f t="shared" si="0"/>
        <v>2.7777777777777776E-2</v>
      </c>
      <c r="F30" s="574">
        <f>IF($D30="Trigger",VLOOKUP($C30,'Upper Hot Cell Critical Path'!$C$3:$F$322,4,FALSE),E30+F29)</f>
        <v>16.93333333333333</v>
      </c>
      <c r="G30" s="575"/>
      <c r="H30" s="576" t="str">
        <f>IF(D30="operation",VLOOKUP(G30,'Generic Vertical Port Tasks'!#REF!,2,FALSE),"N/A")</f>
        <v>N/A</v>
      </c>
      <c r="I30" s="572" t="s">
        <v>798</v>
      </c>
      <c r="J30" s="572" t="s">
        <v>914</v>
      </c>
      <c r="K30" s="572" t="s">
        <v>799</v>
      </c>
      <c r="L30" s="577">
        <f>IFERROR(INDEX('Upper Hot Cell Logistics'!$I$35:$O$41,MATCH($J30,'Upper Hot Cell Logistics'!$H$35:$H$41,0),MATCH($K30,'Upper Hot Cell Logistics'!$H$35:$H$41,0)),"N/A")</f>
        <v>20</v>
      </c>
      <c r="M30" s="577">
        <f>IFERROR(VLOOKUP($I30,'Upper Hot Cell Logistics'!$H$4:$I$9,2,FALSE),"N/A")</f>
        <v>0.2</v>
      </c>
      <c r="N30" s="578">
        <f t="shared" si="1"/>
        <v>2.7777777777777776E-2</v>
      </c>
      <c r="O30" s="579"/>
      <c r="P30" s="580" t="str">
        <f>IF($D30="Logistics",VLOOKUP($O30,'Upper Hot Cell Logistics'!$C$4:$D$51,2,FALSE),"N/A")</f>
        <v>N/A</v>
      </c>
    </row>
    <row r="31" spans="1:16" x14ac:dyDescent="0.4">
      <c r="A31" s="88"/>
      <c r="B31" s="3996"/>
      <c r="C31" s="572" t="s">
        <v>924</v>
      </c>
      <c r="D31" s="572" t="s">
        <v>3</v>
      </c>
      <c r="E31" s="574">
        <f t="shared" si="0"/>
        <v>0.58000000000000007</v>
      </c>
      <c r="F31" s="574">
        <f>IF($D31="Trigger",VLOOKUP($C31,'Upper Hot Cell Critical Path'!$C$3:$F$322,4,FALSE),E31+F30)</f>
        <v>17.513333333333328</v>
      </c>
      <c r="G31" s="575"/>
      <c r="H31" s="576" t="str">
        <f>IF(D31="operation",VLOOKUP(G31,'Generic Vertical Port Tasks'!#REF!,2,FALSE),"N/A")</f>
        <v>N/A</v>
      </c>
      <c r="I31" s="572"/>
      <c r="J31" s="572"/>
      <c r="K31" s="572"/>
      <c r="L31" s="577" t="str">
        <f>IFERROR(INDEX('Upper Hot Cell Logistics'!$I$35:$O$41,MATCH($J31,'Upper Hot Cell Logistics'!$H$35:$H$41,0),MATCH($K31,'Upper Hot Cell Logistics'!$H$35:$H$41,0)),"N/A")</f>
        <v>N/A</v>
      </c>
      <c r="M31" s="577" t="str">
        <f>IFERROR(VLOOKUP($I31,'Upper Hot Cell Logistics'!$H$4:$I$9,2,FALSE),"N/A")</f>
        <v>N/A</v>
      </c>
      <c r="N31" s="578" t="str">
        <f t="shared" si="1"/>
        <v>N/A</v>
      </c>
      <c r="O31" s="579" t="s">
        <v>796</v>
      </c>
      <c r="P31" s="580">
        <f>IF($D31="Logistics",VLOOKUP($O31,'Upper Hot Cell Logistics'!$C$4:$D$51,2,FALSE),"N/A")</f>
        <v>0.58000000000000007</v>
      </c>
    </row>
    <row r="32" spans="1:16" ht="15" thickBot="1" x14ac:dyDescent="0.45">
      <c r="A32" s="88"/>
      <c r="B32" s="3997"/>
      <c r="C32" s="583" t="str">
        <f>B25</f>
        <v>CCS Attachment stored &amp; ECH Lifting Attachment collected</v>
      </c>
      <c r="D32" s="583" t="s">
        <v>11</v>
      </c>
      <c r="E32" s="585">
        <f t="shared" si="0"/>
        <v>0</v>
      </c>
      <c r="F32" s="585">
        <f>IF($D32="Trigger",VLOOKUP($C32,'Upper Hot Cell Critical Path'!$C$3:$F$322,4,FALSE),E32+F31)</f>
        <v>17.513333333333328</v>
      </c>
      <c r="G32" s="586"/>
      <c r="H32" s="587" t="str">
        <f>IF(D32="operation",VLOOKUP(G32,'Generic Vertical Port Tasks'!#REF!,2,FALSE),"N/A")</f>
        <v>N/A</v>
      </c>
      <c r="I32" s="583"/>
      <c r="J32" s="583"/>
      <c r="K32" s="583"/>
      <c r="L32" s="588" t="str">
        <f>IFERROR(INDEX('Upper Hot Cell Logistics'!$I$35:$O$41,MATCH($J32,'Upper Hot Cell Logistics'!$H$35:$H$41,0),MATCH($K32,'Upper Hot Cell Logistics'!$H$35:$H$41,0)),"N/A")</f>
        <v>N/A</v>
      </c>
      <c r="M32" s="588" t="str">
        <f>IFERROR(VLOOKUP($I32,'Upper Hot Cell Logistics'!$H$4:$I$9,2,FALSE),"N/A")</f>
        <v>N/A</v>
      </c>
      <c r="N32" s="589" t="str">
        <f t="shared" si="1"/>
        <v>N/A</v>
      </c>
      <c r="O32" s="590"/>
      <c r="P32" s="591" t="str">
        <f>IF($D32="Logistics",VLOOKUP($O32,'Upper Hot Cell Logistics'!$C$4:$D$51,2,FALSE),"N/A")</f>
        <v>N/A</v>
      </c>
    </row>
    <row r="33" spans="1:16" x14ac:dyDescent="0.4">
      <c r="A33" s="88"/>
      <c r="B33" s="3992" t="s">
        <v>925</v>
      </c>
      <c r="C33" s="596" t="str">
        <f>'Upper Hot Cell Critical Path'!C22</f>
        <v>Extract ECH</v>
      </c>
      <c r="D33" s="596" t="s">
        <v>907</v>
      </c>
      <c r="E33" s="593">
        <f t="shared" si="0"/>
        <v>0</v>
      </c>
      <c r="F33" s="593">
        <f>IF($D33="Trigger",VLOOKUP($C33,'Upper Hot Cell Critical Path'!$C$3:$F$322,4,FALSE),E33+F32)</f>
        <v>35.775555555555556</v>
      </c>
      <c r="G33" s="594"/>
      <c r="H33" s="595" t="str">
        <f>IF(D33="operation",VLOOKUP(G33,'Generic Vertical Port Tasks'!#REF!,2,FALSE),"N/A")</f>
        <v>N/A</v>
      </c>
      <c r="I33" s="596"/>
      <c r="J33" s="596"/>
      <c r="K33" s="596"/>
      <c r="L33" s="597" t="str">
        <f>IFERROR(INDEX('Upper Hot Cell Logistics'!$I$35:$O$41,MATCH($J33,'Upper Hot Cell Logistics'!$H$35:$H$41,0),MATCH($K33,'Upper Hot Cell Logistics'!$H$35:$H$41,0)),"N/A")</f>
        <v>N/A</v>
      </c>
      <c r="M33" s="597" t="str">
        <f>IFERROR(VLOOKUP($I33,'Upper Hot Cell Logistics'!$H$4:$I$9,2,FALSE),"N/A")</f>
        <v>N/A</v>
      </c>
      <c r="N33" s="598" t="str">
        <f t="shared" si="1"/>
        <v>N/A</v>
      </c>
      <c r="O33" s="599"/>
      <c r="P33" s="600" t="str">
        <f>IF($D33="Logistics",VLOOKUP($O33,'Upper Hot Cell Logistics'!$C$4:$D$51,2,FALSE),"N/A")</f>
        <v>N/A</v>
      </c>
    </row>
    <row r="34" spans="1:16" x14ac:dyDescent="0.4">
      <c r="A34" s="88"/>
      <c r="B34" s="3993"/>
      <c r="C34" s="601" t="s">
        <v>926</v>
      </c>
      <c r="D34" s="601" t="s">
        <v>778</v>
      </c>
      <c r="E34" s="602">
        <f t="shared" si="0"/>
        <v>0.69444444444444442</v>
      </c>
      <c r="F34" s="602">
        <f>IF($D34="Trigger",VLOOKUP($C34,'Upper Hot Cell Critical Path'!$C$3:$F$322,4,FALSE),E34+F33)</f>
        <v>36.47</v>
      </c>
      <c r="G34" s="603"/>
      <c r="H34" s="604" t="str">
        <f>IF(D34="operation",VLOOKUP(G34,'Generic Vertical Port Tasks'!#REF!,2,FALSE),"N/A")</f>
        <v>N/A</v>
      </c>
      <c r="I34" s="601" t="s">
        <v>857</v>
      </c>
      <c r="J34" s="601" t="s">
        <v>452</v>
      </c>
      <c r="K34" s="601" t="s">
        <v>831</v>
      </c>
      <c r="L34" s="605">
        <f>IFERROR(INDEX('Upper Hot Cell Logistics'!$I$35:$O$41,MATCH($J34,'Upper Hot Cell Logistics'!$H$35:$H$41,0),MATCH($K34,'Upper Hot Cell Logistics'!$H$35:$H$41,0)),"N/A")</f>
        <v>50</v>
      </c>
      <c r="M34" s="605">
        <f>IFERROR(VLOOKUP($I34,'Upper Hot Cell Logistics'!$H$4:$I$9,2,FALSE),"N/A")</f>
        <v>0.02</v>
      </c>
      <c r="N34" s="606">
        <f t="shared" si="1"/>
        <v>0.69444444444444442</v>
      </c>
      <c r="O34" s="607"/>
      <c r="P34" s="608" t="str">
        <f>IF($D34="Logistics",VLOOKUP($O34,'Upper Hot Cell Logistics'!$C$4:$D$51,2,FALSE),"N/A")</f>
        <v>N/A</v>
      </c>
    </row>
    <row r="35" spans="1:16" x14ac:dyDescent="0.4">
      <c r="A35" s="88"/>
      <c r="B35" s="3993"/>
      <c r="C35" s="601" t="s">
        <v>927</v>
      </c>
      <c r="D35" s="601" t="s">
        <v>3</v>
      </c>
      <c r="E35" s="602">
        <f t="shared" si="0"/>
        <v>0.58000000000000007</v>
      </c>
      <c r="F35" s="602">
        <f>IF($D35="Trigger",VLOOKUP($C35,'Upper Hot Cell Critical Path'!$C$3:$F$322,4,FALSE),E35+F34)</f>
        <v>37.049999999999997</v>
      </c>
      <c r="G35" s="603"/>
      <c r="H35" s="604" t="str">
        <f>IF(D35="operation",VLOOKUP(G35,'Generic Vertical Port Tasks'!#REF!,2,FALSE),"N/A")</f>
        <v>N/A</v>
      </c>
      <c r="I35" s="601"/>
      <c r="J35" s="601"/>
      <c r="K35" s="601"/>
      <c r="L35" s="605" t="str">
        <f>IFERROR(INDEX('Upper Hot Cell Logistics'!$I$35:$O$41,MATCH($J35,'Upper Hot Cell Logistics'!$H$35:$H$41,0),MATCH($K35,'Upper Hot Cell Logistics'!$H$35:$H$41,0)),"N/A")</f>
        <v>N/A</v>
      </c>
      <c r="M35" s="605" t="str">
        <f>IFERROR(VLOOKUP($I35,'Upper Hot Cell Logistics'!$H$4:$I$9,2,FALSE),"N/A")</f>
        <v>N/A</v>
      </c>
      <c r="N35" s="606" t="str">
        <f t="shared" si="1"/>
        <v>N/A</v>
      </c>
      <c r="O35" s="607" t="s">
        <v>904</v>
      </c>
      <c r="P35" s="608">
        <f>IF($D35="Logistics",VLOOKUP($O35,'Upper Hot Cell Logistics'!$C$4:$D$51,2,FALSE),"N/A")</f>
        <v>0.58000000000000007</v>
      </c>
    </row>
    <row r="36" spans="1:16" x14ac:dyDescent="0.4">
      <c r="A36" s="88"/>
      <c r="B36" s="3993"/>
      <c r="C36" s="601" t="s">
        <v>913</v>
      </c>
      <c r="D36" s="601" t="s">
        <v>778</v>
      </c>
      <c r="E36" s="602">
        <f t="shared" si="0"/>
        <v>2.7777777777777776E-2</v>
      </c>
      <c r="F36" s="602">
        <f>IF($D36="Trigger",VLOOKUP($C36,'Upper Hot Cell Critical Path'!$C$3:$F$322,4,FALSE),E36+F35)</f>
        <v>37.077777777777776</v>
      </c>
      <c r="G36" s="603"/>
      <c r="H36" s="604" t="str">
        <f>IF(D36="operation",VLOOKUP(G36,'Generic Vertical Port Tasks'!#REF!,2,FALSE),"N/A")</f>
        <v>N/A</v>
      </c>
      <c r="I36" s="601" t="s">
        <v>798</v>
      </c>
      <c r="J36" s="601" t="s">
        <v>831</v>
      </c>
      <c r="K36" s="601" t="s">
        <v>914</v>
      </c>
      <c r="L36" s="605">
        <f>IFERROR(INDEX('Upper Hot Cell Logistics'!$I$35:$O$41,MATCH($J36,'Upper Hot Cell Logistics'!$H$35:$H$41,0),MATCH($K36,'Upper Hot Cell Logistics'!$H$35:$H$41,0)),"N/A")</f>
        <v>20</v>
      </c>
      <c r="M36" s="605">
        <f>IFERROR(VLOOKUP($I36,'Upper Hot Cell Logistics'!$H$4:$I$9,2,FALSE),"N/A")</f>
        <v>0.2</v>
      </c>
      <c r="N36" s="606">
        <f t="shared" si="1"/>
        <v>2.7777777777777776E-2</v>
      </c>
      <c r="O36" s="607"/>
      <c r="P36" s="608" t="str">
        <f>IF($D36="Logistics",VLOOKUP($O36,'Upper Hot Cell Logistics'!$C$4:$D$51,2,FALSE),"N/A")</f>
        <v>N/A</v>
      </c>
    </row>
    <row r="37" spans="1:16" x14ac:dyDescent="0.4">
      <c r="A37" s="88"/>
      <c r="B37" s="3993"/>
      <c r="C37" s="601" t="s">
        <v>928</v>
      </c>
      <c r="D37" s="601" t="s">
        <v>3</v>
      </c>
      <c r="E37" s="602">
        <f t="shared" si="0"/>
        <v>0.68</v>
      </c>
      <c r="F37" s="602">
        <f>IF($D37="Trigger",VLOOKUP($C37,'Upper Hot Cell Critical Path'!$C$3:$F$322,4,FALSE),E37+F36)</f>
        <v>37.757777777777775</v>
      </c>
      <c r="G37" s="603"/>
      <c r="H37" s="604" t="str">
        <f>IF(D37="operation",VLOOKUP(G37,'Generic Vertical Port Tasks'!#REF!,2,FALSE),"N/A")</f>
        <v>N/A</v>
      </c>
      <c r="I37" s="601"/>
      <c r="J37" s="601"/>
      <c r="K37" s="601"/>
      <c r="L37" s="605" t="str">
        <f>IFERROR(INDEX('Upper Hot Cell Logistics'!$I$35:$O$41,MATCH($J37,'Upper Hot Cell Logistics'!$H$35:$H$41,0),MATCH($K37,'Upper Hot Cell Logistics'!$H$35:$H$41,0)),"N/A")</f>
        <v>N/A</v>
      </c>
      <c r="M37" s="605" t="str">
        <f>IFERROR(VLOOKUP($I37,'Upper Hot Cell Logistics'!$H$4:$I$9,2,FALSE),"N/A")</f>
        <v>N/A</v>
      </c>
      <c r="N37" s="606" t="str">
        <f t="shared" si="1"/>
        <v>N/A</v>
      </c>
      <c r="O37" s="607" t="s">
        <v>916</v>
      </c>
      <c r="P37" s="608">
        <f>IF($D37="Logistics",VLOOKUP($O37,'Upper Hot Cell Logistics'!$C$4:$D$51,2,FALSE),"N/A")</f>
        <v>0.68</v>
      </c>
    </row>
    <row r="38" spans="1:16" x14ac:dyDescent="0.4">
      <c r="A38" s="88"/>
      <c r="B38" s="3993"/>
      <c r="C38" s="601" t="s">
        <v>917</v>
      </c>
      <c r="D38" s="601" t="s">
        <v>778</v>
      </c>
      <c r="E38" s="602">
        <f t="shared" si="0"/>
        <v>2.7777777777777776E-2</v>
      </c>
      <c r="F38" s="602">
        <f>IF($D38="Trigger",VLOOKUP($C38,'Upper Hot Cell Critical Path'!$C$3:$F$322,4,FALSE),E38+F37)</f>
        <v>37.785555555555554</v>
      </c>
      <c r="G38" s="603"/>
      <c r="H38" s="604" t="str">
        <f>IF(D38="operation",VLOOKUP(G38,'Generic Vertical Port Tasks'!#REF!,2,FALSE),"N/A")</f>
        <v>N/A</v>
      </c>
      <c r="I38" s="601" t="s">
        <v>798</v>
      </c>
      <c r="J38" s="601" t="s">
        <v>914</v>
      </c>
      <c r="K38" s="601" t="s">
        <v>799</v>
      </c>
      <c r="L38" s="605">
        <f>IFERROR(INDEX('Upper Hot Cell Logistics'!$I$35:$O$41,MATCH($J38,'Upper Hot Cell Logistics'!$H$35:$H$41,0),MATCH($K38,'Upper Hot Cell Logistics'!$H$35:$H$41,0)),"N/A")</f>
        <v>20</v>
      </c>
      <c r="M38" s="605">
        <f>IFERROR(VLOOKUP($I38,'Upper Hot Cell Logistics'!$H$4:$I$9,2,FALSE),"N/A")</f>
        <v>0.2</v>
      </c>
      <c r="N38" s="606">
        <f t="shared" si="1"/>
        <v>2.7777777777777776E-2</v>
      </c>
      <c r="O38" s="607"/>
      <c r="P38" s="608" t="str">
        <f>IF($D38="Logistics",VLOOKUP($O38,'Upper Hot Cell Logistics'!$C$4:$D$51,2,FALSE),"N/A")</f>
        <v>N/A</v>
      </c>
    </row>
    <row r="39" spans="1:16" x14ac:dyDescent="0.4">
      <c r="A39" s="88"/>
      <c r="B39" s="3993"/>
      <c r="C39" s="601" t="s">
        <v>929</v>
      </c>
      <c r="D39" s="601" t="s">
        <v>3</v>
      </c>
      <c r="E39" s="602">
        <f t="shared" si="0"/>
        <v>1.08</v>
      </c>
      <c r="F39" s="602">
        <f>IF($D39="Trigger",VLOOKUP($C39,'Upper Hot Cell Critical Path'!$C$3:$F$322,4,FALSE),E39+F38)</f>
        <v>38.865555555555552</v>
      </c>
      <c r="G39" s="603"/>
      <c r="H39" s="604" t="str">
        <f>IF(D39="operation",VLOOKUP(G39,'Generic Vertical Port Tasks'!#REF!,2,FALSE),"N/A")</f>
        <v>N/A</v>
      </c>
      <c r="I39" s="601"/>
      <c r="J39" s="601"/>
      <c r="K39" s="601"/>
      <c r="L39" s="605" t="str">
        <f>IFERROR(INDEX('Upper Hot Cell Logistics'!$I$35:$O$41,MATCH($J39,'Upper Hot Cell Logistics'!$H$35:$H$41,0),MATCH($K39,'Upper Hot Cell Logistics'!$H$35:$H$41,0)),"N/A")</f>
        <v>N/A</v>
      </c>
      <c r="M39" s="605" t="str">
        <f>IFERROR(VLOOKUP($I39,'Upper Hot Cell Logistics'!$H$4:$I$9,2,FALSE),"N/A")</f>
        <v>N/A</v>
      </c>
      <c r="N39" s="606" t="str">
        <f t="shared" si="1"/>
        <v>N/A</v>
      </c>
      <c r="O39" s="607" t="s">
        <v>909</v>
      </c>
      <c r="P39" s="608">
        <f>IF($D39="Logistics",VLOOKUP($O39,'Upper Hot Cell Logistics'!$C$4:$D$51,2,FALSE),"N/A")</f>
        <v>1.08</v>
      </c>
    </row>
    <row r="40" spans="1:16" ht="15" thickBot="1" x14ac:dyDescent="0.45">
      <c r="A40" s="88"/>
      <c r="B40" s="3994"/>
      <c r="C40" s="609" t="str">
        <f>B33</f>
        <v>ECH &amp; ECH Attachment stored &amp; Shield Plug Equip collected</v>
      </c>
      <c r="D40" s="609" t="s">
        <v>11</v>
      </c>
      <c r="E40" s="610">
        <f t="shared" si="0"/>
        <v>0</v>
      </c>
      <c r="F40" s="610">
        <f>IF($D40="Trigger",VLOOKUP($C40,'Upper Hot Cell Critical Path'!$C$3:$F$322,4,FALSE),E40+F39)</f>
        <v>38.865555555555552</v>
      </c>
      <c r="G40" s="611"/>
      <c r="H40" s="612" t="str">
        <f>IF(D40="operation",VLOOKUP(G40,'Generic Vertical Port Tasks'!#REF!,2,FALSE),"N/A")</f>
        <v>N/A</v>
      </c>
      <c r="I40" s="609"/>
      <c r="J40" s="609"/>
      <c r="K40" s="609"/>
      <c r="L40" s="613" t="str">
        <f>IFERROR(INDEX('Upper Hot Cell Logistics'!$I$35:$O$41,MATCH($J40,'Upper Hot Cell Logistics'!$H$35:$H$41,0),MATCH($K40,'Upper Hot Cell Logistics'!$H$35:$H$41,0)),"N/A")</f>
        <v>N/A</v>
      </c>
      <c r="M40" s="613" t="str">
        <f>IFERROR(VLOOKUP($I40,'Upper Hot Cell Logistics'!$H$4:$I$9,2,FALSE),"N/A")</f>
        <v>N/A</v>
      </c>
      <c r="N40" s="614" t="str">
        <f t="shared" si="1"/>
        <v>N/A</v>
      </c>
      <c r="O40" s="615"/>
      <c r="P40" s="616" t="str">
        <f>IF($D40="Logistics",VLOOKUP($O40,'Upper Hot Cell Logistics'!$C$4:$D$51,2,FALSE),"N/A")</f>
        <v>N/A</v>
      </c>
    </row>
    <row r="41" spans="1:16" x14ac:dyDescent="0.4">
      <c r="A41" s="88"/>
      <c r="B41" s="3995" t="s">
        <v>2386</v>
      </c>
      <c r="C41" s="617" t="str">
        <f>'Upper Hot Cell Critical Path'!C35</f>
        <v>Extract Port Closure Plate</v>
      </c>
      <c r="D41" s="617" t="s">
        <v>907</v>
      </c>
      <c r="E41" s="567">
        <f t="shared" si="0"/>
        <v>0</v>
      </c>
      <c r="F41" s="567">
        <f>IF($D41="Trigger",VLOOKUP($C41,'Upper Hot Cell Critical Path'!$C$3:$F$322,4,FALSE),E41+F40)</f>
        <v>86.140555555555565</v>
      </c>
      <c r="G41" s="568"/>
      <c r="H41" s="569" t="str">
        <f>IF(D41="operation",VLOOKUP(G41,'Generic Vertical Port Tasks'!#REF!,2,FALSE),"N/A")</f>
        <v>N/A</v>
      </c>
      <c r="I41" s="617"/>
      <c r="J41" s="617"/>
      <c r="K41" s="617"/>
      <c r="L41" s="618" t="str">
        <f>IFERROR(INDEX('Upper Hot Cell Logistics'!$I$35:$O$41,MATCH($J41,'Upper Hot Cell Logistics'!$H$35:$H$41,0),MATCH($K41,'Upper Hot Cell Logistics'!$H$35:$H$41,0)),"N/A")</f>
        <v>N/A</v>
      </c>
      <c r="M41" s="618" t="str">
        <f>IFERROR(VLOOKUP($I41,'Upper Hot Cell Logistics'!$H$4:$I$9,2,FALSE),"N/A")</f>
        <v>N/A</v>
      </c>
      <c r="N41" s="619" t="str">
        <f t="shared" si="1"/>
        <v>N/A</v>
      </c>
      <c r="O41" s="620"/>
      <c r="P41" s="621" t="str">
        <f>IF($D41="Logistics",VLOOKUP($O41,'Upper Hot Cell Logistics'!$C$4:$D$51,2,FALSE),"N/A")</f>
        <v>N/A</v>
      </c>
    </row>
    <row r="42" spans="1:16" x14ac:dyDescent="0.4">
      <c r="A42" s="88"/>
      <c r="B42" s="3996"/>
      <c r="C42" s="572" t="s">
        <v>930</v>
      </c>
      <c r="D42" s="572" t="s">
        <v>778</v>
      </c>
      <c r="E42" s="574">
        <f t="shared" si="0"/>
        <v>0.69444444444444442</v>
      </c>
      <c r="F42" s="574">
        <f>IF($D42="Trigger",VLOOKUP($C42,'Upper Hot Cell Critical Path'!$C$3:$F$322,4,FALSE),E42+F41)</f>
        <v>86.835000000000008</v>
      </c>
      <c r="G42" s="575"/>
      <c r="H42" s="576" t="str">
        <f>IF(D42="operation",VLOOKUP(G42,'Generic Vertical Port Tasks'!#REF!,2,FALSE),"N/A")</f>
        <v>N/A</v>
      </c>
      <c r="I42" s="572" t="s">
        <v>857</v>
      </c>
      <c r="J42" s="572" t="s">
        <v>452</v>
      </c>
      <c r="K42" s="572" t="s">
        <v>831</v>
      </c>
      <c r="L42" s="577">
        <f>IFERROR(INDEX('Upper Hot Cell Logistics'!$I$35:$O$41,MATCH($J42,'Upper Hot Cell Logistics'!$H$35:$H$41,0),MATCH($K42,'Upper Hot Cell Logistics'!$H$35:$H$41,0)),"N/A")</f>
        <v>50</v>
      </c>
      <c r="M42" s="577">
        <f>IFERROR(VLOOKUP($I42,'Upper Hot Cell Logistics'!$H$4:$I$9,2,FALSE),"N/A")</f>
        <v>0.02</v>
      </c>
      <c r="N42" s="578">
        <f t="shared" si="1"/>
        <v>0.69444444444444442</v>
      </c>
      <c r="O42" s="579"/>
      <c r="P42" s="580" t="str">
        <f>IF($D42="Logistics",VLOOKUP($O42,'Upper Hot Cell Logistics'!$C$4:$D$51,2,FALSE),"N/A")</f>
        <v>N/A</v>
      </c>
    </row>
    <row r="43" spans="1:16" x14ac:dyDescent="0.4">
      <c r="A43" s="88"/>
      <c r="B43" s="3996"/>
      <c r="C43" s="572" t="s">
        <v>931</v>
      </c>
      <c r="D43" s="572" t="s">
        <v>3</v>
      </c>
      <c r="E43" s="574">
        <f t="shared" si="0"/>
        <v>0.58000000000000007</v>
      </c>
      <c r="F43" s="574">
        <f>IF($D43="Trigger",VLOOKUP($C43,'Upper Hot Cell Critical Path'!$C$3:$F$322,4,FALSE),E43+F42)</f>
        <v>87.415000000000006</v>
      </c>
      <c r="G43" s="575"/>
      <c r="H43" s="576" t="str">
        <f>IF(D43="operation",VLOOKUP(G43,'Generic Vertical Port Tasks'!#REF!,2,FALSE),"N/A")</f>
        <v>N/A</v>
      </c>
      <c r="I43" s="572"/>
      <c r="J43" s="572"/>
      <c r="K43" s="572"/>
      <c r="L43" s="577" t="str">
        <f>IFERROR(INDEX('Upper Hot Cell Logistics'!$I$35:$O$41,MATCH($J43,'Upper Hot Cell Logistics'!$H$35:$H$41,0),MATCH($K43,'Upper Hot Cell Logistics'!$H$35:$H$41,0)),"N/A")</f>
        <v>N/A</v>
      </c>
      <c r="M43" s="577" t="str">
        <f>IFERROR(VLOOKUP($I43,'Upper Hot Cell Logistics'!$H$4:$I$9,2,FALSE),"N/A")</f>
        <v>N/A</v>
      </c>
      <c r="N43" s="578" t="str">
        <f t="shared" si="1"/>
        <v>N/A</v>
      </c>
      <c r="O43" s="579" t="s">
        <v>904</v>
      </c>
      <c r="P43" s="580">
        <f>IF($D43="Logistics",VLOOKUP($O43,'Upper Hot Cell Logistics'!$C$4:$D$51,2,FALSE),"N/A")</f>
        <v>0.58000000000000007</v>
      </c>
    </row>
    <row r="44" spans="1:16" x14ac:dyDescent="0.4">
      <c r="A44" s="88"/>
      <c r="B44" s="3996"/>
      <c r="C44" s="572" t="s">
        <v>921</v>
      </c>
      <c r="D44" s="572" t="s">
        <v>778</v>
      </c>
      <c r="E44" s="574">
        <f t="shared" si="0"/>
        <v>2.7777777777777776E-2</v>
      </c>
      <c r="F44" s="574">
        <f>IF($D44="Trigger",VLOOKUP($C44,'Upper Hot Cell Critical Path'!$C$3:$F$322,4,FALSE),E44+F43)</f>
        <v>87.442777777777778</v>
      </c>
      <c r="G44" s="575"/>
      <c r="H44" s="576" t="str">
        <f>IF(D44="operation",VLOOKUP(G44,'Generic Vertical Port Tasks'!#REF!,2,FALSE),"N/A")</f>
        <v>N/A</v>
      </c>
      <c r="I44" s="572" t="s">
        <v>798</v>
      </c>
      <c r="J44" s="572" t="s">
        <v>831</v>
      </c>
      <c r="K44" s="572" t="s">
        <v>914</v>
      </c>
      <c r="L44" s="577">
        <f>IFERROR(INDEX('Upper Hot Cell Logistics'!$I$35:$O$41,MATCH($J44,'Upper Hot Cell Logistics'!$H$35:$H$41,0),MATCH($K44,'Upper Hot Cell Logistics'!$H$35:$H$41,0)),"N/A")</f>
        <v>20</v>
      </c>
      <c r="M44" s="577">
        <f>IFERROR(VLOOKUP($I44,'Upper Hot Cell Logistics'!$H$4:$I$9,2,FALSE),"N/A")</f>
        <v>0.2</v>
      </c>
      <c r="N44" s="578">
        <f t="shared" si="1"/>
        <v>2.7777777777777776E-2</v>
      </c>
      <c r="O44" s="579"/>
      <c r="P44" s="580" t="str">
        <f>IF($D44="Logistics",VLOOKUP($O44,'Upper Hot Cell Logistics'!$C$4:$D$51,2,FALSE),"N/A")</f>
        <v>N/A</v>
      </c>
    </row>
    <row r="45" spans="1:16" x14ac:dyDescent="0.4">
      <c r="A45" s="88"/>
      <c r="B45" s="3996"/>
      <c r="C45" s="572" t="s">
        <v>932</v>
      </c>
      <c r="D45" s="572" t="s">
        <v>3</v>
      </c>
      <c r="E45" s="574">
        <f t="shared" si="0"/>
        <v>0.68</v>
      </c>
      <c r="F45" s="574">
        <f>IF($D45="Trigger",VLOOKUP($C45,'Upper Hot Cell Critical Path'!$C$3:$F$322,4,FALSE),E45+F44)</f>
        <v>88.122777777777785</v>
      </c>
      <c r="G45" s="575"/>
      <c r="H45" s="576" t="str">
        <f>IF(D45="operation",VLOOKUP(G45,'Generic Vertical Port Tasks'!#REF!,2,FALSE),"N/A")</f>
        <v>N/A</v>
      </c>
      <c r="I45" s="572"/>
      <c r="J45" s="572"/>
      <c r="K45" s="572"/>
      <c r="L45" s="577" t="str">
        <f>IFERROR(INDEX('Upper Hot Cell Logistics'!$I$35:$O$41,MATCH($J45,'Upper Hot Cell Logistics'!$H$35:$H$41,0),MATCH($K45,'Upper Hot Cell Logistics'!$H$35:$H$41,0)),"N/A")</f>
        <v>N/A</v>
      </c>
      <c r="M45" s="577" t="str">
        <f>IFERROR(VLOOKUP($I45,'Upper Hot Cell Logistics'!$H$4:$I$9,2,FALSE),"N/A")</f>
        <v>N/A</v>
      </c>
      <c r="N45" s="578" t="str">
        <f t="shared" si="1"/>
        <v>N/A</v>
      </c>
      <c r="O45" s="579" t="s">
        <v>916</v>
      </c>
      <c r="P45" s="580">
        <f>IF($D45="Logistics",VLOOKUP($O45,'Upper Hot Cell Logistics'!$C$4:$D$51,2,FALSE),"N/A")</f>
        <v>0.68</v>
      </c>
    </row>
    <row r="46" spans="1:16" x14ac:dyDescent="0.4">
      <c r="A46" s="88"/>
      <c r="B46" s="3996"/>
      <c r="C46" s="572" t="s">
        <v>923</v>
      </c>
      <c r="D46" s="572" t="s">
        <v>778</v>
      </c>
      <c r="E46" s="574">
        <f t="shared" si="0"/>
        <v>2.7777777777777776E-2</v>
      </c>
      <c r="F46" s="574">
        <f>IF($D46="Trigger",VLOOKUP($C46,'Upper Hot Cell Critical Path'!$C$3:$F$322,4,FALSE),E46+F45)</f>
        <v>88.150555555555556</v>
      </c>
      <c r="G46" s="575"/>
      <c r="H46" s="576" t="str">
        <f>IF(D46="operation",VLOOKUP(G46,'Generic Vertical Port Tasks'!#REF!,2,FALSE),"N/A")</f>
        <v>N/A</v>
      </c>
      <c r="I46" s="572" t="s">
        <v>798</v>
      </c>
      <c r="J46" s="572" t="s">
        <v>914</v>
      </c>
      <c r="K46" s="572" t="s">
        <v>799</v>
      </c>
      <c r="L46" s="577">
        <f>IFERROR(INDEX('Upper Hot Cell Logistics'!$I$35:$O$41,MATCH($J46,'Upper Hot Cell Logistics'!$H$35:$H$41,0),MATCH($K46,'Upper Hot Cell Logistics'!$H$35:$H$41,0)),"N/A")</f>
        <v>20</v>
      </c>
      <c r="M46" s="577">
        <f>IFERROR(VLOOKUP($I46,'Upper Hot Cell Logistics'!$H$4:$I$9,2,FALSE),"N/A")</f>
        <v>0.2</v>
      </c>
      <c r="N46" s="578">
        <f t="shared" si="1"/>
        <v>2.7777777777777776E-2</v>
      </c>
      <c r="O46" s="579"/>
      <c r="P46" s="580" t="str">
        <f>IF($D46="Logistics",VLOOKUP($O46,'Upper Hot Cell Logistics'!$C$4:$D$51,2,FALSE),"N/A")</f>
        <v>N/A</v>
      </c>
    </row>
    <row r="47" spans="1:16" x14ac:dyDescent="0.4">
      <c r="A47" s="88"/>
      <c r="B47" s="3996"/>
      <c r="C47" s="572" t="s">
        <v>933</v>
      </c>
      <c r="D47" s="572" t="s">
        <v>3</v>
      </c>
      <c r="E47" s="574">
        <f t="shared" si="0"/>
        <v>1.08</v>
      </c>
      <c r="F47" s="574">
        <f>IF($D47="Trigger",VLOOKUP($C47,'Upper Hot Cell Critical Path'!$C$3:$F$322,4,FALSE),E47+F46)</f>
        <v>89.230555555555554</v>
      </c>
      <c r="G47" s="575"/>
      <c r="H47" s="576" t="str">
        <f>IF(D47="operation",VLOOKUP(G47,'Generic Vertical Port Tasks'!#REF!,2,FALSE),"N/A")</f>
        <v>N/A</v>
      </c>
      <c r="I47" s="572"/>
      <c r="J47" s="572"/>
      <c r="K47" s="572"/>
      <c r="L47" s="577" t="str">
        <f>IFERROR(INDEX('Upper Hot Cell Logistics'!$I$35:$O$41,MATCH($J47,'Upper Hot Cell Logistics'!$H$35:$H$41,0),MATCH($K47,'Upper Hot Cell Logistics'!$H$35:$H$41,0)),"N/A")</f>
        <v>N/A</v>
      </c>
      <c r="M47" s="577" t="str">
        <f>IFERROR(VLOOKUP($I47,'Upper Hot Cell Logistics'!$H$4:$I$9,2,FALSE),"N/A")</f>
        <v>N/A</v>
      </c>
      <c r="N47" s="578" t="str">
        <f t="shared" si="1"/>
        <v>N/A</v>
      </c>
      <c r="O47" s="579" t="s">
        <v>909</v>
      </c>
      <c r="P47" s="580">
        <f>IF($D47="Logistics",VLOOKUP($O47,'Upper Hot Cell Logistics'!$C$4:$D$51,2,FALSE),"N/A")</f>
        <v>1.08</v>
      </c>
    </row>
    <row r="48" spans="1:16" ht="26.6" thickBot="1" x14ac:dyDescent="0.45">
      <c r="A48" s="88"/>
      <c r="B48" s="3997"/>
      <c r="C48" s="583" t="str">
        <f>B41</f>
        <v>Closure plate &amp; Closure Attachment Stored &amp; Service Joint System collected</v>
      </c>
      <c r="D48" s="583" t="s">
        <v>11</v>
      </c>
      <c r="E48" s="585">
        <f t="shared" si="0"/>
        <v>0</v>
      </c>
      <c r="F48" s="585">
        <f>IF($D48="Trigger",VLOOKUP($C48,'Upper Hot Cell Critical Path'!$C$3:$F$322,4,FALSE),E48+F47)</f>
        <v>89.230555555555554</v>
      </c>
      <c r="G48" s="586"/>
      <c r="H48" s="587" t="str">
        <f>IF(D48="operation",VLOOKUP(G48,'Generic Vertical Port Tasks'!#REF!,2,FALSE),"N/A")</f>
        <v>N/A</v>
      </c>
      <c r="I48" s="583"/>
      <c r="J48" s="583"/>
      <c r="K48" s="583"/>
      <c r="L48" s="588" t="str">
        <f>IFERROR(INDEX('Upper Hot Cell Logistics'!$I$35:$O$41,MATCH($J48,'Upper Hot Cell Logistics'!$H$35:$H$41,0),MATCH($K48,'Upper Hot Cell Logistics'!$H$35:$H$41,0)),"N/A")</f>
        <v>N/A</v>
      </c>
      <c r="M48" s="588" t="str">
        <f>IFERROR(VLOOKUP($I48,'Upper Hot Cell Logistics'!$H$4:$I$9,2,FALSE),"N/A")</f>
        <v>N/A</v>
      </c>
      <c r="N48" s="589" t="str">
        <f t="shared" si="1"/>
        <v>N/A</v>
      </c>
      <c r="O48" s="590"/>
      <c r="P48" s="591" t="str">
        <f>IF($D48="Logistics",VLOOKUP($O48,'Upper Hot Cell Logistics'!$C$4:$D$51,2,FALSE),"N/A")</f>
        <v>N/A</v>
      </c>
    </row>
    <row r="49" spans="1:16" x14ac:dyDescent="0.4">
      <c r="A49" s="88"/>
      <c r="B49" s="3992" t="s">
        <v>934</v>
      </c>
      <c r="C49" s="596" t="str">
        <f>'Upper Hot Cell Critical Path'!C39</f>
        <v>Disconnect &amp; extract Shield Plug and Fixations</v>
      </c>
      <c r="D49" s="596" t="s">
        <v>907</v>
      </c>
      <c r="E49" s="593">
        <f t="shared" si="0"/>
        <v>0</v>
      </c>
      <c r="F49" s="593">
        <f>IF($D49="Trigger",VLOOKUP($C49,'Upper Hot Cell Critical Path'!$C$3:$F$322,4,FALSE),E49+F48)</f>
        <v>94.176666666666662</v>
      </c>
      <c r="G49" s="594"/>
      <c r="H49" s="595" t="str">
        <f>IF(D49="operation",VLOOKUP(G49,'Generic Vertical Port Tasks'!#REF!,2,FALSE),"N/A")</f>
        <v>N/A</v>
      </c>
      <c r="I49" s="596"/>
      <c r="J49" s="596"/>
      <c r="K49" s="596"/>
      <c r="L49" s="597" t="str">
        <f>IFERROR(INDEX('Upper Hot Cell Logistics'!$I$35:$O$41,MATCH($J49,'Upper Hot Cell Logistics'!$H$35:$H$41,0),MATCH($K49,'Upper Hot Cell Logistics'!$H$35:$H$41,0)),"N/A")</f>
        <v>N/A</v>
      </c>
      <c r="M49" s="597" t="str">
        <f>IFERROR(VLOOKUP($I49,'Upper Hot Cell Logistics'!$H$4:$I$9,2,FALSE),"N/A")</f>
        <v>N/A</v>
      </c>
      <c r="N49" s="598" t="str">
        <f t="shared" si="1"/>
        <v>N/A</v>
      </c>
      <c r="O49" s="599"/>
      <c r="P49" s="600" t="str">
        <f>IF($D49="Logistics",VLOOKUP($O49,'Upper Hot Cell Logistics'!$C$4:$D$51,2,FALSE),"N/A")</f>
        <v>N/A</v>
      </c>
    </row>
    <row r="50" spans="1:16" x14ac:dyDescent="0.4">
      <c r="A50" s="88"/>
      <c r="B50" s="3993"/>
      <c r="C50" s="601" t="s">
        <v>926</v>
      </c>
      <c r="D50" s="601" t="s">
        <v>778</v>
      </c>
      <c r="E50" s="602">
        <f t="shared" si="0"/>
        <v>0.69444444444444442</v>
      </c>
      <c r="F50" s="602">
        <f>IF($D50="Trigger",VLOOKUP($C50,'Upper Hot Cell Critical Path'!$C$3:$F$322,4,FALSE),E50+F49)</f>
        <v>94.871111111111105</v>
      </c>
      <c r="G50" s="603"/>
      <c r="H50" s="604" t="str">
        <f>IF(D50="operation",VLOOKUP(G50,'Generic Vertical Port Tasks'!#REF!,2,FALSE),"N/A")</f>
        <v>N/A</v>
      </c>
      <c r="I50" s="601" t="s">
        <v>857</v>
      </c>
      <c r="J50" s="601" t="s">
        <v>452</v>
      </c>
      <c r="K50" s="601" t="s">
        <v>831</v>
      </c>
      <c r="L50" s="605">
        <f>IFERROR(INDEX('Upper Hot Cell Logistics'!$I$35:$O$41,MATCH($J50,'Upper Hot Cell Logistics'!$H$35:$H$41,0),MATCH($K50,'Upper Hot Cell Logistics'!$H$35:$H$41,0)),"N/A")</f>
        <v>50</v>
      </c>
      <c r="M50" s="605">
        <f>IFERROR(VLOOKUP($I50,'Upper Hot Cell Logistics'!$H$4:$I$9,2,FALSE),"N/A")</f>
        <v>0.02</v>
      </c>
      <c r="N50" s="606">
        <f t="shared" si="1"/>
        <v>0.69444444444444442</v>
      </c>
      <c r="O50" s="607"/>
      <c r="P50" s="608" t="str">
        <f>IF($D50="Logistics",VLOOKUP($O50,'Upper Hot Cell Logistics'!$C$4:$D$51,2,FALSE),"N/A")</f>
        <v>N/A</v>
      </c>
    </row>
    <row r="51" spans="1:16" x14ac:dyDescent="0.4">
      <c r="A51" s="88"/>
      <c r="B51" s="3993"/>
      <c r="C51" s="601" t="s">
        <v>935</v>
      </c>
      <c r="D51" s="601" t="s">
        <v>3</v>
      </c>
      <c r="E51" s="602">
        <f t="shared" si="0"/>
        <v>0.58000000000000007</v>
      </c>
      <c r="F51" s="602">
        <f>IF($D51="Trigger",VLOOKUP($C51,'Upper Hot Cell Critical Path'!$C$3:$F$322,4,FALSE),E51+F50)</f>
        <v>95.451111111111103</v>
      </c>
      <c r="G51" s="603"/>
      <c r="H51" s="604" t="str">
        <f>IF(D51="operation",VLOOKUP(G51,'Generic Vertical Port Tasks'!#REF!,2,FALSE),"N/A")</f>
        <v>N/A</v>
      </c>
      <c r="I51" s="601"/>
      <c r="J51" s="601"/>
      <c r="K51" s="601"/>
      <c r="L51" s="605" t="str">
        <f>IFERROR(INDEX('Upper Hot Cell Logistics'!$I$35:$O$41,MATCH($J51,'Upper Hot Cell Logistics'!$H$35:$H$41,0),MATCH($K51,'Upper Hot Cell Logistics'!$H$35:$H$41,0)),"N/A")</f>
        <v>N/A</v>
      </c>
      <c r="M51" s="605" t="str">
        <f>IFERROR(VLOOKUP($I51,'Upper Hot Cell Logistics'!$H$4:$I$9,2,FALSE),"N/A")</f>
        <v>N/A</v>
      </c>
      <c r="N51" s="606" t="str">
        <f t="shared" si="1"/>
        <v>N/A</v>
      </c>
      <c r="O51" s="607" t="s">
        <v>904</v>
      </c>
      <c r="P51" s="608">
        <f>IF($D51="Logistics",VLOOKUP($O51,'Upper Hot Cell Logistics'!$C$4:$D$51,2,FALSE),"N/A")</f>
        <v>0.58000000000000007</v>
      </c>
    </row>
    <row r="52" spans="1:16" x14ac:dyDescent="0.4">
      <c r="A52" s="88"/>
      <c r="B52" s="3993"/>
      <c r="C52" s="601" t="s">
        <v>913</v>
      </c>
      <c r="D52" s="601" t="s">
        <v>778</v>
      </c>
      <c r="E52" s="602">
        <f t="shared" si="0"/>
        <v>2.7777777777777776E-2</v>
      </c>
      <c r="F52" s="602">
        <f>IF($D52="Trigger",VLOOKUP($C52,'Upper Hot Cell Critical Path'!$C$3:$F$322,4,FALSE),E52+F51)</f>
        <v>95.478888888888875</v>
      </c>
      <c r="G52" s="603"/>
      <c r="H52" s="604" t="str">
        <f>IF(D52="operation",VLOOKUP(G52,'Generic Vertical Port Tasks'!#REF!,2,FALSE),"N/A")</f>
        <v>N/A</v>
      </c>
      <c r="I52" s="601" t="s">
        <v>798</v>
      </c>
      <c r="J52" s="601" t="s">
        <v>831</v>
      </c>
      <c r="K52" s="601" t="s">
        <v>914</v>
      </c>
      <c r="L52" s="605">
        <f>IFERROR(INDEX('Upper Hot Cell Logistics'!$I$35:$O$41,MATCH($J52,'Upper Hot Cell Logistics'!$H$35:$H$41,0),MATCH($K52,'Upper Hot Cell Logistics'!$H$35:$H$41,0)),"N/A")</f>
        <v>20</v>
      </c>
      <c r="M52" s="605">
        <f>IFERROR(VLOOKUP($I52,'Upper Hot Cell Logistics'!$H$4:$I$9,2,FALSE),"N/A")</f>
        <v>0.2</v>
      </c>
      <c r="N52" s="606">
        <f t="shared" si="1"/>
        <v>2.7777777777777776E-2</v>
      </c>
      <c r="O52" s="607"/>
      <c r="P52" s="608" t="str">
        <f>IF($D52="Logistics",VLOOKUP($O52,'Upper Hot Cell Logistics'!$C$4:$D$51,2,FALSE),"N/A")</f>
        <v>N/A</v>
      </c>
    </row>
    <row r="53" spans="1:16" x14ac:dyDescent="0.4">
      <c r="A53" s="88"/>
      <c r="B53" s="3993"/>
      <c r="C53" s="601" t="s">
        <v>936</v>
      </c>
      <c r="D53" s="601" t="s">
        <v>3</v>
      </c>
      <c r="E53" s="602">
        <f t="shared" si="0"/>
        <v>0.78</v>
      </c>
      <c r="F53" s="602">
        <f>IF($D53="Trigger",VLOOKUP($C53,'Upper Hot Cell Critical Path'!$C$3:$F$322,4,FALSE),E53+F52)</f>
        <v>96.258888888888876</v>
      </c>
      <c r="G53" s="603"/>
      <c r="H53" s="604" t="str">
        <f>IF(D53="operation",VLOOKUP(G53,'Generic Vertical Port Tasks'!#REF!,2,FALSE),"N/A")</f>
        <v>N/A</v>
      </c>
      <c r="I53" s="601"/>
      <c r="J53" s="601"/>
      <c r="K53" s="601"/>
      <c r="L53" s="605" t="str">
        <f>IFERROR(INDEX('Upper Hot Cell Logistics'!$I$35:$O$41,MATCH($J53,'Upper Hot Cell Logistics'!$H$35:$H$41,0),MATCH($K53,'Upper Hot Cell Logistics'!$H$35:$H$41,0)),"N/A")</f>
        <v>N/A</v>
      </c>
      <c r="M53" s="605" t="str">
        <f>IFERROR(VLOOKUP($I53,'Upper Hot Cell Logistics'!$H$4:$I$9,2,FALSE),"N/A")</f>
        <v>N/A</v>
      </c>
      <c r="N53" s="606" t="str">
        <f t="shared" si="1"/>
        <v>N/A</v>
      </c>
      <c r="O53" s="607" t="s">
        <v>937</v>
      </c>
      <c r="P53" s="608">
        <f>IF($D53="Logistics",VLOOKUP($O53,'Upper Hot Cell Logistics'!$C$4:$D$51,2,FALSE),"N/A")</f>
        <v>0.78</v>
      </c>
    </row>
    <row r="54" spans="1:16" x14ac:dyDescent="0.4">
      <c r="A54" s="88"/>
      <c r="B54" s="3993"/>
      <c r="C54" s="601" t="s">
        <v>917</v>
      </c>
      <c r="D54" s="601" t="s">
        <v>778</v>
      </c>
      <c r="E54" s="602">
        <f t="shared" si="0"/>
        <v>2.7777777777777776E-2</v>
      </c>
      <c r="F54" s="602">
        <f>IF($D54="Trigger",VLOOKUP($C54,'Upper Hot Cell Critical Path'!$C$3:$F$322,4,FALSE),E54+F53)</f>
        <v>96.286666666666648</v>
      </c>
      <c r="G54" s="603"/>
      <c r="H54" s="604" t="str">
        <f>IF(D54="operation",VLOOKUP(G54,'Generic Vertical Port Tasks'!#REF!,2,FALSE),"N/A")</f>
        <v>N/A</v>
      </c>
      <c r="I54" s="601" t="s">
        <v>798</v>
      </c>
      <c r="J54" s="601" t="s">
        <v>914</v>
      </c>
      <c r="K54" s="601" t="s">
        <v>799</v>
      </c>
      <c r="L54" s="605">
        <f>IFERROR(INDEX('Upper Hot Cell Logistics'!$I$35:$O$41,MATCH($J54,'Upper Hot Cell Logistics'!$H$35:$H$41,0),MATCH($K54,'Upper Hot Cell Logistics'!$H$35:$H$41,0)),"N/A")</f>
        <v>20</v>
      </c>
      <c r="M54" s="605">
        <f>IFERROR(VLOOKUP($I54,'Upper Hot Cell Logistics'!$H$4:$I$9,2,FALSE),"N/A")</f>
        <v>0.2</v>
      </c>
      <c r="N54" s="606">
        <f t="shared" si="1"/>
        <v>2.7777777777777776E-2</v>
      </c>
      <c r="O54" s="607"/>
      <c r="P54" s="608" t="str">
        <f>IF($D54="Logistics",VLOOKUP($O54,'Upper Hot Cell Logistics'!$C$4:$D$51,2,FALSE),"N/A")</f>
        <v>N/A</v>
      </c>
    </row>
    <row r="55" spans="1:16" x14ac:dyDescent="0.4">
      <c r="A55" s="88"/>
      <c r="B55" s="3993"/>
      <c r="C55" s="601" t="s">
        <v>938</v>
      </c>
      <c r="D55" s="601" t="s">
        <v>3</v>
      </c>
      <c r="E55" s="602">
        <f t="shared" si="0"/>
        <v>1.08</v>
      </c>
      <c r="F55" s="602">
        <f>IF($D55="Trigger",VLOOKUP($C55,'Upper Hot Cell Critical Path'!$C$3:$F$322,4,FALSE),E55+F54)</f>
        <v>97.366666666666646</v>
      </c>
      <c r="G55" s="603"/>
      <c r="H55" s="604" t="str">
        <f>IF(D55="operation",VLOOKUP(G55,'Generic Vertical Port Tasks'!#REF!,2,FALSE),"N/A")</f>
        <v>N/A</v>
      </c>
      <c r="I55" s="601"/>
      <c r="J55" s="601"/>
      <c r="K55" s="601"/>
      <c r="L55" s="605" t="str">
        <f>IFERROR(INDEX('Upper Hot Cell Logistics'!$I$35:$O$41,MATCH($J55,'Upper Hot Cell Logistics'!$H$35:$H$41,0),MATCH($K55,'Upper Hot Cell Logistics'!$H$35:$H$41,0)),"N/A")</f>
        <v>N/A</v>
      </c>
      <c r="M55" s="605" t="str">
        <f>IFERROR(VLOOKUP($I55,'Upper Hot Cell Logistics'!$H$4:$I$9,2,FALSE),"N/A")</f>
        <v>N/A</v>
      </c>
      <c r="N55" s="606" t="str">
        <f t="shared" si="1"/>
        <v>N/A</v>
      </c>
      <c r="O55" s="607" t="s">
        <v>909</v>
      </c>
      <c r="P55" s="608">
        <f>IF($D55="Logistics",VLOOKUP($O55,'Upper Hot Cell Logistics'!$C$4:$D$51,2,FALSE),"N/A")</f>
        <v>1.08</v>
      </c>
    </row>
    <row r="56" spans="1:16" ht="15" thickBot="1" x14ac:dyDescent="0.45">
      <c r="A56" s="88"/>
      <c r="B56" s="3994"/>
      <c r="C56" s="609" t="str">
        <f>B49</f>
        <v>Shield Plug &amp; Shield Plug Equip stored &amp; Pipe Lifter collected</v>
      </c>
      <c r="D56" s="609" t="s">
        <v>11</v>
      </c>
      <c r="E56" s="610">
        <f t="shared" si="0"/>
        <v>0</v>
      </c>
      <c r="F56" s="610">
        <f>IF($D56="Trigger",VLOOKUP($C56,'Upper Hot Cell Critical Path'!$C$3:$F$322,4,FALSE),E56+F55)</f>
        <v>97.366666666666646</v>
      </c>
      <c r="G56" s="611"/>
      <c r="H56" s="612" t="str">
        <f>IF(D56="operation",VLOOKUP(G56,'Generic Vertical Port Tasks'!#REF!,2,FALSE),"N/A")</f>
        <v>N/A</v>
      </c>
      <c r="I56" s="609"/>
      <c r="J56" s="609"/>
      <c r="K56" s="609"/>
      <c r="L56" s="613" t="str">
        <f>IFERROR(INDEX('Upper Hot Cell Logistics'!$I$35:$O$41,MATCH($J56,'Upper Hot Cell Logistics'!$H$35:$H$41,0),MATCH($K56,'Upper Hot Cell Logistics'!$H$35:$H$41,0)),"N/A")</f>
        <v>N/A</v>
      </c>
      <c r="M56" s="613" t="str">
        <f>IFERROR(VLOOKUP($I56,'Upper Hot Cell Logistics'!$H$4:$I$9,2,FALSE),"N/A")</f>
        <v>N/A</v>
      </c>
      <c r="N56" s="614" t="str">
        <f t="shared" si="1"/>
        <v>N/A</v>
      </c>
      <c r="O56" s="615"/>
      <c r="P56" s="616" t="str">
        <f>IF($D56="Logistics",VLOOKUP($O56,'Upper Hot Cell Logistics'!$C$4:$D$51,2,FALSE),"N/A")</f>
        <v>N/A</v>
      </c>
    </row>
    <row r="57" spans="1:16" x14ac:dyDescent="0.4">
      <c r="A57" s="88"/>
      <c r="B57" s="3995" t="s">
        <v>939</v>
      </c>
      <c r="C57" s="617" t="str">
        <f>'Upper Hot Cell Critical Path'!C48</f>
        <v>Extract COB Pipe Module</v>
      </c>
      <c r="D57" s="617" t="s">
        <v>907</v>
      </c>
      <c r="E57" s="567">
        <f t="shared" si="0"/>
        <v>0</v>
      </c>
      <c r="F57" s="567">
        <f>IF($D57="Trigger",VLOOKUP($C57,'Upper Hot Cell Critical Path'!$C$3:$F$322,4,FALSE),E57+F56)</f>
        <v>111.28102664282785</v>
      </c>
      <c r="G57" s="568"/>
      <c r="H57" s="569" t="str">
        <f>IF(D57="operation",VLOOKUP(G57,'Generic Vertical Port Tasks'!#REF!,2,FALSE),"N/A")</f>
        <v>N/A</v>
      </c>
      <c r="I57" s="617"/>
      <c r="J57" s="617"/>
      <c r="K57" s="617"/>
      <c r="L57" s="618" t="str">
        <f>IFERROR(INDEX('Upper Hot Cell Logistics'!$I$35:$O$41,MATCH($J57,'Upper Hot Cell Logistics'!$H$35:$H$41,0),MATCH($K57,'Upper Hot Cell Logistics'!$H$35:$H$41,0)),"N/A")</f>
        <v>N/A</v>
      </c>
      <c r="M57" s="618" t="str">
        <f>IFERROR(VLOOKUP($I57,'Upper Hot Cell Logistics'!$H$4:$I$9,2,FALSE),"N/A")</f>
        <v>N/A</v>
      </c>
      <c r="N57" s="619" t="str">
        <f t="shared" si="1"/>
        <v>N/A</v>
      </c>
      <c r="O57" s="620"/>
      <c r="P57" s="621" t="str">
        <f>IF($D57="Logistics",VLOOKUP($O57,'Upper Hot Cell Logistics'!$C$4:$D$51,2,FALSE),"N/A")</f>
        <v>N/A</v>
      </c>
    </row>
    <row r="58" spans="1:16" x14ac:dyDescent="0.4">
      <c r="A58" s="88"/>
      <c r="B58" s="3996"/>
      <c r="C58" s="572" t="s">
        <v>926</v>
      </c>
      <c r="D58" s="572" t="s">
        <v>778</v>
      </c>
      <c r="E58" s="574">
        <f t="shared" si="0"/>
        <v>0.69444444444444442</v>
      </c>
      <c r="F58" s="574">
        <f>IF($D58="Trigger",VLOOKUP($C58,'Upper Hot Cell Critical Path'!$C$3:$F$322,4,FALSE),E58+F57)</f>
        <v>111.9754710872723</v>
      </c>
      <c r="G58" s="575"/>
      <c r="H58" s="576" t="str">
        <f>IF(D58="operation",VLOOKUP(G58,'Generic Vertical Port Tasks'!#REF!,2,FALSE),"N/A")</f>
        <v>N/A</v>
      </c>
      <c r="I58" s="572" t="s">
        <v>857</v>
      </c>
      <c r="J58" s="572" t="s">
        <v>452</v>
      </c>
      <c r="K58" s="572" t="s">
        <v>831</v>
      </c>
      <c r="L58" s="577">
        <f>IFERROR(INDEX('Upper Hot Cell Logistics'!$I$35:$O$41,MATCH($J58,'Upper Hot Cell Logistics'!$H$35:$H$41,0),MATCH($K58,'Upper Hot Cell Logistics'!$H$35:$H$41,0)),"N/A")</f>
        <v>50</v>
      </c>
      <c r="M58" s="577">
        <f>IFERROR(VLOOKUP($I58,'Upper Hot Cell Logistics'!$H$4:$I$9,2,FALSE),"N/A")</f>
        <v>0.02</v>
      </c>
      <c r="N58" s="578">
        <f t="shared" si="1"/>
        <v>0.69444444444444442</v>
      </c>
      <c r="O58" s="579"/>
      <c r="P58" s="580" t="str">
        <f>IF($D58="Logistics",VLOOKUP($O58,'Upper Hot Cell Logistics'!$C$4:$D$51,2,FALSE),"N/A")</f>
        <v>N/A</v>
      </c>
    </row>
    <row r="59" spans="1:16" x14ac:dyDescent="0.4">
      <c r="A59" s="88"/>
      <c r="B59" s="3996"/>
      <c r="C59" s="572" t="s">
        <v>940</v>
      </c>
      <c r="D59" s="572" t="s">
        <v>3</v>
      </c>
      <c r="E59" s="574">
        <f t="shared" si="0"/>
        <v>0.58000000000000007</v>
      </c>
      <c r="F59" s="574">
        <f>IF($D59="Trigger",VLOOKUP($C59,'Upper Hot Cell Critical Path'!$C$3:$F$322,4,FALSE),E59+F58)</f>
        <v>112.55547108727229</v>
      </c>
      <c r="G59" s="575"/>
      <c r="H59" s="576" t="str">
        <f>IF(D59="operation",VLOOKUP(G59,'Generic Vertical Port Tasks'!#REF!,2,FALSE),"N/A")</f>
        <v>N/A</v>
      </c>
      <c r="I59" s="572"/>
      <c r="J59" s="572"/>
      <c r="K59" s="572"/>
      <c r="L59" s="577" t="str">
        <f>IFERROR(INDEX('Upper Hot Cell Logistics'!$I$35:$O$41,MATCH($J59,'Upper Hot Cell Logistics'!$H$35:$H$41,0),MATCH($K59,'Upper Hot Cell Logistics'!$H$35:$H$41,0)),"N/A")</f>
        <v>N/A</v>
      </c>
      <c r="M59" s="577" t="str">
        <f>IFERROR(VLOOKUP($I59,'Upper Hot Cell Logistics'!$H$4:$I$9,2,FALSE),"N/A")</f>
        <v>N/A</v>
      </c>
      <c r="N59" s="578" t="str">
        <f t="shared" si="1"/>
        <v>N/A</v>
      </c>
      <c r="O59" s="579" t="s">
        <v>904</v>
      </c>
      <c r="P59" s="580">
        <f>IF($D59="Logistics",VLOOKUP($O59,'Upper Hot Cell Logistics'!$C$4:$D$51,2,FALSE),"N/A")</f>
        <v>0.58000000000000007</v>
      </c>
    </row>
    <row r="60" spans="1:16" ht="15" thickBot="1" x14ac:dyDescent="0.45">
      <c r="A60" s="88"/>
      <c r="B60" s="3997"/>
      <c r="C60" s="583" t="str">
        <f>B57</f>
        <v>Pipe Module 1 Stored</v>
      </c>
      <c r="D60" s="583" t="s">
        <v>11</v>
      </c>
      <c r="E60" s="585">
        <f t="shared" si="0"/>
        <v>0</v>
      </c>
      <c r="F60" s="585">
        <f>IF($D60="Trigger",VLOOKUP($C60,'Upper Hot Cell Critical Path'!$C$3:$F$322,4,FALSE),E60+F59)</f>
        <v>112.55547108727229</v>
      </c>
      <c r="G60" s="586"/>
      <c r="H60" s="587" t="str">
        <f>IF(D60="operation",VLOOKUP(G60,'Generic Vertical Port Tasks'!#REF!,2,FALSE),"N/A")</f>
        <v>N/A</v>
      </c>
      <c r="I60" s="583"/>
      <c r="J60" s="583"/>
      <c r="K60" s="583"/>
      <c r="L60" s="588" t="str">
        <f>IFERROR(INDEX('Upper Hot Cell Logistics'!$I$35:$O$41,MATCH($J60,'Upper Hot Cell Logistics'!$H$35:$H$41,0),MATCH($K60,'Upper Hot Cell Logistics'!$H$35:$H$41,0)),"N/A")</f>
        <v>N/A</v>
      </c>
      <c r="M60" s="588" t="str">
        <f>IFERROR(VLOOKUP($I60,'Upper Hot Cell Logistics'!$H$4:$I$9,2,FALSE),"N/A")</f>
        <v>N/A</v>
      </c>
      <c r="N60" s="589" t="str">
        <f t="shared" si="1"/>
        <v>N/A</v>
      </c>
      <c r="O60" s="590"/>
      <c r="P60" s="591" t="str">
        <f>IF($D60="Logistics",VLOOKUP($O60,'Upper Hot Cell Logistics'!$C$4:$D$51,2,FALSE),"N/A")</f>
        <v>N/A</v>
      </c>
    </row>
    <row r="61" spans="1:16" x14ac:dyDescent="0.4">
      <c r="A61" s="88"/>
      <c r="B61" s="3992" t="s">
        <v>941</v>
      </c>
      <c r="C61" s="596" t="str">
        <f>'Upper Hot Cell Critical Path'!C54</f>
        <v>Extract LOB Pipe Module</v>
      </c>
      <c r="D61" s="596" t="s">
        <v>907</v>
      </c>
      <c r="E61" s="593">
        <f t="shared" si="0"/>
        <v>0</v>
      </c>
      <c r="F61" s="593">
        <f>IF($D61="Trigger",VLOOKUP($C61,'Upper Hot Cell Critical Path'!$C$3:$F$322,4,FALSE),E61+F60)</f>
        <v>120.18455328565571</v>
      </c>
      <c r="G61" s="594"/>
      <c r="H61" s="595" t="str">
        <f>IF(D61="operation",VLOOKUP(G61,'Generic Vertical Port Tasks'!#REF!,2,FALSE),"N/A")</f>
        <v>N/A</v>
      </c>
      <c r="I61" s="596"/>
      <c r="J61" s="596"/>
      <c r="K61" s="596"/>
      <c r="L61" s="597" t="str">
        <f>IFERROR(INDEX('Upper Hot Cell Logistics'!$I$35:$O$41,MATCH($J61,'Upper Hot Cell Logistics'!$H$35:$H$41,0),MATCH($K61,'Upper Hot Cell Logistics'!$H$35:$H$41,0)),"N/A")</f>
        <v>N/A</v>
      </c>
      <c r="M61" s="597" t="str">
        <f>IFERROR(VLOOKUP($I61,'Upper Hot Cell Logistics'!$H$4:$I$9,2,FALSE),"N/A")</f>
        <v>N/A</v>
      </c>
      <c r="N61" s="598" t="str">
        <f t="shared" si="1"/>
        <v>N/A</v>
      </c>
      <c r="O61" s="599"/>
      <c r="P61" s="600" t="str">
        <f>IF($D61="Logistics",VLOOKUP($O61,'Upper Hot Cell Logistics'!$C$4:$D$51,2,FALSE),"N/A")</f>
        <v>N/A</v>
      </c>
    </row>
    <row r="62" spans="1:16" x14ac:dyDescent="0.4">
      <c r="A62" s="88"/>
      <c r="B62" s="3993"/>
      <c r="C62" s="601" t="s">
        <v>926</v>
      </c>
      <c r="D62" s="601" t="s">
        <v>778</v>
      </c>
      <c r="E62" s="602">
        <f t="shared" si="0"/>
        <v>0.69444444444444442</v>
      </c>
      <c r="F62" s="602">
        <f>IF($D62="Trigger",VLOOKUP($C62,'Upper Hot Cell Critical Path'!$C$3:$F$322,4,FALSE),E62+F61)</f>
        <v>120.87899773010015</v>
      </c>
      <c r="G62" s="603"/>
      <c r="H62" s="604" t="str">
        <f>IF(D62="operation",VLOOKUP(G62,'Generic Vertical Port Tasks'!#REF!,2,FALSE),"N/A")</f>
        <v>N/A</v>
      </c>
      <c r="I62" s="601" t="s">
        <v>857</v>
      </c>
      <c r="J62" s="601" t="s">
        <v>452</v>
      </c>
      <c r="K62" s="601" t="s">
        <v>831</v>
      </c>
      <c r="L62" s="605">
        <f>IFERROR(INDEX('Upper Hot Cell Logistics'!$I$35:$O$41,MATCH($J62,'Upper Hot Cell Logistics'!$H$35:$H$41,0),MATCH($K62,'Upper Hot Cell Logistics'!$H$35:$H$41,0)),"N/A")</f>
        <v>50</v>
      </c>
      <c r="M62" s="605">
        <f>IFERROR(VLOOKUP($I62,'Upper Hot Cell Logistics'!$H$4:$I$9,2,FALSE),"N/A")</f>
        <v>0.02</v>
      </c>
      <c r="N62" s="606">
        <f t="shared" si="1"/>
        <v>0.69444444444444442</v>
      </c>
      <c r="O62" s="607"/>
      <c r="P62" s="608" t="str">
        <f>IF($D62="Logistics",VLOOKUP($O62,'Upper Hot Cell Logistics'!$C$4:$D$51,2,FALSE),"N/A")</f>
        <v>N/A</v>
      </c>
    </row>
    <row r="63" spans="1:16" x14ac:dyDescent="0.4">
      <c r="A63" s="88"/>
      <c r="B63" s="3993"/>
      <c r="C63" s="601" t="s">
        <v>940</v>
      </c>
      <c r="D63" s="601" t="s">
        <v>3</v>
      </c>
      <c r="E63" s="602">
        <f t="shared" si="0"/>
        <v>0.58000000000000007</v>
      </c>
      <c r="F63" s="602">
        <f>IF($D63="Trigger",VLOOKUP($C63,'Upper Hot Cell Critical Path'!$C$3:$F$322,4,FALSE),E63+F62)</f>
        <v>121.45899773010015</v>
      </c>
      <c r="G63" s="603"/>
      <c r="H63" s="604" t="str">
        <f>IF(D63="operation",VLOOKUP(G63,'Generic Vertical Port Tasks'!#REF!,2,FALSE),"N/A")</f>
        <v>N/A</v>
      </c>
      <c r="I63" s="601"/>
      <c r="J63" s="601"/>
      <c r="K63" s="601"/>
      <c r="L63" s="605" t="str">
        <f>IFERROR(INDEX('Upper Hot Cell Logistics'!$I$35:$O$41,MATCH($J63,'Upper Hot Cell Logistics'!$H$35:$H$41,0),MATCH($K63,'Upper Hot Cell Logistics'!$H$35:$H$41,0)),"N/A")</f>
        <v>N/A</v>
      </c>
      <c r="M63" s="605" t="str">
        <f>IFERROR(VLOOKUP($I63,'Upper Hot Cell Logistics'!$H$4:$I$9,2,FALSE),"N/A")</f>
        <v>N/A</v>
      </c>
      <c r="N63" s="606" t="str">
        <f t="shared" si="1"/>
        <v>N/A</v>
      </c>
      <c r="O63" s="607" t="s">
        <v>904</v>
      </c>
      <c r="P63" s="608">
        <f>IF($D63="Logistics",VLOOKUP($O63,'Upper Hot Cell Logistics'!$C$4:$D$51,2,FALSE),"N/A")</f>
        <v>0.58000000000000007</v>
      </c>
    </row>
    <row r="64" spans="1:16" ht="15" thickBot="1" x14ac:dyDescent="0.45">
      <c r="A64" s="88"/>
      <c r="B64" s="3994"/>
      <c r="C64" s="609" t="str">
        <f>B61</f>
        <v>Pipe Module 2 Stored</v>
      </c>
      <c r="D64" s="609" t="s">
        <v>11</v>
      </c>
      <c r="E64" s="610">
        <f t="shared" si="0"/>
        <v>0</v>
      </c>
      <c r="F64" s="610">
        <f>IF($D64="Trigger",VLOOKUP($C64,'Upper Hot Cell Critical Path'!$C$3:$F$322,4,FALSE),E64+F63)</f>
        <v>121.45899773010015</v>
      </c>
      <c r="G64" s="611"/>
      <c r="H64" s="612" t="str">
        <f>IF(D64="operation",VLOOKUP(G64,'Generic Vertical Port Tasks'!#REF!,2,FALSE),"N/A")</f>
        <v>N/A</v>
      </c>
      <c r="I64" s="609"/>
      <c r="J64" s="609"/>
      <c r="K64" s="609"/>
      <c r="L64" s="613" t="str">
        <f>IFERROR(INDEX('Upper Hot Cell Logistics'!$I$35:$O$41,MATCH($J64,'Upper Hot Cell Logistics'!$H$35:$H$41,0),MATCH($K64,'Upper Hot Cell Logistics'!$H$35:$H$41,0)),"N/A")</f>
        <v>N/A</v>
      </c>
      <c r="M64" s="613" t="str">
        <f>IFERROR(VLOOKUP($I64,'Upper Hot Cell Logistics'!$H$4:$I$9,2,FALSE),"N/A")</f>
        <v>N/A</v>
      </c>
      <c r="N64" s="614" t="str">
        <f t="shared" si="1"/>
        <v>N/A</v>
      </c>
      <c r="O64" s="615"/>
      <c r="P64" s="616" t="str">
        <f>IF($D64="Logistics",VLOOKUP($O64,'Upper Hot Cell Logistics'!$C$4:$D$51,2,FALSE),"N/A")</f>
        <v>N/A</v>
      </c>
    </row>
    <row r="65" spans="1:17" x14ac:dyDescent="0.4">
      <c r="A65" s="88"/>
      <c r="B65" s="3995" t="s">
        <v>942</v>
      </c>
      <c r="C65" s="617" t="str">
        <f>'Upper Hot Cell Critical Path'!C60</f>
        <v>Extract ROB Pipe Module</v>
      </c>
      <c r="D65" s="617" t="s">
        <v>907</v>
      </c>
      <c r="E65" s="567">
        <f t="shared" si="0"/>
        <v>0</v>
      </c>
      <c r="F65" s="567">
        <f>IF($D65="Trigger",VLOOKUP($C65,'Upper Hot Cell Critical Path'!$C$3:$F$322,4,FALSE),E65+F64)</f>
        <v>129.08807992848358</v>
      </c>
      <c r="G65" s="568"/>
      <c r="H65" s="569" t="str">
        <f>IF(D65="operation",VLOOKUP(G65,'Generic Vertical Port Tasks'!#REF!,2,FALSE),"N/A")</f>
        <v>N/A</v>
      </c>
      <c r="I65" s="617"/>
      <c r="J65" s="617"/>
      <c r="K65" s="617"/>
      <c r="L65" s="618" t="str">
        <f>IFERROR(INDEX('Upper Hot Cell Logistics'!$I$35:$O$41,MATCH($J65,'Upper Hot Cell Logistics'!$H$35:$H$41,0),MATCH($K65,'Upper Hot Cell Logistics'!$H$35:$H$41,0)),"N/A")</f>
        <v>N/A</v>
      </c>
      <c r="M65" s="618" t="str">
        <f>IFERROR(VLOOKUP($I65,'Upper Hot Cell Logistics'!$H$4:$I$9,2,FALSE),"N/A")</f>
        <v>N/A</v>
      </c>
      <c r="N65" s="619" t="str">
        <f t="shared" si="1"/>
        <v>N/A</v>
      </c>
      <c r="O65" s="620"/>
      <c r="P65" s="621" t="str">
        <f>IF($D65="Logistics",VLOOKUP($O65,'Upper Hot Cell Logistics'!$C$4:$D$51,2,FALSE),"N/A")</f>
        <v>N/A</v>
      </c>
    </row>
    <row r="66" spans="1:17" x14ac:dyDescent="0.4">
      <c r="A66" s="88"/>
      <c r="B66" s="3996"/>
      <c r="C66" s="572" t="s">
        <v>926</v>
      </c>
      <c r="D66" s="572" t="s">
        <v>778</v>
      </c>
      <c r="E66" s="574">
        <f t="shared" si="0"/>
        <v>0.69444444444444442</v>
      </c>
      <c r="F66" s="574">
        <f>IF($D66="Trigger",VLOOKUP($C66,'Upper Hot Cell Critical Path'!$C$3:$F$322,4,FALSE),E66+F65)</f>
        <v>129.78252437292804</v>
      </c>
      <c r="G66" s="575"/>
      <c r="H66" s="576" t="str">
        <f>IF(D66="operation",VLOOKUP(G66,'Generic Vertical Port Tasks'!#REF!,2,FALSE),"N/A")</f>
        <v>N/A</v>
      </c>
      <c r="I66" s="572" t="s">
        <v>857</v>
      </c>
      <c r="J66" s="572" t="s">
        <v>452</v>
      </c>
      <c r="K66" s="572" t="s">
        <v>831</v>
      </c>
      <c r="L66" s="577">
        <f>IFERROR(INDEX('Upper Hot Cell Logistics'!$I$35:$O$41,MATCH($J66,'Upper Hot Cell Logistics'!$H$35:$H$41,0),MATCH($K66,'Upper Hot Cell Logistics'!$H$35:$H$41,0)),"N/A")</f>
        <v>50</v>
      </c>
      <c r="M66" s="577">
        <f>IFERROR(VLOOKUP($I66,'Upper Hot Cell Logistics'!$H$4:$I$9,2,FALSE),"N/A")</f>
        <v>0.02</v>
      </c>
      <c r="N66" s="578">
        <f t="shared" si="1"/>
        <v>0.69444444444444442</v>
      </c>
      <c r="O66" s="579"/>
      <c r="P66" s="580" t="str">
        <f>IF($D66="Logistics",VLOOKUP($O66,'Upper Hot Cell Logistics'!$C$4:$D$51,2,FALSE),"N/A")</f>
        <v>N/A</v>
      </c>
    </row>
    <row r="67" spans="1:17" x14ac:dyDescent="0.4">
      <c r="A67" s="88"/>
      <c r="B67" s="3996"/>
      <c r="C67" s="572" t="s">
        <v>940</v>
      </c>
      <c r="D67" s="572" t="s">
        <v>3</v>
      </c>
      <c r="E67" s="574">
        <f t="shared" si="0"/>
        <v>0.58000000000000007</v>
      </c>
      <c r="F67" s="574">
        <f>IF($D67="Trigger",VLOOKUP($C67,'Upper Hot Cell Critical Path'!$C$3:$F$322,4,FALSE),E67+F66)</f>
        <v>130.36252437292805</v>
      </c>
      <c r="G67" s="575"/>
      <c r="H67" s="576" t="str">
        <f>IF(D67="operation",VLOOKUP(G67,'Generic Vertical Port Tasks'!#REF!,2,FALSE),"N/A")</f>
        <v>N/A</v>
      </c>
      <c r="I67" s="572"/>
      <c r="J67" s="572"/>
      <c r="K67" s="572"/>
      <c r="L67" s="577" t="str">
        <f>IFERROR(INDEX('Upper Hot Cell Logistics'!$I$35:$O$41,MATCH($J67,'Upper Hot Cell Logistics'!$H$35:$H$41,0),MATCH($K67,'Upper Hot Cell Logistics'!$H$35:$H$41,0)),"N/A")</f>
        <v>N/A</v>
      </c>
      <c r="M67" s="577" t="str">
        <f>IFERROR(VLOOKUP($I67,'Upper Hot Cell Logistics'!$H$4:$I$9,2,FALSE),"N/A")</f>
        <v>N/A</v>
      </c>
      <c r="N67" s="578" t="str">
        <f t="shared" si="1"/>
        <v>N/A</v>
      </c>
      <c r="O67" s="579" t="s">
        <v>904</v>
      </c>
      <c r="P67" s="580">
        <f>IF($D67="Logistics",VLOOKUP($O67,'Upper Hot Cell Logistics'!$C$4:$D$51,2,FALSE),"N/A")</f>
        <v>0.58000000000000007</v>
      </c>
    </row>
    <row r="68" spans="1:17" ht="15" thickBot="1" x14ac:dyDescent="0.45">
      <c r="A68" s="88"/>
      <c r="B68" s="3997"/>
      <c r="C68" s="583" t="str">
        <f>B65</f>
        <v>Pipe Module 3 Stored</v>
      </c>
      <c r="D68" s="583" t="s">
        <v>11</v>
      </c>
      <c r="E68" s="585">
        <f t="shared" si="0"/>
        <v>0</v>
      </c>
      <c r="F68" s="585">
        <f>IF($D68="Trigger",VLOOKUP($C68,'Upper Hot Cell Critical Path'!$C$3:$F$322,4,FALSE),E68+F67)</f>
        <v>130.36252437292805</v>
      </c>
      <c r="G68" s="586"/>
      <c r="H68" s="587" t="str">
        <f>IF(D68="operation",VLOOKUP(G68,'Generic Vertical Port Tasks'!#REF!,2,FALSE),"N/A")</f>
        <v>N/A</v>
      </c>
      <c r="I68" s="583"/>
      <c r="J68" s="583"/>
      <c r="K68" s="583"/>
      <c r="L68" s="588" t="str">
        <f>IFERROR(INDEX('Upper Hot Cell Logistics'!$I$35:$O$41,MATCH($J68,'Upper Hot Cell Logistics'!$H$35:$H$41,0),MATCH($K68,'Upper Hot Cell Logistics'!$H$35:$H$41,0)),"N/A")</f>
        <v>N/A</v>
      </c>
      <c r="M68" s="588" t="str">
        <f>IFERROR(VLOOKUP($I68,'Upper Hot Cell Logistics'!$H$4:$I$9,2,FALSE),"N/A")</f>
        <v>N/A</v>
      </c>
      <c r="N68" s="589" t="str">
        <f t="shared" si="1"/>
        <v>N/A</v>
      </c>
      <c r="O68" s="590"/>
      <c r="P68" s="591" t="str">
        <f>IF($D68="Logistics",VLOOKUP($O68,'Upper Hot Cell Logistics'!$C$4:$D$51,2,FALSE),"N/A")</f>
        <v>N/A</v>
      </c>
    </row>
    <row r="69" spans="1:17" x14ac:dyDescent="0.4">
      <c r="A69" s="88"/>
      <c r="B69" s="3992" t="s">
        <v>943</v>
      </c>
      <c r="C69" s="596" t="str">
        <f>'Upper Hot Cell Critical Path'!C66</f>
        <v>Extract LIB Pipe Module</v>
      </c>
      <c r="D69" s="596" t="s">
        <v>907</v>
      </c>
      <c r="E69" s="593">
        <f t="shared" si="0"/>
        <v>0</v>
      </c>
      <c r="F69" s="593">
        <f>IF($D69="Trigger",VLOOKUP($C69,'Upper Hot Cell Critical Path'!$C$3:$F$322,4,FALSE),E69+F68)</f>
        <v>137.99160657131151</v>
      </c>
      <c r="G69" s="594"/>
      <c r="H69" s="595" t="str">
        <f>IF(D69="operation",VLOOKUP(G69,'Generic Vertical Port Tasks'!#REF!,2,FALSE),"N/A")</f>
        <v>N/A</v>
      </c>
      <c r="I69" s="596"/>
      <c r="J69" s="596"/>
      <c r="K69" s="596"/>
      <c r="L69" s="597" t="str">
        <f>IFERROR(INDEX('Upper Hot Cell Logistics'!$I$35:$O$41,MATCH($J69,'Upper Hot Cell Logistics'!$H$35:$H$41,0),MATCH($K69,'Upper Hot Cell Logistics'!$H$35:$H$41,0)),"N/A")</f>
        <v>N/A</v>
      </c>
      <c r="M69" s="597" t="str">
        <f>IFERROR(VLOOKUP($I69,'Upper Hot Cell Logistics'!$H$4:$I$9,2,FALSE),"N/A")</f>
        <v>N/A</v>
      </c>
      <c r="N69" s="598" t="str">
        <f t="shared" si="1"/>
        <v>N/A</v>
      </c>
      <c r="O69" s="599"/>
      <c r="P69" s="600" t="str">
        <f>IF($D69="Logistics",VLOOKUP($O69,'Upper Hot Cell Logistics'!$C$4:$D$51,2,FALSE),"N/A")</f>
        <v>N/A</v>
      </c>
    </row>
    <row r="70" spans="1:17" x14ac:dyDescent="0.4">
      <c r="A70" s="88"/>
      <c r="B70" s="3993"/>
      <c r="C70" s="601" t="s">
        <v>926</v>
      </c>
      <c r="D70" s="601" t="s">
        <v>778</v>
      </c>
      <c r="E70" s="602">
        <f t="shared" si="0"/>
        <v>0.69444444444444442</v>
      </c>
      <c r="F70" s="602">
        <f>IF($D70="Trigger",VLOOKUP($C70,'Upper Hot Cell Critical Path'!$C$3:$F$322,4,FALSE),E70+F69)</f>
        <v>138.68605101575596</v>
      </c>
      <c r="G70" s="603"/>
      <c r="H70" s="604" t="str">
        <f>IF(D70="operation",VLOOKUP(G70,'Generic Vertical Port Tasks'!#REF!,2,FALSE),"N/A")</f>
        <v>N/A</v>
      </c>
      <c r="I70" s="601" t="s">
        <v>857</v>
      </c>
      <c r="J70" s="601" t="s">
        <v>452</v>
      </c>
      <c r="K70" s="601" t="s">
        <v>831</v>
      </c>
      <c r="L70" s="605">
        <f>IFERROR(INDEX('Upper Hot Cell Logistics'!$I$35:$O$41,MATCH($J70,'Upper Hot Cell Logistics'!$H$35:$H$41,0),MATCH($K70,'Upper Hot Cell Logistics'!$H$35:$H$41,0)),"N/A")</f>
        <v>50</v>
      </c>
      <c r="M70" s="605">
        <f>IFERROR(VLOOKUP($I70,'Upper Hot Cell Logistics'!$H$4:$I$9,2,FALSE),"N/A")</f>
        <v>0.02</v>
      </c>
      <c r="N70" s="606">
        <f t="shared" si="1"/>
        <v>0.69444444444444442</v>
      </c>
      <c r="O70" s="607"/>
      <c r="P70" s="608" t="str">
        <f>IF($D70="Logistics",VLOOKUP($O70,'Upper Hot Cell Logistics'!$C$4:$D$51,2,FALSE),"N/A")</f>
        <v>N/A</v>
      </c>
    </row>
    <row r="71" spans="1:17" x14ac:dyDescent="0.4">
      <c r="A71" s="88"/>
      <c r="B71" s="3993"/>
      <c r="C71" s="601" t="s">
        <v>940</v>
      </c>
      <c r="D71" s="601" t="s">
        <v>3</v>
      </c>
      <c r="E71" s="602">
        <f t="shared" si="0"/>
        <v>0.58000000000000007</v>
      </c>
      <c r="F71" s="602">
        <f>IF($D71="Trigger",VLOOKUP($C71,'Upper Hot Cell Critical Path'!$C$3:$F$322,4,FALSE),E71+F70)</f>
        <v>139.26605101575598</v>
      </c>
      <c r="G71" s="603"/>
      <c r="H71" s="604" t="str">
        <f>IF(D71="operation",VLOOKUP(G71,'Generic Vertical Port Tasks'!#REF!,2,FALSE),"N/A")</f>
        <v>N/A</v>
      </c>
      <c r="I71" s="601"/>
      <c r="J71" s="601"/>
      <c r="K71" s="601"/>
      <c r="L71" s="605" t="str">
        <f>IFERROR(INDEX('Upper Hot Cell Logistics'!$I$35:$O$41,MATCH($J71,'Upper Hot Cell Logistics'!$H$35:$H$41,0),MATCH($K71,'Upper Hot Cell Logistics'!$H$35:$H$41,0)),"N/A")</f>
        <v>N/A</v>
      </c>
      <c r="M71" s="605" t="str">
        <f>IFERROR(VLOOKUP($I71,'Upper Hot Cell Logistics'!$H$4:$I$9,2,FALSE),"N/A")</f>
        <v>N/A</v>
      </c>
      <c r="N71" s="606" t="str">
        <f t="shared" si="1"/>
        <v>N/A</v>
      </c>
      <c r="O71" s="607" t="s">
        <v>904</v>
      </c>
      <c r="P71" s="608">
        <f>IF($D71="Logistics",VLOOKUP($O71,'Upper Hot Cell Logistics'!$C$4:$D$51,2,FALSE),"N/A")</f>
        <v>0.58000000000000007</v>
      </c>
    </row>
    <row r="72" spans="1:17" ht="15" thickBot="1" x14ac:dyDescent="0.45">
      <c r="A72" s="88"/>
      <c r="B72" s="3994"/>
      <c r="C72" s="609" t="str">
        <f>B69</f>
        <v>Pipe Module 4 Stored</v>
      </c>
      <c r="D72" s="609" t="s">
        <v>11</v>
      </c>
      <c r="E72" s="610">
        <f t="shared" si="0"/>
        <v>0</v>
      </c>
      <c r="F72" s="610">
        <f>IF($D72="Trigger",VLOOKUP($C72,'Upper Hot Cell Critical Path'!$C$3:$F$322,4,FALSE),E72+F71)</f>
        <v>139.26605101575598</v>
      </c>
      <c r="G72" s="611"/>
      <c r="H72" s="612" t="str">
        <f>IF(D72="operation",VLOOKUP(G72,'Generic Vertical Port Tasks'!#REF!,2,FALSE),"N/A")</f>
        <v>N/A</v>
      </c>
      <c r="I72" s="609"/>
      <c r="J72" s="609"/>
      <c r="K72" s="609"/>
      <c r="L72" s="613" t="str">
        <f>IFERROR(INDEX('Upper Hot Cell Logistics'!$I$35:$O$41,MATCH($J72,'Upper Hot Cell Logistics'!$H$35:$H$41,0),MATCH($K72,'Upper Hot Cell Logistics'!$H$35:$H$41,0)),"N/A")</f>
        <v>N/A</v>
      </c>
      <c r="M72" s="613" t="str">
        <f>IFERROR(VLOOKUP($I72,'Upper Hot Cell Logistics'!$H$4:$I$9,2,FALSE),"N/A")</f>
        <v>N/A</v>
      </c>
      <c r="N72" s="614" t="str">
        <f t="shared" si="1"/>
        <v>N/A</v>
      </c>
      <c r="O72" s="615"/>
      <c r="P72" s="616" t="str">
        <f>IF($D72="Logistics",VLOOKUP($O72,'Upper Hot Cell Logistics'!$C$4:$D$51,2,FALSE),"N/A")</f>
        <v>N/A</v>
      </c>
    </row>
    <row r="73" spans="1:17" x14ac:dyDescent="0.4">
      <c r="A73" s="88"/>
      <c r="B73" s="3820" t="s">
        <v>844</v>
      </c>
      <c r="C73" s="596" t="str">
        <f>'Upper Hot Cell Critical Path'!C4</f>
        <v>Blanket Removal Required</v>
      </c>
      <c r="D73" s="596" t="s">
        <v>907</v>
      </c>
      <c r="E73" s="593">
        <f t="shared" si="0"/>
        <v>0</v>
      </c>
      <c r="F73" s="593">
        <f>IF($D73="Trigger",VLOOKUP($C73,'Upper Hot Cell Critical Path'!$C$3:$F$322,4,FALSE),E73+F72)</f>
        <v>0</v>
      </c>
      <c r="G73" s="594"/>
      <c r="H73" s="595" t="str">
        <f>IF(D73="operation",VLOOKUP(G73,'Generic Vertical Port Tasks'!#REF!,2,FALSE),"N/A")</f>
        <v>N/A</v>
      </c>
      <c r="I73" s="596"/>
      <c r="J73" s="596"/>
      <c r="K73" s="596"/>
      <c r="L73" s="597" t="str">
        <f>IFERROR(INDEX('Upper Hot Cell Logistics'!$I$35:$O$41,MATCH($J73,'Upper Hot Cell Logistics'!$H$35:$H$41,0),MATCH($K73,'Upper Hot Cell Logistics'!$H$35:$H$41,0)),"N/A")</f>
        <v>N/A</v>
      </c>
      <c r="M73" s="597" t="str">
        <f>IFERROR(VLOOKUP($I73,'Upper Hot Cell Logistics'!$H$4:$I$9,2,FALSE),"N/A")</f>
        <v>N/A</v>
      </c>
      <c r="N73" s="598" t="str">
        <f t="shared" si="1"/>
        <v>N/A</v>
      </c>
      <c r="O73" s="599"/>
      <c r="P73" s="600" t="str">
        <f>IF($D73="Logistics",VLOOKUP($O73,'Upper Hot Cell Logistics'!$C$4:$D$51,2,FALSE),"N/A")</f>
        <v>N/A</v>
      </c>
    </row>
    <row r="74" spans="1:17" ht="25.75" x14ac:dyDescent="0.4">
      <c r="A74" s="88"/>
      <c r="B74" s="3821"/>
      <c r="C74" s="622" t="s">
        <v>944</v>
      </c>
      <c r="D74" s="622" t="s">
        <v>251</v>
      </c>
      <c r="E74" s="602">
        <f t="shared" si="0"/>
        <v>173.17045591518612</v>
      </c>
      <c r="F74" s="602">
        <f>IF($D74="Trigger",VLOOKUP($C74,'Upper Hot Cell Critical Path'!$C$3:$F$322,4,FALSE),E74+F73)</f>
        <v>173.17045591518612</v>
      </c>
      <c r="G74" s="603" t="s">
        <v>945</v>
      </c>
      <c r="H74" s="608">
        <f>VLOOKUP(G74,'Lower Cask Critical Path'!C:F, 4, FALSE)</f>
        <v>173.17045591518612</v>
      </c>
      <c r="I74" s="601"/>
      <c r="J74" s="601"/>
      <c r="K74" s="601"/>
      <c r="L74" s="605" t="str">
        <f>IFERROR(INDEX('Upper Hot Cell Logistics'!$I$35:$O$41,MATCH($J74,'Upper Hot Cell Logistics'!$H$35:$H$41,0),MATCH($K74,'Upper Hot Cell Logistics'!$H$35:$H$41,0)),"N/A")</f>
        <v>N/A</v>
      </c>
      <c r="M74" s="605" t="str">
        <f>IFERROR(VLOOKUP($I74,'Upper Hot Cell Logistics'!$H$4:$I$9,2,FALSE),"N/A")</f>
        <v>N/A</v>
      </c>
      <c r="N74" s="606" t="str">
        <f t="shared" si="1"/>
        <v>N/A</v>
      </c>
      <c r="O74" s="607"/>
      <c r="P74" s="608" t="str">
        <f>IF($D74="Logistics",VLOOKUP($O74,'Upper Hot Cell Logistics'!$C$4:$D$51,2,FALSE),"N/A")</f>
        <v>N/A</v>
      </c>
    </row>
    <row r="75" spans="1:17" ht="15" thickBot="1" x14ac:dyDescent="0.45">
      <c r="A75" s="88"/>
      <c r="B75" s="3822"/>
      <c r="C75" s="609" t="str">
        <f>B73</f>
        <v>Lower Port COB Pipe Module Removed</v>
      </c>
      <c r="D75" s="609" t="s">
        <v>11</v>
      </c>
      <c r="E75" s="602">
        <f t="shared" si="0"/>
        <v>0</v>
      </c>
      <c r="F75" s="602">
        <f>IF($D75="Trigger",VLOOKUP($C75,'Upper Hot Cell Critical Path'!$C$3:$F$322,4,FALSE),E75+F74)</f>
        <v>173.17045591518612</v>
      </c>
      <c r="G75" s="603"/>
      <c r="H75" s="604" t="str">
        <f>IF(D75="operation",VLOOKUP(G75,'Generic Vertical Port Tasks'!#REF!,2,FALSE),"N/A")</f>
        <v>N/A</v>
      </c>
      <c r="I75" s="601"/>
      <c r="J75" s="601"/>
      <c r="K75" s="601"/>
      <c r="L75" s="605" t="str">
        <f>IFERROR(INDEX('Upper Hot Cell Logistics'!$I$35:$O$41,MATCH($J75,'Upper Hot Cell Logistics'!$H$35:$H$41,0),MATCH($K75,'Upper Hot Cell Logistics'!$H$35:$H$41,0)),"N/A")</f>
        <v>N/A</v>
      </c>
      <c r="M75" s="605" t="str">
        <f>IFERROR(VLOOKUP($I75,'Upper Hot Cell Logistics'!$H$4:$I$9,2,FALSE),"N/A")</f>
        <v>N/A</v>
      </c>
      <c r="N75" s="606" t="str">
        <f t="shared" si="1"/>
        <v>N/A</v>
      </c>
      <c r="O75" s="607"/>
      <c r="P75" s="608" t="str">
        <f>IF($D75="Logistics",VLOOKUP($O75,'Upper Hot Cell Logistics'!$C$4:$D$51,2,FALSE),"N/A")</f>
        <v>N/A</v>
      </c>
    </row>
    <row r="76" spans="1:17" s="8" customFormat="1" x14ac:dyDescent="0.4">
      <c r="A76" s="623"/>
      <c r="B76" s="3787" t="s">
        <v>845</v>
      </c>
      <c r="C76" s="617" t="str">
        <f>'Upper Hot Cell Critical Path'!C4</f>
        <v>Blanket Removal Required</v>
      </c>
      <c r="D76" s="617" t="s">
        <v>907</v>
      </c>
      <c r="E76" s="567">
        <f t="shared" si="0"/>
        <v>0</v>
      </c>
      <c r="F76" s="567">
        <f>IF($D76="Trigger",VLOOKUP($C76,'Upper Hot Cell Critical Path'!$C$3:$F$322,4,FALSE),E76+F75)</f>
        <v>0</v>
      </c>
      <c r="G76" s="568"/>
      <c r="H76" s="569" t="str">
        <f>IF(D76="operation",VLOOKUP(G76,'Generic Vertical Port Tasks'!#REF!,2,FALSE),"N/A")</f>
        <v>N/A</v>
      </c>
      <c r="I76" s="617"/>
      <c r="J76" s="617"/>
      <c r="K76" s="617"/>
      <c r="L76" s="618" t="str">
        <f>IFERROR(INDEX('Upper Hot Cell Logistics'!$I$35:$O$41,MATCH($J76,'Upper Hot Cell Logistics'!$H$35:$H$41,0),MATCH($K76,'Upper Hot Cell Logistics'!$H$35:$H$41,0)),"N/A")</f>
        <v>N/A</v>
      </c>
      <c r="M76" s="618" t="str">
        <f>IFERROR(VLOOKUP($I76,'Upper Hot Cell Logistics'!$H$4:$I$9,2,FALSE),"N/A")</f>
        <v>N/A</v>
      </c>
      <c r="N76" s="619" t="str">
        <f>IF(D76="Movement",IFERROR((L76/M76)/(60*60),"Error"),"N/A")</f>
        <v>N/A</v>
      </c>
      <c r="O76" s="620"/>
      <c r="P76" s="621" t="str">
        <f>IF($D76="Logistics",VLOOKUP($O76,'Upper Hot Cell Logistics'!$C$4:$D$51,2,FALSE),"N/A")</f>
        <v>N/A</v>
      </c>
      <c r="Q76" s="624"/>
    </row>
    <row r="77" spans="1:17" s="8" customFormat="1" ht="25.75" x14ac:dyDescent="0.4">
      <c r="A77" s="623"/>
      <c r="B77" s="3786"/>
      <c r="C77" s="625" t="s">
        <v>946</v>
      </c>
      <c r="D77" s="625" t="s">
        <v>251</v>
      </c>
      <c r="E77" s="574">
        <f t="shared" si="0"/>
        <v>183.26047571109939</v>
      </c>
      <c r="F77" s="574">
        <f>IF($D77="Trigger",VLOOKUP($C77,'Upper Hot Cell Critical Path'!$C$3:$F$322,4,FALSE),E77+F76)</f>
        <v>183.26047571109939</v>
      </c>
      <c r="G77" s="575" t="s">
        <v>947</v>
      </c>
      <c r="H77" s="580">
        <f>VLOOKUP(G77,'Lower Cask Critical Path'!C:F, 4, FALSE)</f>
        <v>183.26047571109939</v>
      </c>
      <c r="I77" s="572"/>
      <c r="J77" s="572"/>
      <c r="K77" s="572"/>
      <c r="L77" s="577" t="str">
        <f>IFERROR(INDEX('Upper Hot Cell Logistics'!$I$35:$O$41,MATCH($J77,'Upper Hot Cell Logistics'!$H$35:$H$41,0),MATCH($K77,'Upper Hot Cell Logistics'!$H$35:$H$41,0)),"N/A")</f>
        <v>N/A</v>
      </c>
      <c r="M77" s="577" t="str">
        <f>IFERROR(VLOOKUP($I77,'Upper Hot Cell Logistics'!$H$4:$I$9,2,FALSE),"N/A")</f>
        <v>N/A</v>
      </c>
      <c r="N77" s="578" t="str">
        <f>IF(D77="Movement",IFERROR((L77/M77)/(60*60),"Error"),"N/A")</f>
        <v>N/A</v>
      </c>
      <c r="O77" s="579"/>
      <c r="P77" s="580" t="str">
        <f>IF($D77="Logistics",VLOOKUP($O77,'Upper Hot Cell Logistics'!$C$4:$D$51,2,FALSE),"N/A")</f>
        <v>N/A</v>
      </c>
      <c r="Q77" s="624"/>
    </row>
    <row r="78" spans="1:17" s="8" customFormat="1" ht="15" thickBot="1" x14ac:dyDescent="0.45">
      <c r="A78" s="623"/>
      <c r="B78" s="3788"/>
      <c r="C78" s="583" t="str">
        <f>B76</f>
        <v>Lower Port LOB Pipe Module Removed</v>
      </c>
      <c r="D78" s="583" t="s">
        <v>11</v>
      </c>
      <c r="E78" s="574">
        <f t="shared" si="0"/>
        <v>0</v>
      </c>
      <c r="F78" s="574">
        <f>IF($D78="Trigger",VLOOKUP($C78,'Upper Hot Cell Critical Path'!$C$3:$F$322,4,FALSE),E78+F77)</f>
        <v>183.26047571109939</v>
      </c>
      <c r="G78" s="575"/>
      <c r="H78" s="576" t="str">
        <f>IF(D78="operation",VLOOKUP(G78,'Generic Vertical Port Tasks'!#REF!,2,FALSE),"N/A")</f>
        <v>N/A</v>
      </c>
      <c r="I78" s="572"/>
      <c r="J78" s="572"/>
      <c r="K78" s="572"/>
      <c r="L78" s="577" t="str">
        <f>IFERROR(INDEX('Upper Hot Cell Logistics'!$I$35:$O$41,MATCH($J78,'Upper Hot Cell Logistics'!$H$35:$H$41,0),MATCH($K78,'Upper Hot Cell Logistics'!$H$35:$H$41,0)),"N/A")</f>
        <v>N/A</v>
      </c>
      <c r="M78" s="577" t="str">
        <f>IFERROR(VLOOKUP($I78,'Upper Hot Cell Logistics'!$H$4:$I$9,2,FALSE),"N/A")</f>
        <v>N/A</v>
      </c>
      <c r="N78" s="578" t="str">
        <f>IF(D78="Movement",IFERROR((L78/M78)/(60*60),"Error"),"N/A")</f>
        <v>N/A</v>
      </c>
      <c r="O78" s="579"/>
      <c r="P78" s="580" t="str">
        <f>IF($D78="Logistics",VLOOKUP($O78,'Upper Hot Cell Logistics'!$C$4:$D$51,2,FALSE),"N/A")</f>
        <v>N/A</v>
      </c>
      <c r="Q78" s="624"/>
    </row>
    <row r="79" spans="1:17" x14ac:dyDescent="0.4">
      <c r="A79" s="88"/>
      <c r="B79" s="3820" t="s">
        <v>846</v>
      </c>
      <c r="C79" s="596" t="str">
        <f>'Upper Hot Cell Critical Path'!C4</f>
        <v>Blanket Removal Required</v>
      </c>
      <c r="D79" s="596" t="s">
        <v>907</v>
      </c>
      <c r="E79" s="593">
        <f t="shared" si="0"/>
        <v>0</v>
      </c>
      <c r="F79" s="593">
        <f>IF($D79="Trigger",VLOOKUP($C79,'Upper Hot Cell Critical Path'!$C$3:$F$322,4,FALSE),E79+F78)</f>
        <v>0</v>
      </c>
      <c r="G79" s="594"/>
      <c r="H79" s="595" t="str">
        <f>IF(D79="operation",VLOOKUP(G79,'Generic Vertical Port Tasks'!#REF!,2,FALSE),"N/A")</f>
        <v>N/A</v>
      </c>
      <c r="I79" s="596"/>
      <c r="J79" s="596"/>
      <c r="K79" s="596"/>
      <c r="L79" s="597" t="str">
        <f>IFERROR(INDEX('Upper Hot Cell Logistics'!$I$35:$O$41,MATCH($J79,'Upper Hot Cell Logistics'!$H$35:$H$41,0),MATCH($K79,'Upper Hot Cell Logistics'!$H$35:$H$41,0)),"N/A")</f>
        <v>N/A</v>
      </c>
      <c r="M79" s="597" t="str">
        <f>IFERROR(VLOOKUP($I79,'Upper Hot Cell Logistics'!$H$4:$I$9,2,FALSE),"N/A")</f>
        <v>N/A</v>
      </c>
      <c r="N79" s="598" t="str">
        <f>IF(D79="Movement",IFERROR((L79/M79)/(60*60),"Error"),"N/A")</f>
        <v>N/A</v>
      </c>
      <c r="O79" s="599"/>
      <c r="P79" s="600" t="str">
        <f>IF($D79="Logistics",VLOOKUP($O79,'Upper Hot Cell Logistics'!$C$4:$D$51,2,FALSE),"N/A")</f>
        <v>N/A</v>
      </c>
    </row>
    <row r="80" spans="1:17" ht="25.75" x14ac:dyDescent="0.4">
      <c r="A80" s="88"/>
      <c r="B80" s="3821"/>
      <c r="C80" s="622" t="s">
        <v>948</v>
      </c>
      <c r="D80" s="622" t="s">
        <v>251</v>
      </c>
      <c r="E80" s="602">
        <f t="shared" si="0"/>
        <v>184.93049550701264</v>
      </c>
      <c r="F80" s="602">
        <f>IF($D80="Trigger",VLOOKUP($C80,'Upper Hot Cell Critical Path'!$C$3:$F$322,4,FALSE),E80+F79)</f>
        <v>184.93049550701264</v>
      </c>
      <c r="G80" s="603" t="s">
        <v>949</v>
      </c>
      <c r="H80" s="608">
        <f>VLOOKUP(G80,'Lower Cask Critical Path'!C:F, 4, FALSE)</f>
        <v>184.93049550701264</v>
      </c>
      <c r="I80" s="601"/>
      <c r="J80" s="601"/>
      <c r="K80" s="601"/>
      <c r="L80" s="605" t="str">
        <f>IFERROR(INDEX('Upper Hot Cell Logistics'!$I$35:$O$41,MATCH($J80,'Upper Hot Cell Logistics'!$H$35:$H$41,0),MATCH($K80,'Upper Hot Cell Logistics'!$H$35:$H$41,0)),"N/A")</f>
        <v>N/A</v>
      </c>
      <c r="M80" s="605" t="str">
        <f>IFERROR(VLOOKUP($I80,'Upper Hot Cell Logistics'!$H$4:$I$9,2,FALSE),"N/A")</f>
        <v>N/A</v>
      </c>
      <c r="N80" s="606" t="str">
        <f>IF(D80="Movement",IFERROR((L80/M80)/(60*60),"Error"),"N/A")</f>
        <v>N/A</v>
      </c>
      <c r="O80" s="607"/>
      <c r="P80" s="608" t="str">
        <f>IF($D80="Logistics",VLOOKUP($O80,'Upper Hot Cell Logistics'!$C$4:$D$51,2,FALSE),"N/A")</f>
        <v>N/A</v>
      </c>
    </row>
    <row r="81" spans="1:17" ht="15" thickBot="1" x14ac:dyDescent="0.45">
      <c r="A81" s="88"/>
      <c r="B81" s="3822"/>
      <c r="C81" s="609" t="str">
        <f>B79</f>
        <v>Lower Port ROB Pipe Module Removed</v>
      </c>
      <c r="D81" s="609" t="s">
        <v>11</v>
      </c>
      <c r="E81" s="602">
        <f t="shared" si="0"/>
        <v>0</v>
      </c>
      <c r="F81" s="602">
        <f>IF($D81="Trigger",VLOOKUP($C81,'Upper Hot Cell Critical Path'!$C$3:$F$322,4,FALSE),E81+F80)</f>
        <v>184.93049550701264</v>
      </c>
      <c r="G81" s="603"/>
      <c r="H81" s="604" t="str">
        <f>IF(D81="operation",VLOOKUP(G81,'Generic Vertical Port Tasks'!#REF!,2,FALSE),"N/A")</f>
        <v>N/A</v>
      </c>
      <c r="I81" s="601"/>
      <c r="J81" s="601"/>
      <c r="K81" s="601"/>
      <c r="L81" s="605" t="str">
        <f>IFERROR(INDEX('Upper Hot Cell Logistics'!$I$35:$O$41,MATCH($J81,'Upper Hot Cell Logistics'!$H$35:$H$41,0),MATCH($K81,'Upper Hot Cell Logistics'!$H$35:$H$41,0)),"N/A")</f>
        <v>N/A</v>
      </c>
      <c r="M81" s="605" t="str">
        <f>IFERROR(VLOOKUP($I81,'Upper Hot Cell Logistics'!$H$4:$I$9,2,FALSE),"N/A")</f>
        <v>N/A</v>
      </c>
      <c r="N81" s="606" t="str">
        <f t="shared" ref="N81:N86" si="3">IF(D81="Movement",IFERROR((L81/M81)/(60*60),"Error"),"N/A")</f>
        <v>N/A</v>
      </c>
      <c r="O81" s="607"/>
      <c r="P81" s="608" t="str">
        <f>IF($D81="Logistics",VLOOKUP($O81,'Upper Hot Cell Logistics'!$C$4:$D$51,2,FALSE),"N/A")</f>
        <v>N/A</v>
      </c>
    </row>
    <row r="82" spans="1:17" s="8" customFormat="1" x14ac:dyDescent="0.4">
      <c r="A82" s="623"/>
      <c r="B82" s="3787" t="s">
        <v>847</v>
      </c>
      <c r="C82" s="617" t="str">
        <f>'Upper Hot Cell Critical Path'!C4</f>
        <v>Blanket Removal Required</v>
      </c>
      <c r="D82" s="617" t="s">
        <v>907</v>
      </c>
      <c r="E82" s="567">
        <f t="shared" si="0"/>
        <v>0</v>
      </c>
      <c r="F82" s="567">
        <f>IF($D82="Trigger",VLOOKUP($C82,'Upper Hot Cell Critical Path'!$C$3:$F$322,4,FALSE),E82+F81)</f>
        <v>0</v>
      </c>
      <c r="G82" s="568"/>
      <c r="H82" s="569" t="str">
        <f>IF(D82="operation",VLOOKUP(G82,'Generic Vertical Port Tasks'!#REF!,2,FALSE),"N/A")</f>
        <v>N/A</v>
      </c>
      <c r="I82" s="617"/>
      <c r="J82" s="617"/>
      <c r="K82" s="617"/>
      <c r="L82" s="618" t="str">
        <f>IFERROR(INDEX('Upper Hot Cell Logistics'!$I$35:$O$41,MATCH($J82,'Upper Hot Cell Logistics'!$H$35:$H$41,0),MATCH($K82,'Upper Hot Cell Logistics'!$H$35:$H$41,0)),"N/A")</f>
        <v>N/A</v>
      </c>
      <c r="M82" s="618" t="str">
        <f>IFERROR(VLOOKUP($I82,'Upper Hot Cell Logistics'!$H$4:$I$9,2,FALSE),"N/A")</f>
        <v>N/A</v>
      </c>
      <c r="N82" s="619" t="str">
        <f t="shared" si="3"/>
        <v>N/A</v>
      </c>
      <c r="O82" s="620"/>
      <c r="P82" s="621" t="str">
        <f>IF($D82="Logistics",VLOOKUP($O82,'Upper Hot Cell Logistics'!$C$4:$D$51,2,FALSE),"N/A")</f>
        <v>N/A</v>
      </c>
      <c r="Q82" s="624"/>
    </row>
    <row r="83" spans="1:17" s="8" customFormat="1" ht="25.75" x14ac:dyDescent="0.4">
      <c r="A83" s="623"/>
      <c r="B83" s="3786"/>
      <c r="C83" s="625" t="s">
        <v>950</v>
      </c>
      <c r="D83" s="625" t="s">
        <v>251</v>
      </c>
      <c r="E83" s="574">
        <f t="shared" si="0"/>
        <v>191.03051530292589</v>
      </c>
      <c r="F83" s="574">
        <f>IF($D83="Trigger",VLOOKUP($C83,'Upper Hot Cell Critical Path'!$C$3:$F$322,4,FALSE),E83+F82)</f>
        <v>191.03051530292589</v>
      </c>
      <c r="G83" s="575" t="s">
        <v>951</v>
      </c>
      <c r="H83" s="580">
        <f>VLOOKUP(G83,'Lower Cask Critical Path'!C:F, 4, FALSE)</f>
        <v>191.03051530292589</v>
      </c>
      <c r="I83" s="572"/>
      <c r="J83" s="572"/>
      <c r="K83" s="572"/>
      <c r="L83" s="577" t="str">
        <f>IFERROR(INDEX('Upper Hot Cell Logistics'!$I$35:$O$41,MATCH($J83,'Upper Hot Cell Logistics'!$H$35:$H$41,0),MATCH($K83,'Upper Hot Cell Logistics'!$H$35:$H$41,0)),"N/A")</f>
        <v>N/A</v>
      </c>
      <c r="M83" s="577" t="str">
        <f>IFERROR(VLOOKUP($I83,'Upper Hot Cell Logistics'!$H$4:$I$9,2,FALSE),"N/A")</f>
        <v>N/A</v>
      </c>
      <c r="N83" s="578" t="str">
        <f t="shared" si="3"/>
        <v>N/A</v>
      </c>
      <c r="O83" s="579"/>
      <c r="P83" s="580" t="str">
        <f>IF($D83="Logistics",VLOOKUP($O83,'Upper Hot Cell Logistics'!$C$4:$D$51,2,FALSE),"N/A")</f>
        <v>N/A</v>
      </c>
      <c r="Q83" s="624"/>
    </row>
    <row r="84" spans="1:17" s="8" customFormat="1" ht="15" thickBot="1" x14ac:dyDescent="0.45">
      <c r="A84" s="623"/>
      <c r="B84" s="3788"/>
      <c r="C84" s="583" t="str">
        <f>B82</f>
        <v>Lower Port LIB Pipe Module Removed</v>
      </c>
      <c r="D84" s="583" t="s">
        <v>11</v>
      </c>
      <c r="E84" s="574">
        <f t="shared" si="0"/>
        <v>0</v>
      </c>
      <c r="F84" s="574">
        <f>IF($D84="Trigger",VLOOKUP($C84,'Upper Hot Cell Critical Path'!$C$3:$F$322,4,FALSE),E84+F83)</f>
        <v>191.03051530292589</v>
      </c>
      <c r="G84" s="575"/>
      <c r="H84" s="576" t="str">
        <f>IF(D84="operation",VLOOKUP(G84,'Generic Vertical Port Tasks'!#REF!,2,FALSE),"N/A")</f>
        <v>N/A</v>
      </c>
      <c r="I84" s="572"/>
      <c r="J84" s="572"/>
      <c r="K84" s="572"/>
      <c r="L84" s="577" t="str">
        <f>IFERROR(INDEX('Upper Hot Cell Logistics'!$I$35:$O$41,MATCH($J84,'Upper Hot Cell Logistics'!$H$35:$H$41,0),MATCH($K84,'Upper Hot Cell Logistics'!$H$35:$H$41,0)),"N/A")</f>
        <v>N/A</v>
      </c>
      <c r="M84" s="577" t="str">
        <f>IFERROR(VLOOKUP($I84,'Upper Hot Cell Logistics'!$H$4:$I$9,2,FALSE),"N/A")</f>
        <v>N/A</v>
      </c>
      <c r="N84" s="578" t="str">
        <f t="shared" si="3"/>
        <v>N/A</v>
      </c>
      <c r="O84" s="579"/>
      <c r="P84" s="580" t="str">
        <f>IF($D84="Logistics",VLOOKUP($O84,'Upper Hot Cell Logistics'!$C$4:$D$51,2,FALSE),"N/A")</f>
        <v>N/A</v>
      </c>
      <c r="Q84" s="624"/>
    </row>
    <row r="85" spans="1:17" x14ac:dyDescent="0.4">
      <c r="A85" s="88"/>
      <c r="B85" s="3820" t="s">
        <v>848</v>
      </c>
      <c r="C85" s="596" t="str">
        <f>'Upper Hot Cell Critical Path'!C4</f>
        <v>Blanket Removal Required</v>
      </c>
      <c r="D85" s="596" t="s">
        <v>907</v>
      </c>
      <c r="E85" s="593">
        <f t="shared" si="0"/>
        <v>0</v>
      </c>
      <c r="F85" s="593">
        <f>IF($D85="Trigger",VLOOKUP($C85,'Upper Hot Cell Critical Path'!$C$3:$F$322,4,FALSE),E85+F84)</f>
        <v>0</v>
      </c>
      <c r="G85" s="594"/>
      <c r="H85" s="595" t="str">
        <f>IF(D85="operation",VLOOKUP(G85,'Generic Vertical Port Tasks'!#REF!,2,FALSE),"N/A")</f>
        <v>N/A</v>
      </c>
      <c r="I85" s="596"/>
      <c r="J85" s="596"/>
      <c r="K85" s="596"/>
      <c r="L85" s="597" t="str">
        <f>IFERROR(INDEX('Upper Hot Cell Logistics'!$I$35:$O$41,MATCH($J85,'Upper Hot Cell Logistics'!$H$35:$H$41,0),MATCH($K85,'Upper Hot Cell Logistics'!$H$35:$H$41,0)),"N/A")</f>
        <v>N/A</v>
      </c>
      <c r="M85" s="597" t="str">
        <f>IFERROR(VLOOKUP($I85,'Upper Hot Cell Logistics'!$H$4:$I$9,2,FALSE),"N/A")</f>
        <v>N/A</v>
      </c>
      <c r="N85" s="598" t="str">
        <f t="shared" si="3"/>
        <v>N/A</v>
      </c>
      <c r="O85" s="599"/>
      <c r="P85" s="600" t="str">
        <f>IF($D85="Logistics",VLOOKUP($O85,'Upper Hot Cell Logistics'!$C$4:$D$51,2,FALSE),"N/A")</f>
        <v>N/A</v>
      </c>
    </row>
    <row r="86" spans="1:17" ht="25.75" x14ac:dyDescent="0.4">
      <c r="A86" s="88"/>
      <c r="B86" s="3821"/>
      <c r="C86" s="622" t="s">
        <v>952</v>
      </c>
      <c r="D86" s="622" t="s">
        <v>251</v>
      </c>
      <c r="E86" s="602">
        <f t="shared" si="0"/>
        <v>192.70053509883914</v>
      </c>
      <c r="F86" s="602">
        <f>IF($D86="Trigger",VLOOKUP($C86,'Upper Hot Cell Critical Path'!$C$3:$F$322,4,FALSE),E86+F85)</f>
        <v>192.70053509883914</v>
      </c>
      <c r="G86" s="603" t="s">
        <v>953</v>
      </c>
      <c r="H86" s="608">
        <f>VLOOKUP(G86,'Lower Cask Critical Path'!C:F, 4, FALSE)</f>
        <v>192.70053509883914</v>
      </c>
      <c r="I86" s="601"/>
      <c r="J86" s="601"/>
      <c r="K86" s="601"/>
      <c r="L86" s="605" t="str">
        <f>IFERROR(INDEX('Upper Hot Cell Logistics'!$I$35:$O$41,MATCH($J86,'Upper Hot Cell Logistics'!$H$35:$H$41,0),MATCH($K86,'Upper Hot Cell Logistics'!$H$35:$H$41,0)),"N/A")</f>
        <v>N/A</v>
      </c>
      <c r="M86" s="605" t="str">
        <f>IFERROR(VLOOKUP($I86,'Upper Hot Cell Logistics'!$H$4:$I$9,2,FALSE),"N/A")</f>
        <v>N/A</v>
      </c>
      <c r="N86" s="606" t="str">
        <f t="shared" si="3"/>
        <v>N/A</v>
      </c>
      <c r="O86" s="607"/>
      <c r="P86" s="608" t="str">
        <f>IF($D86="Logistics",VLOOKUP($O86,'Upper Hot Cell Logistics'!$C$4:$D$51,2,FALSE),"N/A")</f>
        <v>N/A</v>
      </c>
    </row>
    <row r="87" spans="1:17" ht="15" thickBot="1" x14ac:dyDescent="0.45">
      <c r="A87" s="88"/>
      <c r="B87" s="3822"/>
      <c r="C87" s="609" t="str">
        <f>B85</f>
        <v>Lower Port RIB Pipe Module Removed</v>
      </c>
      <c r="D87" s="609" t="s">
        <v>11</v>
      </c>
      <c r="E87" s="602">
        <f t="shared" si="0"/>
        <v>0</v>
      </c>
      <c r="F87" s="602">
        <f>IF($D87="Trigger",VLOOKUP($C87,'Upper Hot Cell Critical Path'!$C$3:$F$322,4,FALSE),E87+F86)</f>
        <v>192.70053509883914</v>
      </c>
      <c r="G87" s="603"/>
      <c r="H87" s="604" t="str">
        <f>IF(D87="operation",VLOOKUP(G87,'Generic Vertical Port Tasks'!#REF!,2,FALSE),"N/A")</f>
        <v>N/A</v>
      </c>
      <c r="I87" s="601"/>
      <c r="J87" s="601"/>
      <c r="K87" s="601"/>
      <c r="L87" s="605" t="str">
        <f>IFERROR(INDEX('Upper Hot Cell Logistics'!$I$35:$O$41,MATCH($J87,'Upper Hot Cell Logistics'!$H$35:$H$41,0),MATCH($K87,'Upper Hot Cell Logistics'!$H$35:$H$41,0)),"N/A")</f>
        <v>N/A</v>
      </c>
      <c r="M87" s="605" t="str">
        <f>IFERROR(VLOOKUP($I87,'Upper Hot Cell Logistics'!$H$4:$I$9,2,FALSE),"N/A")</f>
        <v>N/A</v>
      </c>
      <c r="N87" s="606" t="str">
        <f>IF(D87="Movement",IFERROR((L87/M87)/(60*60),"Error"),"N/A")</f>
        <v>N/A</v>
      </c>
      <c r="O87" s="607"/>
      <c r="P87" s="608" t="str">
        <f>IF($D87="Logistics",VLOOKUP($O87,'Upper Hot Cell Logistics'!$C$4:$D$51,2,FALSE),"N/A")</f>
        <v>N/A</v>
      </c>
    </row>
    <row r="88" spans="1:17" x14ac:dyDescent="0.4">
      <c r="A88" s="88"/>
      <c r="B88" s="3995" t="s">
        <v>954</v>
      </c>
      <c r="C88" s="596" t="str">
        <f>'Upper Hot Cell Critical Path'!C70</f>
        <v>Cut RIB Pipe joint using SJS</v>
      </c>
      <c r="D88" s="617" t="s">
        <v>907</v>
      </c>
      <c r="E88" s="567">
        <f t="shared" si="0"/>
        <v>0</v>
      </c>
      <c r="F88" s="567">
        <f>IF($D88="Trigger",VLOOKUP($C88,'Upper Hot Cell Critical Path'!$C$3:$F$322,4,FALSE),E88+F87)</f>
        <v>146.10068876969498</v>
      </c>
      <c r="G88" s="568"/>
      <c r="H88" s="569" t="str">
        <f>IF(D88="operation",VLOOKUP(G88,'Generic Vertical Port Tasks'!#REF!,2,FALSE),"N/A")</f>
        <v>N/A</v>
      </c>
      <c r="I88" s="617"/>
      <c r="J88" s="617"/>
      <c r="K88" s="617"/>
      <c r="L88" s="618" t="str">
        <f>IFERROR(INDEX('Upper Hot Cell Logistics'!$I$35:$O$41,MATCH($J88,'Upper Hot Cell Logistics'!$H$35:$H$41,0),MATCH($K88,'Upper Hot Cell Logistics'!$H$35:$H$41,0)),"N/A")</f>
        <v>N/A</v>
      </c>
      <c r="M88" s="618" t="str">
        <f>IFERROR(VLOOKUP($I88,'Upper Hot Cell Logistics'!$H$4:$I$9,2,FALSE),"N/A")</f>
        <v>N/A</v>
      </c>
      <c r="N88" s="619" t="str">
        <f t="shared" si="1"/>
        <v>N/A</v>
      </c>
      <c r="O88" s="620"/>
      <c r="P88" s="621" t="str">
        <f>IF($D88="Logistics",VLOOKUP($O88,'Upper Hot Cell Logistics'!$C$4:$D$51,2,FALSE),"N/A")</f>
        <v>N/A</v>
      </c>
    </row>
    <row r="89" spans="1:17" x14ac:dyDescent="0.4">
      <c r="A89" s="88"/>
      <c r="B89" s="3996"/>
      <c r="C89" s="572" t="s">
        <v>921</v>
      </c>
      <c r="D89" s="572" t="s">
        <v>778</v>
      </c>
      <c r="E89" s="574">
        <f t="shared" si="0"/>
        <v>6.9444444444444448E-2</v>
      </c>
      <c r="F89" s="574">
        <f>IF($D89="Trigger",VLOOKUP($C89,'Upper Hot Cell Critical Path'!$C$3:$F$322,4,FALSE),E89+F88)</f>
        <v>146.17013321413944</v>
      </c>
      <c r="G89" s="575"/>
      <c r="H89" s="576" t="str">
        <f>IF(D89="operation",VLOOKUP(G89,'Generic Vertical Port Tasks'!#REF!,2,FALSE),"N/A")</f>
        <v>N/A</v>
      </c>
      <c r="I89" s="572" t="s">
        <v>798</v>
      </c>
      <c r="J89" s="572" t="s">
        <v>452</v>
      </c>
      <c r="K89" s="572" t="s">
        <v>914</v>
      </c>
      <c r="L89" s="577">
        <f>IFERROR(INDEX('Upper Hot Cell Logistics'!$I$35:$O$41,MATCH($J89,'Upper Hot Cell Logistics'!$H$35:$H$41,0),MATCH($K89,'Upper Hot Cell Logistics'!$H$35:$H$41,0)),"N/A")</f>
        <v>50</v>
      </c>
      <c r="M89" s="577">
        <f>IFERROR(VLOOKUP($I89,'Upper Hot Cell Logistics'!$H$4:$I$9,2,FALSE),"N/A")</f>
        <v>0.2</v>
      </c>
      <c r="N89" s="578">
        <f t="shared" si="1"/>
        <v>6.9444444444444448E-2</v>
      </c>
      <c r="O89" s="579"/>
      <c r="P89" s="580" t="str">
        <f>IF($D89="Logistics",VLOOKUP($O89,'Upper Hot Cell Logistics'!$C$4:$D$51,2,FALSE),"N/A")</f>
        <v>N/A</v>
      </c>
    </row>
    <row r="90" spans="1:17" x14ac:dyDescent="0.4">
      <c r="A90" s="88"/>
      <c r="B90" s="3996"/>
      <c r="C90" s="572" t="s">
        <v>955</v>
      </c>
      <c r="D90" s="572" t="s">
        <v>3</v>
      </c>
      <c r="E90" s="574">
        <f t="shared" si="0"/>
        <v>0.78</v>
      </c>
      <c r="F90" s="574">
        <f>IF($D90="Trigger",VLOOKUP($C90,'Upper Hot Cell Critical Path'!$C$3:$F$322,4,FALSE),E90+F89)</f>
        <v>146.95013321413944</v>
      </c>
      <c r="G90" s="575"/>
      <c r="H90" s="576" t="str">
        <f>IF(D90="operation",VLOOKUP(G90,'Generic Vertical Port Tasks'!#REF!,2,FALSE),"N/A")</f>
        <v>N/A</v>
      </c>
      <c r="I90" s="572"/>
      <c r="J90" s="572"/>
      <c r="K90" s="572"/>
      <c r="L90" s="577" t="str">
        <f>IFERROR(INDEX('Upper Hot Cell Logistics'!$I$35:$O$41,MATCH($J90,'Upper Hot Cell Logistics'!$H$35:$H$41,0),MATCH($K90,'Upper Hot Cell Logistics'!$H$35:$H$41,0)),"N/A")</f>
        <v>N/A</v>
      </c>
      <c r="M90" s="577" t="str">
        <f>IFERROR(VLOOKUP($I90,'Upper Hot Cell Logistics'!$H$4:$I$9,2,FALSE),"N/A")</f>
        <v>N/A</v>
      </c>
      <c r="N90" s="578" t="str">
        <f t="shared" si="1"/>
        <v>N/A</v>
      </c>
      <c r="O90" s="579" t="s">
        <v>937</v>
      </c>
      <c r="P90" s="580">
        <f>IF($D90="Logistics",VLOOKUP($O90,'Upper Hot Cell Logistics'!$C$4:$D$51,2,FALSE),"N/A")</f>
        <v>0.78</v>
      </c>
    </row>
    <row r="91" spans="1:17" x14ac:dyDescent="0.4">
      <c r="A91" s="88"/>
      <c r="B91" s="3996"/>
      <c r="C91" s="572" t="s">
        <v>923</v>
      </c>
      <c r="D91" s="572" t="s">
        <v>778</v>
      </c>
      <c r="E91" s="574">
        <f t="shared" si="0"/>
        <v>2.7777777777777776E-2</v>
      </c>
      <c r="F91" s="574">
        <f>IF($D91="Trigger",VLOOKUP($C91,'Upper Hot Cell Critical Path'!$C$3:$F$322,4,FALSE),E91+F90)</f>
        <v>146.97791099191721</v>
      </c>
      <c r="G91" s="575"/>
      <c r="H91" s="576" t="str">
        <f>IF(D91="operation",VLOOKUP(G91,'Generic Vertical Port Tasks'!#REF!,2,FALSE),"N/A")</f>
        <v>N/A</v>
      </c>
      <c r="I91" s="572" t="s">
        <v>798</v>
      </c>
      <c r="J91" s="572" t="s">
        <v>914</v>
      </c>
      <c r="K91" s="572" t="s">
        <v>799</v>
      </c>
      <c r="L91" s="577">
        <f>IFERROR(INDEX('Upper Hot Cell Logistics'!$I$35:$O$41,MATCH($J91,'Upper Hot Cell Logistics'!$H$35:$H$41,0),MATCH($K91,'Upper Hot Cell Logistics'!$H$35:$H$41,0)),"N/A")</f>
        <v>20</v>
      </c>
      <c r="M91" s="577">
        <f>IFERROR(VLOOKUP($I91,'Upper Hot Cell Logistics'!$H$4:$I$9,2,FALSE),"N/A")</f>
        <v>0.2</v>
      </c>
      <c r="N91" s="578">
        <f t="shared" si="1"/>
        <v>2.7777777777777776E-2</v>
      </c>
      <c r="O91" s="579"/>
      <c r="P91" s="580" t="str">
        <f>IF($D91="Logistics",VLOOKUP($O91,'Upper Hot Cell Logistics'!$C$4:$D$51,2,FALSE),"N/A")</f>
        <v>N/A</v>
      </c>
    </row>
    <row r="92" spans="1:17" x14ac:dyDescent="0.4">
      <c r="A92" s="88"/>
      <c r="B92" s="3996"/>
      <c r="C92" s="572" t="s">
        <v>956</v>
      </c>
      <c r="D92" s="572" t="s">
        <v>3</v>
      </c>
      <c r="E92" s="574">
        <f t="shared" si="0"/>
        <v>1.08</v>
      </c>
      <c r="F92" s="574">
        <f>IF($D92="Trigger",VLOOKUP($C92,'Upper Hot Cell Critical Path'!$C$3:$F$322,4,FALSE),E92+F91)</f>
        <v>148.05791099191723</v>
      </c>
      <c r="G92" s="575"/>
      <c r="H92" s="576" t="str">
        <f>IF(D92="operation",VLOOKUP(G92,'Generic Vertical Port Tasks'!#REF!,2,FALSE),"N/A")</f>
        <v>N/A</v>
      </c>
      <c r="I92" s="572"/>
      <c r="J92" s="572"/>
      <c r="K92" s="572"/>
      <c r="L92" s="577" t="str">
        <f>IFERROR(INDEX('Upper Hot Cell Logistics'!$I$35:$O$41,MATCH($J92,'Upper Hot Cell Logistics'!$H$35:$H$41,0),MATCH($K92,'Upper Hot Cell Logistics'!$H$35:$H$41,0)),"N/A")</f>
        <v>N/A</v>
      </c>
      <c r="M92" s="577" t="str">
        <f>IFERROR(VLOOKUP($I92,'Upper Hot Cell Logistics'!$H$4:$I$9,2,FALSE),"N/A")</f>
        <v>N/A</v>
      </c>
      <c r="N92" s="578" t="str">
        <f t="shared" si="1"/>
        <v>N/A</v>
      </c>
      <c r="O92" s="579" t="s">
        <v>909</v>
      </c>
      <c r="P92" s="580">
        <f>IF($D92="Logistics",VLOOKUP($O92,'Upper Hot Cell Logistics'!$C$4:$D$51,2,FALSE),"N/A")</f>
        <v>1.08</v>
      </c>
    </row>
    <row r="93" spans="1:17" ht="15" thickBot="1" x14ac:dyDescent="0.45">
      <c r="A93" s="88"/>
      <c r="B93" s="3997"/>
      <c r="C93" s="583" t="str">
        <f>B88</f>
        <v>Service Joint System stored &amp; Blanket Transporter collected</v>
      </c>
      <c r="D93" s="583" t="s">
        <v>11</v>
      </c>
      <c r="E93" s="585">
        <f t="shared" si="0"/>
        <v>0</v>
      </c>
      <c r="F93" s="585">
        <f>IF($D93="Trigger",VLOOKUP($C93,'Upper Hot Cell Critical Path'!$C$3:$F$322,4,FALSE),E93+F92)</f>
        <v>148.05791099191723</v>
      </c>
      <c r="G93" s="586"/>
      <c r="H93" s="587" t="str">
        <f>IF(D93="operation",VLOOKUP(G93,'Generic Vertical Port Tasks'!#REF!,2,FALSE),"N/A")</f>
        <v>N/A</v>
      </c>
      <c r="I93" s="583"/>
      <c r="J93" s="583"/>
      <c r="K93" s="583"/>
      <c r="L93" s="588" t="str">
        <f>IFERROR(INDEX('Upper Hot Cell Logistics'!$I$35:$O$41,MATCH($J93,'Upper Hot Cell Logistics'!$H$35:$H$41,0),MATCH($K93,'Upper Hot Cell Logistics'!$H$35:$H$41,0)),"N/A")</f>
        <v>N/A</v>
      </c>
      <c r="M93" s="588" t="str">
        <f>IFERROR(VLOOKUP($I93,'Upper Hot Cell Logistics'!$H$4:$I$9,2,FALSE),"N/A")</f>
        <v>N/A</v>
      </c>
      <c r="N93" s="589" t="str">
        <f t="shared" si="1"/>
        <v>N/A</v>
      </c>
      <c r="O93" s="590"/>
      <c r="P93" s="591" t="str">
        <f>IF($D93="Logistics",VLOOKUP($O93,'Upper Hot Cell Logistics'!$C$4:$D$51,2,FALSE),"N/A")</f>
        <v>N/A</v>
      </c>
    </row>
    <row r="94" spans="1:17" x14ac:dyDescent="0.4">
      <c r="A94" s="88"/>
      <c r="B94" s="3992" t="s">
        <v>957</v>
      </c>
      <c r="C94" s="596" t="str">
        <f>'Upper Hot Cell Critical Path'!C72</f>
        <v>Extract RIB Pipe Module</v>
      </c>
      <c r="D94" s="596" t="s">
        <v>907</v>
      </c>
      <c r="E94" s="593">
        <f t="shared" ref="E94:E161" si="4">MAX($P94,$N94,$H94)</f>
        <v>0</v>
      </c>
      <c r="F94" s="593">
        <f>IF($D94="Trigger",VLOOKUP($C94,'Upper Hot Cell Critical Path'!$C$3:$F$322,4,FALSE),E94+F93)</f>
        <v>146.89513321413943</v>
      </c>
      <c r="G94" s="594"/>
      <c r="H94" s="595" t="str">
        <f>IF(D94="operation",VLOOKUP(G94,'Generic Vertical Port Tasks'!#REF!,2,FALSE),"N/A")</f>
        <v>N/A</v>
      </c>
      <c r="I94" s="596"/>
      <c r="J94" s="596"/>
      <c r="K94" s="596"/>
      <c r="L94" s="597" t="str">
        <f>IFERROR(INDEX('Upper Hot Cell Logistics'!$I$35:$O$41,MATCH($J94,'Upper Hot Cell Logistics'!$H$35:$H$41,0),MATCH($K94,'Upper Hot Cell Logistics'!$H$35:$H$41,0)),"N/A")</f>
        <v>N/A</v>
      </c>
      <c r="M94" s="597" t="str">
        <f>IFERROR(VLOOKUP($I94,'Upper Hot Cell Logistics'!$H$4:$I$9,2,FALSE),"N/A")</f>
        <v>N/A</v>
      </c>
      <c r="N94" s="598" t="str">
        <f t="shared" si="1"/>
        <v>N/A</v>
      </c>
      <c r="O94" s="599"/>
      <c r="P94" s="600" t="str">
        <f>IF($D94="Logistics",VLOOKUP($O94,'Upper Hot Cell Logistics'!$C$4:$D$51,2,FALSE),"N/A")</f>
        <v>N/A</v>
      </c>
    </row>
    <row r="95" spans="1:17" x14ac:dyDescent="0.4">
      <c r="A95" s="88"/>
      <c r="B95" s="3993"/>
      <c r="C95" s="601" t="s">
        <v>926</v>
      </c>
      <c r="D95" s="601" t="s">
        <v>778</v>
      </c>
      <c r="E95" s="602">
        <f t="shared" si="4"/>
        <v>0.69444444444444442</v>
      </c>
      <c r="F95" s="602">
        <f>IF($D95="Trigger",VLOOKUP($C95,'Upper Hot Cell Critical Path'!$C$3:$F$322,4,FALSE),E95+F94)</f>
        <v>147.58957765858389</v>
      </c>
      <c r="G95" s="603"/>
      <c r="H95" s="604" t="str">
        <f>IF(D95="operation",VLOOKUP(G95,'Generic Vertical Port Tasks'!#REF!,2,FALSE),"N/A")</f>
        <v>N/A</v>
      </c>
      <c r="I95" s="601" t="s">
        <v>857</v>
      </c>
      <c r="J95" s="601" t="s">
        <v>452</v>
      </c>
      <c r="K95" s="601" t="s">
        <v>831</v>
      </c>
      <c r="L95" s="605">
        <f>IFERROR(INDEX('Upper Hot Cell Logistics'!$I$35:$O$41,MATCH($J95,'Upper Hot Cell Logistics'!$H$35:$H$41,0),MATCH($K95,'Upper Hot Cell Logistics'!$H$35:$H$41,0)),"N/A")</f>
        <v>50</v>
      </c>
      <c r="M95" s="605">
        <f>IFERROR(VLOOKUP($I95,'Upper Hot Cell Logistics'!$H$4:$I$9,2,FALSE),"N/A")</f>
        <v>0.02</v>
      </c>
      <c r="N95" s="606">
        <f t="shared" si="1"/>
        <v>0.69444444444444442</v>
      </c>
      <c r="O95" s="607"/>
      <c r="P95" s="608" t="str">
        <f>IF($D95="Logistics",VLOOKUP($O95,'Upper Hot Cell Logistics'!$C$4:$D$51,2,FALSE),"N/A")</f>
        <v>N/A</v>
      </c>
    </row>
    <row r="96" spans="1:17" x14ac:dyDescent="0.4">
      <c r="A96" s="88"/>
      <c r="B96" s="3993"/>
      <c r="C96" s="601" t="s">
        <v>940</v>
      </c>
      <c r="D96" s="601" t="s">
        <v>3</v>
      </c>
      <c r="E96" s="602">
        <f t="shared" si="4"/>
        <v>0.58000000000000007</v>
      </c>
      <c r="F96" s="602">
        <f>IF($D96="Trigger",VLOOKUP($C96,'Upper Hot Cell Critical Path'!$C$3:$F$322,4,FALSE),E96+F95)</f>
        <v>148.1695776585839</v>
      </c>
      <c r="G96" s="603"/>
      <c r="H96" s="604" t="str">
        <f>IF(D96="operation",VLOOKUP(G96,'Generic Vertical Port Tasks'!#REF!,2,FALSE),"N/A")</f>
        <v>N/A</v>
      </c>
      <c r="I96" s="601"/>
      <c r="J96" s="601"/>
      <c r="K96" s="601"/>
      <c r="L96" s="605" t="str">
        <f>IFERROR(INDEX('Upper Hot Cell Logistics'!$I$35:$O$41,MATCH($J96,'Upper Hot Cell Logistics'!$H$35:$H$41,0),MATCH($K96,'Upper Hot Cell Logistics'!$H$35:$H$41,0)),"N/A")</f>
        <v>N/A</v>
      </c>
      <c r="M96" s="605" t="str">
        <f>IFERROR(VLOOKUP($I96,'Upper Hot Cell Logistics'!$H$4:$I$9,2,FALSE),"N/A")</f>
        <v>N/A</v>
      </c>
      <c r="N96" s="606" t="str">
        <f t="shared" si="1"/>
        <v>N/A</v>
      </c>
      <c r="O96" s="607" t="s">
        <v>904</v>
      </c>
      <c r="P96" s="608">
        <f>IF($D96="Logistics",VLOOKUP($O96,'Upper Hot Cell Logistics'!$C$4:$D$51,2,FALSE),"N/A")</f>
        <v>0.58000000000000007</v>
      </c>
    </row>
    <row r="97" spans="1:16" x14ac:dyDescent="0.4">
      <c r="A97" s="88"/>
      <c r="B97" s="3993"/>
      <c r="C97" s="601" t="s">
        <v>913</v>
      </c>
      <c r="D97" s="601" t="s">
        <v>778</v>
      </c>
      <c r="E97" s="602">
        <f t="shared" si="4"/>
        <v>2.7777777777777776E-2</v>
      </c>
      <c r="F97" s="602">
        <f>IF($D97="Trigger",VLOOKUP($C97,'Upper Hot Cell Critical Path'!$C$3:$F$322,4,FALSE),E97+F96)</f>
        <v>148.19735543636168</v>
      </c>
      <c r="G97" s="603"/>
      <c r="H97" s="604" t="str">
        <f>IF(D97="operation",VLOOKUP(G97,'Generic Vertical Port Tasks'!#REF!,2,FALSE),"N/A")</f>
        <v>N/A</v>
      </c>
      <c r="I97" s="601" t="s">
        <v>798</v>
      </c>
      <c r="J97" s="601" t="s">
        <v>831</v>
      </c>
      <c r="K97" s="601" t="s">
        <v>914</v>
      </c>
      <c r="L97" s="605">
        <f>IFERROR(INDEX('Upper Hot Cell Logistics'!$I$35:$O$41,MATCH($J97,'Upper Hot Cell Logistics'!$H$35:$H$41,0),MATCH($K97,'Upper Hot Cell Logistics'!$H$35:$H$41,0)),"N/A")</f>
        <v>20</v>
      </c>
      <c r="M97" s="605">
        <f>IFERROR(VLOOKUP($I97,'Upper Hot Cell Logistics'!$H$4:$I$9,2,FALSE),"N/A")</f>
        <v>0.2</v>
      </c>
      <c r="N97" s="606">
        <f t="shared" ref="N97:N121" si="5">IF(D97="Movement",IFERROR((L97/M97)/(60*60),"Error"),"N/A")</f>
        <v>2.7777777777777776E-2</v>
      </c>
      <c r="O97" s="607"/>
      <c r="P97" s="608" t="str">
        <f>IF($D97="Logistics",VLOOKUP($O97,'Upper Hot Cell Logistics'!$C$4:$D$51,2,FALSE),"N/A")</f>
        <v>N/A</v>
      </c>
    </row>
    <row r="98" spans="1:16" x14ac:dyDescent="0.4">
      <c r="A98" s="88"/>
      <c r="B98" s="3993"/>
      <c r="C98" s="601" t="s">
        <v>958</v>
      </c>
      <c r="D98" s="601" t="s">
        <v>3</v>
      </c>
      <c r="E98" s="602">
        <f t="shared" si="4"/>
        <v>0.78</v>
      </c>
      <c r="F98" s="602">
        <f>IF($D98="Trigger",VLOOKUP($C98,'Upper Hot Cell Critical Path'!$C$3:$F$322,4,FALSE),E98+F97)</f>
        <v>148.97735543636168</v>
      </c>
      <c r="G98" s="603"/>
      <c r="H98" s="604" t="str">
        <f>IF(D98="operation",VLOOKUP(G98,'Generic Vertical Port Tasks'!#REF!,2,FALSE),"N/A")</f>
        <v>N/A</v>
      </c>
      <c r="I98" s="601"/>
      <c r="J98" s="601"/>
      <c r="K98" s="601"/>
      <c r="L98" s="605" t="str">
        <f>IFERROR(INDEX('Upper Hot Cell Logistics'!$I$35:$O$41,MATCH($J98,'Upper Hot Cell Logistics'!$H$35:$H$41,0),MATCH($K98,'Upper Hot Cell Logistics'!$H$35:$H$41,0)),"N/A")</f>
        <v>N/A</v>
      </c>
      <c r="M98" s="605" t="str">
        <f>IFERROR(VLOOKUP($I98,'Upper Hot Cell Logistics'!$H$4:$I$9,2,FALSE),"N/A")</f>
        <v>N/A</v>
      </c>
      <c r="N98" s="606" t="str">
        <f t="shared" si="5"/>
        <v>N/A</v>
      </c>
      <c r="O98" s="607" t="s">
        <v>937</v>
      </c>
      <c r="P98" s="608">
        <f>IF($D98="Logistics",VLOOKUP($O98,'Upper Hot Cell Logistics'!$C$4:$D$51,2,FALSE),"N/A")</f>
        <v>0.78</v>
      </c>
    </row>
    <row r="99" spans="1:16" x14ac:dyDescent="0.4">
      <c r="A99" s="88"/>
      <c r="B99" s="3993"/>
      <c r="C99" s="601" t="s">
        <v>917</v>
      </c>
      <c r="D99" s="601" t="s">
        <v>778</v>
      </c>
      <c r="E99" s="602">
        <f t="shared" si="4"/>
        <v>2.7777777777777776E-2</v>
      </c>
      <c r="F99" s="602">
        <f>IF($D99="Trigger",VLOOKUP($C99,'Upper Hot Cell Critical Path'!$C$3:$F$322,4,FALSE),E99+F98)</f>
        <v>149.00513321413945</v>
      </c>
      <c r="G99" s="603"/>
      <c r="H99" s="604" t="str">
        <f>IF(D99="operation",VLOOKUP(G99,'Generic Vertical Port Tasks'!#REF!,2,FALSE),"N/A")</f>
        <v>N/A</v>
      </c>
      <c r="I99" s="601" t="s">
        <v>798</v>
      </c>
      <c r="J99" s="601" t="s">
        <v>914</v>
      </c>
      <c r="K99" s="601" t="s">
        <v>799</v>
      </c>
      <c r="L99" s="605">
        <f>IFERROR(INDEX('Upper Hot Cell Logistics'!$I$35:$O$41,MATCH($J99,'Upper Hot Cell Logistics'!$H$35:$H$41,0),MATCH($K99,'Upper Hot Cell Logistics'!$H$35:$H$41,0)),"N/A")</f>
        <v>20</v>
      </c>
      <c r="M99" s="605">
        <f>IFERROR(VLOOKUP($I99,'Upper Hot Cell Logistics'!$H$4:$I$9,2,FALSE),"N/A")</f>
        <v>0.2</v>
      </c>
      <c r="N99" s="606">
        <f t="shared" si="5"/>
        <v>2.7777777777777776E-2</v>
      </c>
      <c r="O99" s="607"/>
      <c r="P99" s="608" t="str">
        <f>IF($D99="Logistics",VLOOKUP($O99,'Upper Hot Cell Logistics'!$C$4:$D$51,2,FALSE),"N/A")</f>
        <v>N/A</v>
      </c>
    </row>
    <row r="100" spans="1:16" x14ac:dyDescent="0.4">
      <c r="A100" s="88"/>
      <c r="B100" s="3993"/>
      <c r="C100" s="601" t="s">
        <v>956</v>
      </c>
      <c r="D100" s="601" t="s">
        <v>3</v>
      </c>
      <c r="E100" s="602">
        <f t="shared" si="4"/>
        <v>1.08</v>
      </c>
      <c r="F100" s="602">
        <f>IF($D100="Trigger",VLOOKUP($C100,'Upper Hot Cell Critical Path'!$C$3:$F$322,4,FALSE),E100+F99)</f>
        <v>150.08513321413946</v>
      </c>
      <c r="G100" s="603"/>
      <c r="H100" s="604" t="str">
        <f>IF(D100="operation",VLOOKUP(G100,'Generic Vertical Port Tasks'!#REF!,2,FALSE),"N/A")</f>
        <v>N/A</v>
      </c>
      <c r="I100" s="601"/>
      <c r="J100" s="601"/>
      <c r="K100" s="601"/>
      <c r="L100" s="605" t="str">
        <f>IFERROR(INDEX('Upper Hot Cell Logistics'!$I$35:$O$41,MATCH($J100,'Upper Hot Cell Logistics'!$H$35:$H$41,0),MATCH($K100,'Upper Hot Cell Logistics'!$H$35:$H$41,0)),"N/A")</f>
        <v>N/A</v>
      </c>
      <c r="M100" s="605" t="str">
        <f>IFERROR(VLOOKUP($I100,'Upper Hot Cell Logistics'!$H$4:$I$9,2,FALSE),"N/A")</f>
        <v>N/A</v>
      </c>
      <c r="N100" s="606" t="str">
        <f t="shared" si="5"/>
        <v>N/A</v>
      </c>
      <c r="O100" s="607" t="s">
        <v>909</v>
      </c>
      <c r="P100" s="608">
        <f>IF($D100="Logistics",VLOOKUP($O100,'Upper Hot Cell Logistics'!$C$4:$D$51,2,FALSE),"N/A")</f>
        <v>1.08</v>
      </c>
    </row>
    <row r="101" spans="1:16" ht="26.6" thickBot="1" x14ac:dyDescent="0.45">
      <c r="A101" s="88"/>
      <c r="B101" s="3994"/>
      <c r="C101" s="609" t="str">
        <f>B94</f>
        <v>Pipe Module 5 &amp; Pipe Lifter Stored &amp; Blanket Transporter collected</v>
      </c>
      <c r="D101" s="609" t="s">
        <v>11</v>
      </c>
      <c r="E101" s="610">
        <f t="shared" si="4"/>
        <v>0</v>
      </c>
      <c r="F101" s="610">
        <f>IF($D101="Trigger",VLOOKUP($C101,'Upper Hot Cell Critical Path'!$C$3:$F$322,4,FALSE),E101+F100)</f>
        <v>150.08513321413946</v>
      </c>
      <c r="G101" s="611"/>
      <c r="H101" s="612" t="str">
        <f>IF(D101="operation",VLOOKUP(G101,'Generic Vertical Port Tasks'!#REF!,2,FALSE),"N/A")</f>
        <v>N/A</v>
      </c>
      <c r="I101" s="609"/>
      <c r="J101" s="609"/>
      <c r="K101" s="609"/>
      <c r="L101" s="613" t="str">
        <f>IFERROR(INDEX('Upper Hot Cell Logistics'!$I$35:$O$41,MATCH($J101,'Upper Hot Cell Logistics'!$H$35:$H$41,0),MATCH($K101,'Upper Hot Cell Logistics'!$H$35:$H$41,0)),"N/A")</f>
        <v>N/A</v>
      </c>
      <c r="M101" s="613" t="str">
        <f>IFERROR(VLOOKUP($I101,'Upper Hot Cell Logistics'!$H$4:$I$9,2,FALSE),"N/A")</f>
        <v>N/A</v>
      </c>
      <c r="N101" s="614" t="str">
        <f t="shared" si="5"/>
        <v>N/A</v>
      </c>
      <c r="O101" s="615"/>
      <c r="P101" s="616" t="str">
        <f>IF($D101="Logistics",VLOOKUP($O101,'Upper Hot Cell Logistics'!$C$4:$D$51,2,FALSE),"N/A")</f>
        <v>N/A</v>
      </c>
    </row>
    <row r="102" spans="1:16" x14ac:dyDescent="0.4">
      <c r="A102" s="88"/>
      <c r="B102" s="3995" t="s">
        <v>959</v>
      </c>
      <c r="C102" s="617" t="str">
        <f>'Upper Hot Cell Critical Path'!C74</f>
        <v>Extract COB Blanket Segment</v>
      </c>
      <c r="D102" s="617" t="s">
        <v>907</v>
      </c>
      <c r="E102" s="567">
        <f t="shared" si="4"/>
        <v>0</v>
      </c>
      <c r="F102" s="567">
        <f>IF($D102="Trigger",VLOOKUP($C102,'Upper Hot Cell Critical Path'!$C$3:$F$322,4,FALSE),E102+F101)</f>
        <v>178.91045591518613</v>
      </c>
      <c r="G102" s="568"/>
      <c r="H102" s="569" t="str">
        <f>IF(D102="operation",VLOOKUP(G102,'Generic Vertical Port Tasks'!#REF!,2,FALSE),"N/A")</f>
        <v>N/A</v>
      </c>
      <c r="I102" s="617"/>
      <c r="J102" s="617"/>
      <c r="K102" s="617"/>
      <c r="L102" s="618" t="str">
        <f>IFERROR(INDEX('Upper Hot Cell Logistics'!$I$35:$O$41,MATCH($J102,'Upper Hot Cell Logistics'!$H$35:$H$41,0),MATCH($K102,'Upper Hot Cell Logistics'!$H$35:$H$41,0)),"N/A")</f>
        <v>N/A</v>
      </c>
      <c r="M102" s="618" t="str">
        <f>IFERROR(VLOOKUP($I102,'Upper Hot Cell Logistics'!$H$4:$I$9,2,FALSE),"N/A")</f>
        <v>N/A</v>
      </c>
      <c r="N102" s="619" t="str">
        <f t="shared" si="5"/>
        <v>N/A</v>
      </c>
      <c r="O102" s="620"/>
      <c r="P102" s="621" t="str">
        <f>IF($D102="Logistics",VLOOKUP($O102,'Upper Hot Cell Logistics'!$C$4:$D$51,2,FALSE),"N/A")</f>
        <v>N/A</v>
      </c>
    </row>
    <row r="103" spans="1:16" x14ac:dyDescent="0.4">
      <c r="A103" s="88"/>
      <c r="B103" s="3996"/>
      <c r="C103" s="572" t="s">
        <v>930</v>
      </c>
      <c r="D103" s="572" t="s">
        <v>778</v>
      </c>
      <c r="E103" s="574">
        <f t="shared" si="4"/>
        <v>0.69444444444444442</v>
      </c>
      <c r="F103" s="574">
        <f>IF($D103="Trigger",VLOOKUP($C103,'Upper Hot Cell Critical Path'!$C$3:$F$322,4,FALSE),E103+F102)</f>
        <v>179.60490035963059</v>
      </c>
      <c r="G103" s="575"/>
      <c r="H103" s="576" t="str">
        <f>IF(D103="operation",VLOOKUP(G103,'Generic Vertical Port Tasks'!#REF!,2,FALSE),"N/A")</f>
        <v>N/A</v>
      </c>
      <c r="I103" s="572" t="s">
        <v>857</v>
      </c>
      <c r="J103" s="572" t="s">
        <v>452</v>
      </c>
      <c r="K103" s="572" t="s">
        <v>831</v>
      </c>
      <c r="L103" s="577">
        <f>IFERROR(INDEX('Upper Hot Cell Logistics'!$I$35:$O$41,MATCH($J103,'Upper Hot Cell Logistics'!$H$35:$H$41,0),MATCH($K103,'Upper Hot Cell Logistics'!$H$35:$H$41,0)),"N/A")</f>
        <v>50</v>
      </c>
      <c r="M103" s="577">
        <f>IFERROR(VLOOKUP($I103,'Upper Hot Cell Logistics'!$H$4:$I$9,2,FALSE),"N/A")</f>
        <v>0.02</v>
      </c>
      <c r="N103" s="578">
        <f t="shared" si="5"/>
        <v>0.69444444444444442</v>
      </c>
      <c r="O103" s="579"/>
      <c r="P103" s="580" t="str">
        <f>IF($D103="Logistics",VLOOKUP($O103,'Upper Hot Cell Logistics'!$C$4:$D$51,2,FALSE),"N/A")</f>
        <v>N/A</v>
      </c>
    </row>
    <row r="104" spans="1:16" x14ac:dyDescent="0.4">
      <c r="A104" s="88"/>
      <c r="B104" s="3996"/>
      <c r="C104" s="572" t="s">
        <v>960</v>
      </c>
      <c r="D104" s="572" t="s">
        <v>3</v>
      </c>
      <c r="E104" s="574">
        <f t="shared" si="4"/>
        <v>0.58000000000000007</v>
      </c>
      <c r="F104" s="574">
        <f>IF($D104="Trigger",VLOOKUP($C104,'Upper Hot Cell Critical Path'!$C$3:$F$322,4,FALSE),E104+F103)</f>
        <v>180.1849003596306</v>
      </c>
      <c r="G104" s="575"/>
      <c r="H104" s="576" t="str">
        <f>IF(D104="operation",VLOOKUP(G104,'Generic Vertical Port Tasks'!#REF!,2,FALSE),"N/A")</f>
        <v>N/A</v>
      </c>
      <c r="I104" s="572"/>
      <c r="J104" s="572"/>
      <c r="K104" s="572"/>
      <c r="L104" s="577" t="str">
        <f>IFERROR(INDEX('Upper Hot Cell Logistics'!$I$35:$O$41,MATCH($J104,'Upper Hot Cell Logistics'!$H$35:$H$41,0),MATCH($K104,'Upper Hot Cell Logistics'!$H$35:$H$41,0)),"N/A")</f>
        <v>N/A</v>
      </c>
      <c r="M104" s="577" t="str">
        <f>IFERROR(VLOOKUP($I104,'Upper Hot Cell Logistics'!$H$4:$I$9,2,FALSE),"N/A")</f>
        <v>N/A</v>
      </c>
      <c r="N104" s="578" t="str">
        <f t="shared" si="5"/>
        <v>N/A</v>
      </c>
      <c r="O104" s="579" t="s">
        <v>904</v>
      </c>
      <c r="P104" s="580">
        <f>IF($D104="Logistics",VLOOKUP($O104,'Upper Hot Cell Logistics'!$C$4:$D$51,2,FALSE),"N/A")</f>
        <v>0.58000000000000007</v>
      </c>
    </row>
    <row r="105" spans="1:16" ht="15" thickBot="1" x14ac:dyDescent="0.45">
      <c r="A105" s="88"/>
      <c r="B105" s="3997"/>
      <c r="C105" s="583" t="str">
        <f>B102</f>
        <v>COB Blanket Segment Stored</v>
      </c>
      <c r="D105" s="583" t="s">
        <v>11</v>
      </c>
      <c r="E105" s="585">
        <f t="shared" si="4"/>
        <v>0</v>
      </c>
      <c r="F105" s="585">
        <f>IF($D105="Trigger",VLOOKUP($C105,'Upper Hot Cell Critical Path'!$C$3:$F$322,4,FALSE),E105+F104)</f>
        <v>180.1849003596306</v>
      </c>
      <c r="G105" s="586"/>
      <c r="H105" s="587" t="str">
        <f>IF(D105="operation",VLOOKUP(G105,'Generic Vertical Port Tasks'!#REF!,2,FALSE),"N/A")</f>
        <v>N/A</v>
      </c>
      <c r="I105" s="583"/>
      <c r="J105" s="583"/>
      <c r="K105" s="583"/>
      <c r="L105" s="588" t="str">
        <f>IFERROR(INDEX('Upper Hot Cell Logistics'!$I$35:$O$41,MATCH($J105,'Upper Hot Cell Logistics'!$H$35:$H$41,0),MATCH($K105,'Upper Hot Cell Logistics'!$H$35:$H$41,0)),"N/A")</f>
        <v>N/A</v>
      </c>
      <c r="M105" s="588" t="str">
        <f>IFERROR(VLOOKUP($I105,'Upper Hot Cell Logistics'!$H$4:$I$9,2,FALSE),"N/A")</f>
        <v>N/A</v>
      </c>
      <c r="N105" s="589" t="str">
        <f t="shared" si="5"/>
        <v>N/A</v>
      </c>
      <c r="O105" s="590"/>
      <c r="P105" s="591" t="str">
        <f>IF($D105="Logistics",VLOOKUP($O105,'Upper Hot Cell Logistics'!$C$4:$D$51,2,FALSE),"N/A")</f>
        <v>N/A</v>
      </c>
    </row>
    <row r="106" spans="1:16" x14ac:dyDescent="0.4">
      <c r="A106" s="88"/>
      <c r="B106" s="3992" t="s">
        <v>961</v>
      </c>
      <c r="C106" s="596" t="str">
        <f>'Upper Hot Cell Critical Path'!C76</f>
        <v>Extract LOB Blanket Segment</v>
      </c>
      <c r="D106" s="596" t="s">
        <v>907</v>
      </c>
      <c r="E106" s="593">
        <f t="shared" si="4"/>
        <v>0</v>
      </c>
      <c r="F106" s="593">
        <f>IF($D106="Trigger",VLOOKUP($C106,'Upper Hot Cell Critical Path'!$C$3:$F$322,4,FALSE),E106+F105)</f>
        <v>189.0004757110994</v>
      </c>
      <c r="G106" s="594"/>
      <c r="H106" s="595" t="str">
        <f>IF(D106="operation",VLOOKUP(G106,'Generic Vertical Port Tasks'!#REF!,2,FALSE),"N/A")</f>
        <v>N/A</v>
      </c>
      <c r="I106" s="596"/>
      <c r="J106" s="596"/>
      <c r="K106" s="596"/>
      <c r="L106" s="597" t="str">
        <f>IFERROR(INDEX('Upper Hot Cell Logistics'!$I$35:$O$41,MATCH($J106,'Upper Hot Cell Logistics'!$H$35:$H$41,0),MATCH($K106,'Upper Hot Cell Logistics'!$H$35:$H$41,0)),"N/A")</f>
        <v>N/A</v>
      </c>
      <c r="M106" s="597" t="str">
        <f>IFERROR(VLOOKUP($I106,'Upper Hot Cell Logistics'!$H$4:$I$9,2,FALSE),"N/A")</f>
        <v>N/A</v>
      </c>
      <c r="N106" s="598" t="str">
        <f t="shared" si="5"/>
        <v>N/A</v>
      </c>
      <c r="O106" s="599"/>
      <c r="P106" s="600" t="str">
        <f>IF($D106="Logistics",VLOOKUP($O106,'Upper Hot Cell Logistics'!$C$4:$D$51,2,FALSE),"N/A")</f>
        <v>N/A</v>
      </c>
    </row>
    <row r="107" spans="1:16" x14ac:dyDescent="0.4">
      <c r="A107" s="88"/>
      <c r="B107" s="3993"/>
      <c r="C107" s="601" t="s">
        <v>926</v>
      </c>
      <c r="D107" s="601" t="s">
        <v>778</v>
      </c>
      <c r="E107" s="602">
        <f t="shared" si="4"/>
        <v>0.69444444444444442</v>
      </c>
      <c r="F107" s="602">
        <f>IF($D107="Trigger",VLOOKUP($C107,'Upper Hot Cell Critical Path'!$C$3:$F$322,4,FALSE),E107+F106)</f>
        <v>189.69492015554385</v>
      </c>
      <c r="G107" s="603"/>
      <c r="H107" s="604" t="str">
        <f>IF(D107="operation",VLOOKUP(G107,'Generic Vertical Port Tasks'!#REF!,2,FALSE),"N/A")</f>
        <v>N/A</v>
      </c>
      <c r="I107" s="601" t="s">
        <v>857</v>
      </c>
      <c r="J107" s="601" t="s">
        <v>452</v>
      </c>
      <c r="K107" s="601" t="s">
        <v>831</v>
      </c>
      <c r="L107" s="605">
        <f>IFERROR(INDEX('Upper Hot Cell Logistics'!$I$35:$O$41,MATCH($J107,'Upper Hot Cell Logistics'!$H$35:$H$41,0),MATCH($K107,'Upper Hot Cell Logistics'!$H$35:$H$41,0)),"N/A")</f>
        <v>50</v>
      </c>
      <c r="M107" s="605">
        <f>IFERROR(VLOOKUP($I107,'Upper Hot Cell Logistics'!$H$4:$I$9,2,FALSE),"N/A")</f>
        <v>0.02</v>
      </c>
      <c r="N107" s="606">
        <f t="shared" si="5"/>
        <v>0.69444444444444442</v>
      </c>
      <c r="O107" s="607"/>
      <c r="P107" s="608" t="str">
        <f>IF($D107="Logistics",VLOOKUP($O107,'Upper Hot Cell Logistics'!$C$4:$D$51,2,FALSE),"N/A")</f>
        <v>N/A</v>
      </c>
    </row>
    <row r="108" spans="1:16" x14ac:dyDescent="0.4">
      <c r="A108" s="88"/>
      <c r="B108" s="3993"/>
      <c r="C108" s="601" t="s">
        <v>960</v>
      </c>
      <c r="D108" s="601" t="s">
        <v>3</v>
      </c>
      <c r="E108" s="602">
        <f t="shared" si="4"/>
        <v>0.58000000000000007</v>
      </c>
      <c r="F108" s="602">
        <f>IF($D108="Trigger",VLOOKUP($C108,'Upper Hot Cell Critical Path'!$C$3:$F$322,4,FALSE),E108+F107)</f>
        <v>190.27492015554387</v>
      </c>
      <c r="G108" s="603"/>
      <c r="H108" s="604" t="str">
        <f>IF(D108="operation",VLOOKUP(G108,'Generic Vertical Port Tasks'!#REF!,2,FALSE),"N/A")</f>
        <v>N/A</v>
      </c>
      <c r="I108" s="601"/>
      <c r="J108" s="601"/>
      <c r="K108" s="601"/>
      <c r="L108" s="605" t="str">
        <f>IFERROR(INDEX('Upper Hot Cell Logistics'!$I$35:$O$41,MATCH($J108,'Upper Hot Cell Logistics'!$H$35:$H$41,0),MATCH($K108,'Upper Hot Cell Logistics'!$H$35:$H$41,0)),"N/A")</f>
        <v>N/A</v>
      </c>
      <c r="M108" s="605" t="str">
        <f>IFERROR(VLOOKUP($I108,'Upper Hot Cell Logistics'!$H$4:$I$9,2,FALSE),"N/A")</f>
        <v>N/A</v>
      </c>
      <c r="N108" s="606" t="str">
        <f t="shared" si="5"/>
        <v>N/A</v>
      </c>
      <c r="O108" s="607" t="s">
        <v>904</v>
      </c>
      <c r="P108" s="608">
        <f>IF($D108="Logistics",VLOOKUP($O108,'Upper Hot Cell Logistics'!$C$4:$D$51,2,FALSE),"N/A")</f>
        <v>0.58000000000000007</v>
      </c>
    </row>
    <row r="109" spans="1:16" ht="15" thickBot="1" x14ac:dyDescent="0.45">
      <c r="A109" s="88"/>
      <c r="B109" s="3994"/>
      <c r="C109" s="609" t="str">
        <f>B106</f>
        <v>LOB Blanket Segment Stored</v>
      </c>
      <c r="D109" s="609" t="s">
        <v>11</v>
      </c>
      <c r="E109" s="610">
        <f t="shared" si="4"/>
        <v>0</v>
      </c>
      <c r="F109" s="610">
        <f>IF($D109="Trigger",VLOOKUP($C109,'Upper Hot Cell Critical Path'!$C$3:$F$322,4,FALSE),E109+F108)</f>
        <v>190.27492015554387</v>
      </c>
      <c r="G109" s="611"/>
      <c r="H109" s="612" t="str">
        <f>IF(D109="operation",VLOOKUP(G109,'Generic Vertical Port Tasks'!#REF!,2,FALSE),"N/A")</f>
        <v>N/A</v>
      </c>
      <c r="I109" s="609"/>
      <c r="J109" s="609"/>
      <c r="K109" s="609"/>
      <c r="L109" s="613" t="str">
        <f>IFERROR(INDEX('Upper Hot Cell Logistics'!$I$35:$O$41,MATCH($J109,'Upper Hot Cell Logistics'!$H$35:$H$41,0),MATCH($K109,'Upper Hot Cell Logistics'!$H$35:$H$41,0)),"N/A")</f>
        <v>N/A</v>
      </c>
      <c r="M109" s="613" t="str">
        <f>IFERROR(VLOOKUP($I109,'Upper Hot Cell Logistics'!$H$4:$I$9,2,FALSE),"N/A")</f>
        <v>N/A</v>
      </c>
      <c r="N109" s="614" t="str">
        <f t="shared" si="5"/>
        <v>N/A</v>
      </c>
      <c r="O109" s="615"/>
      <c r="P109" s="616" t="str">
        <f>IF($D109="Logistics",VLOOKUP($O109,'Upper Hot Cell Logistics'!$C$4:$D$51,2,FALSE),"N/A")</f>
        <v>N/A</v>
      </c>
    </row>
    <row r="110" spans="1:16" x14ac:dyDescent="0.4">
      <c r="A110" s="88"/>
      <c r="B110" s="3995" t="s">
        <v>962</v>
      </c>
      <c r="C110" s="617" t="str">
        <f>'Upper Hot Cell Critical Path'!C78</f>
        <v>Extract ROB Blanket Segment</v>
      </c>
      <c r="D110" s="617" t="s">
        <v>907</v>
      </c>
      <c r="E110" s="567">
        <f t="shared" si="4"/>
        <v>0</v>
      </c>
      <c r="F110" s="567">
        <f>IF($D110="Trigger",VLOOKUP($C110,'Upper Hot Cell Critical Path'!$C$3:$F$322,4,FALSE),E110+F109)</f>
        <v>194.80992015554386</v>
      </c>
      <c r="G110" s="568"/>
      <c r="H110" s="569" t="str">
        <f>IF(D110="operation",VLOOKUP(G110,'Generic Vertical Port Tasks'!#REF!,2,FALSE),"N/A")</f>
        <v>N/A</v>
      </c>
      <c r="I110" s="617"/>
      <c r="J110" s="617"/>
      <c r="K110" s="617"/>
      <c r="L110" s="618" t="str">
        <f>IFERROR(INDEX('Upper Hot Cell Logistics'!$I$35:$O$41,MATCH($J110,'Upper Hot Cell Logistics'!$H$35:$H$41,0),MATCH($K110,'Upper Hot Cell Logistics'!$H$35:$H$41,0)),"N/A")</f>
        <v>N/A</v>
      </c>
      <c r="M110" s="618" t="str">
        <f>IFERROR(VLOOKUP($I110,'Upper Hot Cell Logistics'!$H$4:$I$9,2,FALSE),"N/A")</f>
        <v>N/A</v>
      </c>
      <c r="N110" s="619" t="str">
        <f t="shared" si="5"/>
        <v>N/A</v>
      </c>
      <c r="O110" s="620"/>
      <c r="P110" s="621" t="str">
        <f>IF($D110="Logistics",VLOOKUP($O110,'Upper Hot Cell Logistics'!$C$4:$D$51,2,FALSE),"N/A")</f>
        <v>N/A</v>
      </c>
    </row>
    <row r="111" spans="1:16" x14ac:dyDescent="0.4">
      <c r="A111" s="88"/>
      <c r="B111" s="3996"/>
      <c r="C111" s="572" t="s">
        <v>930</v>
      </c>
      <c r="D111" s="572" t="s">
        <v>778</v>
      </c>
      <c r="E111" s="574">
        <f t="shared" si="4"/>
        <v>0.69444444444444442</v>
      </c>
      <c r="F111" s="574">
        <f>IF($D111="Trigger",VLOOKUP($C111,'Upper Hot Cell Critical Path'!$C$3:$F$322,4,FALSE),E111+F110)</f>
        <v>195.50436459998832</v>
      </c>
      <c r="G111" s="575"/>
      <c r="H111" s="576" t="str">
        <f>IF(D111="operation",VLOOKUP(G111,'Generic Vertical Port Tasks'!#REF!,2,FALSE),"N/A")</f>
        <v>N/A</v>
      </c>
      <c r="I111" s="572" t="s">
        <v>857</v>
      </c>
      <c r="J111" s="572" t="s">
        <v>452</v>
      </c>
      <c r="K111" s="572" t="s">
        <v>831</v>
      </c>
      <c r="L111" s="577">
        <f>IFERROR(INDEX('Upper Hot Cell Logistics'!$I$35:$O$41,MATCH($J111,'Upper Hot Cell Logistics'!$H$35:$H$41,0),MATCH($K111,'Upper Hot Cell Logistics'!$H$35:$H$41,0)),"N/A")</f>
        <v>50</v>
      </c>
      <c r="M111" s="577">
        <f>IFERROR(VLOOKUP($I111,'Upper Hot Cell Logistics'!$H$4:$I$9,2,FALSE),"N/A")</f>
        <v>0.02</v>
      </c>
      <c r="N111" s="578">
        <f t="shared" si="5"/>
        <v>0.69444444444444442</v>
      </c>
      <c r="O111" s="579"/>
      <c r="P111" s="580" t="str">
        <f>IF($D111="Logistics",VLOOKUP($O111,'Upper Hot Cell Logistics'!$C$4:$D$51,2,FALSE),"N/A")</f>
        <v>N/A</v>
      </c>
    </row>
    <row r="112" spans="1:16" x14ac:dyDescent="0.4">
      <c r="A112" s="88"/>
      <c r="B112" s="3996"/>
      <c r="C112" s="572" t="s">
        <v>960</v>
      </c>
      <c r="D112" s="572" t="s">
        <v>3</v>
      </c>
      <c r="E112" s="574">
        <f t="shared" si="4"/>
        <v>0.58000000000000007</v>
      </c>
      <c r="F112" s="574">
        <f>IF($D112="Trigger",VLOOKUP($C112,'Upper Hot Cell Critical Path'!$C$3:$F$322,4,FALSE),E112+F111)</f>
        <v>196.08436459998833</v>
      </c>
      <c r="G112" s="575"/>
      <c r="H112" s="576" t="str">
        <f>IF(D112="operation",VLOOKUP(G112,'Generic Vertical Port Tasks'!#REF!,2,FALSE),"N/A")</f>
        <v>N/A</v>
      </c>
      <c r="I112" s="572"/>
      <c r="J112" s="572"/>
      <c r="K112" s="572"/>
      <c r="L112" s="577" t="str">
        <f>IFERROR(INDEX('Upper Hot Cell Logistics'!$I$35:$O$41,MATCH($J112,'Upper Hot Cell Logistics'!$H$35:$H$41,0),MATCH($K112,'Upper Hot Cell Logistics'!$H$35:$H$41,0)),"N/A")</f>
        <v>N/A</v>
      </c>
      <c r="M112" s="577" t="str">
        <f>IFERROR(VLOOKUP($I112,'Upper Hot Cell Logistics'!$H$4:$I$9,2,FALSE),"N/A")</f>
        <v>N/A</v>
      </c>
      <c r="N112" s="578" t="str">
        <f t="shared" si="5"/>
        <v>N/A</v>
      </c>
      <c r="O112" s="579" t="s">
        <v>904</v>
      </c>
      <c r="P112" s="580">
        <f>IF($D112="Logistics",VLOOKUP($O112,'Upper Hot Cell Logistics'!$C$4:$D$51,2,FALSE),"N/A")</f>
        <v>0.58000000000000007</v>
      </c>
    </row>
    <row r="113" spans="1:19" ht="15" thickBot="1" x14ac:dyDescent="0.45">
      <c r="A113" s="88"/>
      <c r="B113" s="3997"/>
      <c r="C113" s="583" t="str">
        <f>B110</f>
        <v>ROB Blanket Segment Stored</v>
      </c>
      <c r="D113" s="583" t="s">
        <v>11</v>
      </c>
      <c r="E113" s="585">
        <f t="shared" si="4"/>
        <v>0</v>
      </c>
      <c r="F113" s="585">
        <f>IF($D113="Trigger",VLOOKUP($C113,'Upper Hot Cell Critical Path'!$C$3:$F$322,4,FALSE),E113+F112)</f>
        <v>196.08436459998833</v>
      </c>
      <c r="G113" s="586"/>
      <c r="H113" s="587" t="str">
        <f>IF(D113="operation",VLOOKUP(G113,'Generic Vertical Port Tasks'!#REF!,2,FALSE),"N/A")</f>
        <v>N/A</v>
      </c>
      <c r="I113" s="583"/>
      <c r="J113" s="583"/>
      <c r="K113" s="583"/>
      <c r="L113" s="588" t="str">
        <f>IFERROR(INDEX('Upper Hot Cell Logistics'!$I$35:$O$41,MATCH($J113,'Upper Hot Cell Logistics'!$H$35:$H$41,0),MATCH($K113,'Upper Hot Cell Logistics'!$H$35:$H$41,0)),"N/A")</f>
        <v>N/A</v>
      </c>
      <c r="M113" s="588" t="str">
        <f>IFERROR(VLOOKUP($I113,'Upper Hot Cell Logistics'!$H$4:$I$9,2,FALSE),"N/A")</f>
        <v>N/A</v>
      </c>
      <c r="N113" s="589" t="str">
        <f t="shared" si="5"/>
        <v>N/A</v>
      </c>
      <c r="O113" s="590"/>
      <c r="P113" s="591" t="str">
        <f>IF($D113="Logistics",VLOOKUP($O113,'Upper Hot Cell Logistics'!$C$4:$D$51,2,FALSE),"N/A")</f>
        <v>N/A</v>
      </c>
    </row>
    <row r="114" spans="1:19" x14ac:dyDescent="0.4">
      <c r="A114" s="88"/>
      <c r="B114" s="3992" t="s">
        <v>963</v>
      </c>
      <c r="C114" s="596" t="str">
        <f>'Upper Hot Cell Critical Path'!C80</f>
        <v>Extract LIB Blanket Segment</v>
      </c>
      <c r="D114" s="596" t="s">
        <v>907</v>
      </c>
      <c r="E114" s="593">
        <f t="shared" si="4"/>
        <v>0</v>
      </c>
      <c r="F114" s="593">
        <f>IF($D114="Trigger",VLOOKUP($C114,'Upper Hot Cell Critical Path'!$C$3:$F$322,4,FALSE),E114+F113)</f>
        <v>200.61936459998833</v>
      </c>
      <c r="G114" s="594"/>
      <c r="H114" s="595" t="str">
        <f>IF(D114="operation",VLOOKUP(G114,'Generic Vertical Port Tasks'!#REF!,2,FALSE),"N/A")</f>
        <v>N/A</v>
      </c>
      <c r="I114" s="596"/>
      <c r="J114" s="596"/>
      <c r="K114" s="596"/>
      <c r="L114" s="597" t="str">
        <f>IFERROR(INDEX('Upper Hot Cell Logistics'!$I$35:$O$41,MATCH($J114,'Upper Hot Cell Logistics'!$H$35:$H$41,0),MATCH($K114,'Upper Hot Cell Logistics'!$H$35:$H$41,0)),"N/A")</f>
        <v>N/A</v>
      </c>
      <c r="M114" s="597" t="str">
        <f>IFERROR(VLOOKUP($I114,'Upper Hot Cell Logistics'!$H$4:$I$9,2,FALSE),"N/A")</f>
        <v>N/A</v>
      </c>
      <c r="N114" s="598" t="str">
        <f t="shared" si="5"/>
        <v>N/A</v>
      </c>
      <c r="O114" s="599"/>
      <c r="P114" s="600" t="str">
        <f>IF($D114="Logistics",VLOOKUP($O114,'Upper Hot Cell Logistics'!$C$4:$D$51,2,FALSE),"N/A")</f>
        <v>N/A</v>
      </c>
      <c r="Q114" s="88"/>
    </row>
    <row r="115" spans="1:19" x14ac:dyDescent="0.4">
      <c r="B115" s="3993"/>
      <c r="C115" s="601" t="s">
        <v>930</v>
      </c>
      <c r="D115" s="601" t="s">
        <v>778</v>
      </c>
      <c r="E115" s="602">
        <f t="shared" si="4"/>
        <v>0.69444444444444442</v>
      </c>
      <c r="F115" s="602">
        <f>IF($D115="Trigger",VLOOKUP($C115,'Upper Hot Cell Critical Path'!$C$3:$F$322,4,FALSE),E115+F114)</f>
        <v>201.31380904443279</v>
      </c>
      <c r="G115" s="603"/>
      <c r="H115" s="604" t="str">
        <f>IF(D115="operation",VLOOKUP(G115,'Generic Vertical Port Tasks'!#REF!,2,FALSE),"N/A")</f>
        <v>N/A</v>
      </c>
      <c r="I115" s="601" t="s">
        <v>857</v>
      </c>
      <c r="J115" s="601" t="s">
        <v>452</v>
      </c>
      <c r="K115" s="601" t="s">
        <v>831</v>
      </c>
      <c r="L115" s="605">
        <f>IFERROR(INDEX('Upper Hot Cell Logistics'!$I$35:$O$41,MATCH($J115,'Upper Hot Cell Logistics'!$H$35:$H$41,0),MATCH($K115,'Upper Hot Cell Logistics'!$H$35:$H$41,0)),"N/A")</f>
        <v>50</v>
      </c>
      <c r="M115" s="605">
        <f>IFERROR(VLOOKUP($I115,'Upper Hot Cell Logistics'!$H$4:$I$9,2,FALSE),"N/A")</f>
        <v>0.02</v>
      </c>
      <c r="N115" s="606">
        <f t="shared" si="5"/>
        <v>0.69444444444444442</v>
      </c>
      <c r="O115" s="607"/>
      <c r="P115" s="608" t="str">
        <f>IF($D115="Logistics",VLOOKUP($O115,'Upper Hot Cell Logistics'!$C$4:$D$51,2,FALSE),"N/A")</f>
        <v>N/A</v>
      </c>
    </row>
    <row r="116" spans="1:19" x14ac:dyDescent="0.4">
      <c r="B116" s="3993"/>
      <c r="C116" s="601" t="s">
        <v>960</v>
      </c>
      <c r="D116" s="601" t="s">
        <v>3</v>
      </c>
      <c r="E116" s="602">
        <f t="shared" si="4"/>
        <v>0.58000000000000007</v>
      </c>
      <c r="F116" s="602">
        <f>IF($D116="Trigger",VLOOKUP($C116,'Upper Hot Cell Critical Path'!$C$3:$F$322,4,FALSE),E116+F115)</f>
        <v>201.8938090444328</v>
      </c>
      <c r="G116" s="603"/>
      <c r="H116" s="604" t="str">
        <f>IF(D116="operation",VLOOKUP(G116,'Generic Vertical Port Tasks'!#REF!,2,FALSE),"N/A")</f>
        <v>N/A</v>
      </c>
      <c r="I116" s="601"/>
      <c r="J116" s="601"/>
      <c r="K116" s="601"/>
      <c r="L116" s="605" t="str">
        <f>IFERROR(INDEX('Upper Hot Cell Logistics'!$I$35:$O$41,MATCH($J116,'Upper Hot Cell Logistics'!$H$35:$H$41,0),MATCH($K116,'Upper Hot Cell Logistics'!$H$35:$H$41,0)),"N/A")</f>
        <v>N/A</v>
      </c>
      <c r="M116" s="605" t="str">
        <f>IFERROR(VLOOKUP($I116,'Upper Hot Cell Logistics'!$H$4:$I$9,2,FALSE),"N/A")</f>
        <v>N/A</v>
      </c>
      <c r="N116" s="606" t="str">
        <f t="shared" si="5"/>
        <v>N/A</v>
      </c>
      <c r="O116" s="607" t="s">
        <v>904</v>
      </c>
      <c r="P116" s="608">
        <f>IF($D116="Logistics",VLOOKUP($O116,'Upper Hot Cell Logistics'!$C$4:$D$51,2,FALSE),"N/A")</f>
        <v>0.58000000000000007</v>
      </c>
    </row>
    <row r="117" spans="1:19" ht="15" thickBot="1" x14ac:dyDescent="0.45">
      <c r="B117" s="3994"/>
      <c r="C117" s="609" t="str">
        <f>B114</f>
        <v>LIB Blanket Segment Stored</v>
      </c>
      <c r="D117" s="609" t="s">
        <v>11</v>
      </c>
      <c r="E117" s="610">
        <f t="shared" si="4"/>
        <v>0</v>
      </c>
      <c r="F117" s="610">
        <f>IF($D117="Trigger",VLOOKUP($C117,'Upper Hot Cell Critical Path'!$C$3:$F$322,4,FALSE),E117+F116)</f>
        <v>201.8938090444328</v>
      </c>
      <c r="G117" s="611"/>
      <c r="H117" s="612" t="str">
        <f>IF(D117="operation",VLOOKUP(G117,'Generic Vertical Port Tasks'!#REF!,2,FALSE),"N/A")</f>
        <v>N/A</v>
      </c>
      <c r="I117" s="609"/>
      <c r="J117" s="609"/>
      <c r="K117" s="609"/>
      <c r="L117" s="613" t="str">
        <f>IFERROR(INDEX('Upper Hot Cell Logistics'!$I$35:$O$41,MATCH($J117,'Upper Hot Cell Logistics'!$H$35:$H$41,0),MATCH($K117,'Upper Hot Cell Logistics'!$H$35:$H$41,0)),"N/A")</f>
        <v>N/A</v>
      </c>
      <c r="M117" s="613" t="str">
        <f>IFERROR(VLOOKUP($I117,'Upper Hot Cell Logistics'!$H$4:$I$9,2,FALSE),"N/A")</f>
        <v>N/A</v>
      </c>
      <c r="N117" s="614" t="str">
        <f t="shared" si="5"/>
        <v>N/A</v>
      </c>
      <c r="O117" s="615"/>
      <c r="P117" s="616" t="str">
        <f>IF($D117="Logistics",VLOOKUP($O117,'Upper Hot Cell Logistics'!$C$4:$D$51,2,FALSE),"N/A")</f>
        <v>N/A</v>
      </c>
    </row>
    <row r="118" spans="1:19" x14ac:dyDescent="0.4">
      <c r="B118" s="3995" t="s">
        <v>964</v>
      </c>
      <c r="C118" s="617" t="str">
        <f>'Upper Hot Cell Critical Path'!C82</f>
        <v>Extract RIB Blanket Segment</v>
      </c>
      <c r="D118" s="617" t="s">
        <v>907</v>
      </c>
      <c r="E118" s="567">
        <f t="shared" si="4"/>
        <v>0</v>
      </c>
      <c r="F118" s="567">
        <f>IF($D118="Trigger",VLOOKUP($C118,'Upper Hot Cell Critical Path'!$C$3:$F$322,4,FALSE),E118+F117)</f>
        <v>206.4288090444328</v>
      </c>
      <c r="G118" s="568"/>
      <c r="H118" s="569" t="str">
        <f>IF(D118="operation",VLOOKUP(G118,'Generic Vertical Port Tasks'!#REF!,2,FALSE),"N/A")</f>
        <v>N/A</v>
      </c>
      <c r="I118" s="617"/>
      <c r="J118" s="617"/>
      <c r="K118" s="617"/>
      <c r="L118" s="618" t="str">
        <f>IFERROR(INDEX('Upper Hot Cell Logistics'!$I$35:$O$41,MATCH($J118,'Upper Hot Cell Logistics'!$H$35:$H$41,0),MATCH($K118,'Upper Hot Cell Logistics'!$H$35:$H$41,0)),"N/A")</f>
        <v>N/A</v>
      </c>
      <c r="M118" s="618" t="str">
        <f>IFERROR(VLOOKUP($I118,'Upper Hot Cell Logistics'!$H$4:$I$9,2,FALSE),"N/A")</f>
        <v>N/A</v>
      </c>
      <c r="N118" s="619" t="str">
        <f t="shared" si="5"/>
        <v>N/A</v>
      </c>
      <c r="O118" s="620"/>
      <c r="P118" s="621" t="str">
        <f>IF($D118="Logistics",VLOOKUP($O118,'Upper Hot Cell Logistics'!$C$4:$D$51,2,FALSE),"N/A")</f>
        <v>N/A</v>
      </c>
      <c r="Q118" s="90"/>
      <c r="R118" s="5"/>
      <c r="S118" s="5"/>
    </row>
    <row r="119" spans="1:19" x14ac:dyDescent="0.4">
      <c r="B119" s="3996"/>
      <c r="C119" s="572" t="s">
        <v>930</v>
      </c>
      <c r="D119" s="572" t="s">
        <v>778</v>
      </c>
      <c r="E119" s="574">
        <f t="shared" si="4"/>
        <v>0.69444444444444442</v>
      </c>
      <c r="F119" s="574">
        <f>IF($D119="Trigger",VLOOKUP($C119,'Upper Hot Cell Critical Path'!$C$3:$F$322,4,FALSE),E119+F118)</f>
        <v>207.12325348887725</v>
      </c>
      <c r="G119" s="575"/>
      <c r="H119" s="576" t="str">
        <f>IF(D119="operation",VLOOKUP(G119,'Generic Vertical Port Tasks'!#REF!,2,FALSE),"N/A")</f>
        <v>N/A</v>
      </c>
      <c r="I119" s="572" t="s">
        <v>857</v>
      </c>
      <c r="J119" s="572" t="s">
        <v>452</v>
      </c>
      <c r="K119" s="572" t="s">
        <v>831</v>
      </c>
      <c r="L119" s="577">
        <f>IFERROR(INDEX('Upper Hot Cell Logistics'!$I$35:$O$41,MATCH($J119,'Upper Hot Cell Logistics'!$H$35:$H$41,0),MATCH($K119,'Upper Hot Cell Logistics'!$H$35:$H$41,0)),"N/A")</f>
        <v>50</v>
      </c>
      <c r="M119" s="577">
        <f>IFERROR(VLOOKUP($I119,'Upper Hot Cell Logistics'!$H$4:$I$9,2,FALSE),"N/A")</f>
        <v>0.02</v>
      </c>
      <c r="N119" s="578">
        <f t="shared" si="5"/>
        <v>0.69444444444444442</v>
      </c>
      <c r="O119" s="579"/>
      <c r="P119" s="580" t="str">
        <f>IF($D119="Logistics",VLOOKUP($O119,'Upper Hot Cell Logistics'!$C$4:$D$51,2,FALSE),"N/A")</f>
        <v>N/A</v>
      </c>
      <c r="Q119" s="90"/>
      <c r="R119" s="5"/>
      <c r="S119" s="5"/>
    </row>
    <row r="120" spans="1:19" x14ac:dyDescent="0.4">
      <c r="B120" s="3996"/>
      <c r="C120" s="572" t="s">
        <v>960</v>
      </c>
      <c r="D120" s="572" t="s">
        <v>3</v>
      </c>
      <c r="E120" s="574">
        <f t="shared" si="4"/>
        <v>0.58000000000000007</v>
      </c>
      <c r="F120" s="574">
        <f>IF($D120="Trigger",VLOOKUP($C120,'Upper Hot Cell Critical Path'!$C$3:$F$322,4,FALSE),E120+F119)</f>
        <v>207.70325348887727</v>
      </c>
      <c r="G120" s="575"/>
      <c r="H120" s="576" t="str">
        <f>IF(D120="operation",VLOOKUP(G120,'Generic Vertical Port Tasks'!#REF!,2,FALSE),"N/A")</f>
        <v>N/A</v>
      </c>
      <c r="I120" s="572"/>
      <c r="J120" s="572"/>
      <c r="K120" s="572"/>
      <c r="L120" s="577" t="str">
        <f>IFERROR(INDEX('Upper Hot Cell Logistics'!$I$35:$O$41,MATCH($J120,'Upper Hot Cell Logistics'!$H$35:$H$41,0),MATCH($K120,'Upper Hot Cell Logistics'!$H$35:$H$41,0)),"N/A")</f>
        <v>N/A</v>
      </c>
      <c r="M120" s="577" t="str">
        <f>IFERROR(VLOOKUP($I120,'Upper Hot Cell Logistics'!$H$4:$I$9,2,FALSE),"N/A")</f>
        <v>N/A</v>
      </c>
      <c r="N120" s="578" t="str">
        <f t="shared" si="5"/>
        <v>N/A</v>
      </c>
      <c r="O120" s="579" t="s">
        <v>904</v>
      </c>
      <c r="P120" s="580">
        <f>IF($D120="Logistics",VLOOKUP($O120,'Upper Hot Cell Logistics'!$C$4:$D$51,2,FALSE),"N/A")</f>
        <v>0.58000000000000007</v>
      </c>
      <c r="Q120" s="90"/>
      <c r="R120" s="5"/>
      <c r="S120" s="5"/>
    </row>
    <row r="121" spans="1:19" ht="15" thickBot="1" x14ac:dyDescent="0.45">
      <c r="B121" s="4045"/>
      <c r="C121" s="581" t="str">
        <f>B118</f>
        <v>RIB Blanket Segment Stored</v>
      </c>
      <c r="D121" s="581" t="s">
        <v>11</v>
      </c>
      <c r="E121" s="626">
        <f t="shared" si="4"/>
        <v>0</v>
      </c>
      <c r="F121" s="626">
        <f>IF($D121="Trigger",VLOOKUP($C121,'Upper Hot Cell Critical Path'!$C$3:$F$322,4,FALSE),E121+F120)</f>
        <v>207.70325348887727</v>
      </c>
      <c r="G121" s="627"/>
      <c r="H121" s="628" t="str">
        <f>IF(D121="operation",VLOOKUP(G121,'Generic Vertical Port Tasks'!#REF!,2,FALSE),"N/A")</f>
        <v>N/A</v>
      </c>
      <c r="I121" s="581"/>
      <c r="J121" s="581"/>
      <c r="K121" s="581"/>
      <c r="L121" s="629" t="str">
        <f>IFERROR(INDEX('Upper Hot Cell Logistics'!$I$35:$O$41,MATCH($J121,'Upper Hot Cell Logistics'!$H$35:$H$41,0),MATCH($K121,'Upper Hot Cell Logistics'!$H$35:$H$41,0)),"N/A")</f>
        <v>N/A</v>
      </c>
      <c r="M121" s="629" t="str">
        <f>IFERROR(VLOOKUP($I121,'Upper Hot Cell Logistics'!$H$4:$I$9,2,FALSE),"N/A")</f>
        <v>N/A</v>
      </c>
      <c r="N121" s="630" t="str">
        <f t="shared" si="5"/>
        <v>N/A</v>
      </c>
      <c r="O121" s="631"/>
      <c r="P121" s="632" t="str">
        <f>IF($D121="Logistics",VLOOKUP($O121,'Upper Hot Cell Logistics'!$C$4:$D$51,2,FALSE),"N/A")</f>
        <v>N/A</v>
      </c>
      <c r="Q121" s="90"/>
      <c r="R121" s="5"/>
      <c r="S121" s="5"/>
    </row>
    <row r="122" spans="1:19" x14ac:dyDescent="0.4">
      <c r="B122" s="3817" t="s">
        <v>965</v>
      </c>
      <c r="C122" s="520"/>
      <c r="D122" s="520"/>
      <c r="E122" s="520"/>
      <c r="F122" s="521"/>
      <c r="G122" s="523"/>
      <c r="H122" s="523"/>
      <c r="I122" s="523"/>
      <c r="J122" s="523"/>
      <c r="K122" s="523"/>
      <c r="L122" s="523"/>
      <c r="M122" s="523"/>
      <c r="N122" s="523"/>
      <c r="O122" s="523"/>
      <c r="P122" s="526"/>
      <c r="Q122" s="5"/>
      <c r="R122" s="5"/>
      <c r="S122" s="5"/>
    </row>
    <row r="123" spans="1:19" x14ac:dyDescent="0.4">
      <c r="B123" s="3818"/>
      <c r="C123" s="527" t="s">
        <v>966</v>
      </c>
      <c r="D123" s="527"/>
      <c r="E123" s="527"/>
      <c r="F123" s="528">
        <f>SUMIF(D50:D121,"Movement",E50:E121)</f>
        <v>7.8472222222222232</v>
      </c>
      <c r="G123" s="530"/>
      <c r="H123" s="530"/>
      <c r="I123" s="530"/>
      <c r="J123" s="530"/>
      <c r="K123" s="530"/>
      <c r="L123" s="530"/>
      <c r="M123" s="530"/>
      <c r="N123" s="530"/>
      <c r="O123" s="530"/>
      <c r="P123" s="533"/>
      <c r="Q123" s="5"/>
      <c r="R123" s="5"/>
      <c r="S123" s="5"/>
    </row>
    <row r="124" spans="1:19" x14ac:dyDescent="0.4">
      <c r="B124" s="3818"/>
      <c r="C124" s="527" t="s">
        <v>967</v>
      </c>
      <c r="D124" s="527"/>
      <c r="E124" s="527"/>
      <c r="F124" s="528">
        <f>SUMIF(D6:D121,"Logistics",E6:E121)</f>
        <v>22.559999999999988</v>
      </c>
      <c r="G124" s="527"/>
      <c r="H124" s="527"/>
      <c r="I124" s="527"/>
      <c r="J124" s="527"/>
      <c r="K124" s="527"/>
      <c r="L124" s="527"/>
      <c r="M124" s="527"/>
      <c r="N124" s="527"/>
      <c r="O124" s="527"/>
      <c r="P124" s="533"/>
      <c r="Q124" s="5"/>
      <c r="R124" s="5"/>
      <c r="S124" s="5"/>
    </row>
    <row r="125" spans="1:19" ht="15" thickBot="1" x14ac:dyDescent="0.45">
      <c r="B125" s="3819"/>
      <c r="C125" s="633"/>
      <c r="D125" s="633"/>
      <c r="E125" s="633"/>
      <c r="F125" s="634"/>
      <c r="G125" s="633"/>
      <c r="H125" s="633"/>
      <c r="I125" s="633"/>
      <c r="J125" s="633"/>
      <c r="K125" s="633"/>
      <c r="L125" s="633"/>
      <c r="M125" s="633"/>
      <c r="N125" s="633"/>
      <c r="O125" s="633"/>
      <c r="P125" s="635"/>
      <c r="Q125" s="5"/>
      <c r="R125" s="5"/>
      <c r="S125" s="5"/>
    </row>
    <row r="126" spans="1:19" x14ac:dyDescent="0.4">
      <c r="B126" s="3995" t="s">
        <v>856</v>
      </c>
      <c r="C126" s="617" t="str">
        <f>'Upper Hot Cell Critical Path'!C87</f>
        <v>Blanket Installation Required</v>
      </c>
      <c r="D126" s="617" t="s">
        <v>907</v>
      </c>
      <c r="E126" s="567">
        <f t="shared" si="4"/>
        <v>0</v>
      </c>
      <c r="F126" s="567">
        <f>IF($D126="Trigger",VLOOKUP($C126,'Upper Hot Cell Critical Path'!$C$3:$F$322,4,FALSE),E126+F125)</f>
        <v>0</v>
      </c>
      <c r="G126" s="568"/>
      <c r="H126" s="569" t="str">
        <f>IF(D126="operation",VLOOKUP(G126,'Generic Vertical Port Tasks'!C190:D191,2,FALSE),"N/A")</f>
        <v>N/A</v>
      </c>
      <c r="I126" s="617"/>
      <c r="J126" s="617"/>
      <c r="K126" s="617"/>
      <c r="L126" s="618" t="str">
        <f>IFERROR(INDEX('Upper Hot Cell Logistics'!$I$35:$O$41,MATCH($J126,'Upper Hot Cell Logistics'!$H$35:$H$41,0),MATCH($K126,'Upper Hot Cell Logistics'!$H$35:$H$41,0)),"N/A")</f>
        <v>N/A</v>
      </c>
      <c r="M126" s="618" t="str">
        <f>IFERROR(VLOOKUP($I126,'Upper Hot Cell Logistics'!$H$4:$I$9,2,FALSE),"N/A")</f>
        <v>N/A</v>
      </c>
      <c r="N126" s="619" t="str">
        <f t="shared" ref="N126:N189" si="6">IF(D126="Movement",IFERROR((L126/M126)/(60*60),"Error"),"N/A")</f>
        <v>N/A</v>
      </c>
      <c r="O126" s="620"/>
      <c r="P126" s="621" t="str">
        <f>IF($D126="Logistics",VLOOKUP($O126,'Upper Hot Cell Logistics'!$C$4:$D$51,2,FALSE),"N/A")</f>
        <v>N/A</v>
      </c>
      <c r="Q126" s="5"/>
      <c r="R126" s="5"/>
      <c r="S126" s="5"/>
    </row>
    <row r="127" spans="1:19" x14ac:dyDescent="0.4">
      <c r="B127" s="3996"/>
      <c r="C127" s="572" t="s">
        <v>968</v>
      </c>
      <c r="D127" s="572" t="s">
        <v>778</v>
      </c>
      <c r="E127" s="574">
        <f t="shared" si="4"/>
        <v>6.9444444444444448E-2</v>
      </c>
      <c r="F127" s="574">
        <f>IF($D127="Trigger",VLOOKUP($C127,'Upper Hot Cell Critical Path'!$C$3:$F$322,4,FALSE),E127+F126)</f>
        <v>6.9444444444444448E-2</v>
      </c>
      <c r="G127" s="575"/>
      <c r="H127" s="576" t="str">
        <f>IF(D127="operation",VLOOKUP(G127,'Generic Vertical Port Tasks'!C190:D192,2,FALSE),"N/A")</f>
        <v>N/A</v>
      </c>
      <c r="I127" s="572" t="s">
        <v>798</v>
      </c>
      <c r="J127" s="572" t="s">
        <v>452</v>
      </c>
      <c r="K127" s="572" t="s">
        <v>858</v>
      </c>
      <c r="L127" s="577">
        <f>IFERROR(INDEX('Upper Hot Cell Logistics'!$I$35:$O$41,MATCH($J127,'Upper Hot Cell Logistics'!$H$35:$H$41,0),MATCH($K127,'Upper Hot Cell Logistics'!$H$35:$H$41,0)),"N/A")</f>
        <v>50</v>
      </c>
      <c r="M127" s="577">
        <f>IFERROR(VLOOKUP($I127,'Upper Hot Cell Logistics'!$H$4:$I$9,2,FALSE),"N/A")</f>
        <v>0.2</v>
      </c>
      <c r="N127" s="578">
        <f t="shared" si="6"/>
        <v>6.9444444444444448E-2</v>
      </c>
      <c r="O127" s="579"/>
      <c r="P127" s="580" t="str">
        <f>IF($D127="Logistics",VLOOKUP($O127,'Upper Hot Cell Logistics'!$C$4:$D$51,2,FALSE),"N/A")</f>
        <v>N/A</v>
      </c>
      <c r="Q127" s="5"/>
      <c r="R127" s="5"/>
      <c r="S127" s="5"/>
    </row>
    <row r="128" spans="1:19" x14ac:dyDescent="0.4">
      <c r="B128" s="3996"/>
      <c r="C128" s="572" t="s">
        <v>969</v>
      </c>
      <c r="D128" s="572" t="s">
        <v>3</v>
      </c>
      <c r="E128" s="574">
        <f t="shared" si="4"/>
        <v>1.08</v>
      </c>
      <c r="F128" s="574">
        <f>IF($D128="Trigger",VLOOKUP($C128,'Upper Hot Cell Critical Path'!$C$3:$F$322,4,FALSE),E128+F127)</f>
        <v>1.1494444444444445</v>
      </c>
      <c r="G128" s="575"/>
      <c r="H128" s="576" t="str">
        <f>IF(D128="operation",VLOOKUP(G128,'Generic Vertical Port Tasks'!C190:D193,2,FALSE),"N/A")</f>
        <v>N/A</v>
      </c>
      <c r="I128" s="572"/>
      <c r="J128" s="572"/>
      <c r="K128" s="572"/>
      <c r="L128" s="577" t="str">
        <f>IFERROR(INDEX('Upper Hot Cell Logistics'!$I$35:$O$41,MATCH($J128,'Upper Hot Cell Logistics'!$H$35:$H$41,0),MATCH($K128,'Upper Hot Cell Logistics'!$H$35:$H$41,0)),"N/A")</f>
        <v>N/A</v>
      </c>
      <c r="M128" s="577" t="str">
        <f>IFERROR(VLOOKUP($I128,'Upper Hot Cell Logistics'!$H$4:$I$9,2,FALSE),"N/A")</f>
        <v>N/A</v>
      </c>
      <c r="N128" s="578" t="str">
        <f t="shared" si="6"/>
        <v>N/A</v>
      </c>
      <c r="O128" s="579" t="s">
        <v>909</v>
      </c>
      <c r="P128" s="580">
        <f>IF($D128="Logistics",VLOOKUP($O128,'Upper Hot Cell Logistics'!$C$4:$D$51,2,FALSE),"N/A")</f>
        <v>1.08</v>
      </c>
      <c r="Q128" s="5"/>
      <c r="R128" s="5"/>
      <c r="S128" s="5"/>
    </row>
    <row r="129" spans="2:19" ht="15" thickBot="1" x14ac:dyDescent="0.45">
      <c r="B129" s="3997"/>
      <c r="C129" s="583" t="str">
        <f>B126</f>
        <v>Deploy inspection and repair hardware to upper port</v>
      </c>
      <c r="D129" s="583" t="s">
        <v>11</v>
      </c>
      <c r="E129" s="585">
        <f t="shared" si="4"/>
        <v>0</v>
      </c>
      <c r="F129" s="585">
        <f>IF($D129="Trigger",VLOOKUP($C129,'Upper Hot Cell Critical Path'!$C$3:$F$322,4,FALSE),E129+F128)</f>
        <v>1.1494444444444445</v>
      </c>
      <c r="G129" s="586"/>
      <c r="H129" s="587" t="str">
        <f>IF(D129="operation",VLOOKUP(G129,'Generic Vertical Port Tasks'!C190:D194,2,FALSE),"N/A")</f>
        <v>N/A</v>
      </c>
      <c r="I129" s="583"/>
      <c r="J129" s="583"/>
      <c r="K129" s="583"/>
      <c r="L129" s="588" t="str">
        <f>IFERROR(INDEX('Upper Hot Cell Logistics'!$I$35:$O$41,MATCH($J129,'Upper Hot Cell Logistics'!$H$35:$H$41,0),MATCH($K129,'Upper Hot Cell Logistics'!$H$35:$H$41,0)),"N/A")</f>
        <v>N/A</v>
      </c>
      <c r="M129" s="588" t="str">
        <f>IFERROR(VLOOKUP($I129,'Upper Hot Cell Logistics'!$H$4:$I$9,2,FALSE),"N/A")</f>
        <v>N/A</v>
      </c>
      <c r="N129" s="589" t="str">
        <f t="shared" si="6"/>
        <v>N/A</v>
      </c>
      <c r="O129" s="590"/>
      <c r="P129" s="591" t="str">
        <f>IF($D129="Logistics",VLOOKUP($O129,'Upper Hot Cell Logistics'!$C$4:$D$51,2,FALSE),"N/A")</f>
        <v>N/A</v>
      </c>
      <c r="Q129" s="5"/>
      <c r="R129" s="5"/>
      <c r="S129" s="5"/>
    </row>
    <row r="130" spans="2:19" x14ac:dyDescent="0.4">
      <c r="B130" s="4046" t="s">
        <v>859</v>
      </c>
      <c r="C130" s="636" t="str">
        <f>'Upper Hot Cell Critical Path'!C87</f>
        <v>Blanket Installation Required</v>
      </c>
      <c r="D130" s="636" t="s">
        <v>907</v>
      </c>
      <c r="E130" s="637">
        <f t="shared" si="4"/>
        <v>0</v>
      </c>
      <c r="F130" s="638">
        <f>IF($D130="Trigger",VLOOKUP($C130,'Upper Hot Cell Critical Path'!$C$3:$F$322,4,FALSE),E130+F129)</f>
        <v>0</v>
      </c>
      <c r="G130" s="639"/>
      <c r="H130" s="640" t="str">
        <f>IF(D130="operation",VLOOKUP(G130,'Generic Vertical Port Tasks'!C190:D191,2,FALSE),"N/A")</f>
        <v>N/A</v>
      </c>
      <c r="I130" s="636"/>
      <c r="J130" s="636"/>
      <c r="K130" s="636"/>
      <c r="L130" s="641" t="str">
        <f>IFERROR(INDEX('Upper Hot Cell Logistics'!$I$35:$O$41,MATCH($J130,'Upper Hot Cell Logistics'!$H$35:$H$41,0),MATCH($K130,'Upper Hot Cell Logistics'!$H$35:$H$41,0)),"N/A")</f>
        <v>N/A</v>
      </c>
      <c r="M130" s="641" t="str">
        <f>IFERROR(VLOOKUP($I130,'Upper Hot Cell Logistics'!$H$4:$I$9,2,FALSE),"N/A")</f>
        <v>N/A</v>
      </c>
      <c r="N130" s="642" t="str">
        <f t="shared" si="6"/>
        <v>N/A</v>
      </c>
      <c r="O130" s="643"/>
      <c r="P130" s="638" t="str">
        <f>IF($D130="Logistics",VLOOKUP($O130,'Upper Hot Cell Logistics'!$C$4:$D$51,2,FALSE),"N/A")</f>
        <v>N/A</v>
      </c>
      <c r="Q130" s="90"/>
      <c r="R130" s="5"/>
      <c r="S130" s="5"/>
    </row>
    <row r="131" spans="2:19" x14ac:dyDescent="0.4">
      <c r="B131" s="3993"/>
      <c r="C131" s="601" t="s">
        <v>968</v>
      </c>
      <c r="D131" s="601" t="s">
        <v>778</v>
      </c>
      <c r="E131" s="602">
        <f t="shared" si="4"/>
        <v>6.9444444444444448E-2</v>
      </c>
      <c r="F131" s="608">
        <f>IF($D131="Trigger",VLOOKUP($C131,'Upper Hot Cell Critical Path'!$C$3:$F$322,4,FALSE),E131+F130)</f>
        <v>6.9444444444444448E-2</v>
      </c>
      <c r="G131" s="603"/>
      <c r="H131" s="604" t="str">
        <f>IF(D131="operation",VLOOKUP(G131,'Generic Vertical Port Tasks'!C190:D192,2,FALSE),"N/A")</f>
        <v>N/A</v>
      </c>
      <c r="I131" s="601" t="s">
        <v>798</v>
      </c>
      <c r="J131" s="601" t="s">
        <v>452</v>
      </c>
      <c r="K131" s="601" t="s">
        <v>858</v>
      </c>
      <c r="L131" s="605">
        <f>IFERROR(INDEX('Upper Hot Cell Logistics'!$I$35:$O$41,MATCH($J131,'Upper Hot Cell Logistics'!$H$35:$H$41,0),MATCH($K131,'Upper Hot Cell Logistics'!$H$35:$H$41,0)),"N/A")</f>
        <v>50</v>
      </c>
      <c r="M131" s="605">
        <f>IFERROR(VLOOKUP($I131,'Upper Hot Cell Logistics'!$H$4:$I$9,2,FALSE),"N/A")</f>
        <v>0.2</v>
      </c>
      <c r="N131" s="606">
        <f t="shared" si="6"/>
        <v>6.9444444444444448E-2</v>
      </c>
      <c r="O131" s="607"/>
      <c r="P131" s="608" t="str">
        <f>IF($D131="Logistics",VLOOKUP($O131,'Upper Hot Cell Logistics'!$C$4:$D$51,2,FALSE),"N/A")</f>
        <v>N/A</v>
      </c>
      <c r="Q131" s="90"/>
      <c r="R131" s="5"/>
      <c r="S131" s="5"/>
    </row>
    <row r="132" spans="2:19" ht="15" customHeight="1" x14ac:dyDescent="0.4">
      <c r="B132" s="3993"/>
      <c r="C132" s="601" t="s">
        <v>970</v>
      </c>
      <c r="D132" s="601" t="s">
        <v>3</v>
      </c>
      <c r="E132" s="602">
        <f t="shared" si="4"/>
        <v>0.78</v>
      </c>
      <c r="F132" s="608">
        <f>IF($D132="Trigger",VLOOKUP($C132,'Upper Hot Cell Critical Path'!$C$3:$F$322,4,FALSE),E132+F131)</f>
        <v>0.84944444444444445</v>
      </c>
      <c r="G132" s="603"/>
      <c r="H132" s="604" t="str">
        <f>IF(D132="operation",VLOOKUP(G132,'Generic Vertical Port Tasks'!C190:D193,2,FALSE),"N/A")</f>
        <v>N/A</v>
      </c>
      <c r="I132" s="601"/>
      <c r="J132" s="601"/>
      <c r="K132" s="601"/>
      <c r="L132" s="605" t="str">
        <f>IFERROR(INDEX('Upper Hot Cell Logistics'!$I$35:$O$41,MATCH($J132,'Upper Hot Cell Logistics'!$H$35:$H$41,0),MATCH($K132,'Upper Hot Cell Logistics'!$H$35:$H$41,0)),"N/A")</f>
        <v>N/A</v>
      </c>
      <c r="M132" s="605" t="str">
        <f>IFERROR(VLOOKUP($I132,'Upper Hot Cell Logistics'!$H$4:$I$9,2,FALSE),"N/A")</f>
        <v>N/A</v>
      </c>
      <c r="N132" s="606" t="str">
        <f t="shared" si="6"/>
        <v>N/A</v>
      </c>
      <c r="O132" s="607" t="s">
        <v>971</v>
      </c>
      <c r="P132" s="608">
        <f>IF($D132="Logistics",VLOOKUP($O132,'Upper Hot Cell Logistics'!$C$4:$D$51,2,FALSE),"N/A")</f>
        <v>0.78</v>
      </c>
      <c r="Q132" s="90"/>
      <c r="R132" s="5"/>
      <c r="S132" s="5"/>
    </row>
    <row r="133" spans="2:19" ht="15" thickBot="1" x14ac:dyDescent="0.45">
      <c r="B133" s="3994"/>
      <c r="C133" s="609" t="str">
        <f>B130</f>
        <v>Blanket Transporter collected; RIB Blanket Segment Exported</v>
      </c>
      <c r="D133" s="609" t="s">
        <v>11</v>
      </c>
      <c r="E133" s="610">
        <f t="shared" si="4"/>
        <v>0</v>
      </c>
      <c r="F133" s="616">
        <f>IF($D133="Trigger",VLOOKUP($C133,'Upper Hot Cell Critical Path'!$C$3:$F$322,4,FALSE),E133+F132)</f>
        <v>0.84944444444444445</v>
      </c>
      <c r="G133" s="611"/>
      <c r="H133" s="612" t="str">
        <f>IF(D133="operation",VLOOKUP(G133,'Generic Vertical Port Tasks'!C190:D194,2,FALSE),"N/A")</f>
        <v>N/A</v>
      </c>
      <c r="I133" s="609"/>
      <c r="J133" s="609"/>
      <c r="K133" s="609"/>
      <c r="L133" s="613" t="str">
        <f>IFERROR(INDEX('Upper Hot Cell Logistics'!$I$35:$O$41,MATCH($J133,'Upper Hot Cell Logistics'!$H$35:$H$41,0),MATCH($K133,'Upper Hot Cell Logistics'!$H$35:$H$41,0)),"N/A")</f>
        <v>N/A</v>
      </c>
      <c r="M133" s="613" t="str">
        <f>IFERROR(VLOOKUP($I133,'Upper Hot Cell Logistics'!$H$4:$I$9,2,FALSE),"N/A")</f>
        <v>N/A</v>
      </c>
      <c r="N133" s="614" t="str">
        <f t="shared" si="6"/>
        <v>N/A</v>
      </c>
      <c r="O133" s="615"/>
      <c r="P133" s="616" t="str">
        <f>IF($D133="Logistics",VLOOKUP($O133,'Upper Hot Cell Logistics'!$C$4:$D$51,2,FALSE),"N/A")</f>
        <v>N/A</v>
      </c>
      <c r="Q133" s="90"/>
      <c r="R133" s="5"/>
      <c r="S133" s="5"/>
    </row>
    <row r="134" spans="2:19" x14ac:dyDescent="0.4">
      <c r="B134" s="3995" t="s">
        <v>861</v>
      </c>
      <c r="C134" s="636" t="str">
        <f>'Upper Hot Cell Critical Path'!C90</f>
        <v>Re-condition IVC hardware/fixations</v>
      </c>
      <c r="D134" s="617" t="s">
        <v>907</v>
      </c>
      <c r="E134" s="567">
        <f t="shared" si="4"/>
        <v>0</v>
      </c>
      <c r="F134" s="621">
        <f>IF($D134="Trigger",VLOOKUP($C134,'Upper Hot Cell Critical Path'!$C$3:$F$322,4,FALSE),E134+F133)</f>
        <v>18.843888888888891</v>
      </c>
      <c r="G134" s="568"/>
      <c r="H134" s="569" t="str">
        <f>IF(D134="operation",VLOOKUP(G134,'Generic Vertical Port Tasks'!C190:D195,2,FALSE),"N/A")</f>
        <v>N/A</v>
      </c>
      <c r="I134" s="617"/>
      <c r="J134" s="617"/>
      <c r="K134" s="617"/>
      <c r="L134" s="618" t="str">
        <f>IFERROR(INDEX('Upper Hot Cell Logistics'!$I$35:$O$41,MATCH($J134,'Upper Hot Cell Logistics'!$H$35:$H$41,0),MATCH($K134,'Upper Hot Cell Logistics'!$H$35:$H$41,0)),"N/A")</f>
        <v>N/A</v>
      </c>
      <c r="M134" s="618" t="str">
        <f>IFERROR(VLOOKUP($I134,'Upper Hot Cell Logistics'!$H$4:$I$9,2,FALSE),"N/A")</f>
        <v>N/A</v>
      </c>
      <c r="N134" s="619" t="str">
        <f t="shared" si="6"/>
        <v>N/A</v>
      </c>
      <c r="O134" s="620"/>
      <c r="P134" s="621" t="str">
        <f>IF($D134="Logistics",VLOOKUP($O134,'Upper Hot Cell Logistics'!$C$4:$D$51,2,FALSE),"N/A")</f>
        <v>N/A</v>
      </c>
      <c r="Q134" s="90"/>
      <c r="R134" s="5"/>
      <c r="S134" s="5"/>
    </row>
    <row r="135" spans="2:19" x14ac:dyDescent="0.4">
      <c r="B135" s="3996"/>
      <c r="C135" s="572" t="s">
        <v>968</v>
      </c>
      <c r="D135" s="572" t="s">
        <v>778</v>
      </c>
      <c r="E135" s="574">
        <f t="shared" si="4"/>
        <v>0.69444444444444442</v>
      </c>
      <c r="F135" s="580">
        <f>IF($D135="Trigger",VLOOKUP($C135,'Upper Hot Cell Critical Path'!$C$3:$F$322,4,FALSE),E135+F134)</f>
        <v>19.538333333333334</v>
      </c>
      <c r="G135" s="575"/>
      <c r="H135" s="576" t="str">
        <f>IF(D135="operation",VLOOKUP(G135,'Generic Vertical Port Tasks'!C190:D196,2,FALSE),"N/A")</f>
        <v>N/A</v>
      </c>
      <c r="I135" s="572" t="s">
        <v>857</v>
      </c>
      <c r="J135" s="572" t="s">
        <v>452</v>
      </c>
      <c r="K135" s="572" t="s">
        <v>858</v>
      </c>
      <c r="L135" s="577">
        <f>IFERROR(INDEX('Upper Hot Cell Logistics'!$I$35:$O$41,MATCH($J135,'Upper Hot Cell Logistics'!$H$35:$H$41,0),MATCH($K135,'Upper Hot Cell Logistics'!$H$35:$H$41,0)),"N/A")</f>
        <v>50</v>
      </c>
      <c r="M135" s="577">
        <f>IFERROR(VLOOKUP($I135,'Upper Hot Cell Logistics'!$H$4:$I$9,2,FALSE),"N/A")</f>
        <v>0.02</v>
      </c>
      <c r="N135" s="578">
        <f t="shared" si="6"/>
        <v>0.69444444444444442</v>
      </c>
      <c r="O135" s="579"/>
      <c r="P135" s="580" t="str">
        <f>IF($D135="Logistics",VLOOKUP($O135,'Upper Hot Cell Logistics'!$C$4:$D$51,2,FALSE),"N/A")</f>
        <v>N/A</v>
      </c>
    </row>
    <row r="136" spans="2:19" x14ac:dyDescent="0.4">
      <c r="B136" s="3996"/>
      <c r="C136" s="572" t="s">
        <v>970</v>
      </c>
      <c r="D136" s="572" t="s">
        <v>3</v>
      </c>
      <c r="E136" s="574">
        <f t="shared" si="4"/>
        <v>0.78</v>
      </c>
      <c r="F136" s="580">
        <f>IF($D136="Trigger",VLOOKUP($C136,'Upper Hot Cell Critical Path'!$C$3:$F$322,4,FALSE),E136+F135)</f>
        <v>20.318333333333335</v>
      </c>
      <c r="G136" s="575"/>
      <c r="H136" s="576" t="str">
        <f>IF(D136="operation",VLOOKUP(G136,'Generic Vertical Port Tasks'!C190:D197,2,FALSE),"N/A")</f>
        <v>N/A</v>
      </c>
      <c r="I136" s="572"/>
      <c r="J136" s="572"/>
      <c r="K136" s="572"/>
      <c r="L136" s="577" t="str">
        <f>IFERROR(INDEX('Upper Hot Cell Logistics'!$I$35:$O$41,MATCH($J136,'Upper Hot Cell Logistics'!$H$35:$H$41,0),MATCH($K136,'Upper Hot Cell Logistics'!$H$35:$H$41,0)),"N/A")</f>
        <v>N/A</v>
      </c>
      <c r="M136" s="577" t="str">
        <f>IFERROR(VLOOKUP($I136,'Upper Hot Cell Logistics'!$H$4:$I$9,2,FALSE),"N/A")</f>
        <v>N/A</v>
      </c>
      <c r="N136" s="578" t="str">
        <f t="shared" si="6"/>
        <v>N/A</v>
      </c>
      <c r="O136" s="579" t="s">
        <v>971</v>
      </c>
      <c r="P136" s="580">
        <f>IF($D136="Logistics",VLOOKUP($O136,'Upper Hot Cell Logistics'!$C$4:$D$51,2,FALSE),"N/A")</f>
        <v>0.78</v>
      </c>
    </row>
    <row r="137" spans="2:19" ht="26.6" thickBot="1" x14ac:dyDescent="0.45">
      <c r="B137" s="3997"/>
      <c r="C137" s="583" t="str">
        <f>B134</f>
        <v>Inspection and repair hardware stored; Blanket Transporter collected; LIB Blanket Segment Exported</v>
      </c>
      <c r="D137" s="583" t="s">
        <v>11</v>
      </c>
      <c r="E137" s="585">
        <f t="shared" si="4"/>
        <v>0</v>
      </c>
      <c r="F137" s="591">
        <f>IF($D137="Trigger",VLOOKUP($C137,'Upper Hot Cell Critical Path'!$C$3:$F$322,4,FALSE),E137+F136)</f>
        <v>20.318333333333335</v>
      </c>
      <c r="G137" s="586"/>
      <c r="H137" s="587" t="str">
        <f>IF(D137="operation",VLOOKUP(G137,'Generic Vertical Port Tasks'!C190:D198,2,FALSE),"N/A")</f>
        <v>N/A</v>
      </c>
      <c r="I137" s="583"/>
      <c r="J137" s="583"/>
      <c r="K137" s="583"/>
      <c r="L137" s="588" t="str">
        <f>IFERROR(INDEX('Upper Hot Cell Logistics'!$I$35:$O$41,MATCH($J137,'Upper Hot Cell Logistics'!$H$35:$H$41,0),MATCH($K137,'Upper Hot Cell Logistics'!$H$35:$H$41,0)),"N/A")</f>
        <v>N/A</v>
      </c>
      <c r="M137" s="588" t="str">
        <f>IFERROR(VLOOKUP($I137,'Upper Hot Cell Logistics'!$H$4:$I$9,2,FALSE),"N/A")</f>
        <v>N/A</v>
      </c>
      <c r="N137" s="589" t="str">
        <f t="shared" si="6"/>
        <v>N/A</v>
      </c>
      <c r="O137" s="590"/>
      <c r="P137" s="591" t="str">
        <f>IF($D137="Logistics",VLOOKUP($O137,'Upper Hot Cell Logistics'!$C$4:$D$51,2,FALSE),"N/A")</f>
        <v>N/A</v>
      </c>
    </row>
    <row r="138" spans="2:19" x14ac:dyDescent="0.4">
      <c r="B138" s="3992" t="s">
        <v>863</v>
      </c>
      <c r="C138" s="596" t="str">
        <f>'Upper Hot Cell Critical Path'!C92</f>
        <v>Install RIB Blanket Segment</v>
      </c>
      <c r="D138" s="596" t="s">
        <v>907</v>
      </c>
      <c r="E138" s="593">
        <f t="shared" si="4"/>
        <v>0</v>
      </c>
      <c r="F138" s="600">
        <f>IF($D138="Trigger",VLOOKUP($C138,'Upper Hot Cell Critical Path'!$C$3:$F$322,4,FALSE),E138+F137)</f>
        <v>23.868333333333332</v>
      </c>
      <c r="G138" s="594"/>
      <c r="H138" s="595" t="str">
        <f>IF(D138="operation",VLOOKUP(G138,'Generic Vertical Port Tasks'!C190:D199,2,FALSE),"N/A")</f>
        <v>N/A</v>
      </c>
      <c r="I138" s="596"/>
      <c r="J138" s="596"/>
      <c r="K138" s="596"/>
      <c r="L138" s="597" t="str">
        <f>IFERROR(INDEX('Upper Hot Cell Logistics'!$I$35:$O$41,MATCH($J138,'Upper Hot Cell Logistics'!$H$35:$H$41,0),MATCH($K138,'Upper Hot Cell Logistics'!$H$35:$H$41,0)),"N/A")</f>
        <v>N/A</v>
      </c>
      <c r="M138" s="597" t="str">
        <f>IFERROR(VLOOKUP($I138,'Upper Hot Cell Logistics'!$H$4:$I$9,2,FALSE),"N/A")</f>
        <v>N/A</v>
      </c>
      <c r="N138" s="598" t="str">
        <f t="shared" si="6"/>
        <v>N/A</v>
      </c>
      <c r="O138" s="599"/>
      <c r="P138" s="600" t="str">
        <f>IF($D138="Logistics",VLOOKUP($O138,'Upper Hot Cell Logistics'!$C$4:$D$51,2,FALSE),"N/A")</f>
        <v>N/A</v>
      </c>
    </row>
    <row r="139" spans="2:19" x14ac:dyDescent="0.4">
      <c r="B139" s="3993"/>
      <c r="C139" s="601" t="s">
        <v>968</v>
      </c>
      <c r="D139" s="601" t="s">
        <v>778</v>
      </c>
      <c r="E139" s="602">
        <f t="shared" si="4"/>
        <v>0.69444444444444442</v>
      </c>
      <c r="F139" s="608">
        <f>IF($D139="Trigger",VLOOKUP($C139,'Upper Hot Cell Critical Path'!$C$3:$F$322,4,FALSE),E139+F138)</f>
        <v>24.562777777777775</v>
      </c>
      <c r="G139" s="603"/>
      <c r="H139" s="604" t="str">
        <f>IF(D139="operation",VLOOKUP(G139,'Generic Vertical Port Tasks'!C190:D200,2,FALSE),"N/A")</f>
        <v>N/A</v>
      </c>
      <c r="I139" s="601" t="s">
        <v>857</v>
      </c>
      <c r="J139" s="601" t="s">
        <v>452</v>
      </c>
      <c r="K139" s="601" t="s">
        <v>858</v>
      </c>
      <c r="L139" s="605">
        <f>IFERROR(INDEX('Upper Hot Cell Logistics'!$I$35:$O$41,MATCH($J139,'Upper Hot Cell Logistics'!$H$35:$H$41,0),MATCH($K139,'Upper Hot Cell Logistics'!$H$35:$H$41,0)),"N/A")</f>
        <v>50</v>
      </c>
      <c r="M139" s="605">
        <f>IFERROR(VLOOKUP($I139,'Upper Hot Cell Logistics'!$H$4:$I$9,2,FALSE),"N/A")</f>
        <v>0.02</v>
      </c>
      <c r="N139" s="606">
        <f t="shared" si="6"/>
        <v>0.69444444444444442</v>
      </c>
      <c r="O139" s="607"/>
      <c r="P139" s="608" t="str">
        <f>IF($D139="Logistics",VLOOKUP($O139,'Upper Hot Cell Logistics'!$C$4:$D$51,2,FALSE),"N/A")</f>
        <v>N/A</v>
      </c>
    </row>
    <row r="140" spans="2:19" x14ac:dyDescent="0.4">
      <c r="B140" s="3993"/>
      <c r="C140" s="601" t="s">
        <v>970</v>
      </c>
      <c r="D140" s="601" t="s">
        <v>3</v>
      </c>
      <c r="E140" s="602">
        <f t="shared" si="4"/>
        <v>0.78</v>
      </c>
      <c r="F140" s="608">
        <f>IF($D140="Trigger",VLOOKUP($C140,'Upper Hot Cell Critical Path'!$C$3:$F$322,4,FALSE),E140+F139)</f>
        <v>25.342777777777776</v>
      </c>
      <c r="G140" s="603"/>
      <c r="H140" s="604" t="str">
        <f>IF(D140="operation",VLOOKUP(G140,'Generic Vertical Port Tasks'!C190:D201,2,FALSE),"N/A")</f>
        <v>N/A</v>
      </c>
      <c r="I140" s="601"/>
      <c r="J140" s="601"/>
      <c r="K140" s="601"/>
      <c r="L140" s="605" t="str">
        <f>IFERROR(INDEX('Upper Hot Cell Logistics'!$I$35:$O$41,MATCH($J140,'Upper Hot Cell Logistics'!$H$35:$H$41,0),MATCH($K140,'Upper Hot Cell Logistics'!$H$35:$H$41,0)),"N/A")</f>
        <v>N/A</v>
      </c>
      <c r="M140" s="605" t="str">
        <f>IFERROR(VLOOKUP($I140,'Upper Hot Cell Logistics'!$H$4:$I$9,2,FALSE),"N/A")</f>
        <v>N/A</v>
      </c>
      <c r="N140" s="606" t="str">
        <f t="shared" si="6"/>
        <v>N/A</v>
      </c>
      <c r="O140" s="607" t="s">
        <v>971</v>
      </c>
      <c r="P140" s="608">
        <f>IF($D140="Logistics",VLOOKUP($O140,'Upper Hot Cell Logistics'!$C$4:$D$51,2,FALSE),"N/A")</f>
        <v>0.78</v>
      </c>
    </row>
    <row r="141" spans="2:19" ht="15" thickBot="1" x14ac:dyDescent="0.45">
      <c r="B141" s="3994"/>
      <c r="C141" s="609" t="str">
        <f>B138</f>
        <v>ROB Blanket Segment Exported</v>
      </c>
      <c r="D141" s="609" t="s">
        <v>11</v>
      </c>
      <c r="E141" s="610">
        <f t="shared" si="4"/>
        <v>0</v>
      </c>
      <c r="F141" s="616">
        <f>IF($D141="Trigger",VLOOKUP($C141,'Upper Hot Cell Critical Path'!$C$3:$F$322,4,FALSE),E141+F140)</f>
        <v>25.342777777777776</v>
      </c>
      <c r="G141" s="611"/>
      <c r="H141" s="612" t="str">
        <f>IF(D141="operation",VLOOKUP(G141,'Generic Vertical Port Tasks'!C190:D202,2,FALSE),"N/A")</f>
        <v>N/A</v>
      </c>
      <c r="I141" s="609"/>
      <c r="J141" s="609"/>
      <c r="K141" s="609"/>
      <c r="L141" s="613" t="str">
        <f>IFERROR(INDEX('Upper Hot Cell Logistics'!$I$35:$O$41,MATCH($J141,'Upper Hot Cell Logistics'!$H$35:$H$41,0),MATCH($K141,'Upper Hot Cell Logistics'!$H$35:$H$41,0)),"N/A")</f>
        <v>N/A</v>
      </c>
      <c r="M141" s="613" t="str">
        <f>IFERROR(VLOOKUP($I141,'Upper Hot Cell Logistics'!$H$4:$I$9,2,FALSE),"N/A")</f>
        <v>N/A</v>
      </c>
      <c r="N141" s="614" t="str">
        <f t="shared" si="6"/>
        <v>N/A</v>
      </c>
      <c r="O141" s="615"/>
      <c r="P141" s="616" t="str">
        <f>IF($D141="Logistics",VLOOKUP($O141,'Upper Hot Cell Logistics'!$C$4:$D$51,2,FALSE),"N/A")</f>
        <v>N/A</v>
      </c>
    </row>
    <row r="142" spans="2:19" x14ac:dyDescent="0.4">
      <c r="B142" s="3995" t="s">
        <v>865</v>
      </c>
      <c r="C142" s="617" t="str">
        <f>'Upper Hot Cell Critical Path'!C94</f>
        <v>Install LIB Blanket Segment</v>
      </c>
      <c r="D142" s="617" t="s">
        <v>907</v>
      </c>
      <c r="E142" s="567">
        <f t="shared" si="4"/>
        <v>0</v>
      </c>
      <c r="F142" s="621">
        <f>IF($D142="Trigger",VLOOKUP($C142,'Upper Hot Cell Critical Path'!$C$3:$F$322,4,FALSE),E142+F141)</f>
        <v>28.892777777777773</v>
      </c>
      <c r="G142" s="568"/>
      <c r="H142" s="569" t="str">
        <f>IF(D142="operation",VLOOKUP(G142,'Generic Vertical Port Tasks'!C190:D203,2,FALSE),"N/A")</f>
        <v>N/A</v>
      </c>
      <c r="I142" s="617"/>
      <c r="J142" s="617"/>
      <c r="K142" s="617"/>
      <c r="L142" s="618" t="str">
        <f>IFERROR(INDEX('Upper Hot Cell Logistics'!$I$35:$O$41,MATCH($J142,'Upper Hot Cell Logistics'!$H$35:$H$41,0),MATCH($K142,'Upper Hot Cell Logistics'!$H$35:$H$41,0)),"N/A")</f>
        <v>N/A</v>
      </c>
      <c r="M142" s="618" t="str">
        <f>IFERROR(VLOOKUP($I142,'Upper Hot Cell Logistics'!$H$4:$I$9,2,FALSE),"N/A")</f>
        <v>N/A</v>
      </c>
      <c r="N142" s="619" t="str">
        <f t="shared" si="6"/>
        <v>N/A</v>
      </c>
      <c r="O142" s="620"/>
      <c r="P142" s="621" t="str">
        <f>IF($D142="Logistics",VLOOKUP($O142,'Upper Hot Cell Logistics'!$C$4:$D$51,2,FALSE),"N/A")</f>
        <v>N/A</v>
      </c>
    </row>
    <row r="143" spans="2:19" x14ac:dyDescent="0.4">
      <c r="B143" s="3996"/>
      <c r="C143" s="572" t="s">
        <v>968</v>
      </c>
      <c r="D143" s="572" t="s">
        <v>778</v>
      </c>
      <c r="E143" s="574">
        <f t="shared" si="4"/>
        <v>0.69444444444444442</v>
      </c>
      <c r="F143" s="580">
        <f>IF($D143="Trigger",VLOOKUP($C143,'Upper Hot Cell Critical Path'!$C$3:$F$322,4,FALSE),E143+F142)</f>
        <v>29.587222222222216</v>
      </c>
      <c r="G143" s="575"/>
      <c r="H143" s="576" t="str">
        <f>IF(D143="operation",VLOOKUP(G143,'Generic Vertical Port Tasks'!C190:D204,2,FALSE),"N/A")</f>
        <v>N/A</v>
      </c>
      <c r="I143" s="572" t="s">
        <v>857</v>
      </c>
      <c r="J143" s="572" t="s">
        <v>452</v>
      </c>
      <c r="K143" s="572" t="s">
        <v>858</v>
      </c>
      <c r="L143" s="577">
        <f>IFERROR(INDEX('Upper Hot Cell Logistics'!$I$35:$O$41,MATCH($J143,'Upper Hot Cell Logistics'!$H$35:$H$41,0),MATCH($K143,'Upper Hot Cell Logistics'!$H$35:$H$41,0)),"N/A")</f>
        <v>50</v>
      </c>
      <c r="M143" s="577">
        <f>IFERROR(VLOOKUP($I143,'Upper Hot Cell Logistics'!$H$4:$I$9,2,FALSE),"N/A")</f>
        <v>0.02</v>
      </c>
      <c r="N143" s="578">
        <f t="shared" si="6"/>
        <v>0.69444444444444442</v>
      </c>
      <c r="O143" s="579"/>
      <c r="P143" s="580" t="str">
        <f>IF($D143="Logistics",VLOOKUP($O143,'Upper Hot Cell Logistics'!$C$4:$D$51,2,FALSE),"N/A")</f>
        <v>N/A</v>
      </c>
    </row>
    <row r="144" spans="2:19" ht="15" customHeight="1" x14ac:dyDescent="0.4">
      <c r="B144" s="3996"/>
      <c r="C144" s="572" t="s">
        <v>970</v>
      </c>
      <c r="D144" s="572" t="s">
        <v>3</v>
      </c>
      <c r="E144" s="574">
        <f t="shared" si="4"/>
        <v>0.78</v>
      </c>
      <c r="F144" s="580">
        <f>IF($D144="Trigger",VLOOKUP($C144,'Upper Hot Cell Critical Path'!$C$3:$F$322,4,FALSE),E144+F143)</f>
        <v>30.367222222222217</v>
      </c>
      <c r="G144" s="575"/>
      <c r="H144" s="576" t="str">
        <f>IF(D144="operation",VLOOKUP(G144,'Generic Vertical Port Tasks'!C190:D205,2,FALSE),"N/A")</f>
        <v>N/A</v>
      </c>
      <c r="I144" s="572"/>
      <c r="J144" s="572"/>
      <c r="K144" s="572"/>
      <c r="L144" s="577" t="str">
        <f>IFERROR(INDEX('Upper Hot Cell Logistics'!$I$35:$O$41,MATCH($J144,'Upper Hot Cell Logistics'!$H$35:$H$41,0),MATCH($K144,'Upper Hot Cell Logistics'!$H$35:$H$41,0)),"N/A")</f>
        <v>N/A</v>
      </c>
      <c r="M144" s="577" t="str">
        <f>IFERROR(VLOOKUP($I144,'Upper Hot Cell Logistics'!$H$4:$I$9,2,FALSE),"N/A")</f>
        <v>N/A</v>
      </c>
      <c r="N144" s="578" t="str">
        <f t="shared" si="6"/>
        <v>N/A</v>
      </c>
      <c r="O144" s="579" t="s">
        <v>971</v>
      </c>
      <c r="P144" s="580">
        <f>IF($D144="Logistics",VLOOKUP($O144,'Upper Hot Cell Logistics'!$C$4:$D$51,2,FALSE),"N/A")</f>
        <v>0.78</v>
      </c>
    </row>
    <row r="145" spans="2:16" ht="15" thickBot="1" x14ac:dyDescent="0.45">
      <c r="B145" s="3997"/>
      <c r="C145" s="583" t="str">
        <f>B142</f>
        <v>LOB Blanket Segment Exported</v>
      </c>
      <c r="D145" s="583" t="s">
        <v>11</v>
      </c>
      <c r="E145" s="585">
        <f t="shared" si="4"/>
        <v>0</v>
      </c>
      <c r="F145" s="591">
        <f>IF($D145="Trigger",VLOOKUP($C145,'Upper Hot Cell Critical Path'!$C$3:$F$322,4,FALSE),E145+F144)</f>
        <v>30.367222222222217</v>
      </c>
      <c r="G145" s="586"/>
      <c r="H145" s="587" t="str">
        <f>IF(D145="operation",VLOOKUP(G145,'Generic Vertical Port Tasks'!C190:D206,2,FALSE),"N/A")</f>
        <v>N/A</v>
      </c>
      <c r="I145" s="583"/>
      <c r="J145" s="583"/>
      <c r="K145" s="583"/>
      <c r="L145" s="588" t="str">
        <f>IFERROR(INDEX('Upper Hot Cell Logistics'!$I$35:$O$41,MATCH($J145,'Upper Hot Cell Logistics'!$H$35:$H$41,0),MATCH($K145,'Upper Hot Cell Logistics'!$H$35:$H$41,0)),"N/A")</f>
        <v>N/A</v>
      </c>
      <c r="M145" s="588" t="str">
        <f>IFERROR(VLOOKUP($I145,'Upper Hot Cell Logistics'!$H$4:$I$9,2,FALSE),"N/A")</f>
        <v>N/A</v>
      </c>
      <c r="N145" s="589" t="str">
        <f t="shared" si="6"/>
        <v>N/A</v>
      </c>
      <c r="O145" s="590"/>
      <c r="P145" s="591" t="str">
        <f>IF($D145="Logistics",VLOOKUP($O145,'Upper Hot Cell Logistics'!$C$4:$D$51,2,FALSE),"N/A")</f>
        <v>N/A</v>
      </c>
    </row>
    <row r="146" spans="2:16" x14ac:dyDescent="0.4">
      <c r="B146" s="3992" t="s">
        <v>867</v>
      </c>
      <c r="C146" s="596" t="str">
        <f>'Upper Hot Cell Critical Path'!C96</f>
        <v>Install ROB Blanket Segment</v>
      </c>
      <c r="D146" s="596" t="s">
        <v>907</v>
      </c>
      <c r="E146" s="593">
        <f t="shared" si="4"/>
        <v>0</v>
      </c>
      <c r="F146" s="600">
        <f>IF($D146="Trigger",VLOOKUP($C146,'Upper Hot Cell Critical Path'!$C$3:$F$322,4,FALSE),E146+F145)</f>
        <v>33.917222222222215</v>
      </c>
      <c r="G146" s="594"/>
      <c r="H146" s="595" t="str">
        <f>IF(D146="operation",VLOOKUP(G146,'Generic Vertical Port Tasks'!C190:D207,2,FALSE),"N/A")</f>
        <v>N/A</v>
      </c>
      <c r="I146" s="596"/>
      <c r="J146" s="596"/>
      <c r="K146" s="596"/>
      <c r="L146" s="597" t="str">
        <f>IFERROR(INDEX('Upper Hot Cell Logistics'!$I$35:$O$41,MATCH($J146,'Upper Hot Cell Logistics'!$H$35:$H$41,0),MATCH($K146,'Upper Hot Cell Logistics'!$H$35:$H$41,0)),"N/A")</f>
        <v>N/A</v>
      </c>
      <c r="M146" s="597" t="str">
        <f>IFERROR(VLOOKUP($I146,'Upper Hot Cell Logistics'!$H$4:$I$9,2,FALSE),"N/A")</f>
        <v>N/A</v>
      </c>
      <c r="N146" s="598" t="str">
        <f t="shared" si="6"/>
        <v>N/A</v>
      </c>
      <c r="O146" s="599"/>
      <c r="P146" s="600" t="str">
        <f>IF($D146="Logistics",VLOOKUP($O146,'Upper Hot Cell Logistics'!$C$4:$D$51,2,FALSE),"N/A")</f>
        <v>N/A</v>
      </c>
    </row>
    <row r="147" spans="2:16" x14ac:dyDescent="0.4">
      <c r="B147" s="3993"/>
      <c r="C147" s="601" t="s">
        <v>968</v>
      </c>
      <c r="D147" s="601" t="s">
        <v>778</v>
      </c>
      <c r="E147" s="602">
        <f t="shared" si="4"/>
        <v>0.69444444444444442</v>
      </c>
      <c r="F147" s="608">
        <f>IF($D147="Trigger",VLOOKUP($C147,'Upper Hot Cell Critical Path'!$C$3:$F$322,4,FALSE),E147+F146)</f>
        <v>34.611666666666657</v>
      </c>
      <c r="G147" s="603"/>
      <c r="H147" s="604" t="str">
        <f>IF(D147="operation",VLOOKUP(G147,'Generic Vertical Port Tasks'!C191:D208,2,FALSE),"N/A")</f>
        <v>N/A</v>
      </c>
      <c r="I147" s="601" t="s">
        <v>857</v>
      </c>
      <c r="J147" s="601" t="s">
        <v>452</v>
      </c>
      <c r="K147" s="601" t="s">
        <v>858</v>
      </c>
      <c r="L147" s="605">
        <f>IFERROR(INDEX('Upper Hot Cell Logistics'!$I$35:$O$41,MATCH($J147,'Upper Hot Cell Logistics'!$H$35:$H$41,0),MATCH($K147,'Upper Hot Cell Logistics'!$H$35:$H$41,0)),"N/A")</f>
        <v>50</v>
      </c>
      <c r="M147" s="605">
        <f>IFERROR(VLOOKUP($I147,'Upper Hot Cell Logistics'!$H$4:$I$9,2,FALSE),"N/A")</f>
        <v>0.02</v>
      </c>
      <c r="N147" s="606">
        <f t="shared" si="6"/>
        <v>0.69444444444444442</v>
      </c>
      <c r="O147" s="607"/>
      <c r="P147" s="608" t="str">
        <f>IF($D147="Logistics",VLOOKUP($O147,'Upper Hot Cell Logistics'!$C$4:$D$51,2,FALSE),"N/A")</f>
        <v>N/A</v>
      </c>
    </row>
    <row r="148" spans="2:16" x14ac:dyDescent="0.4">
      <c r="B148" s="3993"/>
      <c r="C148" s="601" t="s">
        <v>970</v>
      </c>
      <c r="D148" s="601" t="s">
        <v>3</v>
      </c>
      <c r="E148" s="602">
        <f t="shared" si="4"/>
        <v>0.78</v>
      </c>
      <c r="F148" s="608">
        <f>IF($D148="Trigger",VLOOKUP($C148,'Upper Hot Cell Critical Path'!$C$3:$F$322,4,FALSE),E148+F147)</f>
        <v>35.391666666666659</v>
      </c>
      <c r="G148" s="603"/>
      <c r="H148" s="604" t="str">
        <f>IF(D148="operation",VLOOKUP(G148,'Generic Vertical Port Tasks'!C192:D209,2,FALSE),"N/A")</f>
        <v>N/A</v>
      </c>
      <c r="I148" s="601"/>
      <c r="J148" s="601"/>
      <c r="K148" s="601"/>
      <c r="L148" s="605" t="str">
        <f>IFERROR(INDEX('Upper Hot Cell Logistics'!$I$35:$O$41,MATCH($J148,'Upper Hot Cell Logistics'!$H$35:$H$41,0),MATCH($K148,'Upper Hot Cell Logistics'!$H$35:$H$41,0)),"N/A")</f>
        <v>N/A</v>
      </c>
      <c r="M148" s="605" t="str">
        <f>IFERROR(VLOOKUP($I148,'Upper Hot Cell Logistics'!$H$4:$I$9,2,FALSE),"N/A")</f>
        <v>N/A</v>
      </c>
      <c r="N148" s="606" t="str">
        <f t="shared" si="6"/>
        <v>N/A</v>
      </c>
      <c r="O148" s="607" t="s">
        <v>971</v>
      </c>
      <c r="P148" s="608">
        <f>IF($D148="Logistics",VLOOKUP($O148,'Upper Hot Cell Logistics'!$C$4:$D$51,2,FALSE),"N/A")</f>
        <v>0.78</v>
      </c>
    </row>
    <row r="149" spans="2:16" ht="15" thickBot="1" x14ac:dyDescent="0.45">
      <c r="B149" s="3994"/>
      <c r="C149" s="609" t="str">
        <f>B146</f>
        <v>COB Blanket Segment Exported</v>
      </c>
      <c r="D149" s="609" t="s">
        <v>11</v>
      </c>
      <c r="E149" s="610">
        <f t="shared" si="4"/>
        <v>0</v>
      </c>
      <c r="F149" s="616">
        <f>IF($D149="Trigger",VLOOKUP($C149,'Upper Hot Cell Critical Path'!$C$3:$F$322,4,FALSE),E149+F148)</f>
        <v>35.391666666666659</v>
      </c>
      <c r="G149" s="611"/>
      <c r="H149" s="612" t="str">
        <f>IF(D149="operation",VLOOKUP(G149,'Generic Vertical Port Tasks'!C193:D210,2,FALSE),"N/A")</f>
        <v>N/A</v>
      </c>
      <c r="I149" s="609"/>
      <c r="J149" s="609"/>
      <c r="K149" s="609"/>
      <c r="L149" s="613" t="str">
        <f>IFERROR(INDEX('Upper Hot Cell Logistics'!$I$35:$O$41,MATCH($J149,'Upper Hot Cell Logistics'!$H$35:$H$41,0),MATCH($K149,'Upper Hot Cell Logistics'!$H$35:$H$41,0)),"N/A")</f>
        <v>N/A</v>
      </c>
      <c r="M149" s="613" t="str">
        <f>IFERROR(VLOOKUP($I149,'Upper Hot Cell Logistics'!$H$4:$I$9,2,FALSE),"N/A")</f>
        <v>N/A</v>
      </c>
      <c r="N149" s="614" t="str">
        <f t="shared" si="6"/>
        <v>N/A</v>
      </c>
      <c r="O149" s="615"/>
      <c r="P149" s="616" t="str">
        <f>IF($D149="Logistics",VLOOKUP($O149,'Upper Hot Cell Logistics'!$C$4:$D$51,2,FALSE),"N/A")</f>
        <v>N/A</v>
      </c>
    </row>
    <row r="150" spans="2:16" x14ac:dyDescent="0.4">
      <c r="B150" s="3995" t="s">
        <v>972</v>
      </c>
      <c r="C150" s="617" t="str">
        <f>'Upper Hot Cell Critical Path'!C98</f>
        <v>Install LOB Blanket Segment</v>
      </c>
      <c r="D150" s="617" t="s">
        <v>907</v>
      </c>
      <c r="E150" s="567">
        <f t="shared" si="4"/>
        <v>0</v>
      </c>
      <c r="F150" s="621">
        <f>IF($D150="Trigger",VLOOKUP($C150,'Upper Hot Cell Critical Path'!$C$3:$F$322,4,FALSE),E150+F149)</f>
        <v>38.941666666666656</v>
      </c>
      <c r="G150" s="568"/>
      <c r="H150" s="569" t="str">
        <f>IF(D150="operation",VLOOKUP(G150,'Generic Vertical Port Tasks'!C194:D211,2,FALSE),"N/A")</f>
        <v>N/A</v>
      </c>
      <c r="I150" s="617"/>
      <c r="J150" s="617"/>
      <c r="K150" s="617"/>
      <c r="L150" s="618" t="str">
        <f>IFERROR(INDEX('Upper Hot Cell Logistics'!$I$35:$O$41,MATCH($J150,'Upper Hot Cell Logistics'!$H$35:$H$41,0),MATCH($K150,'Upper Hot Cell Logistics'!$H$35:$H$41,0)),"N/A")</f>
        <v>N/A</v>
      </c>
      <c r="M150" s="618" t="str">
        <f>IFERROR(VLOOKUP($I150,'Upper Hot Cell Logistics'!$H$4:$I$9,2,FALSE),"N/A")</f>
        <v>N/A</v>
      </c>
      <c r="N150" s="619" t="str">
        <f t="shared" si="6"/>
        <v>N/A</v>
      </c>
      <c r="O150" s="620"/>
      <c r="P150" s="621" t="str">
        <f>IF($D150="Logistics",VLOOKUP($O150,'Upper Hot Cell Logistics'!$C$4:$D$51,2,FALSE),"N/A")</f>
        <v>N/A</v>
      </c>
    </row>
    <row r="151" spans="2:16" x14ac:dyDescent="0.4">
      <c r="B151" s="3996"/>
      <c r="C151" s="572" t="s">
        <v>921</v>
      </c>
      <c r="D151" s="572" t="s">
        <v>778</v>
      </c>
      <c r="E151" s="574">
        <f t="shared" si="4"/>
        <v>0.69444444444444442</v>
      </c>
      <c r="F151" s="580">
        <f>IF($D151="Trigger",VLOOKUP($C151,'Upper Hot Cell Critical Path'!$C$3:$F$322,4,FALSE),E151+F150)</f>
        <v>39.636111111111099</v>
      </c>
      <c r="G151" s="575"/>
      <c r="H151" s="576" t="str">
        <f>IF(D151="operation",VLOOKUP(G151,'Generic Vertical Port Tasks'!C195:D212,2,FALSE),"N/A")</f>
        <v>N/A</v>
      </c>
      <c r="I151" s="572" t="s">
        <v>857</v>
      </c>
      <c r="J151" s="572" t="s">
        <v>452</v>
      </c>
      <c r="K151" s="572" t="s">
        <v>914</v>
      </c>
      <c r="L151" s="577">
        <f>IFERROR(INDEX('Upper Hot Cell Logistics'!$I$35:$O$41,MATCH($J151,'Upper Hot Cell Logistics'!$H$35:$H$41,0),MATCH($K151,'Upper Hot Cell Logistics'!$H$35:$H$41,0)),"N/A")</f>
        <v>50</v>
      </c>
      <c r="M151" s="577">
        <f>IFERROR(VLOOKUP($I151,'Upper Hot Cell Logistics'!$H$4:$I$9,2,FALSE),"N/A")</f>
        <v>0.02</v>
      </c>
      <c r="N151" s="578">
        <f t="shared" si="6"/>
        <v>0.69444444444444442</v>
      </c>
      <c r="O151" s="579"/>
      <c r="P151" s="580" t="str">
        <f>IF($D151="Logistics",VLOOKUP($O151,'Upper Hot Cell Logistics'!$C$4:$D$51,2,FALSE),"N/A")</f>
        <v>N/A</v>
      </c>
    </row>
    <row r="152" spans="2:16" x14ac:dyDescent="0.4">
      <c r="B152" s="3996"/>
      <c r="C152" s="572" t="s">
        <v>973</v>
      </c>
      <c r="D152" s="572" t="s">
        <v>3</v>
      </c>
      <c r="E152" s="574">
        <f t="shared" si="4"/>
        <v>0.78</v>
      </c>
      <c r="F152" s="580">
        <f>IF($D152="Trigger",VLOOKUP($C152,'Upper Hot Cell Critical Path'!$C$3:$F$322,4,FALSE),E152+F151)</f>
        <v>40.4161111111111</v>
      </c>
      <c r="G152" s="575"/>
      <c r="H152" s="576" t="str">
        <f>IF(D152="operation",VLOOKUP(G152,'Generic Vertical Port Tasks'!C196:D213,2,FALSE),"N/A")</f>
        <v>N/A</v>
      </c>
      <c r="I152" s="572"/>
      <c r="J152" s="572"/>
      <c r="K152" s="572"/>
      <c r="L152" s="577" t="str">
        <f>IFERROR(INDEX('Upper Hot Cell Logistics'!$I$35:$O$41,MATCH($J152,'Upper Hot Cell Logistics'!$H$35:$H$41,0),MATCH($K152,'Upper Hot Cell Logistics'!$H$35:$H$41,0)),"N/A")</f>
        <v>N/A</v>
      </c>
      <c r="M152" s="577" t="str">
        <f>IFERROR(VLOOKUP($I152,'Upper Hot Cell Logistics'!$H$4:$I$9,2,FALSE),"N/A")</f>
        <v>N/A</v>
      </c>
      <c r="N152" s="578" t="str">
        <f t="shared" si="6"/>
        <v>N/A</v>
      </c>
      <c r="O152" s="579" t="s">
        <v>937</v>
      </c>
      <c r="P152" s="580">
        <f>IF($D152="Logistics",VLOOKUP($O152,'Upper Hot Cell Logistics'!$C$4:$D$51,2,FALSE),"N/A")</f>
        <v>0.78</v>
      </c>
    </row>
    <row r="153" spans="2:16" x14ac:dyDescent="0.4">
      <c r="B153" s="3996"/>
      <c r="C153" s="572" t="s">
        <v>968</v>
      </c>
      <c r="D153" s="572" t="s">
        <v>778</v>
      </c>
      <c r="E153" s="574">
        <f t="shared" si="4"/>
        <v>1.3888888888888888E-2</v>
      </c>
      <c r="F153" s="580">
        <f>IF($D153="Trigger",VLOOKUP($C153,'Upper Hot Cell Critical Path'!$C$3:$F$322,4,FALSE),E153+F152)</f>
        <v>40.429999999999986</v>
      </c>
      <c r="G153" s="575"/>
      <c r="H153" s="576" t="str">
        <f>IF(D153="operation",VLOOKUP(G153,'Generic Vertical Port Tasks'!C197:D214,2,FALSE),"N/A")</f>
        <v>N/A</v>
      </c>
      <c r="I153" s="572" t="s">
        <v>798</v>
      </c>
      <c r="J153" s="572" t="s">
        <v>831</v>
      </c>
      <c r="K153" s="572" t="s">
        <v>858</v>
      </c>
      <c r="L153" s="577">
        <f>IFERROR(INDEX('Upper Hot Cell Logistics'!$I$35:$O$41,MATCH($J153,'Upper Hot Cell Logistics'!$H$35:$H$41,0),MATCH($K153,'Upper Hot Cell Logistics'!$H$35:$H$41,0)),"N/A")</f>
        <v>10</v>
      </c>
      <c r="M153" s="577">
        <f>IFERROR(VLOOKUP($I153,'Upper Hot Cell Logistics'!$H$4:$I$9,2,FALSE),"N/A")</f>
        <v>0.2</v>
      </c>
      <c r="N153" s="578">
        <f t="shared" si="6"/>
        <v>1.3888888888888888E-2</v>
      </c>
      <c r="O153" s="579"/>
      <c r="P153" s="580" t="str">
        <f>IF($D153="Logistics",VLOOKUP($O153,'Upper Hot Cell Logistics'!$C$4:$D$51,2,FALSE),"N/A")</f>
        <v>N/A</v>
      </c>
    </row>
    <row r="154" spans="2:16" x14ac:dyDescent="0.4">
      <c r="B154" s="3996"/>
      <c r="C154" s="572" t="s">
        <v>974</v>
      </c>
      <c r="D154" s="572" t="s">
        <v>3</v>
      </c>
      <c r="E154" s="574">
        <f t="shared" si="4"/>
        <v>1.08</v>
      </c>
      <c r="F154" s="580">
        <f>IF($D154="Trigger",VLOOKUP($C154,'Upper Hot Cell Critical Path'!$C$3:$F$322,4,FALSE),E154+F153)</f>
        <v>41.509999999999984</v>
      </c>
      <c r="G154" s="575"/>
      <c r="H154" s="576" t="str">
        <f>IF(D154="operation",VLOOKUP(G154,'Generic Vertical Port Tasks'!C198:D215,2,FALSE),"N/A")</f>
        <v>N/A</v>
      </c>
      <c r="I154" s="572"/>
      <c r="J154" s="572"/>
      <c r="K154" s="572"/>
      <c r="L154" s="577" t="str">
        <f>IFERROR(INDEX('Upper Hot Cell Logistics'!$I$35:$O$41,MATCH($J154,'Upper Hot Cell Logistics'!$H$35:$H$41,0),MATCH($K154,'Upper Hot Cell Logistics'!$H$35:$H$41,0)),"N/A")</f>
        <v>N/A</v>
      </c>
      <c r="M154" s="577" t="str">
        <f>IFERROR(VLOOKUP($I154,'Upper Hot Cell Logistics'!$H$4:$I$9,2,FALSE),"N/A")</f>
        <v>N/A</v>
      </c>
      <c r="N154" s="578" t="str">
        <f t="shared" si="6"/>
        <v>N/A</v>
      </c>
      <c r="O154" s="579" t="s">
        <v>909</v>
      </c>
      <c r="P154" s="580">
        <f>IF($D154="Logistics",VLOOKUP($O154,'Upper Hot Cell Logistics'!$C$4:$D$51,2,FALSE),"N/A")</f>
        <v>1.08</v>
      </c>
    </row>
    <row r="155" spans="2:16" x14ac:dyDescent="0.4">
      <c r="B155" s="3996"/>
      <c r="C155" s="572" t="s">
        <v>968</v>
      </c>
      <c r="D155" s="572" t="s">
        <v>778</v>
      </c>
      <c r="E155" s="574">
        <f t="shared" si="4"/>
        <v>2.7777777777777776E-2</v>
      </c>
      <c r="F155" s="580">
        <f>IF($D155="Trigger",VLOOKUP($C155,'Upper Hot Cell Critical Path'!$C$3:$F$322,4,FALSE),E155+F154)</f>
        <v>41.537777777777762</v>
      </c>
      <c r="G155" s="575"/>
      <c r="H155" s="576" t="str">
        <f>IF(D155="operation",VLOOKUP(G155,'Generic Vertical Port Tasks'!C199:D216,2,FALSE),"N/A")</f>
        <v>N/A</v>
      </c>
      <c r="I155" s="572" t="s">
        <v>798</v>
      </c>
      <c r="J155" s="572" t="s">
        <v>799</v>
      </c>
      <c r="K155" s="572" t="s">
        <v>858</v>
      </c>
      <c r="L155" s="577">
        <f>IFERROR(INDEX('Upper Hot Cell Logistics'!$I$35:$O$41,MATCH($J155,'Upper Hot Cell Logistics'!$H$35:$H$41,0),MATCH($K155,'Upper Hot Cell Logistics'!$H$35:$H$41,0)),"N/A")</f>
        <v>20</v>
      </c>
      <c r="M155" s="577">
        <f>IFERROR(VLOOKUP($I155,'Upper Hot Cell Logistics'!$H$4:$I$9,2,FALSE),"N/A")</f>
        <v>0.2</v>
      </c>
      <c r="N155" s="578">
        <f t="shared" si="6"/>
        <v>2.7777777777777776E-2</v>
      </c>
      <c r="O155" s="579"/>
      <c r="P155" s="580" t="str">
        <f>IF($D155="Logistics",VLOOKUP($O155,'Upper Hot Cell Logistics'!$C$4:$D$51,2,FALSE),"N/A")</f>
        <v>N/A</v>
      </c>
    </row>
    <row r="156" spans="2:16" x14ac:dyDescent="0.4">
      <c r="B156" s="3996"/>
      <c r="C156" s="572" t="s">
        <v>975</v>
      </c>
      <c r="D156" s="572" t="s">
        <v>3</v>
      </c>
      <c r="E156" s="574">
        <f t="shared" si="4"/>
        <v>0.78</v>
      </c>
      <c r="F156" s="580">
        <f>IF($D156="Trigger",VLOOKUP($C156,'Upper Hot Cell Critical Path'!$C$3:$F$322,4,FALSE),E156+F155)</f>
        <v>42.317777777777764</v>
      </c>
      <c r="G156" s="575"/>
      <c r="H156" s="576" t="str">
        <f>IF(D156="operation",VLOOKUP(G156,'Generic Vertical Port Tasks'!C200:D217,2,FALSE),"N/A")</f>
        <v>N/A</v>
      </c>
      <c r="I156" s="572"/>
      <c r="J156" s="572"/>
      <c r="K156" s="572"/>
      <c r="L156" s="577" t="str">
        <f>IFERROR(INDEX('Upper Hot Cell Logistics'!$I$35:$O$41,MATCH($J156,'Upper Hot Cell Logistics'!$H$35:$H$41,0),MATCH($K156,'Upper Hot Cell Logistics'!$H$35:$H$41,0)),"N/A")</f>
        <v>N/A</v>
      </c>
      <c r="M156" s="577" t="str">
        <f>IFERROR(VLOOKUP($I156,'Upper Hot Cell Logistics'!$H$4:$I$9,2,FALSE),"N/A")</f>
        <v>N/A</v>
      </c>
      <c r="N156" s="578" t="str">
        <f t="shared" si="6"/>
        <v>N/A</v>
      </c>
      <c r="O156" s="579" t="s">
        <v>971</v>
      </c>
      <c r="P156" s="580">
        <f>IF($D156="Logistics",VLOOKUP($O156,'Upper Hot Cell Logistics'!$C$4:$D$51,2,FALSE),"N/A")</f>
        <v>0.78</v>
      </c>
    </row>
    <row r="157" spans="2:16" ht="26.6" thickBot="1" x14ac:dyDescent="0.45">
      <c r="B157" s="3997"/>
      <c r="C157" s="583" t="str">
        <f>B150</f>
        <v>Blanket Transporter stored &amp; Pipe Module interface hardware Collected &amp; Pipe Module 5 Collected</v>
      </c>
      <c r="D157" s="583" t="s">
        <v>11</v>
      </c>
      <c r="E157" s="585">
        <f t="shared" si="4"/>
        <v>0</v>
      </c>
      <c r="F157" s="591">
        <f>IF($D157="Trigger",VLOOKUP($C157,'Upper Hot Cell Critical Path'!$C$3:$F$322,4,FALSE),E157+F156)</f>
        <v>42.317777777777764</v>
      </c>
      <c r="G157" s="586"/>
      <c r="H157" s="587" t="str">
        <f>IF(D157="operation",VLOOKUP(G157,'Generic Vertical Port Tasks'!C201:D218,2,FALSE),"N/A")</f>
        <v>N/A</v>
      </c>
      <c r="I157" s="583"/>
      <c r="J157" s="583"/>
      <c r="K157" s="583"/>
      <c r="L157" s="588" t="str">
        <f>IFERROR(INDEX('Upper Hot Cell Logistics'!$I$35:$O$41,MATCH($J157,'Upper Hot Cell Logistics'!$H$35:$H$41,0),MATCH($K157,'Upper Hot Cell Logistics'!$H$35:$H$41,0)),"N/A")</f>
        <v>N/A</v>
      </c>
      <c r="M157" s="588" t="str">
        <f>IFERROR(VLOOKUP($I157,'Upper Hot Cell Logistics'!$H$4:$I$9,2,FALSE),"N/A")</f>
        <v>N/A</v>
      </c>
      <c r="N157" s="589" t="str">
        <f t="shared" si="6"/>
        <v>N/A</v>
      </c>
      <c r="O157" s="590"/>
      <c r="P157" s="591" t="str">
        <f>IF($D157="Logistics",VLOOKUP($O157,'Upper Hot Cell Logistics'!$C$4:$D$51,2,FALSE),"N/A")</f>
        <v>N/A</v>
      </c>
    </row>
    <row r="158" spans="2:16" x14ac:dyDescent="0.4">
      <c r="B158" s="3992" t="s">
        <v>871</v>
      </c>
      <c r="C158" s="596" t="str">
        <f>'Upper Hot Cell Critical Path'!C100</f>
        <v>Install COB Blanket Segment</v>
      </c>
      <c r="D158" s="596" t="s">
        <v>907</v>
      </c>
      <c r="E158" s="593">
        <f t="shared" si="4"/>
        <v>0</v>
      </c>
      <c r="F158" s="600">
        <f>IF($D158="Trigger",VLOOKUP($C158,'Upper Hot Cell Critical Path'!$C$3:$F$322,4,FALSE),E158+F157)</f>
        <v>43.966111111111097</v>
      </c>
      <c r="G158" s="594"/>
      <c r="H158" s="595" t="str">
        <f>IF(D158="operation",VLOOKUP(G158,'Generic Vertical Port Tasks'!C202:D219,2,FALSE),"N/A")</f>
        <v>N/A</v>
      </c>
      <c r="I158" s="596"/>
      <c r="J158" s="596"/>
      <c r="K158" s="596"/>
      <c r="L158" s="597" t="str">
        <f>IFERROR(INDEX('Upper Hot Cell Logistics'!$I$35:$O$41,MATCH($J158,'Upper Hot Cell Logistics'!$H$35:$H$41,0),MATCH($K158,'Upper Hot Cell Logistics'!$H$35:$H$41,0)),"N/A")</f>
        <v>N/A</v>
      </c>
      <c r="M158" s="597" t="str">
        <f>IFERROR(VLOOKUP($I158,'Upper Hot Cell Logistics'!$H$4:$I$9,2,FALSE),"N/A")</f>
        <v>N/A</v>
      </c>
      <c r="N158" s="598" t="str">
        <f t="shared" si="6"/>
        <v>N/A</v>
      </c>
      <c r="O158" s="599"/>
      <c r="P158" s="600" t="str">
        <f>IF($D158="Logistics",VLOOKUP($O158,'Upper Hot Cell Logistics'!$C$4:$D$51,2,FALSE),"N/A")</f>
        <v>N/A</v>
      </c>
    </row>
    <row r="159" spans="2:16" x14ac:dyDescent="0.4">
      <c r="B159" s="3993"/>
      <c r="C159" s="601" t="s">
        <v>913</v>
      </c>
      <c r="D159" s="601" t="s">
        <v>778</v>
      </c>
      <c r="E159" s="602">
        <f t="shared" si="4"/>
        <v>0.69444444444444442</v>
      </c>
      <c r="F159" s="608">
        <f>IF($D159="Trigger",VLOOKUP($C159,'Upper Hot Cell Critical Path'!$C$3:$F$322,4,FALSE),E159+F158)</f>
        <v>44.66055555555554</v>
      </c>
      <c r="G159" s="603"/>
      <c r="H159" s="604" t="str">
        <f>IF(D159="operation",VLOOKUP(G159,'Generic Vertical Port Tasks'!C203:D220,2,FALSE),"N/A")</f>
        <v>N/A</v>
      </c>
      <c r="I159" s="601" t="s">
        <v>857</v>
      </c>
      <c r="J159" s="601" t="s">
        <v>452</v>
      </c>
      <c r="K159" s="601" t="s">
        <v>914</v>
      </c>
      <c r="L159" s="605">
        <f>IFERROR(INDEX('Upper Hot Cell Logistics'!$I$35:$O$41,MATCH($J159,'Upper Hot Cell Logistics'!$H$35:$H$41,0),MATCH($K159,'Upper Hot Cell Logistics'!$H$35:$H$41,0)),"N/A")</f>
        <v>50</v>
      </c>
      <c r="M159" s="605">
        <f>IFERROR(VLOOKUP($I159,'Upper Hot Cell Logistics'!$H$4:$I$9,2,FALSE),"N/A")</f>
        <v>0.02</v>
      </c>
      <c r="N159" s="606">
        <f t="shared" si="6"/>
        <v>0.69444444444444442</v>
      </c>
      <c r="O159" s="607"/>
      <c r="P159" s="608" t="str">
        <f>IF($D159="Logistics",VLOOKUP($O159,'Upper Hot Cell Logistics'!$C$4:$D$51,2,FALSE),"N/A")</f>
        <v>N/A</v>
      </c>
    </row>
    <row r="160" spans="2:16" x14ac:dyDescent="0.4">
      <c r="B160" s="3993"/>
      <c r="C160" s="601" t="s">
        <v>973</v>
      </c>
      <c r="D160" s="601" t="s">
        <v>3</v>
      </c>
      <c r="E160" s="602">
        <f t="shared" si="4"/>
        <v>0.78</v>
      </c>
      <c r="F160" s="608">
        <f>IF($D160="Trigger",VLOOKUP($C160,'Upper Hot Cell Critical Path'!$C$3:$F$322,4,FALSE),E160+F159)</f>
        <v>45.440555555555541</v>
      </c>
      <c r="G160" s="603"/>
      <c r="H160" s="604" t="str">
        <f>IF(D160="operation",VLOOKUP(G160,'Generic Vertical Port Tasks'!C204:D221,2,FALSE),"N/A")</f>
        <v>N/A</v>
      </c>
      <c r="I160" s="601"/>
      <c r="J160" s="601"/>
      <c r="K160" s="601"/>
      <c r="L160" s="605" t="str">
        <f>IFERROR(INDEX('Upper Hot Cell Logistics'!$I$35:$O$41,MATCH($J160,'Upper Hot Cell Logistics'!$H$35:$H$41,0),MATCH($K160,'Upper Hot Cell Logistics'!$H$35:$H$41,0)),"N/A")</f>
        <v>N/A</v>
      </c>
      <c r="M160" s="605" t="str">
        <f>IFERROR(VLOOKUP($I160,'Upper Hot Cell Logistics'!$H$4:$I$9,2,FALSE),"N/A")</f>
        <v>N/A</v>
      </c>
      <c r="N160" s="606" t="str">
        <f t="shared" si="6"/>
        <v>N/A</v>
      </c>
      <c r="O160" s="607" t="s">
        <v>937</v>
      </c>
      <c r="P160" s="608">
        <f>IF($D160="Logistics",VLOOKUP($O160,'Upper Hot Cell Logistics'!$C$4:$D$51,2,FALSE),"N/A")</f>
        <v>0.78</v>
      </c>
    </row>
    <row r="161" spans="2:16" x14ac:dyDescent="0.4">
      <c r="B161" s="3993"/>
      <c r="C161" s="601" t="s">
        <v>976</v>
      </c>
      <c r="D161" s="601" t="s">
        <v>778</v>
      </c>
      <c r="E161" s="602">
        <f t="shared" si="4"/>
        <v>1.3888888888888888E-2</v>
      </c>
      <c r="F161" s="608">
        <f>IF($D161="Trigger",VLOOKUP($C161,'Upper Hot Cell Critical Path'!$C$3:$F$322,4,FALSE),E161+F160)</f>
        <v>45.454444444444427</v>
      </c>
      <c r="G161" s="603"/>
      <c r="H161" s="604" t="str">
        <f>IF(D161="operation",VLOOKUP(G161,'Generic Vertical Port Tasks'!C205:D222,2,FALSE),"N/A")</f>
        <v>N/A</v>
      </c>
      <c r="I161" s="601" t="s">
        <v>798</v>
      </c>
      <c r="J161" s="601" t="s">
        <v>831</v>
      </c>
      <c r="K161" s="601" t="s">
        <v>858</v>
      </c>
      <c r="L161" s="605">
        <f>IFERROR(INDEX('Upper Hot Cell Logistics'!$I$35:$O$41,MATCH($J161,'Upper Hot Cell Logistics'!$H$35:$H$41,0),MATCH($K161,'Upper Hot Cell Logistics'!$H$35:$H$41,0)),"N/A")</f>
        <v>10</v>
      </c>
      <c r="M161" s="605">
        <f>IFERROR(VLOOKUP($I161,'Upper Hot Cell Logistics'!$H$4:$I$9,2,FALSE),"N/A")</f>
        <v>0.2</v>
      </c>
      <c r="N161" s="606">
        <f t="shared" si="6"/>
        <v>1.3888888888888888E-2</v>
      </c>
      <c r="O161" s="607"/>
      <c r="P161" s="608" t="str">
        <f>IF($D161="Logistics",VLOOKUP($O161,'Upper Hot Cell Logistics'!$C$4:$D$51,2,FALSE),"N/A")</f>
        <v>N/A</v>
      </c>
    </row>
    <row r="162" spans="2:16" x14ac:dyDescent="0.4">
      <c r="B162" s="3993"/>
      <c r="C162" s="601" t="s">
        <v>933</v>
      </c>
      <c r="D162" s="601" t="s">
        <v>3</v>
      </c>
      <c r="E162" s="602">
        <f t="shared" ref="E162:E225" si="7">MAX($P162,$N162,$H162)</f>
        <v>1.08</v>
      </c>
      <c r="F162" s="608">
        <f>IF($D162="Trigger",VLOOKUP($C162,'Upper Hot Cell Critical Path'!$C$3:$F$322,4,FALSE),E162+F161)</f>
        <v>46.534444444444425</v>
      </c>
      <c r="G162" s="603"/>
      <c r="H162" s="604" t="str">
        <f>IF(D162="operation",VLOOKUP(G162,'Generic Vertical Port Tasks'!C206:D223,2,FALSE),"N/A")</f>
        <v>N/A</v>
      </c>
      <c r="I162" s="601"/>
      <c r="J162" s="601"/>
      <c r="K162" s="601"/>
      <c r="L162" s="605" t="str">
        <f>IFERROR(INDEX('Upper Hot Cell Logistics'!$I$35:$O$41,MATCH($J162,'Upper Hot Cell Logistics'!$H$35:$H$41,0),MATCH($K162,'Upper Hot Cell Logistics'!$H$35:$H$41,0)),"N/A")</f>
        <v>N/A</v>
      </c>
      <c r="M162" s="605" t="str">
        <f>IFERROR(VLOOKUP($I162,'Upper Hot Cell Logistics'!$H$4:$I$9,2,FALSE),"N/A")</f>
        <v>N/A</v>
      </c>
      <c r="N162" s="606" t="str">
        <f t="shared" si="6"/>
        <v>N/A</v>
      </c>
      <c r="O162" s="607" t="s">
        <v>909</v>
      </c>
      <c r="P162" s="608">
        <f>IF($D162="Logistics",VLOOKUP($O162,'Upper Hot Cell Logistics'!$C$4:$D$51,2,FALSE),"N/A")</f>
        <v>1.08</v>
      </c>
    </row>
    <row r="163" spans="2:16" ht="15" thickBot="1" x14ac:dyDescent="0.45">
      <c r="B163" s="3994"/>
      <c r="C163" s="609" t="str">
        <f>B158</f>
        <v>Blanket Transporter stored &amp; Service Joint System Collected</v>
      </c>
      <c r="D163" s="609" t="s">
        <v>11</v>
      </c>
      <c r="E163" s="610">
        <f t="shared" si="7"/>
        <v>0</v>
      </c>
      <c r="F163" s="608">
        <f>IF($D163="Trigger",VLOOKUP($C163,'Upper Hot Cell Critical Path'!$C$3:$F$322,4,FALSE),E163+F162)</f>
        <v>46.534444444444425</v>
      </c>
      <c r="G163" s="611"/>
      <c r="H163" s="612" t="str">
        <f>IF(D163="operation",VLOOKUP(G163,'Generic Vertical Port Tasks'!C207:D224,2,FALSE),"N/A")</f>
        <v>N/A</v>
      </c>
      <c r="I163" s="609"/>
      <c r="J163" s="609"/>
      <c r="K163" s="609"/>
      <c r="L163" s="613" t="str">
        <f>IFERROR(INDEX('Upper Hot Cell Logistics'!$I$35:$O$41,MATCH($J163,'Upper Hot Cell Logistics'!$H$35:$H$41,0),MATCH($K163,'Upper Hot Cell Logistics'!$H$35:$H$41,0)),"N/A")</f>
        <v>N/A</v>
      </c>
      <c r="M163" s="613" t="str">
        <f>IFERROR(VLOOKUP($I163,'Upper Hot Cell Logistics'!$H$4:$I$9,2,FALSE),"N/A")</f>
        <v>N/A</v>
      </c>
      <c r="N163" s="614" t="str">
        <f t="shared" si="6"/>
        <v>N/A</v>
      </c>
      <c r="O163" s="615"/>
      <c r="P163" s="616" t="str">
        <f>IF($D163="Logistics",VLOOKUP($O163,'Upper Hot Cell Logistics'!$C$4:$D$51,2,FALSE),"N/A")</f>
        <v>N/A</v>
      </c>
    </row>
    <row r="164" spans="2:16" x14ac:dyDescent="0.4">
      <c r="B164" s="3995" t="s">
        <v>977</v>
      </c>
      <c r="C164" s="617" t="str">
        <f>'Upper Hot Cell Critical Path'!C102</f>
        <v>Install RIB Pipe Module</v>
      </c>
      <c r="D164" s="617" t="s">
        <v>907</v>
      </c>
      <c r="E164" s="567">
        <f t="shared" si="7"/>
        <v>0</v>
      </c>
      <c r="F164" s="621">
        <f>IF($D164="Trigger",VLOOKUP($C164,'Upper Hot Cell Critical Path'!$C$3:$F$322,4,FALSE),E164+F163)</f>
        <v>48.130555555555539</v>
      </c>
      <c r="G164" s="568"/>
      <c r="H164" s="569" t="str">
        <f>IF(D164="operation",VLOOKUP(G164,'Generic Vertical Port Tasks'!C208:D225,2,FALSE),"N/A")</f>
        <v>N/A</v>
      </c>
      <c r="I164" s="617"/>
      <c r="J164" s="617"/>
      <c r="K164" s="617"/>
      <c r="L164" s="618" t="str">
        <f>IFERROR(INDEX('Upper Hot Cell Logistics'!$I$35:$O$41,MATCH($J164,'Upper Hot Cell Logistics'!$H$35:$H$41,0),MATCH($K164,'Upper Hot Cell Logistics'!$H$35:$H$41,0)),"N/A")</f>
        <v>N/A</v>
      </c>
      <c r="M164" s="618" t="str">
        <f>IFERROR(VLOOKUP($I164,'Upper Hot Cell Logistics'!$H$4:$I$9,2,FALSE),"N/A")</f>
        <v>N/A</v>
      </c>
      <c r="N164" s="619" t="str">
        <f t="shared" si="6"/>
        <v>N/A</v>
      </c>
      <c r="O164" s="620"/>
      <c r="P164" s="621" t="str">
        <f>IF($D164="Logistics",VLOOKUP($O164,'Upper Hot Cell Logistics'!$C$4:$D$51,2,FALSE),"N/A")</f>
        <v>N/A</v>
      </c>
    </row>
    <row r="165" spans="2:16" x14ac:dyDescent="0.4">
      <c r="B165" s="3996"/>
      <c r="C165" s="572" t="s">
        <v>968</v>
      </c>
      <c r="D165" s="572" t="s">
        <v>778</v>
      </c>
      <c r="E165" s="574">
        <f t="shared" si="7"/>
        <v>6.9444444444444448E-2</v>
      </c>
      <c r="F165" s="580">
        <f>IF($D165="Trigger",VLOOKUP($C165,'Upper Hot Cell Critical Path'!$C$3:$F$322,4,FALSE),E165+F164)</f>
        <v>48.199999999999982</v>
      </c>
      <c r="G165" s="575"/>
      <c r="H165" s="576" t="str">
        <f>IF(D165="operation",VLOOKUP(G165,'Generic Vertical Port Tasks'!C209:D226,2,FALSE),"N/A")</f>
        <v>N/A</v>
      </c>
      <c r="I165" s="572" t="s">
        <v>798</v>
      </c>
      <c r="J165" s="572" t="s">
        <v>452</v>
      </c>
      <c r="K165" s="572" t="s">
        <v>858</v>
      </c>
      <c r="L165" s="577">
        <f>IFERROR(INDEX('Upper Hot Cell Logistics'!$I$35:$O$41,MATCH($J165,'Upper Hot Cell Logistics'!$H$35:$H$41,0),MATCH($K165,'Upper Hot Cell Logistics'!$H$35:$H$41,0)),"N/A")</f>
        <v>50</v>
      </c>
      <c r="M165" s="577">
        <f>IFERROR(VLOOKUP($I165,'Upper Hot Cell Logistics'!$H$4:$I$9,2,FALSE),"N/A")</f>
        <v>0.2</v>
      </c>
      <c r="N165" s="578">
        <f t="shared" si="6"/>
        <v>6.9444444444444448E-2</v>
      </c>
      <c r="O165" s="579"/>
      <c r="P165" s="580" t="str">
        <f>IF($D165="Logistics",VLOOKUP($O165,'Upper Hot Cell Logistics'!$C$4:$D$51,2,FALSE),"N/A")</f>
        <v>N/A</v>
      </c>
    </row>
    <row r="166" spans="2:16" x14ac:dyDescent="0.4">
      <c r="B166" s="3996"/>
      <c r="C166" s="572" t="s">
        <v>978</v>
      </c>
      <c r="D166" s="572" t="s">
        <v>3</v>
      </c>
      <c r="E166" s="574">
        <f t="shared" si="7"/>
        <v>0.78</v>
      </c>
      <c r="F166" s="580">
        <f>IF($D166="Trigger",VLOOKUP($C166,'Upper Hot Cell Critical Path'!$C$3:$F$322,4,FALSE),E166+F165)</f>
        <v>48.979999999999983</v>
      </c>
      <c r="G166" s="575"/>
      <c r="H166" s="576" t="str">
        <f>IF(D166="operation",VLOOKUP(G166,'Generic Vertical Port Tasks'!C210:D227,2,FALSE),"N/A")</f>
        <v>N/A</v>
      </c>
      <c r="I166" s="572"/>
      <c r="J166" s="572"/>
      <c r="K166" s="572"/>
      <c r="L166" s="577" t="str">
        <f>IFERROR(INDEX('Upper Hot Cell Logistics'!$I$35:$O$41,MATCH($J166,'Upper Hot Cell Logistics'!$H$35:$H$41,0),MATCH($K166,'Upper Hot Cell Logistics'!$H$35:$H$41,0)),"N/A")</f>
        <v>N/A</v>
      </c>
      <c r="M166" s="577" t="str">
        <f>IFERROR(VLOOKUP($I166,'Upper Hot Cell Logistics'!$H$4:$I$9,2,FALSE),"N/A")</f>
        <v>N/A</v>
      </c>
      <c r="N166" s="578" t="str">
        <f t="shared" si="6"/>
        <v>N/A</v>
      </c>
      <c r="O166" s="579" t="s">
        <v>971</v>
      </c>
      <c r="P166" s="580">
        <f>IF($D166="Logistics",VLOOKUP($O166,'Upper Hot Cell Logistics'!$C$4:$D$51,2,FALSE),"N/A")</f>
        <v>0.78</v>
      </c>
    </row>
    <row r="167" spans="2:16" ht="15" thickBot="1" x14ac:dyDescent="0.45">
      <c r="B167" s="3997"/>
      <c r="C167" s="583" t="str">
        <f>B164</f>
        <v>Pipe Module 4 Exported</v>
      </c>
      <c r="D167" s="583" t="s">
        <v>11</v>
      </c>
      <c r="E167" s="585">
        <f t="shared" si="7"/>
        <v>0</v>
      </c>
      <c r="F167" s="591">
        <f>IF($D167="Trigger",VLOOKUP($C167,'Upper Hot Cell Critical Path'!$C$3:$F$322,4,FALSE),E167+F166)</f>
        <v>48.979999999999983</v>
      </c>
      <c r="G167" s="586"/>
      <c r="H167" s="587" t="str">
        <f>IF(D167="operation",VLOOKUP(G167,'Generic Vertical Port Tasks'!C211:D228,2,FALSE),"N/A")</f>
        <v>N/A</v>
      </c>
      <c r="I167" s="583"/>
      <c r="J167" s="583"/>
      <c r="K167" s="583"/>
      <c r="L167" s="588" t="str">
        <f>IFERROR(INDEX('Upper Hot Cell Logistics'!$I$35:$O$41,MATCH($J167,'Upper Hot Cell Logistics'!$H$35:$H$41,0),MATCH($K167,'Upper Hot Cell Logistics'!$H$35:$H$41,0)),"N/A")</f>
        <v>N/A</v>
      </c>
      <c r="M167" s="588" t="str">
        <f>IFERROR(VLOOKUP($I167,'Upper Hot Cell Logistics'!$H$4:$I$9,2,FALSE),"N/A")</f>
        <v>N/A</v>
      </c>
      <c r="N167" s="589" t="str">
        <f t="shared" si="6"/>
        <v>N/A</v>
      </c>
      <c r="O167" s="590"/>
      <c r="P167" s="591" t="str">
        <f>IF($D167="Logistics",VLOOKUP($O167,'Upper Hot Cell Logistics'!$C$4:$D$51,2,FALSE),"N/A")</f>
        <v>N/A</v>
      </c>
    </row>
    <row r="168" spans="2:16" x14ac:dyDescent="0.4">
      <c r="B168" s="3992" t="s">
        <v>979</v>
      </c>
      <c r="C168" s="596" t="str">
        <f>'Upper Hot Cell Critical Path'!C108</f>
        <v>Install LIB Pipe Module</v>
      </c>
      <c r="D168" s="596" t="s">
        <v>907</v>
      </c>
      <c r="E168" s="593">
        <f t="shared" si="7"/>
        <v>0</v>
      </c>
      <c r="F168" s="600">
        <f>IF($D168="Trigger",VLOOKUP($C168,'Upper Hot Cell Critical Path'!$C$3:$F$322,4,FALSE),E168+F167)</f>
        <v>85.050510329651317</v>
      </c>
      <c r="G168" s="594"/>
      <c r="H168" s="595" t="str">
        <f>IF(D168="operation",VLOOKUP(G168,'Generic Vertical Port Tasks'!C212:D229,2,FALSE),"N/A")</f>
        <v>N/A</v>
      </c>
      <c r="I168" s="596"/>
      <c r="J168" s="596"/>
      <c r="K168" s="596"/>
      <c r="L168" s="597" t="str">
        <f>IFERROR(INDEX('Upper Hot Cell Logistics'!$I$35:$O$41,MATCH($J168,'Upper Hot Cell Logistics'!$H$35:$H$41,0),MATCH($K168,'Upper Hot Cell Logistics'!$H$35:$H$41,0)),"N/A")</f>
        <v>N/A</v>
      </c>
      <c r="M168" s="597" t="str">
        <f>IFERROR(VLOOKUP($I168,'Upper Hot Cell Logistics'!$H$4:$I$9,2,FALSE),"N/A")</f>
        <v>N/A</v>
      </c>
      <c r="N168" s="598" t="str">
        <f t="shared" si="6"/>
        <v>N/A</v>
      </c>
      <c r="O168" s="599"/>
      <c r="P168" s="600" t="str">
        <f>IF($D168="Logistics",VLOOKUP($O168,'Upper Hot Cell Logistics'!$C$4:$D$51,2,FALSE),"N/A")</f>
        <v>N/A</v>
      </c>
    </row>
    <row r="169" spans="2:16" x14ac:dyDescent="0.4">
      <c r="B169" s="3993"/>
      <c r="C169" s="601" t="s">
        <v>968</v>
      </c>
      <c r="D169" s="601" t="s">
        <v>778</v>
      </c>
      <c r="E169" s="602">
        <f t="shared" si="7"/>
        <v>6.9444444444444448E-2</v>
      </c>
      <c r="F169" s="608">
        <f>IF($D169="Trigger",VLOOKUP($C169,'Upper Hot Cell Critical Path'!$C$3:$F$322,4,FALSE),E169+F168)</f>
        <v>85.11995477409576</v>
      </c>
      <c r="G169" s="603"/>
      <c r="H169" s="604" t="str">
        <f>IF(D169="operation",VLOOKUP(G169,'Generic Vertical Port Tasks'!C213:D230,2,FALSE),"N/A")</f>
        <v>N/A</v>
      </c>
      <c r="I169" s="601" t="s">
        <v>798</v>
      </c>
      <c r="J169" s="601" t="s">
        <v>452</v>
      </c>
      <c r="K169" s="601" t="s">
        <v>858</v>
      </c>
      <c r="L169" s="605">
        <f>IFERROR(INDEX('Upper Hot Cell Logistics'!$I$35:$O$41,MATCH($J169,'Upper Hot Cell Logistics'!$H$35:$H$41,0),MATCH($K169,'Upper Hot Cell Logistics'!$H$35:$H$41,0)),"N/A")</f>
        <v>50</v>
      </c>
      <c r="M169" s="605">
        <f>IFERROR(VLOOKUP($I169,'Upper Hot Cell Logistics'!$H$4:$I$9,2,FALSE),"N/A")</f>
        <v>0.2</v>
      </c>
      <c r="N169" s="606">
        <f t="shared" si="6"/>
        <v>6.9444444444444448E-2</v>
      </c>
      <c r="O169" s="607"/>
      <c r="P169" s="608" t="str">
        <f>IF($D169="Logistics",VLOOKUP($O169,'Upper Hot Cell Logistics'!$C$4:$D$51,2,FALSE),"N/A")</f>
        <v>N/A</v>
      </c>
    </row>
    <row r="170" spans="2:16" ht="25.5" customHeight="1" x14ac:dyDescent="0.4">
      <c r="B170" s="3993"/>
      <c r="C170" s="601" t="s">
        <v>978</v>
      </c>
      <c r="D170" s="601" t="s">
        <v>3</v>
      </c>
      <c r="E170" s="602">
        <f t="shared" si="7"/>
        <v>0.78</v>
      </c>
      <c r="F170" s="608">
        <f>IF($D170="Trigger",VLOOKUP($C170,'Upper Hot Cell Critical Path'!$C$3:$F$322,4,FALSE),E170+F169)</f>
        <v>85.899954774095761</v>
      </c>
      <c r="G170" s="603"/>
      <c r="H170" s="604" t="str">
        <f>IF(D170="operation",VLOOKUP(G170,'Generic Vertical Port Tasks'!C214:D231,2,FALSE),"N/A")</f>
        <v>N/A</v>
      </c>
      <c r="I170" s="601"/>
      <c r="J170" s="601"/>
      <c r="K170" s="601"/>
      <c r="L170" s="605" t="str">
        <f>IFERROR(INDEX('Upper Hot Cell Logistics'!$I$35:$O$41,MATCH($J170,'Upper Hot Cell Logistics'!$H$35:$H$41,0),MATCH($K170,'Upper Hot Cell Logistics'!$H$35:$H$41,0)),"N/A")</f>
        <v>N/A</v>
      </c>
      <c r="M170" s="605" t="str">
        <f>IFERROR(VLOOKUP($I170,'Upper Hot Cell Logistics'!$H$4:$I$9,2,FALSE),"N/A")</f>
        <v>N/A</v>
      </c>
      <c r="N170" s="606" t="str">
        <f t="shared" si="6"/>
        <v>N/A</v>
      </c>
      <c r="O170" s="607" t="s">
        <v>971</v>
      </c>
      <c r="P170" s="608">
        <f>IF($D170="Logistics",VLOOKUP($O170,'Upper Hot Cell Logistics'!$C$4:$D$51,2,FALSE),"N/A")</f>
        <v>0.78</v>
      </c>
    </row>
    <row r="171" spans="2:16" ht="15" thickBot="1" x14ac:dyDescent="0.45">
      <c r="B171" s="3994"/>
      <c r="C171" s="609" t="str">
        <f>B168</f>
        <v>Pipe Module 3 Exported</v>
      </c>
      <c r="D171" s="609" t="s">
        <v>11</v>
      </c>
      <c r="E171" s="610">
        <f t="shared" si="7"/>
        <v>0</v>
      </c>
      <c r="F171" s="616">
        <f>IF($D171="Trigger",VLOOKUP($C171,'Upper Hot Cell Critical Path'!$C$3:$F$322,4,FALSE),E171+F170)</f>
        <v>85.899954774095761</v>
      </c>
      <c r="G171" s="611"/>
      <c r="H171" s="612" t="str">
        <f>IF(D171="operation",VLOOKUP(G171,'Generic Vertical Port Tasks'!C215:D232,2,FALSE),"N/A")</f>
        <v>N/A</v>
      </c>
      <c r="I171" s="609"/>
      <c r="J171" s="609"/>
      <c r="K171" s="609"/>
      <c r="L171" s="613" t="str">
        <f>IFERROR(INDEX('Upper Hot Cell Logistics'!$I$35:$O$41,MATCH($J171,'Upper Hot Cell Logistics'!$H$35:$H$41,0),MATCH($K171,'Upper Hot Cell Logistics'!$H$35:$H$41,0)),"N/A")</f>
        <v>N/A</v>
      </c>
      <c r="M171" s="613" t="str">
        <f>IFERROR(VLOOKUP($I171,'Upper Hot Cell Logistics'!$H$4:$I$9,2,FALSE),"N/A")</f>
        <v>N/A</v>
      </c>
      <c r="N171" s="614" t="str">
        <f t="shared" si="6"/>
        <v>N/A</v>
      </c>
      <c r="O171" s="615"/>
      <c r="P171" s="616" t="str">
        <f>IF($D171="Logistics",VLOOKUP($O171,'Upper Hot Cell Logistics'!$C$4:$D$51,2,FALSE),"N/A")</f>
        <v>N/A</v>
      </c>
    </row>
    <row r="172" spans="2:16" x14ac:dyDescent="0.4">
      <c r="B172" s="3995" t="s">
        <v>980</v>
      </c>
      <c r="C172" s="617" t="str">
        <f>'Upper Hot Cell Critical Path'!C114</f>
        <v>Install ROB Pipe Module</v>
      </c>
      <c r="D172" s="617" t="s">
        <v>907</v>
      </c>
      <c r="E172" s="567">
        <f t="shared" si="7"/>
        <v>0</v>
      </c>
      <c r="F172" s="621">
        <f>IF($D172="Trigger",VLOOKUP($C172,'Upper Hot Cell Critical Path'!$C$3:$F$322,4,FALSE),E172+F171)</f>
        <v>121.97046510374709</v>
      </c>
      <c r="G172" s="568"/>
      <c r="H172" s="569" t="str">
        <f>IF(D172="operation",VLOOKUP(G172,'Generic Vertical Port Tasks'!C216:D233,2,FALSE),"N/A")</f>
        <v>N/A</v>
      </c>
      <c r="I172" s="617"/>
      <c r="J172" s="617"/>
      <c r="K172" s="617"/>
      <c r="L172" s="618" t="str">
        <f>IFERROR(INDEX('Upper Hot Cell Logistics'!$I$35:$O$41,MATCH($J172,'Upper Hot Cell Logistics'!$H$35:$H$41,0),MATCH($K172,'Upper Hot Cell Logistics'!$H$35:$H$41,0)),"N/A")</f>
        <v>N/A</v>
      </c>
      <c r="M172" s="618" t="str">
        <f>IFERROR(VLOOKUP($I172,'Upper Hot Cell Logistics'!$H$4:$I$9,2,FALSE),"N/A")</f>
        <v>N/A</v>
      </c>
      <c r="N172" s="619" t="str">
        <f t="shared" si="6"/>
        <v>N/A</v>
      </c>
      <c r="O172" s="620"/>
      <c r="P172" s="621" t="str">
        <f>IF($D172="Logistics",VLOOKUP($O172,'Upper Hot Cell Logistics'!$C$4:$D$51,2,FALSE),"N/A")</f>
        <v>N/A</v>
      </c>
    </row>
    <row r="173" spans="2:16" x14ac:dyDescent="0.4">
      <c r="B173" s="3996"/>
      <c r="C173" s="572" t="s">
        <v>968</v>
      </c>
      <c r="D173" s="572" t="s">
        <v>778</v>
      </c>
      <c r="E173" s="574">
        <f t="shared" si="7"/>
        <v>6.9444444444444448E-2</v>
      </c>
      <c r="F173" s="580">
        <f>IF($D173="Trigger",VLOOKUP($C173,'Upper Hot Cell Critical Path'!$C$3:$F$322,4,FALSE),E173+F172)</f>
        <v>122.03990954819153</v>
      </c>
      <c r="G173" s="575"/>
      <c r="H173" s="576" t="str">
        <f>IF(D173="operation",VLOOKUP(G173,'Generic Vertical Port Tasks'!C217:D234,2,FALSE),"N/A")</f>
        <v>N/A</v>
      </c>
      <c r="I173" s="572" t="s">
        <v>798</v>
      </c>
      <c r="J173" s="572" t="s">
        <v>452</v>
      </c>
      <c r="K173" s="572" t="s">
        <v>858</v>
      </c>
      <c r="L173" s="577">
        <f>IFERROR(INDEX('Upper Hot Cell Logistics'!$I$35:$O$41,MATCH($J173,'Upper Hot Cell Logistics'!$H$35:$H$41,0),MATCH($K173,'Upper Hot Cell Logistics'!$H$35:$H$41,0)),"N/A")</f>
        <v>50</v>
      </c>
      <c r="M173" s="577">
        <f>IFERROR(VLOOKUP($I173,'Upper Hot Cell Logistics'!$H$4:$I$9,2,FALSE),"N/A")</f>
        <v>0.2</v>
      </c>
      <c r="N173" s="578">
        <f t="shared" si="6"/>
        <v>6.9444444444444448E-2</v>
      </c>
      <c r="O173" s="579"/>
      <c r="P173" s="580" t="str">
        <f>IF($D173="Logistics",VLOOKUP($O173,'Upper Hot Cell Logistics'!$C$4:$D$51,2,FALSE),"N/A")</f>
        <v>N/A</v>
      </c>
    </row>
    <row r="174" spans="2:16" x14ac:dyDescent="0.4">
      <c r="B174" s="3996"/>
      <c r="C174" s="572" t="s">
        <v>978</v>
      </c>
      <c r="D174" s="572" t="s">
        <v>3</v>
      </c>
      <c r="E174" s="574">
        <f t="shared" si="7"/>
        <v>0.78</v>
      </c>
      <c r="F174" s="580">
        <f>IF($D174="Trigger",VLOOKUP($C174,'Upper Hot Cell Critical Path'!$C$3:$F$322,4,FALSE),E174+F173)</f>
        <v>122.81990954819153</v>
      </c>
      <c r="G174" s="575"/>
      <c r="H174" s="576" t="str">
        <f>IF(D174="operation",VLOOKUP(G174,'Generic Vertical Port Tasks'!C218:D235,2,FALSE),"N/A")</f>
        <v>N/A</v>
      </c>
      <c r="I174" s="572"/>
      <c r="J174" s="572"/>
      <c r="K174" s="572"/>
      <c r="L174" s="577" t="str">
        <f>IFERROR(INDEX('Upper Hot Cell Logistics'!$I$35:$O$41,MATCH($J174,'Upper Hot Cell Logistics'!$H$35:$H$41,0),MATCH($K174,'Upper Hot Cell Logistics'!$H$35:$H$41,0)),"N/A")</f>
        <v>N/A</v>
      </c>
      <c r="M174" s="577" t="str">
        <f>IFERROR(VLOOKUP($I174,'Upper Hot Cell Logistics'!$H$4:$I$9,2,FALSE),"N/A")</f>
        <v>N/A</v>
      </c>
      <c r="N174" s="578" t="str">
        <f t="shared" si="6"/>
        <v>N/A</v>
      </c>
      <c r="O174" s="579" t="s">
        <v>971</v>
      </c>
      <c r="P174" s="580">
        <f>IF($D174="Logistics",VLOOKUP($O174,'Upper Hot Cell Logistics'!$C$4:$D$51,2,FALSE),"N/A")</f>
        <v>0.78</v>
      </c>
    </row>
    <row r="175" spans="2:16" ht="15" thickBot="1" x14ac:dyDescent="0.45">
      <c r="B175" s="3997"/>
      <c r="C175" s="583" t="str">
        <f>B172</f>
        <v>Pipe Module 2 Exported</v>
      </c>
      <c r="D175" s="583" t="s">
        <v>11</v>
      </c>
      <c r="E175" s="585">
        <f t="shared" si="7"/>
        <v>0</v>
      </c>
      <c r="F175" s="591">
        <f>IF($D175="Trigger",VLOOKUP($C175,'Upper Hot Cell Critical Path'!$C$3:$F$322,4,FALSE),E175+F174)</f>
        <v>122.81990954819153</v>
      </c>
      <c r="G175" s="586"/>
      <c r="H175" s="587" t="str">
        <f>IF(D175="operation",VLOOKUP(G175,'Generic Vertical Port Tasks'!C219:D236,2,FALSE),"N/A")</f>
        <v>N/A</v>
      </c>
      <c r="I175" s="583"/>
      <c r="J175" s="583"/>
      <c r="K175" s="583"/>
      <c r="L175" s="588" t="str">
        <f>IFERROR(INDEX('Upper Hot Cell Logistics'!$I$35:$O$41,MATCH($J175,'Upper Hot Cell Logistics'!$H$35:$H$41,0),MATCH($K175,'Upper Hot Cell Logistics'!$H$35:$H$41,0)),"N/A")</f>
        <v>N/A</v>
      </c>
      <c r="M175" s="588" t="str">
        <f>IFERROR(VLOOKUP($I175,'Upper Hot Cell Logistics'!$H$4:$I$9,2,FALSE),"N/A")</f>
        <v>N/A</v>
      </c>
      <c r="N175" s="589" t="str">
        <f t="shared" si="6"/>
        <v>N/A</v>
      </c>
      <c r="O175" s="590"/>
      <c r="P175" s="591" t="str">
        <f>IF($D175="Logistics",VLOOKUP($O175,'Upper Hot Cell Logistics'!$C$4:$D$51,2,FALSE),"N/A")</f>
        <v>N/A</v>
      </c>
    </row>
    <row r="176" spans="2:16" x14ac:dyDescent="0.4">
      <c r="B176" s="3992" t="s">
        <v>981</v>
      </c>
      <c r="C176" s="596" t="str">
        <f>'Upper Hot Cell Critical Path'!C120</f>
        <v>Install LOB Pipe Module</v>
      </c>
      <c r="D176" s="596" t="s">
        <v>907</v>
      </c>
      <c r="E176" s="593">
        <f t="shared" si="7"/>
        <v>0</v>
      </c>
      <c r="F176" s="600">
        <f>IF($D176="Trigger",VLOOKUP($C176,'Upper Hot Cell Critical Path'!$C$3:$F$322,4,FALSE),E176+F175)</f>
        <v>158.8904198778429</v>
      </c>
      <c r="G176" s="594"/>
      <c r="H176" s="595" t="str">
        <f>IF(D176="operation",VLOOKUP(G176,'Generic Vertical Port Tasks'!C220:D237,2,FALSE),"N/A")</f>
        <v>N/A</v>
      </c>
      <c r="I176" s="596"/>
      <c r="J176" s="596"/>
      <c r="K176" s="596"/>
      <c r="L176" s="597" t="str">
        <f>IFERROR(INDEX('Upper Hot Cell Logistics'!$I$35:$O$41,MATCH($J176,'Upper Hot Cell Logistics'!$H$35:$H$41,0),MATCH($K176,'Upper Hot Cell Logistics'!$H$35:$H$41,0)),"N/A")</f>
        <v>N/A</v>
      </c>
      <c r="M176" s="597" t="str">
        <f>IFERROR(VLOOKUP($I176,'Upper Hot Cell Logistics'!$H$4:$I$9,2,FALSE),"N/A")</f>
        <v>N/A</v>
      </c>
      <c r="N176" s="598" t="str">
        <f t="shared" si="6"/>
        <v>N/A</v>
      </c>
      <c r="O176" s="599"/>
      <c r="P176" s="600" t="str">
        <f>IF($D176="Logistics",VLOOKUP($O176,'Upper Hot Cell Logistics'!$C$4:$D$51,2,FALSE),"N/A")</f>
        <v>N/A</v>
      </c>
    </row>
    <row r="177" spans="2:16" x14ac:dyDescent="0.4">
      <c r="B177" s="3993"/>
      <c r="C177" s="601" t="s">
        <v>968</v>
      </c>
      <c r="D177" s="601" t="s">
        <v>778</v>
      </c>
      <c r="E177" s="602">
        <f t="shared" si="7"/>
        <v>6.9444444444444448E-2</v>
      </c>
      <c r="F177" s="608">
        <f>IF($D177="Trigger",VLOOKUP($C177,'Upper Hot Cell Critical Path'!$C$3:$F$322,4,FALSE),E177+F176)</f>
        <v>158.95986432228736</v>
      </c>
      <c r="G177" s="603"/>
      <c r="H177" s="604" t="str">
        <f>IF(D177="operation",VLOOKUP(G177,'Generic Vertical Port Tasks'!C221:D238,2,FALSE),"N/A")</f>
        <v>N/A</v>
      </c>
      <c r="I177" s="601" t="s">
        <v>798</v>
      </c>
      <c r="J177" s="601" t="s">
        <v>452</v>
      </c>
      <c r="K177" s="601" t="s">
        <v>858</v>
      </c>
      <c r="L177" s="605">
        <f>IFERROR(INDEX('Upper Hot Cell Logistics'!$I$35:$O$41,MATCH($J177,'Upper Hot Cell Logistics'!$H$35:$H$41,0),MATCH($K177,'Upper Hot Cell Logistics'!$H$35:$H$41,0)),"N/A")</f>
        <v>50</v>
      </c>
      <c r="M177" s="605">
        <f>IFERROR(VLOOKUP($I177,'Upper Hot Cell Logistics'!$H$4:$I$9,2,FALSE),"N/A")</f>
        <v>0.2</v>
      </c>
      <c r="N177" s="606">
        <f t="shared" si="6"/>
        <v>6.9444444444444448E-2</v>
      </c>
      <c r="O177" s="607"/>
      <c r="P177" s="608" t="str">
        <f>IF($D177="Logistics",VLOOKUP($O177,'Upper Hot Cell Logistics'!$C$4:$D$51,2,FALSE),"N/A")</f>
        <v>N/A</v>
      </c>
    </row>
    <row r="178" spans="2:16" x14ac:dyDescent="0.4">
      <c r="B178" s="3993"/>
      <c r="C178" s="601" t="s">
        <v>982</v>
      </c>
      <c r="D178" s="601" t="s">
        <v>3</v>
      </c>
      <c r="E178" s="602">
        <f t="shared" si="7"/>
        <v>0.78</v>
      </c>
      <c r="F178" s="608">
        <f>IF($D178="Trigger",VLOOKUP($C178,'Upper Hot Cell Critical Path'!$C$3:$F$322,4,FALSE),E178+F177)</f>
        <v>159.73986432228736</v>
      </c>
      <c r="G178" s="603"/>
      <c r="H178" s="604" t="str">
        <f>IF(D178="operation",VLOOKUP(G178,'Generic Vertical Port Tasks'!C222:D239,2,FALSE),"N/A")</f>
        <v>N/A</v>
      </c>
      <c r="I178" s="601"/>
      <c r="J178" s="601"/>
      <c r="K178" s="601"/>
      <c r="L178" s="605" t="str">
        <f>IFERROR(INDEX('Upper Hot Cell Logistics'!$I$35:$O$41,MATCH($J178,'Upper Hot Cell Logistics'!$H$35:$H$41,0),MATCH($K178,'Upper Hot Cell Logistics'!$H$35:$H$41,0)),"N/A")</f>
        <v>N/A</v>
      </c>
      <c r="M178" s="605" t="str">
        <f>IFERROR(VLOOKUP($I178,'Upper Hot Cell Logistics'!$H$4:$I$9,2,FALSE),"N/A")</f>
        <v>N/A</v>
      </c>
      <c r="N178" s="606" t="str">
        <f t="shared" si="6"/>
        <v>N/A</v>
      </c>
      <c r="O178" s="607" t="s">
        <v>971</v>
      </c>
      <c r="P178" s="608">
        <f>IF($D178="Logistics",VLOOKUP($O178,'Upper Hot Cell Logistics'!$C$4:$D$51,2,FALSE),"N/A")</f>
        <v>0.78</v>
      </c>
    </row>
    <row r="179" spans="2:16" ht="15" thickBot="1" x14ac:dyDescent="0.45">
      <c r="B179" s="3994"/>
      <c r="C179" s="609" t="str">
        <f>B176</f>
        <v>Pipe Module 1 Exported</v>
      </c>
      <c r="D179" s="609" t="s">
        <v>11</v>
      </c>
      <c r="E179" s="610">
        <f t="shared" si="7"/>
        <v>0</v>
      </c>
      <c r="F179" s="616">
        <f>IF($D179="Trigger",VLOOKUP($C179,'Upper Hot Cell Critical Path'!$C$3:$F$322,4,FALSE),E179+F178)</f>
        <v>159.73986432228736</v>
      </c>
      <c r="G179" s="611"/>
      <c r="H179" s="612" t="str">
        <f>IF(D179="operation",VLOOKUP(G179,'Generic Vertical Port Tasks'!C223:D240,2,FALSE),"N/A")</f>
        <v>N/A</v>
      </c>
      <c r="I179" s="609"/>
      <c r="J179" s="609"/>
      <c r="K179" s="609"/>
      <c r="L179" s="613" t="str">
        <f>IFERROR(INDEX('Upper Hot Cell Logistics'!$I$35:$O$41,MATCH($J179,'Upper Hot Cell Logistics'!$H$35:$H$41,0),MATCH($K179,'Upper Hot Cell Logistics'!$H$35:$H$41,0)),"N/A")</f>
        <v>N/A</v>
      </c>
      <c r="M179" s="613" t="str">
        <f>IFERROR(VLOOKUP($I179,'Upper Hot Cell Logistics'!$H$4:$I$9,2,FALSE),"N/A")</f>
        <v>N/A</v>
      </c>
      <c r="N179" s="614" t="str">
        <f t="shared" si="6"/>
        <v>N/A</v>
      </c>
      <c r="O179" s="615"/>
      <c r="P179" s="616" t="str">
        <f>IF($D179="Logistics",VLOOKUP($O179,'Upper Hot Cell Logistics'!$C$4:$D$51,2,FALSE),"N/A")</f>
        <v>N/A</v>
      </c>
    </row>
    <row r="180" spans="2:16" x14ac:dyDescent="0.4">
      <c r="B180" s="3995" t="s">
        <v>893</v>
      </c>
      <c r="C180" s="617" t="str">
        <f>'Upper Hot Cell Critical Path'!C126</f>
        <v>Install COB Pipe Module</v>
      </c>
      <c r="D180" s="617" t="s">
        <v>907</v>
      </c>
      <c r="E180" s="567">
        <f t="shared" si="7"/>
        <v>0</v>
      </c>
      <c r="F180" s="621">
        <f>IF($D180="Trigger",VLOOKUP($C180,'Upper Hot Cell Critical Path'!$C$3:$F$322,4,FALSE),E180+F179)</f>
        <v>195.81037465193873</v>
      </c>
      <c r="G180" s="568"/>
      <c r="H180" s="569" t="str">
        <f>IF(D180="operation",VLOOKUP(G180,'Generic Vertical Port Tasks'!C224:D241,2,FALSE),"N/A")</f>
        <v>N/A</v>
      </c>
      <c r="I180" s="617"/>
      <c r="J180" s="617"/>
      <c r="K180" s="617"/>
      <c r="L180" s="618" t="str">
        <f>IFERROR(INDEX('Upper Hot Cell Logistics'!$I$35:$O$41,MATCH($J180,'Upper Hot Cell Logistics'!$H$35:$H$41,0),MATCH($K180,'Upper Hot Cell Logistics'!$H$35:$H$41,0)),"N/A")</f>
        <v>N/A</v>
      </c>
      <c r="M180" s="618" t="str">
        <f>IFERROR(VLOOKUP($I180,'Upper Hot Cell Logistics'!$H$4:$I$9,2,FALSE),"N/A")</f>
        <v>N/A</v>
      </c>
      <c r="N180" s="619" t="str">
        <f t="shared" si="6"/>
        <v>N/A</v>
      </c>
      <c r="O180" s="620"/>
      <c r="P180" s="621" t="str">
        <f>IF($D180="Logistics",VLOOKUP($O180,'Upper Hot Cell Logistics'!$C$4:$D$51,2,FALSE),"N/A")</f>
        <v>N/A</v>
      </c>
    </row>
    <row r="181" spans="2:16" x14ac:dyDescent="0.4">
      <c r="B181" s="3996"/>
      <c r="C181" s="572" t="s">
        <v>921</v>
      </c>
      <c r="D181" s="572" t="s">
        <v>778</v>
      </c>
      <c r="E181" s="574">
        <f t="shared" si="7"/>
        <v>6.9444444444444448E-2</v>
      </c>
      <c r="F181" s="580">
        <f>IF($D181="Trigger",VLOOKUP($C181,'Upper Hot Cell Critical Path'!$C$3:$F$322,4,FALSE),E181+F180)</f>
        <v>195.87981909638319</v>
      </c>
      <c r="G181" s="575"/>
      <c r="H181" s="576" t="str">
        <f>IF(D181="operation",VLOOKUP(G181,'Generic Vertical Port Tasks'!C225:D242,2,FALSE),"N/A")</f>
        <v>N/A</v>
      </c>
      <c r="I181" s="572" t="s">
        <v>798</v>
      </c>
      <c r="J181" s="572" t="s">
        <v>452</v>
      </c>
      <c r="K181" s="572" t="s">
        <v>914</v>
      </c>
      <c r="L181" s="577">
        <f>IFERROR(INDEX('Upper Hot Cell Logistics'!$I$35:$O$41,MATCH($J181,'Upper Hot Cell Logistics'!$H$35:$H$41,0),MATCH($K181,'Upper Hot Cell Logistics'!$H$35:$H$41,0)),"N/A")</f>
        <v>50</v>
      </c>
      <c r="M181" s="577">
        <f>IFERROR(VLOOKUP($I181,'Upper Hot Cell Logistics'!$H$4:$I$9,2,FALSE),"N/A")</f>
        <v>0.2</v>
      </c>
      <c r="N181" s="578">
        <f t="shared" si="6"/>
        <v>6.9444444444444448E-2</v>
      </c>
      <c r="O181" s="579"/>
      <c r="P181" s="580" t="str">
        <f>IF($D181="Logistics",VLOOKUP($O181,'Upper Hot Cell Logistics'!$C$4:$D$51,2,FALSE),"N/A")</f>
        <v>N/A</v>
      </c>
    </row>
    <row r="182" spans="2:16" x14ac:dyDescent="0.4">
      <c r="B182" s="3996"/>
      <c r="C182" s="572" t="s">
        <v>983</v>
      </c>
      <c r="D182" s="572" t="s">
        <v>3</v>
      </c>
      <c r="E182" s="574">
        <f t="shared" si="7"/>
        <v>0.78</v>
      </c>
      <c r="F182" s="580">
        <f>IF($D182="Trigger",VLOOKUP($C182,'Upper Hot Cell Critical Path'!$C$3:$F$322,4,FALSE),E182+F181)</f>
        <v>196.65981909638319</v>
      </c>
      <c r="G182" s="575"/>
      <c r="H182" s="576" t="str">
        <f>IF(D182="operation",VLOOKUP(G182,'Generic Vertical Port Tasks'!C226:D243,2,FALSE),"N/A")</f>
        <v>N/A</v>
      </c>
      <c r="I182" s="572"/>
      <c r="J182" s="572"/>
      <c r="K182" s="572"/>
      <c r="L182" s="577" t="str">
        <f>IFERROR(INDEX('Upper Hot Cell Logistics'!$I$35:$O$41,MATCH($J182,'Upper Hot Cell Logistics'!$H$35:$H$41,0),MATCH($K182,'Upper Hot Cell Logistics'!$H$35:$H$41,0)),"N/A")</f>
        <v>N/A</v>
      </c>
      <c r="M182" s="577" t="str">
        <f>IFERROR(VLOOKUP($I182,'Upper Hot Cell Logistics'!$H$4:$I$9,2,FALSE),"N/A")</f>
        <v>N/A</v>
      </c>
      <c r="N182" s="578" t="str">
        <f t="shared" si="6"/>
        <v>N/A</v>
      </c>
      <c r="O182" s="579" t="s">
        <v>937</v>
      </c>
      <c r="P182" s="580">
        <f>IF($D182="Logistics",VLOOKUP($O182,'Upper Hot Cell Logistics'!$C$4:$D$51,2,FALSE),"N/A")</f>
        <v>0.78</v>
      </c>
    </row>
    <row r="183" spans="2:16" x14ac:dyDescent="0.4">
      <c r="B183" s="3996"/>
      <c r="C183" s="572" t="s">
        <v>923</v>
      </c>
      <c r="D183" s="572" t="s">
        <v>778</v>
      </c>
      <c r="E183" s="574">
        <f t="shared" si="7"/>
        <v>2.7777777777777776E-2</v>
      </c>
      <c r="F183" s="580">
        <f>IF($D183="Trigger",VLOOKUP($C183,'Upper Hot Cell Critical Path'!$C$3:$F$322,4,FALSE),E183+F182)</f>
        <v>196.68759687416096</v>
      </c>
      <c r="G183" s="575"/>
      <c r="H183" s="576" t="str">
        <f>IF(D183="operation",VLOOKUP(G183,'Generic Vertical Port Tasks'!C227:D244,2,FALSE),"N/A")</f>
        <v>N/A</v>
      </c>
      <c r="I183" s="572" t="s">
        <v>798</v>
      </c>
      <c r="J183" s="572" t="s">
        <v>914</v>
      </c>
      <c r="K183" s="572" t="s">
        <v>799</v>
      </c>
      <c r="L183" s="577">
        <f>IFERROR(INDEX('Upper Hot Cell Logistics'!$I$35:$O$41,MATCH($J183,'Upper Hot Cell Logistics'!$H$35:$H$41,0),MATCH($K183,'Upper Hot Cell Logistics'!$H$35:$H$41,0)),"N/A")</f>
        <v>20</v>
      </c>
      <c r="M183" s="577">
        <f>IFERROR(VLOOKUP($I183,'Upper Hot Cell Logistics'!$H$4:$I$9,2,FALSE),"N/A")</f>
        <v>0.2</v>
      </c>
      <c r="N183" s="578">
        <f t="shared" si="6"/>
        <v>2.7777777777777776E-2</v>
      </c>
      <c r="O183" s="579"/>
      <c r="P183" s="580" t="str">
        <f>IF($D183="Logistics",VLOOKUP($O183,'Upper Hot Cell Logistics'!$C$4:$D$51,2,FALSE),"N/A")</f>
        <v>N/A</v>
      </c>
    </row>
    <row r="184" spans="2:16" x14ac:dyDescent="0.4">
      <c r="B184" s="3996"/>
      <c r="C184" s="572" t="s">
        <v>984</v>
      </c>
      <c r="D184" s="572" t="s">
        <v>3</v>
      </c>
      <c r="E184" s="574">
        <f t="shared" si="7"/>
        <v>1.08</v>
      </c>
      <c r="F184" s="580">
        <f>IF($D184="Trigger",VLOOKUP($C184,'Upper Hot Cell Critical Path'!$C$3:$F$322,4,FALSE),E184+F183)</f>
        <v>197.76759687416097</v>
      </c>
      <c r="G184" s="575"/>
      <c r="H184" s="576" t="str">
        <f>IF(D184="operation",VLOOKUP(G184,'Generic Vertical Port Tasks'!C228:D245,2,FALSE),"N/A")</f>
        <v>N/A</v>
      </c>
      <c r="I184" s="572"/>
      <c r="J184" s="572"/>
      <c r="K184" s="572"/>
      <c r="L184" s="577" t="str">
        <f>IFERROR(INDEX('Upper Hot Cell Logistics'!$I$35:$O$41,MATCH($J184,'Upper Hot Cell Logistics'!$H$35:$H$41,0),MATCH($K184,'Upper Hot Cell Logistics'!$H$35:$H$41,0)),"N/A")</f>
        <v>N/A</v>
      </c>
      <c r="M184" s="577" t="str">
        <f>IFERROR(VLOOKUP($I184,'Upper Hot Cell Logistics'!$H$4:$I$9,2,FALSE),"N/A")</f>
        <v>N/A</v>
      </c>
      <c r="N184" s="578" t="str">
        <f t="shared" si="6"/>
        <v>N/A</v>
      </c>
      <c r="O184" s="579" t="s">
        <v>909</v>
      </c>
      <c r="P184" s="580">
        <f>IF($D184="Logistics",VLOOKUP($O184,'Upper Hot Cell Logistics'!$C$4:$D$51,2,FALSE),"N/A")</f>
        <v>1.08</v>
      </c>
    </row>
    <row r="185" spans="2:16" ht="26.6" thickBot="1" x14ac:dyDescent="0.45">
      <c r="B185" s="3997"/>
      <c r="C185" s="583" t="str">
        <f>B180</f>
        <v>Pipe Module interface hardware Stored &amp; Shield Plug &amp; Fixations Equipment Collected</v>
      </c>
      <c r="D185" s="583" t="s">
        <v>11</v>
      </c>
      <c r="E185" s="585">
        <f t="shared" si="7"/>
        <v>0</v>
      </c>
      <c r="F185" s="591">
        <f>IF($D185="Trigger",VLOOKUP($C185,'Upper Hot Cell Critical Path'!$C$3:$F$322,4,FALSE),E185+F184)</f>
        <v>197.76759687416097</v>
      </c>
      <c r="G185" s="586"/>
      <c r="H185" s="587" t="str">
        <f>IF(D185="operation",VLOOKUP(G185,'Generic Vertical Port Tasks'!C229:D245,2,FALSE),"N/A")</f>
        <v>N/A</v>
      </c>
      <c r="I185" s="583"/>
      <c r="J185" s="583"/>
      <c r="K185" s="583"/>
      <c r="L185" s="588" t="str">
        <f>IFERROR(INDEX('Upper Hot Cell Logistics'!$I$35:$O$41,MATCH($J185,'Upper Hot Cell Logistics'!$H$35:$H$41,0),MATCH($K185,'Upper Hot Cell Logistics'!$H$35:$H$41,0)),"N/A")</f>
        <v>N/A</v>
      </c>
      <c r="M185" s="588" t="str">
        <f>IFERROR(VLOOKUP($I185,'Upper Hot Cell Logistics'!$H$4:$I$9,2,FALSE),"N/A")</f>
        <v>N/A</v>
      </c>
      <c r="N185" s="589" t="str">
        <f t="shared" si="6"/>
        <v>N/A</v>
      </c>
      <c r="O185" s="590"/>
      <c r="P185" s="591" t="str">
        <f>IF($D185="Logistics",VLOOKUP($O185,'Upper Hot Cell Logistics'!$C$4:$D$51,2,FALSE),"N/A")</f>
        <v>N/A</v>
      </c>
    </row>
    <row r="186" spans="2:16" x14ac:dyDescent="0.4">
      <c r="B186" s="3992" t="s">
        <v>895</v>
      </c>
      <c r="C186" s="596" t="str">
        <f>'Upper Hot Cell Critical Path'!C128</f>
        <v>Weld COB Joint using SJS</v>
      </c>
      <c r="D186" s="596" t="s">
        <v>907</v>
      </c>
      <c r="E186" s="593">
        <f t="shared" si="7"/>
        <v>0</v>
      </c>
      <c r="F186" s="600">
        <f>IF($D186="Trigger",VLOOKUP($C186,'Upper Hot Cell Critical Path'!$C$3:$F$322,4,FALSE),E186+F185)</f>
        <v>220.52755164825675</v>
      </c>
      <c r="G186" s="594"/>
      <c r="H186" s="595" t="str">
        <f>IF(D186="operation",VLOOKUP(G186,'Generic Vertical Port Tasks'!C230:D245,2,FALSE),"N/A")</f>
        <v>N/A</v>
      </c>
      <c r="I186" s="596"/>
      <c r="J186" s="596"/>
      <c r="K186" s="596"/>
      <c r="L186" s="597" t="str">
        <f>IFERROR(INDEX('Upper Hot Cell Logistics'!$I$35:$O$41,MATCH($J186,'Upper Hot Cell Logistics'!$H$35:$H$41,0),MATCH($K186,'Upper Hot Cell Logistics'!$H$35:$H$41,0)),"N/A")</f>
        <v>N/A</v>
      </c>
      <c r="M186" s="597" t="str">
        <f>IFERROR(VLOOKUP($I186,'Upper Hot Cell Logistics'!$H$4:$I$9,2,FALSE),"N/A")</f>
        <v>N/A</v>
      </c>
      <c r="N186" s="598" t="str">
        <f t="shared" si="6"/>
        <v>N/A</v>
      </c>
      <c r="O186" s="599"/>
      <c r="P186" s="600" t="str">
        <f>IF($D186="Logistics",VLOOKUP($O186,'Upper Hot Cell Logistics'!$C$4:$D$51,2,FALSE),"N/A")</f>
        <v>N/A</v>
      </c>
    </row>
    <row r="187" spans="2:16" x14ac:dyDescent="0.4">
      <c r="B187" s="3993"/>
      <c r="C187" s="601" t="s">
        <v>921</v>
      </c>
      <c r="D187" s="601" t="s">
        <v>778</v>
      </c>
      <c r="E187" s="602">
        <f t="shared" si="7"/>
        <v>0.69444444444444442</v>
      </c>
      <c r="F187" s="608">
        <f>IF($D187="Trigger",VLOOKUP($C187,'Upper Hot Cell Critical Path'!$C$3:$F$322,4,FALSE),E187+F186)</f>
        <v>221.2219960927012</v>
      </c>
      <c r="G187" s="603"/>
      <c r="H187" s="604" t="str">
        <f>IF(D187="operation",VLOOKUP(G187,'Generic Vertical Port Tasks'!C231:D245,2,FALSE),"N/A")</f>
        <v>N/A</v>
      </c>
      <c r="I187" s="601" t="s">
        <v>857</v>
      </c>
      <c r="J187" s="601" t="s">
        <v>452</v>
      </c>
      <c r="K187" s="601" t="s">
        <v>914</v>
      </c>
      <c r="L187" s="605">
        <f>IFERROR(INDEX('Upper Hot Cell Logistics'!$I$35:$O$41,MATCH($J187,'Upper Hot Cell Logistics'!$H$35:$H$41,0),MATCH($K187,'Upper Hot Cell Logistics'!$H$35:$H$41,0)),"N/A")</f>
        <v>50</v>
      </c>
      <c r="M187" s="605">
        <f>IFERROR(VLOOKUP($I187,'Upper Hot Cell Logistics'!$H$4:$I$9,2,FALSE),"N/A")</f>
        <v>0.02</v>
      </c>
      <c r="N187" s="606">
        <f t="shared" si="6"/>
        <v>0.69444444444444442</v>
      </c>
      <c r="O187" s="607"/>
      <c r="P187" s="608" t="str">
        <f>IF($D187="Logistics",VLOOKUP($O187,'Upper Hot Cell Logistics'!$C$4:$D$51,2,FALSE),"N/A")</f>
        <v>N/A</v>
      </c>
    </row>
    <row r="188" spans="2:16" x14ac:dyDescent="0.4">
      <c r="B188" s="3993"/>
      <c r="C188" s="601" t="s">
        <v>955</v>
      </c>
      <c r="D188" s="601" t="s">
        <v>3</v>
      </c>
      <c r="E188" s="602">
        <f t="shared" si="7"/>
        <v>0.78</v>
      </c>
      <c r="F188" s="608">
        <f>IF($D188="Trigger",VLOOKUP($C188,'Upper Hot Cell Critical Path'!$C$3:$F$322,4,FALSE),E188+F187)</f>
        <v>222.00199609270121</v>
      </c>
      <c r="G188" s="603"/>
      <c r="H188" s="604" t="str">
        <f>IF(D188="operation",VLOOKUP(G188,'Generic Vertical Port Tasks'!C232:D246,2,FALSE),"N/A")</f>
        <v>N/A</v>
      </c>
      <c r="I188" s="601"/>
      <c r="J188" s="601"/>
      <c r="K188" s="601"/>
      <c r="L188" s="605" t="str">
        <f>IFERROR(INDEX('Upper Hot Cell Logistics'!$I$35:$O$41,MATCH($J188,'Upper Hot Cell Logistics'!$H$35:$H$41,0),MATCH($K188,'Upper Hot Cell Logistics'!$H$35:$H$41,0)),"N/A")</f>
        <v>N/A</v>
      </c>
      <c r="M188" s="605" t="str">
        <f>IFERROR(VLOOKUP($I188,'Upper Hot Cell Logistics'!$H$4:$I$9,2,FALSE),"N/A")</f>
        <v>N/A</v>
      </c>
      <c r="N188" s="606" t="str">
        <f t="shared" si="6"/>
        <v>N/A</v>
      </c>
      <c r="O188" s="607" t="s">
        <v>937</v>
      </c>
      <c r="P188" s="608">
        <f>IF($D188="Logistics",VLOOKUP($O188,'Upper Hot Cell Logistics'!$C$4:$D$51,2,FALSE),"N/A")</f>
        <v>0.78</v>
      </c>
    </row>
    <row r="189" spans="2:16" x14ac:dyDescent="0.4">
      <c r="B189" s="3993"/>
      <c r="C189" s="601" t="s">
        <v>917</v>
      </c>
      <c r="D189" s="601" t="s">
        <v>778</v>
      </c>
      <c r="E189" s="602">
        <f t="shared" si="7"/>
        <v>2.7777777777777776E-2</v>
      </c>
      <c r="F189" s="608">
        <f>IF($D189="Trigger",VLOOKUP($C189,'Upper Hot Cell Critical Path'!$C$3:$F$322,4,FALSE),E189+F188)</f>
        <v>222.02977387047898</v>
      </c>
      <c r="G189" s="603"/>
      <c r="H189" s="604" t="str">
        <f>IF(D189="operation",VLOOKUP(G189,'Generic Vertical Port Tasks'!C233:D246,2,FALSE),"N/A")</f>
        <v>N/A</v>
      </c>
      <c r="I189" s="601" t="s">
        <v>798</v>
      </c>
      <c r="J189" s="601" t="s">
        <v>831</v>
      </c>
      <c r="K189" s="601" t="s">
        <v>799</v>
      </c>
      <c r="L189" s="605">
        <f>IFERROR(INDEX('Upper Hot Cell Logistics'!$I$35:$O$41,MATCH($J189,'Upper Hot Cell Logistics'!$H$35:$H$41,0),MATCH($K189,'Upper Hot Cell Logistics'!$H$35:$H$41,0)),"N/A")</f>
        <v>20</v>
      </c>
      <c r="M189" s="605">
        <f>IFERROR(VLOOKUP($I189,'Upper Hot Cell Logistics'!$H$4:$I$9,2,FALSE),"N/A")</f>
        <v>0.2</v>
      </c>
      <c r="N189" s="606">
        <f t="shared" si="6"/>
        <v>2.7777777777777776E-2</v>
      </c>
      <c r="O189" s="607"/>
      <c r="P189" s="608" t="str">
        <f>IF($D189="Logistics",VLOOKUP($O189,'Upper Hot Cell Logistics'!$C$4:$D$51,2,FALSE),"N/A")</f>
        <v>N/A</v>
      </c>
    </row>
    <row r="190" spans="2:16" x14ac:dyDescent="0.4">
      <c r="B190" s="3993"/>
      <c r="C190" s="601" t="s">
        <v>985</v>
      </c>
      <c r="D190" s="601" t="s">
        <v>3</v>
      </c>
      <c r="E190" s="602">
        <f t="shared" si="7"/>
        <v>0.58000000000000007</v>
      </c>
      <c r="F190" s="608">
        <f>IF($D190="Trigger",VLOOKUP($C190,'Upper Hot Cell Critical Path'!$C$3:$F$322,4,FALSE),E190+F189)</f>
        <v>222.60977387047899</v>
      </c>
      <c r="G190" s="603"/>
      <c r="H190" s="604" t="str">
        <f>IF(D190="operation",VLOOKUP(G190,'Generic Vertical Port Tasks'!C234:D246,2,FALSE),"N/A")</f>
        <v>N/A</v>
      </c>
      <c r="I190" s="601"/>
      <c r="J190" s="601"/>
      <c r="K190" s="601"/>
      <c r="L190" s="605" t="str">
        <f>IFERROR(INDEX('Upper Hot Cell Logistics'!$I$35:$O$41,MATCH($J190,'Upper Hot Cell Logistics'!$H$35:$H$41,0),MATCH($K190,'Upper Hot Cell Logistics'!$H$35:$H$41,0)),"N/A")</f>
        <v>N/A</v>
      </c>
      <c r="M190" s="605" t="str">
        <f>IFERROR(VLOOKUP($I190,'Upper Hot Cell Logistics'!$H$4:$I$9,2,FALSE),"N/A")</f>
        <v>N/A</v>
      </c>
      <c r="N190" s="606" t="str">
        <f t="shared" ref="N190:N201" si="8">IF(D190="Movement",IFERROR((L190/M190)/(60*60),"Error"),"N/A")</f>
        <v>N/A</v>
      </c>
      <c r="O190" s="607" t="s">
        <v>796</v>
      </c>
      <c r="P190" s="608">
        <f>IF($D190="Logistics",VLOOKUP($O190,'Upper Hot Cell Logistics'!$C$4:$D$51,2,FALSE),"N/A")</f>
        <v>0.58000000000000007</v>
      </c>
    </row>
    <row r="191" spans="2:16" x14ac:dyDescent="0.4">
      <c r="B191" s="3993"/>
      <c r="C191" s="601" t="s">
        <v>917</v>
      </c>
      <c r="D191" s="601" t="s">
        <v>778</v>
      </c>
      <c r="E191" s="602">
        <f t="shared" si="7"/>
        <v>2.7777777777777776E-2</v>
      </c>
      <c r="F191" s="608">
        <f>IF($D191="Trigger",VLOOKUP($C191,'Upper Hot Cell Critical Path'!$C$3:$F$322,4,FALSE),E191+F190)</f>
        <v>222.63755164825676</v>
      </c>
      <c r="G191" s="603"/>
      <c r="H191" s="604" t="str">
        <f>IF(D191="operation",VLOOKUP(G191,'Generic Vertical Port Tasks'!C235:D246,2,FALSE),"N/A")</f>
        <v>N/A</v>
      </c>
      <c r="I191" s="601" t="s">
        <v>798</v>
      </c>
      <c r="J191" s="601" t="s">
        <v>799</v>
      </c>
      <c r="K191" s="601" t="s">
        <v>858</v>
      </c>
      <c r="L191" s="605">
        <f>IFERROR(INDEX('Upper Hot Cell Logistics'!$I$35:$O$41,MATCH($J191,'Upper Hot Cell Logistics'!$H$35:$H$41,0),MATCH($K191,'Upper Hot Cell Logistics'!$H$35:$H$41,0)),"N/A")</f>
        <v>20</v>
      </c>
      <c r="M191" s="605">
        <f>IFERROR(VLOOKUP($I191,'Upper Hot Cell Logistics'!$H$4:$I$9,2,FALSE),"N/A")</f>
        <v>0.2</v>
      </c>
      <c r="N191" s="606">
        <f t="shared" si="8"/>
        <v>2.7777777777777776E-2</v>
      </c>
      <c r="O191" s="607"/>
      <c r="P191" s="608" t="str">
        <f>IF($D191="Logistics",VLOOKUP($O191,'Upper Hot Cell Logistics'!$C$4:$D$51,2,FALSE),"N/A")</f>
        <v>N/A</v>
      </c>
    </row>
    <row r="192" spans="2:16" x14ac:dyDescent="0.4">
      <c r="B192" s="3993"/>
      <c r="C192" s="601" t="s">
        <v>986</v>
      </c>
      <c r="D192" s="601" t="s">
        <v>3</v>
      </c>
      <c r="E192" s="602">
        <f t="shared" si="7"/>
        <v>0.78</v>
      </c>
      <c r="F192" s="608">
        <f>IF($D192="Trigger",VLOOKUP($C192,'Upper Hot Cell Critical Path'!$C$3:$F$322,4,FALSE),E192+F191)</f>
        <v>223.41755164825676</v>
      </c>
      <c r="G192" s="603"/>
      <c r="H192" s="604" t="str">
        <f>IF(D192="operation",VLOOKUP(G192,'Generic Vertical Port Tasks'!C236:D246,2,FALSE),"N/A")</f>
        <v>N/A</v>
      </c>
      <c r="I192" s="601"/>
      <c r="J192" s="601"/>
      <c r="K192" s="601"/>
      <c r="L192" s="605" t="str">
        <f>IFERROR(INDEX('Upper Hot Cell Logistics'!$I$35:$O$41,MATCH($J192,'Upper Hot Cell Logistics'!$H$35:$H$41,0),MATCH($K192,'Upper Hot Cell Logistics'!$H$35:$H$41,0)),"N/A")</f>
        <v>N/A</v>
      </c>
      <c r="M192" s="605" t="str">
        <f>IFERROR(VLOOKUP($I192,'Upper Hot Cell Logistics'!$H$4:$I$9,2,FALSE),"N/A")</f>
        <v>N/A</v>
      </c>
      <c r="N192" s="606" t="str">
        <f t="shared" si="8"/>
        <v>N/A</v>
      </c>
      <c r="O192" s="607" t="s">
        <v>971</v>
      </c>
      <c r="P192" s="608">
        <f>IF($D192="Logistics",VLOOKUP($O192,'Upper Hot Cell Logistics'!$C$4:$D$51,2,FALSE),"N/A")</f>
        <v>0.78</v>
      </c>
    </row>
    <row r="193" spans="2:16" ht="26.6" thickBot="1" x14ac:dyDescent="0.45">
      <c r="B193" s="3994"/>
      <c r="C193" s="609" t="str">
        <f>B186</f>
        <v>Service Joint System Stored &amp; Closure Plate interface hardware Collected</v>
      </c>
      <c r="D193" s="609" t="s">
        <v>11</v>
      </c>
      <c r="E193" s="610">
        <f t="shared" si="7"/>
        <v>0</v>
      </c>
      <c r="F193" s="616">
        <f>IF($D193="Trigger",VLOOKUP($C193,'Upper Hot Cell Critical Path'!$C$3:$F$322,4,FALSE),E193+F192)</f>
        <v>223.41755164825676</v>
      </c>
      <c r="G193" s="611"/>
      <c r="H193" s="612" t="str">
        <f>IF(D193="operation",VLOOKUP(G193,'Generic Vertical Port Tasks'!C237:D246,2,FALSE),"N/A")</f>
        <v>N/A</v>
      </c>
      <c r="I193" s="609"/>
      <c r="J193" s="609"/>
      <c r="K193" s="609"/>
      <c r="L193" s="613" t="str">
        <f>IFERROR(INDEX('Upper Hot Cell Logistics'!$I$35:$O$41,MATCH($J193,'Upper Hot Cell Logistics'!$H$35:$H$41,0),MATCH($K193,'Upper Hot Cell Logistics'!$H$35:$H$41,0)),"N/A")</f>
        <v>N/A</v>
      </c>
      <c r="M193" s="613" t="str">
        <f>IFERROR(VLOOKUP($I193,'Upper Hot Cell Logistics'!$H$4:$I$9,2,FALSE),"N/A")</f>
        <v>N/A</v>
      </c>
      <c r="N193" s="614" t="str">
        <f t="shared" si="8"/>
        <v>N/A</v>
      </c>
      <c r="O193" s="615"/>
      <c r="P193" s="616" t="str">
        <f>IF($D193="Logistics",VLOOKUP($O193,'Upper Hot Cell Logistics'!$C$4:$D$51,2,FALSE),"N/A")</f>
        <v>N/A</v>
      </c>
    </row>
    <row r="194" spans="2:16" x14ac:dyDescent="0.4">
      <c r="B194" s="3995" t="s">
        <v>896</v>
      </c>
      <c r="C194" s="617" t="str">
        <f>'Upper Hot Cell Critical Path'!C126</f>
        <v>Install COB Pipe Module</v>
      </c>
      <c r="D194" s="617" t="s">
        <v>907</v>
      </c>
      <c r="E194" s="567">
        <f t="shared" si="7"/>
        <v>0</v>
      </c>
      <c r="F194" s="621">
        <f>IF($D194="Trigger",VLOOKUP($C194,'Upper Hot Cell Critical Path'!$C$3:$F$322,4,FALSE),E194+F193)</f>
        <v>195.81037465193873</v>
      </c>
      <c r="G194" s="568"/>
      <c r="H194" s="569" t="str">
        <f>IF(D194="operation",VLOOKUP(G194,'Generic Vertical Port Tasks'!C238:D247,2,FALSE),"N/A")</f>
        <v>N/A</v>
      </c>
      <c r="I194" s="617"/>
      <c r="J194" s="617"/>
      <c r="K194" s="617"/>
      <c r="L194" s="618" t="str">
        <f>IFERROR(INDEX('Upper Hot Cell Logistics'!$I$35:$O$41,MATCH($J194,'Upper Hot Cell Logistics'!$H$35:$H$41,0),MATCH($K194,'Upper Hot Cell Logistics'!$H$35:$H$41,0)),"N/A")</f>
        <v>N/A</v>
      </c>
      <c r="M194" s="618" t="str">
        <f>IFERROR(VLOOKUP($I194,'Upper Hot Cell Logistics'!$H$4:$I$9,2,FALSE),"N/A")</f>
        <v>N/A</v>
      </c>
      <c r="N194" s="619" t="str">
        <f t="shared" si="8"/>
        <v>N/A</v>
      </c>
      <c r="O194" s="620"/>
      <c r="P194" s="621" t="str">
        <f>IF($D194="Logistics",VLOOKUP($O194,'Upper Hot Cell Logistics'!$C$4:$D$51,2,FALSE),"N/A")</f>
        <v>N/A</v>
      </c>
    </row>
    <row r="195" spans="2:16" x14ac:dyDescent="0.4">
      <c r="B195" s="3996"/>
      <c r="C195" s="572" t="s">
        <v>913</v>
      </c>
      <c r="D195" s="572" t="s">
        <v>778</v>
      </c>
      <c r="E195" s="574">
        <f t="shared" si="7"/>
        <v>0.69444444444444442</v>
      </c>
      <c r="F195" s="580">
        <f>IF($D195="Trigger",VLOOKUP($C195,'Upper Hot Cell Critical Path'!$C$3:$F$322,4,FALSE),E195+F194)</f>
        <v>196.50481909638319</v>
      </c>
      <c r="G195" s="575"/>
      <c r="H195" s="576" t="str">
        <f>IF(D195="operation",VLOOKUP(G195,'Generic Vertical Port Tasks'!C239:D247,2,FALSE),"N/A")</f>
        <v>N/A</v>
      </c>
      <c r="I195" s="572" t="s">
        <v>857</v>
      </c>
      <c r="J195" s="572" t="s">
        <v>452</v>
      </c>
      <c r="K195" s="572" t="s">
        <v>914</v>
      </c>
      <c r="L195" s="577">
        <f>IFERROR(INDEX('Upper Hot Cell Logistics'!$I$35:$O$41,MATCH($J195,'Upper Hot Cell Logistics'!$H$35:$H$41,0),MATCH($K195,'Upper Hot Cell Logistics'!$H$35:$H$41,0)),"N/A")</f>
        <v>50</v>
      </c>
      <c r="M195" s="577">
        <f>IFERROR(VLOOKUP($I195,'Upper Hot Cell Logistics'!$H$4:$I$9,2,FALSE),"N/A")</f>
        <v>0.02</v>
      </c>
      <c r="N195" s="578">
        <f t="shared" si="8"/>
        <v>0.69444444444444442</v>
      </c>
      <c r="O195" s="579"/>
      <c r="P195" s="580" t="str">
        <f>IF($D195="Logistics",VLOOKUP($O195,'Upper Hot Cell Logistics'!$C$4:$D$51,2,FALSE),"N/A")</f>
        <v>N/A</v>
      </c>
    </row>
    <row r="196" spans="2:16" x14ac:dyDescent="0.4">
      <c r="B196" s="3996"/>
      <c r="C196" s="572" t="s">
        <v>987</v>
      </c>
      <c r="D196" s="572" t="s">
        <v>3</v>
      </c>
      <c r="E196" s="574">
        <f t="shared" si="7"/>
        <v>0.58000000000000007</v>
      </c>
      <c r="F196" s="580">
        <f>IF($D196="Trigger",VLOOKUP($C196,'Upper Hot Cell Critical Path'!$C$3:$F$322,4,FALSE),E196+F195)</f>
        <v>197.0848190963832</v>
      </c>
      <c r="G196" s="575"/>
      <c r="H196" s="576" t="str">
        <f>IF(D196="operation",VLOOKUP(G196,'Generic Vertical Port Tasks'!C240:D247,2,FALSE),"N/A")</f>
        <v>N/A</v>
      </c>
      <c r="I196" s="572"/>
      <c r="J196" s="572"/>
      <c r="K196" s="572"/>
      <c r="L196" s="577" t="str">
        <f>IFERROR(INDEX('Upper Hot Cell Logistics'!$I$35:$O$41,MATCH($J196,'Upper Hot Cell Logistics'!$H$35:$H$41,0),MATCH($K196,'Upper Hot Cell Logistics'!$H$35:$H$41,0)),"N/A")</f>
        <v>N/A</v>
      </c>
      <c r="M196" s="577" t="str">
        <f>IFERROR(VLOOKUP($I196,'Upper Hot Cell Logistics'!$H$4:$I$9,2,FALSE),"N/A")</f>
        <v>N/A</v>
      </c>
      <c r="N196" s="578" t="str">
        <f t="shared" si="8"/>
        <v>N/A</v>
      </c>
      <c r="O196" s="579" t="s">
        <v>904</v>
      </c>
      <c r="P196" s="580">
        <f>IF($D196="Logistics",VLOOKUP($O196,'Upper Hot Cell Logistics'!$C$4:$D$51,2,FALSE),"N/A")</f>
        <v>0.58000000000000007</v>
      </c>
    </row>
    <row r="197" spans="2:16" x14ac:dyDescent="0.4">
      <c r="B197" s="3996"/>
      <c r="C197" s="572" t="s">
        <v>917</v>
      </c>
      <c r="D197" s="572" t="s">
        <v>778</v>
      </c>
      <c r="E197" s="574">
        <f t="shared" si="7"/>
        <v>6.9444444444444448E-2</v>
      </c>
      <c r="F197" s="580">
        <f>IF($D197="Trigger",VLOOKUP($C197,'Upper Hot Cell Critical Path'!$C$3:$F$322,4,FALSE),E197+F196)</f>
        <v>197.15426354082766</v>
      </c>
      <c r="G197" s="575"/>
      <c r="H197" s="576" t="str">
        <f>IF(D197="operation",VLOOKUP(G197,'Generic Vertical Port Tasks'!C241:D247,2,FALSE),"N/A")</f>
        <v>N/A</v>
      </c>
      <c r="I197" s="572" t="s">
        <v>798</v>
      </c>
      <c r="J197" s="572" t="s">
        <v>901</v>
      </c>
      <c r="K197" s="572" t="s">
        <v>799</v>
      </c>
      <c r="L197" s="577">
        <f>IFERROR(INDEX('Upper Hot Cell Logistics'!$I$35:$O$41,MATCH($J197,'Upper Hot Cell Logistics'!$H$35:$H$41,0),MATCH($K197,'Upper Hot Cell Logistics'!$H$35:$H$41,0)),"N/A")</f>
        <v>50</v>
      </c>
      <c r="M197" s="577">
        <f>IFERROR(VLOOKUP($I197,'Upper Hot Cell Logistics'!$H$4:$I$9,2,FALSE),"N/A")</f>
        <v>0.2</v>
      </c>
      <c r="N197" s="578">
        <f t="shared" si="8"/>
        <v>6.9444444444444448E-2</v>
      </c>
      <c r="O197" s="579"/>
      <c r="P197" s="580" t="str">
        <f>IF($D197="Logistics",VLOOKUP($O197,'Upper Hot Cell Logistics'!$C$4:$D$51,2,FALSE),"N/A")</f>
        <v>N/A</v>
      </c>
    </row>
    <row r="198" spans="2:16" x14ac:dyDescent="0.4">
      <c r="B198" s="3996"/>
      <c r="C198" s="572" t="s">
        <v>918</v>
      </c>
      <c r="D198" s="572" t="s">
        <v>3</v>
      </c>
      <c r="E198" s="574">
        <f t="shared" si="7"/>
        <v>0.58000000000000007</v>
      </c>
      <c r="F198" s="580">
        <f>IF($D198="Trigger",VLOOKUP($C198,'Upper Hot Cell Critical Path'!$C$3:$F$322,4,FALSE),E198+F197)</f>
        <v>197.73426354082767</v>
      </c>
      <c r="G198" s="575"/>
      <c r="H198" s="576" t="str">
        <f>IF(D198="operation",VLOOKUP(G198,'Generic Vertical Port Tasks'!C242:D248,2,FALSE),"N/A")</f>
        <v>N/A</v>
      </c>
      <c r="I198" s="572"/>
      <c r="J198" s="572"/>
      <c r="K198" s="572"/>
      <c r="L198" s="577" t="str">
        <f>IFERROR(INDEX('Upper Hot Cell Logistics'!$I$35:$O$41,MATCH($J198,'Upper Hot Cell Logistics'!$H$35:$H$41,0),MATCH($K198,'Upper Hot Cell Logistics'!$H$35:$H$41,0)),"N/A")</f>
        <v>N/A</v>
      </c>
      <c r="M198" s="577" t="str">
        <f>IFERROR(VLOOKUP($I198,'Upper Hot Cell Logistics'!$H$4:$I$9,2,FALSE),"N/A")</f>
        <v>N/A</v>
      </c>
      <c r="N198" s="578" t="str">
        <f t="shared" si="8"/>
        <v>N/A</v>
      </c>
      <c r="O198" s="579" t="s">
        <v>796</v>
      </c>
      <c r="P198" s="580">
        <f>IF($D198="Logistics",VLOOKUP($O198,'Upper Hot Cell Logistics'!$C$4:$D$51,2,FALSE),"N/A")</f>
        <v>0.58000000000000007</v>
      </c>
    </row>
    <row r="199" spans="2:16" x14ac:dyDescent="0.4">
      <c r="B199" s="3996"/>
      <c r="C199" s="572" t="s">
        <v>976</v>
      </c>
      <c r="D199" s="572" t="s">
        <v>778</v>
      </c>
      <c r="E199" s="574">
        <f t="shared" si="7"/>
        <v>2.7777777777777776E-2</v>
      </c>
      <c r="F199" s="580">
        <f>IF($D199="Trigger",VLOOKUP($C199,'Upper Hot Cell Critical Path'!$C$3:$F$322,4,FALSE),E199+F198)</f>
        <v>197.76204131860544</v>
      </c>
      <c r="G199" s="575"/>
      <c r="H199" s="576" t="str">
        <f>IF(D199="operation",VLOOKUP(G199,'Generic Vertical Port Tasks'!C243:D248,2,FALSE),"N/A")</f>
        <v>N/A</v>
      </c>
      <c r="I199" s="572" t="s">
        <v>798</v>
      </c>
      <c r="J199" s="572" t="s">
        <v>799</v>
      </c>
      <c r="K199" s="572" t="s">
        <v>858</v>
      </c>
      <c r="L199" s="577">
        <f>IFERROR(INDEX('Upper Hot Cell Logistics'!$I$35:$O$41,MATCH($J199,'Upper Hot Cell Logistics'!$H$35:$H$41,0),MATCH($K199,'Upper Hot Cell Logistics'!$H$35:$H$41,0)),"N/A")</f>
        <v>20</v>
      </c>
      <c r="M199" s="577">
        <f>IFERROR(VLOOKUP($I199,'Upper Hot Cell Logistics'!$H$4:$I$9,2,FALSE),"N/A")</f>
        <v>0.2</v>
      </c>
      <c r="N199" s="578">
        <f t="shared" si="8"/>
        <v>2.7777777777777776E-2</v>
      </c>
      <c r="O199" s="579"/>
      <c r="P199" s="580" t="str">
        <f>IF($D199="Logistics",VLOOKUP($O199,'Upper Hot Cell Logistics'!$C$4:$D$51,2,FALSE),"N/A")</f>
        <v>N/A</v>
      </c>
    </row>
    <row r="200" spans="2:16" x14ac:dyDescent="0.4">
      <c r="B200" s="3996"/>
      <c r="C200" s="572" t="s">
        <v>988</v>
      </c>
      <c r="D200" s="572" t="s">
        <v>3</v>
      </c>
      <c r="E200" s="574">
        <f t="shared" si="7"/>
        <v>0.78</v>
      </c>
      <c r="F200" s="580">
        <f>IF($D200="Trigger",VLOOKUP($C200,'Upper Hot Cell Critical Path'!$C$3:$F$322,4,FALSE),E200+F199)</f>
        <v>198.54204131860544</v>
      </c>
      <c r="G200" s="575"/>
      <c r="H200" s="576" t="str">
        <f>IF(D200="operation",VLOOKUP(G200,'Generic Vertical Port Tasks'!C244:D248,2,FALSE),"N/A")</f>
        <v>N/A</v>
      </c>
      <c r="I200" s="572"/>
      <c r="J200" s="572"/>
      <c r="K200" s="572"/>
      <c r="L200" s="577" t="str">
        <f>IFERROR(INDEX('Upper Hot Cell Logistics'!$I$35:$O$41,MATCH($J200,'Upper Hot Cell Logistics'!$H$35:$H$41,0),MATCH($K200,'Upper Hot Cell Logistics'!$H$35:$H$41,0)),"N/A")</f>
        <v>N/A</v>
      </c>
      <c r="M200" s="577" t="str">
        <f>IFERROR(VLOOKUP($I200,'Upper Hot Cell Logistics'!$H$4:$I$9,2,FALSE),"N/A")</f>
        <v>N/A</v>
      </c>
      <c r="N200" s="578" t="str">
        <f t="shared" si="8"/>
        <v>N/A</v>
      </c>
      <c r="O200" s="579" t="s">
        <v>971</v>
      </c>
      <c r="P200" s="580">
        <f>IF($D200="Logistics",VLOOKUP($O200,'Upper Hot Cell Logistics'!$C$4:$D$51,2,FALSE),"N/A")</f>
        <v>0.78</v>
      </c>
    </row>
    <row r="201" spans="2:16" ht="26.6" thickBot="1" x14ac:dyDescent="0.45">
      <c r="B201" s="3997"/>
      <c r="C201" s="583" t="str">
        <f>B194</f>
        <v>Shield Plug &amp; Fixations Equipment Stored &amp; ECH Lifting Equipment &amp; ECH Collected</v>
      </c>
      <c r="D201" s="583" t="s">
        <v>11</v>
      </c>
      <c r="E201" s="585">
        <f t="shared" si="7"/>
        <v>0</v>
      </c>
      <c r="F201" s="591">
        <f>IF($D201="Trigger",VLOOKUP($C201,'Upper Hot Cell Critical Path'!$C$3:$F$322,4,FALSE),E201+F200)</f>
        <v>198.54204131860544</v>
      </c>
      <c r="G201" s="586"/>
      <c r="H201" s="587" t="str">
        <f>IF(D201="operation",VLOOKUP(G201,'Generic Vertical Port Tasks'!C245:D248,2,FALSE),"N/A")</f>
        <v>N/A</v>
      </c>
      <c r="I201" s="583"/>
      <c r="J201" s="583"/>
      <c r="K201" s="583"/>
      <c r="L201" s="588" t="str">
        <f>IFERROR(INDEX('Upper Hot Cell Logistics'!$I$35:$O$41,MATCH($J201,'Upper Hot Cell Logistics'!$H$35:$H$41,0),MATCH($K201,'Upper Hot Cell Logistics'!$H$35:$H$41,0)),"N/A")</f>
        <v>N/A</v>
      </c>
      <c r="M201" s="588" t="str">
        <f>IFERROR(VLOOKUP($I201,'Upper Hot Cell Logistics'!$H$4:$I$9,2,FALSE),"N/A")</f>
        <v>N/A</v>
      </c>
      <c r="N201" s="589" t="str">
        <f t="shared" si="8"/>
        <v>N/A</v>
      </c>
      <c r="O201" s="590"/>
      <c r="P201" s="591" t="str">
        <f>IF($D201="Logistics",VLOOKUP($O201,'Upper Hot Cell Logistics'!$C$4:$D$51,2,FALSE),"N/A")</f>
        <v>N/A</v>
      </c>
    </row>
    <row r="202" spans="2:16" ht="15" customHeight="1" x14ac:dyDescent="0.4">
      <c r="B202" s="3992" t="s">
        <v>902</v>
      </c>
      <c r="C202" s="644" t="str">
        <f>'Upper Hot Cell Critical Path'!C136</f>
        <v>Install Port Closure Plate</v>
      </c>
      <c r="D202" s="592" t="s">
        <v>907</v>
      </c>
      <c r="E202" s="593">
        <f t="shared" si="7"/>
        <v>0</v>
      </c>
      <c r="F202" s="600">
        <f>IF($D202="Trigger",VLOOKUP($C202,'Upper Hot Cell Critical Path'!$C$3:$F$322,4,FALSE),E202+F201)</f>
        <v>237.71310720381234</v>
      </c>
      <c r="G202" s="594"/>
      <c r="H202" s="595" t="str">
        <f>IF(D202="operation",VLOOKUP(G202,'Generic Vertical Port Tasks'!C246:D248,2,FALSE),"N/A")</f>
        <v>N/A</v>
      </c>
      <c r="I202" s="596"/>
      <c r="J202" s="596"/>
      <c r="K202" s="596"/>
      <c r="L202" s="597" t="str">
        <f>IFERROR(INDEX('Upper Hot Cell Logistics'!$I$35:$O$41,MATCH($J202,'Upper Hot Cell Logistics'!$H$35:$H$41,0),MATCH($K202,'Upper Hot Cell Logistics'!$H$35:$H$41,0)),"N/A")</f>
        <v>N/A</v>
      </c>
      <c r="M202" s="597" t="str">
        <f>IFERROR(VLOOKUP($I202,'Upper Hot Cell Logistics'!$H$4:$I$9,2,FALSE),"N/A")</f>
        <v>N/A</v>
      </c>
      <c r="N202" s="598" t="str">
        <f>IF(D202="Movement",IFERROR((L202/M202)/(60*60),"Error"),"N/A")</f>
        <v>N/A</v>
      </c>
      <c r="O202" s="599"/>
      <c r="P202" s="600" t="str">
        <f>IF($D202="Logistics",VLOOKUP($O202,'Upper Hot Cell Logistics'!$C$4:$D$51,2,FALSE),"N/A")</f>
        <v>N/A</v>
      </c>
    </row>
    <row r="203" spans="2:16" x14ac:dyDescent="0.4">
      <c r="B203" s="3993"/>
      <c r="C203" s="601" t="s">
        <v>989</v>
      </c>
      <c r="D203" s="601" t="s">
        <v>778</v>
      </c>
      <c r="E203" s="602">
        <f t="shared" si="7"/>
        <v>0.69444444444444442</v>
      </c>
      <c r="F203" s="608">
        <f>IF($D203="Trigger",VLOOKUP($C203,'Upper Hot Cell Critical Path'!$C$3:$F$322,4,FALSE),E203+F202)</f>
        <v>238.4075516482568</v>
      </c>
      <c r="G203" s="603"/>
      <c r="H203" s="604" t="str">
        <f>IF(D203="operation",VLOOKUP(G203,'Generic Vertical Port Tasks'!C246:D248,2,FALSE),"N/A")</f>
        <v>N/A</v>
      </c>
      <c r="I203" s="601" t="s">
        <v>857</v>
      </c>
      <c r="J203" s="601" t="s">
        <v>452</v>
      </c>
      <c r="K203" s="601" t="s">
        <v>914</v>
      </c>
      <c r="L203" s="605">
        <f>IFERROR(INDEX('Upper Hot Cell Logistics'!$I$35:$O$41,MATCH($J203,'Upper Hot Cell Logistics'!$H$35:$H$41,0),MATCH($K203,'Upper Hot Cell Logistics'!$H$35:$H$41,0)),"N/A")</f>
        <v>50</v>
      </c>
      <c r="M203" s="605">
        <f>IFERROR(VLOOKUP($I203,'Upper Hot Cell Logistics'!$H$4:$I$9,2,FALSE),"N/A")</f>
        <v>0.02</v>
      </c>
      <c r="N203" s="606">
        <f t="shared" ref="N203:N225" si="9">IF(D203="Movement",IFERROR((L203/M203)/(60*60),"Error"),"N/A")</f>
        <v>0.69444444444444442</v>
      </c>
      <c r="O203" s="607"/>
      <c r="P203" s="608" t="str">
        <f>IF($D203="Logistics",VLOOKUP($O203,'Upper Hot Cell Logistics'!$C$4:$D$51,2,FALSE),"N/A")</f>
        <v>N/A</v>
      </c>
    </row>
    <row r="204" spans="2:16" x14ac:dyDescent="0.4">
      <c r="B204" s="3993"/>
      <c r="C204" s="601" t="s">
        <v>990</v>
      </c>
      <c r="D204" s="601" t="s">
        <v>3</v>
      </c>
      <c r="E204" s="602">
        <f t="shared" si="7"/>
        <v>0.78</v>
      </c>
      <c r="F204" s="608">
        <f>IF($D204="Trigger",VLOOKUP($C204,'Upper Hot Cell Critical Path'!$C$3:$F$322,4,FALSE),E204+F203)</f>
        <v>239.1875516482568</v>
      </c>
      <c r="G204" s="603"/>
      <c r="H204" s="604" t="str">
        <f>IF(D204="operation",VLOOKUP(G204,'Generic Vertical Port Tasks'!C246:D248,2,FALSE),"N/A")</f>
        <v>N/A</v>
      </c>
      <c r="I204" s="601"/>
      <c r="J204" s="601"/>
      <c r="K204" s="601"/>
      <c r="L204" s="605" t="str">
        <f>IFERROR(INDEX('Upper Hot Cell Logistics'!$I$35:$O$41,MATCH($J204,'Upper Hot Cell Logistics'!$H$35:$H$41,0),MATCH($K204,'Upper Hot Cell Logistics'!$H$35:$H$41,0)),"N/A")</f>
        <v>N/A</v>
      </c>
      <c r="M204" s="605" t="str">
        <f>IFERROR(VLOOKUP($I204,'Upper Hot Cell Logistics'!$H$4:$I$9,2,FALSE),"N/A")</f>
        <v>N/A</v>
      </c>
      <c r="N204" s="606" t="str">
        <f t="shared" si="9"/>
        <v>N/A</v>
      </c>
      <c r="O204" s="607" t="s">
        <v>937</v>
      </c>
      <c r="P204" s="608">
        <f>IF($D204="Logistics",VLOOKUP($O204,'Upper Hot Cell Logistics'!$C$4:$D$51,2,FALSE),"N/A")</f>
        <v>0.78</v>
      </c>
    </row>
    <row r="205" spans="2:16" x14ac:dyDescent="0.4">
      <c r="B205" s="3993"/>
      <c r="C205" s="601" t="s">
        <v>917</v>
      </c>
      <c r="D205" s="601" t="s">
        <v>778</v>
      </c>
      <c r="E205" s="602">
        <f t="shared" si="7"/>
        <v>2.7777777777777776E-2</v>
      </c>
      <c r="F205" s="608">
        <f>IF($D205="Trigger",VLOOKUP($C205,'Upper Hot Cell Critical Path'!$C$3:$F$322,4,FALSE),E205+F204)</f>
        <v>239.21532942603457</v>
      </c>
      <c r="G205" s="603"/>
      <c r="H205" s="604" t="str">
        <f>IF(D205="operation",VLOOKUP(G205,'Generic Vertical Port Tasks'!C246:D248,2,FALSE),"N/A")</f>
        <v>N/A</v>
      </c>
      <c r="I205" s="601" t="s">
        <v>798</v>
      </c>
      <c r="J205" s="601" t="s">
        <v>914</v>
      </c>
      <c r="K205" s="601" t="s">
        <v>799</v>
      </c>
      <c r="L205" s="605">
        <f>IFERROR(INDEX('Upper Hot Cell Logistics'!$I$35:$O$41,MATCH($J205,'Upper Hot Cell Logistics'!$H$35:$H$41,0),MATCH($K205,'Upper Hot Cell Logistics'!$H$35:$H$41,0)),"N/A")</f>
        <v>20</v>
      </c>
      <c r="M205" s="605">
        <f>IFERROR(VLOOKUP($I205,'Upper Hot Cell Logistics'!$H$4:$I$9,2,FALSE),"N/A")</f>
        <v>0.2</v>
      </c>
      <c r="N205" s="606">
        <f t="shared" si="9"/>
        <v>2.7777777777777776E-2</v>
      </c>
      <c r="O205" s="607"/>
      <c r="P205" s="608" t="str">
        <f>IF($D205="Logistics",VLOOKUP($O205,'Upper Hot Cell Logistics'!$C$4:$D$51,2,FALSE),"N/A")</f>
        <v>N/A</v>
      </c>
    </row>
    <row r="206" spans="2:16" x14ac:dyDescent="0.4">
      <c r="B206" s="3993"/>
      <c r="C206" s="601" t="s">
        <v>991</v>
      </c>
      <c r="D206" s="601" t="s">
        <v>3</v>
      </c>
      <c r="E206" s="602">
        <f t="shared" si="7"/>
        <v>0.58000000000000007</v>
      </c>
      <c r="F206" s="608">
        <f>IF($D206="Trigger",VLOOKUP($C206,'Upper Hot Cell Critical Path'!$C$3:$F$322,4,FALSE),E206+F205)</f>
        <v>239.79532942603458</v>
      </c>
      <c r="G206" s="603"/>
      <c r="H206" s="604" t="str">
        <f>IF(D206="operation",VLOOKUP(G206,'Generic Vertical Port Tasks'!C247:D249,2,FALSE),"N/A")</f>
        <v>N/A</v>
      </c>
      <c r="I206" s="601"/>
      <c r="J206" s="601"/>
      <c r="K206" s="601"/>
      <c r="L206" s="605" t="str">
        <f>IFERROR(INDEX('Upper Hot Cell Logistics'!$I$35:$O$41,MATCH($J206,'Upper Hot Cell Logistics'!$H$35:$H$41,0),MATCH($K206,'Upper Hot Cell Logistics'!$H$35:$H$41,0)),"N/A")</f>
        <v>N/A</v>
      </c>
      <c r="M206" s="605" t="str">
        <f>IFERROR(VLOOKUP($I206,'Upper Hot Cell Logistics'!$H$4:$I$9,2,FALSE),"N/A")</f>
        <v>N/A</v>
      </c>
      <c r="N206" s="606" t="str">
        <f t="shared" si="9"/>
        <v>N/A</v>
      </c>
      <c r="O206" s="607" t="s">
        <v>796</v>
      </c>
      <c r="P206" s="608">
        <f>IF($D206="Logistics",VLOOKUP($O206,'Upper Hot Cell Logistics'!$C$4:$D$51,2,FALSE),"N/A")</f>
        <v>0.58000000000000007</v>
      </c>
    </row>
    <row r="207" spans="2:16" x14ac:dyDescent="0.4">
      <c r="B207" s="3993"/>
      <c r="C207" s="601" t="s">
        <v>911</v>
      </c>
      <c r="D207" s="601" t="s">
        <v>778</v>
      </c>
      <c r="E207" s="602">
        <f t="shared" si="7"/>
        <v>6.9444444444444448E-2</v>
      </c>
      <c r="F207" s="608">
        <f>IF($D207="Trigger",VLOOKUP($C207,'Upper Hot Cell Critical Path'!$C$3:$F$322,4,FALSE),E207+F206)</f>
        <v>239.86477387047904</v>
      </c>
      <c r="G207" s="603"/>
      <c r="H207" s="604" t="str">
        <f>IF(D207="operation",VLOOKUP(G207,'Generic Vertical Port Tasks'!C247:D249,2,FALSE),"N/A")</f>
        <v>N/A</v>
      </c>
      <c r="I207" s="601" t="s">
        <v>798</v>
      </c>
      <c r="J207" s="601" t="s">
        <v>799</v>
      </c>
      <c r="K207" s="601" t="s">
        <v>901</v>
      </c>
      <c r="L207" s="605">
        <f>IFERROR(INDEX('Upper Hot Cell Logistics'!$I$35:$O$41,MATCH($J207,'Upper Hot Cell Logistics'!$H$35:$H$41,0),MATCH($K207,'Upper Hot Cell Logistics'!$H$35:$H$41,0)),"N/A")</f>
        <v>50</v>
      </c>
      <c r="M207" s="605">
        <f>IFERROR(VLOOKUP($I207,'Upper Hot Cell Logistics'!$H$4:$I$9,2,FALSE),"N/A")</f>
        <v>0.2</v>
      </c>
      <c r="N207" s="606">
        <f t="shared" si="9"/>
        <v>6.9444444444444448E-2</v>
      </c>
      <c r="O207" s="607"/>
      <c r="P207" s="608" t="str">
        <f>IF($D207="Logistics",VLOOKUP($O207,'Upper Hot Cell Logistics'!$C$4:$D$51,2,FALSE),"N/A")</f>
        <v>N/A</v>
      </c>
    </row>
    <row r="208" spans="2:16" x14ac:dyDescent="0.4">
      <c r="B208" s="3993"/>
      <c r="C208" s="601" t="s">
        <v>992</v>
      </c>
      <c r="D208" s="601" t="s">
        <v>3</v>
      </c>
      <c r="E208" s="602">
        <f t="shared" si="7"/>
        <v>0.78</v>
      </c>
      <c r="F208" s="608">
        <f>IF($D208="Trigger",VLOOKUP($C208,'Upper Hot Cell Critical Path'!$C$3:$F$322,4,FALSE),E208+F207)</f>
        <v>240.64477387047904</v>
      </c>
      <c r="G208" s="603"/>
      <c r="H208" s="604" t="str">
        <f>IF(D208="operation",VLOOKUP(G208,'Generic Vertical Port Tasks'!C247:D249,2,FALSE),"N/A")</f>
        <v>N/A</v>
      </c>
      <c r="I208" s="601"/>
      <c r="J208" s="601"/>
      <c r="K208" s="601"/>
      <c r="L208" s="605" t="str">
        <f>IFERROR(INDEX('Upper Hot Cell Logistics'!$I$35:$O$41,MATCH($J208,'Upper Hot Cell Logistics'!$H$35:$H$41,0),MATCH($K208,'Upper Hot Cell Logistics'!$H$35:$H$41,0)),"N/A")</f>
        <v>N/A</v>
      </c>
      <c r="M208" s="605" t="str">
        <f>IFERROR(VLOOKUP($I208,'Upper Hot Cell Logistics'!$H$4:$I$9,2,FALSE),"N/A")</f>
        <v>N/A</v>
      </c>
      <c r="N208" s="606" t="str">
        <f t="shared" si="9"/>
        <v>N/A</v>
      </c>
      <c r="O208" s="607" t="s">
        <v>971</v>
      </c>
      <c r="P208" s="608">
        <f>IF($D208="Logistics",VLOOKUP($O208,'Upper Hot Cell Logistics'!$C$4:$D$51,2,FALSE),"N/A")</f>
        <v>0.78</v>
      </c>
    </row>
    <row r="209" spans="2:16" ht="26.6" thickBot="1" x14ac:dyDescent="0.45">
      <c r="B209" s="3994"/>
      <c r="C209" s="609" t="str">
        <f>B202</f>
        <v>Store Closure Plate interface hardware &amp; Collect CCD interface hardware &amp; CCD</v>
      </c>
      <c r="D209" s="609" t="s">
        <v>11</v>
      </c>
      <c r="E209" s="610">
        <f t="shared" si="7"/>
        <v>0</v>
      </c>
      <c r="F209" s="616">
        <f>IF($D209="Trigger",VLOOKUP($C209,'Upper Hot Cell Critical Path'!$C$3:$F$322,4,FALSE),E209+F208)</f>
        <v>240.64477387047904</v>
      </c>
      <c r="G209" s="611"/>
      <c r="H209" s="612" t="str">
        <f>IF(D209="operation",VLOOKUP(G209,'Generic Vertical Port Tasks'!C247:D249,2,FALSE),"N/A")</f>
        <v>N/A</v>
      </c>
      <c r="I209" s="609"/>
      <c r="J209" s="609"/>
      <c r="K209" s="609"/>
      <c r="L209" s="613" t="str">
        <f>IFERROR(INDEX('Upper Hot Cell Logistics'!$I$35:$O$41,MATCH($J209,'Upper Hot Cell Logistics'!$H$35:$H$41,0),MATCH($K209,'Upper Hot Cell Logistics'!$H$35:$H$41,0)),"N/A")</f>
        <v>N/A</v>
      </c>
      <c r="M209" s="613" t="str">
        <f>IFERROR(VLOOKUP($I209,'Upper Hot Cell Logistics'!$H$4:$I$9,2,FALSE),"N/A")</f>
        <v>N/A</v>
      </c>
      <c r="N209" s="614" t="str">
        <f t="shared" si="9"/>
        <v>N/A</v>
      </c>
      <c r="O209" s="615"/>
      <c r="P209" s="616" t="str">
        <f>IF($D209="Logistics",VLOOKUP($O209,'Upper Hot Cell Logistics'!$C$4:$D$51,2,FALSE),"N/A")</f>
        <v>N/A</v>
      </c>
    </row>
    <row r="210" spans="2:16" x14ac:dyDescent="0.4">
      <c r="B210" s="3995" t="s">
        <v>903</v>
      </c>
      <c r="C210" s="566" t="str">
        <f>'Upper Hot Cell Critical Path'!C141</f>
        <v>Install ECH</v>
      </c>
      <c r="D210" s="566" t="s">
        <v>907</v>
      </c>
      <c r="E210" s="567">
        <f t="shared" si="7"/>
        <v>0</v>
      </c>
      <c r="F210" s="621">
        <f>IF($D210="Trigger",VLOOKUP($C210,'Upper Hot Cell Critical Path'!$C$3:$F$322,4,FALSE),E210+F209)</f>
        <v>273.10255164825685</v>
      </c>
      <c r="G210" s="568"/>
      <c r="H210" s="569" t="str">
        <f>IF(D210="operation",VLOOKUP(G210,'Generic Vertical Port Tasks'!C247:D249,2,FALSE),"N/A")</f>
        <v>N/A</v>
      </c>
      <c r="I210" s="566"/>
      <c r="J210" s="566"/>
      <c r="K210" s="566"/>
      <c r="L210" s="570" t="str">
        <f>IFERROR(INDEX('Upper Hot Cell Logistics'!$I$35:$O$41,MATCH($J210,'Upper Hot Cell Logistics'!$H$35:$H$41,0),MATCH($K210,'Upper Hot Cell Logistics'!$H$35:$H$41,0)),"N/A")</f>
        <v>N/A</v>
      </c>
      <c r="M210" s="570" t="str">
        <f>IFERROR(VLOOKUP($I210,'Upper Hot Cell Logistics'!$H$4:$I$9,2,FALSE),"N/A")</f>
        <v>N/A</v>
      </c>
      <c r="N210" s="571" t="str">
        <f t="shared" si="9"/>
        <v>N/A</v>
      </c>
      <c r="O210" s="568"/>
      <c r="P210" s="569" t="str">
        <f>IF($D210="Logistics",VLOOKUP($O210,'Upper Hot Cell Logistics'!$C$4:$D$51,2,FALSE),"N/A")</f>
        <v>N/A</v>
      </c>
    </row>
    <row r="211" spans="2:16" x14ac:dyDescent="0.4">
      <c r="B211" s="3996"/>
      <c r="C211" s="572" t="s">
        <v>921</v>
      </c>
      <c r="D211" s="573" t="s">
        <v>778</v>
      </c>
      <c r="E211" s="574">
        <f t="shared" si="7"/>
        <v>6.9444444444444448E-2</v>
      </c>
      <c r="F211" s="580">
        <f>IF($D211="Trigger",VLOOKUP($C211,'Upper Hot Cell Critical Path'!$C$3:$F$322,4,FALSE),E211+F210)</f>
        <v>273.17199609270131</v>
      </c>
      <c r="G211" s="575"/>
      <c r="H211" s="576" t="str">
        <f>IF(D211="operation",VLOOKUP(G211,'Generic Vertical Port Tasks'!C247:D250,2,FALSE),"N/A")</f>
        <v>N/A</v>
      </c>
      <c r="I211" s="572" t="s">
        <v>798</v>
      </c>
      <c r="J211" s="572" t="s">
        <v>452</v>
      </c>
      <c r="K211" s="572" t="s">
        <v>914</v>
      </c>
      <c r="L211" s="577">
        <f>IFERROR(INDEX('Upper Hot Cell Logistics'!$I$35:$O$41,MATCH($J211,'Upper Hot Cell Logistics'!$H$35:$H$41,0),MATCH($K211,'Upper Hot Cell Logistics'!$H$35:$H$41,0)),"N/A")</f>
        <v>50</v>
      </c>
      <c r="M211" s="577">
        <f>IFERROR(VLOOKUP($I211,'Upper Hot Cell Logistics'!$H$4:$I$9,2,FALSE),"N/A")</f>
        <v>0.2</v>
      </c>
      <c r="N211" s="578">
        <f t="shared" si="9"/>
        <v>6.9444444444444448E-2</v>
      </c>
      <c r="O211" s="579"/>
      <c r="P211" s="580" t="str">
        <f>IF($D211="Logistics",VLOOKUP($O211,'Upper Hot Cell Logistics'!$C$4:$D$51,2,FALSE),"N/A")</f>
        <v>N/A</v>
      </c>
    </row>
    <row r="212" spans="2:16" x14ac:dyDescent="0.4">
      <c r="B212" s="4045"/>
      <c r="C212" s="581" t="s">
        <v>993</v>
      </c>
      <c r="D212" s="573" t="s">
        <v>3</v>
      </c>
      <c r="E212" s="574">
        <f t="shared" si="7"/>
        <v>0.68</v>
      </c>
      <c r="F212" s="580">
        <f>IF($D212="Trigger",VLOOKUP($C212,'Upper Hot Cell Critical Path'!$C$3:$F$322,4,FALSE),E212+F211)</f>
        <v>273.85199609270131</v>
      </c>
      <c r="G212" s="575"/>
      <c r="H212" s="576" t="str">
        <f>IF(D212="operation",VLOOKUP(G212,'Generic Vertical Port Tasks'!C248:D250,2,FALSE),"N/A")</f>
        <v>N/A</v>
      </c>
      <c r="I212" s="572"/>
      <c r="J212" s="572"/>
      <c r="K212" s="572"/>
      <c r="L212" s="577" t="str">
        <f>IFERROR(INDEX('Upper Hot Cell Logistics'!$I$35:$O$41,MATCH($J212,'Upper Hot Cell Logistics'!$H$35:$H$41,0),MATCH($K212,'Upper Hot Cell Logistics'!$H$35:$H$41,0)),"N/A")</f>
        <v>N/A</v>
      </c>
      <c r="M212" s="577" t="str">
        <f>IFERROR(VLOOKUP($I212,'Upper Hot Cell Logistics'!$H$4:$I$9,2,FALSE),"N/A")</f>
        <v>N/A</v>
      </c>
      <c r="N212" s="578" t="str">
        <f t="shared" si="9"/>
        <v>N/A</v>
      </c>
      <c r="O212" s="579" t="s">
        <v>916</v>
      </c>
      <c r="P212" s="580">
        <f>IF($D212="Logistics",VLOOKUP($O212,'Upper Hot Cell Logistics'!$C$4:$D$51,2,FALSE),"N/A")</f>
        <v>0.68</v>
      </c>
    </row>
    <row r="213" spans="2:16" x14ac:dyDescent="0.4">
      <c r="B213" s="4045"/>
      <c r="C213" s="581" t="s">
        <v>919</v>
      </c>
      <c r="D213" s="582" t="s">
        <v>778</v>
      </c>
      <c r="E213" s="574">
        <f t="shared" si="7"/>
        <v>6.9444444444444448E-2</v>
      </c>
      <c r="F213" s="580">
        <f>IF($D213="Trigger",VLOOKUP($C213,'Upper Hot Cell Critical Path'!$C$3:$F$322,4,FALSE),E213+F212)</f>
        <v>273.92144053714577</v>
      </c>
      <c r="G213" s="575"/>
      <c r="H213" s="576" t="str">
        <f>IF(D213="operation",VLOOKUP(G213,'Generic Vertical Port Tasks'!C248:D250,2,FALSE),"N/A")</f>
        <v>N/A</v>
      </c>
      <c r="I213" s="572" t="s">
        <v>798</v>
      </c>
      <c r="J213" s="572" t="s">
        <v>914</v>
      </c>
      <c r="K213" s="572" t="s">
        <v>901</v>
      </c>
      <c r="L213" s="577">
        <f>IFERROR(INDEX('Upper Hot Cell Logistics'!$I$35:$O$41,MATCH($J213,'Upper Hot Cell Logistics'!$H$35:$H$41,0),MATCH($K213,'Upper Hot Cell Logistics'!$H$35:$H$41,0)),"N/A")</f>
        <v>50</v>
      </c>
      <c r="M213" s="577">
        <f>IFERROR(VLOOKUP($I213,'Upper Hot Cell Logistics'!$H$4:$I$9,2,FALSE),"N/A")</f>
        <v>0.2</v>
      </c>
      <c r="N213" s="578">
        <f t="shared" si="9"/>
        <v>6.9444444444444448E-2</v>
      </c>
      <c r="O213" s="579"/>
      <c r="P213" s="580" t="str">
        <f>IF($D213="Logistics",VLOOKUP($O213,'Upper Hot Cell Logistics'!$C$4:$D$51,2,FALSE),"N/A")</f>
        <v>N/A</v>
      </c>
    </row>
    <row r="214" spans="2:16" x14ac:dyDescent="0.4">
      <c r="B214" s="4045"/>
      <c r="C214" s="581" t="s">
        <v>994</v>
      </c>
      <c r="D214" s="582" t="s">
        <v>3</v>
      </c>
      <c r="E214" s="574">
        <f t="shared" si="7"/>
        <v>0.78</v>
      </c>
      <c r="F214" s="580">
        <f>IF($D214="Trigger",VLOOKUP($C214,'Upper Hot Cell Critical Path'!$C$3:$F$322,4,FALSE),E214+F213)</f>
        <v>274.70144053714574</v>
      </c>
      <c r="G214" s="575"/>
      <c r="H214" s="576" t="str">
        <f>IF(D214="operation",VLOOKUP(G214,'Generic Vertical Port Tasks'!C248:D250,2,FALSE),"N/A")</f>
        <v>N/A</v>
      </c>
      <c r="I214" s="572"/>
      <c r="J214" s="572"/>
      <c r="K214" s="572"/>
      <c r="L214" s="577" t="str">
        <f>IFERROR(INDEX('Upper Hot Cell Logistics'!$I$35:$O$41,MATCH($J214,'Upper Hot Cell Logistics'!$H$35:$H$41,0),MATCH($K214,'Upper Hot Cell Logistics'!$H$35:$H$41,0)),"N/A")</f>
        <v>N/A</v>
      </c>
      <c r="M214" s="577" t="str">
        <f>IFERROR(VLOOKUP($I214,'Upper Hot Cell Logistics'!$H$4:$I$9,2,FALSE),"N/A")</f>
        <v>N/A</v>
      </c>
      <c r="N214" s="578" t="str">
        <f t="shared" si="9"/>
        <v>N/A</v>
      </c>
      <c r="O214" s="579" t="s">
        <v>971</v>
      </c>
      <c r="P214" s="580">
        <f>IF($D214="Logistics",VLOOKUP($O214,'Upper Hot Cell Logistics'!$C$4:$D$51,2,FALSE),"N/A")</f>
        <v>0.78</v>
      </c>
    </row>
    <row r="215" spans="2:16" ht="26.6" thickBot="1" x14ac:dyDescent="0.45">
      <c r="B215" s="3997"/>
      <c r="C215" s="583" t="str">
        <f>B210</f>
        <v>ECH interface hardware Stored &amp; Bioshield interface hardware Collected</v>
      </c>
      <c r="D215" s="584" t="s">
        <v>11</v>
      </c>
      <c r="E215" s="585">
        <f t="shared" si="7"/>
        <v>0</v>
      </c>
      <c r="F215" s="591">
        <f>IF($D215="Trigger",VLOOKUP($C215,'Upper Hot Cell Critical Path'!$C$3:$F$322,4,FALSE),E215+F214)</f>
        <v>274.70144053714574</v>
      </c>
      <c r="G215" s="586"/>
      <c r="H215" s="587" t="str">
        <f>IF(D215="operation",VLOOKUP(G215,'Generic Vertical Port Tasks'!C248:D251,2,FALSE),"N/A")</f>
        <v>N/A</v>
      </c>
      <c r="I215" s="583"/>
      <c r="J215" s="583"/>
      <c r="K215" s="583"/>
      <c r="L215" s="588" t="str">
        <f>IFERROR(INDEX('Upper Hot Cell Logistics'!$I$35:$O$41,MATCH($J215,'Upper Hot Cell Logistics'!$H$35:$H$41,0),MATCH($K215,'Upper Hot Cell Logistics'!$H$35:$H$41,0)),"N/A")</f>
        <v>N/A</v>
      </c>
      <c r="M215" s="588" t="str">
        <f>IFERROR(VLOOKUP($I215,'Upper Hot Cell Logistics'!$H$4:$I$9,2,FALSE),"N/A")</f>
        <v>N/A</v>
      </c>
      <c r="N215" s="589" t="str">
        <f t="shared" si="9"/>
        <v>N/A</v>
      </c>
      <c r="O215" s="590"/>
      <c r="P215" s="591" t="str">
        <f>IF($D215="Logistics",VLOOKUP($O215,'Upper Hot Cell Logistics'!$C$4:$D$51,2,FALSE),"N/A")</f>
        <v>N/A</v>
      </c>
    </row>
    <row r="216" spans="2:16" ht="25.5" customHeight="1" x14ac:dyDescent="0.4">
      <c r="B216" s="3992" t="s">
        <v>995</v>
      </c>
      <c r="C216" s="596" t="str">
        <f>'Upper Hot Cell Critical Path'!C151</f>
        <v>Seal Bioshield</v>
      </c>
      <c r="D216" s="596" t="s">
        <v>907</v>
      </c>
      <c r="E216" s="593">
        <f t="shared" si="7"/>
        <v>0</v>
      </c>
      <c r="F216" s="600">
        <f>IF($D216="Trigger",VLOOKUP($C216,'Upper Hot Cell Critical Path'!$C$3:$F$322,4,FALSE),E216+F215)</f>
        <v>299.92810720381249</v>
      </c>
      <c r="G216" s="594"/>
      <c r="H216" s="595" t="str">
        <f>IF(D216="operation",VLOOKUP(G216,'Generic Vertical Port Tasks'!C249:D251,2,FALSE),"N/A")</f>
        <v>N/A</v>
      </c>
      <c r="I216" s="596"/>
      <c r="J216" s="596"/>
      <c r="K216" s="596"/>
      <c r="L216" s="597" t="str">
        <f>IFERROR(INDEX('Upper Hot Cell Logistics'!$I$35:$O$41,MATCH($J216,'Upper Hot Cell Logistics'!$H$35:$H$41,0),MATCH($K216,'Upper Hot Cell Logistics'!$H$35:$H$41,0)),"N/A")</f>
        <v>N/A</v>
      </c>
      <c r="M216" s="597" t="str">
        <f>IFERROR(VLOOKUP($I216,'Upper Hot Cell Logistics'!$H$4:$I$9,2,FALSE),"N/A")</f>
        <v>N/A</v>
      </c>
      <c r="N216" s="598" t="str">
        <f t="shared" si="9"/>
        <v>N/A</v>
      </c>
      <c r="O216" s="599"/>
      <c r="P216" s="600" t="str">
        <f>IF($D216="Logistics",VLOOKUP($O216,'Upper Hot Cell Logistics'!$C$4:$D$51,2,FALSE),"N/A")</f>
        <v>N/A</v>
      </c>
    </row>
    <row r="217" spans="2:16" x14ac:dyDescent="0.4">
      <c r="B217" s="3993"/>
      <c r="C217" s="601" t="s">
        <v>921</v>
      </c>
      <c r="D217" s="601" t="s">
        <v>778</v>
      </c>
      <c r="E217" s="602">
        <f t="shared" si="7"/>
        <v>6.9444444444444448E-2</v>
      </c>
      <c r="F217" s="608">
        <f>IF($D217="Trigger",VLOOKUP($C217,'Upper Hot Cell Critical Path'!$C$3:$F$322,4,FALSE),E217+F216)</f>
        <v>299.99755164825694</v>
      </c>
      <c r="G217" s="603"/>
      <c r="H217" s="604" t="str">
        <f>IF(D217="operation",VLOOKUP(G217,'Generic Vertical Port Tasks'!C249:D251,2,FALSE),"N/A")</f>
        <v>N/A</v>
      </c>
      <c r="I217" s="601" t="s">
        <v>798</v>
      </c>
      <c r="J217" s="601" t="s">
        <v>452</v>
      </c>
      <c r="K217" s="601" t="s">
        <v>914</v>
      </c>
      <c r="L217" s="605">
        <f>IFERROR(INDEX('Upper Hot Cell Logistics'!$I$35:$O$41,MATCH($J217,'Upper Hot Cell Logistics'!$H$35:$H$41,0),MATCH($K217,'Upper Hot Cell Logistics'!$H$35:$H$41,0)),"N/A")</f>
        <v>50</v>
      </c>
      <c r="M217" s="605">
        <f>IFERROR(VLOOKUP($I217,'Upper Hot Cell Logistics'!$H$4:$I$9,2,FALSE),"N/A")</f>
        <v>0.2</v>
      </c>
      <c r="N217" s="606">
        <f t="shared" si="9"/>
        <v>6.9444444444444448E-2</v>
      </c>
      <c r="O217" s="607"/>
      <c r="P217" s="608" t="str">
        <f>IF($D217="Logistics",VLOOKUP($O217,'Upper Hot Cell Logistics'!$C$4:$D$51,2,FALSE),"N/A")</f>
        <v>N/A</v>
      </c>
    </row>
    <row r="218" spans="2:16" x14ac:dyDescent="0.4">
      <c r="B218" s="3999"/>
      <c r="C218" s="601" t="s">
        <v>996</v>
      </c>
      <c r="D218" s="601" t="s">
        <v>3</v>
      </c>
      <c r="E218" s="602">
        <f t="shared" si="7"/>
        <v>0.68</v>
      </c>
      <c r="F218" s="608">
        <f>IF($D218="Trigger",VLOOKUP($C218,'Upper Hot Cell Critical Path'!$C$3:$F$322,4,FALSE),E218+F217)</f>
        <v>300.67755164825695</v>
      </c>
      <c r="G218" s="603"/>
      <c r="H218" s="604" t="str">
        <f>IF(D218="operation",VLOOKUP(G218,'Generic Vertical Port Tasks'!C249:D251,2,FALSE),"N/A")</f>
        <v>N/A</v>
      </c>
      <c r="I218" s="601"/>
      <c r="J218" s="601"/>
      <c r="K218" s="601"/>
      <c r="L218" s="605" t="str">
        <f>IFERROR(INDEX('Upper Hot Cell Logistics'!$I$35:$O$41,MATCH($J218,'Upper Hot Cell Logistics'!$H$35:$H$41,0),MATCH($K218,'Upper Hot Cell Logistics'!$H$35:$H$41,0)),"N/A")</f>
        <v>N/A</v>
      </c>
      <c r="M218" s="605" t="str">
        <f>IFERROR(VLOOKUP($I218,'Upper Hot Cell Logistics'!$H$4:$I$9,2,FALSE),"N/A")</f>
        <v>N/A</v>
      </c>
      <c r="N218" s="606" t="str">
        <f t="shared" si="9"/>
        <v>N/A</v>
      </c>
      <c r="O218" s="607" t="s">
        <v>916</v>
      </c>
      <c r="P218" s="608">
        <f>IF($D218="Logistics",VLOOKUP($O218,'Upper Hot Cell Logistics'!$C$4:$D$51,2,FALSE),"N/A")</f>
        <v>0.68</v>
      </c>
    </row>
    <row r="219" spans="2:16" x14ac:dyDescent="0.4">
      <c r="B219" s="3999"/>
      <c r="C219" s="645" t="s">
        <v>919</v>
      </c>
      <c r="D219" s="645" t="s">
        <v>778</v>
      </c>
      <c r="E219" s="602">
        <f t="shared" si="7"/>
        <v>6.9444444444444448E-2</v>
      </c>
      <c r="F219" s="608">
        <f>IF($D219="Trigger",VLOOKUP($C219,'Upper Hot Cell Critical Path'!$C$3:$F$322,4,FALSE),E219+F218)</f>
        <v>300.74699609270141</v>
      </c>
      <c r="G219" s="646"/>
      <c r="H219" s="647" t="str">
        <f>IF(D219="operation",VLOOKUP(G219,'Generic Vertical Port Tasks'!C249:D251,2,FALSE),"N/A")</f>
        <v>N/A</v>
      </c>
      <c r="I219" s="601" t="s">
        <v>798</v>
      </c>
      <c r="J219" s="645" t="s">
        <v>914</v>
      </c>
      <c r="K219" s="645" t="s">
        <v>901</v>
      </c>
      <c r="L219" s="605">
        <f>IFERROR(INDEX('Upper Hot Cell Logistics'!$I$35:$O$41,MATCH($J219,'Upper Hot Cell Logistics'!$H$35:$H$41,0),MATCH($K219,'Upper Hot Cell Logistics'!$H$35:$H$41,0)),"N/A")</f>
        <v>50</v>
      </c>
      <c r="M219" s="605">
        <f>IFERROR(VLOOKUP($I219,'Upper Hot Cell Logistics'!$H$4:$I$9,2,FALSE),"N/A")</f>
        <v>0.2</v>
      </c>
      <c r="N219" s="606">
        <f t="shared" si="9"/>
        <v>6.9444444444444448E-2</v>
      </c>
      <c r="O219" s="648"/>
      <c r="P219" s="649" t="str">
        <f>IF($D219="Logistics",VLOOKUP($O219,'Upper Hot Cell Logistics'!$C$4:$D$51,2,FALSE),"N/A")</f>
        <v>N/A</v>
      </c>
    </row>
    <row r="220" spans="2:16" ht="15" thickBot="1" x14ac:dyDescent="0.45">
      <c r="B220" s="3999"/>
      <c r="C220" s="609" t="str">
        <f>B216</f>
        <v>Store Bioshield interface hardware &amp; Store Crane B</v>
      </c>
      <c r="D220" s="609" t="s">
        <v>11</v>
      </c>
      <c r="E220" s="610">
        <f t="shared" si="7"/>
        <v>0</v>
      </c>
      <c r="F220" s="616">
        <f>IF($D220="Trigger",VLOOKUP($C220,'Upper Hot Cell Critical Path'!$C$3:$F$322,4,FALSE),E220+F219)</f>
        <v>300.74699609270141</v>
      </c>
      <c r="G220" s="611"/>
      <c r="H220" s="612" t="str">
        <f>IF(D220="operation",VLOOKUP(G220,'Generic Vertical Port Tasks'!C249:D252,2,FALSE),"N/A")</f>
        <v>N/A</v>
      </c>
      <c r="I220" s="609"/>
      <c r="J220" s="609"/>
      <c r="K220" s="609"/>
      <c r="L220" s="613" t="str">
        <f>IFERROR(INDEX('Upper Hot Cell Logistics'!$I$35:$O$41,MATCH($J220,'Upper Hot Cell Logistics'!$H$35:$H$41,0),MATCH($K220,'Upper Hot Cell Logistics'!$H$35:$H$41,0)),"N/A")</f>
        <v>N/A</v>
      </c>
      <c r="M220" s="613" t="str">
        <f>IFERROR(VLOOKUP($I220,'Upper Hot Cell Logistics'!$H$4:$I$9,2,FALSE),"N/A")</f>
        <v>N/A</v>
      </c>
      <c r="N220" s="614" t="str">
        <f t="shared" si="9"/>
        <v>N/A</v>
      </c>
      <c r="O220" s="615"/>
      <c r="P220" s="616" t="str">
        <f>IF($D220="Logistics",VLOOKUP($O220,'Upper Hot Cell Logistics'!$C$4:$D$51,2,FALSE),"N/A")</f>
        <v>N/A</v>
      </c>
    </row>
    <row r="221" spans="2:16" x14ac:dyDescent="0.4">
      <c r="B221" s="3995" t="s">
        <v>997</v>
      </c>
      <c r="C221" s="617" t="str">
        <f>'Upper Hot Cell Critical Path'!C151</f>
        <v>Seal Bioshield</v>
      </c>
      <c r="D221" s="617" t="s">
        <v>907</v>
      </c>
      <c r="E221" s="567">
        <f t="shared" si="7"/>
        <v>0</v>
      </c>
      <c r="F221" s="621">
        <f>IF($D221="Trigger",VLOOKUP($C221,'Upper Hot Cell Critical Path'!$C$3:$F$322,4,FALSE),E221+F220)</f>
        <v>299.92810720381249</v>
      </c>
      <c r="G221" s="568"/>
      <c r="H221" s="569" t="str">
        <f>IF(D221="operation",VLOOKUP(G221,'Generic Vertical Port Tasks'!C249:D252,2,FALSE),"N/A")</f>
        <v>N/A</v>
      </c>
      <c r="I221" s="617"/>
      <c r="J221" s="617"/>
      <c r="K221" s="617"/>
      <c r="L221" s="618" t="str">
        <f>IFERROR(INDEX('Upper Hot Cell Logistics'!$I$35:$O$41,MATCH($J221,'Upper Hot Cell Logistics'!$H$35:$H$41,0),MATCH($K221,'Upper Hot Cell Logistics'!$H$35:$H$41,0)),"N/A")</f>
        <v>N/A</v>
      </c>
      <c r="M221" s="618" t="str">
        <f>IFERROR(VLOOKUP($I221,'Upper Hot Cell Logistics'!$H$4:$I$9,2,FALSE),"N/A")</f>
        <v>N/A</v>
      </c>
      <c r="N221" s="619" t="str">
        <f t="shared" si="9"/>
        <v>N/A</v>
      </c>
      <c r="O221" s="620"/>
      <c r="P221" s="621" t="str">
        <f>IF($D221="Logistics",VLOOKUP($O221,'Upper Hot Cell Logistics'!$C$4:$D$51,2,FALSE),"N/A")</f>
        <v>N/A</v>
      </c>
    </row>
    <row r="222" spans="2:16" x14ac:dyDescent="0.4">
      <c r="B222" s="3996"/>
      <c r="C222" s="572" t="s">
        <v>913</v>
      </c>
      <c r="D222" s="572" t="s">
        <v>778</v>
      </c>
      <c r="E222" s="574">
        <f t="shared" si="7"/>
        <v>6.9444444444444448E-2</v>
      </c>
      <c r="F222" s="580">
        <f>IF($D222="Trigger",VLOOKUP($C222,'Upper Hot Cell Critical Path'!$C$3:$F$322,4,FALSE),E222+F221)</f>
        <v>299.99755164825694</v>
      </c>
      <c r="G222" s="575"/>
      <c r="H222" s="576" t="str">
        <f>IF(D222="operation",VLOOKUP(G222,'Generic Vertical Port Tasks'!C249:D252,2,FALSE),"N/A")</f>
        <v>N/A</v>
      </c>
      <c r="I222" s="572" t="s">
        <v>798</v>
      </c>
      <c r="J222" s="572" t="s">
        <v>452</v>
      </c>
      <c r="K222" s="572" t="s">
        <v>914</v>
      </c>
      <c r="L222" s="577">
        <f>IFERROR(INDEX('Upper Hot Cell Logistics'!$I$35:$O$41,MATCH($J222,'Upper Hot Cell Logistics'!$H$35:$H$41,0),MATCH($K222,'Upper Hot Cell Logistics'!$H$35:$H$41,0)),"N/A")</f>
        <v>50</v>
      </c>
      <c r="M222" s="577">
        <f>IFERROR(VLOOKUP($I222,'Upper Hot Cell Logistics'!$H$4:$I$9,2,FALSE),"N/A")</f>
        <v>0.2</v>
      </c>
      <c r="N222" s="578">
        <f t="shared" si="9"/>
        <v>6.9444444444444448E-2</v>
      </c>
      <c r="O222" s="579"/>
      <c r="P222" s="580" t="str">
        <f>IF($D222="Logistics",VLOOKUP($O222,'Upper Hot Cell Logistics'!$C$4:$D$51,2,FALSE),"N/A")</f>
        <v>N/A</v>
      </c>
    </row>
    <row r="223" spans="2:16" x14ac:dyDescent="0.4">
      <c r="B223" s="4045"/>
      <c r="C223" s="572" t="s">
        <v>998</v>
      </c>
      <c r="D223" s="572" t="s">
        <v>3</v>
      </c>
      <c r="E223" s="574">
        <f t="shared" si="7"/>
        <v>0.68</v>
      </c>
      <c r="F223" s="580">
        <f>IF($D223="Trigger",VLOOKUP($C223,'Upper Hot Cell Critical Path'!$C$3:$F$322,4,FALSE),E223+F222)</f>
        <v>300.67755164825695</v>
      </c>
      <c r="G223" s="575"/>
      <c r="H223" s="576" t="str">
        <f>IF(D223="operation",VLOOKUP(G223,'Generic Vertical Port Tasks'!C249:D252,2,FALSE),"N/A")</f>
        <v>N/A</v>
      </c>
      <c r="I223" s="572"/>
      <c r="J223" s="572"/>
      <c r="K223" s="572"/>
      <c r="L223" s="577" t="str">
        <f>IFERROR(INDEX('Upper Hot Cell Logistics'!$I$35:$O$41,MATCH($J223,'Upper Hot Cell Logistics'!$H$35:$H$41,0),MATCH($K223,'Upper Hot Cell Logistics'!$H$35:$H$41,0)),"N/A")</f>
        <v>N/A</v>
      </c>
      <c r="M223" s="577" t="str">
        <f>IFERROR(VLOOKUP($I223,'Upper Hot Cell Logistics'!$H$4:$I$9,2,FALSE),"N/A")</f>
        <v>N/A</v>
      </c>
      <c r="N223" s="578" t="str">
        <f t="shared" si="9"/>
        <v>N/A</v>
      </c>
      <c r="O223" s="579" t="s">
        <v>916</v>
      </c>
      <c r="P223" s="580">
        <f>IF($D223="Logistics",VLOOKUP($O223,'Upper Hot Cell Logistics'!$C$4:$D$51,2,FALSE),"N/A")</f>
        <v>0.68</v>
      </c>
    </row>
    <row r="224" spans="2:16" x14ac:dyDescent="0.4">
      <c r="B224" s="4045"/>
      <c r="C224" s="581" t="s">
        <v>911</v>
      </c>
      <c r="D224" s="581" t="s">
        <v>778</v>
      </c>
      <c r="E224" s="574">
        <f t="shared" si="7"/>
        <v>6.9444444444444448E-2</v>
      </c>
      <c r="F224" s="580">
        <f>IF($D224="Trigger",VLOOKUP($C224,'Upper Hot Cell Critical Path'!$C$3:$F$322,4,FALSE),E224+F223)</f>
        <v>300.74699609270141</v>
      </c>
      <c r="G224" s="627"/>
      <c r="H224" s="628" t="str">
        <f>IF(D224="operation",VLOOKUP(G224,'Generic Vertical Port Tasks'!C250:D252,2,FALSE),"N/A")</f>
        <v>N/A</v>
      </c>
      <c r="I224" s="572" t="s">
        <v>798</v>
      </c>
      <c r="J224" s="581" t="s">
        <v>914</v>
      </c>
      <c r="K224" s="581" t="s">
        <v>901</v>
      </c>
      <c r="L224" s="577">
        <f>IFERROR(INDEX('Upper Hot Cell Logistics'!$I$35:$O$41,MATCH($J224,'Upper Hot Cell Logistics'!$H$35:$H$41,0),MATCH($K224,'Upper Hot Cell Logistics'!$H$35:$H$41,0)),"N/A")</f>
        <v>50</v>
      </c>
      <c r="M224" s="577">
        <f>IFERROR(VLOOKUP($I224,'Upper Hot Cell Logistics'!$H$4:$I$9,2,FALSE),"N/A")</f>
        <v>0.2</v>
      </c>
      <c r="N224" s="578">
        <f t="shared" si="9"/>
        <v>6.9444444444444448E-2</v>
      </c>
      <c r="O224" s="631"/>
      <c r="P224" s="632" t="str">
        <f>IF($D224="Logistics",VLOOKUP($O224,'Upper Hot Cell Logistics'!$C$4:$D$51,2,FALSE),"N/A")</f>
        <v>N/A</v>
      </c>
    </row>
    <row r="225" spans="2:16" ht="15" thickBot="1" x14ac:dyDescent="0.45">
      <c r="B225" s="3997"/>
      <c r="C225" s="583" t="str">
        <f>B221</f>
        <v>Store CCD interface hardware &amp; Store Crane A</v>
      </c>
      <c r="D225" s="583" t="s">
        <v>11</v>
      </c>
      <c r="E225" s="585">
        <f t="shared" si="7"/>
        <v>0</v>
      </c>
      <c r="F225" s="591">
        <f>IF($D225="Trigger",VLOOKUP($C225,'Upper Hot Cell Critical Path'!$C$3:$F$322,4,FALSE),E225+F223)</f>
        <v>300.67755164825695</v>
      </c>
      <c r="G225" s="586"/>
      <c r="H225" s="587" t="str">
        <f>IF(D225="operation",VLOOKUP(G225,'Generic Vertical Port Tasks'!C250:D253,2,FALSE),"N/A")</f>
        <v>N/A</v>
      </c>
      <c r="I225" s="583"/>
      <c r="J225" s="583"/>
      <c r="K225" s="583"/>
      <c r="L225" s="588" t="str">
        <f>IFERROR(INDEX('Upper Hot Cell Logistics'!$I$35:$O$41,MATCH($J225,'Upper Hot Cell Logistics'!$H$35:$H$41,0),MATCH($K225,'Upper Hot Cell Logistics'!$H$35:$H$41,0)),"N/A")</f>
        <v>N/A</v>
      </c>
      <c r="M225" s="588" t="str">
        <f>IFERROR(VLOOKUP($I225,'Upper Hot Cell Logistics'!$H$4:$I$9,2,FALSE),"N/A")</f>
        <v>N/A</v>
      </c>
      <c r="N225" s="589" t="str">
        <f t="shared" si="9"/>
        <v>N/A</v>
      </c>
      <c r="O225" s="590"/>
      <c r="P225" s="591" t="str">
        <f>IF($D225="Logistics",VLOOKUP($O225,'Upper Hot Cell Logistics'!$C$4:$D$51,2,FALSE),"N/A")</f>
        <v>N/A</v>
      </c>
    </row>
    <row r="226" spans="2:16" x14ac:dyDescent="0.4">
      <c r="B226" s="3817" t="s">
        <v>999</v>
      </c>
      <c r="C226" s="520"/>
      <c r="D226" s="520"/>
      <c r="E226" s="520"/>
      <c r="F226" s="521"/>
      <c r="G226" s="523"/>
      <c r="H226" s="523"/>
      <c r="I226" s="523"/>
      <c r="J226" s="523"/>
      <c r="K226" s="523"/>
      <c r="L226" s="523"/>
      <c r="M226" s="523"/>
      <c r="N226" s="523"/>
      <c r="O226" s="523"/>
      <c r="P226" s="526"/>
    </row>
    <row r="227" spans="2:16" x14ac:dyDescent="0.4">
      <c r="B227" s="3818"/>
      <c r="C227" s="527" t="s">
        <v>966</v>
      </c>
      <c r="D227" s="527"/>
      <c r="E227" s="527"/>
      <c r="F227" s="528">
        <f>SUMIF(D130:D225,"Movement",E130:E225)</f>
        <v>7.4166666666666696</v>
      </c>
      <c r="G227" s="530"/>
      <c r="H227" s="530"/>
      <c r="I227" s="530"/>
      <c r="J227" s="530"/>
      <c r="K227" s="530"/>
      <c r="L227" s="530"/>
      <c r="M227" s="530"/>
      <c r="N227" s="530"/>
      <c r="O227" s="530"/>
      <c r="P227" s="533"/>
    </row>
    <row r="228" spans="2:16" x14ac:dyDescent="0.4">
      <c r="B228" s="3818"/>
      <c r="C228" s="527" t="s">
        <v>967</v>
      </c>
      <c r="D228" s="527"/>
      <c r="E228" s="527"/>
      <c r="F228" s="528">
        <f>SUMIF(D130:D225,"Logistics",E130:E225)</f>
        <v>22.42</v>
      </c>
      <c r="G228" s="527"/>
      <c r="H228" s="527"/>
      <c r="I228" s="527"/>
      <c r="J228" s="527"/>
      <c r="K228" s="527"/>
      <c r="L228" s="527"/>
      <c r="M228" s="527"/>
      <c r="N228" s="527"/>
      <c r="O228" s="527"/>
      <c r="P228" s="533"/>
    </row>
    <row r="229" spans="2:16" ht="15" thickBot="1" x14ac:dyDescent="0.45">
      <c r="B229" s="3819"/>
      <c r="C229" s="633"/>
      <c r="D229" s="633"/>
      <c r="E229" s="633"/>
      <c r="F229" s="634"/>
      <c r="G229" s="633"/>
      <c r="H229" s="633"/>
      <c r="I229" s="633"/>
      <c r="J229" s="633"/>
      <c r="K229" s="633"/>
      <c r="L229" s="633"/>
      <c r="M229" s="633"/>
      <c r="N229" s="633"/>
      <c r="O229" s="633"/>
      <c r="P229" s="635"/>
    </row>
  </sheetData>
  <autoFilter ref="B5:P229"/>
  <customSheetViews>
    <customSheetView guid="{9C0AA20B-B2A2-4A2C-B279-4A5988F4E71A}" showAutoFilter="1" state="hidden">
      <selection activeCell="H129" sqref="H129"/>
      <pageMargins left="0.7" right="0.7" top="0.75" bottom="0.75" header="0.3" footer="0.3"/>
      <pageSetup paperSize="9" orientation="portrait" verticalDpi="0" r:id="rId1"/>
      <autoFilter ref="B5:P113"/>
    </customSheetView>
  </customSheetViews>
  <mergeCells count="47">
    <mergeCell ref="B210:B215"/>
    <mergeCell ref="B216:B220"/>
    <mergeCell ref="B221:B225"/>
    <mergeCell ref="B226:B229"/>
    <mergeCell ref="B172:B175"/>
    <mergeCell ref="B176:B179"/>
    <mergeCell ref="B180:B185"/>
    <mergeCell ref="B186:B193"/>
    <mergeCell ref="B194:B201"/>
    <mergeCell ref="B202:B209"/>
    <mergeCell ref="B168:B171"/>
    <mergeCell ref="B118:B121"/>
    <mergeCell ref="B122:B125"/>
    <mergeCell ref="B126:B129"/>
    <mergeCell ref="B130:B133"/>
    <mergeCell ref="B134:B137"/>
    <mergeCell ref="B138:B141"/>
    <mergeCell ref="B142:B145"/>
    <mergeCell ref="B146:B149"/>
    <mergeCell ref="B150:B157"/>
    <mergeCell ref="B158:B163"/>
    <mergeCell ref="B164:B167"/>
    <mergeCell ref="B114:B117"/>
    <mergeCell ref="B69:B72"/>
    <mergeCell ref="B73:B75"/>
    <mergeCell ref="B76:B78"/>
    <mergeCell ref="B79:B81"/>
    <mergeCell ref="B82:B84"/>
    <mergeCell ref="B85:B87"/>
    <mergeCell ref="B88:B93"/>
    <mergeCell ref="B94:B101"/>
    <mergeCell ref="B102:B105"/>
    <mergeCell ref="B106:B109"/>
    <mergeCell ref="B110:B113"/>
    <mergeCell ref="B65:B68"/>
    <mergeCell ref="G4:H4"/>
    <mergeCell ref="I4:N4"/>
    <mergeCell ref="O4:P4"/>
    <mergeCell ref="B6:B9"/>
    <mergeCell ref="B10:B17"/>
    <mergeCell ref="B25:B32"/>
    <mergeCell ref="B18:B24"/>
    <mergeCell ref="B33:B40"/>
    <mergeCell ref="B41:B48"/>
    <mergeCell ref="B49:B56"/>
    <mergeCell ref="B57:B60"/>
    <mergeCell ref="B61:B64"/>
  </mergeCells>
  <conditionalFormatting sqref="G1:P1048576">
    <cfRule type="cellIs" dxfId="31" priority="12" stopIfTrue="1" operator="equal">
      <formula>"N/A"</formula>
    </cfRule>
  </conditionalFormatting>
  <conditionalFormatting sqref="D1:D1048576">
    <cfRule type="cellIs" dxfId="30" priority="10" stopIfTrue="1" operator="equal">
      <formula>"Operation"</formula>
    </cfRule>
  </conditionalFormatting>
  <pageMargins left="0.7" right="0.7" top="0.75" bottom="0.75" header="0.3" footer="0.3"/>
  <pageSetup paperSize="9" orientation="portrait" verticalDpi="0"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B1:O58"/>
  <sheetViews>
    <sheetView workbookViewId="0">
      <selection activeCell="H129" sqref="H129"/>
    </sheetView>
  </sheetViews>
  <sheetFormatPr defaultRowHeight="14.6" x14ac:dyDescent="0.4"/>
  <cols>
    <col min="2" max="2" width="24.3828125" bestFit="1" customWidth="1"/>
    <col min="3" max="3" width="39.5351562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9" ht="15" thickBot="1" x14ac:dyDescent="0.45"/>
    <row r="2" spans="2:9" ht="21" thickBot="1" x14ac:dyDescent="0.6">
      <c r="B2" s="3826" t="s">
        <v>1000</v>
      </c>
      <c r="C2" s="3827"/>
      <c r="D2" s="3828"/>
      <c r="H2" s="3684" t="s">
        <v>1001</v>
      </c>
      <c r="I2" s="3686"/>
    </row>
    <row r="3" spans="2:9" ht="15" thickBot="1" x14ac:dyDescent="0.45">
      <c r="B3" s="650" t="s">
        <v>781</v>
      </c>
      <c r="C3" s="4" t="s">
        <v>1002</v>
      </c>
      <c r="D3" s="1" t="s">
        <v>2</v>
      </c>
      <c r="H3" s="650" t="s">
        <v>786</v>
      </c>
      <c r="I3" s="1" t="s">
        <v>790</v>
      </c>
    </row>
    <row r="4" spans="2:9" ht="15" thickBot="1" x14ac:dyDescent="0.45">
      <c r="B4" s="651" t="s">
        <v>1003</v>
      </c>
      <c r="C4" s="652" t="str">
        <f>B4</f>
        <v>Deploy Equipment</v>
      </c>
      <c r="D4" s="653">
        <v>0</v>
      </c>
      <c r="H4" s="654" t="s">
        <v>857</v>
      </c>
      <c r="I4" s="655">
        <f>loaded_crane_spd</f>
        <v>0.02</v>
      </c>
    </row>
    <row r="5" spans="2:9" x14ac:dyDescent="0.4">
      <c r="B5" s="3829" t="s">
        <v>796</v>
      </c>
      <c r="C5" s="656" t="s">
        <v>1004</v>
      </c>
      <c r="D5" s="655">
        <v>0.28000000000000003</v>
      </c>
      <c r="H5" s="1789" t="s">
        <v>798</v>
      </c>
      <c r="I5" s="2426">
        <f>unloaded_crane_spd</f>
        <v>0.2</v>
      </c>
    </row>
    <row r="6" spans="2:9" x14ac:dyDescent="0.4">
      <c r="B6" s="3830"/>
      <c r="C6" s="289" t="s">
        <v>1005</v>
      </c>
      <c r="D6" s="658">
        <v>0.2</v>
      </c>
      <c r="H6" s="2" t="s">
        <v>2002</v>
      </c>
      <c r="I6" s="657">
        <f>loaded_hardware_transporter_spd</f>
        <v>0.02</v>
      </c>
    </row>
    <row r="7" spans="2:9" ht="15" thickBot="1" x14ac:dyDescent="0.45">
      <c r="B7" s="3831"/>
      <c r="C7" s="659" t="s">
        <v>1006</v>
      </c>
      <c r="D7" s="657">
        <v>0.1</v>
      </c>
      <c r="H7" s="2" t="s">
        <v>2497</v>
      </c>
      <c r="I7" s="657">
        <f>unloaded_hardware_transporter_spd</f>
        <v>0.2</v>
      </c>
    </row>
    <row r="8" spans="2:9" ht="15" thickBot="1" x14ac:dyDescent="0.45">
      <c r="B8" s="3832"/>
      <c r="C8" s="660" t="str">
        <f>B5</f>
        <v>Collect interface hardware</v>
      </c>
      <c r="D8" s="661">
        <f>SUM(D5:D7)</f>
        <v>0.58000000000000007</v>
      </c>
      <c r="H8" s="2" t="s">
        <v>2498</v>
      </c>
      <c r="I8" s="657">
        <f>empty_hardware_transporter_spd</f>
        <v>0.06</v>
      </c>
    </row>
    <row r="9" spans="2:9" x14ac:dyDescent="0.4">
      <c r="B9" s="4047" t="s">
        <v>909</v>
      </c>
      <c r="C9" s="656" t="s">
        <v>1004</v>
      </c>
      <c r="D9" s="655">
        <v>0.28000000000000003</v>
      </c>
      <c r="H9" s="2" t="s">
        <v>12</v>
      </c>
      <c r="I9" s="657">
        <f>MFM_deployment_spd</f>
        <v>0.02</v>
      </c>
    </row>
    <row r="10" spans="2:9" x14ac:dyDescent="0.4">
      <c r="B10" s="4048"/>
      <c r="C10" s="663" t="s">
        <v>1005</v>
      </c>
      <c r="D10" s="658">
        <v>0.2</v>
      </c>
      <c r="H10" s="2" t="s">
        <v>815</v>
      </c>
      <c r="I10" s="657">
        <v>0.02</v>
      </c>
    </row>
    <row r="11" spans="2:9" ht="15" thickBot="1" x14ac:dyDescent="0.45">
      <c r="B11" s="4048"/>
      <c r="C11" s="663" t="s">
        <v>1007</v>
      </c>
      <c r="D11" s="658">
        <v>0.3</v>
      </c>
      <c r="H11" s="3" t="s">
        <v>897</v>
      </c>
      <c r="I11" s="662">
        <v>0.02</v>
      </c>
    </row>
    <row r="12" spans="2:9" x14ac:dyDescent="0.4">
      <c r="B12" s="4048"/>
      <c r="C12" s="663" t="s">
        <v>1008</v>
      </c>
      <c r="D12" s="658">
        <v>0.1</v>
      </c>
      <c r="H12" s="7"/>
      <c r="I12" s="7"/>
    </row>
    <row r="13" spans="2:9" ht="15" thickBot="1" x14ac:dyDescent="0.45">
      <c r="B13" s="4048"/>
      <c r="C13" s="664" t="s">
        <v>1009</v>
      </c>
      <c r="D13" s="658">
        <v>0.2</v>
      </c>
      <c r="H13" s="7"/>
      <c r="I13" s="7"/>
    </row>
    <row r="14" spans="2:9" ht="15" thickBot="1" x14ac:dyDescent="0.45">
      <c r="B14" s="4048"/>
      <c r="C14" s="660" t="str">
        <f>B9</f>
        <v>Collect RM Equipment</v>
      </c>
      <c r="D14" s="661">
        <f>SUM(D9:D13)</f>
        <v>1.08</v>
      </c>
      <c r="H14" s="7"/>
      <c r="I14" s="7"/>
    </row>
    <row r="15" spans="2:9" x14ac:dyDescent="0.4">
      <c r="B15" s="3833" t="s">
        <v>802</v>
      </c>
      <c r="C15" s="656" t="s">
        <v>1004</v>
      </c>
      <c r="D15" s="655">
        <v>0.28000000000000003</v>
      </c>
      <c r="H15" s="7"/>
      <c r="I15" s="7"/>
    </row>
    <row r="16" spans="2:9" x14ac:dyDescent="0.4">
      <c r="B16" s="3834"/>
      <c r="C16" s="663" t="s">
        <v>1010</v>
      </c>
      <c r="D16" s="658">
        <v>0.2</v>
      </c>
      <c r="H16" s="7"/>
      <c r="I16" s="7"/>
    </row>
    <row r="17" spans="2:9" x14ac:dyDescent="0.4">
      <c r="B17" s="3834"/>
      <c r="C17" s="663" t="s">
        <v>1007</v>
      </c>
      <c r="D17" s="658">
        <v>0.3</v>
      </c>
      <c r="H17" s="7"/>
      <c r="I17" s="7"/>
    </row>
    <row r="18" spans="2:9" x14ac:dyDescent="0.4">
      <c r="B18" s="3834"/>
      <c r="C18" s="663" t="s">
        <v>1008</v>
      </c>
      <c r="D18" s="658">
        <v>0.1</v>
      </c>
      <c r="H18" s="7"/>
      <c r="I18" s="7"/>
    </row>
    <row r="19" spans="2:9" x14ac:dyDescent="0.4">
      <c r="B19" s="3834"/>
      <c r="C19" s="663" t="s">
        <v>1011</v>
      </c>
      <c r="D19" s="658">
        <v>0.2</v>
      </c>
      <c r="H19" s="7"/>
      <c r="I19" s="7"/>
    </row>
    <row r="20" spans="2:9" ht="15" thickBot="1" x14ac:dyDescent="0.45">
      <c r="B20" s="3834"/>
      <c r="C20" s="664" t="s">
        <v>1012</v>
      </c>
      <c r="D20" s="658">
        <v>0.2</v>
      </c>
      <c r="H20" s="7"/>
      <c r="I20" s="7"/>
    </row>
    <row r="21" spans="2:9" ht="15" thickBot="1" x14ac:dyDescent="0.45">
      <c r="B21" s="3835"/>
      <c r="C21" s="652" t="str">
        <f>B15</f>
        <v>Deploy RM system into the port</v>
      </c>
      <c r="D21" s="653">
        <f>SUM(D15:D20)</f>
        <v>1.28</v>
      </c>
      <c r="H21" s="7"/>
      <c r="I21" s="7"/>
    </row>
    <row r="22" spans="2:9" x14ac:dyDescent="0.4">
      <c r="B22" s="3833" t="s">
        <v>805</v>
      </c>
      <c r="C22" s="656" t="s">
        <v>1013</v>
      </c>
      <c r="D22" s="655">
        <v>0.1</v>
      </c>
      <c r="H22" s="7"/>
      <c r="I22" s="7"/>
    </row>
    <row r="23" spans="2:9" x14ac:dyDescent="0.4">
      <c r="B23" s="3834"/>
      <c r="C23" s="663" t="s">
        <v>1014</v>
      </c>
      <c r="D23" s="658">
        <v>0.2</v>
      </c>
      <c r="H23" s="7"/>
      <c r="I23" s="7"/>
    </row>
    <row r="24" spans="2:9" x14ac:dyDescent="0.4">
      <c r="B24" s="3834"/>
      <c r="C24" s="665" t="s">
        <v>1012</v>
      </c>
      <c r="D24" s="666">
        <v>0.2</v>
      </c>
      <c r="H24" s="7"/>
      <c r="I24" s="7"/>
    </row>
    <row r="25" spans="2:9" x14ac:dyDescent="0.4">
      <c r="B25" s="3834"/>
      <c r="C25" s="659" t="s">
        <v>1015</v>
      </c>
      <c r="D25" s="657">
        <v>0.5</v>
      </c>
      <c r="H25" s="7"/>
      <c r="I25" s="7"/>
    </row>
    <row r="26" spans="2:9" ht="15" thickBot="1" x14ac:dyDescent="0.45">
      <c r="B26" s="3834"/>
      <c r="C26" s="664" t="s">
        <v>1016</v>
      </c>
      <c r="D26" s="658">
        <v>0.1</v>
      </c>
      <c r="H26" s="7"/>
      <c r="I26" s="7"/>
    </row>
    <row r="27" spans="2:9" ht="15" thickBot="1" x14ac:dyDescent="0.45">
      <c r="B27" s="3835"/>
      <c r="C27" s="652" t="str">
        <f>B22</f>
        <v>Recovery RM system from the port</v>
      </c>
      <c r="D27" s="653">
        <f>SUM(D22:D26)</f>
        <v>1.1000000000000001</v>
      </c>
      <c r="H27" s="7"/>
      <c r="I27" s="7"/>
    </row>
    <row r="28" spans="2:9" x14ac:dyDescent="0.4">
      <c r="B28" s="4047" t="s">
        <v>937</v>
      </c>
      <c r="C28" s="656" t="s">
        <v>1004</v>
      </c>
      <c r="D28" s="655">
        <v>0.28000000000000003</v>
      </c>
      <c r="H28" s="7"/>
      <c r="I28" s="7"/>
    </row>
    <row r="29" spans="2:9" x14ac:dyDescent="0.4">
      <c r="B29" s="4048"/>
      <c r="C29" s="663" t="s">
        <v>1005</v>
      </c>
      <c r="D29" s="658">
        <v>0.2</v>
      </c>
      <c r="H29" s="7"/>
      <c r="I29" s="7"/>
    </row>
    <row r="30" spans="2:9" x14ac:dyDescent="0.4">
      <c r="B30" s="4048"/>
      <c r="C30" s="663" t="s">
        <v>1017</v>
      </c>
      <c r="D30" s="658">
        <v>0.2</v>
      </c>
      <c r="H30" s="7"/>
      <c r="I30" s="7"/>
    </row>
    <row r="31" spans="2:9" ht="15" thickBot="1" x14ac:dyDescent="0.45">
      <c r="B31" s="4048"/>
      <c r="C31" s="663" t="s">
        <v>1018</v>
      </c>
      <c r="D31" s="658">
        <v>0.1</v>
      </c>
      <c r="H31" s="7"/>
      <c r="I31" s="7"/>
    </row>
    <row r="32" spans="2:9" ht="15" thickBot="1" x14ac:dyDescent="0.45">
      <c r="B32" s="4048"/>
      <c r="C32" s="660" t="str">
        <f>B28</f>
        <v>Store RM Equipment</v>
      </c>
      <c r="D32" s="661">
        <f>SUM(D28:D31)</f>
        <v>0.78</v>
      </c>
      <c r="H32" s="7"/>
      <c r="I32" s="7"/>
    </row>
    <row r="33" spans="2:15" ht="18.899999999999999" thickBot="1" x14ac:dyDescent="0.55000000000000004">
      <c r="B33" s="4049" t="s">
        <v>916</v>
      </c>
      <c r="C33" s="663" t="s">
        <v>1004</v>
      </c>
      <c r="D33" s="658">
        <v>0.28000000000000003</v>
      </c>
      <c r="H33" s="2425" t="s">
        <v>1019</v>
      </c>
      <c r="I33" s="2425"/>
      <c r="J33" s="2425"/>
      <c r="K33" s="2425"/>
      <c r="L33" s="2425"/>
      <c r="M33" s="2425"/>
      <c r="N33" s="2425"/>
      <c r="O33" s="2425"/>
    </row>
    <row r="34" spans="2:15" ht="43.75" x14ac:dyDescent="0.4">
      <c r="B34" s="4050"/>
      <c r="C34" s="663" t="s">
        <v>1005</v>
      </c>
      <c r="D34" s="658">
        <v>0.2</v>
      </c>
      <c r="H34" s="667" t="s">
        <v>1020</v>
      </c>
      <c r="I34" s="668" t="str">
        <f>H35</f>
        <v>Equipment Stillage</v>
      </c>
      <c r="J34" s="668" t="s">
        <v>452</v>
      </c>
      <c r="K34" s="668" t="str">
        <f>H37</f>
        <v>Hardware Stillage</v>
      </c>
      <c r="L34" s="668" t="str">
        <f>H38</f>
        <v>AMF Equipment Issue</v>
      </c>
      <c r="M34" s="668" t="str">
        <f>H39</f>
        <v>AMF Equipment Receipt</v>
      </c>
      <c r="N34" s="668" t="str">
        <f>H40</f>
        <v>AMF Hardware Receipt</v>
      </c>
      <c r="O34" s="669" t="str">
        <f>H41</f>
        <v>AMF Hardware Issue</v>
      </c>
    </row>
    <row r="35" spans="2:15" ht="15" thickBot="1" x14ac:dyDescent="0.45">
      <c r="B35" s="4050"/>
      <c r="C35" s="659" t="s">
        <v>1021</v>
      </c>
      <c r="D35" s="657">
        <v>0.2</v>
      </c>
      <c r="H35" s="2" t="s">
        <v>816</v>
      </c>
      <c r="I35" s="670"/>
      <c r="J35" s="671">
        <f>I36</f>
        <v>15</v>
      </c>
      <c r="K35" s="671">
        <f>I37</f>
        <v>10</v>
      </c>
      <c r="L35" s="671">
        <f>I38</f>
        <v>50</v>
      </c>
      <c r="M35" s="671">
        <f>I39</f>
        <v>50</v>
      </c>
      <c r="N35" s="671">
        <f>I40</f>
        <v>50</v>
      </c>
      <c r="O35" s="672">
        <f>I41</f>
        <v>50</v>
      </c>
    </row>
    <row r="36" spans="2:15" ht="15" thickBot="1" x14ac:dyDescent="0.45">
      <c r="B36" s="4051"/>
      <c r="C36" s="652" t="str">
        <f>B33</f>
        <v>Store Interface hardware</v>
      </c>
      <c r="D36" s="653">
        <f>SUM(D33:D35)</f>
        <v>0.68</v>
      </c>
      <c r="H36" s="2" t="s">
        <v>452</v>
      </c>
      <c r="I36" s="673">
        <v>15</v>
      </c>
      <c r="J36" s="670"/>
      <c r="K36" s="671">
        <f>J37</f>
        <v>30</v>
      </c>
      <c r="L36" s="671">
        <f>J38</f>
        <v>50</v>
      </c>
      <c r="M36" s="671">
        <f>J39</f>
        <v>50</v>
      </c>
      <c r="N36" s="671">
        <f>J40</f>
        <v>50</v>
      </c>
      <c r="O36" s="672">
        <f>J41</f>
        <v>50</v>
      </c>
    </row>
    <row r="37" spans="2:15" x14ac:dyDescent="0.4">
      <c r="B37" s="3823" t="s">
        <v>904</v>
      </c>
      <c r="C37" s="656" t="s">
        <v>1004</v>
      </c>
      <c r="D37" s="655">
        <v>0.28000000000000003</v>
      </c>
      <c r="H37" s="2" t="s">
        <v>901</v>
      </c>
      <c r="I37" s="673">
        <v>10</v>
      </c>
      <c r="J37" s="673">
        <v>30</v>
      </c>
      <c r="K37" s="670"/>
      <c r="L37" s="671">
        <f>K38</f>
        <v>50</v>
      </c>
      <c r="M37" s="671">
        <f>K39</f>
        <v>50</v>
      </c>
      <c r="N37" s="671">
        <f>K40</f>
        <v>50</v>
      </c>
      <c r="O37" s="672">
        <f>K41</f>
        <v>50</v>
      </c>
    </row>
    <row r="38" spans="2:15" x14ac:dyDescent="0.4">
      <c r="B38" s="3824"/>
      <c r="C38" s="289" t="s">
        <v>1005</v>
      </c>
      <c r="D38" s="658">
        <v>0.2</v>
      </c>
      <c r="H38" s="2" t="s">
        <v>799</v>
      </c>
      <c r="I38" s="673">
        <v>50</v>
      </c>
      <c r="J38" s="673">
        <v>50</v>
      </c>
      <c r="K38" s="673">
        <v>50</v>
      </c>
      <c r="L38" s="670"/>
      <c r="M38" s="671">
        <f>L39</f>
        <v>20</v>
      </c>
      <c r="N38" s="671">
        <f>L40</f>
        <v>20</v>
      </c>
      <c r="O38" s="672">
        <f>L41</f>
        <v>20</v>
      </c>
    </row>
    <row r="39" spans="2:15" ht="15" thickBot="1" x14ac:dyDescent="0.45">
      <c r="B39" s="3824"/>
      <c r="C39" s="674" t="s">
        <v>1022</v>
      </c>
      <c r="D39" s="657">
        <v>0.1</v>
      </c>
      <c r="H39" s="2" t="s">
        <v>914</v>
      </c>
      <c r="I39" s="673">
        <v>50</v>
      </c>
      <c r="J39" s="673">
        <v>50</v>
      </c>
      <c r="K39" s="673">
        <v>50</v>
      </c>
      <c r="L39" s="673">
        <v>20</v>
      </c>
      <c r="M39" s="670"/>
      <c r="N39" s="671">
        <f>M40</f>
        <v>20</v>
      </c>
      <c r="O39" s="672">
        <f>M41</f>
        <v>20</v>
      </c>
    </row>
    <row r="40" spans="2:15" ht="15" thickBot="1" x14ac:dyDescent="0.45">
      <c r="B40" s="3825"/>
      <c r="C40" s="652" t="str">
        <f>B37</f>
        <v>Store PP Hardware</v>
      </c>
      <c r="D40" s="653">
        <f>SUM(D37:D39)</f>
        <v>0.58000000000000007</v>
      </c>
      <c r="H40" s="2" t="s">
        <v>831</v>
      </c>
      <c r="I40" s="673">
        <v>50</v>
      </c>
      <c r="J40" s="673">
        <v>50</v>
      </c>
      <c r="K40" s="673">
        <v>50</v>
      </c>
      <c r="L40" s="673">
        <v>20</v>
      </c>
      <c r="M40" s="673">
        <v>20</v>
      </c>
      <c r="N40" s="675"/>
      <c r="O40" s="672">
        <f>N41</f>
        <v>10</v>
      </c>
    </row>
    <row r="41" spans="2:15" ht="15" customHeight="1" thickBot="1" x14ac:dyDescent="0.45">
      <c r="B41" s="3823" t="s">
        <v>971</v>
      </c>
      <c r="C41" s="676" t="s">
        <v>1004</v>
      </c>
      <c r="D41" s="655">
        <v>0.28000000000000003</v>
      </c>
      <c r="H41" s="3" t="s">
        <v>858</v>
      </c>
      <c r="I41" s="677">
        <v>50</v>
      </c>
      <c r="J41" s="677">
        <v>50</v>
      </c>
      <c r="K41" s="677">
        <v>50</v>
      </c>
      <c r="L41" s="677">
        <v>20</v>
      </c>
      <c r="M41" s="677">
        <v>20</v>
      </c>
      <c r="N41" s="677">
        <v>10</v>
      </c>
      <c r="O41" s="675"/>
    </row>
    <row r="42" spans="2:15" x14ac:dyDescent="0.4">
      <c r="B42" s="3824"/>
      <c r="C42" s="289" t="s">
        <v>1023</v>
      </c>
      <c r="D42" s="658">
        <v>0.3</v>
      </c>
    </row>
    <row r="43" spans="2:15" ht="15" thickBot="1" x14ac:dyDescent="0.45">
      <c r="B43" s="3824"/>
      <c r="C43" s="678" t="s">
        <v>1024</v>
      </c>
      <c r="D43" s="662">
        <v>0.2</v>
      </c>
    </row>
    <row r="44" spans="2:15" ht="15" thickBot="1" x14ac:dyDescent="0.45">
      <c r="B44" s="3824"/>
      <c r="C44" s="660" t="str">
        <f>B41</f>
        <v>Collect PP Hardware</v>
      </c>
      <c r="D44" s="661">
        <f>SUM(D41:D43)</f>
        <v>0.78</v>
      </c>
    </row>
    <row r="45" spans="2:15" x14ac:dyDescent="0.4">
      <c r="B45" s="3833" t="s">
        <v>1025</v>
      </c>
      <c r="C45" s="679" t="s">
        <v>1026</v>
      </c>
      <c r="D45" s="680">
        <v>0.5</v>
      </c>
    </row>
    <row r="46" spans="2:15" x14ac:dyDescent="0.4">
      <c r="B46" s="3834"/>
      <c r="C46" s="681" t="s">
        <v>1008</v>
      </c>
      <c r="D46" s="682">
        <v>0.1</v>
      </c>
    </row>
    <row r="47" spans="2:15" x14ac:dyDescent="0.4">
      <c r="B47" s="3834"/>
      <c r="C47" s="681" t="s">
        <v>1027</v>
      </c>
      <c r="D47" s="682">
        <v>2</v>
      </c>
    </row>
    <row r="48" spans="2:15" ht="15" thickBot="1" x14ac:dyDescent="0.45">
      <c r="B48" s="3834"/>
      <c r="C48" s="683" t="s">
        <v>1028</v>
      </c>
      <c r="D48" s="684">
        <v>0.5</v>
      </c>
    </row>
    <row r="49" spans="2:4" ht="15" thickBot="1" x14ac:dyDescent="0.45">
      <c r="B49" s="3835"/>
      <c r="C49" s="652" t="str">
        <f>B45</f>
        <v>Engage recovery system</v>
      </c>
      <c r="D49" s="653">
        <f>SUM(D45:D48)</f>
        <v>3.1</v>
      </c>
    </row>
    <row r="53" spans="2:4" x14ac:dyDescent="0.4">
      <c r="B53" s="685" t="s">
        <v>1029</v>
      </c>
    </row>
    <row r="54" spans="2:4" x14ac:dyDescent="0.4">
      <c r="B54" t="str">
        <f>B4</f>
        <v>Deploy Equipment</v>
      </c>
    </row>
    <row r="55" spans="2:4" x14ac:dyDescent="0.4">
      <c r="B55" t="str">
        <f>B5</f>
        <v>Collect interface hardware</v>
      </c>
    </row>
    <row r="56" spans="2:4" x14ac:dyDescent="0.4">
      <c r="B56" t="str">
        <f>B33</f>
        <v>Store Interface hardware</v>
      </c>
    </row>
    <row r="57" spans="2:4" x14ac:dyDescent="0.4">
      <c r="B57" t="str">
        <f>B37</f>
        <v>Store PP Hardware</v>
      </c>
    </row>
    <row r="58" spans="2:4" x14ac:dyDescent="0.4">
      <c r="B58" t="str">
        <f>B41</f>
        <v>Collect PP Hardware</v>
      </c>
    </row>
  </sheetData>
  <customSheetViews>
    <customSheetView guid="{9C0AA20B-B2A2-4A2C-B279-4A5988F4E71A}" state="hidden">
      <selection activeCell="H129" sqref="H129"/>
      <pageMargins left="0.7" right="0.7" top="0.75" bottom="0.75" header="0.3" footer="0.3"/>
    </customSheetView>
  </customSheetViews>
  <mergeCells count="11">
    <mergeCell ref="B45:B49"/>
    <mergeCell ref="B2:D2"/>
    <mergeCell ref="H2:I2"/>
    <mergeCell ref="B5:B8"/>
    <mergeCell ref="B9:B14"/>
    <mergeCell ref="B15:B21"/>
    <mergeCell ref="B22:B27"/>
    <mergeCell ref="B28:B32"/>
    <mergeCell ref="B33:B36"/>
    <mergeCell ref="B37:B40"/>
    <mergeCell ref="B41:B4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AH398"/>
  <sheetViews>
    <sheetView zoomScale="40" zoomScaleNormal="40" workbookViewId="0">
      <selection activeCell="H129" sqref="H129"/>
    </sheetView>
  </sheetViews>
  <sheetFormatPr defaultRowHeight="14.6" outlineLevelRow="2" outlineLevelCol="1" x14ac:dyDescent="0.4"/>
  <cols>
    <col min="1" max="1" width="4.69140625" customWidth="1"/>
    <col min="2" max="2" width="5.69140625" customWidth="1"/>
    <col min="3" max="3" width="5.69140625" style="8" customWidth="1"/>
    <col min="4" max="4" width="44" bestFit="1" customWidth="1"/>
    <col min="5" max="5" width="48.15234375" customWidth="1"/>
    <col min="6" max="6" width="17.15234375" customWidth="1"/>
    <col min="7" max="7" width="12.69140625" style="688" customWidth="1"/>
    <col min="8" max="8" width="12.69140625" customWidth="1"/>
    <col min="9" max="9" width="16.15234375" customWidth="1"/>
    <col min="10" max="10" width="37.84375" style="89" customWidth="1" outlineLevel="1"/>
    <col min="11" max="11" width="12.69140625" style="177" customWidth="1"/>
    <col min="12" max="12" width="26.15234375" customWidth="1" outlineLevel="1"/>
    <col min="13" max="13" width="23.15234375" customWidth="1" outlineLevel="1"/>
    <col min="14" max="14" width="19.15234375" style="689" customWidth="1" outlineLevel="1"/>
    <col min="15" max="16" width="12.69140625" customWidth="1" outlineLevel="1"/>
    <col min="17" max="17" width="12.69140625" customWidth="1"/>
    <col min="18" max="18" width="45.53515625" customWidth="1" outlineLevel="1"/>
    <col min="19" max="19" width="23.69140625" customWidth="1"/>
    <col min="20" max="20" width="63.69140625" style="689" customWidth="1" outlineLevel="1"/>
    <col min="21" max="21" width="13.3828125" style="177" bestFit="1" customWidth="1"/>
    <col min="22" max="24" width="12.69140625" customWidth="1" outlineLevel="1"/>
    <col min="25" max="27" width="12.69140625" style="177" customWidth="1"/>
    <col min="28" max="28" width="12.69140625" style="8" customWidth="1"/>
    <col min="29" max="34" width="12.69140625" customWidth="1"/>
    <col min="274" max="274" width="8.15234375" bestFit="1" customWidth="1"/>
    <col min="275" max="275" width="53.3828125" customWidth="1"/>
    <col min="276" max="276" width="22.3046875" bestFit="1" customWidth="1"/>
    <col min="277" max="277" width="12.53515625" customWidth="1"/>
    <col min="278" max="278" width="6.3046875" customWidth="1"/>
    <col min="279" max="279" width="41.53515625" bestFit="1" customWidth="1"/>
    <col min="280" max="280" width="8.53515625" bestFit="1" customWidth="1"/>
    <col min="281" max="282" width="6.3046875" customWidth="1"/>
    <col min="283" max="283" width="6.69140625" customWidth="1"/>
    <col min="284" max="284" width="12.69140625" customWidth="1"/>
    <col min="285" max="285" width="14.53515625" bestFit="1" customWidth="1"/>
    <col min="286" max="290" width="12.69140625" customWidth="1"/>
    <col min="530" max="530" width="8.15234375" bestFit="1" customWidth="1"/>
    <col min="531" max="531" width="53.3828125" customWidth="1"/>
    <col min="532" max="532" width="22.3046875" bestFit="1" customWidth="1"/>
    <col min="533" max="533" width="12.53515625" customWidth="1"/>
    <col min="534" max="534" width="6.3046875" customWidth="1"/>
    <col min="535" max="535" width="41.53515625" bestFit="1" customWidth="1"/>
    <col min="536" max="536" width="8.53515625" bestFit="1" customWidth="1"/>
    <col min="537" max="538" width="6.3046875" customWidth="1"/>
    <col min="539" max="539" width="6.69140625" customWidth="1"/>
    <col min="540" max="540" width="12.69140625" customWidth="1"/>
    <col min="541" max="541" width="14.53515625" bestFit="1" customWidth="1"/>
    <col min="542" max="546" width="12.69140625" customWidth="1"/>
    <col min="786" max="786" width="8.15234375" bestFit="1" customWidth="1"/>
    <col min="787" max="787" width="53.3828125" customWidth="1"/>
    <col min="788" max="788" width="22.3046875" bestFit="1" customWidth="1"/>
    <col min="789" max="789" width="12.53515625" customWidth="1"/>
    <col min="790" max="790" width="6.3046875" customWidth="1"/>
    <col min="791" max="791" width="41.53515625" bestFit="1" customWidth="1"/>
    <col min="792" max="792" width="8.53515625" bestFit="1" customWidth="1"/>
    <col min="793" max="794" width="6.3046875" customWidth="1"/>
    <col min="795" max="795" width="6.69140625" customWidth="1"/>
    <col min="796" max="796" width="12.69140625" customWidth="1"/>
    <col min="797" max="797" width="14.53515625" bestFit="1" customWidth="1"/>
    <col min="798" max="802" width="12.69140625" customWidth="1"/>
    <col min="1042" max="1042" width="8.15234375" bestFit="1" customWidth="1"/>
    <col min="1043" max="1043" width="53.3828125" customWidth="1"/>
    <col min="1044" max="1044" width="22.3046875" bestFit="1" customWidth="1"/>
    <col min="1045" max="1045" width="12.53515625" customWidth="1"/>
    <col min="1046" max="1046" width="6.3046875" customWidth="1"/>
    <col min="1047" max="1047" width="41.53515625" bestFit="1" customWidth="1"/>
    <col min="1048" max="1048" width="8.53515625" bestFit="1" customWidth="1"/>
    <col min="1049" max="1050" width="6.3046875" customWidth="1"/>
    <col min="1051" max="1051" width="6.69140625" customWidth="1"/>
    <col min="1052" max="1052" width="12.69140625" customWidth="1"/>
    <col min="1053" max="1053" width="14.53515625" bestFit="1" customWidth="1"/>
    <col min="1054" max="1058" width="12.69140625" customWidth="1"/>
    <col min="1298" max="1298" width="8.15234375" bestFit="1" customWidth="1"/>
    <col min="1299" max="1299" width="53.3828125" customWidth="1"/>
    <col min="1300" max="1300" width="22.3046875" bestFit="1" customWidth="1"/>
    <col min="1301" max="1301" width="12.53515625" customWidth="1"/>
    <col min="1302" max="1302" width="6.3046875" customWidth="1"/>
    <col min="1303" max="1303" width="41.53515625" bestFit="1" customWidth="1"/>
    <col min="1304" max="1304" width="8.53515625" bestFit="1" customWidth="1"/>
    <col min="1305" max="1306" width="6.3046875" customWidth="1"/>
    <col min="1307" max="1307" width="6.69140625" customWidth="1"/>
    <col min="1308" max="1308" width="12.69140625" customWidth="1"/>
    <col min="1309" max="1309" width="14.53515625" bestFit="1" customWidth="1"/>
    <col min="1310" max="1314" width="12.69140625" customWidth="1"/>
    <col min="1554" max="1554" width="8.15234375" bestFit="1" customWidth="1"/>
    <col min="1555" max="1555" width="53.3828125" customWidth="1"/>
    <col min="1556" max="1556" width="22.3046875" bestFit="1" customWidth="1"/>
    <col min="1557" max="1557" width="12.53515625" customWidth="1"/>
    <col min="1558" max="1558" width="6.3046875" customWidth="1"/>
    <col min="1559" max="1559" width="41.53515625" bestFit="1" customWidth="1"/>
    <col min="1560" max="1560" width="8.53515625" bestFit="1" customWidth="1"/>
    <col min="1561" max="1562" width="6.3046875" customWidth="1"/>
    <col min="1563" max="1563" width="6.69140625" customWidth="1"/>
    <col min="1564" max="1564" width="12.69140625" customWidth="1"/>
    <col min="1565" max="1565" width="14.53515625" bestFit="1" customWidth="1"/>
    <col min="1566" max="1570" width="12.69140625" customWidth="1"/>
    <col min="1810" max="1810" width="8.15234375" bestFit="1" customWidth="1"/>
    <col min="1811" max="1811" width="53.3828125" customWidth="1"/>
    <col min="1812" max="1812" width="22.3046875" bestFit="1" customWidth="1"/>
    <col min="1813" max="1813" width="12.53515625" customWidth="1"/>
    <col min="1814" max="1814" width="6.3046875" customWidth="1"/>
    <col min="1815" max="1815" width="41.53515625" bestFit="1" customWidth="1"/>
    <col min="1816" max="1816" width="8.53515625" bestFit="1" customWidth="1"/>
    <col min="1817" max="1818" width="6.3046875" customWidth="1"/>
    <col min="1819" max="1819" width="6.69140625" customWidth="1"/>
    <col min="1820" max="1820" width="12.69140625" customWidth="1"/>
    <col min="1821" max="1821" width="14.53515625" bestFit="1" customWidth="1"/>
    <col min="1822" max="1826" width="12.69140625" customWidth="1"/>
    <col min="2066" max="2066" width="8.15234375" bestFit="1" customWidth="1"/>
    <col min="2067" max="2067" width="53.3828125" customWidth="1"/>
    <col min="2068" max="2068" width="22.3046875" bestFit="1" customWidth="1"/>
    <col min="2069" max="2069" width="12.53515625" customWidth="1"/>
    <col min="2070" max="2070" width="6.3046875" customWidth="1"/>
    <col min="2071" max="2071" width="41.53515625" bestFit="1" customWidth="1"/>
    <col min="2072" max="2072" width="8.53515625" bestFit="1" customWidth="1"/>
    <col min="2073" max="2074" width="6.3046875" customWidth="1"/>
    <col min="2075" max="2075" width="6.69140625" customWidth="1"/>
    <col min="2076" max="2076" width="12.69140625" customWidth="1"/>
    <col min="2077" max="2077" width="14.53515625" bestFit="1" customWidth="1"/>
    <col min="2078" max="2082" width="12.69140625" customWidth="1"/>
    <col min="2322" max="2322" width="8.15234375" bestFit="1" customWidth="1"/>
    <col min="2323" max="2323" width="53.3828125" customWidth="1"/>
    <col min="2324" max="2324" width="22.3046875" bestFit="1" customWidth="1"/>
    <col min="2325" max="2325" width="12.53515625" customWidth="1"/>
    <col min="2326" max="2326" width="6.3046875" customWidth="1"/>
    <col min="2327" max="2327" width="41.53515625" bestFit="1" customWidth="1"/>
    <col min="2328" max="2328" width="8.53515625" bestFit="1" customWidth="1"/>
    <col min="2329" max="2330" width="6.3046875" customWidth="1"/>
    <col min="2331" max="2331" width="6.69140625" customWidth="1"/>
    <col min="2332" max="2332" width="12.69140625" customWidth="1"/>
    <col min="2333" max="2333" width="14.53515625" bestFit="1" customWidth="1"/>
    <col min="2334" max="2338" width="12.69140625" customWidth="1"/>
    <col min="2578" max="2578" width="8.15234375" bestFit="1" customWidth="1"/>
    <col min="2579" max="2579" width="53.3828125" customWidth="1"/>
    <col min="2580" max="2580" width="22.3046875" bestFit="1" customWidth="1"/>
    <col min="2581" max="2581" width="12.53515625" customWidth="1"/>
    <col min="2582" max="2582" width="6.3046875" customWidth="1"/>
    <col min="2583" max="2583" width="41.53515625" bestFit="1" customWidth="1"/>
    <col min="2584" max="2584" width="8.53515625" bestFit="1" customWidth="1"/>
    <col min="2585" max="2586" width="6.3046875" customWidth="1"/>
    <col min="2587" max="2587" width="6.69140625" customWidth="1"/>
    <col min="2588" max="2588" width="12.69140625" customWidth="1"/>
    <col min="2589" max="2589" width="14.53515625" bestFit="1" customWidth="1"/>
    <col min="2590" max="2594" width="12.69140625" customWidth="1"/>
    <col min="2834" max="2834" width="8.15234375" bestFit="1" customWidth="1"/>
    <col min="2835" max="2835" width="53.3828125" customWidth="1"/>
    <col min="2836" max="2836" width="22.3046875" bestFit="1" customWidth="1"/>
    <col min="2837" max="2837" width="12.53515625" customWidth="1"/>
    <col min="2838" max="2838" width="6.3046875" customWidth="1"/>
    <col min="2839" max="2839" width="41.53515625" bestFit="1" customWidth="1"/>
    <col min="2840" max="2840" width="8.53515625" bestFit="1" customWidth="1"/>
    <col min="2841" max="2842" width="6.3046875" customWidth="1"/>
    <col min="2843" max="2843" width="6.69140625" customWidth="1"/>
    <col min="2844" max="2844" width="12.69140625" customWidth="1"/>
    <col min="2845" max="2845" width="14.53515625" bestFit="1" customWidth="1"/>
    <col min="2846" max="2850" width="12.69140625" customWidth="1"/>
    <col min="3090" max="3090" width="8.15234375" bestFit="1" customWidth="1"/>
    <col min="3091" max="3091" width="53.3828125" customWidth="1"/>
    <col min="3092" max="3092" width="22.3046875" bestFit="1" customWidth="1"/>
    <col min="3093" max="3093" width="12.53515625" customWidth="1"/>
    <col min="3094" max="3094" width="6.3046875" customWidth="1"/>
    <col min="3095" max="3095" width="41.53515625" bestFit="1" customWidth="1"/>
    <col min="3096" max="3096" width="8.53515625" bestFit="1" customWidth="1"/>
    <col min="3097" max="3098" width="6.3046875" customWidth="1"/>
    <col min="3099" max="3099" width="6.69140625" customWidth="1"/>
    <col min="3100" max="3100" width="12.69140625" customWidth="1"/>
    <col min="3101" max="3101" width="14.53515625" bestFit="1" customWidth="1"/>
    <col min="3102" max="3106" width="12.69140625" customWidth="1"/>
    <col min="3346" max="3346" width="8.15234375" bestFit="1" customWidth="1"/>
    <col min="3347" max="3347" width="53.3828125" customWidth="1"/>
    <col min="3348" max="3348" width="22.3046875" bestFit="1" customWidth="1"/>
    <col min="3349" max="3349" width="12.53515625" customWidth="1"/>
    <col min="3350" max="3350" width="6.3046875" customWidth="1"/>
    <col min="3351" max="3351" width="41.53515625" bestFit="1" customWidth="1"/>
    <col min="3352" max="3352" width="8.53515625" bestFit="1" customWidth="1"/>
    <col min="3353" max="3354" width="6.3046875" customWidth="1"/>
    <col min="3355" max="3355" width="6.69140625" customWidth="1"/>
    <col min="3356" max="3356" width="12.69140625" customWidth="1"/>
    <col min="3357" max="3357" width="14.53515625" bestFit="1" customWidth="1"/>
    <col min="3358" max="3362" width="12.69140625" customWidth="1"/>
    <col min="3602" max="3602" width="8.15234375" bestFit="1" customWidth="1"/>
    <col min="3603" max="3603" width="53.3828125" customWidth="1"/>
    <col min="3604" max="3604" width="22.3046875" bestFit="1" customWidth="1"/>
    <col min="3605" max="3605" width="12.53515625" customWidth="1"/>
    <col min="3606" max="3606" width="6.3046875" customWidth="1"/>
    <col min="3607" max="3607" width="41.53515625" bestFit="1" customWidth="1"/>
    <col min="3608" max="3608" width="8.53515625" bestFit="1" customWidth="1"/>
    <col min="3609" max="3610" width="6.3046875" customWidth="1"/>
    <col min="3611" max="3611" width="6.69140625" customWidth="1"/>
    <col min="3612" max="3612" width="12.69140625" customWidth="1"/>
    <col min="3613" max="3613" width="14.53515625" bestFit="1" customWidth="1"/>
    <col min="3614" max="3618" width="12.69140625" customWidth="1"/>
    <col min="3858" max="3858" width="8.15234375" bestFit="1" customWidth="1"/>
    <col min="3859" max="3859" width="53.3828125" customWidth="1"/>
    <col min="3860" max="3860" width="22.3046875" bestFit="1" customWidth="1"/>
    <col min="3861" max="3861" width="12.53515625" customWidth="1"/>
    <col min="3862" max="3862" width="6.3046875" customWidth="1"/>
    <col min="3863" max="3863" width="41.53515625" bestFit="1" customWidth="1"/>
    <col min="3864" max="3864" width="8.53515625" bestFit="1" customWidth="1"/>
    <col min="3865" max="3866" width="6.3046875" customWidth="1"/>
    <col min="3867" max="3867" width="6.69140625" customWidth="1"/>
    <col min="3868" max="3868" width="12.69140625" customWidth="1"/>
    <col min="3869" max="3869" width="14.53515625" bestFit="1" customWidth="1"/>
    <col min="3870" max="3874" width="12.69140625" customWidth="1"/>
    <col min="4114" max="4114" width="8.15234375" bestFit="1" customWidth="1"/>
    <col min="4115" max="4115" width="53.3828125" customWidth="1"/>
    <col min="4116" max="4116" width="22.3046875" bestFit="1" customWidth="1"/>
    <col min="4117" max="4117" width="12.53515625" customWidth="1"/>
    <col min="4118" max="4118" width="6.3046875" customWidth="1"/>
    <col min="4119" max="4119" width="41.53515625" bestFit="1" customWidth="1"/>
    <col min="4120" max="4120" width="8.53515625" bestFit="1" customWidth="1"/>
    <col min="4121" max="4122" width="6.3046875" customWidth="1"/>
    <col min="4123" max="4123" width="6.69140625" customWidth="1"/>
    <col min="4124" max="4124" width="12.69140625" customWidth="1"/>
    <col min="4125" max="4125" width="14.53515625" bestFit="1" customWidth="1"/>
    <col min="4126" max="4130" width="12.69140625" customWidth="1"/>
    <col min="4370" max="4370" width="8.15234375" bestFit="1" customWidth="1"/>
    <col min="4371" max="4371" width="53.3828125" customWidth="1"/>
    <col min="4372" max="4372" width="22.3046875" bestFit="1" customWidth="1"/>
    <col min="4373" max="4373" width="12.53515625" customWidth="1"/>
    <col min="4374" max="4374" width="6.3046875" customWidth="1"/>
    <col min="4375" max="4375" width="41.53515625" bestFit="1" customWidth="1"/>
    <col min="4376" max="4376" width="8.53515625" bestFit="1" customWidth="1"/>
    <col min="4377" max="4378" width="6.3046875" customWidth="1"/>
    <col min="4379" max="4379" width="6.69140625" customWidth="1"/>
    <col min="4380" max="4380" width="12.69140625" customWidth="1"/>
    <col min="4381" max="4381" width="14.53515625" bestFit="1" customWidth="1"/>
    <col min="4382" max="4386" width="12.69140625" customWidth="1"/>
    <col min="4626" max="4626" width="8.15234375" bestFit="1" customWidth="1"/>
    <col min="4627" max="4627" width="53.3828125" customWidth="1"/>
    <col min="4628" max="4628" width="22.3046875" bestFit="1" customWidth="1"/>
    <col min="4629" max="4629" width="12.53515625" customWidth="1"/>
    <col min="4630" max="4630" width="6.3046875" customWidth="1"/>
    <col min="4631" max="4631" width="41.53515625" bestFit="1" customWidth="1"/>
    <col min="4632" max="4632" width="8.53515625" bestFit="1" customWidth="1"/>
    <col min="4633" max="4634" width="6.3046875" customWidth="1"/>
    <col min="4635" max="4635" width="6.69140625" customWidth="1"/>
    <col min="4636" max="4636" width="12.69140625" customWidth="1"/>
    <col min="4637" max="4637" width="14.53515625" bestFit="1" customWidth="1"/>
    <col min="4638" max="4642" width="12.69140625" customWidth="1"/>
    <col min="4882" max="4882" width="8.15234375" bestFit="1" customWidth="1"/>
    <col min="4883" max="4883" width="53.3828125" customWidth="1"/>
    <col min="4884" max="4884" width="22.3046875" bestFit="1" customWidth="1"/>
    <col min="4885" max="4885" width="12.53515625" customWidth="1"/>
    <col min="4886" max="4886" width="6.3046875" customWidth="1"/>
    <col min="4887" max="4887" width="41.53515625" bestFit="1" customWidth="1"/>
    <col min="4888" max="4888" width="8.53515625" bestFit="1" customWidth="1"/>
    <col min="4889" max="4890" width="6.3046875" customWidth="1"/>
    <col min="4891" max="4891" width="6.69140625" customWidth="1"/>
    <col min="4892" max="4892" width="12.69140625" customWidth="1"/>
    <col min="4893" max="4893" width="14.53515625" bestFit="1" customWidth="1"/>
    <col min="4894" max="4898" width="12.69140625" customWidth="1"/>
    <col min="5138" max="5138" width="8.15234375" bestFit="1" customWidth="1"/>
    <col min="5139" max="5139" width="53.3828125" customWidth="1"/>
    <col min="5140" max="5140" width="22.3046875" bestFit="1" customWidth="1"/>
    <col min="5141" max="5141" width="12.53515625" customWidth="1"/>
    <col min="5142" max="5142" width="6.3046875" customWidth="1"/>
    <col min="5143" max="5143" width="41.53515625" bestFit="1" customWidth="1"/>
    <col min="5144" max="5144" width="8.53515625" bestFit="1" customWidth="1"/>
    <col min="5145" max="5146" width="6.3046875" customWidth="1"/>
    <col min="5147" max="5147" width="6.69140625" customWidth="1"/>
    <col min="5148" max="5148" width="12.69140625" customWidth="1"/>
    <col min="5149" max="5149" width="14.53515625" bestFit="1" customWidth="1"/>
    <col min="5150" max="5154" width="12.69140625" customWidth="1"/>
    <col min="5394" max="5394" width="8.15234375" bestFit="1" customWidth="1"/>
    <col min="5395" max="5395" width="53.3828125" customWidth="1"/>
    <col min="5396" max="5396" width="22.3046875" bestFit="1" customWidth="1"/>
    <col min="5397" max="5397" width="12.53515625" customWidth="1"/>
    <col min="5398" max="5398" width="6.3046875" customWidth="1"/>
    <col min="5399" max="5399" width="41.53515625" bestFit="1" customWidth="1"/>
    <col min="5400" max="5400" width="8.53515625" bestFit="1" customWidth="1"/>
    <col min="5401" max="5402" width="6.3046875" customWidth="1"/>
    <col min="5403" max="5403" width="6.69140625" customWidth="1"/>
    <col min="5404" max="5404" width="12.69140625" customWidth="1"/>
    <col min="5405" max="5405" width="14.53515625" bestFit="1" customWidth="1"/>
    <col min="5406" max="5410" width="12.69140625" customWidth="1"/>
    <col min="5650" max="5650" width="8.15234375" bestFit="1" customWidth="1"/>
    <col min="5651" max="5651" width="53.3828125" customWidth="1"/>
    <col min="5652" max="5652" width="22.3046875" bestFit="1" customWidth="1"/>
    <col min="5653" max="5653" width="12.53515625" customWidth="1"/>
    <col min="5654" max="5654" width="6.3046875" customWidth="1"/>
    <col min="5655" max="5655" width="41.53515625" bestFit="1" customWidth="1"/>
    <col min="5656" max="5656" width="8.53515625" bestFit="1" customWidth="1"/>
    <col min="5657" max="5658" width="6.3046875" customWidth="1"/>
    <col min="5659" max="5659" width="6.69140625" customWidth="1"/>
    <col min="5660" max="5660" width="12.69140625" customWidth="1"/>
    <col min="5661" max="5661" width="14.53515625" bestFit="1" customWidth="1"/>
    <col min="5662" max="5666" width="12.69140625" customWidth="1"/>
    <col min="5906" max="5906" width="8.15234375" bestFit="1" customWidth="1"/>
    <col min="5907" max="5907" width="53.3828125" customWidth="1"/>
    <col min="5908" max="5908" width="22.3046875" bestFit="1" customWidth="1"/>
    <col min="5909" max="5909" width="12.53515625" customWidth="1"/>
    <col min="5910" max="5910" width="6.3046875" customWidth="1"/>
    <col min="5911" max="5911" width="41.53515625" bestFit="1" customWidth="1"/>
    <col min="5912" max="5912" width="8.53515625" bestFit="1" customWidth="1"/>
    <col min="5913" max="5914" width="6.3046875" customWidth="1"/>
    <col min="5915" max="5915" width="6.69140625" customWidth="1"/>
    <col min="5916" max="5916" width="12.69140625" customWidth="1"/>
    <col min="5917" max="5917" width="14.53515625" bestFit="1" customWidth="1"/>
    <col min="5918" max="5922" width="12.69140625" customWidth="1"/>
    <col min="6162" max="6162" width="8.15234375" bestFit="1" customWidth="1"/>
    <col min="6163" max="6163" width="53.3828125" customWidth="1"/>
    <col min="6164" max="6164" width="22.3046875" bestFit="1" customWidth="1"/>
    <col min="6165" max="6165" width="12.53515625" customWidth="1"/>
    <col min="6166" max="6166" width="6.3046875" customWidth="1"/>
    <col min="6167" max="6167" width="41.53515625" bestFit="1" customWidth="1"/>
    <col min="6168" max="6168" width="8.53515625" bestFit="1" customWidth="1"/>
    <col min="6169" max="6170" width="6.3046875" customWidth="1"/>
    <col min="6171" max="6171" width="6.69140625" customWidth="1"/>
    <col min="6172" max="6172" width="12.69140625" customWidth="1"/>
    <col min="6173" max="6173" width="14.53515625" bestFit="1" customWidth="1"/>
    <col min="6174" max="6178" width="12.69140625" customWidth="1"/>
    <col min="6418" max="6418" width="8.15234375" bestFit="1" customWidth="1"/>
    <col min="6419" max="6419" width="53.3828125" customWidth="1"/>
    <col min="6420" max="6420" width="22.3046875" bestFit="1" customWidth="1"/>
    <col min="6421" max="6421" width="12.53515625" customWidth="1"/>
    <col min="6422" max="6422" width="6.3046875" customWidth="1"/>
    <col min="6423" max="6423" width="41.53515625" bestFit="1" customWidth="1"/>
    <col min="6424" max="6424" width="8.53515625" bestFit="1" customWidth="1"/>
    <col min="6425" max="6426" width="6.3046875" customWidth="1"/>
    <col min="6427" max="6427" width="6.69140625" customWidth="1"/>
    <col min="6428" max="6428" width="12.69140625" customWidth="1"/>
    <col min="6429" max="6429" width="14.53515625" bestFit="1" customWidth="1"/>
    <col min="6430" max="6434" width="12.69140625" customWidth="1"/>
    <col min="6674" max="6674" width="8.15234375" bestFit="1" customWidth="1"/>
    <col min="6675" max="6675" width="53.3828125" customWidth="1"/>
    <col min="6676" max="6676" width="22.3046875" bestFit="1" customWidth="1"/>
    <col min="6677" max="6677" width="12.53515625" customWidth="1"/>
    <col min="6678" max="6678" width="6.3046875" customWidth="1"/>
    <col min="6679" max="6679" width="41.53515625" bestFit="1" customWidth="1"/>
    <col min="6680" max="6680" width="8.53515625" bestFit="1" customWidth="1"/>
    <col min="6681" max="6682" width="6.3046875" customWidth="1"/>
    <col min="6683" max="6683" width="6.69140625" customWidth="1"/>
    <col min="6684" max="6684" width="12.69140625" customWidth="1"/>
    <col min="6685" max="6685" width="14.53515625" bestFit="1" customWidth="1"/>
    <col min="6686" max="6690" width="12.69140625" customWidth="1"/>
    <col min="6930" max="6930" width="8.15234375" bestFit="1" customWidth="1"/>
    <col min="6931" max="6931" width="53.3828125" customWidth="1"/>
    <col min="6932" max="6932" width="22.3046875" bestFit="1" customWidth="1"/>
    <col min="6933" max="6933" width="12.53515625" customWidth="1"/>
    <col min="6934" max="6934" width="6.3046875" customWidth="1"/>
    <col min="6935" max="6935" width="41.53515625" bestFit="1" customWidth="1"/>
    <col min="6936" max="6936" width="8.53515625" bestFit="1" customWidth="1"/>
    <col min="6937" max="6938" width="6.3046875" customWidth="1"/>
    <col min="6939" max="6939" width="6.69140625" customWidth="1"/>
    <col min="6940" max="6940" width="12.69140625" customWidth="1"/>
    <col min="6941" max="6941" width="14.53515625" bestFit="1" customWidth="1"/>
    <col min="6942" max="6946" width="12.69140625" customWidth="1"/>
    <col min="7186" max="7186" width="8.15234375" bestFit="1" customWidth="1"/>
    <col min="7187" max="7187" width="53.3828125" customWidth="1"/>
    <col min="7188" max="7188" width="22.3046875" bestFit="1" customWidth="1"/>
    <col min="7189" max="7189" width="12.53515625" customWidth="1"/>
    <col min="7190" max="7190" width="6.3046875" customWidth="1"/>
    <col min="7191" max="7191" width="41.53515625" bestFit="1" customWidth="1"/>
    <col min="7192" max="7192" width="8.53515625" bestFit="1" customWidth="1"/>
    <col min="7193" max="7194" width="6.3046875" customWidth="1"/>
    <col min="7195" max="7195" width="6.69140625" customWidth="1"/>
    <col min="7196" max="7196" width="12.69140625" customWidth="1"/>
    <col min="7197" max="7197" width="14.53515625" bestFit="1" customWidth="1"/>
    <col min="7198" max="7202" width="12.69140625" customWidth="1"/>
    <col min="7442" max="7442" width="8.15234375" bestFit="1" customWidth="1"/>
    <col min="7443" max="7443" width="53.3828125" customWidth="1"/>
    <col min="7444" max="7444" width="22.3046875" bestFit="1" customWidth="1"/>
    <col min="7445" max="7445" width="12.53515625" customWidth="1"/>
    <col min="7446" max="7446" width="6.3046875" customWidth="1"/>
    <col min="7447" max="7447" width="41.53515625" bestFit="1" customWidth="1"/>
    <col min="7448" max="7448" width="8.53515625" bestFit="1" customWidth="1"/>
    <col min="7449" max="7450" width="6.3046875" customWidth="1"/>
    <col min="7451" max="7451" width="6.69140625" customWidth="1"/>
    <col min="7452" max="7452" width="12.69140625" customWidth="1"/>
    <col min="7453" max="7453" width="14.53515625" bestFit="1" customWidth="1"/>
    <col min="7454" max="7458" width="12.69140625" customWidth="1"/>
    <col min="7698" max="7698" width="8.15234375" bestFit="1" customWidth="1"/>
    <col min="7699" max="7699" width="53.3828125" customWidth="1"/>
    <col min="7700" max="7700" width="22.3046875" bestFit="1" customWidth="1"/>
    <col min="7701" max="7701" width="12.53515625" customWidth="1"/>
    <col min="7702" max="7702" width="6.3046875" customWidth="1"/>
    <col min="7703" max="7703" width="41.53515625" bestFit="1" customWidth="1"/>
    <col min="7704" max="7704" width="8.53515625" bestFit="1" customWidth="1"/>
    <col min="7705" max="7706" width="6.3046875" customWidth="1"/>
    <col min="7707" max="7707" width="6.69140625" customWidth="1"/>
    <col min="7708" max="7708" width="12.69140625" customWidth="1"/>
    <col min="7709" max="7709" width="14.53515625" bestFit="1" customWidth="1"/>
    <col min="7710" max="7714" width="12.69140625" customWidth="1"/>
    <col min="7954" max="7954" width="8.15234375" bestFit="1" customWidth="1"/>
    <col min="7955" max="7955" width="53.3828125" customWidth="1"/>
    <col min="7956" max="7956" width="22.3046875" bestFit="1" customWidth="1"/>
    <col min="7957" max="7957" width="12.53515625" customWidth="1"/>
    <col min="7958" max="7958" width="6.3046875" customWidth="1"/>
    <col min="7959" max="7959" width="41.53515625" bestFit="1" customWidth="1"/>
    <col min="7960" max="7960" width="8.53515625" bestFit="1" customWidth="1"/>
    <col min="7961" max="7962" width="6.3046875" customWidth="1"/>
    <col min="7963" max="7963" width="6.69140625" customWidth="1"/>
    <col min="7964" max="7964" width="12.69140625" customWidth="1"/>
    <col min="7965" max="7965" width="14.53515625" bestFit="1" customWidth="1"/>
    <col min="7966" max="7970" width="12.69140625" customWidth="1"/>
    <col min="8210" max="8210" width="8.15234375" bestFit="1" customWidth="1"/>
    <col min="8211" max="8211" width="53.3828125" customWidth="1"/>
    <col min="8212" max="8212" width="22.3046875" bestFit="1" customWidth="1"/>
    <col min="8213" max="8213" width="12.53515625" customWidth="1"/>
    <col min="8214" max="8214" width="6.3046875" customWidth="1"/>
    <col min="8215" max="8215" width="41.53515625" bestFit="1" customWidth="1"/>
    <col min="8216" max="8216" width="8.53515625" bestFit="1" customWidth="1"/>
    <col min="8217" max="8218" width="6.3046875" customWidth="1"/>
    <col min="8219" max="8219" width="6.69140625" customWidth="1"/>
    <col min="8220" max="8220" width="12.69140625" customWidth="1"/>
    <col min="8221" max="8221" width="14.53515625" bestFit="1" customWidth="1"/>
    <col min="8222" max="8226" width="12.69140625" customWidth="1"/>
    <col min="8466" max="8466" width="8.15234375" bestFit="1" customWidth="1"/>
    <col min="8467" max="8467" width="53.3828125" customWidth="1"/>
    <col min="8468" max="8468" width="22.3046875" bestFit="1" customWidth="1"/>
    <col min="8469" max="8469" width="12.53515625" customWidth="1"/>
    <col min="8470" max="8470" width="6.3046875" customWidth="1"/>
    <col min="8471" max="8471" width="41.53515625" bestFit="1" customWidth="1"/>
    <col min="8472" max="8472" width="8.53515625" bestFit="1" customWidth="1"/>
    <col min="8473" max="8474" width="6.3046875" customWidth="1"/>
    <col min="8475" max="8475" width="6.69140625" customWidth="1"/>
    <col min="8476" max="8476" width="12.69140625" customWidth="1"/>
    <col min="8477" max="8477" width="14.53515625" bestFit="1" customWidth="1"/>
    <col min="8478" max="8482" width="12.69140625" customWidth="1"/>
    <col min="8722" max="8722" width="8.15234375" bestFit="1" customWidth="1"/>
    <col min="8723" max="8723" width="53.3828125" customWidth="1"/>
    <col min="8724" max="8724" width="22.3046875" bestFit="1" customWidth="1"/>
    <col min="8725" max="8725" width="12.53515625" customWidth="1"/>
    <col min="8726" max="8726" width="6.3046875" customWidth="1"/>
    <col min="8727" max="8727" width="41.53515625" bestFit="1" customWidth="1"/>
    <col min="8728" max="8728" width="8.53515625" bestFit="1" customWidth="1"/>
    <col min="8729" max="8730" width="6.3046875" customWidth="1"/>
    <col min="8731" max="8731" width="6.69140625" customWidth="1"/>
    <col min="8732" max="8732" width="12.69140625" customWidth="1"/>
    <col min="8733" max="8733" width="14.53515625" bestFit="1" customWidth="1"/>
    <col min="8734" max="8738" width="12.69140625" customWidth="1"/>
    <col min="8978" max="8978" width="8.15234375" bestFit="1" customWidth="1"/>
    <col min="8979" max="8979" width="53.3828125" customWidth="1"/>
    <col min="8980" max="8980" width="22.3046875" bestFit="1" customWidth="1"/>
    <col min="8981" max="8981" width="12.53515625" customWidth="1"/>
    <col min="8982" max="8982" width="6.3046875" customWidth="1"/>
    <col min="8983" max="8983" width="41.53515625" bestFit="1" customWidth="1"/>
    <col min="8984" max="8984" width="8.53515625" bestFit="1" customWidth="1"/>
    <col min="8985" max="8986" width="6.3046875" customWidth="1"/>
    <col min="8987" max="8987" width="6.69140625" customWidth="1"/>
    <col min="8988" max="8988" width="12.69140625" customWidth="1"/>
    <col min="8989" max="8989" width="14.53515625" bestFit="1" customWidth="1"/>
    <col min="8990" max="8994" width="12.69140625" customWidth="1"/>
    <col min="9234" max="9234" width="8.15234375" bestFit="1" customWidth="1"/>
    <col min="9235" max="9235" width="53.3828125" customWidth="1"/>
    <col min="9236" max="9236" width="22.3046875" bestFit="1" customWidth="1"/>
    <col min="9237" max="9237" width="12.53515625" customWidth="1"/>
    <col min="9238" max="9238" width="6.3046875" customWidth="1"/>
    <col min="9239" max="9239" width="41.53515625" bestFit="1" customWidth="1"/>
    <col min="9240" max="9240" width="8.53515625" bestFit="1" customWidth="1"/>
    <col min="9241" max="9242" width="6.3046875" customWidth="1"/>
    <col min="9243" max="9243" width="6.69140625" customWidth="1"/>
    <col min="9244" max="9244" width="12.69140625" customWidth="1"/>
    <col min="9245" max="9245" width="14.53515625" bestFit="1" customWidth="1"/>
    <col min="9246" max="9250" width="12.69140625" customWidth="1"/>
    <col min="9490" max="9490" width="8.15234375" bestFit="1" customWidth="1"/>
    <col min="9491" max="9491" width="53.3828125" customWidth="1"/>
    <col min="9492" max="9492" width="22.3046875" bestFit="1" customWidth="1"/>
    <col min="9493" max="9493" width="12.53515625" customWidth="1"/>
    <col min="9494" max="9494" width="6.3046875" customWidth="1"/>
    <col min="9495" max="9495" width="41.53515625" bestFit="1" customWidth="1"/>
    <col min="9496" max="9496" width="8.53515625" bestFit="1" customWidth="1"/>
    <col min="9497" max="9498" width="6.3046875" customWidth="1"/>
    <col min="9499" max="9499" width="6.69140625" customWidth="1"/>
    <col min="9500" max="9500" width="12.69140625" customWidth="1"/>
    <col min="9501" max="9501" width="14.53515625" bestFit="1" customWidth="1"/>
    <col min="9502" max="9506" width="12.69140625" customWidth="1"/>
    <col min="9746" max="9746" width="8.15234375" bestFit="1" customWidth="1"/>
    <col min="9747" max="9747" width="53.3828125" customWidth="1"/>
    <col min="9748" max="9748" width="22.3046875" bestFit="1" customWidth="1"/>
    <col min="9749" max="9749" width="12.53515625" customWidth="1"/>
    <col min="9750" max="9750" width="6.3046875" customWidth="1"/>
    <col min="9751" max="9751" width="41.53515625" bestFit="1" customWidth="1"/>
    <col min="9752" max="9752" width="8.53515625" bestFit="1" customWidth="1"/>
    <col min="9753" max="9754" width="6.3046875" customWidth="1"/>
    <col min="9755" max="9755" width="6.69140625" customWidth="1"/>
    <col min="9756" max="9756" width="12.69140625" customWidth="1"/>
    <col min="9757" max="9757" width="14.53515625" bestFit="1" customWidth="1"/>
    <col min="9758" max="9762" width="12.69140625" customWidth="1"/>
    <col min="10002" max="10002" width="8.15234375" bestFit="1" customWidth="1"/>
    <col min="10003" max="10003" width="53.3828125" customWidth="1"/>
    <col min="10004" max="10004" width="22.3046875" bestFit="1" customWidth="1"/>
    <col min="10005" max="10005" width="12.53515625" customWidth="1"/>
    <col min="10006" max="10006" width="6.3046875" customWidth="1"/>
    <col min="10007" max="10007" width="41.53515625" bestFit="1" customWidth="1"/>
    <col min="10008" max="10008" width="8.53515625" bestFit="1" customWidth="1"/>
    <col min="10009" max="10010" width="6.3046875" customWidth="1"/>
    <col min="10011" max="10011" width="6.69140625" customWidth="1"/>
    <col min="10012" max="10012" width="12.69140625" customWidth="1"/>
    <col min="10013" max="10013" width="14.53515625" bestFit="1" customWidth="1"/>
    <col min="10014" max="10018" width="12.69140625" customWidth="1"/>
    <col min="10258" max="10258" width="8.15234375" bestFit="1" customWidth="1"/>
    <col min="10259" max="10259" width="53.3828125" customWidth="1"/>
    <col min="10260" max="10260" width="22.3046875" bestFit="1" customWidth="1"/>
    <col min="10261" max="10261" width="12.53515625" customWidth="1"/>
    <col min="10262" max="10262" width="6.3046875" customWidth="1"/>
    <col min="10263" max="10263" width="41.53515625" bestFit="1" customWidth="1"/>
    <col min="10264" max="10264" width="8.53515625" bestFit="1" customWidth="1"/>
    <col min="10265" max="10266" width="6.3046875" customWidth="1"/>
    <col min="10267" max="10267" width="6.69140625" customWidth="1"/>
    <col min="10268" max="10268" width="12.69140625" customWidth="1"/>
    <col min="10269" max="10269" width="14.53515625" bestFit="1" customWidth="1"/>
    <col min="10270" max="10274" width="12.69140625" customWidth="1"/>
    <col min="10514" max="10514" width="8.15234375" bestFit="1" customWidth="1"/>
    <col min="10515" max="10515" width="53.3828125" customWidth="1"/>
    <col min="10516" max="10516" width="22.3046875" bestFit="1" customWidth="1"/>
    <col min="10517" max="10517" width="12.53515625" customWidth="1"/>
    <col min="10518" max="10518" width="6.3046875" customWidth="1"/>
    <col min="10519" max="10519" width="41.53515625" bestFit="1" customWidth="1"/>
    <col min="10520" max="10520" width="8.53515625" bestFit="1" customWidth="1"/>
    <col min="10521" max="10522" width="6.3046875" customWidth="1"/>
    <col min="10523" max="10523" width="6.69140625" customWidth="1"/>
    <col min="10524" max="10524" width="12.69140625" customWidth="1"/>
    <col min="10525" max="10525" width="14.53515625" bestFit="1" customWidth="1"/>
    <col min="10526" max="10530" width="12.69140625" customWidth="1"/>
    <col min="10770" max="10770" width="8.15234375" bestFit="1" customWidth="1"/>
    <col min="10771" max="10771" width="53.3828125" customWidth="1"/>
    <col min="10772" max="10772" width="22.3046875" bestFit="1" customWidth="1"/>
    <col min="10773" max="10773" width="12.53515625" customWidth="1"/>
    <col min="10774" max="10774" width="6.3046875" customWidth="1"/>
    <col min="10775" max="10775" width="41.53515625" bestFit="1" customWidth="1"/>
    <col min="10776" max="10776" width="8.53515625" bestFit="1" customWidth="1"/>
    <col min="10777" max="10778" width="6.3046875" customWidth="1"/>
    <col min="10779" max="10779" width="6.69140625" customWidth="1"/>
    <col min="10780" max="10780" width="12.69140625" customWidth="1"/>
    <col min="10781" max="10781" width="14.53515625" bestFit="1" customWidth="1"/>
    <col min="10782" max="10786" width="12.69140625" customWidth="1"/>
    <col min="11026" max="11026" width="8.15234375" bestFit="1" customWidth="1"/>
    <col min="11027" max="11027" width="53.3828125" customWidth="1"/>
    <col min="11028" max="11028" width="22.3046875" bestFit="1" customWidth="1"/>
    <col min="11029" max="11029" width="12.53515625" customWidth="1"/>
    <col min="11030" max="11030" width="6.3046875" customWidth="1"/>
    <col min="11031" max="11031" width="41.53515625" bestFit="1" customWidth="1"/>
    <col min="11032" max="11032" width="8.53515625" bestFit="1" customWidth="1"/>
    <col min="11033" max="11034" width="6.3046875" customWidth="1"/>
    <col min="11035" max="11035" width="6.69140625" customWidth="1"/>
    <col min="11036" max="11036" width="12.69140625" customWidth="1"/>
    <col min="11037" max="11037" width="14.53515625" bestFit="1" customWidth="1"/>
    <col min="11038" max="11042" width="12.69140625" customWidth="1"/>
    <col min="11282" max="11282" width="8.15234375" bestFit="1" customWidth="1"/>
    <col min="11283" max="11283" width="53.3828125" customWidth="1"/>
    <col min="11284" max="11284" width="22.3046875" bestFit="1" customWidth="1"/>
    <col min="11285" max="11285" width="12.53515625" customWidth="1"/>
    <col min="11286" max="11286" width="6.3046875" customWidth="1"/>
    <col min="11287" max="11287" width="41.53515625" bestFit="1" customWidth="1"/>
    <col min="11288" max="11288" width="8.53515625" bestFit="1" customWidth="1"/>
    <col min="11289" max="11290" width="6.3046875" customWidth="1"/>
    <col min="11291" max="11291" width="6.69140625" customWidth="1"/>
    <col min="11292" max="11292" width="12.69140625" customWidth="1"/>
    <col min="11293" max="11293" width="14.53515625" bestFit="1" customWidth="1"/>
    <col min="11294" max="11298" width="12.69140625" customWidth="1"/>
    <col min="11538" max="11538" width="8.15234375" bestFit="1" customWidth="1"/>
    <col min="11539" max="11539" width="53.3828125" customWidth="1"/>
    <col min="11540" max="11540" width="22.3046875" bestFit="1" customWidth="1"/>
    <col min="11541" max="11541" width="12.53515625" customWidth="1"/>
    <col min="11542" max="11542" width="6.3046875" customWidth="1"/>
    <col min="11543" max="11543" width="41.53515625" bestFit="1" customWidth="1"/>
    <col min="11544" max="11544" width="8.53515625" bestFit="1" customWidth="1"/>
    <col min="11545" max="11546" width="6.3046875" customWidth="1"/>
    <col min="11547" max="11547" width="6.69140625" customWidth="1"/>
    <col min="11548" max="11548" width="12.69140625" customWidth="1"/>
    <col min="11549" max="11549" width="14.53515625" bestFit="1" customWidth="1"/>
    <col min="11550" max="11554" width="12.69140625" customWidth="1"/>
    <col min="11794" max="11794" width="8.15234375" bestFit="1" customWidth="1"/>
    <col min="11795" max="11795" width="53.3828125" customWidth="1"/>
    <col min="11796" max="11796" width="22.3046875" bestFit="1" customWidth="1"/>
    <col min="11797" max="11797" width="12.53515625" customWidth="1"/>
    <col min="11798" max="11798" width="6.3046875" customWidth="1"/>
    <col min="11799" max="11799" width="41.53515625" bestFit="1" customWidth="1"/>
    <col min="11800" max="11800" width="8.53515625" bestFit="1" customWidth="1"/>
    <col min="11801" max="11802" width="6.3046875" customWidth="1"/>
    <col min="11803" max="11803" width="6.69140625" customWidth="1"/>
    <col min="11804" max="11804" width="12.69140625" customWidth="1"/>
    <col min="11805" max="11805" width="14.53515625" bestFit="1" customWidth="1"/>
    <col min="11806" max="11810" width="12.69140625" customWidth="1"/>
    <col min="12050" max="12050" width="8.15234375" bestFit="1" customWidth="1"/>
    <col min="12051" max="12051" width="53.3828125" customWidth="1"/>
    <col min="12052" max="12052" width="22.3046875" bestFit="1" customWidth="1"/>
    <col min="12053" max="12053" width="12.53515625" customWidth="1"/>
    <col min="12054" max="12054" width="6.3046875" customWidth="1"/>
    <col min="12055" max="12055" width="41.53515625" bestFit="1" customWidth="1"/>
    <col min="12056" max="12056" width="8.53515625" bestFit="1" customWidth="1"/>
    <col min="12057" max="12058" width="6.3046875" customWidth="1"/>
    <col min="12059" max="12059" width="6.69140625" customWidth="1"/>
    <col min="12060" max="12060" width="12.69140625" customWidth="1"/>
    <col min="12061" max="12061" width="14.53515625" bestFit="1" customWidth="1"/>
    <col min="12062" max="12066" width="12.69140625" customWidth="1"/>
    <col min="12306" max="12306" width="8.15234375" bestFit="1" customWidth="1"/>
    <col min="12307" max="12307" width="53.3828125" customWidth="1"/>
    <col min="12308" max="12308" width="22.3046875" bestFit="1" customWidth="1"/>
    <col min="12309" max="12309" width="12.53515625" customWidth="1"/>
    <col min="12310" max="12310" width="6.3046875" customWidth="1"/>
    <col min="12311" max="12311" width="41.53515625" bestFit="1" customWidth="1"/>
    <col min="12312" max="12312" width="8.53515625" bestFit="1" customWidth="1"/>
    <col min="12313" max="12314" width="6.3046875" customWidth="1"/>
    <col min="12315" max="12315" width="6.69140625" customWidth="1"/>
    <col min="12316" max="12316" width="12.69140625" customWidth="1"/>
    <col min="12317" max="12317" width="14.53515625" bestFit="1" customWidth="1"/>
    <col min="12318" max="12322" width="12.69140625" customWidth="1"/>
    <col min="12562" max="12562" width="8.15234375" bestFit="1" customWidth="1"/>
    <col min="12563" max="12563" width="53.3828125" customWidth="1"/>
    <col min="12564" max="12564" width="22.3046875" bestFit="1" customWidth="1"/>
    <col min="12565" max="12565" width="12.53515625" customWidth="1"/>
    <col min="12566" max="12566" width="6.3046875" customWidth="1"/>
    <col min="12567" max="12567" width="41.53515625" bestFit="1" customWidth="1"/>
    <col min="12568" max="12568" width="8.53515625" bestFit="1" customWidth="1"/>
    <col min="12569" max="12570" width="6.3046875" customWidth="1"/>
    <col min="12571" max="12571" width="6.69140625" customWidth="1"/>
    <col min="12572" max="12572" width="12.69140625" customWidth="1"/>
    <col min="12573" max="12573" width="14.53515625" bestFit="1" customWidth="1"/>
    <col min="12574" max="12578" width="12.69140625" customWidth="1"/>
    <col min="12818" max="12818" width="8.15234375" bestFit="1" customWidth="1"/>
    <col min="12819" max="12819" width="53.3828125" customWidth="1"/>
    <col min="12820" max="12820" width="22.3046875" bestFit="1" customWidth="1"/>
    <col min="12821" max="12821" width="12.53515625" customWidth="1"/>
    <col min="12822" max="12822" width="6.3046875" customWidth="1"/>
    <col min="12823" max="12823" width="41.53515625" bestFit="1" customWidth="1"/>
    <col min="12824" max="12824" width="8.53515625" bestFit="1" customWidth="1"/>
    <col min="12825" max="12826" width="6.3046875" customWidth="1"/>
    <col min="12827" max="12827" width="6.69140625" customWidth="1"/>
    <col min="12828" max="12828" width="12.69140625" customWidth="1"/>
    <col min="12829" max="12829" width="14.53515625" bestFit="1" customWidth="1"/>
    <col min="12830" max="12834" width="12.69140625" customWidth="1"/>
    <col min="13074" max="13074" width="8.15234375" bestFit="1" customWidth="1"/>
    <col min="13075" max="13075" width="53.3828125" customWidth="1"/>
    <col min="13076" max="13076" width="22.3046875" bestFit="1" customWidth="1"/>
    <col min="13077" max="13077" width="12.53515625" customWidth="1"/>
    <col min="13078" max="13078" width="6.3046875" customWidth="1"/>
    <col min="13079" max="13079" width="41.53515625" bestFit="1" customWidth="1"/>
    <col min="13080" max="13080" width="8.53515625" bestFit="1" customWidth="1"/>
    <col min="13081" max="13082" width="6.3046875" customWidth="1"/>
    <col min="13083" max="13083" width="6.69140625" customWidth="1"/>
    <col min="13084" max="13084" width="12.69140625" customWidth="1"/>
    <col min="13085" max="13085" width="14.53515625" bestFit="1" customWidth="1"/>
    <col min="13086" max="13090" width="12.69140625" customWidth="1"/>
    <col min="13330" max="13330" width="8.15234375" bestFit="1" customWidth="1"/>
    <col min="13331" max="13331" width="53.3828125" customWidth="1"/>
    <col min="13332" max="13332" width="22.3046875" bestFit="1" customWidth="1"/>
    <col min="13333" max="13333" width="12.53515625" customWidth="1"/>
    <col min="13334" max="13334" width="6.3046875" customWidth="1"/>
    <col min="13335" max="13335" width="41.53515625" bestFit="1" customWidth="1"/>
    <col min="13336" max="13336" width="8.53515625" bestFit="1" customWidth="1"/>
    <col min="13337" max="13338" width="6.3046875" customWidth="1"/>
    <col min="13339" max="13339" width="6.69140625" customWidth="1"/>
    <col min="13340" max="13340" width="12.69140625" customWidth="1"/>
    <col min="13341" max="13341" width="14.53515625" bestFit="1" customWidth="1"/>
    <col min="13342" max="13346" width="12.69140625" customWidth="1"/>
    <col min="13586" max="13586" width="8.15234375" bestFit="1" customWidth="1"/>
    <col min="13587" max="13587" width="53.3828125" customWidth="1"/>
    <col min="13588" max="13588" width="22.3046875" bestFit="1" customWidth="1"/>
    <col min="13589" max="13589" width="12.53515625" customWidth="1"/>
    <col min="13590" max="13590" width="6.3046875" customWidth="1"/>
    <col min="13591" max="13591" width="41.53515625" bestFit="1" customWidth="1"/>
    <col min="13592" max="13592" width="8.53515625" bestFit="1" customWidth="1"/>
    <col min="13593" max="13594" width="6.3046875" customWidth="1"/>
    <col min="13595" max="13595" width="6.69140625" customWidth="1"/>
    <col min="13596" max="13596" width="12.69140625" customWidth="1"/>
    <col min="13597" max="13597" width="14.53515625" bestFit="1" customWidth="1"/>
    <col min="13598" max="13602" width="12.69140625" customWidth="1"/>
    <col min="13842" max="13842" width="8.15234375" bestFit="1" customWidth="1"/>
    <col min="13843" max="13843" width="53.3828125" customWidth="1"/>
    <col min="13844" max="13844" width="22.3046875" bestFit="1" customWidth="1"/>
    <col min="13845" max="13845" width="12.53515625" customWidth="1"/>
    <col min="13846" max="13846" width="6.3046875" customWidth="1"/>
    <col min="13847" max="13847" width="41.53515625" bestFit="1" customWidth="1"/>
    <col min="13848" max="13848" width="8.53515625" bestFit="1" customWidth="1"/>
    <col min="13849" max="13850" width="6.3046875" customWidth="1"/>
    <col min="13851" max="13851" width="6.69140625" customWidth="1"/>
    <col min="13852" max="13852" width="12.69140625" customWidth="1"/>
    <col min="13853" max="13853" width="14.53515625" bestFit="1" customWidth="1"/>
    <col min="13854" max="13858" width="12.69140625" customWidth="1"/>
    <col min="14098" max="14098" width="8.15234375" bestFit="1" customWidth="1"/>
    <col min="14099" max="14099" width="53.3828125" customWidth="1"/>
    <col min="14100" max="14100" width="22.3046875" bestFit="1" customWidth="1"/>
    <col min="14101" max="14101" width="12.53515625" customWidth="1"/>
    <col min="14102" max="14102" width="6.3046875" customWidth="1"/>
    <col min="14103" max="14103" width="41.53515625" bestFit="1" customWidth="1"/>
    <col min="14104" max="14104" width="8.53515625" bestFit="1" customWidth="1"/>
    <col min="14105" max="14106" width="6.3046875" customWidth="1"/>
    <col min="14107" max="14107" width="6.69140625" customWidth="1"/>
    <col min="14108" max="14108" width="12.69140625" customWidth="1"/>
    <col min="14109" max="14109" width="14.53515625" bestFit="1" customWidth="1"/>
    <col min="14110" max="14114" width="12.69140625" customWidth="1"/>
    <col min="14354" max="14354" width="8.15234375" bestFit="1" customWidth="1"/>
    <col min="14355" max="14355" width="53.3828125" customWidth="1"/>
    <col min="14356" max="14356" width="22.3046875" bestFit="1" customWidth="1"/>
    <col min="14357" max="14357" width="12.53515625" customWidth="1"/>
    <col min="14358" max="14358" width="6.3046875" customWidth="1"/>
    <col min="14359" max="14359" width="41.53515625" bestFit="1" customWidth="1"/>
    <col min="14360" max="14360" width="8.53515625" bestFit="1" customWidth="1"/>
    <col min="14361" max="14362" width="6.3046875" customWidth="1"/>
    <col min="14363" max="14363" width="6.69140625" customWidth="1"/>
    <col min="14364" max="14364" width="12.69140625" customWidth="1"/>
    <col min="14365" max="14365" width="14.53515625" bestFit="1" customWidth="1"/>
    <col min="14366" max="14370" width="12.69140625" customWidth="1"/>
    <col min="14610" max="14610" width="8.15234375" bestFit="1" customWidth="1"/>
    <col min="14611" max="14611" width="53.3828125" customWidth="1"/>
    <col min="14612" max="14612" width="22.3046875" bestFit="1" customWidth="1"/>
    <col min="14613" max="14613" width="12.53515625" customWidth="1"/>
    <col min="14614" max="14614" width="6.3046875" customWidth="1"/>
    <col min="14615" max="14615" width="41.53515625" bestFit="1" customWidth="1"/>
    <col min="14616" max="14616" width="8.53515625" bestFit="1" customWidth="1"/>
    <col min="14617" max="14618" width="6.3046875" customWidth="1"/>
    <col min="14619" max="14619" width="6.69140625" customWidth="1"/>
    <col min="14620" max="14620" width="12.69140625" customWidth="1"/>
    <col min="14621" max="14621" width="14.53515625" bestFit="1" customWidth="1"/>
    <col min="14622" max="14626" width="12.69140625" customWidth="1"/>
    <col min="14866" max="14866" width="8.15234375" bestFit="1" customWidth="1"/>
    <col min="14867" max="14867" width="53.3828125" customWidth="1"/>
    <col min="14868" max="14868" width="22.3046875" bestFit="1" customWidth="1"/>
    <col min="14869" max="14869" width="12.53515625" customWidth="1"/>
    <col min="14870" max="14870" width="6.3046875" customWidth="1"/>
    <col min="14871" max="14871" width="41.53515625" bestFit="1" customWidth="1"/>
    <col min="14872" max="14872" width="8.53515625" bestFit="1" customWidth="1"/>
    <col min="14873" max="14874" width="6.3046875" customWidth="1"/>
    <col min="14875" max="14875" width="6.69140625" customWidth="1"/>
    <col min="14876" max="14876" width="12.69140625" customWidth="1"/>
    <col min="14877" max="14877" width="14.53515625" bestFit="1" customWidth="1"/>
    <col min="14878" max="14882" width="12.69140625" customWidth="1"/>
    <col min="15122" max="15122" width="8.15234375" bestFit="1" customWidth="1"/>
    <col min="15123" max="15123" width="53.3828125" customWidth="1"/>
    <col min="15124" max="15124" width="22.3046875" bestFit="1" customWidth="1"/>
    <col min="15125" max="15125" width="12.53515625" customWidth="1"/>
    <col min="15126" max="15126" width="6.3046875" customWidth="1"/>
    <col min="15127" max="15127" width="41.53515625" bestFit="1" customWidth="1"/>
    <col min="15128" max="15128" width="8.53515625" bestFit="1" customWidth="1"/>
    <col min="15129" max="15130" width="6.3046875" customWidth="1"/>
    <col min="15131" max="15131" width="6.69140625" customWidth="1"/>
    <col min="15132" max="15132" width="12.69140625" customWidth="1"/>
    <col min="15133" max="15133" width="14.53515625" bestFit="1" customWidth="1"/>
    <col min="15134" max="15138" width="12.69140625" customWidth="1"/>
    <col min="15378" max="15378" width="8.15234375" bestFit="1" customWidth="1"/>
    <col min="15379" max="15379" width="53.3828125" customWidth="1"/>
    <col min="15380" max="15380" width="22.3046875" bestFit="1" customWidth="1"/>
    <col min="15381" max="15381" width="12.53515625" customWidth="1"/>
    <col min="15382" max="15382" width="6.3046875" customWidth="1"/>
    <col min="15383" max="15383" width="41.53515625" bestFit="1" customWidth="1"/>
    <col min="15384" max="15384" width="8.53515625" bestFit="1" customWidth="1"/>
    <col min="15385" max="15386" width="6.3046875" customWidth="1"/>
    <col min="15387" max="15387" width="6.69140625" customWidth="1"/>
    <col min="15388" max="15388" width="12.69140625" customWidth="1"/>
    <col min="15389" max="15389" width="14.53515625" bestFit="1" customWidth="1"/>
    <col min="15390" max="15394" width="12.69140625" customWidth="1"/>
    <col min="15634" max="15634" width="8.15234375" bestFit="1" customWidth="1"/>
    <col min="15635" max="15635" width="53.3828125" customWidth="1"/>
    <col min="15636" max="15636" width="22.3046875" bestFit="1" customWidth="1"/>
    <col min="15637" max="15637" width="12.53515625" customWidth="1"/>
    <col min="15638" max="15638" width="6.3046875" customWidth="1"/>
    <col min="15639" max="15639" width="41.53515625" bestFit="1" customWidth="1"/>
    <col min="15640" max="15640" width="8.53515625" bestFit="1" customWidth="1"/>
    <col min="15641" max="15642" width="6.3046875" customWidth="1"/>
    <col min="15643" max="15643" width="6.69140625" customWidth="1"/>
    <col min="15644" max="15644" width="12.69140625" customWidth="1"/>
    <col min="15645" max="15645" width="14.53515625" bestFit="1" customWidth="1"/>
    <col min="15646" max="15650" width="12.69140625" customWidth="1"/>
    <col min="15890" max="15890" width="8.15234375" bestFit="1" customWidth="1"/>
    <col min="15891" max="15891" width="53.3828125" customWidth="1"/>
    <col min="15892" max="15892" width="22.3046875" bestFit="1" customWidth="1"/>
    <col min="15893" max="15893" width="12.53515625" customWidth="1"/>
    <col min="15894" max="15894" width="6.3046875" customWidth="1"/>
    <col min="15895" max="15895" width="41.53515625" bestFit="1" customWidth="1"/>
    <col min="15896" max="15896" width="8.53515625" bestFit="1" customWidth="1"/>
    <col min="15897" max="15898" width="6.3046875" customWidth="1"/>
    <col min="15899" max="15899" width="6.69140625" customWidth="1"/>
    <col min="15900" max="15900" width="12.69140625" customWidth="1"/>
    <col min="15901" max="15901" width="14.53515625" bestFit="1" customWidth="1"/>
    <col min="15902" max="15906" width="12.69140625" customWidth="1"/>
    <col min="16146" max="16146" width="8.15234375" bestFit="1" customWidth="1"/>
    <col min="16147" max="16147" width="53.3828125" customWidth="1"/>
    <col min="16148" max="16148" width="22.3046875" bestFit="1" customWidth="1"/>
    <col min="16149" max="16149" width="12.53515625" customWidth="1"/>
    <col min="16150" max="16150" width="6.3046875" customWidth="1"/>
    <col min="16151" max="16151" width="41.53515625" bestFit="1" customWidth="1"/>
    <col min="16152" max="16152" width="8.53515625" bestFit="1" customWidth="1"/>
    <col min="16153" max="16154" width="6.3046875" customWidth="1"/>
    <col min="16155" max="16155" width="6.69140625" customWidth="1"/>
    <col min="16156" max="16156" width="12.69140625" customWidth="1"/>
    <col min="16157" max="16157" width="14.53515625" bestFit="1" customWidth="1"/>
    <col min="16158" max="16162" width="12.69140625" customWidth="1"/>
  </cols>
  <sheetData>
    <row r="1" spans="2:29" s="687" customFormat="1" ht="24.9" x14ac:dyDescent="0.55000000000000004">
      <c r="B1" s="686" t="s">
        <v>1030</v>
      </c>
      <c r="C1" s="686"/>
      <c r="D1" s="686"/>
      <c r="E1" s="79"/>
      <c r="F1" s="79"/>
      <c r="G1" s="79"/>
      <c r="H1" s="79"/>
      <c r="I1" s="79"/>
      <c r="J1" s="79"/>
      <c r="K1" s="79"/>
      <c r="L1" s="79"/>
      <c r="M1" s="79"/>
      <c r="N1" s="79"/>
      <c r="O1" s="79"/>
      <c r="P1" s="79"/>
      <c r="Q1" s="79"/>
      <c r="R1" s="79"/>
      <c r="S1" s="79"/>
      <c r="T1" s="688"/>
      <c r="U1" s="79"/>
      <c r="V1" s="79"/>
      <c r="W1" s="79"/>
      <c r="X1" s="79"/>
      <c r="Y1" s="79"/>
      <c r="Z1" s="79"/>
      <c r="AA1" s="79"/>
      <c r="AB1" s="286"/>
      <c r="AC1" s="79"/>
    </row>
    <row r="2" spans="2:29" ht="15" thickBot="1" x14ac:dyDescent="0.45"/>
    <row r="3" spans="2:29" ht="20.6" thickBot="1" x14ac:dyDescent="0.55000000000000004">
      <c r="B3" s="690" t="s">
        <v>1031</v>
      </c>
      <c r="C3" s="691"/>
      <c r="D3" s="691"/>
      <c r="E3" s="692"/>
      <c r="F3" s="692"/>
      <c r="G3" s="692"/>
      <c r="H3" s="692"/>
      <c r="I3" s="692"/>
      <c r="J3" s="692"/>
      <c r="K3" s="692"/>
      <c r="L3" s="692"/>
      <c r="M3" s="692"/>
      <c r="N3" s="692"/>
      <c r="O3" s="692"/>
      <c r="P3" s="692"/>
      <c r="Q3" s="692"/>
      <c r="R3" s="693"/>
      <c r="S3" s="690" t="s">
        <v>1050</v>
      </c>
      <c r="T3" s="739"/>
      <c r="U3" s="694"/>
      <c r="V3" s="694"/>
      <c r="W3" s="694"/>
      <c r="X3" s="694"/>
      <c r="Y3" s="695"/>
      <c r="Z3" s="696"/>
      <c r="AC3" s="697"/>
    </row>
    <row r="4" spans="2:29" ht="20.149999999999999" x14ac:dyDescent="0.5">
      <c r="B4" s="698" t="s">
        <v>1033</v>
      </c>
      <c r="C4" s="699"/>
      <c r="D4" s="698"/>
      <c r="E4" s="700"/>
      <c r="F4" s="700"/>
      <c r="G4" s="701"/>
      <c r="H4" s="700"/>
      <c r="I4" s="700"/>
      <c r="J4" s="702"/>
      <c r="K4" s="700"/>
      <c r="L4" s="700"/>
      <c r="M4" s="700"/>
      <c r="N4" s="703"/>
      <c r="O4" s="700"/>
      <c r="P4" s="700"/>
      <c r="Q4" s="700"/>
      <c r="R4" s="700"/>
      <c r="U4" s="290"/>
      <c r="Y4" s="290"/>
      <c r="Z4" s="290"/>
      <c r="AA4" s="696"/>
      <c r="AC4" s="697"/>
    </row>
    <row r="5" spans="2:29" x14ac:dyDescent="0.4">
      <c r="B5" s="704" t="s">
        <v>1034</v>
      </c>
      <c r="C5" s="704"/>
      <c r="D5" s="704"/>
    </row>
    <row r="6" spans="2:29" x14ac:dyDescent="0.4">
      <c r="B6" s="704" t="s">
        <v>1035</v>
      </c>
      <c r="C6" s="704"/>
      <c r="D6" s="704"/>
    </row>
    <row r="7" spans="2:29" x14ac:dyDescent="0.4">
      <c r="B7" s="704" t="s">
        <v>1036</v>
      </c>
      <c r="C7" s="704"/>
      <c r="D7" s="704"/>
      <c r="Q7" s="7"/>
      <c r="R7" s="7"/>
      <c r="S7" s="7"/>
    </row>
    <row r="8" spans="2:29" x14ac:dyDescent="0.4">
      <c r="B8" s="704" t="s">
        <v>1037</v>
      </c>
      <c r="C8" s="704"/>
      <c r="D8" s="704"/>
      <c r="N8" s="19"/>
      <c r="O8" s="705"/>
      <c r="P8" s="705"/>
      <c r="Q8" s="700"/>
      <c r="R8" s="700"/>
      <c r="S8" s="700"/>
    </row>
    <row r="9" spans="2:29" x14ac:dyDescent="0.4">
      <c r="B9" s="704" t="s">
        <v>1038</v>
      </c>
      <c r="C9" s="704"/>
      <c r="D9" s="704"/>
      <c r="N9" s="19"/>
      <c r="O9" s="706"/>
      <c r="P9" s="706"/>
      <c r="Q9" s="706"/>
      <c r="R9" s="706"/>
      <c r="S9" s="706"/>
    </row>
    <row r="10" spans="2:29" x14ac:dyDescent="0.4">
      <c r="B10" s="704" t="s">
        <v>1039</v>
      </c>
      <c r="C10" s="704"/>
      <c r="D10" s="704"/>
      <c r="N10" s="707"/>
      <c r="O10" s="290"/>
      <c r="P10" s="290"/>
      <c r="Q10" s="290"/>
      <c r="R10" s="290"/>
      <c r="S10" s="290"/>
    </row>
    <row r="11" spans="2:29" x14ac:dyDescent="0.4">
      <c r="B11" s="704" t="s">
        <v>1040</v>
      </c>
      <c r="C11" s="704"/>
      <c r="D11" s="704"/>
      <c r="N11" s="707"/>
      <c r="O11" s="290"/>
      <c r="P11" s="290"/>
      <c r="Q11" s="290"/>
      <c r="R11" s="290"/>
      <c r="S11" s="290"/>
    </row>
    <row r="12" spans="2:29" x14ac:dyDescent="0.4">
      <c r="B12" s="704" t="s">
        <v>2687</v>
      </c>
      <c r="C12" s="704"/>
      <c r="D12" s="704"/>
      <c r="N12" s="707"/>
      <c r="O12" s="290"/>
      <c r="P12" s="290"/>
      <c r="Q12" s="290"/>
      <c r="R12" s="290"/>
      <c r="S12" s="290"/>
    </row>
    <row r="13" spans="2:29" ht="20.149999999999999" x14ac:dyDescent="0.5">
      <c r="B13" s="698" t="s">
        <v>1041</v>
      </c>
      <c r="C13" s="699"/>
      <c r="D13" s="698"/>
      <c r="N13" s="707"/>
      <c r="O13" s="290"/>
      <c r="P13" s="290"/>
      <c r="Q13" s="290"/>
      <c r="R13" s="290"/>
      <c r="S13" s="290"/>
    </row>
    <row r="14" spans="2:29" x14ac:dyDescent="0.4">
      <c r="B14" s="704" t="s">
        <v>1042</v>
      </c>
      <c r="C14" s="704"/>
      <c r="D14" s="704"/>
      <c r="N14" s="707"/>
      <c r="O14" s="290"/>
      <c r="P14" s="290"/>
      <c r="Q14" s="290"/>
      <c r="R14" s="290"/>
      <c r="S14" s="290"/>
    </row>
    <row r="15" spans="2:29" x14ac:dyDescent="0.4">
      <c r="B15" s="704" t="s">
        <v>1043</v>
      </c>
      <c r="C15" s="704"/>
      <c r="D15" s="704"/>
      <c r="N15" s="707"/>
      <c r="O15" s="290"/>
      <c r="P15" s="290"/>
      <c r="Q15" s="290"/>
      <c r="R15" s="290"/>
      <c r="S15" s="290"/>
    </row>
    <row r="16" spans="2:29" x14ac:dyDescent="0.4">
      <c r="B16" s="704" t="s">
        <v>1036</v>
      </c>
      <c r="C16" s="704"/>
      <c r="D16" s="704"/>
      <c r="N16" s="707"/>
      <c r="O16" s="7"/>
      <c r="P16" s="7"/>
      <c r="Q16" s="7"/>
      <c r="R16" s="7"/>
      <c r="S16" s="7"/>
    </row>
    <row r="17" spans="2:27" x14ac:dyDescent="0.4">
      <c r="B17" s="704" t="s">
        <v>1037</v>
      </c>
      <c r="C17" s="704"/>
      <c r="D17" s="704"/>
      <c r="N17" s="707"/>
      <c r="O17" s="7"/>
      <c r="P17" s="7"/>
      <c r="Q17" s="7"/>
      <c r="R17" s="7"/>
      <c r="S17" s="7"/>
    </row>
    <row r="18" spans="2:27" x14ac:dyDescent="0.4">
      <c r="B18" s="704"/>
      <c r="C18" s="704"/>
      <c r="N18" s="707"/>
      <c r="O18" s="7"/>
      <c r="P18" s="7"/>
      <c r="Q18" s="7"/>
      <c r="R18" s="7"/>
      <c r="S18" s="7"/>
      <c r="T18" s="3594"/>
      <c r="U18" s="290"/>
      <c r="V18" s="273"/>
      <c r="W18" s="273"/>
      <c r="X18" s="273"/>
      <c r="Y18" s="290"/>
      <c r="Z18" s="290"/>
    </row>
    <row r="19" spans="2:27" ht="15" thickBot="1" x14ac:dyDescent="0.45">
      <c r="N19" s="707"/>
      <c r="O19" s="7"/>
      <c r="P19" s="7"/>
      <c r="U19" s="700"/>
    </row>
    <row r="20" spans="2:27" ht="15.9" thickBot="1" x14ac:dyDescent="0.45">
      <c r="D20" s="710"/>
      <c r="E20" s="711" t="s">
        <v>23</v>
      </c>
      <c r="F20" s="712" t="s">
        <v>1044</v>
      </c>
      <c r="G20" s="713"/>
      <c r="H20" s="713"/>
      <c r="I20" s="714"/>
      <c r="N20" s="707"/>
      <c r="O20" s="7"/>
      <c r="P20" s="7"/>
    </row>
    <row r="21" spans="2:27" ht="15" thickBot="1" x14ac:dyDescent="0.45">
      <c r="D21" s="717" t="s">
        <v>1045</v>
      </c>
      <c r="E21" s="718">
        <v>1</v>
      </c>
      <c r="F21" s="719">
        <v>1</v>
      </c>
      <c r="G21" s="719">
        <v>2</v>
      </c>
      <c r="H21" s="719">
        <v>3</v>
      </c>
      <c r="I21" s="719">
        <v>4</v>
      </c>
      <c r="J21" s="715">
        <v>6</v>
      </c>
      <c r="N21" s="707"/>
      <c r="O21" s="7"/>
      <c r="P21" s="7"/>
    </row>
    <row r="22" spans="2:27" ht="15" thickBot="1" x14ac:dyDescent="0.45">
      <c r="D22" s="721" t="s">
        <v>1046</v>
      </c>
      <c r="E22" s="721" t="s">
        <v>1047</v>
      </c>
      <c r="F22" s="722" t="str">
        <f>ROUNDUP(Tokamak_Segmts/F21,0)&amp;" Ports"</f>
        <v>16 Ports</v>
      </c>
      <c r="G22" s="722" t="str">
        <f>ROUNDUP(Tokamak_Segmts/G21,0)&amp;" Ports"</f>
        <v>8 Ports</v>
      </c>
      <c r="H22" s="722" t="str">
        <f>ROUNDUP(Tokamak_Segmts/H21,0)&amp;" Ports"</f>
        <v>6 Ports</v>
      </c>
      <c r="I22" s="722" t="str">
        <f>ROUNDUP(Tokamak_Segmts/I21,0)&amp;" Ports"</f>
        <v>4 Ports</v>
      </c>
      <c r="J22" s="723" t="str">
        <f>ROUNDUP(Tokamak_Segmts/J21,0)&amp;" Ports"</f>
        <v>3 Ports</v>
      </c>
      <c r="N22" s="707"/>
      <c r="O22" s="7"/>
      <c r="P22" s="7"/>
    </row>
    <row r="23" spans="2:27" x14ac:dyDescent="0.4">
      <c r="D23" s="725" t="s">
        <v>1048</v>
      </c>
      <c r="E23" s="726">
        <f t="shared" ref="E23:J26" si="0">U36+U134+U220+U294+U356</f>
        <v>241.87472234853911</v>
      </c>
      <c r="F23" s="727">
        <f t="shared" si="0"/>
        <v>3869.9955575766257</v>
      </c>
      <c r="G23" s="727">
        <f t="shared" si="0"/>
        <v>1934.9977787883129</v>
      </c>
      <c r="H23" s="727">
        <f t="shared" si="0"/>
        <v>1451.2483340912347</v>
      </c>
      <c r="I23" s="727">
        <f t="shared" si="0"/>
        <v>967.49888939415644</v>
      </c>
      <c r="J23" s="724">
        <f t="shared" si="0"/>
        <v>725.62416704561736</v>
      </c>
      <c r="N23" s="707"/>
      <c r="O23" s="7"/>
      <c r="P23" s="7"/>
    </row>
    <row r="24" spans="2:27" x14ac:dyDescent="0.4">
      <c r="D24" s="729" t="s">
        <v>2658</v>
      </c>
      <c r="E24" s="730">
        <f t="shared" si="0"/>
        <v>7.8574754767295651</v>
      </c>
      <c r="F24" s="731">
        <f t="shared" si="0"/>
        <v>125.71960762767304</v>
      </c>
      <c r="G24" s="731">
        <f t="shared" si="0"/>
        <v>62.859803813836521</v>
      </c>
      <c r="H24" s="731">
        <f t="shared" si="0"/>
        <v>47.144852860377391</v>
      </c>
      <c r="I24" s="731">
        <f t="shared" si="0"/>
        <v>31.429901906918261</v>
      </c>
      <c r="J24" s="728">
        <f t="shared" si="0"/>
        <v>23.572426430188695</v>
      </c>
      <c r="N24" s="707"/>
      <c r="O24" s="7"/>
      <c r="P24" s="7"/>
    </row>
    <row r="25" spans="2:27" ht="15" thickBot="1" x14ac:dyDescent="0.45">
      <c r="D25" s="733" t="s">
        <v>2662</v>
      </c>
      <c r="E25" s="734">
        <f t="shared" si="0"/>
        <v>47.540479620489961</v>
      </c>
      <c r="F25" s="735">
        <f t="shared" si="0"/>
        <v>760.64767392783938</v>
      </c>
      <c r="G25" s="735">
        <f t="shared" si="0"/>
        <v>380.32383696391969</v>
      </c>
      <c r="H25" s="735">
        <f t="shared" si="0"/>
        <v>285.24287772293974</v>
      </c>
      <c r="I25" s="735">
        <f t="shared" si="0"/>
        <v>190.16191848195984</v>
      </c>
      <c r="J25" s="732">
        <f t="shared" si="0"/>
        <v>142.62143886146987</v>
      </c>
      <c r="N25" s="707"/>
      <c r="O25" s="7"/>
      <c r="P25" s="7"/>
    </row>
    <row r="26" spans="2:27" ht="15" thickBot="1" x14ac:dyDescent="0.45">
      <c r="D26" s="737" t="s">
        <v>2661</v>
      </c>
      <c r="E26" s="738">
        <f t="shared" si="0"/>
        <v>315.31525546165437</v>
      </c>
      <c r="F26" s="739">
        <f t="shared" si="0"/>
        <v>5045.04408738647</v>
      </c>
      <c r="G26" s="739">
        <f t="shared" si="0"/>
        <v>2522.522043693235</v>
      </c>
      <c r="H26" s="739">
        <f t="shared" si="0"/>
        <v>1891.8915327699265</v>
      </c>
      <c r="I26" s="739">
        <f t="shared" si="0"/>
        <v>1261.2610218466175</v>
      </c>
      <c r="J26" s="736">
        <f t="shared" si="0"/>
        <v>945.94576638496324</v>
      </c>
      <c r="N26" s="707"/>
      <c r="O26" s="7"/>
      <c r="P26" s="7"/>
    </row>
    <row r="27" spans="2:27" x14ac:dyDescent="0.4">
      <c r="F27" s="288"/>
      <c r="G27" s="741"/>
      <c r="Y27" s="273"/>
      <c r="Z27" s="273"/>
    </row>
    <row r="28" spans="2:27" ht="20.149999999999999" x14ac:dyDescent="0.5">
      <c r="B28" s="698" t="s">
        <v>1051</v>
      </c>
      <c r="F28" s="288"/>
      <c r="G28" s="741"/>
    </row>
    <row r="30" spans="2:27" ht="15.45" x14ac:dyDescent="0.4">
      <c r="B30" s="742"/>
      <c r="C30" s="743"/>
      <c r="D30" s="743"/>
      <c r="E30" s="744" t="s">
        <v>1052</v>
      </c>
      <c r="F30" s="745"/>
      <c r="G30" s="745"/>
      <c r="H30" s="745"/>
      <c r="I30" s="745"/>
      <c r="J30" s="745"/>
      <c r="K30" s="745"/>
      <c r="L30" s="745"/>
      <c r="M30" s="745"/>
      <c r="N30" s="745"/>
      <c r="O30" s="745"/>
      <c r="P30" s="745"/>
      <c r="Q30" s="745"/>
      <c r="R30" s="745"/>
      <c r="S30" s="745"/>
      <c r="T30" s="3595"/>
      <c r="U30" s="745"/>
      <c r="V30" s="745"/>
      <c r="W30" s="745"/>
      <c r="X30" s="745"/>
      <c r="Y30" s="745"/>
      <c r="Z30" s="745"/>
      <c r="AA30" s="746"/>
    </row>
    <row r="31" spans="2:27" ht="15" outlineLevel="1" thickBot="1" x14ac:dyDescent="0.45">
      <c r="B31" s="747"/>
      <c r="C31" s="704"/>
      <c r="D31" s="704"/>
      <c r="E31" s="748" t="s">
        <v>1053</v>
      </c>
      <c r="F31" s="704"/>
      <c r="G31" s="749"/>
      <c r="H31" s="704"/>
      <c r="I31" s="704"/>
      <c r="J31" s="704"/>
      <c r="K31" s="750"/>
      <c r="L31" s="704"/>
      <c r="M31" s="704"/>
      <c r="N31" s="704"/>
      <c r="O31" s="704"/>
      <c r="P31" s="704"/>
      <c r="Q31" s="704"/>
      <c r="R31" s="704"/>
      <c r="S31" s="704"/>
      <c r="T31" s="1826"/>
      <c r="U31" s="750"/>
      <c r="V31" s="704"/>
      <c r="W31" s="704"/>
      <c r="X31" s="704"/>
      <c r="Y31" s="750"/>
      <c r="Z31" s="750"/>
      <c r="AA31" s="751"/>
    </row>
    <row r="32" spans="2:27" outlineLevel="1" x14ac:dyDescent="0.4">
      <c r="B32" s="747"/>
      <c r="C32" s="704"/>
      <c r="D32" s="704"/>
      <c r="E32" s="704" t="s">
        <v>1034</v>
      </c>
      <c r="F32" s="704"/>
      <c r="G32" s="749"/>
      <c r="H32" s="704"/>
      <c r="I32" s="704"/>
      <c r="J32" s="704"/>
      <c r="K32" s="750"/>
      <c r="L32" s="704"/>
      <c r="M32" s="704"/>
      <c r="N32" s="704"/>
      <c r="O32" s="704"/>
      <c r="P32" s="704"/>
      <c r="Q32" s="704"/>
      <c r="R32" s="704"/>
      <c r="S32" s="704"/>
      <c r="T32" s="3541"/>
      <c r="U32" s="3015" t="s">
        <v>23</v>
      </c>
      <c r="V32" s="3989" t="s">
        <v>2688</v>
      </c>
      <c r="W32" s="3990"/>
      <c r="X32" s="3990"/>
      <c r="Y32" s="3990"/>
      <c r="Z32" s="3991"/>
      <c r="AA32" s="752"/>
    </row>
    <row r="33" spans="2:34" outlineLevel="1" x14ac:dyDescent="0.4">
      <c r="B33" s="747"/>
      <c r="C33" s="704"/>
      <c r="D33" s="704"/>
      <c r="E33" s="704" t="s">
        <v>1035</v>
      </c>
      <c r="F33" s="704"/>
      <c r="G33" s="749"/>
      <c r="H33" s="704"/>
      <c r="I33" s="704"/>
      <c r="J33" s="704"/>
      <c r="K33" s="750"/>
      <c r="L33" s="704"/>
      <c r="M33" s="704"/>
      <c r="N33" s="704"/>
      <c r="O33" s="704"/>
      <c r="P33" s="704"/>
      <c r="Q33" s="704"/>
      <c r="R33" s="704"/>
      <c r="S33" s="704"/>
      <c r="T33" s="3596" t="s">
        <v>1055</v>
      </c>
      <c r="U33" s="2282">
        <v>1</v>
      </c>
      <c r="V33" s="1497">
        <v>1</v>
      </c>
      <c r="W33" s="754">
        <v>2</v>
      </c>
      <c r="X33" s="754">
        <v>3</v>
      </c>
      <c r="Y33" s="754">
        <v>4</v>
      </c>
      <c r="Z33" s="753">
        <v>6</v>
      </c>
      <c r="AA33" s="752"/>
    </row>
    <row r="34" spans="2:34" outlineLevel="1" x14ac:dyDescent="0.4">
      <c r="B34" s="747"/>
      <c r="C34" s="704"/>
      <c r="D34" s="704"/>
      <c r="E34" s="704" t="s">
        <v>1036</v>
      </c>
      <c r="F34" s="704"/>
      <c r="G34" s="749"/>
      <c r="H34" s="704"/>
      <c r="I34" s="704"/>
      <c r="J34" s="704"/>
      <c r="K34" s="750"/>
      <c r="L34" s="704"/>
      <c r="M34" s="704"/>
      <c r="N34" s="704"/>
      <c r="O34" s="704"/>
      <c r="P34" s="704"/>
      <c r="Q34" s="704"/>
      <c r="R34" s="704"/>
      <c r="S34" s="704"/>
      <c r="T34" s="3333" t="s">
        <v>2665</v>
      </c>
      <c r="U34" s="1086">
        <f>(Connect_vertical_pipework)</f>
        <v>24.022732551873563</v>
      </c>
      <c r="V34" s="1498">
        <f>(ROUNDUP(Tokamak_Segmts/V33,0)*(Connect_vertical_pipework))</f>
        <v>384.36372082997701</v>
      </c>
      <c r="W34" s="756">
        <f>(ROUNDUP(Tokamak_Segmts/W33,0)*(Connect_vertical_pipework))</f>
        <v>192.18186041498851</v>
      </c>
      <c r="X34" s="756">
        <f>(ROUNDUP(Tokamak_Segmts/X33,0)*(Connect_vertical_pipework))</f>
        <v>144.13639531124139</v>
      </c>
      <c r="Y34" s="756">
        <f>(ROUNDUP(Tokamak_Segmts/Y33,0)*(Connect_vertical_pipework))</f>
        <v>96.090930207494253</v>
      </c>
      <c r="Z34" s="755">
        <f>(ROUNDUP(Tokamak_Segmts/Z33,0)*(Connect_vertical_pipework))</f>
        <v>72.068197655620693</v>
      </c>
      <c r="AA34" s="752"/>
    </row>
    <row r="35" spans="2:34" ht="15" outlineLevel="1" thickBot="1" x14ac:dyDescent="0.45">
      <c r="B35" s="747"/>
      <c r="C35" s="704"/>
      <c r="D35" s="704"/>
      <c r="E35" s="704" t="s">
        <v>1037</v>
      </c>
      <c r="F35" s="704"/>
      <c r="G35" s="749"/>
      <c r="H35" s="704"/>
      <c r="I35" s="704"/>
      <c r="J35" s="704"/>
      <c r="K35" s="750"/>
      <c r="L35" s="704"/>
      <c r="M35" s="704"/>
      <c r="N35" s="704"/>
      <c r="O35" s="704"/>
      <c r="P35" s="704"/>
      <c r="Q35" s="704"/>
      <c r="R35" s="704"/>
      <c r="S35" s="704"/>
      <c r="T35" s="3141" t="s">
        <v>2693</v>
      </c>
      <c r="U35" s="1089">
        <f>U$34*$F$38</f>
        <v>0.2642500580706092</v>
      </c>
      <c r="V35" s="1499">
        <f t="shared" ref="V35:Z35" si="1">V$34*$F$38</f>
        <v>4.2280009291297471</v>
      </c>
      <c r="W35" s="761">
        <f t="shared" si="1"/>
        <v>2.1140004645648736</v>
      </c>
      <c r="X35" s="761">
        <f t="shared" si="1"/>
        <v>1.5855003484236552</v>
      </c>
      <c r="Y35" s="761">
        <f t="shared" si="1"/>
        <v>1.0570002322824368</v>
      </c>
      <c r="Z35" s="760">
        <f t="shared" si="1"/>
        <v>0.79275017421182759</v>
      </c>
      <c r="AA35" s="752"/>
    </row>
    <row r="36" spans="2:34" outlineLevel="1" x14ac:dyDescent="0.4">
      <c r="B36" s="747"/>
      <c r="C36" s="704"/>
      <c r="D36" s="704"/>
      <c r="E36" s="704" t="s">
        <v>1038</v>
      </c>
      <c r="F36" s="704"/>
      <c r="G36" s="749"/>
      <c r="H36" s="704"/>
      <c r="I36" s="704"/>
      <c r="J36" s="704"/>
      <c r="K36" s="750"/>
      <c r="L36" s="704"/>
      <c r="M36" s="704"/>
      <c r="N36" s="704"/>
      <c r="O36" s="704"/>
      <c r="P36" s="704"/>
      <c r="Q36" s="704"/>
      <c r="R36" s="704"/>
      <c r="S36" s="704"/>
      <c r="T36" s="3597" t="s">
        <v>1048</v>
      </c>
      <c r="U36" s="3016">
        <f t="shared" ref="U36:Z36" si="2">U35*(SUMIF($G$46:$G$123,"Operation",$H$46:$H$123))</f>
        <v>75.162933151689373</v>
      </c>
      <c r="V36" s="1500">
        <f t="shared" si="2"/>
        <v>1202.60693042703</v>
      </c>
      <c r="W36" s="768">
        <f t="shared" si="2"/>
        <v>601.30346521351498</v>
      </c>
      <c r="X36" s="768">
        <f t="shared" si="2"/>
        <v>450.97759891013629</v>
      </c>
      <c r="Y36" s="768">
        <f t="shared" si="2"/>
        <v>300.65173260675749</v>
      </c>
      <c r="Z36" s="1062">
        <f t="shared" si="2"/>
        <v>225.48879945506815</v>
      </c>
      <c r="AA36" s="752"/>
    </row>
    <row r="37" spans="2:34" outlineLevel="1" x14ac:dyDescent="0.4">
      <c r="B37" s="747"/>
      <c r="C37" s="704"/>
      <c r="D37" s="704"/>
      <c r="E37" s="704"/>
      <c r="F37" s="704"/>
      <c r="G37" s="749"/>
      <c r="H37" s="704"/>
      <c r="I37" s="704"/>
      <c r="J37" s="704"/>
      <c r="K37" s="750"/>
      <c r="L37" s="704"/>
      <c r="M37" s="704"/>
      <c r="N37" s="704"/>
      <c r="O37" s="704"/>
      <c r="P37" s="704"/>
      <c r="Q37" s="704"/>
      <c r="R37" s="704"/>
      <c r="S37" s="704"/>
      <c r="T37" s="3540" t="s">
        <v>2658</v>
      </c>
      <c r="U37" s="3017">
        <f t="shared" ref="U37:Z37" si="3">U35*(SUMIF($G$46:$G$123,"Movement",$H$46:$H$123)+(SUMIF($G$46:$G$123,"Logistics",$H$46:$H$123)))</f>
        <v>3.3468737910520843</v>
      </c>
      <c r="V37" s="1502">
        <f t="shared" si="3"/>
        <v>53.549980656833348</v>
      </c>
      <c r="W37" s="769">
        <f t="shared" si="3"/>
        <v>26.774990328416674</v>
      </c>
      <c r="X37" s="769">
        <f t="shared" si="3"/>
        <v>20.081242746312505</v>
      </c>
      <c r="Y37" s="769">
        <f t="shared" si="3"/>
        <v>13.387495164208337</v>
      </c>
      <c r="Z37" s="1064">
        <f t="shared" si="3"/>
        <v>10.040621373156252</v>
      </c>
      <c r="AA37" s="752"/>
    </row>
    <row r="38" spans="2:34" ht="15" outlineLevel="1" thickBot="1" x14ac:dyDescent="0.45">
      <c r="B38" s="747"/>
      <c r="C38" s="704"/>
      <c r="D38" s="704"/>
      <c r="E38" s="748" t="s">
        <v>1056</v>
      </c>
      <c r="F38" s="709">
        <f>SUM(F39:F40)</f>
        <v>1.0999999999999999E-2</v>
      </c>
      <c r="G38" s="757"/>
      <c r="H38" s="709"/>
      <c r="I38" s="709"/>
      <c r="J38" s="709"/>
      <c r="K38" s="758"/>
      <c r="L38" s="759"/>
      <c r="M38" s="759"/>
      <c r="N38" s="759"/>
      <c r="O38" s="759"/>
      <c r="P38" s="759"/>
      <c r="Q38" s="759"/>
      <c r="R38" s="704"/>
      <c r="S38" s="704"/>
      <c r="T38" s="3598" t="s">
        <v>2662</v>
      </c>
      <c r="U38" s="1109">
        <f t="shared" ref="U38:Z38" si="4">U35*(-SUMIF($V$46:$V$123,"&lt;0"))</f>
        <v>17.681285535024767</v>
      </c>
      <c r="V38" s="1110">
        <f t="shared" si="4"/>
        <v>282.90056856039627</v>
      </c>
      <c r="W38" s="770">
        <f t="shared" si="4"/>
        <v>141.45028428019813</v>
      </c>
      <c r="X38" s="770">
        <f t="shared" si="4"/>
        <v>106.08771321014859</v>
      </c>
      <c r="Y38" s="770">
        <f t="shared" si="4"/>
        <v>70.725142140099067</v>
      </c>
      <c r="Z38" s="1066">
        <f t="shared" si="4"/>
        <v>53.043856605074296</v>
      </c>
      <c r="AA38" s="752"/>
    </row>
    <row r="39" spans="2:34" ht="15" outlineLevel="1" thickBot="1" x14ac:dyDescent="0.45">
      <c r="B39" s="762"/>
      <c r="C39" s="5"/>
      <c r="D39" s="5"/>
      <c r="E39" s="5" t="s">
        <v>1057</v>
      </c>
      <c r="F39" s="763">
        <f>Weld_Failure_Rate</f>
        <v>1E-3</v>
      </c>
      <c r="G39" s="764"/>
      <c r="H39" s="763"/>
      <c r="I39" s="763"/>
      <c r="J39" s="765"/>
      <c r="K39" s="273"/>
      <c r="L39" s="763"/>
      <c r="M39" s="763"/>
      <c r="N39" s="766"/>
      <c r="O39" s="763"/>
      <c r="P39" s="763"/>
      <c r="Q39" s="763"/>
      <c r="R39" s="767"/>
      <c r="S39" s="5"/>
      <c r="T39" s="3355" t="s">
        <v>2667</v>
      </c>
      <c r="U39" s="2993">
        <f t="shared" ref="U39:Z39" si="5">U35*$I$124</f>
        <v>96.191092477766233</v>
      </c>
      <c r="V39" s="2994">
        <f t="shared" si="5"/>
        <v>1539.0574796442597</v>
      </c>
      <c r="W39" s="694">
        <f t="shared" si="5"/>
        <v>769.52873982212986</v>
      </c>
      <c r="X39" s="694">
        <f t="shared" si="5"/>
        <v>577.1465548665974</v>
      </c>
      <c r="Y39" s="694">
        <f t="shared" si="5"/>
        <v>384.76436991106493</v>
      </c>
      <c r="Z39" s="2974">
        <f t="shared" si="5"/>
        <v>288.5732774332987</v>
      </c>
      <c r="AA39" s="752"/>
    </row>
    <row r="40" spans="2:34" outlineLevel="1" x14ac:dyDescent="0.4">
      <c r="B40" s="762"/>
      <c r="C40" s="5"/>
      <c r="D40" s="5"/>
      <c r="E40" s="5" t="s">
        <v>1058</v>
      </c>
      <c r="F40" s="763">
        <f>SJS_welder_failure</f>
        <v>0.01</v>
      </c>
      <c r="G40" s="764"/>
      <c r="H40" s="763"/>
      <c r="I40" s="763"/>
      <c r="J40" s="765"/>
      <c r="K40" s="273"/>
      <c r="L40" s="763"/>
      <c r="M40" s="763"/>
      <c r="N40" s="766"/>
      <c r="O40" s="763"/>
      <c r="P40" s="763"/>
      <c r="Q40" s="763"/>
      <c r="R40" s="767"/>
      <c r="S40" s="5"/>
      <c r="AA40" s="752"/>
    </row>
    <row r="41" spans="2:34" outlineLevel="1" x14ac:dyDescent="0.4">
      <c r="B41" s="762"/>
      <c r="C41" s="5"/>
      <c r="D41" s="5"/>
      <c r="E41" s="708" t="s">
        <v>1059</v>
      </c>
      <c r="F41" s="709">
        <f>F38*(1-(1-F38)^(Vertical_port_pipes_per_blanket))</f>
        <v>7.0632541484487834E-4</v>
      </c>
      <c r="G41" s="709"/>
      <c r="H41" s="709"/>
      <c r="I41" s="709"/>
      <c r="J41" s="709"/>
      <c r="K41" s="758"/>
      <c r="L41" s="709"/>
      <c r="M41" s="709"/>
      <c r="N41" s="709"/>
      <c r="O41" s="709"/>
      <c r="P41" s="709"/>
      <c r="Q41" s="709"/>
      <c r="R41" s="767"/>
      <c r="S41" s="5"/>
      <c r="AA41" s="752"/>
    </row>
    <row r="42" spans="2:34" outlineLevel="1" x14ac:dyDescent="0.4">
      <c r="B42" s="762"/>
      <c r="C42" s="5"/>
      <c r="D42" s="5"/>
      <c r="E42" s="708"/>
      <c r="F42" s="709"/>
      <c r="G42" s="757"/>
      <c r="H42" s="709"/>
      <c r="I42" s="709"/>
      <c r="J42" s="709"/>
      <c r="K42" s="758"/>
      <c r="L42" s="709"/>
      <c r="M42" s="709"/>
      <c r="N42" s="709"/>
      <c r="O42" s="709"/>
      <c r="P42" s="709"/>
      <c r="Q42" s="709"/>
      <c r="R42" s="767"/>
      <c r="S42" s="5"/>
      <c r="AA42" s="752"/>
    </row>
    <row r="43" spans="2:34" ht="15.75" customHeight="1" outlineLevel="1" thickBot="1" x14ac:dyDescent="0.45">
      <c r="B43" s="762"/>
      <c r="C43" s="5"/>
      <c r="D43" s="5"/>
      <c r="E43" s="708"/>
      <c r="F43" s="709"/>
      <c r="G43" s="757"/>
      <c r="H43" s="709"/>
      <c r="I43" s="709"/>
      <c r="J43" s="709"/>
      <c r="K43" s="758"/>
      <c r="L43" s="709"/>
      <c r="M43" s="709"/>
      <c r="N43" s="709"/>
      <c r="O43" s="709"/>
      <c r="P43" s="709"/>
      <c r="Q43" s="709"/>
      <c r="R43" s="767"/>
      <c r="S43" s="5"/>
      <c r="T43" s="906"/>
      <c r="U43" s="273"/>
      <c r="V43" s="5"/>
      <c r="W43" s="5"/>
      <c r="X43" s="5"/>
      <c r="Y43" s="273"/>
      <c r="Z43" s="273"/>
      <c r="AA43" s="752"/>
    </row>
    <row r="44" spans="2:34" ht="15.75" customHeight="1" outlineLevel="2" thickBot="1" x14ac:dyDescent="0.45">
      <c r="B44" s="762"/>
      <c r="C44" s="5"/>
      <c r="D44" s="5"/>
      <c r="E44" s="708"/>
      <c r="F44" s="709"/>
      <c r="G44" s="771"/>
      <c r="H44" s="5"/>
      <c r="I44" s="772"/>
      <c r="J44" s="773" t="s">
        <v>18</v>
      </c>
      <c r="K44" s="774"/>
      <c r="L44" s="775" t="s">
        <v>778</v>
      </c>
      <c r="M44" s="776"/>
      <c r="N44" s="776"/>
      <c r="O44" s="776"/>
      <c r="P44" s="776"/>
      <c r="Q44" s="777"/>
      <c r="R44" s="776" t="s">
        <v>3</v>
      </c>
      <c r="S44" s="777"/>
      <c r="T44" s="3838" t="s">
        <v>779</v>
      </c>
      <c r="U44" s="3839"/>
      <c r="V44" s="3840"/>
      <c r="W44" s="780"/>
      <c r="Y44" s="781"/>
      <c r="Z44" s="781"/>
      <c r="AA44" s="752"/>
      <c r="AE44" s="8"/>
    </row>
    <row r="45" spans="2:34" ht="30.75" customHeight="1" outlineLevel="2" thickBot="1" x14ac:dyDescent="0.45">
      <c r="B45" s="762"/>
      <c r="C45" s="5"/>
      <c r="D45" s="782" t="s">
        <v>780</v>
      </c>
      <c r="E45" s="783" t="s">
        <v>1060</v>
      </c>
      <c r="F45" s="784" t="s">
        <v>1061</v>
      </c>
      <c r="G45" s="785" t="s">
        <v>782</v>
      </c>
      <c r="H45" s="786" t="s">
        <v>783</v>
      </c>
      <c r="I45" s="787" t="s">
        <v>784</v>
      </c>
      <c r="J45" s="788" t="s">
        <v>785</v>
      </c>
      <c r="K45" s="789" t="s">
        <v>783</v>
      </c>
      <c r="L45" s="788" t="s">
        <v>786</v>
      </c>
      <c r="M45" s="784" t="s">
        <v>787</v>
      </c>
      <c r="N45" s="784" t="s">
        <v>788</v>
      </c>
      <c r="O45" s="784" t="s">
        <v>789</v>
      </c>
      <c r="P45" s="784" t="s">
        <v>790</v>
      </c>
      <c r="Q45" s="790" t="s">
        <v>783</v>
      </c>
      <c r="R45" s="791" t="s">
        <v>785</v>
      </c>
      <c r="S45" s="792" t="s">
        <v>783</v>
      </c>
      <c r="T45" s="3599" t="s">
        <v>781</v>
      </c>
      <c r="U45" s="794" t="s">
        <v>791</v>
      </c>
      <c r="V45" s="789" t="s">
        <v>792</v>
      </c>
      <c r="W45" s="795"/>
      <c r="Y45" s="796"/>
      <c r="Z45" s="796"/>
      <c r="AA45" s="752"/>
      <c r="AE45" s="8"/>
    </row>
    <row r="46" spans="2:34" ht="15" customHeight="1" outlineLevel="2" x14ac:dyDescent="0.4">
      <c r="B46" s="762"/>
      <c r="C46" s="5"/>
      <c r="D46" s="3886" t="s">
        <v>1062</v>
      </c>
      <c r="E46" s="797" t="s">
        <v>1063</v>
      </c>
      <c r="F46" s="798"/>
      <c r="G46" s="799" t="s">
        <v>251</v>
      </c>
      <c r="H46" s="456">
        <f>MAX($S46,$Q46,$K46)</f>
        <v>0</v>
      </c>
      <c r="I46" s="800">
        <f>H46</f>
        <v>0</v>
      </c>
      <c r="J46" s="566" t="s">
        <v>557</v>
      </c>
      <c r="K46" s="621">
        <f>IF(G46="operation",VLOOKUP(J46,'Generic Vertical Port Tasks'!$C$4:$D$197,2,FALSE),"N/A")</f>
        <v>0</v>
      </c>
      <c r="L46" s="568"/>
      <c r="M46" s="566"/>
      <c r="N46" s="801"/>
      <c r="O46" s="802" t="str">
        <f>IFERROR(INDEX('Upper Hot Cell Logistics'!$I$35:$O$41,MATCH($M46,'Upper Hot Cell Logistics'!$H$35:$H$41,0),MATCH($N46,'Upper Hot Cell Logistics'!$H$35:$H$41,0)),"N/A")</f>
        <v>N/A</v>
      </c>
      <c r="P46" s="570" t="str">
        <f>IFERROR(VLOOKUP($L46,'Upper Hot Cell Logistics'!$H$4:$I$10,2,FALSE),"N/A")</f>
        <v>N/A</v>
      </c>
      <c r="Q46" s="800" t="str">
        <f t="shared" ref="Q46:Q109" si="6">IF(G46="Movement",IFERROR((O46/P46)/(60*60),"Error"),"N/A")</f>
        <v>N/A</v>
      </c>
      <c r="R46" s="803"/>
      <c r="S46" s="802" t="str">
        <f>IF($G46="Logistics",VLOOKUP($R46,'Upper Hot Cell Logistics'!$C$4:$D$44,2,FALSE),"N/A")</f>
        <v>N/A</v>
      </c>
      <c r="T46" s="454"/>
      <c r="U46" s="804" t="str">
        <f>IFERROR(VLOOKUP($T46,'Upper HotCell RecoveryLogisitcs'!$C$6:$F$111,4,FALSE),"N/A")</f>
        <v>N/A</v>
      </c>
      <c r="V46" s="805" t="str">
        <f>IFERROR(I46-H46-U46,"N/A")</f>
        <v>N/A</v>
      </c>
      <c r="W46" s="806"/>
      <c r="Y46" s="796"/>
      <c r="Z46" s="796"/>
      <c r="AA46" s="752"/>
      <c r="AE46" s="8"/>
    </row>
    <row r="47" spans="2:34" ht="15.75" customHeight="1" outlineLevel="2" thickBot="1" x14ac:dyDescent="0.45">
      <c r="B47" s="762"/>
      <c r="C47" s="5"/>
      <c r="D47" s="3887"/>
      <c r="E47" s="807" t="s">
        <v>1064</v>
      </c>
      <c r="F47" s="808"/>
      <c r="G47" s="809" t="s">
        <v>251</v>
      </c>
      <c r="H47" s="471">
        <v>3.45</v>
      </c>
      <c r="I47" s="810">
        <f t="shared" ref="I47:I110" si="7">IF(V47&lt;0,H47+I46+(-V47),H47+I46)</f>
        <v>3.45</v>
      </c>
      <c r="J47" s="584" t="s">
        <v>2491</v>
      </c>
      <c r="K47" s="811">
        <f>IF(G47="operation",VLOOKUP(J47,'Generic Vertical Port Tasks'!$C$4:$D$197,2,FALSE),"N/A")</f>
        <v>1.0499155317167692</v>
      </c>
      <c r="L47" s="586"/>
      <c r="M47" s="584"/>
      <c r="N47" s="812"/>
      <c r="O47" s="813" t="str">
        <f>IFERROR(INDEX('Upper Hot Cell Logistics'!$I$35:$O$41,MATCH($M47,'Upper Hot Cell Logistics'!$H$35:$H$41,0),MATCH($N47,'Upper Hot Cell Logistics'!$H$35:$H$41,0)),"N/A")</f>
        <v>N/A</v>
      </c>
      <c r="P47" s="814" t="str">
        <f>IFERROR(VLOOKUP($L47,'Upper Hot Cell Logistics'!$H$4:$I$10,2,FALSE),"N/A")</f>
        <v>N/A</v>
      </c>
      <c r="Q47" s="810" t="str">
        <f t="shared" si="6"/>
        <v>N/A</v>
      </c>
      <c r="R47" s="815"/>
      <c r="S47" s="813" t="s">
        <v>263</v>
      </c>
      <c r="T47" s="469"/>
      <c r="U47" s="816" t="str">
        <f>IFERROR(VLOOKUP($T47,'Upper HotCell RecoveryLogisitcs'!$C$6:$F$126,4,FALSE),"N/A")</f>
        <v>N/A</v>
      </c>
      <c r="V47" s="817" t="str">
        <f t="shared" ref="V47:V110" si="8">IFERROR(I46-U47,"N/A")</f>
        <v>N/A</v>
      </c>
      <c r="W47" s="806"/>
      <c r="Y47" s="273"/>
      <c r="Z47" s="273"/>
      <c r="AA47" s="752"/>
      <c r="AB47" s="5"/>
      <c r="AC47" s="7"/>
      <c r="AD47" s="7"/>
      <c r="AE47" s="7"/>
      <c r="AF47" s="7"/>
      <c r="AG47" s="7"/>
      <c r="AH47" s="7"/>
    </row>
    <row r="48" spans="2:34" ht="25.5" customHeight="1" outlineLevel="2" x14ac:dyDescent="0.4">
      <c r="B48" s="762"/>
      <c r="C48" s="5"/>
      <c r="D48" s="3888" t="s">
        <v>1065</v>
      </c>
      <c r="E48" s="818" t="s">
        <v>797</v>
      </c>
      <c r="F48" s="819"/>
      <c r="G48" s="820" t="s">
        <v>778</v>
      </c>
      <c r="H48" s="821">
        <f>MAX($R48,$P48,$J48)</f>
        <v>0.2</v>
      </c>
      <c r="I48" s="822">
        <f t="shared" si="7"/>
        <v>3.6500000000000004</v>
      </c>
      <c r="J48" s="823"/>
      <c r="K48" s="824" t="str">
        <f>IF(G48="operation",VLOOKUP(J48,'Generic Vertical Port Tasks'!$C$4:$D$197,2,FALSE),"N/A")</f>
        <v>N/A</v>
      </c>
      <c r="L48" s="825" t="s">
        <v>798</v>
      </c>
      <c r="M48" s="823" t="s">
        <v>799</v>
      </c>
      <c r="N48" s="826" t="s">
        <v>452</v>
      </c>
      <c r="O48" s="827">
        <f>IFERROR(INDEX('Upper Hot Cell Logistics'!$I$35:$O$41,MATCH($M48,'Upper Hot Cell Logistics'!$H$35:$H$41,0),MATCH($N48,'Upper Hot Cell Logistics'!$H$35:$H$41,0)),"N/A")</f>
        <v>50</v>
      </c>
      <c r="P48" s="828">
        <f>IFERROR(VLOOKUP($L48,'Upper Hot Cell Logistics'!$H$4:$I$10,2,FALSE),"N/A")</f>
        <v>0.2</v>
      </c>
      <c r="Q48" s="822">
        <f t="shared" si="6"/>
        <v>6.9444444444444448E-2</v>
      </c>
      <c r="R48" s="829"/>
      <c r="S48" s="827" t="str">
        <f>IF($F48="Logistics",VLOOKUP($Q48,'Upper Hot Cell Logistics'!$C$4:$D$44,2,FALSE),"N/A")</f>
        <v>N/A</v>
      </c>
      <c r="T48" s="3357" t="s">
        <v>1066</v>
      </c>
      <c r="U48" s="830">
        <f>IFERROR(VLOOKUP($T48,'Upper HotCell RecoveryLogisitcs'!$C$6:$F$126,4,FALSE),"N/A")</f>
        <v>1.4266666666666667</v>
      </c>
      <c r="V48" s="831">
        <f t="shared" si="8"/>
        <v>2.0233333333333334</v>
      </c>
      <c r="W48" s="806"/>
      <c r="Y48" s="273"/>
      <c r="Z48" s="273"/>
      <c r="AA48" s="752"/>
      <c r="AB48" s="5"/>
      <c r="AC48" s="7"/>
      <c r="AD48" s="7"/>
      <c r="AE48" s="7"/>
      <c r="AF48" s="7"/>
      <c r="AG48" s="7"/>
      <c r="AH48" s="7"/>
    </row>
    <row r="49" spans="2:34" ht="15.75" customHeight="1" outlineLevel="2" thickBot="1" x14ac:dyDescent="0.45">
      <c r="B49" s="762"/>
      <c r="C49" s="5"/>
      <c r="D49" s="3889"/>
      <c r="E49" s="832" t="s">
        <v>123</v>
      </c>
      <c r="F49" s="833"/>
      <c r="G49" s="834" t="s">
        <v>251</v>
      </c>
      <c r="H49" s="835">
        <f>MAX($R49,$P49,$J49)</f>
        <v>0</v>
      </c>
      <c r="I49" s="836">
        <f t="shared" si="7"/>
        <v>3.6500000000000004</v>
      </c>
      <c r="J49" s="837" t="s">
        <v>253</v>
      </c>
      <c r="K49" s="838">
        <f>IF(G49="operation",VLOOKUP(J49,'Generic Vertical Port Tasks'!$C$4:$D$197,2,FALSE),"N/A")</f>
        <v>0.72499999999999998</v>
      </c>
      <c r="L49" s="839"/>
      <c r="M49" s="837"/>
      <c r="N49" s="840"/>
      <c r="O49" s="841" t="str">
        <f>IFERROR(INDEX('Upper Hot Cell Logistics'!$I$35:$O$41,MATCH($M49,'Upper Hot Cell Logistics'!$H$35:$H$41,0),MATCH($N49,'Upper Hot Cell Logistics'!$H$35:$H$41,0)),"N/A")</f>
        <v>N/A</v>
      </c>
      <c r="P49" s="842" t="str">
        <f>IFERROR(VLOOKUP($L49,'Upper Hot Cell Logistics'!$H$4:$I$10,2,FALSE),"N/A")</f>
        <v>N/A</v>
      </c>
      <c r="Q49" s="836" t="str">
        <f t="shared" si="6"/>
        <v>N/A</v>
      </c>
      <c r="R49" s="843"/>
      <c r="S49" s="841" t="str">
        <f>IF($F49="Logistics",VLOOKUP($Q49,'Upper Hot Cell Logistics'!$C$4:$D$44,2,FALSE),"N/A")</f>
        <v>N/A</v>
      </c>
      <c r="T49" s="3358"/>
      <c r="U49" s="844" t="str">
        <f>IFERROR(VLOOKUP($T49,'Upper HotCell RecoveryLogisitcs'!$C$6:$F$126,4,FALSE),"N/A")</f>
        <v>N/A</v>
      </c>
      <c r="V49" s="845" t="str">
        <f t="shared" si="8"/>
        <v>N/A</v>
      </c>
      <c r="W49" s="806"/>
      <c r="Y49" s="273"/>
      <c r="Z49" s="273"/>
      <c r="AA49" s="752"/>
      <c r="AB49" s="5"/>
      <c r="AC49" s="7"/>
      <c r="AD49" s="7"/>
      <c r="AE49" s="7"/>
      <c r="AF49" s="7"/>
      <c r="AG49" s="7"/>
      <c r="AH49" s="7"/>
    </row>
    <row r="50" spans="2:34" ht="15" customHeight="1" outlineLevel="2" x14ac:dyDescent="0.4">
      <c r="B50" s="762"/>
      <c r="C50" s="5"/>
      <c r="D50" s="3886" t="s">
        <v>1067</v>
      </c>
      <c r="E50" s="797" t="s">
        <v>811</v>
      </c>
      <c r="F50" s="798"/>
      <c r="G50" s="799" t="s">
        <v>778</v>
      </c>
      <c r="H50" s="456">
        <v>0.20833333333333334</v>
      </c>
      <c r="I50" s="800">
        <f t="shared" si="7"/>
        <v>3.8583333333333338</v>
      </c>
      <c r="J50" s="566"/>
      <c r="K50" s="621" t="str">
        <f>IF(G50="operation",VLOOKUP(J50,'Generic Vertical Port Tasks'!$C$4:$D$197,2,FALSE),"N/A")</f>
        <v>N/A</v>
      </c>
      <c r="L50" s="568" t="s">
        <v>12</v>
      </c>
      <c r="M50" s="566" t="s">
        <v>816</v>
      </c>
      <c r="N50" s="801" t="s">
        <v>452</v>
      </c>
      <c r="O50" s="802">
        <f>IFERROR(INDEX('Upper Hot Cell Logistics'!$I$35:$O$41,MATCH($M50,'Upper Hot Cell Logistics'!$H$35:$H$41,0),MATCH($N50,'Upper Hot Cell Logistics'!$H$35:$H$41,0)),"N/A")</f>
        <v>15</v>
      </c>
      <c r="P50" s="570">
        <f>IFERROR(VLOOKUP($L50,'Upper Hot Cell Logistics'!$H$4:$I$10,2,FALSE),"N/A")</f>
        <v>0.02</v>
      </c>
      <c r="Q50" s="800">
        <f t="shared" si="6"/>
        <v>0.20833333333333334</v>
      </c>
      <c r="R50" s="803"/>
      <c r="S50" s="802" t="s">
        <v>263</v>
      </c>
      <c r="T50" s="454"/>
      <c r="U50" s="804" t="str">
        <f>IFERROR(VLOOKUP($T50,'Upper HotCell RecoveryLogisitcs'!$C$6:$F$126,4,FALSE),"N/A")</f>
        <v>N/A</v>
      </c>
      <c r="V50" s="805" t="str">
        <f t="shared" si="8"/>
        <v>N/A</v>
      </c>
      <c r="W50" s="806"/>
      <c r="Y50" s="273"/>
      <c r="Z50" s="273"/>
      <c r="AA50" s="752"/>
      <c r="AB50" s="290"/>
      <c r="AC50" s="290"/>
      <c r="AD50" s="290"/>
      <c r="AE50" s="7"/>
      <c r="AF50" s="7"/>
      <c r="AG50" s="7"/>
      <c r="AH50" s="7"/>
    </row>
    <row r="51" spans="2:34" ht="15" customHeight="1" outlineLevel="2" x14ac:dyDescent="0.4">
      <c r="B51" s="762"/>
      <c r="C51" s="5"/>
      <c r="D51" s="3890"/>
      <c r="E51" s="846" t="s">
        <v>19</v>
      </c>
      <c r="F51" s="847"/>
      <c r="G51" s="848" t="s">
        <v>251</v>
      </c>
      <c r="H51" s="464">
        <v>6.66</v>
      </c>
      <c r="I51" s="849">
        <f t="shared" si="7"/>
        <v>10.518333333333334</v>
      </c>
      <c r="J51" s="573" t="s">
        <v>252</v>
      </c>
      <c r="K51" s="850">
        <f>IF(G51="operation",VLOOKUP(J51,'Generic Vertical Port Tasks'!$C$4:$D$197,2,FALSE),"N/A")</f>
        <v>6.83</v>
      </c>
      <c r="L51" s="575"/>
      <c r="M51" s="573"/>
      <c r="N51" s="851"/>
      <c r="O51" s="852" t="str">
        <f>IFERROR(INDEX('Upper Hot Cell Logistics'!$I$35:$O$41,MATCH($M51,'Upper Hot Cell Logistics'!$H$35:$H$41,0),MATCH($N51,'Upper Hot Cell Logistics'!$H$35:$H$41,0)),"N/A")</f>
        <v>N/A</v>
      </c>
      <c r="P51" s="853" t="str">
        <f>IFERROR(VLOOKUP($L51,'Upper Hot Cell Logistics'!$H$4:$I$10,2,FALSE),"N/A")</f>
        <v>N/A</v>
      </c>
      <c r="Q51" s="849" t="str">
        <f t="shared" si="6"/>
        <v>N/A</v>
      </c>
      <c r="R51" s="854"/>
      <c r="S51" s="852" t="s">
        <v>263</v>
      </c>
      <c r="T51" s="462"/>
      <c r="U51" s="855" t="str">
        <f>IFERROR(VLOOKUP($T51,'Upper HotCell RecoveryLogisitcs'!$C$6:$F$126,4,FALSE),"N/A")</f>
        <v>N/A</v>
      </c>
      <c r="V51" s="856" t="str">
        <f t="shared" si="8"/>
        <v>N/A</v>
      </c>
      <c r="W51" s="806"/>
      <c r="Y51" s="273"/>
      <c r="Z51" s="273"/>
      <c r="AA51" s="752"/>
      <c r="AB51" s="290"/>
      <c r="AC51" s="290"/>
      <c r="AD51" s="290"/>
      <c r="AE51" s="7"/>
      <c r="AF51" s="7"/>
      <c r="AG51" s="7"/>
      <c r="AH51" s="7"/>
    </row>
    <row r="52" spans="2:34" ht="15" customHeight="1" outlineLevel="2" x14ac:dyDescent="0.4">
      <c r="B52" s="762"/>
      <c r="C52" s="5"/>
      <c r="D52" s="3890"/>
      <c r="E52" s="846" t="s">
        <v>820</v>
      </c>
      <c r="F52" s="847"/>
      <c r="G52" s="848" t="s">
        <v>778</v>
      </c>
      <c r="H52" s="464">
        <v>0.20833333333333334</v>
      </c>
      <c r="I52" s="849">
        <f t="shared" si="7"/>
        <v>10.726666666666668</v>
      </c>
      <c r="J52" s="573"/>
      <c r="K52" s="850" t="str">
        <f>IF(G52="operation",VLOOKUP(J52,'Generic Vertical Port Tasks'!$C$4:$D$197,2,FALSE),"N/A")</f>
        <v>N/A</v>
      </c>
      <c r="L52" s="575" t="s">
        <v>798</v>
      </c>
      <c r="M52" s="573" t="s">
        <v>816</v>
      </c>
      <c r="N52" s="851" t="s">
        <v>452</v>
      </c>
      <c r="O52" s="852">
        <f>IFERROR(INDEX('Upper Hot Cell Logistics'!$I$35:$O$41,MATCH($M52,'Upper Hot Cell Logistics'!$H$35:$H$41,0),MATCH($N52,'Upper Hot Cell Logistics'!$H$35:$H$41,0)),"N/A")</f>
        <v>15</v>
      </c>
      <c r="P52" s="853">
        <f>IFERROR(VLOOKUP($L52,'Upper Hot Cell Logistics'!$H$4:$I$10,2,FALSE),"N/A")</f>
        <v>0.2</v>
      </c>
      <c r="Q52" s="849">
        <f t="shared" si="6"/>
        <v>2.0833333333333332E-2</v>
      </c>
      <c r="R52" s="854"/>
      <c r="S52" s="852" t="s">
        <v>263</v>
      </c>
      <c r="T52" s="462"/>
      <c r="U52" s="855" t="str">
        <f>IFERROR(VLOOKUP($T52,'Upper HotCell RecoveryLogisitcs'!$C$6:$F$126,4,FALSE),"N/A")</f>
        <v>N/A</v>
      </c>
      <c r="V52" s="856" t="str">
        <f t="shared" si="8"/>
        <v>N/A</v>
      </c>
      <c r="W52" s="806"/>
      <c r="Y52" s="273"/>
      <c r="Z52" s="273"/>
      <c r="AA52" s="752"/>
      <c r="AB52" s="290"/>
      <c r="AC52" s="290"/>
      <c r="AD52" s="290"/>
      <c r="AE52" s="7"/>
      <c r="AF52" s="7"/>
      <c r="AG52" s="7"/>
      <c r="AH52" s="7"/>
    </row>
    <row r="53" spans="2:34" ht="15.75" customHeight="1" outlineLevel="2" thickBot="1" x14ac:dyDescent="0.45">
      <c r="B53" s="762"/>
      <c r="C53" s="5"/>
      <c r="D53" s="3887"/>
      <c r="E53" s="807" t="s">
        <v>17</v>
      </c>
      <c r="F53" s="808"/>
      <c r="G53" s="809" t="s">
        <v>251</v>
      </c>
      <c r="H53" s="471">
        <v>3.45</v>
      </c>
      <c r="I53" s="810">
        <f t="shared" si="7"/>
        <v>14.176666666666669</v>
      </c>
      <c r="J53" s="584" t="s">
        <v>2491</v>
      </c>
      <c r="K53" s="811">
        <f>IF(G53="operation",VLOOKUP(J53,'Generic Vertical Port Tasks'!$C$4:$D$197,2,FALSE),"N/A")</f>
        <v>1.0499155317167692</v>
      </c>
      <c r="L53" s="586"/>
      <c r="M53" s="584"/>
      <c r="N53" s="812"/>
      <c r="O53" s="813" t="str">
        <f>IFERROR(INDEX('Upper Hot Cell Logistics'!$I$35:$O$41,MATCH($M53,'Upper Hot Cell Logistics'!$H$35:$H$41,0),MATCH($N53,'Upper Hot Cell Logistics'!$H$35:$H$41,0)),"N/A")</f>
        <v>N/A</v>
      </c>
      <c r="P53" s="814" t="str">
        <f>IFERROR(VLOOKUP($L53,'Upper Hot Cell Logistics'!$H$4:$I$10,2,FALSE),"N/A")</f>
        <v>N/A</v>
      </c>
      <c r="Q53" s="810" t="str">
        <f t="shared" si="6"/>
        <v>N/A</v>
      </c>
      <c r="R53" s="815"/>
      <c r="S53" s="813" t="s">
        <v>263</v>
      </c>
      <c r="T53" s="469"/>
      <c r="U53" s="816" t="str">
        <f>IFERROR(VLOOKUP($T53,'Upper HotCell RecoveryLogisitcs'!$C$6:$F$126,4,FALSE),"N/A")</f>
        <v>N/A</v>
      </c>
      <c r="V53" s="817" t="str">
        <f t="shared" si="8"/>
        <v>N/A</v>
      </c>
      <c r="W53" s="806"/>
      <c r="Y53" s="273"/>
      <c r="Z53" s="273"/>
      <c r="AA53" s="752"/>
      <c r="AB53" s="290"/>
      <c r="AC53" s="290"/>
      <c r="AD53" s="290"/>
      <c r="AE53" s="7"/>
      <c r="AF53" s="7"/>
      <c r="AG53" s="7"/>
      <c r="AH53" s="7"/>
    </row>
    <row r="54" spans="2:34" ht="15" customHeight="1" outlineLevel="2" x14ac:dyDescent="0.4">
      <c r="B54" s="762"/>
      <c r="C54" s="5"/>
      <c r="D54" s="3888" t="s">
        <v>1068</v>
      </c>
      <c r="E54" s="818" t="s">
        <v>797</v>
      </c>
      <c r="F54" s="819"/>
      <c r="G54" s="820" t="s">
        <v>778</v>
      </c>
      <c r="H54" s="821">
        <v>0.69444444444444442</v>
      </c>
      <c r="I54" s="822">
        <f t="shared" si="7"/>
        <v>14.871111111111114</v>
      </c>
      <c r="J54" s="823"/>
      <c r="K54" s="824" t="str">
        <f>IF(G54="operation",VLOOKUP(J54,'Generic Vertical Port Tasks'!$C$4:$D$197,2,FALSE),"N/A")</f>
        <v>N/A</v>
      </c>
      <c r="L54" s="825" t="s">
        <v>798</v>
      </c>
      <c r="M54" s="823" t="s">
        <v>831</v>
      </c>
      <c r="N54" s="826" t="s">
        <v>452</v>
      </c>
      <c r="O54" s="827">
        <f>IFERROR(INDEX('Upper Hot Cell Logistics'!$I$35:$O$41,MATCH($M54,'Upper Hot Cell Logistics'!$H$35:$H$41,0),MATCH($N54,'Upper Hot Cell Logistics'!$H$35:$H$41,0)),"N/A")</f>
        <v>50</v>
      </c>
      <c r="P54" s="828">
        <f>IFERROR(VLOOKUP($L54,'Upper Hot Cell Logistics'!$H$4:$I$10,2,FALSE),"N/A")</f>
        <v>0.2</v>
      </c>
      <c r="Q54" s="822">
        <f t="shared" si="6"/>
        <v>6.9444444444444448E-2</v>
      </c>
      <c r="R54" s="829"/>
      <c r="S54" s="827" t="s">
        <v>263</v>
      </c>
      <c r="T54" s="3357"/>
      <c r="U54" s="830" t="str">
        <f>IFERROR(VLOOKUP($T54,'Upper HotCell RecoveryLogisitcs'!$C$6:$F$126,4,FALSE),"N/A")</f>
        <v>N/A</v>
      </c>
      <c r="V54" s="831" t="str">
        <f t="shared" si="8"/>
        <v>N/A</v>
      </c>
      <c r="W54" s="806"/>
      <c r="Y54" s="273"/>
      <c r="Z54" s="273"/>
      <c r="AA54" s="752"/>
      <c r="AB54" s="290"/>
      <c r="AC54" s="290"/>
      <c r="AD54" s="290"/>
      <c r="AE54" s="7"/>
      <c r="AF54" s="7"/>
      <c r="AG54" s="7"/>
      <c r="AH54" s="7"/>
    </row>
    <row r="55" spans="2:34" ht="15.75" customHeight="1" outlineLevel="2" thickBot="1" x14ac:dyDescent="0.45">
      <c r="B55" s="762"/>
      <c r="C55" s="5"/>
      <c r="D55" s="3889"/>
      <c r="E55" s="832" t="s">
        <v>125</v>
      </c>
      <c r="F55" s="833"/>
      <c r="G55" s="834" t="s">
        <v>251</v>
      </c>
      <c r="H55" s="835">
        <v>1.91</v>
      </c>
      <c r="I55" s="836">
        <f t="shared" si="7"/>
        <v>16.781111111111112</v>
      </c>
      <c r="J55" s="837" t="s">
        <v>253</v>
      </c>
      <c r="K55" s="838">
        <f>IF(G55="operation",VLOOKUP(J55,'Generic Vertical Port Tasks'!$C$4:$D$197,2,FALSE),"N/A")</f>
        <v>0.72499999999999998</v>
      </c>
      <c r="L55" s="839"/>
      <c r="M55" s="837"/>
      <c r="N55" s="840"/>
      <c r="O55" s="841" t="str">
        <f>IFERROR(INDEX('Upper Hot Cell Logistics'!$I$35:$O$41,MATCH($M55,'Upper Hot Cell Logistics'!$H$35:$H$41,0),MATCH($N55,'Upper Hot Cell Logistics'!$H$35:$H$41,0)),"N/A")</f>
        <v>N/A</v>
      </c>
      <c r="P55" s="842" t="str">
        <f>IFERROR(VLOOKUP($L55,'Upper Hot Cell Logistics'!$H$4:$I$10,2,FALSE),"N/A")</f>
        <v>N/A</v>
      </c>
      <c r="Q55" s="836" t="str">
        <f t="shared" si="6"/>
        <v>N/A</v>
      </c>
      <c r="R55" s="843"/>
      <c r="S55" s="841" t="s">
        <v>263</v>
      </c>
      <c r="T55" s="3358"/>
      <c r="U55" s="844" t="str">
        <f>IFERROR(VLOOKUP($T55,'Upper HotCell RecoveryLogisitcs'!$C$6:$F$126,4,FALSE),"N/A")</f>
        <v>N/A</v>
      </c>
      <c r="V55" s="845" t="str">
        <f t="shared" si="8"/>
        <v>N/A</v>
      </c>
      <c r="W55" s="806"/>
      <c r="Y55" s="273"/>
      <c r="Z55" s="273"/>
      <c r="AA55" s="752"/>
      <c r="AB55" s="5"/>
      <c r="AC55" s="7"/>
      <c r="AD55" s="7"/>
      <c r="AE55" s="7"/>
      <c r="AF55" s="7"/>
      <c r="AG55" s="7"/>
      <c r="AH55" s="7"/>
    </row>
    <row r="56" spans="2:34" ht="15" customHeight="1" outlineLevel="2" x14ac:dyDescent="0.4">
      <c r="B56" s="762"/>
      <c r="C56" s="5"/>
      <c r="D56" s="3886" t="s">
        <v>1069</v>
      </c>
      <c r="E56" s="797" t="s">
        <v>811</v>
      </c>
      <c r="F56" s="798"/>
      <c r="G56" s="799" t="s">
        <v>778</v>
      </c>
      <c r="H56" s="456">
        <v>0.20833333333333334</v>
      </c>
      <c r="I56" s="800">
        <f t="shared" si="7"/>
        <v>16.989444444444445</v>
      </c>
      <c r="J56" s="566"/>
      <c r="K56" s="621" t="str">
        <f>IF(G56="operation",VLOOKUP(J56,'Generic Vertical Port Tasks'!$C$4:$D$197,2,FALSE),"N/A")</f>
        <v>N/A</v>
      </c>
      <c r="L56" s="568" t="s">
        <v>12</v>
      </c>
      <c r="M56" s="566" t="s">
        <v>816</v>
      </c>
      <c r="N56" s="801" t="s">
        <v>452</v>
      </c>
      <c r="O56" s="802">
        <f>IFERROR(INDEX('Upper Hot Cell Logistics'!$I$35:$O$41,MATCH($M56,'Upper Hot Cell Logistics'!$H$35:$H$41,0),MATCH($N56,'Upper Hot Cell Logistics'!$H$35:$H$41,0)),"N/A")</f>
        <v>15</v>
      </c>
      <c r="P56" s="570">
        <f>IFERROR(VLOOKUP($L56,'Upper Hot Cell Logistics'!$H$4:$I$10,2,FALSE),"N/A")</f>
        <v>0.02</v>
      </c>
      <c r="Q56" s="800">
        <f t="shared" si="6"/>
        <v>0.20833333333333334</v>
      </c>
      <c r="R56" s="803"/>
      <c r="S56" s="802" t="s">
        <v>263</v>
      </c>
      <c r="T56" s="454"/>
      <c r="U56" s="804" t="str">
        <f>IFERROR(VLOOKUP($T56,'Upper HotCell RecoveryLogisitcs'!$C$6:$F$126,4,FALSE),"N/A")</f>
        <v>N/A</v>
      </c>
      <c r="V56" s="805" t="str">
        <f t="shared" si="8"/>
        <v>N/A</v>
      </c>
      <c r="W56" s="806"/>
      <c r="Y56" s="273"/>
      <c r="Z56" s="273"/>
      <c r="AA56" s="752"/>
      <c r="AB56" s="5"/>
      <c r="AC56" s="7"/>
      <c r="AD56" s="7"/>
      <c r="AE56" s="7"/>
      <c r="AF56" s="7"/>
      <c r="AG56" s="7"/>
      <c r="AH56" s="7"/>
    </row>
    <row r="57" spans="2:34" ht="15" customHeight="1" outlineLevel="2" x14ac:dyDescent="0.4">
      <c r="B57" s="762"/>
      <c r="C57" s="5"/>
      <c r="D57" s="3890"/>
      <c r="E57" s="846" t="s">
        <v>20</v>
      </c>
      <c r="F57" s="847"/>
      <c r="G57" s="848" t="s">
        <v>251</v>
      </c>
      <c r="H57" s="464">
        <v>6.66</v>
      </c>
      <c r="I57" s="849">
        <f t="shared" si="7"/>
        <v>23.649444444444445</v>
      </c>
      <c r="J57" s="573" t="s">
        <v>252</v>
      </c>
      <c r="K57" s="850">
        <f>IF(G57="operation",VLOOKUP(J57,'Generic Vertical Port Tasks'!$C$4:$D$197,2,FALSE),"N/A")</f>
        <v>6.83</v>
      </c>
      <c r="L57" s="575"/>
      <c r="M57" s="573"/>
      <c r="N57" s="851"/>
      <c r="O57" s="852" t="str">
        <f>IFERROR(INDEX('Upper Hot Cell Logistics'!$I$35:$O$41,MATCH($M57,'Upper Hot Cell Logistics'!$H$35:$H$41,0),MATCH($N57,'Upper Hot Cell Logistics'!$H$35:$H$41,0)),"N/A")</f>
        <v>N/A</v>
      </c>
      <c r="P57" s="853" t="str">
        <f>IFERROR(VLOOKUP($L57,'Upper Hot Cell Logistics'!$H$4:$I$10,2,FALSE),"N/A")</f>
        <v>N/A</v>
      </c>
      <c r="Q57" s="849" t="str">
        <f t="shared" si="6"/>
        <v>N/A</v>
      </c>
      <c r="R57" s="854"/>
      <c r="S57" s="852" t="s">
        <v>263</v>
      </c>
      <c r="T57" s="462"/>
      <c r="U57" s="855" t="str">
        <f>IFERROR(VLOOKUP($T57,'Upper HotCell RecoveryLogisitcs'!$C$6:$F$126,4,FALSE),"N/A")</f>
        <v>N/A</v>
      </c>
      <c r="V57" s="856" t="str">
        <f t="shared" si="8"/>
        <v>N/A</v>
      </c>
      <c r="W57" s="806"/>
      <c r="Y57" s="273"/>
      <c r="Z57" s="273"/>
      <c r="AA57" s="752"/>
      <c r="AB57" s="5"/>
      <c r="AC57" s="7"/>
      <c r="AD57" s="7"/>
      <c r="AE57" s="7"/>
      <c r="AF57" s="7"/>
      <c r="AG57" s="7"/>
      <c r="AH57" s="7"/>
    </row>
    <row r="58" spans="2:34" ht="15" customHeight="1" outlineLevel="2" x14ac:dyDescent="0.4">
      <c r="B58" s="762"/>
      <c r="C58" s="5"/>
      <c r="D58" s="3890"/>
      <c r="E58" s="846" t="s">
        <v>820</v>
      </c>
      <c r="F58" s="847"/>
      <c r="G58" s="848" t="s">
        <v>778</v>
      </c>
      <c r="H58" s="464">
        <v>0.20833333333333334</v>
      </c>
      <c r="I58" s="849">
        <f t="shared" si="7"/>
        <v>23.857777777777777</v>
      </c>
      <c r="J58" s="573"/>
      <c r="K58" s="850" t="str">
        <f>IF(G58="operation",VLOOKUP(J58,'Generic Vertical Port Tasks'!$C$4:$D$197,2,FALSE),"N/A")</f>
        <v>N/A</v>
      </c>
      <c r="L58" s="575" t="s">
        <v>798</v>
      </c>
      <c r="M58" s="573" t="s">
        <v>816</v>
      </c>
      <c r="N58" s="851" t="s">
        <v>452</v>
      </c>
      <c r="O58" s="852">
        <f>IFERROR(INDEX('Upper Hot Cell Logistics'!$I$35:$O$41,MATCH($M58,'Upper Hot Cell Logistics'!$H$35:$H$41,0),MATCH($N58,'Upper Hot Cell Logistics'!$H$35:$H$41,0)),"N/A")</f>
        <v>15</v>
      </c>
      <c r="P58" s="853">
        <f>IFERROR(VLOOKUP($L58,'Upper Hot Cell Logistics'!$H$4:$I$10,2,FALSE),"N/A")</f>
        <v>0.2</v>
      </c>
      <c r="Q58" s="849">
        <f t="shared" si="6"/>
        <v>2.0833333333333332E-2</v>
      </c>
      <c r="R58" s="854"/>
      <c r="S58" s="852" t="s">
        <v>263</v>
      </c>
      <c r="T58" s="462"/>
      <c r="U58" s="855" t="str">
        <f>IFERROR(VLOOKUP($T58,'Upper HotCell RecoveryLogisitcs'!$C$6:$F$126,4,FALSE),"N/A")</f>
        <v>N/A</v>
      </c>
      <c r="V58" s="856" t="str">
        <f t="shared" si="8"/>
        <v>N/A</v>
      </c>
      <c r="W58" s="806"/>
      <c r="Y58" s="273"/>
      <c r="Z58" s="273"/>
      <c r="AA58" s="752"/>
      <c r="AB58" s="5"/>
      <c r="AC58" s="7"/>
      <c r="AD58" s="7"/>
      <c r="AE58" s="7"/>
      <c r="AF58" s="7"/>
      <c r="AG58" s="7"/>
      <c r="AH58" s="7"/>
    </row>
    <row r="59" spans="2:34" ht="15.75" customHeight="1" outlineLevel="2" thickBot="1" x14ac:dyDescent="0.45">
      <c r="B59" s="762"/>
      <c r="C59" s="5"/>
      <c r="D59" s="3887"/>
      <c r="E59" s="807" t="s">
        <v>16</v>
      </c>
      <c r="F59" s="808"/>
      <c r="G59" s="809" t="s">
        <v>251</v>
      </c>
      <c r="H59" s="471">
        <v>3.45</v>
      </c>
      <c r="I59" s="810">
        <f t="shared" si="7"/>
        <v>27.307777777777776</v>
      </c>
      <c r="J59" s="584" t="s">
        <v>2491</v>
      </c>
      <c r="K59" s="811">
        <f>IF(G59="operation",VLOOKUP(J59,'Generic Vertical Port Tasks'!$C$4:$D$197,2,FALSE),"N/A")</f>
        <v>1.0499155317167692</v>
      </c>
      <c r="L59" s="586"/>
      <c r="M59" s="584"/>
      <c r="N59" s="812"/>
      <c r="O59" s="813" t="str">
        <f>IFERROR(INDEX('Upper Hot Cell Logistics'!$I$35:$O$41,MATCH($M59,'Upper Hot Cell Logistics'!$H$35:$H$41,0),MATCH($N59,'Upper Hot Cell Logistics'!$H$35:$H$41,0)),"N/A")</f>
        <v>N/A</v>
      </c>
      <c r="P59" s="814" t="str">
        <f>IFERROR(VLOOKUP($L59,'Upper Hot Cell Logistics'!$H$4:$I$10,2,FALSE),"N/A")</f>
        <v>N/A</v>
      </c>
      <c r="Q59" s="810" t="str">
        <f t="shared" si="6"/>
        <v>N/A</v>
      </c>
      <c r="R59" s="815"/>
      <c r="S59" s="813" t="s">
        <v>263</v>
      </c>
      <c r="T59" s="469"/>
      <c r="U59" s="816" t="str">
        <f>IFERROR(VLOOKUP($T59,'Upper HotCell RecoveryLogisitcs'!$C$6:$F$126,4,FALSE),"N/A")</f>
        <v>N/A</v>
      </c>
      <c r="V59" s="817" t="str">
        <f t="shared" si="8"/>
        <v>N/A</v>
      </c>
      <c r="W59" s="806"/>
      <c r="Y59" s="273"/>
      <c r="Z59" s="273"/>
      <c r="AA59" s="752"/>
      <c r="AB59" s="5"/>
      <c r="AC59" s="7"/>
      <c r="AD59" s="7"/>
      <c r="AE59" s="7"/>
      <c r="AF59" s="7"/>
      <c r="AG59" s="7"/>
      <c r="AH59" s="7"/>
    </row>
    <row r="60" spans="2:34" ht="15" customHeight="1" outlineLevel="2" x14ac:dyDescent="0.4">
      <c r="B60" s="762"/>
      <c r="C60" s="5"/>
      <c r="D60" s="3888" t="s">
        <v>1070</v>
      </c>
      <c r="E60" s="818" t="s">
        <v>797</v>
      </c>
      <c r="F60" s="819"/>
      <c r="G60" s="820" t="s">
        <v>778</v>
      </c>
      <c r="H60" s="821">
        <v>0.69444444444444442</v>
      </c>
      <c r="I60" s="822">
        <f t="shared" si="7"/>
        <v>28.002222222222219</v>
      </c>
      <c r="J60" s="823"/>
      <c r="K60" s="824" t="str">
        <f>IF(G60="operation",VLOOKUP(J60,'Generic Vertical Port Tasks'!$C$4:$D$197,2,FALSE),"N/A")</f>
        <v>N/A</v>
      </c>
      <c r="L60" s="825" t="s">
        <v>798</v>
      </c>
      <c r="M60" s="823" t="s">
        <v>831</v>
      </c>
      <c r="N60" s="826" t="s">
        <v>452</v>
      </c>
      <c r="O60" s="827">
        <f>IFERROR(INDEX('Upper Hot Cell Logistics'!$I$35:$O$41,MATCH($M60,'Upper Hot Cell Logistics'!$H$35:$H$41,0),MATCH($N60,'Upper Hot Cell Logistics'!$H$35:$H$41,0)),"N/A")</f>
        <v>50</v>
      </c>
      <c r="P60" s="828">
        <f>IFERROR(VLOOKUP($L60,'Upper Hot Cell Logistics'!$H$4:$I$10,2,FALSE),"N/A")</f>
        <v>0.2</v>
      </c>
      <c r="Q60" s="822">
        <f t="shared" si="6"/>
        <v>6.9444444444444448E-2</v>
      </c>
      <c r="R60" s="829"/>
      <c r="S60" s="827" t="s">
        <v>263</v>
      </c>
      <c r="T60" s="3357"/>
      <c r="U60" s="830" t="str">
        <f>IFERROR(VLOOKUP($T60,'Upper HotCell RecoveryLogisitcs'!$C$6:$F$126,4,FALSE),"N/A")</f>
        <v>N/A</v>
      </c>
      <c r="V60" s="831" t="str">
        <f t="shared" si="8"/>
        <v>N/A</v>
      </c>
      <c r="W60" s="806"/>
      <c r="Y60" s="273"/>
      <c r="Z60" s="273"/>
      <c r="AA60" s="752"/>
      <c r="AB60" s="5"/>
      <c r="AC60" s="7"/>
      <c r="AD60" s="7"/>
      <c r="AE60" s="7"/>
      <c r="AF60" s="7"/>
      <c r="AG60" s="7"/>
      <c r="AH60" s="7"/>
    </row>
    <row r="61" spans="2:34" ht="15.75" customHeight="1" outlineLevel="2" thickBot="1" x14ac:dyDescent="0.45">
      <c r="B61" s="762"/>
      <c r="C61" s="5"/>
      <c r="D61" s="3889"/>
      <c r="E61" s="832" t="s">
        <v>127</v>
      </c>
      <c r="F61" s="833"/>
      <c r="G61" s="834" t="s">
        <v>251</v>
      </c>
      <c r="H61" s="835">
        <v>1.91</v>
      </c>
      <c r="I61" s="836">
        <f t="shared" si="7"/>
        <v>29.912222222222219</v>
      </c>
      <c r="J61" s="837" t="s">
        <v>253</v>
      </c>
      <c r="K61" s="838">
        <f>IF(G61="operation",VLOOKUP(J61,'Generic Vertical Port Tasks'!$C$4:$D$197,2,FALSE),"N/A")</f>
        <v>0.72499999999999998</v>
      </c>
      <c r="L61" s="839"/>
      <c r="M61" s="837"/>
      <c r="N61" s="840"/>
      <c r="O61" s="841" t="str">
        <f>IFERROR(INDEX('Upper Hot Cell Logistics'!$I$35:$O$41,MATCH($M61,'Upper Hot Cell Logistics'!$H$35:$H$41,0),MATCH($N61,'Upper Hot Cell Logistics'!$H$35:$H$41,0)),"N/A")</f>
        <v>N/A</v>
      </c>
      <c r="P61" s="842" t="str">
        <f>IFERROR(VLOOKUP($L61,'Upper Hot Cell Logistics'!$H$4:$I$10,2,FALSE),"N/A")</f>
        <v>N/A</v>
      </c>
      <c r="Q61" s="836" t="str">
        <f t="shared" si="6"/>
        <v>N/A</v>
      </c>
      <c r="R61" s="843"/>
      <c r="S61" s="841" t="s">
        <v>263</v>
      </c>
      <c r="T61" s="3358"/>
      <c r="U61" s="844" t="str">
        <f>IFERROR(VLOOKUP($T61,'Upper HotCell RecoveryLogisitcs'!$C$6:$F$126,4,FALSE),"N/A")</f>
        <v>N/A</v>
      </c>
      <c r="V61" s="845" t="str">
        <f t="shared" si="8"/>
        <v>N/A</v>
      </c>
      <c r="W61" s="806"/>
      <c r="Y61" s="273"/>
      <c r="Z61" s="273"/>
      <c r="AA61" s="752"/>
      <c r="AB61" s="5"/>
      <c r="AC61" s="7"/>
      <c r="AD61" s="7"/>
      <c r="AE61" s="7"/>
      <c r="AF61" s="7"/>
      <c r="AG61" s="7"/>
      <c r="AH61" s="7"/>
    </row>
    <row r="62" spans="2:34" ht="15" customHeight="1" outlineLevel="2" x14ac:dyDescent="0.4">
      <c r="B62" s="762"/>
      <c r="C62" s="5"/>
      <c r="D62" s="3886" t="s">
        <v>1071</v>
      </c>
      <c r="E62" s="797" t="s">
        <v>811</v>
      </c>
      <c r="F62" s="798"/>
      <c r="G62" s="799" t="s">
        <v>778</v>
      </c>
      <c r="H62" s="456">
        <v>0.20833333333333334</v>
      </c>
      <c r="I62" s="800">
        <f t="shared" si="7"/>
        <v>30.120555555555551</v>
      </c>
      <c r="J62" s="566"/>
      <c r="K62" s="621" t="str">
        <f>IF(G62="operation",VLOOKUP(J62,'Generic Vertical Port Tasks'!$C$4:$D$197,2,FALSE),"N/A")</f>
        <v>N/A</v>
      </c>
      <c r="L62" s="568" t="s">
        <v>12</v>
      </c>
      <c r="M62" s="566" t="s">
        <v>816</v>
      </c>
      <c r="N62" s="801" t="s">
        <v>452</v>
      </c>
      <c r="O62" s="802">
        <f>IFERROR(INDEX('Upper Hot Cell Logistics'!$I$35:$O$41,MATCH($M62,'Upper Hot Cell Logistics'!$H$35:$H$41,0),MATCH($N62,'Upper Hot Cell Logistics'!$H$35:$H$41,0)),"N/A")</f>
        <v>15</v>
      </c>
      <c r="P62" s="570">
        <f>IFERROR(VLOOKUP($L62,'Upper Hot Cell Logistics'!$H$4:$I$10,2,FALSE),"N/A")</f>
        <v>0.02</v>
      </c>
      <c r="Q62" s="800">
        <f t="shared" si="6"/>
        <v>0.20833333333333334</v>
      </c>
      <c r="R62" s="803"/>
      <c r="S62" s="802" t="s">
        <v>263</v>
      </c>
      <c r="T62" s="454"/>
      <c r="U62" s="804" t="str">
        <f>IFERROR(VLOOKUP($T62,'Upper HotCell RecoveryLogisitcs'!$C$6:$F$126,4,FALSE),"N/A")</f>
        <v>N/A</v>
      </c>
      <c r="V62" s="805" t="str">
        <f t="shared" si="8"/>
        <v>N/A</v>
      </c>
      <c r="W62" s="806"/>
      <c r="Y62" s="273"/>
      <c r="Z62" s="273"/>
      <c r="AA62" s="752"/>
      <c r="AB62" s="5"/>
      <c r="AC62" s="7"/>
      <c r="AD62" s="7"/>
      <c r="AE62" s="7"/>
      <c r="AF62" s="7"/>
      <c r="AG62" s="7"/>
      <c r="AH62" s="7"/>
    </row>
    <row r="63" spans="2:34" ht="15" customHeight="1" outlineLevel="2" x14ac:dyDescent="0.4">
      <c r="B63" s="762"/>
      <c r="C63" s="5"/>
      <c r="D63" s="3890"/>
      <c r="E63" s="846" t="s">
        <v>21</v>
      </c>
      <c r="F63" s="847"/>
      <c r="G63" s="848" t="s">
        <v>251</v>
      </c>
      <c r="H63" s="464">
        <v>6.66</v>
      </c>
      <c r="I63" s="849">
        <f t="shared" si="7"/>
        <v>36.780555555555551</v>
      </c>
      <c r="J63" s="573" t="s">
        <v>252</v>
      </c>
      <c r="K63" s="850">
        <f>IF(G63="operation",VLOOKUP(J63,'Generic Vertical Port Tasks'!$C$4:$D$197,2,FALSE),"N/A")</f>
        <v>6.83</v>
      </c>
      <c r="L63" s="575"/>
      <c r="M63" s="573"/>
      <c r="N63" s="851"/>
      <c r="O63" s="852" t="str">
        <f>IFERROR(INDEX('Upper Hot Cell Logistics'!$I$35:$O$41,MATCH($M63,'Upper Hot Cell Logistics'!$H$35:$H$41,0),MATCH($N63,'Upper Hot Cell Logistics'!$H$35:$H$41,0)),"N/A")</f>
        <v>N/A</v>
      </c>
      <c r="P63" s="853" t="str">
        <f>IFERROR(VLOOKUP($L63,'Upper Hot Cell Logistics'!$H$4:$I$10,2,FALSE),"N/A")</f>
        <v>N/A</v>
      </c>
      <c r="Q63" s="849" t="str">
        <f t="shared" si="6"/>
        <v>N/A</v>
      </c>
      <c r="R63" s="854"/>
      <c r="S63" s="852" t="s">
        <v>263</v>
      </c>
      <c r="T63" s="462"/>
      <c r="U63" s="855" t="str">
        <f>IFERROR(VLOOKUP($T63,'Upper HotCell RecoveryLogisitcs'!$C$6:$F$126,4,FALSE),"N/A")</f>
        <v>N/A</v>
      </c>
      <c r="V63" s="856" t="str">
        <f t="shared" si="8"/>
        <v>N/A</v>
      </c>
      <c r="W63" s="806"/>
      <c r="Y63" s="273"/>
      <c r="Z63" s="273"/>
      <c r="AA63" s="752"/>
      <c r="AB63" s="290"/>
      <c r="AC63" s="290"/>
      <c r="AD63" s="290"/>
      <c r="AE63" s="7"/>
      <c r="AF63" s="7"/>
      <c r="AG63" s="7"/>
      <c r="AH63" s="7"/>
    </row>
    <row r="64" spans="2:34" ht="15" customHeight="1" outlineLevel="2" x14ac:dyDescent="0.4">
      <c r="B64" s="762"/>
      <c r="C64" s="5"/>
      <c r="D64" s="3890"/>
      <c r="E64" s="846" t="s">
        <v>820</v>
      </c>
      <c r="F64" s="847"/>
      <c r="G64" s="848" t="s">
        <v>778</v>
      </c>
      <c r="H64" s="464">
        <v>0.20833333333333334</v>
      </c>
      <c r="I64" s="849">
        <f t="shared" si="7"/>
        <v>36.988888888888887</v>
      </c>
      <c r="J64" s="573"/>
      <c r="K64" s="850" t="str">
        <f>IF(G64="operation",VLOOKUP(J64,'Generic Vertical Port Tasks'!$C$4:$D$197,2,FALSE),"N/A")</f>
        <v>N/A</v>
      </c>
      <c r="L64" s="575" t="s">
        <v>798</v>
      </c>
      <c r="M64" s="573" t="s">
        <v>816</v>
      </c>
      <c r="N64" s="851" t="s">
        <v>452</v>
      </c>
      <c r="O64" s="852">
        <f>IFERROR(INDEX('Upper Hot Cell Logistics'!$I$35:$O$41,MATCH($M64,'Upper Hot Cell Logistics'!$H$35:$H$41,0),MATCH($N64,'Upper Hot Cell Logistics'!$H$35:$H$41,0)),"N/A")</f>
        <v>15</v>
      </c>
      <c r="P64" s="853">
        <f>IFERROR(VLOOKUP($L64,'Upper Hot Cell Logistics'!$H$4:$I$10,2,FALSE),"N/A")</f>
        <v>0.2</v>
      </c>
      <c r="Q64" s="849">
        <f t="shared" si="6"/>
        <v>2.0833333333333332E-2</v>
      </c>
      <c r="R64" s="854"/>
      <c r="S64" s="852" t="s">
        <v>263</v>
      </c>
      <c r="T64" s="462"/>
      <c r="U64" s="855" t="str">
        <f>IFERROR(VLOOKUP($T64,'Upper HotCell RecoveryLogisitcs'!$C$6:$F$126,4,FALSE),"N/A")</f>
        <v>N/A</v>
      </c>
      <c r="V64" s="856" t="str">
        <f t="shared" si="8"/>
        <v>N/A</v>
      </c>
      <c r="W64" s="806"/>
      <c r="Y64" s="273"/>
      <c r="Z64" s="273"/>
      <c r="AA64" s="752"/>
      <c r="AB64" s="290"/>
      <c r="AC64" s="290"/>
      <c r="AD64" s="290"/>
      <c r="AE64" s="7"/>
      <c r="AF64" s="7"/>
      <c r="AG64" s="7"/>
      <c r="AH64" s="7"/>
    </row>
    <row r="65" spans="2:34" ht="15.75" customHeight="1" outlineLevel="2" thickBot="1" x14ac:dyDescent="0.45">
      <c r="B65" s="762"/>
      <c r="C65" s="5"/>
      <c r="D65" s="3887"/>
      <c r="E65" s="807" t="s">
        <v>15</v>
      </c>
      <c r="F65" s="808"/>
      <c r="G65" s="809" t="s">
        <v>251</v>
      </c>
      <c r="H65" s="471">
        <v>3.45</v>
      </c>
      <c r="I65" s="810">
        <f t="shared" si="7"/>
        <v>40.43888888888889</v>
      </c>
      <c r="J65" s="584" t="s">
        <v>2491</v>
      </c>
      <c r="K65" s="811">
        <f>IF(G65="operation",VLOOKUP(J65,'Generic Vertical Port Tasks'!$C$4:$D$197,2,FALSE),"N/A")</f>
        <v>1.0499155317167692</v>
      </c>
      <c r="L65" s="586"/>
      <c r="M65" s="584"/>
      <c r="N65" s="812"/>
      <c r="O65" s="813" t="str">
        <f>IFERROR(INDEX('Upper Hot Cell Logistics'!$I$35:$O$41,MATCH($M65,'Upper Hot Cell Logistics'!$H$35:$H$41,0),MATCH($N65,'Upper Hot Cell Logistics'!$H$35:$H$41,0)),"N/A")</f>
        <v>N/A</v>
      </c>
      <c r="P65" s="814" t="str">
        <f>IFERROR(VLOOKUP($L65,'Upper Hot Cell Logistics'!$H$4:$I$10,2,FALSE),"N/A")</f>
        <v>N/A</v>
      </c>
      <c r="Q65" s="810" t="str">
        <f t="shared" si="6"/>
        <v>N/A</v>
      </c>
      <c r="R65" s="815"/>
      <c r="S65" s="813" t="s">
        <v>263</v>
      </c>
      <c r="T65" s="469"/>
      <c r="U65" s="816" t="str">
        <f>IFERROR(VLOOKUP($T65,'Upper HotCell RecoveryLogisitcs'!$C$6:$F$126,4,FALSE),"N/A")</f>
        <v>N/A</v>
      </c>
      <c r="V65" s="817" t="str">
        <f t="shared" si="8"/>
        <v>N/A</v>
      </c>
      <c r="W65" s="806"/>
      <c r="Y65" s="273"/>
      <c r="Z65" s="273"/>
      <c r="AA65" s="752"/>
      <c r="AB65" s="290"/>
      <c r="AC65" s="290"/>
      <c r="AD65" s="290"/>
      <c r="AE65" s="7"/>
      <c r="AF65" s="7"/>
      <c r="AG65" s="7"/>
      <c r="AH65" s="7"/>
    </row>
    <row r="66" spans="2:34" ht="15" customHeight="1" outlineLevel="2" x14ac:dyDescent="0.4">
      <c r="B66" s="762"/>
      <c r="C66" s="5"/>
      <c r="D66" s="3888" t="s">
        <v>1072</v>
      </c>
      <c r="E66" s="818" t="s">
        <v>797</v>
      </c>
      <c r="F66" s="819"/>
      <c r="G66" s="820" t="s">
        <v>778</v>
      </c>
      <c r="H66" s="821">
        <v>0.69444444444444442</v>
      </c>
      <c r="I66" s="822">
        <f t="shared" si="7"/>
        <v>41.133333333333333</v>
      </c>
      <c r="J66" s="823"/>
      <c r="K66" s="824" t="str">
        <f>IF(G66="operation",VLOOKUP(J66,'Generic Vertical Port Tasks'!$C$4:$D$197,2,FALSE),"N/A")</f>
        <v>N/A</v>
      </c>
      <c r="L66" s="825" t="s">
        <v>798</v>
      </c>
      <c r="M66" s="823" t="s">
        <v>831</v>
      </c>
      <c r="N66" s="826" t="s">
        <v>452</v>
      </c>
      <c r="O66" s="827">
        <f>IFERROR(INDEX('Upper Hot Cell Logistics'!$I$35:$O$41,MATCH($M66,'Upper Hot Cell Logistics'!$H$35:$H$41,0),MATCH($N66,'Upper Hot Cell Logistics'!$H$35:$H$41,0)),"N/A")</f>
        <v>50</v>
      </c>
      <c r="P66" s="828">
        <f>IFERROR(VLOOKUP($L66,'Upper Hot Cell Logistics'!$H$4:$I$10,2,FALSE),"N/A")</f>
        <v>0.2</v>
      </c>
      <c r="Q66" s="822">
        <f t="shared" si="6"/>
        <v>6.9444444444444448E-2</v>
      </c>
      <c r="R66" s="829"/>
      <c r="S66" s="827" t="s">
        <v>263</v>
      </c>
      <c r="T66" s="3357"/>
      <c r="U66" s="830" t="str">
        <f>IFERROR(VLOOKUP($T66,'Upper HotCell RecoveryLogisitcs'!$C$6:$F$126,4,FALSE),"N/A")</f>
        <v>N/A</v>
      </c>
      <c r="V66" s="831" t="str">
        <f t="shared" si="8"/>
        <v>N/A</v>
      </c>
      <c r="W66" s="806"/>
      <c r="Y66" s="273"/>
      <c r="Z66" s="273"/>
      <c r="AA66" s="752"/>
      <c r="AB66" s="290"/>
      <c r="AC66" s="290"/>
      <c r="AD66" s="290"/>
      <c r="AE66" s="7"/>
      <c r="AF66" s="7"/>
      <c r="AG66" s="7"/>
      <c r="AH66" s="7"/>
    </row>
    <row r="67" spans="2:34" ht="15.75" customHeight="1" outlineLevel="2" thickBot="1" x14ac:dyDescent="0.45">
      <c r="B67" s="762"/>
      <c r="C67" s="5"/>
      <c r="D67" s="3889"/>
      <c r="E67" s="832" t="s">
        <v>129</v>
      </c>
      <c r="F67" s="833"/>
      <c r="G67" s="834" t="s">
        <v>251</v>
      </c>
      <c r="H67" s="835">
        <v>1.91</v>
      </c>
      <c r="I67" s="836">
        <f t="shared" si="7"/>
        <v>43.043333333333329</v>
      </c>
      <c r="J67" s="837" t="s">
        <v>253</v>
      </c>
      <c r="K67" s="838">
        <f>IF(G67="operation",VLOOKUP(J67,'Generic Vertical Port Tasks'!$C$4:$D$197,2,FALSE),"N/A")</f>
        <v>0.72499999999999998</v>
      </c>
      <c r="L67" s="839"/>
      <c r="M67" s="837"/>
      <c r="N67" s="840"/>
      <c r="O67" s="841" t="str">
        <f>IFERROR(INDEX('Upper Hot Cell Logistics'!$I$35:$O$41,MATCH($M67,'Upper Hot Cell Logistics'!$H$35:$H$41,0),MATCH($N67,'Upper Hot Cell Logistics'!$H$35:$H$41,0)),"N/A")</f>
        <v>N/A</v>
      </c>
      <c r="P67" s="842" t="str">
        <f>IFERROR(VLOOKUP($L67,'Upper Hot Cell Logistics'!$H$4:$I$10,2,FALSE),"N/A")</f>
        <v>N/A</v>
      </c>
      <c r="Q67" s="836" t="str">
        <f t="shared" si="6"/>
        <v>N/A</v>
      </c>
      <c r="R67" s="843"/>
      <c r="S67" s="841" t="s">
        <v>263</v>
      </c>
      <c r="T67" s="3358"/>
      <c r="U67" s="844" t="str">
        <f>IFERROR(VLOOKUP($T67,'Upper HotCell RecoveryLogisitcs'!$C$6:$F$126,4,FALSE),"N/A")</f>
        <v>N/A</v>
      </c>
      <c r="V67" s="845" t="str">
        <f t="shared" si="8"/>
        <v>N/A</v>
      </c>
      <c r="W67" s="806"/>
      <c r="Y67" s="273"/>
      <c r="Z67" s="273"/>
      <c r="AA67" s="752"/>
      <c r="AB67" s="290"/>
      <c r="AC67" s="290"/>
      <c r="AD67" s="290"/>
      <c r="AE67" s="7"/>
      <c r="AF67" s="7"/>
      <c r="AG67" s="7"/>
      <c r="AH67" s="7"/>
    </row>
    <row r="68" spans="2:34" ht="15" customHeight="1" outlineLevel="2" x14ac:dyDescent="0.4">
      <c r="B68" s="762"/>
      <c r="C68" s="5"/>
      <c r="D68" s="3886" t="s">
        <v>1073</v>
      </c>
      <c r="E68" s="797" t="s">
        <v>811</v>
      </c>
      <c r="F68" s="798"/>
      <c r="G68" s="799" t="s">
        <v>778</v>
      </c>
      <c r="H68" s="456">
        <v>0.20833333333333334</v>
      </c>
      <c r="I68" s="800">
        <f t="shared" si="7"/>
        <v>43.251666666666665</v>
      </c>
      <c r="J68" s="566"/>
      <c r="K68" s="621" t="str">
        <f>IF(G68="operation",VLOOKUP(J68,'Generic Vertical Port Tasks'!$C$4:$D$197,2,FALSE),"N/A")</f>
        <v>N/A</v>
      </c>
      <c r="L68" s="568" t="s">
        <v>12</v>
      </c>
      <c r="M68" s="566" t="s">
        <v>816</v>
      </c>
      <c r="N68" s="801" t="s">
        <v>452</v>
      </c>
      <c r="O68" s="802">
        <f>IFERROR(INDEX('Upper Hot Cell Logistics'!$I$35:$O$41,MATCH($M68,'Upper Hot Cell Logistics'!$H$35:$H$41,0),MATCH($N68,'Upper Hot Cell Logistics'!$H$35:$H$41,0)),"N/A")</f>
        <v>15</v>
      </c>
      <c r="P68" s="570">
        <f>IFERROR(VLOOKUP($L68,'Upper Hot Cell Logistics'!$H$4:$I$10,2,FALSE),"N/A")</f>
        <v>0.02</v>
      </c>
      <c r="Q68" s="800">
        <f t="shared" si="6"/>
        <v>0.20833333333333334</v>
      </c>
      <c r="R68" s="803"/>
      <c r="S68" s="802" t="s">
        <v>263</v>
      </c>
      <c r="T68" s="454"/>
      <c r="U68" s="804" t="str">
        <f>IFERROR(VLOOKUP($T68,'Upper HotCell RecoveryLogisitcs'!$C$6:$F$126,4,FALSE),"N/A")</f>
        <v>N/A</v>
      </c>
      <c r="V68" s="805" t="str">
        <f t="shared" si="8"/>
        <v>N/A</v>
      </c>
      <c r="W68" s="806"/>
      <c r="Y68" s="273"/>
      <c r="Z68" s="273"/>
      <c r="AA68" s="752"/>
      <c r="AB68" s="290"/>
      <c r="AC68" s="290"/>
      <c r="AD68" s="290"/>
      <c r="AE68" s="7"/>
      <c r="AF68" s="7"/>
      <c r="AG68" s="7"/>
      <c r="AH68" s="7"/>
    </row>
    <row r="69" spans="2:34" ht="15" customHeight="1" outlineLevel="2" x14ac:dyDescent="0.4">
      <c r="B69" s="762"/>
      <c r="C69" s="5"/>
      <c r="D69" s="3890"/>
      <c r="E69" s="846" t="s">
        <v>22</v>
      </c>
      <c r="F69" s="847"/>
      <c r="G69" s="848" t="s">
        <v>251</v>
      </c>
      <c r="H69" s="464">
        <v>6.66</v>
      </c>
      <c r="I69" s="849">
        <f t="shared" si="7"/>
        <v>49.911666666666662</v>
      </c>
      <c r="J69" s="573" t="s">
        <v>252</v>
      </c>
      <c r="K69" s="850">
        <f>IF(G69="operation",VLOOKUP(J69,'Generic Vertical Port Tasks'!$C$4:$D$197,2,FALSE),"N/A")</f>
        <v>6.83</v>
      </c>
      <c r="L69" s="575"/>
      <c r="M69" s="573"/>
      <c r="N69" s="851"/>
      <c r="O69" s="852" t="str">
        <f>IFERROR(INDEX('Upper Hot Cell Logistics'!$I$35:$O$41,MATCH($M69,'Upper Hot Cell Logistics'!$H$35:$H$41,0),MATCH($N69,'Upper Hot Cell Logistics'!$H$35:$H$41,0)),"N/A")</f>
        <v>N/A</v>
      </c>
      <c r="P69" s="853" t="str">
        <f>IFERROR(VLOOKUP($L69,'Upper Hot Cell Logistics'!$H$4:$I$10,2,FALSE),"N/A")</f>
        <v>N/A</v>
      </c>
      <c r="Q69" s="849" t="str">
        <f t="shared" si="6"/>
        <v>N/A</v>
      </c>
      <c r="R69" s="854"/>
      <c r="S69" s="852" t="s">
        <v>263</v>
      </c>
      <c r="T69" s="462"/>
      <c r="U69" s="855" t="str">
        <f>IFERROR(VLOOKUP($T69,'Upper HotCell RecoveryLogisitcs'!$C$6:$F$126,4,FALSE),"N/A")</f>
        <v>N/A</v>
      </c>
      <c r="V69" s="856" t="str">
        <f t="shared" si="8"/>
        <v>N/A</v>
      </c>
      <c r="W69" s="806"/>
      <c r="Y69" s="273"/>
      <c r="Z69" s="273"/>
      <c r="AA69" s="752"/>
      <c r="AB69" s="290"/>
      <c r="AC69" s="290"/>
      <c r="AD69" s="290"/>
      <c r="AE69" s="7"/>
      <c r="AF69" s="7"/>
      <c r="AG69" s="7"/>
      <c r="AH69" s="7"/>
    </row>
    <row r="70" spans="2:34" ht="15" customHeight="1" outlineLevel="2" x14ac:dyDescent="0.4">
      <c r="B70" s="762"/>
      <c r="C70" s="5"/>
      <c r="D70" s="3890"/>
      <c r="E70" s="846" t="s">
        <v>820</v>
      </c>
      <c r="F70" s="847"/>
      <c r="G70" s="848" t="s">
        <v>778</v>
      </c>
      <c r="H70" s="464">
        <v>0.20833333333333334</v>
      </c>
      <c r="I70" s="849">
        <f t="shared" si="7"/>
        <v>50.12</v>
      </c>
      <c r="J70" s="573"/>
      <c r="K70" s="850" t="str">
        <f>IF(G70="operation",VLOOKUP(J70,'Generic Vertical Port Tasks'!$C$4:$D$197,2,FALSE),"N/A")</f>
        <v>N/A</v>
      </c>
      <c r="L70" s="575" t="s">
        <v>798</v>
      </c>
      <c r="M70" s="573" t="s">
        <v>816</v>
      </c>
      <c r="N70" s="851" t="s">
        <v>452</v>
      </c>
      <c r="O70" s="852">
        <f>IFERROR(INDEX('Upper Hot Cell Logistics'!$I$35:$O$41,MATCH($M70,'Upper Hot Cell Logistics'!$H$35:$H$41,0),MATCH($N70,'Upper Hot Cell Logistics'!$H$35:$H$41,0)),"N/A")</f>
        <v>15</v>
      </c>
      <c r="P70" s="853">
        <f>IFERROR(VLOOKUP($L70,'Upper Hot Cell Logistics'!$H$4:$I$10,2,FALSE),"N/A")</f>
        <v>0.2</v>
      </c>
      <c r="Q70" s="849">
        <f t="shared" si="6"/>
        <v>2.0833333333333332E-2</v>
      </c>
      <c r="R70" s="854"/>
      <c r="S70" s="852" t="s">
        <v>263</v>
      </c>
      <c r="T70" s="462"/>
      <c r="U70" s="855" t="str">
        <f>IFERROR(VLOOKUP($T70,'Upper HotCell RecoveryLogisitcs'!$C$6:$F$126,4,FALSE),"N/A")</f>
        <v>N/A</v>
      </c>
      <c r="V70" s="856" t="str">
        <f t="shared" si="8"/>
        <v>N/A</v>
      </c>
      <c r="W70" s="806"/>
      <c r="Y70" s="273"/>
      <c r="Z70" s="273"/>
      <c r="AA70" s="752"/>
      <c r="AB70" s="290"/>
      <c r="AC70" s="290"/>
      <c r="AD70" s="290"/>
      <c r="AE70" s="7"/>
      <c r="AF70" s="7"/>
      <c r="AG70" s="7"/>
      <c r="AH70" s="7"/>
    </row>
    <row r="71" spans="2:34" ht="15.75" customHeight="1" outlineLevel="2" thickBot="1" x14ac:dyDescent="0.45">
      <c r="B71" s="762"/>
      <c r="C71" s="5"/>
      <c r="D71" s="3887"/>
      <c r="E71" s="807" t="s">
        <v>14</v>
      </c>
      <c r="F71" s="808"/>
      <c r="G71" s="809" t="s">
        <v>251</v>
      </c>
      <c r="H71" s="471">
        <v>3.45</v>
      </c>
      <c r="I71" s="810">
        <f t="shared" si="7"/>
        <v>53.57</v>
      </c>
      <c r="J71" s="584" t="s">
        <v>2491</v>
      </c>
      <c r="K71" s="811">
        <f>IF(G71="operation",VLOOKUP(J71,'Generic Vertical Port Tasks'!$C$4:$D$197,2,FALSE),"N/A")</f>
        <v>1.0499155317167692</v>
      </c>
      <c r="L71" s="586"/>
      <c r="M71" s="584"/>
      <c r="N71" s="812"/>
      <c r="O71" s="813" t="str">
        <f>IFERROR(INDEX('Upper Hot Cell Logistics'!$I$35:$O$41,MATCH($M71,'Upper Hot Cell Logistics'!$H$35:$H$41,0),MATCH($N71,'Upper Hot Cell Logistics'!$H$35:$H$41,0)),"N/A")</f>
        <v>N/A</v>
      </c>
      <c r="P71" s="814" t="str">
        <f>IFERROR(VLOOKUP($L71,'Upper Hot Cell Logistics'!$H$4:$I$10,2,FALSE),"N/A")</f>
        <v>N/A</v>
      </c>
      <c r="Q71" s="810" t="str">
        <f t="shared" si="6"/>
        <v>N/A</v>
      </c>
      <c r="R71" s="815"/>
      <c r="S71" s="813" t="s">
        <v>263</v>
      </c>
      <c r="T71" s="469"/>
      <c r="U71" s="816" t="str">
        <f>IFERROR(VLOOKUP($T71,'Upper HotCell RecoveryLogisitcs'!$C$6:$F$126,4,FALSE),"N/A")</f>
        <v>N/A</v>
      </c>
      <c r="V71" s="817" t="str">
        <f t="shared" si="8"/>
        <v>N/A</v>
      </c>
      <c r="W71" s="806"/>
      <c r="Y71" s="273"/>
      <c r="Z71" s="273"/>
      <c r="AA71" s="752"/>
      <c r="AB71" s="290"/>
      <c r="AC71" s="290"/>
      <c r="AD71" s="290"/>
      <c r="AE71" s="7"/>
      <c r="AF71" s="7"/>
      <c r="AG71" s="7"/>
      <c r="AH71" s="7"/>
    </row>
    <row r="72" spans="2:34" ht="15" customHeight="1" outlineLevel="2" x14ac:dyDescent="0.4">
      <c r="B72" s="762"/>
      <c r="C72" s="5"/>
      <c r="D72" s="3888" t="s">
        <v>1074</v>
      </c>
      <c r="E72" s="818" t="s">
        <v>797</v>
      </c>
      <c r="F72" s="819"/>
      <c r="G72" s="820" t="s">
        <v>778</v>
      </c>
      <c r="H72" s="821">
        <v>0.69444444444444442</v>
      </c>
      <c r="I72" s="822">
        <f t="shared" si="7"/>
        <v>54.264444444444443</v>
      </c>
      <c r="J72" s="823"/>
      <c r="K72" s="824" t="str">
        <f>IF(G72="operation",VLOOKUP(J72,'Generic Vertical Port Tasks'!$C$4:$D$197,2,FALSE),"N/A")</f>
        <v>N/A</v>
      </c>
      <c r="L72" s="825" t="s">
        <v>798</v>
      </c>
      <c r="M72" s="823" t="s">
        <v>831</v>
      </c>
      <c r="N72" s="826" t="s">
        <v>452</v>
      </c>
      <c r="O72" s="827">
        <f>IFERROR(INDEX('Upper Hot Cell Logistics'!$I$35:$O$41,MATCH($M72,'Upper Hot Cell Logistics'!$H$35:$H$41,0),MATCH($N72,'Upper Hot Cell Logistics'!$H$35:$H$41,0)),"N/A")</f>
        <v>50</v>
      </c>
      <c r="P72" s="828">
        <f>IFERROR(VLOOKUP($L72,'Upper Hot Cell Logistics'!$H$4:$I$10,2,FALSE),"N/A")</f>
        <v>0.2</v>
      </c>
      <c r="Q72" s="822">
        <f t="shared" si="6"/>
        <v>6.9444444444444448E-2</v>
      </c>
      <c r="R72" s="829"/>
      <c r="S72" s="827" t="s">
        <v>263</v>
      </c>
      <c r="T72" s="3357"/>
      <c r="U72" s="830" t="str">
        <f>IFERROR(VLOOKUP($T72,'Upper HotCell RecoveryLogisitcs'!$C$6:$F$126,4,FALSE),"N/A")</f>
        <v>N/A</v>
      </c>
      <c r="V72" s="831" t="str">
        <f t="shared" si="8"/>
        <v>N/A</v>
      </c>
      <c r="W72" s="806"/>
      <c r="Y72" s="273"/>
      <c r="Z72" s="273"/>
      <c r="AA72" s="752"/>
      <c r="AB72" s="290"/>
      <c r="AC72" s="290"/>
      <c r="AD72" s="290"/>
      <c r="AE72" s="7"/>
      <c r="AF72" s="7"/>
      <c r="AG72" s="7"/>
      <c r="AH72" s="7"/>
    </row>
    <row r="73" spans="2:34" ht="15.75" customHeight="1" outlineLevel="2" thickBot="1" x14ac:dyDescent="0.45">
      <c r="B73" s="762"/>
      <c r="C73" s="5"/>
      <c r="D73" s="3889"/>
      <c r="E73" s="832" t="s">
        <v>131</v>
      </c>
      <c r="F73" s="833"/>
      <c r="G73" s="834" t="s">
        <v>251</v>
      </c>
      <c r="H73" s="835">
        <v>1.91</v>
      </c>
      <c r="I73" s="836">
        <f t="shared" si="7"/>
        <v>56.17444444444444</v>
      </c>
      <c r="J73" s="837" t="s">
        <v>253</v>
      </c>
      <c r="K73" s="838">
        <f>IF(G73="operation",VLOOKUP(J73,'Generic Vertical Port Tasks'!$C$4:$D$197,2,FALSE),"N/A")</f>
        <v>0.72499999999999998</v>
      </c>
      <c r="L73" s="839"/>
      <c r="M73" s="837"/>
      <c r="N73" s="840"/>
      <c r="O73" s="841" t="str">
        <f>IFERROR(INDEX('Upper Hot Cell Logistics'!$I$35:$O$41,MATCH($M73,'Upper Hot Cell Logistics'!$H$35:$H$41,0),MATCH($N73,'Upper Hot Cell Logistics'!$H$35:$H$41,0)),"N/A")</f>
        <v>N/A</v>
      </c>
      <c r="P73" s="842" t="str">
        <f>IFERROR(VLOOKUP($L73,'Upper Hot Cell Logistics'!$H$4:$I$10,2,FALSE),"N/A")</f>
        <v>N/A</v>
      </c>
      <c r="Q73" s="836" t="str">
        <f t="shared" si="6"/>
        <v>N/A</v>
      </c>
      <c r="R73" s="843"/>
      <c r="S73" s="841" t="s">
        <v>263</v>
      </c>
      <c r="T73" s="3358"/>
      <c r="U73" s="844" t="str">
        <f>IFERROR(VLOOKUP($T73,'Upper HotCell RecoveryLogisitcs'!$C$6:$F$126,4,FALSE),"N/A")</f>
        <v>N/A</v>
      </c>
      <c r="V73" s="845" t="str">
        <f t="shared" si="8"/>
        <v>N/A</v>
      </c>
      <c r="W73" s="806"/>
      <c r="Y73" s="273"/>
      <c r="Z73" s="273"/>
      <c r="AA73" s="752"/>
      <c r="AB73" s="290"/>
      <c r="AC73" s="290"/>
      <c r="AD73" s="290"/>
      <c r="AE73" s="7"/>
      <c r="AF73" s="7"/>
      <c r="AG73" s="7"/>
      <c r="AH73" s="7"/>
    </row>
    <row r="74" spans="2:34" ht="15" customHeight="1" outlineLevel="2" x14ac:dyDescent="0.4">
      <c r="B74" s="762"/>
      <c r="C74" s="5"/>
      <c r="D74" s="4052" t="s">
        <v>1075</v>
      </c>
      <c r="E74" s="798" t="s">
        <v>1076</v>
      </c>
      <c r="F74" s="798"/>
      <c r="G74" s="799" t="s">
        <v>778</v>
      </c>
      <c r="H74" s="456">
        <v>1.91</v>
      </c>
      <c r="I74" s="800">
        <f t="shared" si="7"/>
        <v>58.084444444444436</v>
      </c>
      <c r="J74" s="566"/>
      <c r="K74" s="621" t="str">
        <f>IF(G74="operation",VLOOKUP(J74,'Generic Vertical Port Tasks'!$C$4:$D$197,2,FALSE),"N/A")</f>
        <v>N/A</v>
      </c>
      <c r="L74" s="568" t="s">
        <v>798</v>
      </c>
      <c r="M74" s="566" t="s">
        <v>799</v>
      </c>
      <c r="N74" s="801" t="s">
        <v>452</v>
      </c>
      <c r="O74" s="802">
        <f>IFERROR(INDEX('Upper Hot Cell Logistics'!$I$35:$O$41,MATCH($M74,'Upper Hot Cell Logistics'!$H$35:$H$41,0),MATCH($N74,'Upper Hot Cell Logistics'!$H$35:$H$41,0)),"N/A")</f>
        <v>50</v>
      </c>
      <c r="P74" s="570">
        <f>IFERROR(VLOOKUP($L74,'Upper Hot Cell Logistics'!$H$4:$I$10,2,FALSE),"N/A")</f>
        <v>0.2</v>
      </c>
      <c r="Q74" s="800">
        <f t="shared" si="6"/>
        <v>6.9444444444444448E-2</v>
      </c>
      <c r="R74" s="803"/>
      <c r="S74" s="802" t="str">
        <f>IF($G74="Logistics",VLOOKUP($R74,'Upper Hot Cell Logistics'!$C$4:$D$44,2,FALSE),"N/A")</f>
        <v>N/A</v>
      </c>
      <c r="T74" s="454" t="s">
        <v>1077</v>
      </c>
      <c r="U74" s="804">
        <f>IFERROR(VLOOKUP($T74,'Upper HotCell RecoveryLogisitcs'!$C$6:$F$126,4,FALSE),"N/A")</f>
        <v>55.538333333333327</v>
      </c>
      <c r="V74" s="805">
        <f t="shared" si="8"/>
        <v>0.63611111111111285</v>
      </c>
      <c r="W74" s="806"/>
      <c r="Y74" s="273"/>
      <c r="Z74" s="273"/>
      <c r="AA74" s="752"/>
      <c r="AB74" s="290"/>
      <c r="AC74" s="290"/>
      <c r="AD74" s="290"/>
      <c r="AE74" s="7"/>
      <c r="AF74" s="7"/>
      <c r="AG74" s="7"/>
      <c r="AH74" s="7"/>
    </row>
    <row r="75" spans="2:34" ht="15.75" customHeight="1" outlineLevel="2" thickBot="1" x14ac:dyDescent="0.45">
      <c r="B75" s="762"/>
      <c r="C75" s="5"/>
      <c r="D75" s="4053"/>
      <c r="E75" s="808" t="s">
        <v>122</v>
      </c>
      <c r="F75" s="808"/>
      <c r="G75" s="809" t="s">
        <v>251</v>
      </c>
      <c r="H75" s="467">
        <f>MAX($S75,$Q75,$K75)</f>
        <v>5.74</v>
      </c>
      <c r="I75" s="810">
        <f t="shared" si="7"/>
        <v>63.824444444444438</v>
      </c>
      <c r="J75" s="584" t="s">
        <v>254</v>
      </c>
      <c r="K75" s="811">
        <f>IF(G75="operation",VLOOKUP(J75,'Generic Vertical Port Tasks'!$C$4:$D$197,2,FALSE),"N/A")</f>
        <v>5.74</v>
      </c>
      <c r="L75" s="586"/>
      <c r="M75" s="584"/>
      <c r="N75" s="812"/>
      <c r="O75" s="813" t="str">
        <f>IFERROR(INDEX('Upper Hot Cell Logistics'!$I$35:$O$41,MATCH($M75,'Upper Hot Cell Logistics'!$H$35:$H$41,0),MATCH($N75,'Upper Hot Cell Logistics'!$H$35:$H$41,0)),"N/A")</f>
        <v>N/A</v>
      </c>
      <c r="P75" s="814" t="str">
        <f>IFERROR(VLOOKUP($L75,'Upper Hot Cell Logistics'!$H$4:$I$10,2,FALSE),"N/A")</f>
        <v>N/A</v>
      </c>
      <c r="Q75" s="810" t="str">
        <f t="shared" si="6"/>
        <v>N/A</v>
      </c>
      <c r="R75" s="815"/>
      <c r="S75" s="813" t="str">
        <f>IF($G75="Logistics",VLOOKUP($R75,'Upper Hot Cell Logistics'!$C$4:$D$44,2,FALSE),"N/A")</f>
        <v>N/A</v>
      </c>
      <c r="T75" s="469"/>
      <c r="U75" s="816" t="str">
        <f>IFERROR(VLOOKUP($T75,'Upper HotCell RecoveryLogisitcs'!$C$6:$F$126,4,FALSE),"N/A")</f>
        <v>N/A</v>
      </c>
      <c r="V75" s="817" t="str">
        <f t="shared" si="8"/>
        <v>N/A</v>
      </c>
      <c r="W75" s="806"/>
      <c r="Y75" s="273"/>
      <c r="Z75" s="273"/>
      <c r="AA75" s="752"/>
      <c r="AB75" s="5"/>
      <c r="AC75" s="7"/>
      <c r="AD75" s="7"/>
      <c r="AE75" s="7"/>
      <c r="AF75" s="7"/>
      <c r="AG75" s="7"/>
      <c r="AH75" s="7"/>
    </row>
    <row r="76" spans="2:34" ht="29.15" outlineLevel="2" x14ac:dyDescent="0.4">
      <c r="B76" s="762"/>
      <c r="C76" s="5"/>
      <c r="D76" s="3888" t="s">
        <v>1078</v>
      </c>
      <c r="E76" s="819" t="s">
        <v>797</v>
      </c>
      <c r="F76" s="819"/>
      <c r="G76" s="820" t="s">
        <v>778</v>
      </c>
      <c r="H76" s="511">
        <f t="shared" ref="H76:H123" si="9">MAX($S76,$Q76,$K76)</f>
        <v>6.9444444444444448E-2</v>
      </c>
      <c r="I76" s="822">
        <f t="shared" si="7"/>
        <v>63.893888888888881</v>
      </c>
      <c r="J76" s="823"/>
      <c r="K76" s="824" t="str">
        <f>IF(G76="operation",VLOOKUP(J76,'Generic Vertical Port Tasks'!$C$4:$D$197,2,FALSE),"N/A")</f>
        <v>N/A</v>
      </c>
      <c r="L76" s="825" t="s">
        <v>798</v>
      </c>
      <c r="M76" s="823" t="s">
        <v>799</v>
      </c>
      <c r="N76" s="826" t="s">
        <v>452</v>
      </c>
      <c r="O76" s="827">
        <f>IFERROR(INDEX('Upper Hot Cell Logistics'!$I$35:$O$41,MATCH($M76,'Upper Hot Cell Logistics'!$H$35:$H$41,0),MATCH($N76,'Upper Hot Cell Logistics'!$H$35:$H$41,0)),"N/A")</f>
        <v>50</v>
      </c>
      <c r="P76" s="828">
        <f>IFERROR(VLOOKUP($L76,'Upper Hot Cell Logistics'!$H$4:$I$10,2,FALSE),"N/A")</f>
        <v>0.2</v>
      </c>
      <c r="Q76" s="822">
        <f t="shared" si="6"/>
        <v>6.9444444444444448E-2</v>
      </c>
      <c r="R76" s="829"/>
      <c r="S76" s="827" t="str">
        <f>IF($E76="Logistics",VLOOKUP($P76,'Upper Hot Cell Logistics'!$C$4:$D$44,2,FALSE),"N/A")</f>
        <v>N/A</v>
      </c>
      <c r="T76" s="3357" t="s">
        <v>1079</v>
      </c>
      <c r="U76" s="830">
        <f>IFERROR(VLOOKUP($T76,'Upper HotCell RecoveryLogisitcs'!$C$6:$F$126,4,FALSE),"N/A")</f>
        <v>58.733888888888877</v>
      </c>
      <c r="V76" s="831">
        <f t="shared" si="8"/>
        <v>5.0905555555555608</v>
      </c>
      <c r="W76" s="806"/>
      <c r="Y76" s="273"/>
      <c r="Z76" s="273"/>
      <c r="AA76" s="752"/>
      <c r="AB76" s="5"/>
      <c r="AC76" s="7"/>
      <c r="AD76" s="7"/>
      <c r="AE76" s="7"/>
      <c r="AF76" s="7"/>
      <c r="AG76" s="7"/>
      <c r="AH76" s="7"/>
    </row>
    <row r="77" spans="2:34" ht="15" customHeight="1" outlineLevel="2" x14ac:dyDescent="0.4">
      <c r="B77" s="762"/>
      <c r="C77" s="5"/>
      <c r="D77" s="3773"/>
      <c r="E77" s="857" t="s">
        <v>135</v>
      </c>
      <c r="F77" s="857"/>
      <c r="G77" s="858" t="s">
        <v>251</v>
      </c>
      <c r="H77" s="474">
        <f t="shared" si="9"/>
        <v>5.74</v>
      </c>
      <c r="I77" s="859">
        <f t="shared" si="7"/>
        <v>69.633888888888876</v>
      </c>
      <c r="J77" s="860" t="s">
        <v>254</v>
      </c>
      <c r="K77" s="861">
        <f>IF(G77="operation",VLOOKUP(J77,'Generic Vertical Port Tasks'!$C$4:$D$197,2,FALSE),"N/A")</f>
        <v>5.74</v>
      </c>
      <c r="L77" s="862"/>
      <c r="M77" s="860"/>
      <c r="N77" s="863"/>
      <c r="O77" s="864" t="str">
        <f>IFERROR(INDEX('Upper Hot Cell Logistics'!$I$35:$O$41,MATCH($M77,'Upper Hot Cell Logistics'!$H$35:$H$41,0),MATCH($N77,'Upper Hot Cell Logistics'!$H$35:$H$41,0)),"N/A")</f>
        <v>N/A</v>
      </c>
      <c r="P77" s="865" t="str">
        <f>IFERROR(VLOOKUP($L77,'Upper Hot Cell Logistics'!$H$4:$I$10,2,FALSE),"N/A")</f>
        <v>N/A</v>
      </c>
      <c r="Q77" s="859" t="str">
        <f t="shared" si="6"/>
        <v>N/A</v>
      </c>
      <c r="R77" s="866"/>
      <c r="S77" s="864" t="str">
        <f>IF($E77="Logistics",VLOOKUP($P77,'Upper Hot Cell Logistics'!$C$4:$D$44,2,FALSE),"N/A")</f>
        <v>N/A</v>
      </c>
      <c r="T77" s="3569"/>
      <c r="U77" s="867" t="str">
        <f>IFERROR(VLOOKUP($T77,'Upper HotCell RecoveryLogisitcs'!$C$6:$F$126,4,FALSE),"N/A")</f>
        <v>N/A</v>
      </c>
      <c r="V77" s="868" t="str">
        <f t="shared" si="8"/>
        <v>N/A</v>
      </c>
      <c r="W77" s="806"/>
      <c r="Y77" s="273"/>
      <c r="Z77" s="273"/>
      <c r="AA77" s="752"/>
      <c r="AB77" s="5"/>
      <c r="AC77" s="7"/>
      <c r="AD77" s="7"/>
      <c r="AE77" s="7"/>
      <c r="AF77" s="7"/>
      <c r="AG77" s="7"/>
      <c r="AH77" s="7"/>
    </row>
    <row r="78" spans="2:34" ht="15" customHeight="1" outlineLevel="2" x14ac:dyDescent="0.4">
      <c r="B78" s="762"/>
      <c r="C78" s="5"/>
      <c r="D78" s="3773"/>
      <c r="E78" s="857" t="s">
        <v>820</v>
      </c>
      <c r="F78" s="857"/>
      <c r="G78" s="858" t="s">
        <v>778</v>
      </c>
      <c r="H78" s="474">
        <f t="shared" si="9"/>
        <v>6.9444444444444448E-2</v>
      </c>
      <c r="I78" s="859">
        <f t="shared" si="7"/>
        <v>69.703333333333319</v>
      </c>
      <c r="J78" s="860"/>
      <c r="K78" s="861" t="str">
        <f>IF(G78="operation",VLOOKUP(J78,'Generic Vertical Port Tasks'!$C$4:$D$197,2,FALSE),"N/A")</f>
        <v>N/A</v>
      </c>
      <c r="L78" s="862" t="s">
        <v>798</v>
      </c>
      <c r="M78" s="860" t="s">
        <v>831</v>
      </c>
      <c r="N78" s="863" t="s">
        <v>452</v>
      </c>
      <c r="O78" s="864">
        <f>IFERROR(INDEX('Upper Hot Cell Logistics'!$I$35:$O$41,MATCH($M78,'Upper Hot Cell Logistics'!$H$35:$H$41,0),MATCH($N78,'Upper Hot Cell Logistics'!$H$35:$H$41,0)),"N/A")</f>
        <v>50</v>
      </c>
      <c r="P78" s="865">
        <f>IFERROR(VLOOKUP($L78,'Upper Hot Cell Logistics'!$H$4:$I$10,2,FALSE),"N/A")</f>
        <v>0.2</v>
      </c>
      <c r="Q78" s="859">
        <f t="shared" si="6"/>
        <v>6.9444444444444448E-2</v>
      </c>
      <c r="R78" s="866"/>
      <c r="S78" s="864" t="str">
        <f>IF($E78="Logistics",VLOOKUP($P78,'Upper Hot Cell Logistics'!$C$4:$D$44,2,FALSE),"N/A")</f>
        <v>N/A</v>
      </c>
      <c r="T78" s="3569" t="s">
        <v>959</v>
      </c>
      <c r="U78" s="867">
        <f>IFERROR(VLOOKUP($T78,'Upper HotCell RecoveryLogisitcs'!$C$6:$F$126,4,FALSE),"N/A")</f>
        <v>65.098888888888879</v>
      </c>
      <c r="V78" s="868">
        <f t="shared" si="8"/>
        <v>4.5349999999999966</v>
      </c>
      <c r="W78" s="806"/>
      <c r="Y78" s="273"/>
      <c r="Z78" s="273"/>
      <c r="AA78" s="752"/>
      <c r="AB78" s="5"/>
      <c r="AC78" s="7"/>
      <c r="AD78" s="7"/>
      <c r="AE78" s="7"/>
      <c r="AF78" s="7"/>
      <c r="AG78" s="7"/>
      <c r="AH78" s="7"/>
    </row>
    <row r="79" spans="2:34" ht="15" customHeight="1" outlineLevel="2" x14ac:dyDescent="0.4">
      <c r="B79" s="762"/>
      <c r="C79" s="5"/>
      <c r="D79" s="3773"/>
      <c r="E79" s="857" t="s">
        <v>136</v>
      </c>
      <c r="F79" s="857"/>
      <c r="G79" s="858" t="s">
        <v>251</v>
      </c>
      <c r="H79" s="474">
        <f t="shared" si="9"/>
        <v>5.74</v>
      </c>
      <c r="I79" s="859">
        <f t="shared" si="7"/>
        <v>75.443333333333314</v>
      </c>
      <c r="J79" s="860" t="s">
        <v>254</v>
      </c>
      <c r="K79" s="861">
        <f>IF(G79="operation",VLOOKUP(J79,'Generic Vertical Port Tasks'!$C$4:$D$197,2,FALSE),"N/A")</f>
        <v>5.74</v>
      </c>
      <c r="L79" s="862"/>
      <c r="M79" s="860"/>
      <c r="N79" s="863"/>
      <c r="O79" s="864" t="str">
        <f>IFERROR(INDEX('Upper Hot Cell Logistics'!$I$35:$O$41,MATCH($M79,'Upper Hot Cell Logistics'!$H$35:$H$41,0),MATCH($N79,'Upper Hot Cell Logistics'!$H$35:$H$41,0)),"N/A")</f>
        <v>N/A</v>
      </c>
      <c r="P79" s="865" t="str">
        <f>IFERROR(VLOOKUP($L79,'Upper Hot Cell Logistics'!$H$4:$I$10,2,FALSE),"N/A")</f>
        <v>N/A</v>
      </c>
      <c r="Q79" s="859" t="str">
        <f t="shared" si="6"/>
        <v>N/A</v>
      </c>
      <c r="R79" s="866"/>
      <c r="S79" s="864" t="str">
        <f>IF($E79="Logistics",VLOOKUP($P79,'Upper Hot Cell Logistics'!$C$4:$D$44,2,FALSE),"N/A")</f>
        <v>N/A</v>
      </c>
      <c r="T79" s="3569"/>
      <c r="U79" s="867" t="str">
        <f>IFERROR(VLOOKUP($T79,'Upper HotCell RecoveryLogisitcs'!$C$6:$F$126,4,FALSE),"N/A")</f>
        <v>N/A</v>
      </c>
      <c r="V79" s="868" t="str">
        <f t="shared" si="8"/>
        <v>N/A</v>
      </c>
      <c r="W79" s="806"/>
      <c r="Y79" s="273"/>
      <c r="Z79" s="273"/>
      <c r="AA79" s="752"/>
      <c r="AB79" s="5"/>
      <c r="AC79" s="7"/>
      <c r="AD79" s="7"/>
      <c r="AE79" s="7"/>
      <c r="AF79" s="7"/>
      <c r="AG79" s="7"/>
      <c r="AH79" s="7"/>
    </row>
    <row r="80" spans="2:34" ht="15" customHeight="1" outlineLevel="2" x14ac:dyDescent="0.4">
      <c r="B80" s="762"/>
      <c r="C80" s="5"/>
      <c r="D80" s="3773"/>
      <c r="E80" s="857" t="s">
        <v>797</v>
      </c>
      <c r="F80" s="857"/>
      <c r="G80" s="858" t="s">
        <v>778</v>
      </c>
      <c r="H80" s="474">
        <f t="shared" si="9"/>
        <v>6.9444444444444448E-2</v>
      </c>
      <c r="I80" s="859">
        <f t="shared" si="7"/>
        <v>75.512777777777757</v>
      </c>
      <c r="J80" s="860"/>
      <c r="K80" s="861" t="str">
        <f>IF(G80="operation",VLOOKUP(J80,'Generic Vertical Port Tasks'!$C$4:$D$197,2,FALSE),"N/A")</f>
        <v>N/A</v>
      </c>
      <c r="L80" s="862" t="s">
        <v>798</v>
      </c>
      <c r="M80" s="860" t="s">
        <v>831</v>
      </c>
      <c r="N80" s="863" t="s">
        <v>452</v>
      </c>
      <c r="O80" s="864">
        <f>IFERROR(INDEX('Upper Hot Cell Logistics'!$I$35:$O$41,MATCH($M80,'Upper Hot Cell Logistics'!$H$35:$H$41,0),MATCH($N80,'Upper Hot Cell Logistics'!$H$35:$H$41,0)),"N/A")</f>
        <v>50</v>
      </c>
      <c r="P80" s="865">
        <f>IFERROR(VLOOKUP($L80,'Upper Hot Cell Logistics'!$H$4:$I$10,2,FALSE),"N/A")</f>
        <v>0.2</v>
      </c>
      <c r="Q80" s="859">
        <f t="shared" si="6"/>
        <v>6.9444444444444448E-2</v>
      </c>
      <c r="R80" s="866"/>
      <c r="S80" s="864" t="str">
        <f>IF($E80="Logistics",VLOOKUP($P80,'Upper Hot Cell Logistics'!$C$4:$D$44,2,FALSE),"N/A")</f>
        <v>N/A</v>
      </c>
      <c r="T80" s="3569" t="s">
        <v>961</v>
      </c>
      <c r="U80" s="867">
        <f>IFERROR(VLOOKUP($T80,'Upper HotCell RecoveryLogisitcs'!$C$6:$F$126,4,FALSE),"N/A")</f>
        <v>70.908333333333317</v>
      </c>
      <c r="V80" s="868">
        <f t="shared" si="8"/>
        <v>4.5349999999999966</v>
      </c>
      <c r="W80" s="806"/>
      <c r="Y80" s="273"/>
      <c r="Z80" s="273"/>
      <c r="AA80" s="752"/>
      <c r="AB80" s="5"/>
      <c r="AC80" s="7"/>
      <c r="AD80" s="7"/>
      <c r="AE80" s="7"/>
      <c r="AF80" s="7"/>
      <c r="AG80" s="7"/>
      <c r="AH80" s="7"/>
    </row>
    <row r="81" spans="2:34" ht="15" customHeight="1" outlineLevel="2" x14ac:dyDescent="0.4">
      <c r="B81" s="762"/>
      <c r="C81" s="5"/>
      <c r="D81" s="3773"/>
      <c r="E81" s="857" t="s">
        <v>138</v>
      </c>
      <c r="F81" s="857"/>
      <c r="G81" s="858" t="s">
        <v>251</v>
      </c>
      <c r="H81" s="474">
        <f t="shared" si="9"/>
        <v>5.74</v>
      </c>
      <c r="I81" s="859">
        <f t="shared" si="7"/>
        <v>81.252777777777752</v>
      </c>
      <c r="J81" s="860" t="s">
        <v>254</v>
      </c>
      <c r="K81" s="861">
        <f>IF(G81="operation",VLOOKUP(J81,'Generic Vertical Port Tasks'!$C$4:$D$197,2,FALSE),"N/A")</f>
        <v>5.74</v>
      </c>
      <c r="L81" s="862"/>
      <c r="M81" s="860"/>
      <c r="N81" s="863"/>
      <c r="O81" s="864" t="str">
        <f>IFERROR(INDEX('Upper Hot Cell Logistics'!$I$35:$O$41,MATCH($M81,'Upper Hot Cell Logistics'!$H$35:$H$41,0),MATCH($N81,'Upper Hot Cell Logistics'!$H$35:$H$41,0)),"N/A")</f>
        <v>N/A</v>
      </c>
      <c r="P81" s="865" t="str">
        <f>IFERROR(VLOOKUP($L81,'Upper Hot Cell Logistics'!$H$4:$I$10,2,FALSE),"N/A")</f>
        <v>N/A</v>
      </c>
      <c r="Q81" s="859" t="str">
        <f t="shared" si="6"/>
        <v>N/A</v>
      </c>
      <c r="R81" s="866"/>
      <c r="S81" s="864" t="str">
        <f>IF($E81="Logistics",VLOOKUP($P81,'Upper Hot Cell Logistics'!$C$4:$D$44,2,FALSE),"N/A")</f>
        <v>N/A</v>
      </c>
      <c r="T81" s="3569"/>
      <c r="U81" s="867" t="str">
        <f>IFERROR(VLOOKUP($T81,'Upper HotCell RecoveryLogisitcs'!$C$6:$F$126,4,FALSE),"N/A")</f>
        <v>N/A</v>
      </c>
      <c r="V81" s="868" t="str">
        <f t="shared" si="8"/>
        <v>N/A</v>
      </c>
      <c r="W81" s="806"/>
      <c r="Y81" s="273"/>
      <c r="Z81" s="273"/>
      <c r="AA81" s="752"/>
      <c r="AB81" s="5"/>
      <c r="AC81" s="7"/>
      <c r="AD81" s="7"/>
      <c r="AE81" s="7"/>
      <c r="AF81" s="7"/>
      <c r="AG81" s="7"/>
      <c r="AH81" s="7"/>
    </row>
    <row r="82" spans="2:34" ht="15" customHeight="1" outlineLevel="2" x14ac:dyDescent="0.4">
      <c r="B82" s="762"/>
      <c r="C82" s="5"/>
      <c r="D82" s="3773"/>
      <c r="E82" s="857" t="s">
        <v>820</v>
      </c>
      <c r="F82" s="857"/>
      <c r="G82" s="858" t="s">
        <v>778</v>
      </c>
      <c r="H82" s="474">
        <f t="shared" si="9"/>
        <v>6.9444444444444448E-2</v>
      </c>
      <c r="I82" s="859">
        <f t="shared" si="7"/>
        <v>81.322222222222194</v>
      </c>
      <c r="J82" s="860"/>
      <c r="K82" s="861" t="str">
        <f>IF(G82="operation",VLOOKUP(J82,'Generic Vertical Port Tasks'!$C$4:$D$197,2,FALSE),"N/A")</f>
        <v>N/A</v>
      </c>
      <c r="L82" s="862" t="s">
        <v>798</v>
      </c>
      <c r="M82" s="860" t="s">
        <v>831</v>
      </c>
      <c r="N82" s="863" t="s">
        <v>452</v>
      </c>
      <c r="O82" s="864">
        <f>IFERROR(INDEX('Upper Hot Cell Logistics'!$I$35:$O$41,MATCH($M82,'Upper Hot Cell Logistics'!$H$35:$H$41,0),MATCH($N82,'Upper Hot Cell Logistics'!$H$35:$H$41,0)),"N/A")</f>
        <v>50</v>
      </c>
      <c r="P82" s="865">
        <f>IFERROR(VLOOKUP($L82,'Upper Hot Cell Logistics'!$H$4:$I$10,2,FALSE),"N/A")</f>
        <v>0.2</v>
      </c>
      <c r="Q82" s="859">
        <f t="shared" si="6"/>
        <v>6.9444444444444448E-2</v>
      </c>
      <c r="R82" s="866"/>
      <c r="S82" s="864" t="str">
        <f>IF($E82="Logistics",VLOOKUP($P82,'Upper Hot Cell Logistics'!$C$4:$D$44,2,FALSE),"N/A")</f>
        <v>N/A</v>
      </c>
      <c r="T82" s="3569" t="s">
        <v>962</v>
      </c>
      <c r="U82" s="867">
        <f>IFERROR(VLOOKUP($T82,'Upper HotCell RecoveryLogisitcs'!$C$6:$F$126,4,FALSE),"N/A")</f>
        <v>76.717777777777755</v>
      </c>
      <c r="V82" s="868">
        <f t="shared" si="8"/>
        <v>4.5349999999999966</v>
      </c>
      <c r="W82" s="806"/>
      <c r="Y82" s="273"/>
      <c r="Z82" s="273"/>
      <c r="AA82" s="752"/>
      <c r="AB82" s="5"/>
      <c r="AC82" s="7"/>
      <c r="AD82" s="7"/>
      <c r="AE82" s="7"/>
      <c r="AF82" s="7"/>
      <c r="AG82" s="7"/>
      <c r="AH82" s="7"/>
    </row>
    <row r="83" spans="2:34" ht="15.75" customHeight="1" outlineLevel="2" thickBot="1" x14ac:dyDescent="0.45">
      <c r="B83" s="762"/>
      <c r="C83" s="5"/>
      <c r="D83" s="3889"/>
      <c r="E83" s="833" t="s">
        <v>140</v>
      </c>
      <c r="F83" s="833"/>
      <c r="G83" s="834" t="s">
        <v>251</v>
      </c>
      <c r="H83" s="869">
        <f t="shared" si="9"/>
        <v>5.74</v>
      </c>
      <c r="I83" s="836">
        <f t="shared" si="7"/>
        <v>87.062222222222189</v>
      </c>
      <c r="J83" s="837" t="s">
        <v>254</v>
      </c>
      <c r="K83" s="838">
        <f>IF(G83="operation",VLOOKUP(J83,'Generic Vertical Port Tasks'!$C$4:$D$197,2,FALSE),"N/A")</f>
        <v>5.74</v>
      </c>
      <c r="L83" s="839"/>
      <c r="M83" s="837"/>
      <c r="N83" s="840"/>
      <c r="O83" s="841" t="str">
        <f>IFERROR(INDEX('Upper Hot Cell Logistics'!$I$35:$O$41,MATCH($M83,'Upper Hot Cell Logistics'!$H$35:$H$41,0),MATCH($N83,'Upper Hot Cell Logistics'!$H$35:$H$41,0)),"N/A")</f>
        <v>N/A</v>
      </c>
      <c r="P83" s="842" t="str">
        <f>IFERROR(VLOOKUP($L83,'Upper Hot Cell Logistics'!$H$4:$I$10,2,FALSE),"N/A")</f>
        <v>N/A</v>
      </c>
      <c r="Q83" s="836" t="str">
        <f t="shared" si="6"/>
        <v>N/A</v>
      </c>
      <c r="R83" s="843"/>
      <c r="S83" s="841" t="str">
        <f>IF($E83="Logistics",VLOOKUP($P83,'Upper Hot Cell Logistics'!$C$4:$D$44,2,FALSE),"N/A")</f>
        <v>N/A</v>
      </c>
      <c r="T83" s="3358"/>
      <c r="U83" s="844" t="str">
        <f>IFERROR(VLOOKUP($T83,'Upper HotCell RecoveryLogisitcs'!$C$6:$F$126,4,FALSE),"N/A")</f>
        <v>N/A</v>
      </c>
      <c r="V83" s="845" t="str">
        <f t="shared" si="8"/>
        <v>N/A</v>
      </c>
      <c r="W83" s="806"/>
      <c r="Y83" s="273"/>
      <c r="Z83" s="273"/>
      <c r="AA83" s="752"/>
      <c r="AB83" s="5"/>
      <c r="AC83" s="7"/>
      <c r="AD83" s="7"/>
      <c r="AE83" s="7"/>
      <c r="AF83" s="7"/>
      <c r="AG83" s="7"/>
      <c r="AH83" s="7"/>
    </row>
    <row r="84" spans="2:34" ht="15" customHeight="1" outlineLevel="2" x14ac:dyDescent="0.4">
      <c r="B84" s="762"/>
      <c r="C84" s="5"/>
      <c r="D84" s="3886" t="s">
        <v>1080</v>
      </c>
      <c r="E84" s="519" t="s">
        <v>797</v>
      </c>
      <c r="F84" s="870"/>
      <c r="G84" s="871" t="s">
        <v>778</v>
      </c>
      <c r="H84" s="390">
        <f t="shared" si="9"/>
        <v>6.9444444444444448E-2</v>
      </c>
      <c r="I84" s="385">
        <f t="shared" si="7"/>
        <v>87.131666666666632</v>
      </c>
      <c r="J84" s="872"/>
      <c r="K84" s="385" t="str">
        <f>IF(G84="operation",VLOOKUP(J84,'Generic Vertical Port Tasks'!$C$4:$D$197,2,FALSE),"N/A")</f>
        <v>N/A</v>
      </c>
      <c r="L84" s="573" t="s">
        <v>798</v>
      </c>
      <c r="M84" s="573" t="s">
        <v>799</v>
      </c>
      <c r="N84" s="851" t="s">
        <v>452</v>
      </c>
      <c r="O84" s="387">
        <f>IFERROR(INDEX('Upper Hot Cell Logistics'!$I$35:$O$41,MATCH($M84,'Upper Hot Cell Logistics'!$H$35:$H$41,0),MATCH($N84,'Upper Hot Cell Logistics'!$H$35:$H$41,0)),"N/A")</f>
        <v>50</v>
      </c>
      <c r="P84" s="387">
        <f>IFERROR(VLOOKUP($L84,'Upper Hot Cell Logistics'!$H$4:$I$10,2,FALSE),"N/A")</f>
        <v>0.2</v>
      </c>
      <c r="Q84" s="873">
        <f t="shared" si="6"/>
        <v>6.9444444444444448E-2</v>
      </c>
      <c r="R84" s="388"/>
      <c r="S84" s="389" t="str">
        <f>IF($E84="Logistics",VLOOKUP($P84,'Upper Hot Cell Logistics'!$C$4:$D$44,2,FALSE),"N/A")</f>
        <v>N/A</v>
      </c>
      <c r="T84" s="3600" t="s">
        <v>1081</v>
      </c>
      <c r="U84" s="390">
        <f>IFERROR(VLOOKUP($T84,'Upper HotCell RecoveryLogisitcs'!$C$6:$F$126,4,FALSE),"N/A")</f>
        <v>82.527222222222193</v>
      </c>
      <c r="V84" s="874">
        <f t="shared" si="8"/>
        <v>4.5349999999999966</v>
      </c>
      <c r="W84" s="875"/>
      <c r="Y84" s="273"/>
      <c r="Z84" s="273"/>
      <c r="AA84" s="752"/>
      <c r="AB84" s="5"/>
      <c r="AC84" s="7"/>
      <c r="AD84" s="7"/>
      <c r="AE84" s="7"/>
      <c r="AF84" s="7"/>
      <c r="AG84" s="7"/>
      <c r="AH84" s="7"/>
    </row>
    <row r="85" spans="2:34" ht="15" customHeight="1" outlineLevel="2" x14ac:dyDescent="0.4">
      <c r="B85" s="762"/>
      <c r="C85" s="5"/>
      <c r="D85" s="3890"/>
      <c r="E85" s="519" t="s">
        <v>141</v>
      </c>
      <c r="F85" s="847"/>
      <c r="G85" s="871" t="s">
        <v>251</v>
      </c>
      <c r="H85" s="390">
        <f t="shared" si="9"/>
        <v>4.33</v>
      </c>
      <c r="I85" s="385">
        <f t="shared" si="7"/>
        <v>91.46166666666663</v>
      </c>
      <c r="J85" s="872" t="s">
        <v>256</v>
      </c>
      <c r="K85" s="385">
        <f>IF(G85="operation",VLOOKUP(J85,'Generic Vertical Port Tasks'!$C$4:$D$197,2,FALSE),"N/A")</f>
        <v>4.33</v>
      </c>
      <c r="L85" s="876"/>
      <c r="M85" s="877"/>
      <c r="N85" s="878"/>
      <c r="O85" s="387" t="str">
        <f>IFERROR(INDEX('Upper Hot Cell Logistics'!$I$35:$O$41,MATCH($M85,'Upper Hot Cell Logistics'!$H$35:$H$41,0),MATCH($N85,'Upper Hot Cell Logistics'!$H$35:$H$41,0)),"N/A")</f>
        <v>N/A</v>
      </c>
      <c r="P85" s="387" t="str">
        <f>IFERROR(VLOOKUP($L85,'Upper Hot Cell Logistics'!$H$4:$I$10,2,FALSE),"N/A")</f>
        <v>N/A</v>
      </c>
      <c r="Q85" s="873" t="str">
        <f t="shared" si="6"/>
        <v>N/A</v>
      </c>
      <c r="R85" s="388"/>
      <c r="S85" s="389" t="str">
        <f>IF($E85="Logistics",VLOOKUP($P85,'Upper Hot Cell Logistics'!$C$4:$D$44,2,FALSE),"N/A")</f>
        <v>N/A</v>
      </c>
      <c r="T85" s="3600"/>
      <c r="U85" s="390" t="str">
        <f>IFERROR(VLOOKUP($T85,'Upper HotCell RecoveryLogisitcs'!$C$6:$F$126,4,FALSE),"N/A")</f>
        <v>N/A</v>
      </c>
      <c r="V85" s="874" t="str">
        <f t="shared" si="8"/>
        <v>N/A</v>
      </c>
      <c r="W85" s="875"/>
      <c r="Y85" s="273"/>
      <c r="Z85" s="273"/>
      <c r="AA85" s="752"/>
      <c r="AB85" s="5"/>
      <c r="AC85" s="7"/>
      <c r="AD85" s="7"/>
      <c r="AE85" s="7"/>
      <c r="AF85" s="7"/>
      <c r="AG85" s="7"/>
      <c r="AH85" s="7"/>
    </row>
    <row r="86" spans="2:34" ht="15" customHeight="1" outlineLevel="2" x14ac:dyDescent="0.4">
      <c r="B86" s="762"/>
      <c r="C86" s="5"/>
      <c r="D86" s="3890"/>
      <c r="E86" s="519" t="s">
        <v>860</v>
      </c>
      <c r="F86" s="847"/>
      <c r="G86" s="871" t="s">
        <v>778</v>
      </c>
      <c r="H86" s="390">
        <f t="shared" si="9"/>
        <v>6.9444444444444448E-2</v>
      </c>
      <c r="I86" s="385">
        <f t="shared" si="7"/>
        <v>91.531111111111073</v>
      </c>
      <c r="J86" s="872"/>
      <c r="K86" s="385" t="str">
        <f>IF(G86="operation",VLOOKUP(J86,'Generic Vertical Port Tasks'!$C$4:$D$197,2,FALSE),"N/A")</f>
        <v>N/A</v>
      </c>
      <c r="L86" s="573" t="s">
        <v>798</v>
      </c>
      <c r="M86" s="573" t="s">
        <v>799</v>
      </c>
      <c r="N86" s="851" t="s">
        <v>452</v>
      </c>
      <c r="O86" s="387">
        <f>IFERROR(INDEX('Upper Hot Cell Logistics'!$I$35:$O$41,MATCH($M86,'Upper Hot Cell Logistics'!$H$35:$H$41,0),MATCH($N86,'Upper Hot Cell Logistics'!$H$35:$H$41,0)),"N/A")</f>
        <v>50</v>
      </c>
      <c r="P86" s="387">
        <f>IFERROR(VLOOKUP($L86,'Upper Hot Cell Logistics'!$H$4:$I$10,2,FALSE),"N/A")</f>
        <v>0.2</v>
      </c>
      <c r="Q86" s="873">
        <f t="shared" si="6"/>
        <v>6.9444444444444448E-2</v>
      </c>
      <c r="R86" s="388"/>
      <c r="S86" s="389" t="str">
        <f>IF($E86="Logistics",VLOOKUP($P86,'Upper Hot Cell Logistics'!$C$4:$D$44,2,FALSE),"N/A")</f>
        <v>N/A</v>
      </c>
      <c r="T86" s="3600" t="s">
        <v>1082</v>
      </c>
      <c r="U86" s="390">
        <f>IFERROR(VLOOKUP($T86,'Upper HotCell RecoveryLogisitcs'!$C$6:$F$126,4,FALSE),"N/A")</f>
        <v>89.130555555555517</v>
      </c>
      <c r="V86" s="874">
        <f t="shared" si="8"/>
        <v>2.3311111111111131</v>
      </c>
      <c r="W86" s="875"/>
      <c r="Y86" s="273"/>
      <c r="Z86" s="273"/>
      <c r="AA86" s="752"/>
      <c r="AB86" s="5"/>
      <c r="AC86" s="7"/>
      <c r="AD86" s="7"/>
      <c r="AE86" s="7"/>
      <c r="AF86" s="7"/>
      <c r="AG86" s="7"/>
      <c r="AH86" s="7"/>
    </row>
    <row r="87" spans="2:34" ht="15" customHeight="1" outlineLevel="2" x14ac:dyDescent="0.4">
      <c r="B87" s="762"/>
      <c r="C87" s="5"/>
      <c r="D87" s="3890"/>
      <c r="E87" s="519" t="s">
        <v>139</v>
      </c>
      <c r="F87" s="847"/>
      <c r="G87" s="871" t="s">
        <v>251</v>
      </c>
      <c r="H87" s="390">
        <f t="shared" si="9"/>
        <v>4.33</v>
      </c>
      <c r="I87" s="385">
        <f t="shared" si="7"/>
        <v>95.861111111111072</v>
      </c>
      <c r="J87" s="872" t="s">
        <v>256</v>
      </c>
      <c r="K87" s="385">
        <f>IF(G87="operation",VLOOKUP(J87,'Generic Vertical Port Tasks'!$C$4:$D$197,2,FALSE),"N/A")</f>
        <v>4.33</v>
      </c>
      <c r="L87" s="879"/>
      <c r="M87" s="880"/>
      <c r="N87" s="881"/>
      <c r="O87" s="387" t="str">
        <f>IFERROR(INDEX('Upper Hot Cell Logistics'!$I$35:$O$41,MATCH($M87,'Upper Hot Cell Logistics'!$H$35:$H$41,0),MATCH($N87,'Upper Hot Cell Logistics'!$H$35:$H$41,0)),"N/A")</f>
        <v>N/A</v>
      </c>
      <c r="P87" s="387" t="str">
        <f>IFERROR(VLOOKUP($L87,'Upper Hot Cell Logistics'!$H$4:$I$10,2,FALSE),"N/A")</f>
        <v>N/A</v>
      </c>
      <c r="Q87" s="873" t="str">
        <f t="shared" si="6"/>
        <v>N/A</v>
      </c>
      <c r="R87" s="388"/>
      <c r="S87" s="389" t="str">
        <f>IF($E87="Logistics",VLOOKUP($P87,'Upper Hot Cell Logistics'!$C$4:$D$44,2,FALSE),"N/A")</f>
        <v>N/A</v>
      </c>
      <c r="T87" s="3600"/>
      <c r="U87" s="390" t="str">
        <f>IFERROR(VLOOKUP($T87,'Upper HotCell RecoveryLogisitcs'!$C$6:$F$126,4,FALSE),"N/A")</f>
        <v>N/A</v>
      </c>
      <c r="V87" s="874" t="str">
        <f t="shared" si="8"/>
        <v>N/A</v>
      </c>
      <c r="W87" s="875"/>
      <c r="Y87" s="273"/>
      <c r="Z87" s="273"/>
      <c r="AA87" s="752"/>
      <c r="AB87" s="5"/>
      <c r="AC87" s="7"/>
      <c r="AD87" s="7"/>
      <c r="AE87" s="7"/>
      <c r="AF87" s="7"/>
      <c r="AG87" s="7"/>
      <c r="AH87" s="7"/>
    </row>
    <row r="88" spans="2:34" ht="15" customHeight="1" outlineLevel="2" x14ac:dyDescent="0.4">
      <c r="B88" s="762"/>
      <c r="C88" s="5"/>
      <c r="D88" s="3890"/>
      <c r="E88" s="519" t="s">
        <v>862</v>
      </c>
      <c r="F88" s="847"/>
      <c r="G88" s="871" t="s">
        <v>778</v>
      </c>
      <c r="H88" s="390">
        <f t="shared" si="9"/>
        <v>6.9444444444444448E-2</v>
      </c>
      <c r="I88" s="385">
        <f t="shared" si="7"/>
        <v>95.930555555555515</v>
      </c>
      <c r="J88" s="872"/>
      <c r="K88" s="385" t="str">
        <f>IF(G88="operation",VLOOKUP(J88,'Generic Vertical Port Tasks'!$C$4:$D$197,2,FALSE),"N/A")</f>
        <v>N/A</v>
      </c>
      <c r="L88" s="573" t="s">
        <v>798</v>
      </c>
      <c r="M88" s="573" t="s">
        <v>799</v>
      </c>
      <c r="N88" s="851" t="s">
        <v>452</v>
      </c>
      <c r="O88" s="387">
        <f>IFERROR(INDEX('Upper Hot Cell Logistics'!$I$35:$O$41,MATCH($M88,'Upper Hot Cell Logistics'!$H$35:$H$41,0),MATCH($N88,'Upper Hot Cell Logistics'!$H$35:$H$41,0)),"N/A")</f>
        <v>50</v>
      </c>
      <c r="P88" s="387">
        <f>IFERROR(VLOOKUP($L88,'Upper Hot Cell Logistics'!$H$4:$I$10,2,FALSE),"N/A")</f>
        <v>0.2</v>
      </c>
      <c r="Q88" s="873">
        <f t="shared" si="6"/>
        <v>6.9444444444444448E-2</v>
      </c>
      <c r="R88" s="388"/>
      <c r="S88" s="389" t="str">
        <f>IF($E88="Logistics",VLOOKUP($P88,'Upper Hot Cell Logistics'!$C$4:$D$44,2,FALSE),"N/A")</f>
        <v>N/A</v>
      </c>
      <c r="T88" s="3600" t="s">
        <v>863</v>
      </c>
      <c r="U88" s="390">
        <f>IFERROR(VLOOKUP($T88,'Upper HotCell RecoveryLogisitcs'!$C$6:$F$126,4,FALSE),"N/A")</f>
        <v>92.736111111111072</v>
      </c>
      <c r="V88" s="874">
        <f t="shared" si="8"/>
        <v>3.125</v>
      </c>
      <c r="W88" s="875"/>
      <c r="Y88" s="273"/>
      <c r="Z88" s="273"/>
      <c r="AA88" s="752"/>
      <c r="AB88" s="5"/>
      <c r="AC88" s="7"/>
      <c r="AD88" s="7"/>
      <c r="AE88" s="7"/>
      <c r="AF88" s="7"/>
      <c r="AG88" s="7"/>
      <c r="AH88" s="7"/>
    </row>
    <row r="89" spans="2:34" ht="15" customHeight="1" outlineLevel="2" x14ac:dyDescent="0.4">
      <c r="B89" s="762"/>
      <c r="C89" s="5"/>
      <c r="D89" s="3890"/>
      <c r="E89" s="519" t="s">
        <v>137</v>
      </c>
      <c r="F89" s="847"/>
      <c r="G89" s="871" t="s">
        <v>251</v>
      </c>
      <c r="H89" s="390">
        <f t="shared" si="9"/>
        <v>4.33</v>
      </c>
      <c r="I89" s="385">
        <f t="shared" si="7"/>
        <v>100.26055555555551</v>
      </c>
      <c r="J89" s="872" t="s">
        <v>256</v>
      </c>
      <c r="K89" s="385">
        <f>IF(G89="operation",VLOOKUP(J89,'Generic Vertical Port Tasks'!$C$4:$D$197,2,FALSE),"N/A")</f>
        <v>4.33</v>
      </c>
      <c r="L89" s="384"/>
      <c r="M89" s="386"/>
      <c r="N89" s="882"/>
      <c r="O89" s="387" t="str">
        <f>IFERROR(INDEX('Upper Hot Cell Logistics'!$I$35:$O$41,MATCH($M89,'Upper Hot Cell Logistics'!$H$35:$H$41,0),MATCH($N89,'Upper Hot Cell Logistics'!$H$35:$H$41,0)),"N/A")</f>
        <v>N/A</v>
      </c>
      <c r="P89" s="387" t="str">
        <f>IFERROR(VLOOKUP($L89,'Upper Hot Cell Logistics'!$H$4:$I$10,2,FALSE),"N/A")</f>
        <v>N/A</v>
      </c>
      <c r="Q89" s="873" t="str">
        <f t="shared" si="6"/>
        <v>N/A</v>
      </c>
      <c r="R89" s="388"/>
      <c r="S89" s="389" t="str">
        <f>IF($E89="Logistics",VLOOKUP($P89,'Upper Hot Cell Logistics'!$C$4:$D$44,2,FALSE),"N/A")</f>
        <v>N/A</v>
      </c>
      <c r="T89" s="3600"/>
      <c r="U89" s="390" t="str">
        <f>IFERROR(VLOOKUP($T89,'Upper HotCell RecoveryLogisitcs'!$C$6:$F$126,4,FALSE),"N/A")</f>
        <v>N/A</v>
      </c>
      <c r="V89" s="874" t="str">
        <f t="shared" si="8"/>
        <v>N/A</v>
      </c>
      <c r="W89" s="875"/>
      <c r="Y89" s="273"/>
      <c r="Z89" s="273"/>
      <c r="AA89" s="752"/>
      <c r="AB89" s="5"/>
      <c r="AC89" s="7"/>
      <c r="AD89" s="7"/>
      <c r="AE89" s="7"/>
      <c r="AF89" s="7"/>
      <c r="AG89" s="7"/>
      <c r="AH89" s="7"/>
    </row>
    <row r="90" spans="2:34" ht="15" customHeight="1" outlineLevel="2" x14ac:dyDescent="0.4">
      <c r="B90" s="762"/>
      <c r="C90" s="5"/>
      <c r="D90" s="3890"/>
      <c r="E90" s="883" t="s">
        <v>864</v>
      </c>
      <c r="F90" s="847"/>
      <c r="G90" s="871" t="s">
        <v>778</v>
      </c>
      <c r="H90" s="390">
        <f t="shared" si="9"/>
        <v>6.9444444444444448E-2</v>
      </c>
      <c r="I90" s="385">
        <f t="shared" si="7"/>
        <v>100.32999999999996</v>
      </c>
      <c r="J90" s="872"/>
      <c r="K90" s="385" t="str">
        <f>IF(G90="operation",VLOOKUP(J90,'Generic Vertical Port Tasks'!$C$4:$D$197,2,FALSE),"N/A")</f>
        <v>N/A</v>
      </c>
      <c r="L90" s="573" t="s">
        <v>798</v>
      </c>
      <c r="M90" s="573" t="s">
        <v>799</v>
      </c>
      <c r="N90" s="851" t="s">
        <v>452</v>
      </c>
      <c r="O90" s="387">
        <f>IFERROR(INDEX('Upper Hot Cell Logistics'!$I$35:$O$41,MATCH($M90,'Upper Hot Cell Logistics'!$H$35:$H$41,0),MATCH($N90,'Upper Hot Cell Logistics'!$H$35:$H$41,0)),"N/A")</f>
        <v>50</v>
      </c>
      <c r="P90" s="387">
        <f>IFERROR(VLOOKUP($L90,'Upper Hot Cell Logistics'!$H$4:$I$10,2,FALSE),"N/A")</f>
        <v>0.2</v>
      </c>
      <c r="Q90" s="873">
        <f t="shared" si="6"/>
        <v>6.9444444444444448E-2</v>
      </c>
      <c r="R90" s="388"/>
      <c r="S90" s="389" t="str">
        <f>IF($E90="Logistics",VLOOKUP($P90,'Upper Hot Cell Logistics'!$C$4:$D$44,2,FALSE),"N/A")</f>
        <v>N/A</v>
      </c>
      <c r="T90" s="3600" t="s">
        <v>865</v>
      </c>
      <c r="U90" s="390">
        <f>IFERROR(VLOOKUP($T90,'Upper HotCell RecoveryLogisitcs'!$C$6:$F$126,4,FALSE),"N/A")</f>
        <v>97.335555555555516</v>
      </c>
      <c r="V90" s="874">
        <f t="shared" si="8"/>
        <v>2.9249999999999972</v>
      </c>
      <c r="W90" s="875"/>
      <c r="Y90" s="273"/>
      <c r="Z90" s="273"/>
      <c r="AA90" s="752"/>
      <c r="AB90" s="5"/>
      <c r="AC90" s="7"/>
      <c r="AD90" s="7"/>
      <c r="AE90" s="7"/>
      <c r="AF90" s="7"/>
      <c r="AG90" s="7"/>
      <c r="AH90" s="7"/>
    </row>
    <row r="91" spans="2:34" ht="15" customHeight="1" outlineLevel="2" x14ac:dyDescent="0.4">
      <c r="B91" s="762"/>
      <c r="C91" s="5"/>
      <c r="D91" s="3890"/>
      <c r="E91" s="519" t="s">
        <v>133</v>
      </c>
      <c r="F91" s="847"/>
      <c r="G91" s="871" t="s">
        <v>251</v>
      </c>
      <c r="H91" s="390">
        <f t="shared" si="9"/>
        <v>5.74</v>
      </c>
      <c r="I91" s="385">
        <f t="shared" si="7"/>
        <v>106.06999999999995</v>
      </c>
      <c r="J91" s="872" t="s">
        <v>254</v>
      </c>
      <c r="K91" s="385">
        <f>IF(G91="operation",VLOOKUP(J91,'Generic Vertical Port Tasks'!$C$4:$D$197,2,FALSE),"N/A")</f>
        <v>5.74</v>
      </c>
      <c r="L91" s="384"/>
      <c r="M91" s="386"/>
      <c r="N91" s="882"/>
      <c r="O91" s="387" t="str">
        <f>IFERROR(INDEX('Upper Hot Cell Logistics'!$I$35:$O$41,MATCH($M91,'Upper Hot Cell Logistics'!$H$35:$H$41,0),MATCH($N91,'Upper Hot Cell Logistics'!$H$35:$H$41,0)),"N/A")</f>
        <v>N/A</v>
      </c>
      <c r="P91" s="387" t="str">
        <f>IFERROR(VLOOKUP($L91,'Upper Hot Cell Logistics'!$H$4:$I$10,2,FALSE),"N/A")</f>
        <v>N/A</v>
      </c>
      <c r="Q91" s="873" t="str">
        <f t="shared" si="6"/>
        <v>N/A</v>
      </c>
      <c r="R91" s="388"/>
      <c r="S91" s="389" t="str">
        <f>IF($E91="Logistics",VLOOKUP($P91,'Upper Hot Cell Logistics'!$C$4:$D$44,2,FALSE),"N/A")</f>
        <v>N/A</v>
      </c>
      <c r="T91" s="3600"/>
      <c r="U91" s="390" t="str">
        <f>IFERROR(VLOOKUP($T91,'Upper HotCell RecoveryLogisitcs'!$C$6:$F$126,4,FALSE),"N/A")</f>
        <v>N/A</v>
      </c>
      <c r="V91" s="874" t="str">
        <f t="shared" si="8"/>
        <v>N/A</v>
      </c>
      <c r="W91" s="875"/>
      <c r="Y91" s="273"/>
      <c r="Z91" s="273"/>
      <c r="AA91" s="752"/>
      <c r="AB91" s="5"/>
      <c r="AC91" s="7"/>
      <c r="AD91" s="7"/>
      <c r="AE91" s="7"/>
      <c r="AF91" s="7"/>
      <c r="AG91" s="7"/>
      <c r="AH91" s="7"/>
    </row>
    <row r="92" spans="2:34" ht="15" customHeight="1" outlineLevel="2" x14ac:dyDescent="0.4">
      <c r="B92" s="762"/>
      <c r="C92" s="5"/>
      <c r="D92" s="3890"/>
      <c r="E92" s="519" t="s">
        <v>866</v>
      </c>
      <c r="F92" s="847"/>
      <c r="G92" s="871" t="s">
        <v>778</v>
      </c>
      <c r="H92" s="390">
        <f t="shared" si="9"/>
        <v>6.9444444444444448E-2</v>
      </c>
      <c r="I92" s="385">
        <f t="shared" si="7"/>
        <v>106.13944444444439</v>
      </c>
      <c r="J92" s="872"/>
      <c r="K92" s="385" t="str">
        <f>IF(G92="operation",VLOOKUP(J92,'Generic Vertical Port Tasks'!$C$4:$D$197,2,FALSE),"N/A")</f>
        <v>N/A</v>
      </c>
      <c r="L92" s="573" t="s">
        <v>798</v>
      </c>
      <c r="M92" s="573" t="s">
        <v>799</v>
      </c>
      <c r="N92" s="851" t="s">
        <v>452</v>
      </c>
      <c r="O92" s="387">
        <f>IFERROR(INDEX('Upper Hot Cell Logistics'!$I$35:$O$41,MATCH($M92,'Upper Hot Cell Logistics'!$H$35:$H$41,0),MATCH($N92,'Upper Hot Cell Logistics'!$H$35:$H$41,0)),"N/A")</f>
        <v>50</v>
      </c>
      <c r="P92" s="387">
        <f>IFERROR(VLOOKUP($L92,'Upper Hot Cell Logistics'!$H$4:$I$10,2,FALSE),"N/A")</f>
        <v>0.2</v>
      </c>
      <c r="Q92" s="873">
        <f t="shared" si="6"/>
        <v>6.9444444444444448E-2</v>
      </c>
      <c r="R92" s="388"/>
      <c r="S92" s="389" t="str">
        <f>IF($E92="Logistics",VLOOKUP($P92,'Upper Hot Cell Logistics'!$C$4:$D$44,2,FALSE),"N/A")</f>
        <v>N/A</v>
      </c>
      <c r="T92" s="3600" t="s">
        <v>867</v>
      </c>
      <c r="U92" s="390">
        <f>IFERROR(VLOOKUP($T92,'Upper HotCell RecoveryLogisitcs'!$C$6:$F$126,4,FALSE),"N/A")</f>
        <v>101.73499999999996</v>
      </c>
      <c r="V92" s="874">
        <f t="shared" si="8"/>
        <v>4.3349999999999937</v>
      </c>
      <c r="W92" s="875"/>
      <c r="Y92" s="273"/>
      <c r="Z92" s="273"/>
      <c r="AA92" s="752"/>
      <c r="AB92" s="5"/>
      <c r="AC92" s="7"/>
      <c r="AD92" s="7"/>
      <c r="AE92" s="7"/>
      <c r="AF92" s="7"/>
      <c r="AG92" s="7"/>
      <c r="AH92" s="7"/>
    </row>
    <row r="93" spans="2:34" ht="15.75" customHeight="1" outlineLevel="2" thickBot="1" x14ac:dyDescent="0.45">
      <c r="B93" s="762"/>
      <c r="C93" s="5"/>
      <c r="D93" s="3887"/>
      <c r="E93" s="503" t="s">
        <v>134</v>
      </c>
      <c r="F93" s="847"/>
      <c r="G93" s="884" t="s">
        <v>251</v>
      </c>
      <c r="H93" s="349">
        <f t="shared" si="9"/>
        <v>5.74</v>
      </c>
      <c r="I93" s="385">
        <f t="shared" si="7"/>
        <v>111.87944444444439</v>
      </c>
      <c r="J93" s="885" t="s">
        <v>254</v>
      </c>
      <c r="K93" s="350">
        <f>IF(G93="operation",VLOOKUP(J93,'Generic Vertical Port Tasks'!$C$4:$D$197,2,FALSE),"N/A")</f>
        <v>5.74</v>
      </c>
      <c r="L93" s="396"/>
      <c r="M93" s="397"/>
      <c r="N93" s="886"/>
      <c r="O93" s="398" t="str">
        <f>IFERROR(INDEX('Upper Hot Cell Logistics'!$I$35:$O$41,MATCH($M93,'Upper Hot Cell Logistics'!$H$35:$H$41,0),MATCH($N93,'Upper Hot Cell Logistics'!$H$35:$H$41,0)),"N/A")</f>
        <v>N/A</v>
      </c>
      <c r="P93" s="398" t="str">
        <f>IFERROR(VLOOKUP($L93,'Upper Hot Cell Logistics'!$H$4:$I$10,2,FALSE),"N/A")</f>
        <v>N/A</v>
      </c>
      <c r="Q93" s="887" t="str">
        <f t="shared" si="6"/>
        <v>N/A</v>
      </c>
      <c r="R93" s="399"/>
      <c r="S93" s="400" t="str">
        <f>IF($E93="Logistics",VLOOKUP($P93,'Upper Hot Cell Logistics'!$C$4:$D$44,2,FALSE),"N/A")</f>
        <v>N/A</v>
      </c>
      <c r="T93" s="3601"/>
      <c r="U93" s="349" t="str">
        <f>IFERROR(VLOOKUP($T93,'Upper HotCell RecoveryLogisitcs'!$C$6:$F$126,4,FALSE),"N/A")</f>
        <v>N/A</v>
      </c>
      <c r="V93" s="888" t="str">
        <f t="shared" si="8"/>
        <v>N/A</v>
      </c>
      <c r="W93" s="875"/>
      <c r="Y93" s="273"/>
      <c r="Z93" s="273"/>
      <c r="AA93" s="752"/>
      <c r="AB93" s="5"/>
      <c r="AC93" s="7"/>
      <c r="AD93" s="7"/>
      <c r="AE93" s="7"/>
      <c r="AF93" s="7"/>
      <c r="AG93" s="7"/>
      <c r="AH93" s="7"/>
    </row>
    <row r="94" spans="2:34" ht="25.5" customHeight="1" outlineLevel="2" x14ac:dyDescent="0.4">
      <c r="B94" s="762"/>
      <c r="C94" s="5"/>
      <c r="D94" s="3888" t="s">
        <v>117</v>
      </c>
      <c r="E94" s="819" t="s">
        <v>1083</v>
      </c>
      <c r="F94" s="819"/>
      <c r="G94" s="820" t="s">
        <v>778</v>
      </c>
      <c r="H94" s="511">
        <f t="shared" si="9"/>
        <v>0.69444444444444442</v>
      </c>
      <c r="I94" s="822">
        <f t="shared" si="7"/>
        <v>112.57388888888883</v>
      </c>
      <c r="J94" s="823"/>
      <c r="K94" s="824" t="str">
        <f>IF(G94="operation",VLOOKUP(J94,'Generic Vertical Port Tasks'!$C$4:$D$197,2,FALSE),"N/A")</f>
        <v>N/A</v>
      </c>
      <c r="L94" s="825" t="s">
        <v>857</v>
      </c>
      <c r="M94" s="823" t="s">
        <v>858</v>
      </c>
      <c r="N94" s="826" t="s">
        <v>452</v>
      </c>
      <c r="O94" s="827">
        <f>IFERROR(INDEX('Upper Hot Cell Logistics'!$I$35:$O$41,MATCH($M94,'Upper Hot Cell Logistics'!$H$35:$H$41,0),MATCH($N94,'Upper Hot Cell Logistics'!$H$35:$H$41,0)),"N/A")</f>
        <v>50</v>
      </c>
      <c r="P94" s="828">
        <f>IFERROR(VLOOKUP($L94,'Upper Hot Cell Logistics'!$H$4:$I$10,2,FALSE),"N/A")</f>
        <v>0.02</v>
      </c>
      <c r="Q94" s="822">
        <f t="shared" si="6"/>
        <v>0.69444444444444442</v>
      </c>
      <c r="R94" s="829"/>
      <c r="S94" s="827" t="str">
        <f>IF($G94="Logistics",VLOOKUP($R94,'Upper Hot Cell Logistics'!$C$4:$D$44,2,FALSE),"N/A")</f>
        <v>N/A</v>
      </c>
      <c r="T94" s="3357" t="s">
        <v>1084</v>
      </c>
      <c r="U94" s="830">
        <f>IFERROR(VLOOKUP($T94,'Upper HotCell RecoveryLogisitcs'!$C$6:$F$126,4,FALSE),"N/A")</f>
        <v>108.84611111111106</v>
      </c>
      <c r="V94" s="831">
        <f t="shared" si="8"/>
        <v>3.0333333333333314</v>
      </c>
      <c r="W94" s="806"/>
      <c r="Y94" s="273"/>
      <c r="Z94" s="273"/>
      <c r="AA94" s="752"/>
    </row>
    <row r="95" spans="2:34" s="82" customFormat="1" ht="15.75" customHeight="1" outlineLevel="2" thickBot="1" x14ac:dyDescent="0.45">
      <c r="B95" s="762"/>
      <c r="C95" s="5"/>
      <c r="D95" s="3889"/>
      <c r="E95" s="833" t="s">
        <v>1085</v>
      </c>
      <c r="F95" s="833"/>
      <c r="G95" s="834" t="s">
        <v>251</v>
      </c>
      <c r="H95" s="869">
        <f t="shared" si="9"/>
        <v>4.0949999999999998</v>
      </c>
      <c r="I95" s="836">
        <f t="shared" si="7"/>
        <v>116.66888888888883</v>
      </c>
      <c r="J95" s="837" t="s">
        <v>35</v>
      </c>
      <c r="K95" s="838">
        <f>IF(G95="operation",VLOOKUP(J95,'Generic Vertical Port Tasks'!$C$4:$D$197,2,FALSE),"N/A")</f>
        <v>4.0949999999999998</v>
      </c>
      <c r="L95" s="839"/>
      <c r="M95" s="837"/>
      <c r="N95" s="840"/>
      <c r="O95" s="841" t="str">
        <f>IFERROR(INDEX('Upper Hot Cell Logistics'!$I$35:$O$41,MATCH($M95,'Upper Hot Cell Logistics'!$H$35:$H$41,0),MATCH($N95,'Upper Hot Cell Logistics'!$H$35:$H$41,0)),"N/A")</f>
        <v>N/A</v>
      </c>
      <c r="P95" s="842" t="str">
        <f>IFERROR(VLOOKUP($L95,'Upper Hot Cell Logistics'!$H$4:$I$10,2,FALSE),"N/A")</f>
        <v>N/A</v>
      </c>
      <c r="Q95" s="836" t="str">
        <f t="shared" si="6"/>
        <v>N/A</v>
      </c>
      <c r="R95" s="843"/>
      <c r="S95" s="841" t="str">
        <f>IF($G95="Logistics",VLOOKUP($R95,'Upper Hot Cell Logistics'!$C$4:$D$44,2,FALSE),"N/A")</f>
        <v>N/A</v>
      </c>
      <c r="T95" s="3358"/>
      <c r="U95" s="844" t="str">
        <f>IFERROR(VLOOKUP($T95,'Upper HotCell RecoveryLogisitcs'!$C$6:$F$126,4,FALSE),"N/A")</f>
        <v>N/A</v>
      </c>
      <c r="V95" s="845" t="str">
        <f t="shared" si="8"/>
        <v>N/A</v>
      </c>
      <c r="W95" s="806"/>
      <c r="Y95" s="5"/>
      <c r="Z95" s="5"/>
      <c r="AA95" s="889"/>
      <c r="AB95" s="890"/>
    </row>
    <row r="96" spans="2:34" s="82" customFormat="1" ht="15" customHeight="1" outlineLevel="2" x14ac:dyDescent="0.4">
      <c r="B96" s="762"/>
      <c r="C96" s="5"/>
      <c r="D96" s="3886" t="s">
        <v>1086</v>
      </c>
      <c r="E96" s="798" t="s">
        <v>820</v>
      </c>
      <c r="F96" s="798"/>
      <c r="G96" s="799" t="s">
        <v>778</v>
      </c>
      <c r="H96" s="326">
        <f t="shared" si="9"/>
        <v>0.69444444444444442</v>
      </c>
      <c r="I96" s="800">
        <f t="shared" si="7"/>
        <v>117.36333333333327</v>
      </c>
      <c r="J96" s="566"/>
      <c r="K96" s="621" t="str">
        <f>IF(G96="operation",VLOOKUP(J96,'Generic Vertical Port Tasks'!$C$4:$D$197,2,FALSE),"N/A")</f>
        <v>N/A</v>
      </c>
      <c r="L96" s="568" t="s">
        <v>857</v>
      </c>
      <c r="M96" s="566" t="s">
        <v>858</v>
      </c>
      <c r="N96" s="801" t="s">
        <v>452</v>
      </c>
      <c r="O96" s="802">
        <f>IFERROR(INDEX('Upper Hot Cell Logistics'!$I$35:$O$41,MATCH($M96,'Upper Hot Cell Logistics'!$H$35:$H$41,0),MATCH($N96,'Upper Hot Cell Logistics'!$H$35:$H$41,0)),"N/A")</f>
        <v>50</v>
      </c>
      <c r="P96" s="570">
        <f>IFERROR(VLOOKUP($L96,'Upper Hot Cell Logistics'!$H$4:$I$10,2,FALSE),"N/A")</f>
        <v>0.02</v>
      </c>
      <c r="Q96" s="800">
        <f t="shared" si="6"/>
        <v>0.69444444444444442</v>
      </c>
      <c r="R96" s="803"/>
      <c r="S96" s="802" t="str">
        <f>IF($G96="Logistics",VLOOKUP($R96,'Upper Hot Cell Logistics'!$C$4:$D$44,2,FALSE),"N/A")</f>
        <v>N/A</v>
      </c>
      <c r="T96" s="462" t="s">
        <v>871</v>
      </c>
      <c r="U96" s="804" t="str">
        <f>IFERROR(VLOOKUP($T96,'Upper HotCell RecoveryLogisitcs'!$C$6:$F$126,4,FALSE),"N/A")</f>
        <v>N/A</v>
      </c>
      <c r="V96" s="805" t="str">
        <f t="shared" si="8"/>
        <v>N/A</v>
      </c>
      <c r="W96" s="806"/>
      <c r="Y96" s="5"/>
      <c r="Z96" s="5"/>
      <c r="AA96" s="889"/>
      <c r="AB96" s="890"/>
    </row>
    <row r="97" spans="2:28" s="82" customFormat="1" ht="15" customHeight="1" outlineLevel="2" x14ac:dyDescent="0.4">
      <c r="B97" s="762"/>
      <c r="C97" s="5"/>
      <c r="D97" s="3890"/>
      <c r="E97" s="847" t="s">
        <v>132</v>
      </c>
      <c r="F97" s="847"/>
      <c r="G97" s="848" t="s">
        <v>251</v>
      </c>
      <c r="H97" s="459">
        <f t="shared" si="9"/>
        <v>24.022732551873563</v>
      </c>
      <c r="I97" s="849">
        <f t="shared" si="7"/>
        <v>141.38606588520685</v>
      </c>
      <c r="J97" s="573" t="s">
        <v>2492</v>
      </c>
      <c r="K97" s="850">
        <f>IF(G97="operation",VLOOKUP(J97,'Generic Vertical Port Tasks'!$C$4:$D$197,2,FALSE),"N/A")</f>
        <v>24.022732551873563</v>
      </c>
      <c r="L97" s="575"/>
      <c r="M97" s="573"/>
      <c r="N97" s="851"/>
      <c r="O97" s="852" t="str">
        <f>IFERROR(INDEX('Upper Hot Cell Logistics'!$I$35:$O$41,MATCH($M97,'Upper Hot Cell Logistics'!$H$35:$H$41,0),MATCH($N97,'Upper Hot Cell Logistics'!$H$35:$H$41,0)),"N/A")</f>
        <v>N/A</v>
      </c>
      <c r="P97" s="853" t="str">
        <f>IFERROR(VLOOKUP($L97,'Upper Hot Cell Logistics'!$H$4:$I$10,2,FALSE),"N/A")</f>
        <v>N/A</v>
      </c>
      <c r="Q97" s="849" t="str">
        <f t="shared" si="6"/>
        <v>N/A</v>
      </c>
      <c r="R97" s="854"/>
      <c r="S97" s="852" t="str">
        <f>IF($G97="Logistics",VLOOKUP($R97,'Upper Hot Cell Logistics'!$C$4:$D$44,2,FALSE),"N/A")</f>
        <v>N/A</v>
      </c>
      <c r="T97" s="462"/>
      <c r="U97" s="855" t="str">
        <f>IFERROR(VLOOKUP($T97,'Upper HotCell RecoveryLogisitcs'!$C$6:$F$126,4,FALSE),"N/A")</f>
        <v>N/A</v>
      </c>
      <c r="V97" s="856" t="str">
        <f t="shared" si="8"/>
        <v>N/A</v>
      </c>
      <c r="W97" s="806"/>
      <c r="Y97" s="5"/>
      <c r="Z97" s="5"/>
      <c r="AA97" s="889"/>
      <c r="AB97" s="890"/>
    </row>
    <row r="98" spans="2:28" s="82" customFormat="1" ht="15" customHeight="1" outlineLevel="2" x14ac:dyDescent="0.4">
      <c r="B98" s="762"/>
      <c r="C98" s="5"/>
      <c r="D98" s="3890"/>
      <c r="E98" s="847" t="s">
        <v>811</v>
      </c>
      <c r="F98" s="847"/>
      <c r="G98" s="848" t="s">
        <v>778</v>
      </c>
      <c r="H98" s="459">
        <f t="shared" si="9"/>
        <v>0.20833333333333334</v>
      </c>
      <c r="I98" s="849">
        <f t="shared" si="7"/>
        <v>156.52058805279307</v>
      </c>
      <c r="J98" s="573"/>
      <c r="K98" s="850" t="str">
        <f>IF(G98="operation",VLOOKUP(J98,'Generic Vertical Port Tasks'!$C$4:$D$197,2,FALSE),"N/A")</f>
        <v>N/A</v>
      </c>
      <c r="L98" s="575" t="s">
        <v>12</v>
      </c>
      <c r="M98" s="573" t="s">
        <v>816</v>
      </c>
      <c r="N98" s="851" t="s">
        <v>452</v>
      </c>
      <c r="O98" s="852">
        <f>IFERROR(INDEX('Upper Hot Cell Logistics'!$I$35:$O$41,MATCH($M98,'Upper Hot Cell Logistics'!$H$35:$H$41,0),MATCH($N98,'Upper Hot Cell Logistics'!$H$35:$H$41,0)),"N/A")</f>
        <v>15</v>
      </c>
      <c r="P98" s="853">
        <f>IFERROR(VLOOKUP($L98,'Upper Hot Cell Logistics'!$H$4:$I$10,2,FALSE),"N/A")</f>
        <v>0.02</v>
      </c>
      <c r="Q98" s="849">
        <f t="shared" si="6"/>
        <v>0.20833333333333334</v>
      </c>
      <c r="R98" s="854"/>
      <c r="S98" s="852" t="str">
        <f>IF($G98="Logistics",VLOOKUP($R98,'Upper Hot Cell Logistics'!$C$4:$D$44,2,FALSE),"N/A")</f>
        <v>N/A</v>
      </c>
      <c r="T98" s="462" t="s">
        <v>1087</v>
      </c>
      <c r="U98" s="855">
        <f>IFERROR(VLOOKUP($T98,'Upper HotCell RecoveryLogisitcs'!$C$6:$F$126,4,FALSE),"N/A")</f>
        <v>156.31225471945973</v>
      </c>
      <c r="V98" s="856">
        <f t="shared" si="8"/>
        <v>-14.926188834252883</v>
      </c>
      <c r="W98" s="806"/>
      <c r="Y98" s="5"/>
      <c r="Z98" s="5"/>
      <c r="AA98" s="889"/>
      <c r="AB98" s="890"/>
    </row>
    <row r="99" spans="2:28" s="82" customFormat="1" ht="15.75" customHeight="1" outlineLevel="2" thickBot="1" x14ac:dyDescent="0.45">
      <c r="B99" s="762"/>
      <c r="C99" s="5"/>
      <c r="D99" s="3887"/>
      <c r="E99" s="808" t="s">
        <v>47</v>
      </c>
      <c r="F99" s="808"/>
      <c r="G99" s="809" t="s">
        <v>251</v>
      </c>
      <c r="H99" s="467">
        <f t="shared" si="9"/>
        <v>7.83</v>
      </c>
      <c r="I99" s="810">
        <f t="shared" si="7"/>
        <v>164.35058805279309</v>
      </c>
      <c r="J99" s="584" t="s">
        <v>257</v>
      </c>
      <c r="K99" s="811">
        <f>IF(G99="operation",VLOOKUP(J99,'Generic Vertical Port Tasks'!$C$4:$D$197,2,FALSE),"N/A")</f>
        <v>7.83</v>
      </c>
      <c r="L99" s="586"/>
      <c r="M99" s="584"/>
      <c r="N99" s="812"/>
      <c r="O99" s="813" t="str">
        <f>IFERROR(INDEX('Upper Hot Cell Logistics'!$I$35:$O$41,MATCH($M99,'Upper Hot Cell Logistics'!$H$35:$H$41,0),MATCH($N99,'Upper Hot Cell Logistics'!$H$35:$H$41,0)),"N/A")</f>
        <v>N/A</v>
      </c>
      <c r="P99" s="814" t="str">
        <f>IFERROR(VLOOKUP($L99,'Upper Hot Cell Logistics'!$H$4:$I$10,2,FALSE),"N/A")</f>
        <v>N/A</v>
      </c>
      <c r="Q99" s="810" t="str">
        <f t="shared" si="6"/>
        <v>N/A</v>
      </c>
      <c r="R99" s="815"/>
      <c r="S99" s="813" t="str">
        <f>IF($G99="Logistics",VLOOKUP($R99,'Upper Hot Cell Logistics'!$C$4:$D$44,2,FALSE),"N/A")</f>
        <v>N/A</v>
      </c>
      <c r="T99" s="469"/>
      <c r="U99" s="816" t="str">
        <f>IFERROR(VLOOKUP($T99,'Upper HotCell RecoveryLogisitcs'!$C$6:$F$126,4,FALSE),"N/A")</f>
        <v>N/A</v>
      </c>
      <c r="V99" s="817" t="str">
        <f t="shared" si="8"/>
        <v>N/A</v>
      </c>
      <c r="W99" s="806"/>
      <c r="Y99" s="5"/>
      <c r="Z99" s="5"/>
      <c r="AA99" s="889"/>
      <c r="AB99" s="890"/>
    </row>
    <row r="100" spans="2:28" s="82" customFormat="1" ht="15" customHeight="1" outlineLevel="2" x14ac:dyDescent="0.4">
      <c r="B100" s="762"/>
      <c r="C100" s="5"/>
      <c r="D100" s="3888" t="s">
        <v>118</v>
      </c>
      <c r="E100" s="819" t="s">
        <v>797</v>
      </c>
      <c r="F100" s="819"/>
      <c r="G100" s="820" t="s">
        <v>778</v>
      </c>
      <c r="H100" s="511">
        <f t="shared" si="9"/>
        <v>6.9444444444444448E-2</v>
      </c>
      <c r="I100" s="822">
        <f t="shared" si="7"/>
        <v>164.42003249723754</v>
      </c>
      <c r="J100" s="823"/>
      <c r="K100" s="824" t="str">
        <f>IF(G100="operation",VLOOKUP(J100,'Generic Vertical Port Tasks'!$C$4:$D$197,2,FALSE),"N/A")</f>
        <v>N/A</v>
      </c>
      <c r="L100" s="825" t="s">
        <v>798</v>
      </c>
      <c r="M100" s="823" t="s">
        <v>858</v>
      </c>
      <c r="N100" s="826" t="s">
        <v>452</v>
      </c>
      <c r="O100" s="827">
        <f>IFERROR(INDEX('Upper Hot Cell Logistics'!$I$35:$O$41,MATCH($M100,'Upper Hot Cell Logistics'!$H$35:$H$41,0),MATCH($N100,'Upper Hot Cell Logistics'!$H$35:$H$41,0)),"N/A")</f>
        <v>50</v>
      </c>
      <c r="P100" s="828">
        <f>IFERROR(VLOOKUP($L100,'Upper Hot Cell Logistics'!$H$4:$I$10,2,FALSE),"N/A")</f>
        <v>0.2</v>
      </c>
      <c r="Q100" s="822">
        <f t="shared" si="6"/>
        <v>6.9444444444444448E-2</v>
      </c>
      <c r="R100" s="829"/>
      <c r="S100" s="827" t="str">
        <f>IF($G100="Logistics",VLOOKUP($R100,'Upper Hot Cell Logistics'!$C$4:$D$44,2,FALSE),"N/A")</f>
        <v>N/A</v>
      </c>
      <c r="T100" s="3357" t="s">
        <v>874</v>
      </c>
      <c r="U100" s="830">
        <f>IFERROR(VLOOKUP($T100,'Upper HotCell RecoveryLogisitcs'!$C$6:$F$126,4,FALSE),"N/A")</f>
        <v>117.51833333333327</v>
      </c>
      <c r="V100" s="831">
        <f t="shared" si="8"/>
        <v>46.832254719459812</v>
      </c>
      <c r="W100" s="806"/>
      <c r="Y100" s="5"/>
      <c r="Z100" s="5"/>
      <c r="AA100" s="889"/>
      <c r="AB100" s="890"/>
    </row>
    <row r="101" spans="2:28" s="82" customFormat="1" ht="15.75" customHeight="1" outlineLevel="2" thickBot="1" x14ac:dyDescent="0.45">
      <c r="B101" s="762"/>
      <c r="C101" s="5"/>
      <c r="D101" s="3889"/>
      <c r="E101" s="833" t="s">
        <v>1088</v>
      </c>
      <c r="F101" s="833"/>
      <c r="G101" s="834" t="s">
        <v>251</v>
      </c>
      <c r="H101" s="869">
        <f t="shared" si="9"/>
        <v>4.0949999999999998</v>
      </c>
      <c r="I101" s="836">
        <f t="shared" si="7"/>
        <v>168.51503249723754</v>
      </c>
      <c r="J101" s="837" t="s">
        <v>35</v>
      </c>
      <c r="K101" s="838">
        <f>IF(G101="operation",VLOOKUP(J101,'Generic Vertical Port Tasks'!$C$4:$D$197,2,FALSE),"N/A")</f>
        <v>4.0949999999999998</v>
      </c>
      <c r="L101" s="839"/>
      <c r="M101" s="837"/>
      <c r="N101" s="840"/>
      <c r="O101" s="841" t="str">
        <f>IFERROR(INDEX('Upper Hot Cell Logistics'!$I$35:$O$41,MATCH($M101,'Upper Hot Cell Logistics'!$H$35:$H$41,0),MATCH($N101,'Upper Hot Cell Logistics'!$H$35:$H$41,0)),"N/A")</f>
        <v>N/A</v>
      </c>
      <c r="P101" s="842" t="str">
        <f>IFERROR(VLOOKUP($L101,'Upper Hot Cell Logistics'!$H$4:$I$10,2,FALSE),"N/A")</f>
        <v>N/A</v>
      </c>
      <c r="Q101" s="836" t="str">
        <f t="shared" si="6"/>
        <v>N/A</v>
      </c>
      <c r="R101" s="843"/>
      <c r="S101" s="841" t="str">
        <f>IF($G101="Logistics",VLOOKUP($R101,'Upper Hot Cell Logistics'!$C$4:$D$44,2,FALSE),"N/A")</f>
        <v>N/A</v>
      </c>
      <c r="T101" s="3358"/>
      <c r="U101" s="844" t="str">
        <f>IFERROR(VLOOKUP($T101,'Upper HotCell RecoveryLogisitcs'!$C$6:$F$126,4,FALSE),"N/A")</f>
        <v>N/A</v>
      </c>
      <c r="V101" s="845" t="str">
        <f t="shared" si="8"/>
        <v>N/A</v>
      </c>
      <c r="W101" s="806"/>
      <c r="Y101" s="5"/>
      <c r="Z101" s="5"/>
      <c r="AA101" s="889"/>
      <c r="AB101" s="890"/>
    </row>
    <row r="102" spans="2:28" s="82" customFormat="1" ht="15" customHeight="1" outlineLevel="2" x14ac:dyDescent="0.4">
      <c r="B102" s="762"/>
      <c r="C102" s="5"/>
      <c r="D102" s="3886" t="s">
        <v>1089</v>
      </c>
      <c r="E102" s="798" t="s">
        <v>820</v>
      </c>
      <c r="F102" s="798"/>
      <c r="G102" s="799" t="s">
        <v>778</v>
      </c>
      <c r="H102" s="326">
        <f t="shared" si="9"/>
        <v>0.69444444444444442</v>
      </c>
      <c r="I102" s="800">
        <f t="shared" si="7"/>
        <v>169.209476941682</v>
      </c>
      <c r="J102" s="566"/>
      <c r="K102" s="621" t="str">
        <f>IF(G102="operation",VLOOKUP(J102,'Generic Vertical Port Tasks'!$C$4:$D$197,2,FALSE),"N/A")</f>
        <v>N/A</v>
      </c>
      <c r="L102" s="568" t="s">
        <v>857</v>
      </c>
      <c r="M102" s="566" t="s">
        <v>858</v>
      </c>
      <c r="N102" s="801" t="s">
        <v>452</v>
      </c>
      <c r="O102" s="802">
        <f>IFERROR(INDEX('Upper Hot Cell Logistics'!$I$35:$O$41,MATCH($M102,'Upper Hot Cell Logistics'!$H$35:$H$41,0),MATCH($N102,'Upper Hot Cell Logistics'!$H$35:$H$41,0)),"N/A")</f>
        <v>50</v>
      </c>
      <c r="P102" s="570">
        <f>IFERROR(VLOOKUP($L102,'Upper Hot Cell Logistics'!$H$4:$I$10,2,FALSE),"N/A")</f>
        <v>0.02</v>
      </c>
      <c r="Q102" s="800">
        <f t="shared" si="6"/>
        <v>0.69444444444444442</v>
      </c>
      <c r="R102" s="803"/>
      <c r="S102" s="802" t="str">
        <f>IF($G102="Logistics",VLOOKUP($R102,'Upper Hot Cell Logistics'!$C$4:$D$44,2,FALSE),"N/A")</f>
        <v>N/A</v>
      </c>
      <c r="T102" s="454"/>
      <c r="U102" s="804" t="str">
        <f>IFERROR(VLOOKUP($T102,'Upper HotCell RecoveryLogisitcs'!$C$6:$F$126,4,FALSE),"N/A")</f>
        <v>N/A</v>
      </c>
      <c r="V102" s="805" t="str">
        <f t="shared" si="8"/>
        <v>N/A</v>
      </c>
      <c r="W102" s="806"/>
      <c r="Y102" s="5"/>
      <c r="Z102" s="5"/>
      <c r="AA102" s="889"/>
      <c r="AB102" s="890"/>
    </row>
    <row r="103" spans="2:28" s="82" customFormat="1" ht="15" customHeight="1" outlineLevel="2" x14ac:dyDescent="0.4">
      <c r="B103" s="762"/>
      <c r="C103" s="5"/>
      <c r="D103" s="3890"/>
      <c r="E103" s="847" t="s">
        <v>130</v>
      </c>
      <c r="F103" s="847"/>
      <c r="G103" s="848" t="s">
        <v>251</v>
      </c>
      <c r="H103" s="459">
        <f t="shared" si="9"/>
        <v>24.022732551873563</v>
      </c>
      <c r="I103" s="849">
        <f t="shared" si="7"/>
        <v>193.23220949355556</v>
      </c>
      <c r="J103" s="573" t="s">
        <v>2492</v>
      </c>
      <c r="K103" s="850">
        <f>IF(G103="operation",VLOOKUP(J103,'Generic Vertical Port Tasks'!$C$4:$D$197,2,FALSE),"N/A")</f>
        <v>24.022732551873563</v>
      </c>
      <c r="L103" s="575"/>
      <c r="M103" s="573"/>
      <c r="N103" s="851"/>
      <c r="O103" s="852" t="str">
        <f>IFERROR(INDEX('Upper Hot Cell Logistics'!$I$35:$O$41,MATCH($M103,'Upper Hot Cell Logistics'!$H$35:$H$41,0),MATCH($N103,'Upper Hot Cell Logistics'!$H$35:$H$41,0)),"N/A")</f>
        <v>N/A</v>
      </c>
      <c r="P103" s="853" t="str">
        <f>IFERROR(VLOOKUP($L103,'Upper Hot Cell Logistics'!$H$4:$I$10,2,FALSE),"N/A")</f>
        <v>N/A</v>
      </c>
      <c r="Q103" s="849" t="str">
        <f t="shared" si="6"/>
        <v>N/A</v>
      </c>
      <c r="R103" s="854"/>
      <c r="S103" s="852" t="str">
        <f>IF($G103="Logistics",VLOOKUP($R103,'Upper Hot Cell Logistics'!$C$4:$D$44,2,FALSE),"N/A")</f>
        <v>N/A</v>
      </c>
      <c r="T103" s="462"/>
      <c r="U103" s="855" t="str">
        <f>IFERROR(VLOOKUP($T103,'Upper HotCell RecoveryLogisitcs'!$C$6:$F$126,4,FALSE),"N/A")</f>
        <v>N/A</v>
      </c>
      <c r="V103" s="856" t="str">
        <f t="shared" si="8"/>
        <v>N/A</v>
      </c>
      <c r="W103" s="806"/>
      <c r="Y103" s="5"/>
      <c r="Z103" s="5"/>
      <c r="AA103" s="889"/>
      <c r="AB103" s="890"/>
    </row>
    <row r="104" spans="2:28" s="82" customFormat="1" ht="15" customHeight="1" outlineLevel="2" x14ac:dyDescent="0.4">
      <c r="B104" s="762"/>
      <c r="C104" s="5"/>
      <c r="D104" s="3890"/>
      <c r="E104" s="847" t="s">
        <v>811</v>
      </c>
      <c r="F104" s="847"/>
      <c r="G104" s="848" t="s">
        <v>778</v>
      </c>
      <c r="H104" s="459">
        <f t="shared" si="9"/>
        <v>0.20833333333333334</v>
      </c>
      <c r="I104" s="849">
        <f t="shared" si="7"/>
        <v>228.47887616022214</v>
      </c>
      <c r="J104" s="573"/>
      <c r="K104" s="850" t="str">
        <f>IF(G104="operation",VLOOKUP(J104,'Generic Vertical Port Tasks'!$C$4:$D$197,2,FALSE),"N/A")</f>
        <v>N/A</v>
      </c>
      <c r="L104" s="575" t="s">
        <v>12</v>
      </c>
      <c r="M104" s="573" t="s">
        <v>816</v>
      </c>
      <c r="N104" s="851" t="s">
        <v>452</v>
      </c>
      <c r="O104" s="852">
        <f>IFERROR(INDEX('Upper Hot Cell Logistics'!$I$35:$O$41,MATCH($M104,'Upper Hot Cell Logistics'!$H$35:$H$41,0),MATCH($N104,'Upper Hot Cell Logistics'!$H$35:$H$41,0)),"N/A")</f>
        <v>15</v>
      </c>
      <c r="P104" s="853">
        <f>IFERROR(VLOOKUP($L104,'Upper Hot Cell Logistics'!$H$4:$I$10,2,FALSE),"N/A")</f>
        <v>0.02</v>
      </c>
      <c r="Q104" s="849">
        <f t="shared" si="6"/>
        <v>0.20833333333333334</v>
      </c>
      <c r="R104" s="854"/>
      <c r="S104" s="852" t="str">
        <f>IF($G104="Logistics",VLOOKUP($R104,'Upper Hot Cell Logistics'!$C$4:$D$44,2,FALSE),"N/A")</f>
        <v>N/A</v>
      </c>
      <c r="T104" s="462" t="s">
        <v>1090</v>
      </c>
      <c r="U104" s="855">
        <f>IFERROR(VLOOKUP($T104,'Upper HotCell RecoveryLogisitcs'!$C$6:$F$126,4,FALSE),"N/A")</f>
        <v>228.2705428268888</v>
      </c>
      <c r="V104" s="856">
        <f t="shared" ref="V104:V109" si="10">IFERROR(I103-U104,"N/A")</f>
        <v>-35.038333333333242</v>
      </c>
      <c r="W104" s="806"/>
      <c r="Y104" s="5"/>
      <c r="Z104" s="5"/>
      <c r="AA104" s="889"/>
      <c r="AB104" s="890"/>
    </row>
    <row r="105" spans="2:28" s="82" customFormat="1" ht="15.75" customHeight="1" outlineLevel="2" thickBot="1" x14ac:dyDescent="0.45">
      <c r="B105" s="762"/>
      <c r="C105" s="5"/>
      <c r="D105" s="3887"/>
      <c r="E105" s="808" t="s">
        <v>42</v>
      </c>
      <c r="F105" s="808"/>
      <c r="G105" s="809" t="s">
        <v>251</v>
      </c>
      <c r="H105" s="467">
        <f t="shared" si="9"/>
        <v>7.83</v>
      </c>
      <c r="I105" s="810">
        <f t="shared" si="7"/>
        <v>236.30887616022216</v>
      </c>
      <c r="J105" s="584" t="s">
        <v>257</v>
      </c>
      <c r="K105" s="811">
        <f>IF(G105="operation",VLOOKUP(J105,'Generic Vertical Port Tasks'!$C$4:$D$197,2,FALSE),"N/A")</f>
        <v>7.83</v>
      </c>
      <c r="L105" s="586"/>
      <c r="M105" s="584"/>
      <c r="N105" s="812"/>
      <c r="O105" s="813" t="str">
        <f>IFERROR(INDEX('Upper Hot Cell Logistics'!$I$35:$O$41,MATCH($M105,'Upper Hot Cell Logistics'!$H$35:$H$41,0),MATCH($N105,'Upper Hot Cell Logistics'!$H$35:$H$41,0)),"N/A")</f>
        <v>N/A</v>
      </c>
      <c r="P105" s="814" t="str">
        <f>IFERROR(VLOOKUP($L105,'Upper Hot Cell Logistics'!$H$4:$I$10,2,FALSE),"N/A")</f>
        <v>N/A</v>
      </c>
      <c r="Q105" s="810" t="str">
        <f t="shared" si="6"/>
        <v>N/A</v>
      </c>
      <c r="R105" s="815"/>
      <c r="S105" s="813" t="str">
        <f>IF($G105="Logistics",VLOOKUP($R105,'Upper Hot Cell Logistics'!$C$4:$D$44,2,FALSE),"N/A")</f>
        <v>N/A</v>
      </c>
      <c r="T105" s="469"/>
      <c r="U105" s="816" t="str">
        <f>IFERROR(VLOOKUP($T105,'Upper HotCell RecoveryLogisitcs'!$C$6:$F$126,4,FALSE),"N/A")</f>
        <v>N/A</v>
      </c>
      <c r="V105" s="817" t="str">
        <f t="shared" si="10"/>
        <v>N/A</v>
      </c>
      <c r="W105" s="806"/>
      <c r="Y105" s="5"/>
      <c r="Z105" s="5"/>
      <c r="AA105" s="889"/>
      <c r="AB105" s="890"/>
    </row>
    <row r="106" spans="2:28" ht="15" customHeight="1" outlineLevel="2" x14ac:dyDescent="0.4">
      <c r="B106" s="762"/>
      <c r="C106" s="5"/>
      <c r="D106" s="3888" t="s">
        <v>119</v>
      </c>
      <c r="E106" s="819" t="s">
        <v>797</v>
      </c>
      <c r="F106" s="819"/>
      <c r="G106" s="820" t="s">
        <v>778</v>
      </c>
      <c r="H106" s="511">
        <f t="shared" si="9"/>
        <v>6.9444444444444448E-2</v>
      </c>
      <c r="I106" s="822">
        <f t="shared" si="7"/>
        <v>236.37832060466661</v>
      </c>
      <c r="J106" s="823"/>
      <c r="K106" s="824" t="str">
        <f>IF(G106="operation",VLOOKUP(J106,'Generic Vertical Port Tasks'!$C$4:$D$197,2,FALSE),"N/A")</f>
        <v>N/A</v>
      </c>
      <c r="L106" s="825" t="s">
        <v>798</v>
      </c>
      <c r="M106" s="823" t="s">
        <v>858</v>
      </c>
      <c r="N106" s="826" t="s">
        <v>452</v>
      </c>
      <c r="O106" s="827">
        <f>IFERROR(INDEX('Upper Hot Cell Logistics'!$I$35:$O$41,MATCH($M106,'Upper Hot Cell Logistics'!$H$35:$H$41,0),MATCH($N106,'Upper Hot Cell Logistics'!$H$35:$H$41,0)),"N/A")</f>
        <v>50</v>
      </c>
      <c r="P106" s="828">
        <f>IFERROR(VLOOKUP($L106,'Upper Hot Cell Logistics'!$H$4:$I$10,2,FALSE),"N/A")</f>
        <v>0.2</v>
      </c>
      <c r="Q106" s="822">
        <f t="shared" si="6"/>
        <v>6.9444444444444448E-2</v>
      </c>
      <c r="R106" s="829"/>
      <c r="S106" s="827" t="s">
        <v>263</v>
      </c>
      <c r="T106" s="3357" t="s">
        <v>879</v>
      </c>
      <c r="U106" s="830">
        <f>IFERROR(VLOOKUP($T106,'Upper HotCell RecoveryLogisitcs'!$C$6:$F$126,4,FALSE),"N/A")</f>
        <v>169.16447694168201</v>
      </c>
      <c r="V106" s="831">
        <f t="shared" si="10"/>
        <v>67.144399218540144</v>
      </c>
      <c r="W106" s="806"/>
      <c r="Y106" s="273"/>
      <c r="Z106" s="273"/>
      <c r="AA106" s="752"/>
    </row>
    <row r="107" spans="2:28" ht="15.75" customHeight="1" outlineLevel="2" thickBot="1" x14ac:dyDescent="0.45">
      <c r="B107" s="762"/>
      <c r="C107" s="5"/>
      <c r="D107" s="3889"/>
      <c r="E107" s="833" t="s">
        <v>1091</v>
      </c>
      <c r="F107" s="833"/>
      <c r="G107" s="834" t="s">
        <v>251</v>
      </c>
      <c r="H107" s="869">
        <f t="shared" si="9"/>
        <v>4.0949999999999998</v>
      </c>
      <c r="I107" s="836">
        <f t="shared" si="7"/>
        <v>240.47332060466661</v>
      </c>
      <c r="J107" s="837" t="s">
        <v>35</v>
      </c>
      <c r="K107" s="838">
        <f>IF(G107="operation",VLOOKUP(J107,'Generic Vertical Port Tasks'!$C$4:$D$197,2,FALSE),"N/A")</f>
        <v>4.0949999999999998</v>
      </c>
      <c r="L107" s="839"/>
      <c r="M107" s="837"/>
      <c r="N107" s="840"/>
      <c r="O107" s="841" t="str">
        <f>IFERROR(INDEX('Upper Hot Cell Logistics'!$I$35:$O$41,MATCH($M107,'Upper Hot Cell Logistics'!$H$35:$H$41,0),MATCH($N107,'Upper Hot Cell Logistics'!$H$35:$H$41,0)),"N/A")</f>
        <v>N/A</v>
      </c>
      <c r="P107" s="842" t="str">
        <f>IFERROR(VLOOKUP($L107,'Upper Hot Cell Logistics'!$H$4:$I$10,2,FALSE),"N/A")</f>
        <v>N/A</v>
      </c>
      <c r="Q107" s="836" t="str">
        <f t="shared" si="6"/>
        <v>N/A</v>
      </c>
      <c r="R107" s="843"/>
      <c r="S107" s="841" t="s">
        <v>263</v>
      </c>
      <c r="T107" s="3358"/>
      <c r="U107" s="844" t="str">
        <f>IFERROR(VLOOKUP($T107,'Upper HotCell RecoveryLogisitcs'!$C$6:$F$126,4,FALSE),"N/A")</f>
        <v>N/A</v>
      </c>
      <c r="V107" s="845" t="str">
        <f t="shared" si="10"/>
        <v>N/A</v>
      </c>
      <c r="W107" s="806"/>
      <c r="Y107" s="273"/>
      <c r="Z107" s="273"/>
      <c r="AA107" s="752"/>
    </row>
    <row r="108" spans="2:28" ht="15" customHeight="1" outlineLevel="2" x14ac:dyDescent="0.4">
      <c r="B108" s="762"/>
      <c r="C108" s="5"/>
      <c r="D108" s="3886" t="s">
        <v>1092</v>
      </c>
      <c r="E108" s="798" t="s">
        <v>820</v>
      </c>
      <c r="F108" s="798"/>
      <c r="G108" s="799" t="s">
        <v>778</v>
      </c>
      <c r="H108" s="326">
        <f t="shared" si="9"/>
        <v>0.69444444444444442</v>
      </c>
      <c r="I108" s="800">
        <f t="shared" si="7"/>
        <v>241.16776504911107</v>
      </c>
      <c r="J108" s="566"/>
      <c r="K108" s="621" t="str">
        <f>IF(G108="operation",VLOOKUP(J108,'Generic Vertical Port Tasks'!$C$4:$D$197,2,FALSE),"N/A")</f>
        <v>N/A</v>
      </c>
      <c r="L108" s="568" t="s">
        <v>857</v>
      </c>
      <c r="M108" s="566" t="s">
        <v>858</v>
      </c>
      <c r="N108" s="801" t="s">
        <v>452</v>
      </c>
      <c r="O108" s="802">
        <f>IFERROR(INDEX('Upper Hot Cell Logistics'!$I$35:$O$41,MATCH($M108,'Upper Hot Cell Logistics'!$H$35:$H$41,0),MATCH($N108,'Upper Hot Cell Logistics'!$H$35:$H$41,0)),"N/A")</f>
        <v>50</v>
      </c>
      <c r="P108" s="570">
        <f>IFERROR(VLOOKUP($L108,'Upper Hot Cell Logistics'!$H$4:$I$10,2,FALSE),"N/A")</f>
        <v>0.02</v>
      </c>
      <c r="Q108" s="800">
        <f t="shared" si="6"/>
        <v>0.69444444444444442</v>
      </c>
      <c r="R108" s="803"/>
      <c r="S108" s="802" t="s">
        <v>263</v>
      </c>
      <c r="T108" s="454"/>
      <c r="U108" s="804" t="str">
        <f>IFERROR(VLOOKUP($T108,'Upper HotCell RecoveryLogisitcs'!$C$6:$F$126,4,FALSE),"N/A")</f>
        <v>N/A</v>
      </c>
      <c r="V108" s="805" t="str">
        <f t="shared" si="10"/>
        <v>N/A</v>
      </c>
      <c r="W108" s="806"/>
      <c r="Y108" s="273"/>
      <c r="Z108" s="273"/>
      <c r="AA108" s="752"/>
    </row>
    <row r="109" spans="2:28" ht="15" customHeight="1" outlineLevel="2" x14ac:dyDescent="0.4">
      <c r="B109" s="762"/>
      <c r="C109" s="5"/>
      <c r="D109" s="3890"/>
      <c r="E109" s="847" t="s">
        <v>128</v>
      </c>
      <c r="F109" s="847"/>
      <c r="G109" s="848" t="s">
        <v>251</v>
      </c>
      <c r="H109" s="459">
        <f t="shared" si="9"/>
        <v>24.022732551873563</v>
      </c>
      <c r="I109" s="849">
        <f t="shared" si="7"/>
        <v>265.19049760098466</v>
      </c>
      <c r="J109" s="573" t="s">
        <v>2492</v>
      </c>
      <c r="K109" s="850">
        <f>IF(G109="operation",VLOOKUP(J109,'Generic Vertical Port Tasks'!$C$4:$D$197,2,FALSE),"N/A")</f>
        <v>24.022732551873563</v>
      </c>
      <c r="L109" s="575"/>
      <c r="M109" s="573"/>
      <c r="N109" s="851"/>
      <c r="O109" s="852" t="str">
        <f>IFERROR(INDEX('Upper Hot Cell Logistics'!$I$35:$O$41,MATCH($M109,'Upper Hot Cell Logistics'!$H$35:$H$41,0),MATCH($N109,'Upper Hot Cell Logistics'!$H$35:$H$41,0)),"N/A")</f>
        <v>N/A</v>
      </c>
      <c r="P109" s="853" t="str">
        <f>IFERROR(VLOOKUP($L109,'Upper Hot Cell Logistics'!$H$4:$I$10,2,FALSE),"N/A")</f>
        <v>N/A</v>
      </c>
      <c r="Q109" s="849" t="str">
        <f t="shared" si="6"/>
        <v>N/A</v>
      </c>
      <c r="R109" s="854"/>
      <c r="S109" s="852" t="s">
        <v>263</v>
      </c>
      <c r="T109" s="462"/>
      <c r="U109" s="855" t="str">
        <f>IFERROR(VLOOKUP($T109,'Upper HotCell RecoveryLogisitcs'!$C$6:$F$126,4,FALSE),"N/A")</f>
        <v>N/A</v>
      </c>
      <c r="V109" s="856" t="str">
        <f t="shared" si="10"/>
        <v>N/A</v>
      </c>
      <c r="W109" s="806"/>
      <c r="Y109" s="273"/>
      <c r="Z109" s="273"/>
      <c r="AA109" s="752"/>
    </row>
    <row r="110" spans="2:28" ht="15" customHeight="1" outlineLevel="2" x14ac:dyDescent="0.4">
      <c r="B110" s="762"/>
      <c r="C110" s="5"/>
      <c r="D110" s="3890"/>
      <c r="E110" s="847" t="s">
        <v>811</v>
      </c>
      <c r="F110" s="847"/>
      <c r="G110" s="848" t="s">
        <v>778</v>
      </c>
      <c r="H110" s="459">
        <f t="shared" si="9"/>
        <v>0.20833333333333334</v>
      </c>
      <c r="I110" s="849">
        <f t="shared" si="7"/>
        <v>265.39883093431797</v>
      </c>
      <c r="J110" s="573"/>
      <c r="K110" s="850" t="str">
        <f>IF(G110="operation",VLOOKUP(J110,'Generic Vertical Port Tasks'!$C$4:$D$197,2,FALSE),"N/A")</f>
        <v>N/A</v>
      </c>
      <c r="L110" s="575" t="s">
        <v>12</v>
      </c>
      <c r="M110" s="573" t="s">
        <v>816</v>
      </c>
      <c r="N110" s="851" t="s">
        <v>452</v>
      </c>
      <c r="O110" s="852">
        <f>IFERROR(INDEX('Upper Hot Cell Logistics'!$I$35:$O$41,MATCH($M110,'Upper Hot Cell Logistics'!$H$35:$H$41,0),MATCH($N110,'Upper Hot Cell Logistics'!$H$35:$H$41,0)),"N/A")</f>
        <v>15</v>
      </c>
      <c r="P110" s="853">
        <f>IFERROR(VLOOKUP($L110,'Upper Hot Cell Logistics'!$H$4:$I$10,2,FALSE),"N/A")</f>
        <v>0.02</v>
      </c>
      <c r="Q110" s="849">
        <f t="shared" ref="Q110:Q123" si="11">IF(G110="Movement",IFERROR((O110/P110)/(60*60),"Error"),"N/A")</f>
        <v>0.20833333333333334</v>
      </c>
      <c r="R110" s="854"/>
      <c r="S110" s="852" t="s">
        <v>263</v>
      </c>
      <c r="T110" s="462" t="s">
        <v>1093</v>
      </c>
      <c r="U110" s="855">
        <f>IFERROR(VLOOKUP($T110,'Upper HotCell RecoveryLogisitcs'!$C$6:$F$126,4,FALSE),"N/A")</f>
        <v>233.96771982320681</v>
      </c>
      <c r="V110" s="856">
        <f t="shared" si="8"/>
        <v>31.22277777777785</v>
      </c>
      <c r="W110" s="806"/>
      <c r="Y110" s="273"/>
      <c r="Z110" s="273"/>
      <c r="AA110" s="752"/>
    </row>
    <row r="111" spans="2:28" ht="15.75" customHeight="1" outlineLevel="2" thickBot="1" x14ac:dyDescent="0.45">
      <c r="B111" s="762"/>
      <c r="C111" s="5"/>
      <c r="D111" s="3887"/>
      <c r="E111" s="808" t="s">
        <v>40</v>
      </c>
      <c r="F111" s="808"/>
      <c r="G111" s="809" t="s">
        <v>251</v>
      </c>
      <c r="H111" s="467">
        <f t="shared" si="9"/>
        <v>7.83</v>
      </c>
      <c r="I111" s="810">
        <f t="shared" ref="I111:I123" si="12">IF(V111&lt;0,H111+I110+(-V111),H111+I110)</f>
        <v>273.22883093431795</v>
      </c>
      <c r="J111" s="584" t="s">
        <v>257</v>
      </c>
      <c r="K111" s="811">
        <f>IF(G111="operation",VLOOKUP(J111,'Generic Vertical Port Tasks'!$C$4:$D$197,2,FALSE),"N/A")</f>
        <v>7.83</v>
      </c>
      <c r="L111" s="586"/>
      <c r="M111" s="584"/>
      <c r="N111" s="812"/>
      <c r="O111" s="813" t="str">
        <f>IFERROR(INDEX('Upper Hot Cell Logistics'!$I$35:$O$41,MATCH($M111,'Upper Hot Cell Logistics'!$H$35:$H$41,0),MATCH($N111,'Upper Hot Cell Logistics'!$H$35:$H$41,0)),"N/A")</f>
        <v>N/A</v>
      </c>
      <c r="P111" s="814" t="str">
        <f>IFERROR(VLOOKUP($L111,'Upper Hot Cell Logistics'!$H$4:$I$10,2,FALSE),"N/A")</f>
        <v>N/A</v>
      </c>
      <c r="Q111" s="810" t="str">
        <f t="shared" si="11"/>
        <v>N/A</v>
      </c>
      <c r="R111" s="815"/>
      <c r="S111" s="813" t="s">
        <v>263</v>
      </c>
      <c r="T111" s="469"/>
      <c r="U111" s="816" t="str">
        <f>IFERROR(VLOOKUP($T111,'Upper HotCell RecoveryLogisitcs'!$C$6:$F$126,4,FALSE),"N/A")</f>
        <v>N/A</v>
      </c>
      <c r="V111" s="817" t="str">
        <f t="shared" ref="V111:V123" si="13">IFERROR(I110-U111,"N/A")</f>
        <v>N/A</v>
      </c>
      <c r="W111" s="806"/>
      <c r="Y111" s="273"/>
      <c r="Z111" s="273"/>
      <c r="AA111" s="752"/>
    </row>
    <row r="112" spans="2:28" ht="15" customHeight="1" outlineLevel="2" x14ac:dyDescent="0.4">
      <c r="B112" s="762"/>
      <c r="C112" s="5"/>
      <c r="D112" s="3888" t="s">
        <v>120</v>
      </c>
      <c r="E112" s="819" t="s">
        <v>797</v>
      </c>
      <c r="F112" s="819"/>
      <c r="G112" s="820" t="s">
        <v>778</v>
      </c>
      <c r="H112" s="511">
        <f t="shared" si="9"/>
        <v>6.9444444444444448E-2</v>
      </c>
      <c r="I112" s="822">
        <f t="shared" si="12"/>
        <v>273.29827537876241</v>
      </c>
      <c r="J112" s="823"/>
      <c r="K112" s="824" t="str">
        <f>IF(G112="operation",VLOOKUP(J112,'Generic Vertical Port Tasks'!$C$4:$D$197,2,FALSE),"N/A")</f>
        <v>N/A</v>
      </c>
      <c r="L112" s="825" t="s">
        <v>798</v>
      </c>
      <c r="M112" s="823" t="s">
        <v>858</v>
      </c>
      <c r="N112" s="826" t="s">
        <v>452</v>
      </c>
      <c r="O112" s="827">
        <f>IFERROR(INDEX('Upper Hot Cell Logistics'!$I$35:$O$41,MATCH($M112,'Upper Hot Cell Logistics'!$H$35:$H$41,0),MATCH($N112,'Upper Hot Cell Logistics'!$H$35:$H$41,0)),"N/A")</f>
        <v>50</v>
      </c>
      <c r="P112" s="828">
        <f>IFERROR(VLOOKUP($L112,'Upper Hot Cell Logistics'!$H$4:$I$10,2,FALSE),"N/A")</f>
        <v>0.2</v>
      </c>
      <c r="Q112" s="822">
        <f t="shared" si="11"/>
        <v>6.9444444444444448E-2</v>
      </c>
      <c r="R112" s="829"/>
      <c r="S112" s="827" t="s">
        <v>263</v>
      </c>
      <c r="T112" s="3357" t="s">
        <v>884</v>
      </c>
      <c r="U112" s="830">
        <f>IFERROR(VLOOKUP($T112,'Upper HotCell RecoveryLogisitcs'!$C$6:$F$126,4,FALSE),"N/A")</f>
        <v>241.12276504911108</v>
      </c>
      <c r="V112" s="831">
        <f t="shared" si="13"/>
        <v>32.106065885206874</v>
      </c>
      <c r="W112" s="806"/>
      <c r="Y112" s="273"/>
      <c r="Z112" s="273"/>
      <c r="AA112" s="752"/>
    </row>
    <row r="113" spans="1:27" ht="15.75" customHeight="1" outlineLevel="2" thickBot="1" x14ac:dyDescent="0.45">
      <c r="B113" s="762"/>
      <c r="C113" s="5"/>
      <c r="D113" s="3889"/>
      <c r="E113" s="833" t="s">
        <v>1094</v>
      </c>
      <c r="F113" s="833"/>
      <c r="G113" s="834" t="s">
        <v>251</v>
      </c>
      <c r="H113" s="869">
        <f t="shared" si="9"/>
        <v>4.0949999999999998</v>
      </c>
      <c r="I113" s="836">
        <f t="shared" si="12"/>
        <v>277.39327537876244</v>
      </c>
      <c r="J113" s="837" t="s">
        <v>35</v>
      </c>
      <c r="K113" s="838">
        <f>IF(G113="operation",VLOOKUP(J113,'Generic Vertical Port Tasks'!$C$4:$D$197,2,FALSE),"N/A")</f>
        <v>4.0949999999999998</v>
      </c>
      <c r="L113" s="839"/>
      <c r="M113" s="837"/>
      <c r="N113" s="840"/>
      <c r="O113" s="841" t="str">
        <f>IFERROR(INDEX('Upper Hot Cell Logistics'!$I$35:$O$41,MATCH($M113,'Upper Hot Cell Logistics'!$H$35:$H$41,0),MATCH($N113,'Upper Hot Cell Logistics'!$H$35:$H$41,0)),"N/A")</f>
        <v>N/A</v>
      </c>
      <c r="P113" s="842" t="str">
        <f>IFERROR(VLOOKUP($L113,'Upper Hot Cell Logistics'!$H$4:$I$10,2,FALSE),"N/A")</f>
        <v>N/A</v>
      </c>
      <c r="Q113" s="836" t="str">
        <f t="shared" si="11"/>
        <v>N/A</v>
      </c>
      <c r="R113" s="843"/>
      <c r="S113" s="841" t="s">
        <v>263</v>
      </c>
      <c r="T113" s="3358"/>
      <c r="U113" s="844" t="str">
        <f>IFERROR(VLOOKUP($T113,'Upper HotCell RecoveryLogisitcs'!$C$6:$F$126,4,FALSE),"N/A")</f>
        <v>N/A</v>
      </c>
      <c r="V113" s="845" t="str">
        <f t="shared" si="13"/>
        <v>N/A</v>
      </c>
      <c r="W113" s="806"/>
      <c r="Y113" s="273"/>
      <c r="Z113" s="273"/>
      <c r="AA113" s="752"/>
    </row>
    <row r="114" spans="1:27" ht="15" customHeight="1" outlineLevel="2" x14ac:dyDescent="0.4">
      <c r="B114" s="762"/>
      <c r="C114" s="5"/>
      <c r="D114" s="3886" t="s">
        <v>1095</v>
      </c>
      <c r="E114" s="798" t="s">
        <v>820</v>
      </c>
      <c r="F114" s="798"/>
      <c r="G114" s="799" t="s">
        <v>778</v>
      </c>
      <c r="H114" s="326">
        <f t="shared" si="9"/>
        <v>0.69444444444444442</v>
      </c>
      <c r="I114" s="800">
        <f t="shared" si="12"/>
        <v>278.0877198232069</v>
      </c>
      <c r="J114" s="566"/>
      <c r="K114" s="621" t="str">
        <f>IF(G114="operation",VLOOKUP(J114,'Generic Vertical Port Tasks'!$C$4:$D$197,2,FALSE),"N/A")</f>
        <v>N/A</v>
      </c>
      <c r="L114" s="568" t="s">
        <v>857</v>
      </c>
      <c r="M114" s="566" t="s">
        <v>858</v>
      </c>
      <c r="N114" s="801" t="s">
        <v>452</v>
      </c>
      <c r="O114" s="802">
        <f>IFERROR(INDEX('Upper Hot Cell Logistics'!$I$35:$O$41,MATCH($M114,'Upper Hot Cell Logistics'!$H$35:$H$41,0),MATCH($N114,'Upper Hot Cell Logistics'!$H$35:$H$41,0)),"N/A")</f>
        <v>50</v>
      </c>
      <c r="P114" s="570">
        <f>IFERROR(VLOOKUP($L114,'Upper Hot Cell Logistics'!$H$4:$I$10,2,FALSE),"N/A")</f>
        <v>0.02</v>
      </c>
      <c r="Q114" s="800">
        <f t="shared" si="11"/>
        <v>0.69444444444444442</v>
      </c>
      <c r="R114" s="803"/>
      <c r="S114" s="802" t="s">
        <v>263</v>
      </c>
      <c r="T114" s="454"/>
      <c r="U114" s="804" t="str">
        <f>IFERROR(VLOOKUP($T114,'Upper HotCell RecoveryLogisitcs'!$C$6:$F$126,4,FALSE),"N/A")</f>
        <v>N/A</v>
      </c>
      <c r="V114" s="805" t="str">
        <f t="shared" si="13"/>
        <v>N/A</v>
      </c>
      <c r="W114" s="806"/>
      <c r="Y114" s="273"/>
      <c r="Z114" s="273"/>
      <c r="AA114" s="752"/>
    </row>
    <row r="115" spans="1:27" ht="15" customHeight="1" outlineLevel="2" x14ac:dyDescent="0.4">
      <c r="B115" s="762"/>
      <c r="C115" s="5"/>
      <c r="D115" s="3890"/>
      <c r="E115" s="847" t="s">
        <v>126</v>
      </c>
      <c r="F115" s="847"/>
      <c r="G115" s="848" t="s">
        <v>251</v>
      </c>
      <c r="H115" s="459">
        <f t="shared" si="9"/>
        <v>24.022732551873563</v>
      </c>
      <c r="I115" s="849">
        <f t="shared" si="12"/>
        <v>302.11045237508046</v>
      </c>
      <c r="J115" s="573" t="s">
        <v>2492</v>
      </c>
      <c r="K115" s="850">
        <f>IF(G115="operation",VLOOKUP(J115,'Generic Vertical Port Tasks'!$C$4:$D$197,2,FALSE),"N/A")</f>
        <v>24.022732551873563</v>
      </c>
      <c r="L115" s="575"/>
      <c r="M115" s="573"/>
      <c r="N115" s="851"/>
      <c r="O115" s="852" t="str">
        <f>IFERROR(INDEX('Upper Hot Cell Logistics'!$I$35:$O$41,MATCH($M115,'Upper Hot Cell Logistics'!$H$35:$H$41,0),MATCH($N115,'Upper Hot Cell Logistics'!$H$35:$H$41,0)),"N/A")</f>
        <v>N/A</v>
      </c>
      <c r="P115" s="853" t="str">
        <f>IFERROR(VLOOKUP($L115,'Upper Hot Cell Logistics'!$H$4:$I$10,2,FALSE),"N/A")</f>
        <v>N/A</v>
      </c>
      <c r="Q115" s="849" t="str">
        <f t="shared" si="11"/>
        <v>N/A</v>
      </c>
      <c r="R115" s="854"/>
      <c r="S115" s="852" t="s">
        <v>263</v>
      </c>
      <c r="T115" s="462"/>
      <c r="U115" s="855" t="str">
        <f>IFERROR(VLOOKUP($T115,'Upper HotCell RecoveryLogisitcs'!$C$6:$F$126,4,FALSE),"N/A")</f>
        <v>N/A</v>
      </c>
      <c r="V115" s="856" t="str">
        <f t="shared" si="13"/>
        <v>N/A</v>
      </c>
      <c r="W115" s="806"/>
      <c r="Y115" s="273"/>
      <c r="Z115" s="273"/>
      <c r="AA115" s="752"/>
    </row>
    <row r="116" spans="1:27" ht="15" customHeight="1" outlineLevel="2" x14ac:dyDescent="0.4">
      <c r="B116" s="762"/>
      <c r="C116" s="5"/>
      <c r="D116" s="3890"/>
      <c r="E116" s="847" t="s">
        <v>811</v>
      </c>
      <c r="F116" s="847"/>
      <c r="G116" s="848" t="s">
        <v>778</v>
      </c>
      <c r="H116" s="459">
        <f t="shared" si="9"/>
        <v>0.20833333333333334</v>
      </c>
      <c r="I116" s="849">
        <f t="shared" si="12"/>
        <v>319.26545237508032</v>
      </c>
      <c r="J116" s="573"/>
      <c r="K116" s="850" t="str">
        <f>IF(G116="operation",VLOOKUP(J116,'Generic Vertical Port Tasks'!$C$4:$D$197,2,FALSE),"N/A")</f>
        <v>N/A</v>
      </c>
      <c r="L116" s="575" t="s">
        <v>12</v>
      </c>
      <c r="M116" s="573" t="s">
        <v>816</v>
      </c>
      <c r="N116" s="851" t="s">
        <v>452</v>
      </c>
      <c r="O116" s="852">
        <f>IFERROR(INDEX('Upper Hot Cell Logistics'!$I$35:$O$41,MATCH($M116,'Upper Hot Cell Logistics'!$H$35:$H$41,0),MATCH($N116,'Upper Hot Cell Logistics'!$H$35:$H$41,0)),"N/A")</f>
        <v>15</v>
      </c>
      <c r="P116" s="853">
        <f>IFERROR(VLOOKUP($L116,'Upper Hot Cell Logistics'!$H$4:$I$10,2,FALSE),"N/A")</f>
        <v>0.02</v>
      </c>
      <c r="Q116" s="849">
        <f t="shared" si="11"/>
        <v>0.20833333333333334</v>
      </c>
      <c r="R116" s="854"/>
      <c r="S116" s="852" t="s">
        <v>263</v>
      </c>
      <c r="T116" s="462" t="s">
        <v>1096</v>
      </c>
      <c r="U116" s="855">
        <f>IFERROR(VLOOKUP($T116,'Upper HotCell RecoveryLogisitcs'!$C$6:$F$126,4,FALSE),"N/A")</f>
        <v>319.057119041747</v>
      </c>
      <c r="V116" s="856">
        <f t="shared" si="13"/>
        <v>-16.946666666666545</v>
      </c>
      <c r="W116" s="806"/>
      <c r="Y116" s="273"/>
      <c r="Z116" s="273"/>
      <c r="AA116" s="752"/>
    </row>
    <row r="117" spans="1:27" ht="15.75" customHeight="1" outlineLevel="2" thickBot="1" x14ac:dyDescent="0.45">
      <c r="B117" s="762"/>
      <c r="C117" s="5"/>
      <c r="D117" s="3887"/>
      <c r="E117" s="808" t="s">
        <v>41</v>
      </c>
      <c r="F117" s="808"/>
      <c r="G117" s="809" t="s">
        <v>251</v>
      </c>
      <c r="H117" s="467">
        <f t="shared" si="9"/>
        <v>7.83</v>
      </c>
      <c r="I117" s="810">
        <f t="shared" si="12"/>
        <v>327.0954523750803</v>
      </c>
      <c r="J117" s="584" t="s">
        <v>257</v>
      </c>
      <c r="K117" s="811">
        <f>IF(G117="operation",VLOOKUP(J117,'Generic Vertical Port Tasks'!$C$4:$D$197,2,FALSE),"N/A")</f>
        <v>7.83</v>
      </c>
      <c r="L117" s="586"/>
      <c r="M117" s="584"/>
      <c r="N117" s="812"/>
      <c r="O117" s="813" t="str">
        <f>IFERROR(INDEX('Upper Hot Cell Logistics'!$I$35:$O$41,MATCH($M117,'Upper Hot Cell Logistics'!$H$35:$H$41,0),MATCH($N117,'Upper Hot Cell Logistics'!$H$35:$H$41,0)),"N/A")</f>
        <v>N/A</v>
      </c>
      <c r="P117" s="814" t="str">
        <f>IFERROR(VLOOKUP($L117,'Upper Hot Cell Logistics'!$H$4:$I$10,2,FALSE),"N/A")</f>
        <v>N/A</v>
      </c>
      <c r="Q117" s="810" t="str">
        <f t="shared" si="11"/>
        <v>N/A</v>
      </c>
      <c r="R117" s="815"/>
      <c r="S117" s="813" t="s">
        <v>263</v>
      </c>
      <c r="T117" s="469"/>
      <c r="U117" s="816" t="str">
        <f>IFERROR(VLOOKUP($T117,'Upper HotCell RecoveryLogisitcs'!$C$6:$F$126,4,FALSE),"N/A")</f>
        <v>N/A</v>
      </c>
      <c r="V117" s="817" t="str">
        <f t="shared" si="13"/>
        <v>N/A</v>
      </c>
      <c r="W117" s="806"/>
      <c r="Y117" s="273"/>
      <c r="Z117" s="273"/>
      <c r="AA117" s="752"/>
    </row>
    <row r="118" spans="1:27" ht="15" customHeight="1" outlineLevel="2" x14ac:dyDescent="0.4">
      <c r="B118" s="762"/>
      <c r="C118" s="5"/>
      <c r="D118" s="3888" t="s">
        <v>121</v>
      </c>
      <c r="E118" s="819" t="s">
        <v>797</v>
      </c>
      <c r="F118" s="819"/>
      <c r="G118" s="820" t="s">
        <v>778</v>
      </c>
      <c r="H118" s="511">
        <f t="shared" si="9"/>
        <v>6.9444444444444448E-2</v>
      </c>
      <c r="I118" s="822">
        <f t="shared" si="12"/>
        <v>327.16489681952476</v>
      </c>
      <c r="J118" s="823"/>
      <c r="K118" s="824" t="str">
        <f>IF(G118="operation",VLOOKUP(J118,'Generic Vertical Port Tasks'!$C$4:$D$197,2,FALSE),"N/A")</f>
        <v>N/A</v>
      </c>
      <c r="L118" s="825" t="s">
        <v>798</v>
      </c>
      <c r="M118" s="823" t="s">
        <v>858</v>
      </c>
      <c r="N118" s="826" t="s">
        <v>452</v>
      </c>
      <c r="O118" s="827">
        <f>IFERROR(INDEX('Upper Hot Cell Logistics'!$I$35:$O$41,MATCH($M118,'Upper Hot Cell Logistics'!$H$35:$H$41,0),MATCH($N118,'Upper Hot Cell Logistics'!$H$35:$H$41,0)),"N/A")</f>
        <v>50</v>
      </c>
      <c r="P118" s="828">
        <f>IFERROR(VLOOKUP($L118,'Upper Hot Cell Logistics'!$H$4:$I$10,2,FALSE),"N/A")</f>
        <v>0.2</v>
      </c>
      <c r="Q118" s="822">
        <f t="shared" si="11"/>
        <v>6.9444444444444448E-2</v>
      </c>
      <c r="R118" s="829"/>
      <c r="S118" s="827" t="s">
        <v>263</v>
      </c>
      <c r="T118" s="3357" t="s">
        <v>889</v>
      </c>
      <c r="U118" s="830">
        <f>IFERROR(VLOOKUP($T118,'Upper HotCell RecoveryLogisitcs'!$C$6:$F$126,4,FALSE),"N/A")</f>
        <v>278.04271982320688</v>
      </c>
      <c r="V118" s="831">
        <f t="shared" si="13"/>
        <v>49.052732551873419</v>
      </c>
      <c r="W118" s="806"/>
      <c r="Y118" s="273"/>
      <c r="Z118" s="273"/>
      <c r="AA118" s="752"/>
    </row>
    <row r="119" spans="1:27" ht="15.75" customHeight="1" outlineLevel="2" thickBot="1" x14ac:dyDescent="0.45">
      <c r="B119" s="762"/>
      <c r="C119" s="5"/>
      <c r="D119" s="3889"/>
      <c r="E119" s="833" t="s">
        <v>1097</v>
      </c>
      <c r="F119" s="833"/>
      <c r="G119" s="834" t="s">
        <v>251</v>
      </c>
      <c r="H119" s="869">
        <f t="shared" si="9"/>
        <v>4.0949999999999998</v>
      </c>
      <c r="I119" s="836">
        <f t="shared" si="12"/>
        <v>331.25989681952478</v>
      </c>
      <c r="J119" s="837" t="s">
        <v>35</v>
      </c>
      <c r="K119" s="838">
        <f>IF(G119="operation",VLOOKUP(J119,'Generic Vertical Port Tasks'!$C$4:$D$197,2,FALSE),"N/A")</f>
        <v>4.0949999999999998</v>
      </c>
      <c r="L119" s="839"/>
      <c r="M119" s="837"/>
      <c r="N119" s="840"/>
      <c r="O119" s="841" t="str">
        <f>IFERROR(INDEX('Upper Hot Cell Logistics'!$I$35:$O$41,MATCH($M119,'Upper Hot Cell Logistics'!$H$35:$H$41,0),MATCH($N119,'Upper Hot Cell Logistics'!$H$35:$H$41,0)),"N/A")</f>
        <v>N/A</v>
      </c>
      <c r="P119" s="842" t="str">
        <f>IFERROR(VLOOKUP($L119,'Upper Hot Cell Logistics'!$H$4:$I$10,2,FALSE),"N/A")</f>
        <v>N/A</v>
      </c>
      <c r="Q119" s="836" t="str">
        <f t="shared" si="11"/>
        <v>N/A</v>
      </c>
      <c r="R119" s="843"/>
      <c r="S119" s="841" t="s">
        <v>263</v>
      </c>
      <c r="T119" s="3358"/>
      <c r="U119" s="844" t="str">
        <f>IFERROR(VLOOKUP($T119,'Upper HotCell RecoveryLogisitcs'!$C$6:$F$126,4,FALSE),"N/A")</f>
        <v>N/A</v>
      </c>
      <c r="V119" s="845" t="str">
        <f t="shared" si="13"/>
        <v>N/A</v>
      </c>
      <c r="W119" s="806"/>
      <c r="Y119" s="273"/>
      <c r="Z119" s="273"/>
      <c r="AA119" s="752"/>
    </row>
    <row r="120" spans="1:27" ht="15" customHeight="1" outlineLevel="2" x14ac:dyDescent="0.4">
      <c r="B120" s="762"/>
      <c r="C120" s="5"/>
      <c r="D120" s="3886" t="s">
        <v>1098</v>
      </c>
      <c r="E120" s="798" t="s">
        <v>820</v>
      </c>
      <c r="F120" s="798"/>
      <c r="G120" s="799" t="s">
        <v>778</v>
      </c>
      <c r="H120" s="326">
        <f t="shared" si="9"/>
        <v>0.69444444444444442</v>
      </c>
      <c r="I120" s="800">
        <f t="shared" si="12"/>
        <v>331.95434126396924</v>
      </c>
      <c r="J120" s="566"/>
      <c r="K120" s="621" t="str">
        <f>IF(G120="operation",VLOOKUP(J120,'Generic Vertical Port Tasks'!$C$4:$D$197,2,FALSE),"N/A")</f>
        <v>N/A</v>
      </c>
      <c r="L120" s="568" t="s">
        <v>857</v>
      </c>
      <c r="M120" s="566" t="s">
        <v>858</v>
      </c>
      <c r="N120" s="801" t="s">
        <v>452</v>
      </c>
      <c r="O120" s="802">
        <f>IFERROR(INDEX('Upper Hot Cell Logistics'!$I$35:$O$41,MATCH($M120,'Upper Hot Cell Logistics'!$H$35:$H$41,0),MATCH($N120,'Upper Hot Cell Logistics'!$H$35:$H$41,0)),"N/A")</f>
        <v>50</v>
      </c>
      <c r="P120" s="570">
        <f>IFERROR(VLOOKUP($L120,'Upper Hot Cell Logistics'!$H$4:$I$10,2,FALSE),"N/A")</f>
        <v>0.02</v>
      </c>
      <c r="Q120" s="800">
        <f t="shared" si="11"/>
        <v>0.69444444444444442</v>
      </c>
      <c r="R120" s="803"/>
      <c r="S120" s="802" t="s">
        <v>263</v>
      </c>
      <c r="T120" s="454"/>
      <c r="U120" s="804" t="str">
        <f>IFERROR(VLOOKUP($T120,'Upper HotCell RecoveryLogisitcs'!$C$6:$F$126,4,FALSE),"N/A")</f>
        <v>N/A</v>
      </c>
      <c r="V120" s="805" t="str">
        <f t="shared" si="13"/>
        <v>N/A</v>
      </c>
      <c r="W120" s="806"/>
      <c r="Y120" s="273"/>
      <c r="Z120" s="273"/>
      <c r="AA120" s="752"/>
    </row>
    <row r="121" spans="1:27" ht="15" customHeight="1" outlineLevel="2" x14ac:dyDescent="0.4">
      <c r="B121" s="762"/>
      <c r="C121" s="5"/>
      <c r="D121" s="3890"/>
      <c r="E121" s="847" t="s">
        <v>124</v>
      </c>
      <c r="F121" s="847"/>
      <c r="G121" s="848" t="s">
        <v>251</v>
      </c>
      <c r="H121" s="459">
        <f t="shared" si="9"/>
        <v>24.022732551873563</v>
      </c>
      <c r="I121" s="849">
        <f t="shared" si="12"/>
        <v>355.9770738158428</v>
      </c>
      <c r="J121" s="573" t="s">
        <v>2492</v>
      </c>
      <c r="K121" s="850">
        <f>IF(G121="operation",VLOOKUP(J121,'Generic Vertical Port Tasks'!$C$4:$D$197,2,FALSE),"N/A")</f>
        <v>24.022732551873563</v>
      </c>
      <c r="L121" s="575"/>
      <c r="M121" s="573"/>
      <c r="N121" s="851"/>
      <c r="O121" s="852" t="str">
        <f>IFERROR(INDEX('Upper Hot Cell Logistics'!$I$35:$O$41,MATCH($M121,'Upper Hot Cell Logistics'!$H$35:$H$41,0),MATCH($N121,'Upper Hot Cell Logistics'!$H$35:$H$41,0)),"N/A")</f>
        <v>N/A</v>
      </c>
      <c r="P121" s="853" t="str">
        <f>IFERROR(VLOOKUP($L121,'Upper Hot Cell Logistics'!$H$4:$I$10,2,FALSE),"N/A")</f>
        <v>N/A</v>
      </c>
      <c r="Q121" s="849" t="str">
        <f t="shared" si="11"/>
        <v>N/A</v>
      </c>
      <c r="R121" s="854"/>
      <c r="S121" s="852" t="s">
        <v>263</v>
      </c>
      <c r="T121" s="462"/>
      <c r="U121" s="855" t="str">
        <f>IFERROR(VLOOKUP($T121,'Upper HotCell RecoveryLogisitcs'!$C$6:$F$126,4,FALSE),"N/A")</f>
        <v>N/A</v>
      </c>
      <c r="V121" s="856" t="str">
        <f t="shared" si="13"/>
        <v>N/A</v>
      </c>
      <c r="W121" s="806"/>
      <c r="Y121" s="273"/>
      <c r="Z121" s="273"/>
      <c r="AA121" s="752"/>
    </row>
    <row r="122" spans="1:27" ht="15" customHeight="1" outlineLevel="2" x14ac:dyDescent="0.4">
      <c r="B122" s="762"/>
      <c r="C122" s="5"/>
      <c r="D122" s="3890"/>
      <c r="E122" s="847" t="s">
        <v>811</v>
      </c>
      <c r="F122" s="847"/>
      <c r="G122" s="848" t="s">
        <v>778</v>
      </c>
      <c r="H122" s="459">
        <f t="shared" si="9"/>
        <v>0.20833333333333334</v>
      </c>
      <c r="I122" s="849">
        <f t="shared" si="12"/>
        <v>356.18540714917611</v>
      </c>
      <c r="J122" s="573"/>
      <c r="K122" s="850" t="str">
        <f>IF(G122="operation",VLOOKUP(J122,'Generic Vertical Port Tasks'!$C$4:$D$197,2,FALSE),"N/A")</f>
        <v>N/A</v>
      </c>
      <c r="L122" s="575" t="s">
        <v>12</v>
      </c>
      <c r="M122" s="573" t="s">
        <v>816</v>
      </c>
      <c r="N122" s="851" t="s">
        <v>452</v>
      </c>
      <c r="O122" s="852">
        <f>IFERROR(INDEX('Upper Hot Cell Logistics'!$I$35:$O$41,MATCH($M122,'Upper Hot Cell Logistics'!$H$35:$H$41,0),MATCH($N122,'Upper Hot Cell Logistics'!$H$35:$H$41,0)),"N/A")</f>
        <v>15</v>
      </c>
      <c r="P122" s="853">
        <f>IFERROR(VLOOKUP($L122,'Upper Hot Cell Logistics'!$H$4:$I$10,2,FALSE),"N/A")</f>
        <v>0.02</v>
      </c>
      <c r="Q122" s="849">
        <f t="shared" si="11"/>
        <v>0.20833333333333334</v>
      </c>
      <c r="R122" s="854"/>
      <c r="S122" s="852" t="s">
        <v>263</v>
      </c>
      <c r="T122" s="462" t="s">
        <v>1099</v>
      </c>
      <c r="U122" s="855">
        <f>IFERROR(VLOOKUP($T122,'Upper HotCell RecoveryLogisitcs'!$C$6:$F$126,4,FALSE),"N/A")</f>
        <v>311.62318492695391</v>
      </c>
      <c r="V122" s="856">
        <f t="shared" si="13"/>
        <v>44.353888888888889</v>
      </c>
      <c r="W122" s="806"/>
      <c r="Y122" s="273"/>
      <c r="Z122" s="273"/>
      <c r="AA122" s="752"/>
    </row>
    <row r="123" spans="1:27" ht="15.75" customHeight="1" outlineLevel="2" thickBot="1" x14ac:dyDescent="0.45">
      <c r="B123" s="762"/>
      <c r="C123" s="5"/>
      <c r="D123" s="3887"/>
      <c r="E123" s="808" t="s">
        <v>43</v>
      </c>
      <c r="F123" s="808"/>
      <c r="G123" s="809" t="s">
        <v>251</v>
      </c>
      <c r="H123" s="467">
        <f t="shared" si="9"/>
        <v>7.83</v>
      </c>
      <c r="I123" s="810">
        <f t="shared" si="12"/>
        <v>364.0154071491761</v>
      </c>
      <c r="J123" s="584" t="s">
        <v>257</v>
      </c>
      <c r="K123" s="811">
        <f>IF(G123="operation",VLOOKUP(J123,'Generic Vertical Port Tasks'!$C$4:$D$197,2,FALSE),"N/A")</f>
        <v>7.83</v>
      </c>
      <c r="L123" s="586"/>
      <c r="M123" s="584"/>
      <c r="N123" s="812"/>
      <c r="O123" s="813" t="str">
        <f>IFERROR(INDEX('Upper Hot Cell Logistics'!$I$35:$O$41,MATCH($M123,'Upper Hot Cell Logistics'!$H$35:$H$41,0),MATCH($N123,'Upper Hot Cell Logistics'!$H$35:$H$41,0)),"N/A")</f>
        <v>N/A</v>
      </c>
      <c r="P123" s="814" t="str">
        <f>IFERROR(VLOOKUP($L123,'Upper Hot Cell Logistics'!$H$4:$I$10,2,FALSE),"N/A")</f>
        <v>N/A</v>
      </c>
      <c r="Q123" s="810" t="str">
        <f t="shared" si="11"/>
        <v>N/A</v>
      </c>
      <c r="R123" s="815"/>
      <c r="S123" s="813" t="s">
        <v>263</v>
      </c>
      <c r="T123" s="469"/>
      <c r="U123" s="816" t="str">
        <f>IFERROR(VLOOKUP($T123,'Upper HotCell RecoveryLogisitcs'!$C$6:$F$126,4,FALSE),"N/A")</f>
        <v>N/A</v>
      </c>
      <c r="V123" s="817" t="str">
        <f t="shared" si="13"/>
        <v>N/A</v>
      </c>
      <c r="W123" s="806"/>
      <c r="Y123" s="273"/>
      <c r="Z123" s="273"/>
      <c r="AA123" s="752"/>
    </row>
    <row r="124" spans="1:27" outlineLevel="1" x14ac:dyDescent="0.4">
      <c r="B124" s="762"/>
      <c r="C124" s="5"/>
      <c r="D124" s="891"/>
      <c r="E124" s="892"/>
      <c r="F124" s="892"/>
      <c r="G124" s="893" t="s">
        <v>11</v>
      </c>
      <c r="H124" s="893"/>
      <c r="I124" s="894">
        <f>IF(V124&lt;0,H124+I123+(-V124),H124+I123)</f>
        <v>364.0154071491761</v>
      </c>
      <c r="J124" s="94"/>
      <c r="K124" s="895"/>
      <c r="L124" s="94"/>
      <c r="M124" s="94"/>
      <c r="N124" s="896"/>
      <c r="O124" s="897"/>
      <c r="P124" s="897"/>
      <c r="Q124" s="894"/>
      <c r="R124" s="94"/>
      <c r="S124" s="897"/>
      <c r="T124" s="3356"/>
      <c r="U124" s="895"/>
      <c r="V124" s="895"/>
      <c r="W124" s="895"/>
      <c r="Y124" s="273"/>
      <c r="Z124" s="273"/>
      <c r="AA124" s="752"/>
    </row>
    <row r="125" spans="1:27" outlineLevel="1" x14ac:dyDescent="0.4">
      <c r="B125" s="762"/>
      <c r="C125" s="5"/>
      <c r="D125" s="891"/>
      <c r="E125" s="892"/>
      <c r="F125" s="892"/>
      <c r="G125" s="898"/>
      <c r="H125" s="894"/>
      <c r="I125" s="894"/>
      <c r="J125" s="94"/>
      <c r="K125" s="895"/>
      <c r="L125" s="94"/>
      <c r="M125" s="94"/>
      <c r="N125" s="896"/>
      <c r="O125" s="897"/>
      <c r="P125" s="897"/>
      <c r="Q125" s="894"/>
      <c r="R125" s="94"/>
      <c r="S125" s="897"/>
      <c r="T125" s="3356"/>
      <c r="U125" s="273"/>
      <c r="V125" s="895"/>
      <c r="W125" s="895"/>
      <c r="X125" s="895"/>
      <c r="Y125" s="273"/>
      <c r="Z125" s="273"/>
      <c r="AA125" s="752"/>
    </row>
    <row r="126" spans="1:27" x14ac:dyDescent="0.4">
      <c r="B126" s="899"/>
      <c r="C126" s="900"/>
      <c r="D126" s="900"/>
      <c r="E126" s="900"/>
      <c r="F126" s="900"/>
      <c r="G126" s="901"/>
      <c r="H126" s="900"/>
      <c r="I126" s="900"/>
      <c r="J126" s="902"/>
      <c r="K126" s="903"/>
      <c r="L126" s="900"/>
      <c r="M126" s="900"/>
      <c r="N126" s="904"/>
      <c r="O126" s="900"/>
      <c r="P126" s="900"/>
      <c r="Q126" s="900"/>
      <c r="R126" s="900"/>
      <c r="S126" s="900"/>
      <c r="T126" s="904"/>
      <c r="U126" s="903"/>
      <c r="V126" s="900"/>
      <c r="W126" s="900"/>
      <c r="X126" s="900"/>
      <c r="Y126" s="903"/>
      <c r="Z126" s="903"/>
      <c r="AA126" s="905"/>
    </row>
    <row r="127" spans="1:27" x14ac:dyDescent="0.4">
      <c r="A127" s="7"/>
      <c r="B127" s="5"/>
      <c r="C127" s="5"/>
      <c r="D127" s="5"/>
      <c r="E127" s="5"/>
      <c r="F127" s="5"/>
      <c r="G127" s="771"/>
      <c r="H127" s="5"/>
      <c r="I127" s="5"/>
      <c r="J127" s="90"/>
      <c r="K127" s="273"/>
      <c r="L127" s="5"/>
      <c r="M127" s="5"/>
      <c r="N127" s="906"/>
      <c r="O127" s="5"/>
      <c r="P127" s="5"/>
      <c r="Q127" s="5"/>
      <c r="R127" s="5"/>
      <c r="S127" s="5"/>
      <c r="T127" s="906"/>
      <c r="U127" s="273"/>
      <c r="V127" s="5"/>
      <c r="W127" s="5"/>
      <c r="X127" s="5"/>
      <c r="Y127" s="273"/>
      <c r="Z127" s="273"/>
      <c r="AA127" s="907"/>
    </row>
    <row r="128" spans="1:27" ht="15.45" x14ac:dyDescent="0.4">
      <c r="B128" s="908"/>
      <c r="C128" s="909"/>
      <c r="D128" s="909"/>
      <c r="E128" s="910" t="s">
        <v>1100</v>
      </c>
      <c r="F128" s="911"/>
      <c r="G128" s="911"/>
      <c r="H128" s="911"/>
      <c r="I128" s="911"/>
      <c r="J128" s="911"/>
      <c r="K128" s="911"/>
      <c r="L128" s="911"/>
      <c r="M128" s="911"/>
      <c r="N128" s="911"/>
      <c r="O128" s="911"/>
      <c r="P128" s="911"/>
      <c r="Q128" s="911"/>
      <c r="R128" s="911"/>
      <c r="S128" s="911"/>
      <c r="T128" s="3602"/>
      <c r="U128" s="911"/>
      <c r="V128" s="911"/>
      <c r="W128" s="911"/>
      <c r="X128" s="911"/>
      <c r="Y128" s="911"/>
      <c r="Z128" s="911"/>
      <c r="AA128" s="912"/>
    </row>
    <row r="129" spans="2:31" ht="15" outlineLevel="1" thickBot="1" x14ac:dyDescent="0.45">
      <c r="B129" s="913"/>
      <c r="C129" s="704"/>
      <c r="D129" s="704"/>
      <c r="E129" s="748" t="s">
        <v>1053</v>
      </c>
      <c r="F129" s="704"/>
      <c r="G129" s="749"/>
      <c r="H129" s="704"/>
      <c r="I129" s="704"/>
      <c r="J129" s="704"/>
      <c r="K129" s="750"/>
      <c r="L129" s="704"/>
      <c r="M129" s="704"/>
      <c r="N129" s="704"/>
      <c r="O129" s="704"/>
      <c r="P129" s="704"/>
      <c r="Q129" s="704"/>
      <c r="R129" s="704"/>
      <c r="S129" s="704"/>
      <c r="T129" s="1826"/>
      <c r="U129" s="750"/>
      <c r="V129" s="704"/>
      <c r="W129" s="704"/>
      <c r="X129" s="704"/>
      <c r="Y129" s="750"/>
      <c r="Z129" s="750"/>
      <c r="AA129" s="751"/>
    </row>
    <row r="130" spans="2:31" ht="15" customHeight="1" outlineLevel="1" x14ac:dyDescent="0.4">
      <c r="B130" s="913"/>
      <c r="C130" s="704"/>
      <c r="D130" s="704"/>
      <c r="E130" s="704" t="s">
        <v>1034</v>
      </c>
      <c r="F130" s="704"/>
      <c r="G130" s="749"/>
      <c r="H130" s="704"/>
      <c r="I130" s="704"/>
      <c r="J130" s="704"/>
      <c r="K130" s="750"/>
      <c r="L130" s="704"/>
      <c r="M130" s="704"/>
      <c r="N130" s="704"/>
      <c r="O130" s="704"/>
      <c r="P130" s="704"/>
      <c r="Q130" s="704"/>
      <c r="R130" s="704"/>
      <c r="S130" s="704"/>
      <c r="T130" s="3541" t="s">
        <v>1101</v>
      </c>
      <c r="U130" s="3015" t="s">
        <v>23</v>
      </c>
      <c r="V130" s="3989" t="s">
        <v>2688</v>
      </c>
      <c r="W130" s="3990"/>
      <c r="X130" s="3990"/>
      <c r="Y130" s="3990"/>
      <c r="Z130" s="3991"/>
      <c r="AA130" s="915"/>
    </row>
    <row r="131" spans="2:31" outlineLevel="1" x14ac:dyDescent="0.4">
      <c r="B131" s="913"/>
      <c r="C131" s="704"/>
      <c r="D131" s="704"/>
      <c r="E131" s="704" t="s">
        <v>1035</v>
      </c>
      <c r="F131" s="704"/>
      <c r="G131" s="749"/>
      <c r="H131" s="704"/>
      <c r="I131" s="704"/>
      <c r="J131" s="704"/>
      <c r="K131" s="750"/>
      <c r="L131" s="704"/>
      <c r="M131" s="704"/>
      <c r="N131" s="704"/>
      <c r="O131" s="704"/>
      <c r="P131" s="704"/>
      <c r="Q131" s="704"/>
      <c r="R131" s="704"/>
      <c r="S131" s="704"/>
      <c r="T131" s="3596" t="s">
        <v>1055</v>
      </c>
      <c r="U131" s="2282">
        <v>1</v>
      </c>
      <c r="V131" s="1497">
        <v>1</v>
      </c>
      <c r="W131" s="754">
        <v>2</v>
      </c>
      <c r="X131" s="754">
        <v>3</v>
      </c>
      <c r="Y131" s="754">
        <v>4</v>
      </c>
      <c r="Z131" s="753">
        <v>6</v>
      </c>
      <c r="AA131" s="915"/>
    </row>
    <row r="132" spans="2:31" outlineLevel="1" x14ac:dyDescent="0.4">
      <c r="B132" s="913"/>
      <c r="C132" s="704"/>
      <c r="D132" s="704"/>
      <c r="E132" s="704" t="s">
        <v>1036</v>
      </c>
      <c r="F132" s="704"/>
      <c r="G132" s="749"/>
      <c r="H132" s="704"/>
      <c r="I132" s="704"/>
      <c r="J132" s="704"/>
      <c r="K132" s="750"/>
      <c r="L132" s="704"/>
      <c r="M132" s="704"/>
      <c r="N132" s="704"/>
      <c r="O132" s="704"/>
      <c r="P132" s="704"/>
      <c r="Q132" s="704"/>
      <c r="R132" s="704"/>
      <c r="S132" s="704"/>
      <c r="T132" s="3333" t="s">
        <v>2665</v>
      </c>
      <c r="U132" s="1086">
        <f>(Connect_vertical_pipework)</f>
        <v>24.022732551873563</v>
      </c>
      <c r="V132" s="1498">
        <f>(ROUNDUP(Tokamak_Segmts/V131,0)*(Connect_vertical_pipework))</f>
        <v>384.36372082997701</v>
      </c>
      <c r="W132" s="756">
        <f>(ROUNDUP(Tokamak_Segmts/W131,0)*(Connect_vertical_pipework))</f>
        <v>192.18186041498851</v>
      </c>
      <c r="X132" s="756">
        <f>(ROUNDUP(Tokamak_Segmts/X131,0)*(Connect_vertical_pipework))</f>
        <v>144.13639531124139</v>
      </c>
      <c r="Y132" s="756">
        <f>(ROUNDUP(Tokamak_Segmts/Y131,0)*(Connect_vertical_pipework))</f>
        <v>96.090930207494253</v>
      </c>
      <c r="Z132" s="755">
        <f>(ROUNDUP(Tokamak_Segmts/Z131,0)*(Connect_vertical_pipework))</f>
        <v>72.068197655620693</v>
      </c>
      <c r="AA132" s="915"/>
    </row>
    <row r="133" spans="2:31" ht="15" outlineLevel="1" thickBot="1" x14ac:dyDescent="0.45">
      <c r="B133" s="913"/>
      <c r="C133" s="704"/>
      <c r="D133" s="704"/>
      <c r="E133" s="704" t="s">
        <v>1037</v>
      </c>
      <c r="F133" s="704"/>
      <c r="G133" s="749"/>
      <c r="H133" s="704"/>
      <c r="I133" s="704"/>
      <c r="J133" s="704"/>
      <c r="K133" s="750"/>
      <c r="L133" s="704"/>
      <c r="M133" s="704"/>
      <c r="N133" s="704"/>
      <c r="O133" s="704"/>
      <c r="P133" s="704"/>
      <c r="Q133" s="704"/>
      <c r="R133" s="704"/>
      <c r="S133" s="704"/>
      <c r="T133" s="3141" t="s">
        <v>2693</v>
      </c>
      <c r="U133" s="1089">
        <f>U$132*$F$136</f>
        <v>0.2642500580706092</v>
      </c>
      <c r="V133" s="1499">
        <f>V$132*$F$136</f>
        <v>4.2280009291297471</v>
      </c>
      <c r="W133" s="761">
        <f t="shared" ref="W133:Z133" si="14">W$132*$F$136</f>
        <v>2.1140004645648736</v>
      </c>
      <c r="X133" s="761">
        <f t="shared" si="14"/>
        <v>1.5855003484236552</v>
      </c>
      <c r="Y133" s="761">
        <f t="shared" si="14"/>
        <v>1.0570002322824368</v>
      </c>
      <c r="Z133" s="760">
        <f t="shared" si="14"/>
        <v>0.79275017421182759</v>
      </c>
      <c r="AA133" s="915"/>
    </row>
    <row r="134" spans="2:31" outlineLevel="1" x14ac:dyDescent="0.4">
      <c r="B134" s="913"/>
      <c r="C134" s="704"/>
      <c r="D134" s="704"/>
      <c r="E134" s="704" t="s">
        <v>1038</v>
      </c>
      <c r="F134" s="704"/>
      <c r="G134" s="749"/>
      <c r="H134" s="704"/>
      <c r="I134" s="704"/>
      <c r="J134" s="704"/>
      <c r="K134" s="750"/>
      <c r="L134" s="704"/>
      <c r="M134" s="704"/>
      <c r="N134" s="704"/>
      <c r="O134" s="704"/>
      <c r="P134" s="704"/>
      <c r="Q134" s="704"/>
      <c r="R134" s="704"/>
      <c r="S134" s="704"/>
      <c r="T134" s="3597" t="s">
        <v>1048</v>
      </c>
      <c r="U134" s="3016">
        <f t="shared" ref="U134:Z134" si="15">U133*(SUMIF($G$144:$G$209,"Operation",$H$144:$H$209))</f>
        <v>59.337507064144681</v>
      </c>
      <c r="V134" s="1500">
        <f t="shared" si="15"/>
        <v>949.4001130263149</v>
      </c>
      <c r="W134" s="768">
        <f t="shared" si="15"/>
        <v>474.70005651315745</v>
      </c>
      <c r="X134" s="768">
        <f t="shared" si="15"/>
        <v>356.02504238486813</v>
      </c>
      <c r="Y134" s="768">
        <f t="shared" si="15"/>
        <v>237.35002825657872</v>
      </c>
      <c r="Z134" s="1062">
        <f t="shared" si="15"/>
        <v>178.01252119243406</v>
      </c>
      <c r="AA134" s="915"/>
    </row>
    <row r="135" spans="2:31" outlineLevel="1" x14ac:dyDescent="0.4">
      <c r="B135" s="913"/>
      <c r="C135" s="704"/>
      <c r="D135" s="704"/>
      <c r="E135" s="704"/>
      <c r="F135" s="704"/>
      <c r="G135" s="749"/>
      <c r="H135" s="704"/>
      <c r="I135" s="704"/>
      <c r="J135" s="704"/>
      <c r="K135" s="750"/>
      <c r="L135" s="704"/>
      <c r="M135" s="704"/>
      <c r="N135" s="704"/>
      <c r="O135" s="704"/>
      <c r="P135" s="704"/>
      <c r="Q135" s="704"/>
      <c r="R135" s="704"/>
      <c r="S135" s="704"/>
      <c r="T135" s="3540" t="s">
        <v>2658</v>
      </c>
      <c r="U135" s="3017">
        <f t="shared" ref="U135:Z135" si="16">U133*(SUMIF($G$144:$G$209,"Movement",$H$144:$H$209)+(SUMIF($G$144:$G$209,"Logistics",$H$144:$H$209)))</f>
        <v>1.6313770946164692</v>
      </c>
      <c r="V135" s="1502">
        <f t="shared" si="16"/>
        <v>26.102033513863507</v>
      </c>
      <c r="W135" s="769">
        <f t="shared" si="16"/>
        <v>13.051016756931753</v>
      </c>
      <c r="X135" s="769">
        <f t="shared" si="16"/>
        <v>9.7882625676988155</v>
      </c>
      <c r="Y135" s="769">
        <f t="shared" si="16"/>
        <v>6.5255083784658767</v>
      </c>
      <c r="Z135" s="1064">
        <f t="shared" si="16"/>
        <v>4.8941312838494078</v>
      </c>
      <c r="AA135" s="915"/>
    </row>
    <row r="136" spans="2:31" ht="15" outlineLevel="1" thickBot="1" x14ac:dyDescent="0.45">
      <c r="B136" s="913"/>
      <c r="C136" s="704"/>
      <c r="D136" s="704"/>
      <c r="E136" s="748" t="s">
        <v>1056</v>
      </c>
      <c r="F136" s="918">
        <f>SUM(F137:F138)</f>
        <v>1.0999999999999999E-2</v>
      </c>
      <c r="G136" s="757"/>
      <c r="H136" s="709"/>
      <c r="I136" s="709"/>
      <c r="J136" s="709"/>
      <c r="K136" s="919"/>
      <c r="L136" s="918"/>
      <c r="M136" s="918"/>
      <c r="N136" s="918"/>
      <c r="O136" s="918"/>
      <c r="P136" s="918"/>
      <c r="Q136" s="918"/>
      <c r="R136" s="704"/>
      <c r="S136" s="704"/>
      <c r="T136" s="3598" t="s">
        <v>2662</v>
      </c>
      <c r="U136" s="1109">
        <f t="shared" ref="U136:Z136" si="17">U133*(-SUMIF($V$144:$V$209,"&lt;0"))</f>
        <v>18.042578015895725</v>
      </c>
      <c r="V136" s="1110">
        <f t="shared" si="17"/>
        <v>288.68124825433159</v>
      </c>
      <c r="W136" s="770">
        <f t="shared" si="17"/>
        <v>144.3406241271658</v>
      </c>
      <c r="X136" s="770">
        <f t="shared" si="17"/>
        <v>108.25546809537434</v>
      </c>
      <c r="Y136" s="770">
        <f t="shared" si="17"/>
        <v>72.170312063582898</v>
      </c>
      <c r="Z136" s="1066">
        <f t="shared" si="17"/>
        <v>54.12773404768717</v>
      </c>
      <c r="AA136" s="915"/>
    </row>
    <row r="137" spans="2:31" ht="15" outlineLevel="1" thickBot="1" x14ac:dyDescent="0.45">
      <c r="B137" s="921"/>
      <c r="C137" s="5"/>
      <c r="D137" s="5"/>
      <c r="E137" s="7" t="s">
        <v>1057</v>
      </c>
      <c r="F137" s="922">
        <f>Weld_Failure_Rate</f>
        <v>1E-3</v>
      </c>
      <c r="G137" s="923"/>
      <c r="H137" s="922"/>
      <c r="I137" s="922"/>
      <c r="J137" s="924"/>
      <c r="K137" s="290"/>
      <c r="L137" s="922"/>
      <c r="M137" s="922"/>
      <c r="N137" s="925"/>
      <c r="O137" s="922"/>
      <c r="P137" s="922"/>
      <c r="Q137" s="922"/>
      <c r="R137" s="706"/>
      <c r="S137" s="7"/>
      <c r="T137" s="3355" t="s">
        <v>2667</v>
      </c>
      <c r="U137" s="2993">
        <f t="shared" ref="U137:Z137" si="18">U133*$I$210</f>
        <v>97.054040190552598</v>
      </c>
      <c r="V137" s="2994">
        <f t="shared" si="18"/>
        <v>1552.8646430488416</v>
      </c>
      <c r="W137" s="694">
        <f t="shared" si="18"/>
        <v>776.43232152442079</v>
      </c>
      <c r="X137" s="694">
        <f t="shared" si="18"/>
        <v>582.32424114331559</v>
      </c>
      <c r="Y137" s="694">
        <f t="shared" si="18"/>
        <v>388.21616076221039</v>
      </c>
      <c r="Z137" s="2974">
        <f t="shared" si="18"/>
        <v>291.16212057165779</v>
      </c>
      <c r="AA137" s="915"/>
    </row>
    <row r="138" spans="2:31" outlineLevel="1" x14ac:dyDescent="0.4">
      <c r="B138" s="921"/>
      <c r="C138" s="5"/>
      <c r="D138" s="5"/>
      <c r="E138" s="7" t="s">
        <v>1058</v>
      </c>
      <c r="F138" s="922">
        <f>SJS_welder_failure</f>
        <v>0.01</v>
      </c>
      <c r="G138" s="923"/>
      <c r="H138" s="922"/>
      <c r="I138" s="922"/>
      <c r="J138" s="924"/>
      <c r="K138" s="290"/>
      <c r="L138" s="922"/>
      <c r="M138" s="922"/>
      <c r="N138" s="925"/>
      <c r="O138" s="922"/>
      <c r="P138" s="922"/>
      <c r="Q138" s="922"/>
      <c r="R138" s="706"/>
      <c r="S138" s="7"/>
      <c r="AA138" s="915"/>
    </row>
    <row r="139" spans="2:31" outlineLevel="1" x14ac:dyDescent="0.4">
      <c r="B139" s="921"/>
      <c r="C139" s="5"/>
      <c r="D139" s="5"/>
      <c r="E139" s="926" t="s">
        <v>1059</v>
      </c>
      <c r="F139" s="927">
        <f>F136*(1-(1-F136)^(Vertical_port_pipes_per_blanket))</f>
        <v>7.0632541484487834E-4</v>
      </c>
      <c r="G139" s="927"/>
      <c r="H139" s="927"/>
      <c r="I139" s="927"/>
      <c r="J139" s="927"/>
      <c r="K139" s="919"/>
      <c r="L139" s="927"/>
      <c r="M139" s="927"/>
      <c r="N139" s="927"/>
      <c r="O139" s="927"/>
      <c r="P139" s="927"/>
      <c r="Q139" s="927"/>
      <c r="R139" s="706"/>
      <c r="S139" s="7"/>
      <c r="AA139" s="915"/>
    </row>
    <row r="140" spans="2:31" outlineLevel="1" x14ac:dyDescent="0.4">
      <c r="B140" s="921"/>
      <c r="C140" s="5"/>
      <c r="D140" s="5"/>
      <c r="E140" s="926"/>
      <c r="F140" s="927"/>
      <c r="G140" s="928"/>
      <c r="H140" s="927"/>
      <c r="I140" s="927"/>
      <c r="J140" s="927"/>
      <c r="K140" s="919"/>
      <c r="L140" s="927"/>
      <c r="M140" s="927"/>
      <c r="N140" s="927"/>
      <c r="O140" s="927"/>
      <c r="P140" s="927"/>
      <c r="Q140" s="927"/>
      <c r="R140" s="706"/>
      <c r="S140" s="7"/>
      <c r="AA140" s="915"/>
    </row>
    <row r="141" spans="2:31" ht="15.75" customHeight="1" outlineLevel="1" thickBot="1" x14ac:dyDescent="0.45">
      <c r="B141" s="921"/>
      <c r="C141" s="5"/>
      <c r="D141" s="5"/>
      <c r="E141" s="926"/>
      <c r="F141" s="927"/>
      <c r="G141" s="928"/>
      <c r="H141" s="927"/>
      <c r="I141" s="927"/>
      <c r="J141" s="927"/>
      <c r="K141" s="919"/>
      <c r="L141" s="927"/>
      <c r="M141" s="927"/>
      <c r="N141" s="927"/>
      <c r="O141" s="927"/>
      <c r="P141" s="927"/>
      <c r="Q141" s="927"/>
      <c r="R141" s="706"/>
      <c r="S141" s="7"/>
      <c r="T141" s="707"/>
      <c r="U141" s="290"/>
      <c r="V141" s="7"/>
      <c r="W141" s="7"/>
      <c r="X141" s="7"/>
      <c r="Y141" s="290"/>
      <c r="Z141" s="290"/>
      <c r="AA141" s="915"/>
    </row>
    <row r="142" spans="2:31" ht="15.75" customHeight="1" outlineLevel="2" thickBot="1" x14ac:dyDescent="0.45">
      <c r="B142" s="921"/>
      <c r="C142" s="5"/>
      <c r="D142" s="5"/>
      <c r="E142" s="926"/>
      <c r="F142" s="927"/>
      <c r="G142" s="701"/>
      <c r="H142" s="7"/>
      <c r="I142" s="929"/>
      <c r="J142" s="930" t="s">
        <v>18</v>
      </c>
      <c r="K142" s="931"/>
      <c r="L142" s="932" t="s">
        <v>778</v>
      </c>
      <c r="M142" s="933"/>
      <c r="N142" s="933"/>
      <c r="O142" s="933"/>
      <c r="P142" s="933"/>
      <c r="Q142" s="934"/>
      <c r="R142" s="933" t="s">
        <v>3</v>
      </c>
      <c r="S142" s="934"/>
      <c r="T142" s="3838" t="s">
        <v>779</v>
      </c>
      <c r="U142" s="3839"/>
      <c r="V142" s="3840"/>
      <c r="W142" s="937"/>
      <c r="Y142" s="938"/>
      <c r="Z142" s="938"/>
      <c r="AA142" s="915"/>
    </row>
    <row r="143" spans="2:31" ht="30.75" customHeight="1" outlineLevel="2" thickBot="1" x14ac:dyDescent="0.45">
      <c r="B143" s="921"/>
      <c r="C143" s="5"/>
      <c r="D143" s="939" t="s">
        <v>780</v>
      </c>
      <c r="E143" s="940" t="s">
        <v>1060</v>
      </c>
      <c r="F143" s="563" t="s">
        <v>1061</v>
      </c>
      <c r="G143" s="941" t="s">
        <v>782</v>
      </c>
      <c r="H143" s="942" t="s">
        <v>783</v>
      </c>
      <c r="I143" s="943" t="s">
        <v>784</v>
      </c>
      <c r="J143" s="562" t="s">
        <v>785</v>
      </c>
      <c r="K143" s="944" t="s">
        <v>783</v>
      </c>
      <c r="L143" s="562" t="s">
        <v>786</v>
      </c>
      <c r="M143" s="563" t="s">
        <v>787</v>
      </c>
      <c r="N143" s="563" t="s">
        <v>788</v>
      </c>
      <c r="O143" s="563" t="s">
        <v>789</v>
      </c>
      <c r="P143" s="563" t="s">
        <v>790</v>
      </c>
      <c r="Q143" s="945" t="s">
        <v>783</v>
      </c>
      <c r="R143" s="560" t="s">
        <v>785</v>
      </c>
      <c r="S143" s="946" t="s">
        <v>783</v>
      </c>
      <c r="T143" s="3599" t="s">
        <v>781</v>
      </c>
      <c r="U143" s="794" t="s">
        <v>791</v>
      </c>
      <c r="V143" s="789" t="s">
        <v>792</v>
      </c>
      <c r="W143" s="795"/>
      <c r="Y143" s="947"/>
      <c r="Z143" s="947"/>
      <c r="AA143" s="915"/>
    </row>
    <row r="144" spans="2:31" ht="15" customHeight="1" outlineLevel="2" x14ac:dyDescent="0.4">
      <c r="B144" s="921"/>
      <c r="C144" s="5"/>
      <c r="D144" s="948" t="s">
        <v>1062</v>
      </c>
      <c r="E144" s="797" t="s">
        <v>1102</v>
      </c>
      <c r="F144" s="798"/>
      <c r="G144" s="799" t="s">
        <v>251</v>
      </c>
      <c r="H144" s="456">
        <f>MAX($S144,$Q144,$K144)</f>
        <v>0</v>
      </c>
      <c r="I144" s="800">
        <f>H144</f>
        <v>0</v>
      </c>
      <c r="J144" s="566" t="s">
        <v>557</v>
      </c>
      <c r="K144" s="621">
        <f>IF(G144="operation",VLOOKUP(J144,'Generic Vertical Port Tasks'!$C$4:$D$197,2,FALSE),"N/A")</f>
        <v>0</v>
      </c>
      <c r="L144" s="568"/>
      <c r="M144" s="566"/>
      <c r="N144" s="801"/>
      <c r="O144" s="802" t="str">
        <f>IFERROR(INDEX('Upper Hot Cell Logistics'!$I$35:$O$41,MATCH($M144,'Upper Hot Cell Logistics'!$H$35:$H$41,0),MATCH($N144,'Upper Hot Cell Logistics'!$H$35:$H$41,0)),"N/A")</f>
        <v>N/A</v>
      </c>
      <c r="P144" s="570" t="str">
        <f>IFERROR(VLOOKUP($L144,'Upper Hot Cell Logistics'!$H$4:$I$10,2,FALSE),"N/A")</f>
        <v>N/A</v>
      </c>
      <c r="Q144" s="800" t="str">
        <f t="shared" ref="Q144:Q207" si="19">IF(G144="Movement",IFERROR((O144/P144)/(60*60),"Error"),"N/A")</f>
        <v>N/A</v>
      </c>
      <c r="R144" s="803"/>
      <c r="S144" s="802" t="str">
        <f>IF($G144="Logistics",VLOOKUP($R144,'Upper Hot Cell Logistics'!$C$4:$D$44,2,FALSE),"N/A")</f>
        <v>N/A</v>
      </c>
      <c r="T144" s="454"/>
      <c r="U144" s="804" t="str">
        <f>IFERROR(VLOOKUP($T144,'Upper HotCell RecoveryLogisitcs'!$C$130:$F$238,4,FALSE),"N/A")</f>
        <v>N/A</v>
      </c>
      <c r="V144" s="621" t="str">
        <f>IFERROR(I144-H144-U144,"N/A")</f>
        <v>N/A</v>
      </c>
      <c r="W144" s="895"/>
      <c r="Y144" s="947"/>
      <c r="Z144" s="947"/>
      <c r="AA144" s="915"/>
      <c r="AE144" s="8"/>
    </row>
    <row r="145" spans="2:34" ht="15.75" customHeight="1" outlineLevel="2" thickBot="1" x14ac:dyDescent="0.45">
      <c r="B145" s="921"/>
      <c r="C145" s="5"/>
      <c r="D145" s="949"/>
      <c r="E145" s="807" t="s">
        <v>1103</v>
      </c>
      <c r="F145" s="808"/>
      <c r="G145" s="809" t="s">
        <v>251</v>
      </c>
      <c r="H145" s="471">
        <f t="shared" ref="H145:H208" si="20">MAX($S145,$Q145,$K145)</f>
        <v>1.0499155317167692</v>
      </c>
      <c r="I145" s="810">
        <f t="shared" ref="I145:I208" si="21">IF(V145&lt;0,H145+I144+(-V145),H145+I144)</f>
        <v>1.0499155317167692</v>
      </c>
      <c r="J145" s="584" t="s">
        <v>2491</v>
      </c>
      <c r="K145" s="811">
        <f>IF(G145="operation",VLOOKUP(J145,'Generic Vertical Port Tasks'!$C$4:$D$197,2,FALSE),"N/A")</f>
        <v>1.0499155317167692</v>
      </c>
      <c r="L145" s="586"/>
      <c r="M145" s="584"/>
      <c r="N145" s="812"/>
      <c r="O145" s="813" t="str">
        <f>IFERROR(INDEX('Upper Hot Cell Logistics'!$I$35:$O$41,MATCH($M145,'Upper Hot Cell Logistics'!$H$35:$H$41,0),MATCH($N145,'Upper Hot Cell Logistics'!$H$35:$H$41,0)),"N/A")</f>
        <v>N/A</v>
      </c>
      <c r="P145" s="814" t="str">
        <f>IFERROR(VLOOKUP($L145,'Upper Hot Cell Logistics'!$H$4:$I$10,2,FALSE),"N/A")</f>
        <v>N/A</v>
      </c>
      <c r="Q145" s="810" t="str">
        <f t="shared" si="19"/>
        <v>N/A</v>
      </c>
      <c r="R145" s="815"/>
      <c r="S145" s="813" t="s">
        <v>263</v>
      </c>
      <c r="T145" s="469"/>
      <c r="U145" s="816" t="str">
        <f>IFERROR(VLOOKUP($T145,'Upper HotCell RecoveryLogisitcs'!$C$130:$F$238,4,FALSE),"N/A")</f>
        <v>N/A</v>
      </c>
      <c r="V145" s="591" t="str">
        <f t="shared" ref="V145:V208" si="22">IFERROR(I144-U145,"N/A")</f>
        <v>N/A</v>
      </c>
      <c r="W145" s="895"/>
      <c r="Y145" s="290"/>
      <c r="Z145" s="290"/>
      <c r="AA145" s="915"/>
      <c r="AB145" s="5"/>
      <c r="AC145" s="7"/>
      <c r="AD145" s="7"/>
      <c r="AE145" s="7"/>
      <c r="AF145" s="7"/>
      <c r="AG145" s="7"/>
      <c r="AH145" s="7"/>
    </row>
    <row r="146" spans="2:34" ht="25.5" customHeight="1" outlineLevel="2" x14ac:dyDescent="0.4">
      <c r="B146" s="921"/>
      <c r="C146" s="5"/>
      <c r="D146" s="950" t="s">
        <v>1104</v>
      </c>
      <c r="E146" s="951" t="s">
        <v>797</v>
      </c>
      <c r="F146" s="952"/>
      <c r="G146" s="953" t="s">
        <v>778</v>
      </c>
      <c r="H146" s="954">
        <f t="shared" si="20"/>
        <v>6.9444444444444448E-2</v>
      </c>
      <c r="I146" s="955">
        <f t="shared" si="21"/>
        <v>1.4961111111111112</v>
      </c>
      <c r="J146" s="592"/>
      <c r="K146" s="600" t="str">
        <f>IF(G146="operation",VLOOKUP(J146,'Generic Vertical Port Tasks'!$C$4:$D$197,2,FALSE),"N/A")</f>
        <v>N/A</v>
      </c>
      <c r="L146" s="594" t="s">
        <v>798</v>
      </c>
      <c r="M146" s="592" t="s">
        <v>799</v>
      </c>
      <c r="N146" s="956" t="s">
        <v>452</v>
      </c>
      <c r="O146" s="957">
        <f>IFERROR(INDEX('Upper Hot Cell Logistics'!$I$35:$O$41,MATCH($M146,'Upper Hot Cell Logistics'!$H$35:$H$41,0),MATCH($N146,'Upper Hot Cell Logistics'!$H$35:$H$41,0)),"N/A")</f>
        <v>50</v>
      </c>
      <c r="P146" s="958">
        <f>IFERROR(VLOOKUP($L146,'Upper Hot Cell Logistics'!$H$4:$I$10,2,FALSE),"N/A")</f>
        <v>0.2</v>
      </c>
      <c r="Q146" s="955">
        <f t="shared" si="19"/>
        <v>6.9444444444444448E-2</v>
      </c>
      <c r="R146" s="959"/>
      <c r="S146" s="957" t="str">
        <f>IF($F146="Logistics",VLOOKUP($Q146,'Upper Hot Cell Logistics'!$C$4:$D$44,2,FALSE),"N/A")</f>
        <v>N/A</v>
      </c>
      <c r="T146" s="3603" t="s">
        <v>1066</v>
      </c>
      <c r="U146" s="960">
        <f>IFERROR(VLOOKUP($T146,'Upper HotCell RecoveryLogisitcs'!$C$130:$F$238,4,FALSE),"N/A")</f>
        <v>1.4266666666666667</v>
      </c>
      <c r="V146" s="600">
        <f t="shared" si="22"/>
        <v>-0.37675113494989754</v>
      </c>
      <c r="W146" s="895"/>
      <c r="Y146" s="290"/>
      <c r="Z146" s="290"/>
      <c r="AA146" s="915"/>
      <c r="AB146" s="5"/>
      <c r="AC146" s="7"/>
      <c r="AD146" s="7"/>
      <c r="AE146" s="7"/>
      <c r="AF146" s="7"/>
      <c r="AG146" s="7"/>
      <c r="AH146" s="7"/>
    </row>
    <row r="147" spans="2:34" ht="15.75" customHeight="1" outlineLevel="2" thickBot="1" x14ac:dyDescent="0.45">
      <c r="B147" s="921"/>
      <c r="C147" s="5"/>
      <c r="D147" s="961"/>
      <c r="E147" s="962" t="s">
        <v>125</v>
      </c>
      <c r="F147" s="963"/>
      <c r="G147" s="964" t="s">
        <v>251</v>
      </c>
      <c r="H147" s="368">
        <f t="shared" si="20"/>
        <v>0.72499999999999998</v>
      </c>
      <c r="I147" s="965">
        <f t="shared" si="21"/>
        <v>2.221111111111111</v>
      </c>
      <c r="J147" s="966" t="s">
        <v>253</v>
      </c>
      <c r="K147" s="967">
        <f>IF(G147="operation",VLOOKUP(J147,'Generic Vertical Port Tasks'!$C$4:$D$197,2,FALSE),"N/A")</f>
        <v>0.72499999999999998</v>
      </c>
      <c r="L147" s="611"/>
      <c r="M147" s="966"/>
      <c r="N147" s="968"/>
      <c r="O147" s="969" t="str">
        <f>IFERROR(INDEX('Upper Hot Cell Logistics'!$I$35:$O$41,MATCH($M147,'Upper Hot Cell Logistics'!$H$35:$H$41,0),MATCH($N147,'Upper Hot Cell Logistics'!$H$35:$H$41,0)),"N/A")</f>
        <v>N/A</v>
      </c>
      <c r="P147" s="970" t="str">
        <f>IFERROR(VLOOKUP($L147,'Upper Hot Cell Logistics'!$H$4:$I$10,2,FALSE),"N/A")</f>
        <v>N/A</v>
      </c>
      <c r="Q147" s="965" t="str">
        <f t="shared" si="19"/>
        <v>N/A</v>
      </c>
      <c r="R147" s="971"/>
      <c r="S147" s="969" t="str">
        <f>IF($F147="Logistics",VLOOKUP($Q147,'Upper Hot Cell Logistics'!$C$4:$D$44,2,FALSE),"N/A")</f>
        <v>N/A</v>
      </c>
      <c r="T147" s="3568"/>
      <c r="U147" s="972" t="str">
        <f>IFERROR(VLOOKUP($T147,'Upper HotCell RecoveryLogisitcs'!$C$130:$F$238,4,FALSE),"N/A")</f>
        <v>N/A</v>
      </c>
      <c r="V147" s="616" t="str">
        <f t="shared" si="22"/>
        <v>N/A</v>
      </c>
      <c r="W147" s="895"/>
      <c r="Y147" s="290"/>
      <c r="Z147" s="290"/>
      <c r="AA147" s="915"/>
      <c r="AB147" s="5"/>
      <c r="AC147" s="7"/>
      <c r="AD147" s="7"/>
      <c r="AE147" s="7"/>
      <c r="AF147" s="7"/>
      <c r="AG147" s="7"/>
      <c r="AH147" s="7"/>
    </row>
    <row r="148" spans="2:34" ht="15" customHeight="1" outlineLevel="2" x14ac:dyDescent="0.4">
      <c r="B148" s="921"/>
      <c r="C148" s="5"/>
      <c r="D148" s="948" t="s">
        <v>1069</v>
      </c>
      <c r="E148" s="797" t="s">
        <v>811</v>
      </c>
      <c r="F148" s="798"/>
      <c r="G148" s="799" t="s">
        <v>778</v>
      </c>
      <c r="H148" s="456">
        <f t="shared" si="20"/>
        <v>0.20833333333333334</v>
      </c>
      <c r="I148" s="800">
        <f t="shared" si="21"/>
        <v>2.4294444444444445</v>
      </c>
      <c r="J148" s="566"/>
      <c r="K148" s="621" t="str">
        <f>IF(G148="operation",VLOOKUP(J148,'Generic Vertical Port Tasks'!$C$4:$D$197,2,FALSE),"N/A")</f>
        <v>N/A</v>
      </c>
      <c r="L148" s="568" t="s">
        <v>12</v>
      </c>
      <c r="M148" s="566" t="s">
        <v>816</v>
      </c>
      <c r="N148" s="801" t="s">
        <v>452</v>
      </c>
      <c r="O148" s="802">
        <f>IFERROR(INDEX('Upper Hot Cell Logistics'!$I$35:$O$41,MATCH($M148,'Upper Hot Cell Logistics'!$H$35:$H$41,0),MATCH($N148,'Upper Hot Cell Logistics'!$H$35:$H$41,0)),"N/A")</f>
        <v>15</v>
      </c>
      <c r="P148" s="570">
        <f>IFERROR(VLOOKUP($L148,'Upper Hot Cell Logistics'!$H$4:$I$10,2,FALSE),"N/A")</f>
        <v>0.02</v>
      </c>
      <c r="Q148" s="800">
        <f t="shared" si="19"/>
        <v>0.20833333333333334</v>
      </c>
      <c r="R148" s="803"/>
      <c r="S148" s="802" t="s">
        <v>263</v>
      </c>
      <c r="T148" s="454"/>
      <c r="U148" s="804" t="str">
        <f>IFERROR(VLOOKUP($T148,'Upper HotCell RecoveryLogisitcs'!$C$130:$F$238,4,FALSE),"N/A")</f>
        <v>N/A</v>
      </c>
      <c r="V148" s="621" t="str">
        <f t="shared" si="22"/>
        <v>N/A</v>
      </c>
      <c r="W148" s="895"/>
      <c r="Y148" s="290"/>
      <c r="Z148" s="290"/>
      <c r="AA148" s="915"/>
      <c r="AB148" s="5"/>
      <c r="AC148" s="7"/>
      <c r="AD148" s="7"/>
      <c r="AE148" s="7"/>
      <c r="AF148" s="7"/>
      <c r="AG148" s="7"/>
      <c r="AH148" s="7"/>
    </row>
    <row r="149" spans="2:34" ht="15" customHeight="1" outlineLevel="2" x14ac:dyDescent="0.4">
      <c r="B149" s="921"/>
      <c r="C149" s="5"/>
      <c r="D149" s="973"/>
      <c r="E149" s="846" t="s">
        <v>20</v>
      </c>
      <c r="F149" s="847"/>
      <c r="G149" s="848" t="s">
        <v>251</v>
      </c>
      <c r="H149" s="464">
        <f t="shared" si="20"/>
        <v>6.83</v>
      </c>
      <c r="I149" s="849">
        <f t="shared" si="21"/>
        <v>9.2594444444444441</v>
      </c>
      <c r="J149" s="573" t="s">
        <v>252</v>
      </c>
      <c r="K149" s="850">
        <f>IF(G149="operation",VLOOKUP(J149,'Generic Vertical Port Tasks'!$C$4:$D$197,2,FALSE),"N/A")</f>
        <v>6.83</v>
      </c>
      <c r="L149" s="575"/>
      <c r="M149" s="573"/>
      <c r="N149" s="851"/>
      <c r="O149" s="852" t="str">
        <f>IFERROR(INDEX('Upper Hot Cell Logistics'!$I$35:$O$41,MATCH($M149,'Upper Hot Cell Logistics'!$H$35:$H$41,0),MATCH($N149,'Upper Hot Cell Logistics'!$H$35:$H$41,0)),"N/A")</f>
        <v>N/A</v>
      </c>
      <c r="P149" s="853" t="str">
        <f>IFERROR(VLOOKUP($L149,'Upper Hot Cell Logistics'!$H$4:$I$10,2,FALSE),"N/A")</f>
        <v>N/A</v>
      </c>
      <c r="Q149" s="849" t="str">
        <f t="shared" si="19"/>
        <v>N/A</v>
      </c>
      <c r="R149" s="854"/>
      <c r="S149" s="852" t="s">
        <v>263</v>
      </c>
      <c r="T149" s="462"/>
      <c r="U149" s="855" t="str">
        <f>IFERROR(VLOOKUP($T149,'Upper HotCell RecoveryLogisitcs'!$C$130:$F$238,4,FALSE),"N/A")</f>
        <v>N/A</v>
      </c>
      <c r="V149" s="580" t="str">
        <f t="shared" si="22"/>
        <v>N/A</v>
      </c>
      <c r="W149" s="895"/>
      <c r="Y149" s="290"/>
      <c r="Z149" s="290"/>
      <c r="AA149" s="915"/>
      <c r="AB149" s="5"/>
      <c r="AC149" s="7"/>
      <c r="AD149" s="7"/>
      <c r="AE149" s="7"/>
      <c r="AF149" s="7"/>
      <c r="AG149" s="7"/>
      <c r="AH149" s="7"/>
    </row>
    <row r="150" spans="2:34" ht="15" customHeight="1" outlineLevel="2" x14ac:dyDescent="0.4">
      <c r="B150" s="921"/>
      <c r="C150" s="5"/>
      <c r="D150" s="973"/>
      <c r="E150" s="846" t="s">
        <v>820</v>
      </c>
      <c r="F150" s="847"/>
      <c r="G150" s="848" t="s">
        <v>778</v>
      </c>
      <c r="H150" s="464">
        <f t="shared" si="20"/>
        <v>2.0833333333333332E-2</v>
      </c>
      <c r="I150" s="849">
        <f t="shared" si="21"/>
        <v>9.2802777777777781</v>
      </c>
      <c r="J150" s="573"/>
      <c r="K150" s="850" t="str">
        <f>IF(G150="operation",VLOOKUP(J150,'Generic Vertical Port Tasks'!$C$4:$D$197,2,FALSE),"N/A")</f>
        <v>N/A</v>
      </c>
      <c r="L150" s="575" t="s">
        <v>798</v>
      </c>
      <c r="M150" s="573" t="s">
        <v>816</v>
      </c>
      <c r="N150" s="851" t="s">
        <v>452</v>
      </c>
      <c r="O150" s="852">
        <f>IFERROR(INDEX('Upper Hot Cell Logistics'!$I$35:$O$41,MATCH($M150,'Upper Hot Cell Logistics'!$H$35:$H$41,0),MATCH($N150,'Upper Hot Cell Logistics'!$H$35:$H$41,0)),"N/A")</f>
        <v>15</v>
      </c>
      <c r="P150" s="853">
        <f>IFERROR(VLOOKUP($L150,'Upper Hot Cell Logistics'!$H$4:$I$10,2,FALSE),"N/A")</f>
        <v>0.2</v>
      </c>
      <c r="Q150" s="849">
        <f t="shared" si="19"/>
        <v>2.0833333333333332E-2</v>
      </c>
      <c r="R150" s="854"/>
      <c r="S150" s="852" t="s">
        <v>263</v>
      </c>
      <c r="T150" s="462"/>
      <c r="U150" s="855" t="str">
        <f>IFERROR(VLOOKUP($T150,'Upper HotCell RecoveryLogisitcs'!$C$130:$F$238,4,FALSE),"N/A")</f>
        <v>N/A</v>
      </c>
      <c r="V150" s="580" t="str">
        <f t="shared" si="22"/>
        <v>N/A</v>
      </c>
      <c r="W150" s="895"/>
      <c r="Y150" s="290"/>
      <c r="Z150" s="290"/>
      <c r="AA150" s="915"/>
      <c r="AB150" s="5"/>
      <c r="AC150" s="7"/>
      <c r="AD150" s="7"/>
      <c r="AE150" s="7"/>
      <c r="AF150" s="7"/>
      <c r="AG150" s="7"/>
      <c r="AH150" s="7"/>
    </row>
    <row r="151" spans="2:34" ht="15.75" customHeight="1" outlineLevel="2" thickBot="1" x14ac:dyDescent="0.45">
      <c r="B151" s="921"/>
      <c r="C151" s="5"/>
      <c r="D151" s="949"/>
      <c r="E151" s="807" t="s">
        <v>16</v>
      </c>
      <c r="F151" s="808"/>
      <c r="G151" s="809" t="s">
        <v>251</v>
      </c>
      <c r="H151" s="471">
        <f t="shared" si="20"/>
        <v>1.0499155317167692</v>
      </c>
      <c r="I151" s="810">
        <f t="shared" si="21"/>
        <v>10.330193309494547</v>
      </c>
      <c r="J151" s="584" t="s">
        <v>2491</v>
      </c>
      <c r="K151" s="811">
        <f>IF(G151="operation",VLOOKUP(J151,'Generic Vertical Port Tasks'!$C$4:$D$197,2,FALSE),"N/A")</f>
        <v>1.0499155317167692</v>
      </c>
      <c r="L151" s="586"/>
      <c r="M151" s="584"/>
      <c r="N151" s="812"/>
      <c r="O151" s="813" t="str">
        <f>IFERROR(INDEX('Upper Hot Cell Logistics'!$I$35:$O$41,MATCH($M151,'Upper Hot Cell Logistics'!$H$35:$H$41,0),MATCH($N151,'Upper Hot Cell Logistics'!$H$35:$H$41,0)),"N/A")</f>
        <v>N/A</v>
      </c>
      <c r="P151" s="814" t="str">
        <f>IFERROR(VLOOKUP($L151,'Upper Hot Cell Logistics'!$H$4:$I$10,2,FALSE),"N/A")</f>
        <v>N/A</v>
      </c>
      <c r="Q151" s="810" t="str">
        <f t="shared" si="19"/>
        <v>N/A</v>
      </c>
      <c r="R151" s="815"/>
      <c r="S151" s="813" t="s">
        <v>263</v>
      </c>
      <c r="T151" s="469"/>
      <c r="U151" s="816" t="str">
        <f>IFERROR(VLOOKUP($T151,'Upper HotCell RecoveryLogisitcs'!$C$130:$F$238,4,FALSE),"N/A")</f>
        <v>N/A</v>
      </c>
      <c r="V151" s="591" t="str">
        <f t="shared" si="22"/>
        <v>N/A</v>
      </c>
      <c r="W151" s="895"/>
      <c r="Y151" s="290"/>
      <c r="Z151" s="290"/>
      <c r="AA151" s="915"/>
      <c r="AB151" s="5"/>
      <c r="AC151" s="7"/>
      <c r="AD151" s="7"/>
      <c r="AE151" s="7"/>
      <c r="AF151" s="7"/>
      <c r="AG151" s="7"/>
      <c r="AH151" s="7"/>
    </row>
    <row r="152" spans="2:34" ht="15" customHeight="1" outlineLevel="2" x14ac:dyDescent="0.4">
      <c r="B152" s="921"/>
      <c r="C152" s="5"/>
      <c r="D152" s="950" t="s">
        <v>1070</v>
      </c>
      <c r="E152" s="951" t="s">
        <v>797</v>
      </c>
      <c r="F152" s="952"/>
      <c r="G152" s="953" t="s">
        <v>778</v>
      </c>
      <c r="H152" s="954">
        <f t="shared" si="20"/>
        <v>6.9444444444444448E-2</v>
      </c>
      <c r="I152" s="955">
        <f t="shared" si="21"/>
        <v>10.399637753938991</v>
      </c>
      <c r="J152" s="592"/>
      <c r="K152" s="600" t="str">
        <f>IF(G152="operation",VLOOKUP(J152,'Generic Vertical Port Tasks'!$C$4:$D$197,2,FALSE),"N/A")</f>
        <v>N/A</v>
      </c>
      <c r="L152" s="594" t="s">
        <v>798</v>
      </c>
      <c r="M152" s="592" t="s">
        <v>831</v>
      </c>
      <c r="N152" s="956" t="s">
        <v>452</v>
      </c>
      <c r="O152" s="957">
        <f>IFERROR(INDEX('Upper Hot Cell Logistics'!$I$35:$O$41,MATCH($M152,'Upper Hot Cell Logistics'!$H$35:$H$41,0),MATCH($N152,'Upper Hot Cell Logistics'!$H$35:$H$41,0)),"N/A")</f>
        <v>50</v>
      </c>
      <c r="P152" s="958">
        <f>IFERROR(VLOOKUP($L152,'Upper Hot Cell Logistics'!$H$4:$I$10,2,FALSE),"N/A")</f>
        <v>0.2</v>
      </c>
      <c r="Q152" s="955">
        <f t="shared" si="19"/>
        <v>6.9444444444444448E-2</v>
      </c>
      <c r="R152" s="959"/>
      <c r="S152" s="957" t="s">
        <v>263</v>
      </c>
      <c r="T152" s="3603" t="s">
        <v>1167</v>
      </c>
      <c r="U152" s="960" t="str">
        <f>IFERROR(VLOOKUP($T152,'Upper HotCell RecoveryLogisitcs'!$C$130:$F$238,4,FALSE),"N/A")</f>
        <v>N/A</v>
      </c>
      <c r="V152" s="600" t="str">
        <f t="shared" si="22"/>
        <v>N/A</v>
      </c>
      <c r="W152" s="895"/>
      <c r="Y152" s="290"/>
      <c r="Z152" s="290"/>
      <c r="AA152" s="915"/>
      <c r="AB152" s="5"/>
      <c r="AC152" s="7"/>
      <c r="AD152" s="7"/>
      <c r="AE152" s="7"/>
      <c r="AF152" s="7"/>
      <c r="AG152" s="7"/>
      <c r="AH152" s="7"/>
    </row>
    <row r="153" spans="2:34" ht="15.75" customHeight="1" outlineLevel="2" thickBot="1" x14ac:dyDescent="0.45">
      <c r="B153" s="921"/>
      <c r="C153" s="5"/>
      <c r="D153" s="961"/>
      <c r="E153" s="962" t="s">
        <v>127</v>
      </c>
      <c r="F153" s="963"/>
      <c r="G153" s="964" t="s">
        <v>251</v>
      </c>
      <c r="H153" s="368">
        <f t="shared" si="20"/>
        <v>0.72499999999999998</v>
      </c>
      <c r="I153" s="965">
        <f t="shared" si="21"/>
        <v>11.124637753938991</v>
      </c>
      <c r="J153" s="966" t="s">
        <v>253</v>
      </c>
      <c r="K153" s="967">
        <f>IF(G153="operation",VLOOKUP(J153,'Generic Vertical Port Tasks'!$C$4:$D$197,2,FALSE),"N/A")</f>
        <v>0.72499999999999998</v>
      </c>
      <c r="L153" s="611"/>
      <c r="M153" s="966"/>
      <c r="N153" s="968"/>
      <c r="O153" s="969" t="str">
        <f>IFERROR(INDEX('Upper Hot Cell Logistics'!$I$35:$O$41,MATCH($M153,'Upper Hot Cell Logistics'!$H$35:$H$41,0),MATCH($N153,'Upper Hot Cell Logistics'!$H$35:$H$41,0)),"N/A")</f>
        <v>N/A</v>
      </c>
      <c r="P153" s="970" t="str">
        <f>IFERROR(VLOOKUP($L153,'Upper Hot Cell Logistics'!$H$4:$I$10,2,FALSE),"N/A")</f>
        <v>N/A</v>
      </c>
      <c r="Q153" s="965" t="str">
        <f t="shared" si="19"/>
        <v>N/A</v>
      </c>
      <c r="R153" s="971"/>
      <c r="S153" s="969" t="s">
        <v>263</v>
      </c>
      <c r="T153" s="3568"/>
      <c r="U153" s="972" t="str">
        <f>IFERROR(VLOOKUP($T153,'Upper HotCell RecoveryLogisitcs'!$C$130:$F$238,4,FALSE),"N/A")</f>
        <v>N/A</v>
      </c>
      <c r="V153" s="616" t="str">
        <f t="shared" si="22"/>
        <v>N/A</v>
      </c>
      <c r="W153" s="895"/>
      <c r="Y153" s="290"/>
      <c r="Z153" s="290"/>
      <c r="AA153" s="915"/>
      <c r="AB153" s="5"/>
      <c r="AC153" s="7"/>
      <c r="AD153" s="7"/>
      <c r="AE153" s="7"/>
      <c r="AF153" s="7"/>
      <c r="AG153" s="7"/>
      <c r="AH153" s="7"/>
    </row>
    <row r="154" spans="2:34" ht="15" customHeight="1" outlineLevel="2" x14ac:dyDescent="0.4">
      <c r="B154" s="921"/>
      <c r="C154" s="5"/>
      <c r="D154" s="948" t="s">
        <v>1071</v>
      </c>
      <c r="E154" s="797" t="s">
        <v>811</v>
      </c>
      <c r="F154" s="798"/>
      <c r="G154" s="799" t="s">
        <v>778</v>
      </c>
      <c r="H154" s="456">
        <f t="shared" si="20"/>
        <v>0.20833333333333334</v>
      </c>
      <c r="I154" s="800">
        <f t="shared" si="21"/>
        <v>11.332971087272325</v>
      </c>
      <c r="J154" s="566"/>
      <c r="K154" s="621" t="str">
        <f>IF(G154="operation",VLOOKUP(J154,'Generic Vertical Port Tasks'!$C$4:$D$197,2,FALSE),"N/A")</f>
        <v>N/A</v>
      </c>
      <c r="L154" s="568" t="s">
        <v>12</v>
      </c>
      <c r="M154" s="566" t="s">
        <v>816</v>
      </c>
      <c r="N154" s="801" t="s">
        <v>452</v>
      </c>
      <c r="O154" s="802">
        <f>IFERROR(INDEX('Upper Hot Cell Logistics'!$I$35:$O$41,MATCH($M154,'Upper Hot Cell Logistics'!$H$35:$H$41,0),MATCH($N154,'Upper Hot Cell Logistics'!$H$35:$H$41,0)),"N/A")</f>
        <v>15</v>
      </c>
      <c r="P154" s="570">
        <f>IFERROR(VLOOKUP($L154,'Upper Hot Cell Logistics'!$H$4:$I$10,2,FALSE),"N/A")</f>
        <v>0.02</v>
      </c>
      <c r="Q154" s="800">
        <f t="shared" si="19"/>
        <v>0.20833333333333334</v>
      </c>
      <c r="R154" s="803"/>
      <c r="S154" s="802" t="s">
        <v>263</v>
      </c>
      <c r="T154" s="454"/>
      <c r="U154" s="804" t="str">
        <f>IFERROR(VLOOKUP($T154,'Upper HotCell RecoveryLogisitcs'!$C$130:$F$238,4,FALSE),"N/A")</f>
        <v>N/A</v>
      </c>
      <c r="V154" s="621" t="str">
        <f t="shared" si="22"/>
        <v>N/A</v>
      </c>
      <c r="W154" s="895"/>
      <c r="Y154" s="290"/>
      <c r="Z154" s="290"/>
      <c r="AA154" s="915"/>
      <c r="AB154" s="5"/>
      <c r="AC154" s="7"/>
      <c r="AD154" s="7"/>
      <c r="AE154" s="7"/>
      <c r="AF154" s="7"/>
      <c r="AG154" s="7"/>
      <c r="AH154" s="7"/>
    </row>
    <row r="155" spans="2:34" ht="15" customHeight="1" outlineLevel="2" x14ac:dyDescent="0.4">
      <c r="B155" s="921"/>
      <c r="C155" s="5"/>
      <c r="D155" s="973"/>
      <c r="E155" s="846" t="s">
        <v>21</v>
      </c>
      <c r="F155" s="847"/>
      <c r="G155" s="848" t="s">
        <v>251</v>
      </c>
      <c r="H155" s="464">
        <f t="shared" si="20"/>
        <v>6.83</v>
      </c>
      <c r="I155" s="849">
        <f t="shared" si="21"/>
        <v>18.162971087272325</v>
      </c>
      <c r="J155" s="573" t="s">
        <v>252</v>
      </c>
      <c r="K155" s="850">
        <f>IF(G155="operation",VLOOKUP(J155,'Generic Vertical Port Tasks'!$C$4:$D$197,2,FALSE),"N/A")</f>
        <v>6.83</v>
      </c>
      <c r="L155" s="575"/>
      <c r="M155" s="573"/>
      <c r="N155" s="851"/>
      <c r="O155" s="852" t="str">
        <f>IFERROR(INDEX('Upper Hot Cell Logistics'!$I$35:$O$41,MATCH($M155,'Upper Hot Cell Logistics'!$H$35:$H$41,0),MATCH($N155,'Upper Hot Cell Logistics'!$H$35:$H$41,0)),"N/A")</f>
        <v>N/A</v>
      </c>
      <c r="P155" s="853" t="str">
        <f>IFERROR(VLOOKUP($L155,'Upper Hot Cell Logistics'!$H$4:$I$10,2,FALSE),"N/A")</f>
        <v>N/A</v>
      </c>
      <c r="Q155" s="849" t="str">
        <f t="shared" si="19"/>
        <v>N/A</v>
      </c>
      <c r="R155" s="854"/>
      <c r="S155" s="852" t="s">
        <v>263</v>
      </c>
      <c r="T155" s="462"/>
      <c r="U155" s="855" t="str">
        <f>IFERROR(VLOOKUP($T155,'Upper HotCell RecoveryLogisitcs'!$C$130:$F$238,4,FALSE),"N/A")</f>
        <v>N/A</v>
      </c>
      <c r="V155" s="580" t="str">
        <f t="shared" si="22"/>
        <v>N/A</v>
      </c>
      <c r="W155" s="895"/>
      <c r="Y155" s="290"/>
      <c r="Z155" s="290"/>
      <c r="AA155" s="915"/>
      <c r="AB155" s="290"/>
      <c r="AC155" s="290"/>
      <c r="AD155" s="290"/>
      <c r="AE155" s="7"/>
      <c r="AF155" s="7"/>
      <c r="AG155" s="7"/>
      <c r="AH155" s="7"/>
    </row>
    <row r="156" spans="2:34" ht="15" customHeight="1" outlineLevel="2" x14ac:dyDescent="0.4">
      <c r="B156" s="921"/>
      <c r="C156" s="5"/>
      <c r="D156" s="973"/>
      <c r="E156" s="846" t="s">
        <v>820</v>
      </c>
      <c r="F156" s="847"/>
      <c r="G156" s="848" t="s">
        <v>778</v>
      </c>
      <c r="H156" s="464">
        <f t="shared" si="20"/>
        <v>2.0833333333333332E-2</v>
      </c>
      <c r="I156" s="849">
        <f t="shared" si="21"/>
        <v>18.183804420605657</v>
      </c>
      <c r="J156" s="573"/>
      <c r="K156" s="850" t="str">
        <f>IF(G156="operation",VLOOKUP(J156,'Generic Vertical Port Tasks'!$C$4:$D$197,2,FALSE),"N/A")</f>
        <v>N/A</v>
      </c>
      <c r="L156" s="575" t="s">
        <v>798</v>
      </c>
      <c r="M156" s="573" t="s">
        <v>816</v>
      </c>
      <c r="N156" s="851" t="s">
        <v>452</v>
      </c>
      <c r="O156" s="852">
        <f>IFERROR(INDEX('Upper Hot Cell Logistics'!$I$35:$O$41,MATCH($M156,'Upper Hot Cell Logistics'!$H$35:$H$41,0),MATCH($N156,'Upper Hot Cell Logistics'!$H$35:$H$41,0)),"N/A")</f>
        <v>15</v>
      </c>
      <c r="P156" s="853">
        <f>IFERROR(VLOOKUP($L156,'Upper Hot Cell Logistics'!$H$4:$I$10,2,FALSE),"N/A")</f>
        <v>0.2</v>
      </c>
      <c r="Q156" s="849">
        <f t="shared" si="19"/>
        <v>2.0833333333333332E-2</v>
      </c>
      <c r="R156" s="854"/>
      <c r="S156" s="852" t="s">
        <v>263</v>
      </c>
      <c r="T156" s="462"/>
      <c r="U156" s="855" t="str">
        <f>IFERROR(VLOOKUP($T156,'Upper HotCell RecoveryLogisitcs'!$C$130:$F$238,4,FALSE),"N/A")</f>
        <v>N/A</v>
      </c>
      <c r="V156" s="580" t="str">
        <f t="shared" si="22"/>
        <v>N/A</v>
      </c>
      <c r="W156" s="895"/>
      <c r="Y156" s="290"/>
      <c r="Z156" s="290"/>
      <c r="AA156" s="915"/>
      <c r="AB156" s="290"/>
      <c r="AC156" s="290"/>
      <c r="AD156" s="290"/>
      <c r="AE156" s="7"/>
      <c r="AF156" s="7"/>
      <c r="AG156" s="7"/>
      <c r="AH156" s="7"/>
    </row>
    <row r="157" spans="2:34" ht="15.75" customHeight="1" outlineLevel="2" thickBot="1" x14ac:dyDescent="0.45">
      <c r="B157" s="921"/>
      <c r="C157" s="5"/>
      <c r="D157" s="949"/>
      <c r="E157" s="807" t="s">
        <v>15</v>
      </c>
      <c r="F157" s="808"/>
      <c r="G157" s="809" t="s">
        <v>251</v>
      </c>
      <c r="H157" s="471">
        <f t="shared" si="20"/>
        <v>1.0499155317167692</v>
      </c>
      <c r="I157" s="810">
        <f t="shared" si="21"/>
        <v>19.233719952322428</v>
      </c>
      <c r="J157" s="584" t="s">
        <v>2491</v>
      </c>
      <c r="K157" s="811">
        <f>IF(G157="operation",VLOOKUP(J157,'Generic Vertical Port Tasks'!$C$4:$D$197,2,FALSE),"N/A")</f>
        <v>1.0499155317167692</v>
      </c>
      <c r="L157" s="586"/>
      <c r="M157" s="584"/>
      <c r="N157" s="812"/>
      <c r="O157" s="813" t="str">
        <f>IFERROR(INDEX('Upper Hot Cell Logistics'!$I$35:$O$41,MATCH($M157,'Upper Hot Cell Logistics'!$H$35:$H$41,0),MATCH($N157,'Upper Hot Cell Logistics'!$H$35:$H$41,0)),"N/A")</f>
        <v>N/A</v>
      </c>
      <c r="P157" s="814" t="str">
        <f>IFERROR(VLOOKUP($L157,'Upper Hot Cell Logistics'!$H$4:$I$10,2,FALSE),"N/A")</f>
        <v>N/A</v>
      </c>
      <c r="Q157" s="810" t="str">
        <f t="shared" si="19"/>
        <v>N/A</v>
      </c>
      <c r="R157" s="815"/>
      <c r="S157" s="813" t="s">
        <v>263</v>
      </c>
      <c r="T157" s="469"/>
      <c r="U157" s="816" t="str">
        <f>IFERROR(VLOOKUP($T157,'Upper HotCell RecoveryLogisitcs'!$C$130:$F$238,4,FALSE),"N/A")</f>
        <v>N/A</v>
      </c>
      <c r="V157" s="591" t="str">
        <f t="shared" si="22"/>
        <v>N/A</v>
      </c>
      <c r="W157" s="895"/>
      <c r="Y157" s="290"/>
      <c r="Z157" s="290"/>
      <c r="AA157" s="915"/>
      <c r="AB157" s="290"/>
      <c r="AC157" s="290"/>
      <c r="AD157" s="290"/>
      <c r="AE157" s="7"/>
      <c r="AF157" s="7"/>
      <c r="AG157" s="7"/>
      <c r="AH157" s="7"/>
    </row>
    <row r="158" spans="2:34" ht="15" customHeight="1" outlineLevel="2" x14ac:dyDescent="0.4">
      <c r="B158" s="921"/>
      <c r="C158" s="5"/>
      <c r="D158" s="950" t="s">
        <v>1072</v>
      </c>
      <c r="E158" s="951" t="s">
        <v>797</v>
      </c>
      <c r="F158" s="952"/>
      <c r="G158" s="953" t="s">
        <v>778</v>
      </c>
      <c r="H158" s="954">
        <f t="shared" si="20"/>
        <v>6.9444444444444448E-2</v>
      </c>
      <c r="I158" s="955">
        <f t="shared" si="21"/>
        <v>19.303164396766871</v>
      </c>
      <c r="J158" s="592"/>
      <c r="K158" s="600" t="str">
        <f>IF(G158="operation",VLOOKUP(J158,'Generic Vertical Port Tasks'!$C$4:$D$197,2,FALSE),"N/A")</f>
        <v>N/A</v>
      </c>
      <c r="L158" s="594" t="s">
        <v>798</v>
      </c>
      <c r="M158" s="592" t="s">
        <v>831</v>
      </c>
      <c r="N158" s="956" t="s">
        <v>452</v>
      </c>
      <c r="O158" s="957">
        <f>IFERROR(INDEX('Upper Hot Cell Logistics'!$I$35:$O$41,MATCH($M158,'Upper Hot Cell Logistics'!$H$35:$H$41,0),MATCH($N158,'Upper Hot Cell Logistics'!$H$35:$H$41,0)),"N/A")</f>
        <v>50</v>
      </c>
      <c r="P158" s="958">
        <f>IFERROR(VLOOKUP($L158,'Upper Hot Cell Logistics'!$H$4:$I$10,2,FALSE),"N/A")</f>
        <v>0.2</v>
      </c>
      <c r="Q158" s="955">
        <f t="shared" si="19"/>
        <v>6.9444444444444448E-2</v>
      </c>
      <c r="R158" s="959"/>
      <c r="S158" s="957" t="s">
        <v>263</v>
      </c>
      <c r="T158" s="3603" t="s">
        <v>1168</v>
      </c>
      <c r="U158" s="960" t="str">
        <f>IFERROR(VLOOKUP($T158,'Upper HotCell RecoveryLogisitcs'!$C$130:$F$238,4,FALSE),"N/A")</f>
        <v>N/A</v>
      </c>
      <c r="V158" s="600" t="str">
        <f t="shared" si="22"/>
        <v>N/A</v>
      </c>
      <c r="W158" s="895"/>
      <c r="Y158" s="290"/>
      <c r="Z158" s="290"/>
      <c r="AA158" s="915"/>
      <c r="AB158" s="290"/>
      <c r="AC158" s="290"/>
      <c r="AD158" s="290"/>
      <c r="AE158" s="7"/>
      <c r="AF158" s="7"/>
      <c r="AG158" s="7"/>
      <c r="AH158" s="7"/>
    </row>
    <row r="159" spans="2:34" ht="15.75" customHeight="1" outlineLevel="2" thickBot="1" x14ac:dyDescent="0.45">
      <c r="B159" s="921"/>
      <c r="C159" s="5"/>
      <c r="D159" s="961"/>
      <c r="E159" s="962" t="s">
        <v>129</v>
      </c>
      <c r="F159" s="963"/>
      <c r="G159" s="964" t="s">
        <v>251</v>
      </c>
      <c r="H159" s="368">
        <f t="shared" si="20"/>
        <v>0.72499999999999998</v>
      </c>
      <c r="I159" s="965">
        <f t="shared" si="21"/>
        <v>20.028164396766872</v>
      </c>
      <c r="J159" s="966" t="s">
        <v>253</v>
      </c>
      <c r="K159" s="967">
        <f>IF(G159="operation",VLOOKUP(J159,'Generic Vertical Port Tasks'!$C$4:$D$197,2,FALSE),"N/A")</f>
        <v>0.72499999999999998</v>
      </c>
      <c r="L159" s="611"/>
      <c r="M159" s="966"/>
      <c r="N159" s="968"/>
      <c r="O159" s="969" t="str">
        <f>IFERROR(INDEX('Upper Hot Cell Logistics'!$I$35:$O$41,MATCH($M159,'Upper Hot Cell Logistics'!$H$35:$H$41,0),MATCH($N159,'Upper Hot Cell Logistics'!$H$35:$H$41,0)),"N/A")</f>
        <v>N/A</v>
      </c>
      <c r="P159" s="970" t="str">
        <f>IFERROR(VLOOKUP($L159,'Upper Hot Cell Logistics'!$H$4:$I$10,2,FALSE),"N/A")</f>
        <v>N/A</v>
      </c>
      <c r="Q159" s="965" t="str">
        <f t="shared" si="19"/>
        <v>N/A</v>
      </c>
      <c r="R159" s="971"/>
      <c r="S159" s="969" t="s">
        <v>263</v>
      </c>
      <c r="T159" s="3568"/>
      <c r="U159" s="972" t="str">
        <f>IFERROR(VLOOKUP($T159,'Upper HotCell RecoveryLogisitcs'!$C$130:$F$238,4,FALSE),"N/A")</f>
        <v>N/A</v>
      </c>
      <c r="V159" s="616" t="str">
        <f t="shared" si="22"/>
        <v>N/A</v>
      </c>
      <c r="W159" s="895"/>
      <c r="Y159" s="290"/>
      <c r="Z159" s="290"/>
      <c r="AA159" s="915"/>
      <c r="AB159" s="290"/>
      <c r="AC159" s="290"/>
      <c r="AD159" s="290"/>
      <c r="AE159" s="7"/>
      <c r="AF159" s="7"/>
      <c r="AG159" s="7"/>
      <c r="AH159" s="7"/>
    </row>
    <row r="160" spans="2:34" ht="15" customHeight="1" outlineLevel="2" x14ac:dyDescent="0.4">
      <c r="B160" s="921"/>
      <c r="C160" s="5"/>
      <c r="D160" s="948" t="s">
        <v>1073</v>
      </c>
      <c r="E160" s="797" t="s">
        <v>811</v>
      </c>
      <c r="F160" s="798"/>
      <c r="G160" s="799" t="s">
        <v>778</v>
      </c>
      <c r="H160" s="456">
        <f t="shared" si="20"/>
        <v>0.20833333333333334</v>
      </c>
      <c r="I160" s="800">
        <f t="shared" si="21"/>
        <v>20.236497730100204</v>
      </c>
      <c r="J160" s="566"/>
      <c r="K160" s="621" t="str">
        <f>IF(G160="operation",VLOOKUP(J160,'Generic Vertical Port Tasks'!$C$4:$D$197,2,FALSE),"N/A")</f>
        <v>N/A</v>
      </c>
      <c r="L160" s="568" t="s">
        <v>12</v>
      </c>
      <c r="M160" s="566" t="s">
        <v>816</v>
      </c>
      <c r="N160" s="801" t="s">
        <v>452</v>
      </c>
      <c r="O160" s="802">
        <f>IFERROR(INDEX('Upper Hot Cell Logistics'!$I$35:$O$41,MATCH($M160,'Upper Hot Cell Logistics'!$H$35:$H$41,0),MATCH($N160,'Upper Hot Cell Logistics'!$H$35:$H$41,0)),"N/A")</f>
        <v>15</v>
      </c>
      <c r="P160" s="570">
        <f>IFERROR(VLOOKUP($L160,'Upper Hot Cell Logistics'!$H$4:$I$10,2,FALSE),"N/A")</f>
        <v>0.02</v>
      </c>
      <c r="Q160" s="800">
        <f t="shared" si="19"/>
        <v>0.20833333333333334</v>
      </c>
      <c r="R160" s="803"/>
      <c r="S160" s="802" t="s">
        <v>263</v>
      </c>
      <c r="T160" s="454"/>
      <c r="U160" s="804" t="str">
        <f>IFERROR(VLOOKUP($T160,'Upper HotCell RecoveryLogisitcs'!$C$130:$F$238,4,FALSE),"N/A")</f>
        <v>N/A</v>
      </c>
      <c r="V160" s="621" t="str">
        <f t="shared" si="22"/>
        <v>N/A</v>
      </c>
      <c r="W160" s="895"/>
      <c r="Y160" s="290"/>
      <c r="Z160" s="290"/>
      <c r="AA160" s="915"/>
      <c r="AB160" s="290"/>
      <c r="AC160" s="290"/>
      <c r="AD160" s="290"/>
      <c r="AE160" s="7"/>
      <c r="AF160" s="7"/>
      <c r="AG160" s="7"/>
      <c r="AH160" s="7"/>
    </row>
    <row r="161" spans="2:34" ht="15" customHeight="1" outlineLevel="2" x14ac:dyDescent="0.4">
      <c r="B161" s="921"/>
      <c r="C161" s="5"/>
      <c r="D161" s="973"/>
      <c r="E161" s="846" t="s">
        <v>22</v>
      </c>
      <c r="F161" s="847"/>
      <c r="G161" s="848" t="s">
        <v>251</v>
      </c>
      <c r="H161" s="464">
        <f t="shared" si="20"/>
        <v>6.83</v>
      </c>
      <c r="I161" s="849">
        <f t="shared" si="21"/>
        <v>27.066497730100203</v>
      </c>
      <c r="J161" s="573" t="s">
        <v>252</v>
      </c>
      <c r="K161" s="850">
        <f>IF(G161="operation",VLOOKUP(J161,'Generic Vertical Port Tasks'!$C$4:$D$197,2,FALSE),"N/A")</f>
        <v>6.83</v>
      </c>
      <c r="L161" s="575"/>
      <c r="M161" s="573"/>
      <c r="N161" s="851"/>
      <c r="O161" s="852" t="str">
        <f>IFERROR(INDEX('Upper Hot Cell Logistics'!$I$35:$O$41,MATCH($M161,'Upper Hot Cell Logistics'!$H$35:$H$41,0),MATCH($N161,'Upper Hot Cell Logistics'!$H$35:$H$41,0)),"N/A")</f>
        <v>N/A</v>
      </c>
      <c r="P161" s="853" t="str">
        <f>IFERROR(VLOOKUP($L161,'Upper Hot Cell Logistics'!$H$4:$I$10,2,FALSE),"N/A")</f>
        <v>N/A</v>
      </c>
      <c r="Q161" s="849" t="str">
        <f t="shared" si="19"/>
        <v>N/A</v>
      </c>
      <c r="R161" s="854"/>
      <c r="S161" s="852" t="s">
        <v>263</v>
      </c>
      <c r="T161" s="462"/>
      <c r="U161" s="855" t="str">
        <f>IFERROR(VLOOKUP($T161,'Upper HotCell RecoveryLogisitcs'!$C$130:$F$238,4,FALSE),"N/A")</f>
        <v>N/A</v>
      </c>
      <c r="V161" s="580" t="str">
        <f t="shared" si="22"/>
        <v>N/A</v>
      </c>
      <c r="W161" s="895"/>
      <c r="Y161" s="290"/>
      <c r="Z161" s="290"/>
      <c r="AA161" s="915"/>
      <c r="AB161" s="290"/>
      <c r="AC161" s="290"/>
      <c r="AD161" s="290"/>
      <c r="AE161" s="7"/>
      <c r="AF161" s="7"/>
      <c r="AG161" s="7"/>
      <c r="AH161" s="7"/>
    </row>
    <row r="162" spans="2:34" ht="15" customHeight="1" outlineLevel="2" x14ac:dyDescent="0.4">
      <c r="B162" s="921"/>
      <c r="C162" s="5"/>
      <c r="D162" s="973"/>
      <c r="E162" s="846" t="s">
        <v>820</v>
      </c>
      <c r="F162" s="847"/>
      <c r="G162" s="848" t="s">
        <v>778</v>
      </c>
      <c r="H162" s="464">
        <f t="shared" si="20"/>
        <v>2.0833333333333332E-2</v>
      </c>
      <c r="I162" s="849">
        <f t="shared" si="21"/>
        <v>27.087331063433535</v>
      </c>
      <c r="J162" s="573"/>
      <c r="K162" s="850" t="str">
        <f>IF(G162="operation",VLOOKUP(J162,'Generic Vertical Port Tasks'!$C$4:$D$197,2,FALSE),"N/A")</f>
        <v>N/A</v>
      </c>
      <c r="L162" s="575" t="s">
        <v>798</v>
      </c>
      <c r="M162" s="573" t="s">
        <v>816</v>
      </c>
      <c r="N162" s="851" t="s">
        <v>452</v>
      </c>
      <c r="O162" s="852">
        <f>IFERROR(INDEX('Upper Hot Cell Logistics'!$I$35:$O$41,MATCH($M162,'Upper Hot Cell Logistics'!$H$35:$H$41,0),MATCH($N162,'Upper Hot Cell Logistics'!$H$35:$H$41,0)),"N/A")</f>
        <v>15</v>
      </c>
      <c r="P162" s="853">
        <f>IFERROR(VLOOKUP($L162,'Upper Hot Cell Logistics'!$H$4:$I$10,2,FALSE),"N/A")</f>
        <v>0.2</v>
      </c>
      <c r="Q162" s="849">
        <f t="shared" si="19"/>
        <v>2.0833333333333332E-2</v>
      </c>
      <c r="R162" s="854"/>
      <c r="S162" s="852" t="s">
        <v>263</v>
      </c>
      <c r="T162" s="462"/>
      <c r="U162" s="855" t="str">
        <f>IFERROR(VLOOKUP($T162,'Upper HotCell RecoveryLogisitcs'!$C$130:$F$238,4,FALSE),"N/A")</f>
        <v>N/A</v>
      </c>
      <c r="V162" s="580" t="str">
        <f t="shared" si="22"/>
        <v>N/A</v>
      </c>
      <c r="W162" s="895"/>
      <c r="Y162" s="290"/>
      <c r="Z162" s="290"/>
      <c r="AA162" s="915"/>
      <c r="AB162" s="290"/>
      <c r="AC162" s="290"/>
      <c r="AD162" s="290"/>
      <c r="AE162" s="7"/>
      <c r="AF162" s="7"/>
      <c r="AG162" s="7"/>
      <c r="AH162" s="7"/>
    </row>
    <row r="163" spans="2:34" ht="15.75" customHeight="1" outlineLevel="2" thickBot="1" x14ac:dyDescent="0.45">
      <c r="B163" s="921"/>
      <c r="C163" s="5"/>
      <c r="D163" s="949"/>
      <c r="E163" s="807" t="s">
        <v>14</v>
      </c>
      <c r="F163" s="808"/>
      <c r="G163" s="809" t="s">
        <v>251</v>
      </c>
      <c r="H163" s="471">
        <f t="shared" si="20"/>
        <v>1.0499155317167692</v>
      </c>
      <c r="I163" s="810">
        <f t="shared" si="21"/>
        <v>28.137246595150305</v>
      </c>
      <c r="J163" s="584" t="s">
        <v>2491</v>
      </c>
      <c r="K163" s="811">
        <f>IF(G163="operation",VLOOKUP(J163,'Generic Vertical Port Tasks'!$C$4:$D$197,2,FALSE),"N/A")</f>
        <v>1.0499155317167692</v>
      </c>
      <c r="L163" s="586"/>
      <c r="M163" s="584"/>
      <c r="N163" s="812"/>
      <c r="O163" s="813" t="str">
        <f>IFERROR(INDEX('Upper Hot Cell Logistics'!$I$35:$O$41,MATCH($M163,'Upper Hot Cell Logistics'!$H$35:$H$41,0),MATCH($N163,'Upper Hot Cell Logistics'!$H$35:$H$41,0)),"N/A")</f>
        <v>N/A</v>
      </c>
      <c r="P163" s="814" t="str">
        <f>IFERROR(VLOOKUP($L163,'Upper Hot Cell Logistics'!$H$4:$I$10,2,FALSE),"N/A")</f>
        <v>N/A</v>
      </c>
      <c r="Q163" s="810" t="str">
        <f t="shared" si="19"/>
        <v>N/A</v>
      </c>
      <c r="R163" s="815"/>
      <c r="S163" s="813" t="s">
        <v>263</v>
      </c>
      <c r="T163" s="469"/>
      <c r="U163" s="816" t="str">
        <f>IFERROR(VLOOKUP($T163,'Upper HotCell RecoveryLogisitcs'!$C$130:$F$238,4,FALSE),"N/A")</f>
        <v>N/A</v>
      </c>
      <c r="V163" s="591" t="str">
        <f t="shared" si="22"/>
        <v>N/A</v>
      </c>
      <c r="W163" s="895"/>
      <c r="Y163" s="290"/>
      <c r="Z163" s="290"/>
      <c r="AA163" s="915"/>
      <c r="AB163" s="290"/>
      <c r="AC163" s="290"/>
      <c r="AD163" s="290"/>
      <c r="AE163" s="7"/>
      <c r="AF163" s="7"/>
      <c r="AG163" s="7"/>
      <c r="AH163" s="7"/>
    </row>
    <row r="164" spans="2:34" ht="15" customHeight="1" outlineLevel="2" x14ac:dyDescent="0.4">
      <c r="B164" s="921"/>
      <c r="C164" s="5"/>
      <c r="D164" s="950" t="s">
        <v>1074</v>
      </c>
      <c r="E164" s="951" t="s">
        <v>797</v>
      </c>
      <c r="F164" s="952"/>
      <c r="G164" s="953" t="s">
        <v>778</v>
      </c>
      <c r="H164" s="954">
        <f t="shared" si="20"/>
        <v>6.9444444444444448E-2</v>
      </c>
      <c r="I164" s="955">
        <f t="shared" si="21"/>
        <v>28.206691039594748</v>
      </c>
      <c r="J164" s="592"/>
      <c r="K164" s="600" t="str">
        <f>IF(G164="operation",VLOOKUP(J164,'Generic Vertical Port Tasks'!$C$4:$D$197,2,FALSE),"N/A")</f>
        <v>N/A</v>
      </c>
      <c r="L164" s="594" t="s">
        <v>798</v>
      </c>
      <c r="M164" s="592" t="s">
        <v>831</v>
      </c>
      <c r="N164" s="956" t="s">
        <v>452</v>
      </c>
      <c r="O164" s="957">
        <f>IFERROR(INDEX('Upper Hot Cell Logistics'!$I$35:$O$41,MATCH($M164,'Upper Hot Cell Logistics'!$H$35:$H$41,0),MATCH($N164,'Upper Hot Cell Logistics'!$H$35:$H$41,0)),"N/A")</f>
        <v>50</v>
      </c>
      <c r="P164" s="958">
        <f>IFERROR(VLOOKUP($L164,'Upper Hot Cell Logistics'!$H$4:$I$10,2,FALSE),"N/A")</f>
        <v>0.2</v>
      </c>
      <c r="Q164" s="955">
        <f t="shared" si="19"/>
        <v>6.9444444444444448E-2</v>
      </c>
      <c r="R164" s="959"/>
      <c r="S164" s="957" t="s">
        <v>263</v>
      </c>
      <c r="T164" s="3603" t="s">
        <v>1169</v>
      </c>
      <c r="U164" s="960" t="str">
        <f>IFERROR(VLOOKUP($T164,'Upper HotCell RecoveryLogisitcs'!$C$130:$F$238,4,FALSE),"N/A")</f>
        <v>N/A</v>
      </c>
      <c r="V164" s="600" t="str">
        <f t="shared" si="22"/>
        <v>N/A</v>
      </c>
      <c r="W164" s="895"/>
      <c r="Y164" s="290"/>
      <c r="Z164" s="290"/>
      <c r="AA164" s="915"/>
      <c r="AB164" s="290"/>
      <c r="AC164" s="290"/>
      <c r="AD164" s="290"/>
      <c r="AE164" s="7"/>
      <c r="AF164" s="7"/>
      <c r="AG164" s="7"/>
      <c r="AH164" s="7"/>
    </row>
    <row r="165" spans="2:34" ht="15.75" customHeight="1" outlineLevel="2" thickBot="1" x14ac:dyDescent="0.45">
      <c r="B165" s="921"/>
      <c r="C165" s="5"/>
      <c r="D165" s="961"/>
      <c r="E165" s="962" t="s">
        <v>131</v>
      </c>
      <c r="F165" s="963"/>
      <c r="G165" s="964" t="s">
        <v>251</v>
      </c>
      <c r="H165" s="368">
        <f t="shared" si="20"/>
        <v>0.72499999999999998</v>
      </c>
      <c r="I165" s="965">
        <f t="shared" si="21"/>
        <v>28.93169103959475</v>
      </c>
      <c r="J165" s="966" t="s">
        <v>253</v>
      </c>
      <c r="K165" s="967">
        <f>IF(G165="operation",VLOOKUP(J165,'Generic Vertical Port Tasks'!$C$4:$D$197,2,FALSE),"N/A")</f>
        <v>0.72499999999999998</v>
      </c>
      <c r="L165" s="611"/>
      <c r="M165" s="966"/>
      <c r="N165" s="968"/>
      <c r="O165" s="969" t="str">
        <f>IFERROR(INDEX('Upper Hot Cell Logistics'!$I$35:$O$41,MATCH($M165,'Upper Hot Cell Logistics'!$H$35:$H$41,0),MATCH($N165,'Upper Hot Cell Logistics'!$H$35:$H$41,0)),"N/A")</f>
        <v>N/A</v>
      </c>
      <c r="P165" s="970" t="str">
        <f>IFERROR(VLOOKUP($L165,'Upper Hot Cell Logistics'!$H$4:$I$10,2,FALSE),"N/A")</f>
        <v>N/A</v>
      </c>
      <c r="Q165" s="965" t="str">
        <f t="shared" si="19"/>
        <v>N/A</v>
      </c>
      <c r="R165" s="971"/>
      <c r="S165" s="969" t="s">
        <v>263</v>
      </c>
      <c r="T165" s="3568"/>
      <c r="U165" s="972" t="str">
        <f>IFERROR(VLOOKUP($T165,'Upper HotCell RecoveryLogisitcs'!$C$130:$F$238,4,FALSE),"N/A")</f>
        <v>N/A</v>
      </c>
      <c r="V165" s="616" t="str">
        <f t="shared" si="22"/>
        <v>N/A</v>
      </c>
      <c r="W165" s="895"/>
      <c r="Y165" s="290"/>
      <c r="Z165" s="290"/>
      <c r="AA165" s="915"/>
      <c r="AB165" s="290"/>
      <c r="AC165" s="290"/>
      <c r="AD165" s="290"/>
      <c r="AE165" s="7"/>
      <c r="AF165" s="7"/>
      <c r="AG165" s="7"/>
      <c r="AH165" s="7"/>
    </row>
    <row r="166" spans="2:34" ht="30" customHeight="1" outlineLevel="2" x14ac:dyDescent="0.4">
      <c r="B166" s="921"/>
      <c r="C166" s="5"/>
      <c r="D166" s="948" t="s">
        <v>1107</v>
      </c>
      <c r="E166" s="847" t="s">
        <v>1076</v>
      </c>
      <c r="F166" s="847"/>
      <c r="G166" s="848" t="s">
        <v>778</v>
      </c>
      <c r="H166" s="459">
        <f t="shared" si="20"/>
        <v>6.9444444444444448E-2</v>
      </c>
      <c r="I166" s="849">
        <f t="shared" si="21"/>
        <v>30.27502437292808</v>
      </c>
      <c r="J166" s="573"/>
      <c r="K166" s="850" t="str">
        <f>IF(G166="operation",VLOOKUP(J166,'Generic Vertical Port Tasks'!$C$4:$D$197,2,FALSE),"N/A")</f>
        <v>N/A</v>
      </c>
      <c r="L166" s="575" t="s">
        <v>798</v>
      </c>
      <c r="M166" s="573" t="s">
        <v>799</v>
      </c>
      <c r="N166" s="851" t="s">
        <v>452</v>
      </c>
      <c r="O166" s="852">
        <f>IFERROR(INDEX('Upper Hot Cell Logistics'!$I$35:$O$41,MATCH($M166,'Upper Hot Cell Logistics'!$H$35:$H$41,0),MATCH($N166,'Upper Hot Cell Logistics'!$H$35:$H$41,0)),"N/A")</f>
        <v>50</v>
      </c>
      <c r="P166" s="853">
        <f>IFERROR(VLOOKUP($L166,'Upper Hot Cell Logistics'!$H$4:$I$10,2,FALSE),"N/A")</f>
        <v>0.2</v>
      </c>
      <c r="Q166" s="849">
        <f t="shared" si="19"/>
        <v>6.9444444444444448E-2</v>
      </c>
      <c r="R166" s="854"/>
      <c r="S166" s="852" t="str">
        <f>IF($G166="Logistics",VLOOKUP($R166,'Upper Hot Cell Logistics'!$C$4:$D$44,2,FALSE),"N/A")</f>
        <v>N/A</v>
      </c>
      <c r="T166" s="462" t="s">
        <v>1077</v>
      </c>
      <c r="U166" s="855">
        <f>IFERROR(VLOOKUP($T166,'Upper HotCell RecoveryLogisitcs'!$C$130:$F$238,4,FALSE),"N/A")</f>
        <v>30.205579928483637</v>
      </c>
      <c r="V166" s="580">
        <f t="shared" si="22"/>
        <v>-1.2738888888888873</v>
      </c>
      <c r="W166" s="895"/>
      <c r="Y166" s="290"/>
      <c r="Z166" s="290"/>
      <c r="AA166" s="915"/>
      <c r="AB166" s="290"/>
      <c r="AC166" s="290"/>
      <c r="AD166" s="290"/>
      <c r="AE166" s="7"/>
      <c r="AF166" s="7"/>
      <c r="AG166" s="7"/>
      <c r="AH166" s="7"/>
    </row>
    <row r="167" spans="2:34" ht="15" customHeight="1" outlineLevel="2" x14ac:dyDescent="0.4">
      <c r="B167" s="921"/>
      <c r="C167" s="5"/>
      <c r="D167" s="973"/>
      <c r="E167" s="847" t="s">
        <v>122</v>
      </c>
      <c r="F167" s="847"/>
      <c r="G167" s="848" t="s">
        <v>251</v>
      </c>
      <c r="H167" s="459">
        <f t="shared" si="20"/>
        <v>5.74</v>
      </c>
      <c r="I167" s="849">
        <f t="shared" si="21"/>
        <v>36.015024372928082</v>
      </c>
      <c r="J167" s="573" t="s">
        <v>254</v>
      </c>
      <c r="K167" s="850">
        <f>IF(G167="operation",VLOOKUP(J167,'Generic Vertical Port Tasks'!$C$4:$D$197,2,FALSE),"N/A")</f>
        <v>5.74</v>
      </c>
      <c r="L167" s="575"/>
      <c r="M167" s="573"/>
      <c r="N167" s="851"/>
      <c r="O167" s="852" t="str">
        <f>IFERROR(INDEX('Upper Hot Cell Logistics'!$I$35:$O$41,MATCH($M167,'Upper Hot Cell Logistics'!$H$35:$H$41,0),MATCH($N167,'Upper Hot Cell Logistics'!$H$35:$H$41,0)),"N/A")</f>
        <v>N/A</v>
      </c>
      <c r="P167" s="853" t="str">
        <f>IFERROR(VLOOKUP($L167,'Upper Hot Cell Logistics'!$H$4:$I$10,2,FALSE),"N/A")</f>
        <v>N/A</v>
      </c>
      <c r="Q167" s="849" t="str">
        <f t="shared" si="19"/>
        <v>N/A</v>
      </c>
      <c r="R167" s="854"/>
      <c r="S167" s="852" t="str">
        <f>IF($G167="Logistics",VLOOKUP($R167,'Upper Hot Cell Logistics'!$C$4:$D$44,2,FALSE),"N/A")</f>
        <v>N/A</v>
      </c>
      <c r="T167" s="462"/>
      <c r="U167" s="855" t="str">
        <f>IFERROR(VLOOKUP($T167,'Upper HotCell RecoveryLogisitcs'!$C$130:$F$238,4,FALSE),"N/A")</f>
        <v>N/A</v>
      </c>
      <c r="V167" s="580" t="str">
        <f t="shared" si="22"/>
        <v>N/A</v>
      </c>
      <c r="W167" s="895"/>
      <c r="Y167" s="290"/>
      <c r="Z167" s="290"/>
      <c r="AA167" s="915"/>
      <c r="AB167" s="5"/>
      <c r="AC167" s="7"/>
      <c r="AD167" s="7"/>
      <c r="AE167" s="7"/>
      <c r="AF167" s="7"/>
      <c r="AG167" s="7"/>
      <c r="AH167" s="7"/>
    </row>
    <row r="168" spans="2:34" ht="25.5" customHeight="1" outlineLevel="2" x14ac:dyDescent="0.4">
      <c r="B168" s="921"/>
      <c r="C168" s="5"/>
      <c r="D168" s="973"/>
      <c r="E168" s="847" t="s">
        <v>797</v>
      </c>
      <c r="F168" s="847"/>
      <c r="G168" s="848" t="s">
        <v>778</v>
      </c>
      <c r="H168" s="459">
        <f t="shared" si="20"/>
        <v>6.9444444444444448E-2</v>
      </c>
      <c r="I168" s="849">
        <f t="shared" si="21"/>
        <v>36.084468817372525</v>
      </c>
      <c r="J168" s="573"/>
      <c r="K168" s="850" t="str">
        <f>IF(G168="operation",VLOOKUP(J168,'Generic Vertical Port Tasks'!$C$4:$D$197,2,FALSE),"N/A")</f>
        <v>N/A</v>
      </c>
      <c r="L168" s="575" t="s">
        <v>798</v>
      </c>
      <c r="M168" s="573" t="s">
        <v>799</v>
      </c>
      <c r="N168" s="851" t="s">
        <v>452</v>
      </c>
      <c r="O168" s="852">
        <f>IFERROR(INDEX('Upper Hot Cell Logistics'!$I$35:$O$41,MATCH($M168,'Upper Hot Cell Logistics'!$H$35:$H$41,0),MATCH($N168,'Upper Hot Cell Logistics'!$H$35:$H$41,0)),"N/A")</f>
        <v>50</v>
      </c>
      <c r="P168" s="853">
        <f>IFERROR(VLOOKUP($L168,'Upper Hot Cell Logistics'!$H$4:$I$10,2,FALSE),"N/A")</f>
        <v>0.2</v>
      </c>
      <c r="Q168" s="849">
        <f t="shared" si="19"/>
        <v>6.9444444444444448E-2</v>
      </c>
      <c r="R168" s="854"/>
      <c r="S168" s="852" t="str">
        <f>IF($E168="Logistics",VLOOKUP($P168,'Upper Hot Cell Logistics'!$C$4:$D$44,2,FALSE),"N/A")</f>
        <v>N/A</v>
      </c>
      <c r="T168" s="462" t="s">
        <v>1079</v>
      </c>
      <c r="U168" s="855">
        <f>IFERROR(VLOOKUP($T168,'Upper HotCell RecoveryLogisitcs'!$C$130:$F$238,4,FALSE),"N/A")</f>
        <v>31.591135484039192</v>
      </c>
      <c r="V168" s="580">
        <f t="shared" si="22"/>
        <v>4.4238888888888894</v>
      </c>
      <c r="W168" s="895"/>
      <c r="Y168" s="290"/>
      <c r="Z168" s="290"/>
      <c r="AA168" s="915"/>
      <c r="AB168" s="5"/>
      <c r="AC168" s="7"/>
      <c r="AD168" s="7"/>
      <c r="AE168" s="7"/>
      <c r="AF168" s="7"/>
      <c r="AG168" s="7"/>
      <c r="AH168" s="7"/>
    </row>
    <row r="169" spans="2:34" ht="15" customHeight="1" outlineLevel="2" x14ac:dyDescent="0.4">
      <c r="B169" s="921"/>
      <c r="C169" s="5"/>
      <c r="D169" s="973"/>
      <c r="E169" s="847" t="s">
        <v>135</v>
      </c>
      <c r="F169" s="847"/>
      <c r="G169" s="848" t="s">
        <v>251</v>
      </c>
      <c r="H169" s="459">
        <f t="shared" si="20"/>
        <v>5.74</v>
      </c>
      <c r="I169" s="849">
        <f t="shared" si="21"/>
        <v>41.824468817372527</v>
      </c>
      <c r="J169" s="573" t="s">
        <v>254</v>
      </c>
      <c r="K169" s="850">
        <f>IF(G169="operation",VLOOKUP(J169,'Generic Vertical Port Tasks'!$C$4:$D$197,2,FALSE),"N/A")</f>
        <v>5.74</v>
      </c>
      <c r="L169" s="575"/>
      <c r="M169" s="573"/>
      <c r="N169" s="851"/>
      <c r="O169" s="852" t="str">
        <f>IFERROR(INDEX('Upper Hot Cell Logistics'!$I$35:$O$41,MATCH($M169,'Upper Hot Cell Logistics'!$H$35:$H$41,0),MATCH($N169,'Upper Hot Cell Logistics'!$H$35:$H$41,0)),"N/A")</f>
        <v>N/A</v>
      </c>
      <c r="P169" s="853" t="str">
        <f>IFERROR(VLOOKUP($L169,'Upper Hot Cell Logistics'!$H$4:$I$10,2,FALSE),"N/A")</f>
        <v>N/A</v>
      </c>
      <c r="Q169" s="849" t="str">
        <f t="shared" si="19"/>
        <v>N/A</v>
      </c>
      <c r="R169" s="854"/>
      <c r="S169" s="852" t="str">
        <f>IF($E169="Logistics",VLOOKUP($P169,'Upper Hot Cell Logistics'!$C$4:$D$44,2,FALSE),"N/A")</f>
        <v>N/A</v>
      </c>
      <c r="T169" s="462"/>
      <c r="U169" s="855" t="str">
        <f>IFERROR(VLOOKUP($T169,'Upper HotCell RecoveryLogisitcs'!$C$130:$F$238,4,FALSE),"N/A")</f>
        <v>N/A</v>
      </c>
      <c r="V169" s="580" t="str">
        <f t="shared" si="22"/>
        <v>N/A</v>
      </c>
      <c r="W169" s="895"/>
      <c r="Y169" s="290"/>
      <c r="Z169" s="290"/>
      <c r="AA169" s="915"/>
      <c r="AB169" s="5"/>
      <c r="AC169" s="7"/>
      <c r="AD169" s="7"/>
      <c r="AE169" s="7"/>
      <c r="AF169" s="7"/>
      <c r="AG169" s="7"/>
      <c r="AH169" s="7"/>
    </row>
    <row r="170" spans="2:34" ht="15" customHeight="1" outlineLevel="2" x14ac:dyDescent="0.4">
      <c r="B170" s="921"/>
      <c r="C170" s="5"/>
      <c r="D170" s="973"/>
      <c r="E170" s="847" t="s">
        <v>820</v>
      </c>
      <c r="F170" s="847"/>
      <c r="G170" s="848" t="s">
        <v>778</v>
      </c>
      <c r="H170" s="459">
        <f t="shared" si="20"/>
        <v>6.9444444444444448E-2</v>
      </c>
      <c r="I170" s="849">
        <f t="shared" si="21"/>
        <v>41.893913261816969</v>
      </c>
      <c r="J170" s="573"/>
      <c r="K170" s="850" t="str">
        <f>IF(G170="operation",VLOOKUP(J170,'Generic Vertical Port Tasks'!$C$4:$D$197,2,FALSE),"N/A")</f>
        <v>N/A</v>
      </c>
      <c r="L170" s="575" t="s">
        <v>798</v>
      </c>
      <c r="M170" s="573" t="s">
        <v>831</v>
      </c>
      <c r="N170" s="851" t="s">
        <v>452</v>
      </c>
      <c r="O170" s="852">
        <f>IFERROR(INDEX('Upper Hot Cell Logistics'!$I$35:$O$41,MATCH($M170,'Upper Hot Cell Logistics'!$H$35:$H$41,0),MATCH($N170,'Upper Hot Cell Logistics'!$H$35:$H$41,0)),"N/A")</f>
        <v>50</v>
      </c>
      <c r="P170" s="853">
        <f>IFERROR(VLOOKUP($L170,'Upper Hot Cell Logistics'!$H$4:$I$10,2,FALSE),"N/A")</f>
        <v>0.2</v>
      </c>
      <c r="Q170" s="849">
        <f t="shared" si="19"/>
        <v>6.9444444444444448E-2</v>
      </c>
      <c r="R170" s="854"/>
      <c r="S170" s="852" t="str">
        <f>IF($E170="Logistics",VLOOKUP($P170,'Upper Hot Cell Logistics'!$C$4:$D$44,2,FALSE),"N/A")</f>
        <v>N/A</v>
      </c>
      <c r="T170" s="462" t="s">
        <v>959</v>
      </c>
      <c r="U170" s="855">
        <f>IFERROR(VLOOKUP($T170,'Upper HotCell RecoveryLogisitcs'!$C$130:$F$238,4,FALSE),"N/A")</f>
        <v>37.289468817372523</v>
      </c>
      <c r="V170" s="580">
        <f t="shared" si="22"/>
        <v>4.5350000000000037</v>
      </c>
      <c r="W170" s="895"/>
      <c r="Y170" s="290"/>
      <c r="Z170" s="290"/>
      <c r="AA170" s="915"/>
      <c r="AB170" s="5"/>
      <c r="AC170" s="7"/>
      <c r="AD170" s="7"/>
      <c r="AE170" s="7"/>
      <c r="AF170" s="7"/>
      <c r="AG170" s="7"/>
      <c r="AH170" s="7"/>
    </row>
    <row r="171" spans="2:34" ht="15" customHeight="1" outlineLevel="2" x14ac:dyDescent="0.4">
      <c r="B171" s="921"/>
      <c r="C171" s="5"/>
      <c r="D171" s="973"/>
      <c r="E171" s="847" t="s">
        <v>136</v>
      </c>
      <c r="F171" s="847"/>
      <c r="G171" s="848" t="s">
        <v>251</v>
      </c>
      <c r="H171" s="459">
        <f t="shared" si="20"/>
        <v>5.74</v>
      </c>
      <c r="I171" s="849">
        <f t="shared" si="21"/>
        <v>47.633913261816971</v>
      </c>
      <c r="J171" s="573" t="s">
        <v>254</v>
      </c>
      <c r="K171" s="850">
        <f>IF(G171="operation",VLOOKUP(J171,'Generic Vertical Port Tasks'!$C$4:$D$197,2,FALSE),"N/A")</f>
        <v>5.74</v>
      </c>
      <c r="L171" s="575"/>
      <c r="M171" s="573"/>
      <c r="N171" s="851"/>
      <c r="O171" s="852" t="str">
        <f>IFERROR(INDEX('Upper Hot Cell Logistics'!$I$35:$O$41,MATCH($M171,'Upper Hot Cell Logistics'!$H$35:$H$41,0),MATCH($N171,'Upper Hot Cell Logistics'!$H$35:$H$41,0)),"N/A")</f>
        <v>N/A</v>
      </c>
      <c r="P171" s="853" t="str">
        <f>IFERROR(VLOOKUP($L171,'Upper Hot Cell Logistics'!$H$4:$I$10,2,FALSE),"N/A")</f>
        <v>N/A</v>
      </c>
      <c r="Q171" s="849" t="str">
        <f t="shared" si="19"/>
        <v>N/A</v>
      </c>
      <c r="R171" s="854"/>
      <c r="S171" s="852" t="str">
        <f>IF($E171="Logistics",VLOOKUP($P171,'Upper Hot Cell Logistics'!$C$4:$D$44,2,FALSE),"N/A")</f>
        <v>N/A</v>
      </c>
      <c r="T171" s="462"/>
      <c r="U171" s="855" t="str">
        <f>IFERROR(VLOOKUP($T171,'Upper HotCell RecoveryLogisitcs'!$C$130:$F$238,4,FALSE),"N/A")</f>
        <v>N/A</v>
      </c>
      <c r="V171" s="580" t="str">
        <f t="shared" si="22"/>
        <v>N/A</v>
      </c>
      <c r="W171" s="895"/>
      <c r="Y171" s="290"/>
      <c r="Z171" s="290"/>
      <c r="AA171" s="915"/>
      <c r="AB171" s="5"/>
      <c r="AC171" s="7"/>
      <c r="AD171" s="7"/>
      <c r="AE171" s="7"/>
      <c r="AF171" s="7"/>
      <c r="AG171" s="7"/>
      <c r="AH171" s="7"/>
    </row>
    <row r="172" spans="2:34" ht="15" customHeight="1" outlineLevel="2" x14ac:dyDescent="0.4">
      <c r="B172" s="921"/>
      <c r="C172" s="5"/>
      <c r="D172" s="973"/>
      <c r="E172" s="847" t="s">
        <v>797</v>
      </c>
      <c r="F172" s="847"/>
      <c r="G172" s="848" t="s">
        <v>778</v>
      </c>
      <c r="H172" s="459">
        <f t="shared" si="20"/>
        <v>6.9444444444444448E-2</v>
      </c>
      <c r="I172" s="849">
        <f t="shared" si="21"/>
        <v>47.703357706261414</v>
      </c>
      <c r="J172" s="573"/>
      <c r="K172" s="850" t="str">
        <f>IF(G172="operation",VLOOKUP(J172,'Generic Vertical Port Tasks'!$C$4:$D$197,2,FALSE),"N/A")</f>
        <v>N/A</v>
      </c>
      <c r="L172" s="575" t="s">
        <v>798</v>
      </c>
      <c r="M172" s="573" t="s">
        <v>831</v>
      </c>
      <c r="N172" s="851" t="s">
        <v>452</v>
      </c>
      <c r="O172" s="852">
        <f>IFERROR(INDEX('Upper Hot Cell Logistics'!$I$35:$O$41,MATCH($M172,'Upper Hot Cell Logistics'!$H$35:$H$41,0),MATCH($N172,'Upper Hot Cell Logistics'!$H$35:$H$41,0)),"N/A")</f>
        <v>50</v>
      </c>
      <c r="P172" s="853">
        <f>IFERROR(VLOOKUP($L172,'Upper Hot Cell Logistics'!$H$4:$I$10,2,FALSE),"N/A")</f>
        <v>0.2</v>
      </c>
      <c r="Q172" s="849">
        <f t="shared" si="19"/>
        <v>6.9444444444444448E-2</v>
      </c>
      <c r="R172" s="854"/>
      <c r="S172" s="852" t="str">
        <f>IF($E172="Logistics",VLOOKUP($P172,'Upper Hot Cell Logistics'!$C$4:$D$44,2,FALSE),"N/A")</f>
        <v>N/A</v>
      </c>
      <c r="T172" s="462" t="s">
        <v>961</v>
      </c>
      <c r="U172" s="855">
        <f>IFERROR(VLOOKUP($T172,'Upper HotCell RecoveryLogisitcs'!$C$130:$F$238,4,FALSE),"N/A")</f>
        <v>43.098913261816968</v>
      </c>
      <c r="V172" s="580">
        <f t="shared" si="22"/>
        <v>4.5350000000000037</v>
      </c>
      <c r="W172" s="895"/>
      <c r="Y172" s="290"/>
      <c r="Z172" s="290"/>
      <c r="AA172" s="915"/>
      <c r="AB172" s="5"/>
      <c r="AC172" s="7"/>
      <c r="AD172" s="7"/>
      <c r="AE172" s="7"/>
      <c r="AF172" s="7"/>
      <c r="AG172" s="7"/>
      <c r="AH172" s="7"/>
    </row>
    <row r="173" spans="2:34" ht="15" customHeight="1" outlineLevel="2" x14ac:dyDescent="0.4">
      <c r="B173" s="921"/>
      <c r="C173" s="5"/>
      <c r="D173" s="973"/>
      <c r="E173" s="847" t="s">
        <v>138</v>
      </c>
      <c r="F173" s="847"/>
      <c r="G173" s="848" t="s">
        <v>251</v>
      </c>
      <c r="H173" s="459">
        <f t="shared" si="20"/>
        <v>5.74</v>
      </c>
      <c r="I173" s="849">
        <f t="shared" si="21"/>
        <v>53.443357706261416</v>
      </c>
      <c r="J173" s="573" t="s">
        <v>254</v>
      </c>
      <c r="K173" s="850">
        <f>IF(G173="operation",VLOOKUP(J173,'Generic Vertical Port Tasks'!$C$4:$D$197,2,FALSE),"N/A")</f>
        <v>5.74</v>
      </c>
      <c r="L173" s="575"/>
      <c r="M173" s="573"/>
      <c r="N173" s="851"/>
      <c r="O173" s="852" t="str">
        <f>IFERROR(INDEX('Upper Hot Cell Logistics'!$I$35:$O$41,MATCH($M173,'Upper Hot Cell Logistics'!$H$35:$H$41,0),MATCH($N173,'Upper Hot Cell Logistics'!$H$35:$H$41,0)),"N/A")</f>
        <v>N/A</v>
      </c>
      <c r="P173" s="853" t="str">
        <f>IFERROR(VLOOKUP($L173,'Upper Hot Cell Logistics'!$H$4:$I$10,2,FALSE),"N/A")</f>
        <v>N/A</v>
      </c>
      <c r="Q173" s="849" t="str">
        <f t="shared" si="19"/>
        <v>N/A</v>
      </c>
      <c r="R173" s="854"/>
      <c r="S173" s="852" t="str">
        <f>IF($E173="Logistics",VLOOKUP($P173,'Upper Hot Cell Logistics'!$C$4:$D$44,2,FALSE),"N/A")</f>
        <v>N/A</v>
      </c>
      <c r="T173" s="462"/>
      <c r="U173" s="855" t="str">
        <f>IFERROR(VLOOKUP($T173,'Upper HotCell RecoveryLogisitcs'!$C$130:$F$238,4,FALSE),"N/A")</f>
        <v>N/A</v>
      </c>
      <c r="V173" s="580" t="str">
        <f t="shared" si="22"/>
        <v>N/A</v>
      </c>
      <c r="W173" s="895"/>
      <c r="Y173" s="290"/>
      <c r="Z173" s="290"/>
      <c r="AA173" s="915"/>
      <c r="AB173" s="5"/>
      <c r="AC173" s="7"/>
      <c r="AD173" s="7"/>
      <c r="AE173" s="7"/>
      <c r="AF173" s="7"/>
      <c r="AG173" s="7"/>
      <c r="AH173" s="7"/>
    </row>
    <row r="174" spans="2:34" ht="15" customHeight="1" outlineLevel="2" x14ac:dyDescent="0.4">
      <c r="B174" s="921"/>
      <c r="C174" s="5"/>
      <c r="D174" s="973"/>
      <c r="E174" s="847" t="s">
        <v>820</v>
      </c>
      <c r="F174" s="847"/>
      <c r="G174" s="848" t="s">
        <v>778</v>
      </c>
      <c r="H174" s="459">
        <f t="shared" si="20"/>
        <v>6.9444444444444448E-2</v>
      </c>
      <c r="I174" s="849">
        <f t="shared" si="21"/>
        <v>53.512802150705859</v>
      </c>
      <c r="J174" s="573"/>
      <c r="K174" s="850" t="str">
        <f>IF(G174="operation",VLOOKUP(J174,'Generic Vertical Port Tasks'!$C$4:$D$197,2,FALSE),"N/A")</f>
        <v>N/A</v>
      </c>
      <c r="L174" s="575" t="s">
        <v>798</v>
      </c>
      <c r="M174" s="573" t="s">
        <v>831</v>
      </c>
      <c r="N174" s="851" t="s">
        <v>452</v>
      </c>
      <c r="O174" s="852">
        <f>IFERROR(INDEX('Upper Hot Cell Logistics'!$I$35:$O$41,MATCH($M174,'Upper Hot Cell Logistics'!$H$35:$H$41,0),MATCH($N174,'Upper Hot Cell Logistics'!$H$35:$H$41,0)),"N/A")</f>
        <v>50</v>
      </c>
      <c r="P174" s="853">
        <f>IFERROR(VLOOKUP($L174,'Upper Hot Cell Logistics'!$H$4:$I$10,2,FALSE),"N/A")</f>
        <v>0.2</v>
      </c>
      <c r="Q174" s="849">
        <f t="shared" si="19"/>
        <v>6.9444444444444448E-2</v>
      </c>
      <c r="R174" s="854"/>
      <c r="S174" s="852" t="str">
        <f>IF($E174="Logistics",VLOOKUP($P174,'Upper Hot Cell Logistics'!$C$4:$D$44,2,FALSE),"N/A")</f>
        <v>N/A</v>
      </c>
      <c r="T174" s="462" t="s">
        <v>962</v>
      </c>
      <c r="U174" s="855">
        <f>IFERROR(VLOOKUP($T174,'Upper HotCell RecoveryLogisitcs'!$C$130:$F$238,4,FALSE),"N/A")</f>
        <v>48.908357706261413</v>
      </c>
      <c r="V174" s="580">
        <f t="shared" si="22"/>
        <v>4.5350000000000037</v>
      </c>
      <c r="W174" s="895"/>
      <c r="Y174" s="290"/>
      <c r="Z174" s="290"/>
      <c r="AA174" s="915"/>
      <c r="AB174" s="5"/>
      <c r="AC174" s="7"/>
      <c r="AD174" s="7"/>
      <c r="AE174" s="7"/>
      <c r="AF174" s="7"/>
      <c r="AG174" s="7"/>
      <c r="AH174" s="7"/>
    </row>
    <row r="175" spans="2:34" ht="15.75" customHeight="1" outlineLevel="2" thickBot="1" x14ac:dyDescent="0.45">
      <c r="B175" s="921"/>
      <c r="C175" s="5"/>
      <c r="D175" s="949"/>
      <c r="E175" s="808" t="s">
        <v>140</v>
      </c>
      <c r="F175" s="808"/>
      <c r="G175" s="809" t="s">
        <v>251</v>
      </c>
      <c r="H175" s="467">
        <f t="shared" si="20"/>
        <v>5.74</v>
      </c>
      <c r="I175" s="810">
        <f t="shared" si="21"/>
        <v>59.252802150705861</v>
      </c>
      <c r="J175" s="584" t="s">
        <v>254</v>
      </c>
      <c r="K175" s="811">
        <f>IF(G175="operation",VLOOKUP(J175,'Generic Vertical Port Tasks'!$C$4:$D$197,2,FALSE),"N/A")</f>
        <v>5.74</v>
      </c>
      <c r="L175" s="586"/>
      <c r="M175" s="584"/>
      <c r="N175" s="812"/>
      <c r="O175" s="813" t="str">
        <f>IFERROR(INDEX('Upper Hot Cell Logistics'!$I$35:$O$41,MATCH($M175,'Upper Hot Cell Logistics'!$H$35:$H$41,0),MATCH($N175,'Upper Hot Cell Logistics'!$H$35:$H$41,0)),"N/A")</f>
        <v>N/A</v>
      </c>
      <c r="P175" s="814" t="str">
        <f>IFERROR(VLOOKUP($L175,'Upper Hot Cell Logistics'!$H$4:$I$10,2,FALSE),"N/A")</f>
        <v>N/A</v>
      </c>
      <c r="Q175" s="810" t="str">
        <f t="shared" si="19"/>
        <v>N/A</v>
      </c>
      <c r="R175" s="815"/>
      <c r="S175" s="813" t="str">
        <f>IF($E175="Logistics",VLOOKUP($P175,'Upper Hot Cell Logistics'!$C$4:$D$44,2,FALSE),"N/A")</f>
        <v>N/A</v>
      </c>
      <c r="T175" s="469"/>
      <c r="U175" s="816" t="str">
        <f>IFERROR(VLOOKUP($T175,'Upper HotCell RecoveryLogisitcs'!$C$130:$F$238,4,FALSE),"N/A")</f>
        <v>N/A</v>
      </c>
      <c r="V175" s="591" t="str">
        <f t="shared" si="22"/>
        <v>N/A</v>
      </c>
      <c r="W175" s="895"/>
      <c r="Y175" s="290"/>
      <c r="Z175" s="290"/>
      <c r="AA175" s="915"/>
      <c r="AB175" s="5"/>
      <c r="AC175" s="7"/>
      <c r="AD175" s="7"/>
      <c r="AE175" s="7"/>
      <c r="AF175" s="7"/>
      <c r="AG175" s="7"/>
      <c r="AH175" s="7"/>
    </row>
    <row r="176" spans="2:34" ht="15" customHeight="1" outlineLevel="2" x14ac:dyDescent="0.4">
      <c r="B176" s="921"/>
      <c r="C176" s="5"/>
      <c r="D176" s="950" t="s">
        <v>1080</v>
      </c>
      <c r="E176" s="410" t="s">
        <v>797</v>
      </c>
      <c r="F176" s="974"/>
      <c r="G176" s="975" t="s">
        <v>778</v>
      </c>
      <c r="H176" s="310">
        <f t="shared" si="20"/>
        <v>6.9444444444444448E-2</v>
      </c>
      <c r="I176" s="311">
        <f t="shared" si="21"/>
        <v>59.322246595150304</v>
      </c>
      <c r="J176" s="976"/>
      <c r="K176" s="311" t="str">
        <f>IF(G176="operation",VLOOKUP(J176,'Generic Vertical Port Tasks'!$C$4:$D$197,2,FALSE),"N/A")</f>
        <v>N/A</v>
      </c>
      <c r="L176" s="977" t="s">
        <v>798</v>
      </c>
      <c r="M176" s="977" t="s">
        <v>799</v>
      </c>
      <c r="N176" s="978" t="s">
        <v>452</v>
      </c>
      <c r="O176" s="414">
        <f>IFERROR(INDEX('Upper Hot Cell Logistics'!$I$35:$O$41,MATCH($M176,'Upper Hot Cell Logistics'!$H$35:$H$41,0),MATCH($N176,'Upper Hot Cell Logistics'!$H$35:$H$41,0)),"N/A")</f>
        <v>50</v>
      </c>
      <c r="P176" s="414">
        <f>IFERROR(VLOOKUP($L176,'Upper Hot Cell Logistics'!$H$4:$I$10,2,FALSE),"N/A")</f>
        <v>0.2</v>
      </c>
      <c r="Q176" s="979">
        <f t="shared" si="19"/>
        <v>6.9444444444444448E-2</v>
      </c>
      <c r="R176" s="415"/>
      <c r="S176" s="416" t="str">
        <f>IF($E176="Logistics",VLOOKUP($P176,'Upper Hot Cell Logistics'!$C$4:$D$44,2,FALSE),"N/A")</f>
        <v>N/A</v>
      </c>
      <c r="T176" s="3604" t="s">
        <v>1081</v>
      </c>
      <c r="U176" s="310">
        <f>IFERROR(VLOOKUP($T176,'Upper HotCell RecoveryLogisitcs'!$C$130:$F$238,4,FALSE),"N/A")</f>
        <v>54.717802150705857</v>
      </c>
      <c r="V176" s="311">
        <f t="shared" si="22"/>
        <v>4.5350000000000037</v>
      </c>
      <c r="W176" s="894"/>
      <c r="Y176" s="290"/>
      <c r="Z176" s="290"/>
      <c r="AA176" s="915"/>
      <c r="AB176" s="5"/>
      <c r="AC176" s="7"/>
      <c r="AD176" s="7"/>
      <c r="AE176" s="7"/>
      <c r="AF176" s="7"/>
      <c r="AG176" s="7"/>
      <c r="AH176" s="7"/>
    </row>
    <row r="177" spans="2:34" ht="15" customHeight="1" outlineLevel="2" x14ac:dyDescent="0.4">
      <c r="B177" s="921"/>
      <c r="C177" s="5"/>
      <c r="D177" s="980"/>
      <c r="E177" s="410" t="s">
        <v>141</v>
      </c>
      <c r="F177" s="981"/>
      <c r="G177" s="975" t="s">
        <v>251</v>
      </c>
      <c r="H177" s="310">
        <f t="shared" si="20"/>
        <v>4.33</v>
      </c>
      <c r="I177" s="311">
        <f t="shared" si="21"/>
        <v>63.652246595150302</v>
      </c>
      <c r="J177" s="976" t="s">
        <v>256</v>
      </c>
      <c r="K177" s="311">
        <f>IF(G177="operation",VLOOKUP(J177,'Generic Vertical Port Tasks'!$C$4:$D$197,2,FALSE),"N/A")</f>
        <v>4.33</v>
      </c>
      <c r="L177" s="982"/>
      <c r="M177" s="983"/>
      <c r="N177" s="984"/>
      <c r="O177" s="414" t="str">
        <f>IFERROR(INDEX('Upper Hot Cell Logistics'!$I$35:$O$41,MATCH($M177,'Upper Hot Cell Logistics'!$H$35:$H$41,0),MATCH($N177,'Upper Hot Cell Logistics'!$H$35:$H$41,0)),"N/A")</f>
        <v>N/A</v>
      </c>
      <c r="P177" s="414" t="str">
        <f>IFERROR(VLOOKUP($L177,'Upper Hot Cell Logistics'!$H$4:$I$10,2,FALSE),"N/A")</f>
        <v>N/A</v>
      </c>
      <c r="Q177" s="979" t="str">
        <f t="shared" si="19"/>
        <v>N/A</v>
      </c>
      <c r="R177" s="415"/>
      <c r="S177" s="416" t="str">
        <f>IF($E177="Logistics",VLOOKUP($P177,'Upper Hot Cell Logistics'!$C$4:$D$44,2,FALSE),"N/A")</f>
        <v>N/A</v>
      </c>
      <c r="T177" s="3604"/>
      <c r="U177" s="310" t="str">
        <f>IFERROR(VLOOKUP($T177,'Upper HotCell RecoveryLogisitcs'!$C$130:$F$238,4,FALSE),"N/A")</f>
        <v>N/A</v>
      </c>
      <c r="V177" s="311" t="str">
        <f t="shared" si="22"/>
        <v>N/A</v>
      </c>
      <c r="W177" s="894"/>
      <c r="Y177" s="290"/>
      <c r="Z177" s="290"/>
      <c r="AA177" s="915"/>
      <c r="AB177" s="5"/>
      <c r="AC177" s="7"/>
      <c r="AD177" s="7"/>
      <c r="AE177" s="7"/>
      <c r="AF177" s="7"/>
      <c r="AG177" s="7"/>
      <c r="AH177" s="7"/>
    </row>
    <row r="178" spans="2:34" ht="15" customHeight="1" outlineLevel="2" x14ac:dyDescent="0.4">
      <c r="B178" s="921"/>
      <c r="C178" s="5"/>
      <c r="D178" s="980"/>
      <c r="E178" s="410" t="s">
        <v>860</v>
      </c>
      <c r="F178" s="981"/>
      <c r="G178" s="975" t="s">
        <v>778</v>
      </c>
      <c r="H178" s="310">
        <f t="shared" si="20"/>
        <v>6.9444444444444448E-2</v>
      </c>
      <c r="I178" s="311">
        <f t="shared" si="21"/>
        <v>63.721691039594745</v>
      </c>
      <c r="J178" s="976"/>
      <c r="K178" s="311" t="str">
        <f>IF(G178="operation",VLOOKUP(J178,'Generic Vertical Port Tasks'!$C$4:$D$197,2,FALSE),"N/A")</f>
        <v>N/A</v>
      </c>
      <c r="L178" s="977" t="s">
        <v>798</v>
      </c>
      <c r="M178" s="977" t="s">
        <v>799</v>
      </c>
      <c r="N178" s="978" t="s">
        <v>452</v>
      </c>
      <c r="O178" s="414">
        <f>IFERROR(INDEX('Upper Hot Cell Logistics'!$I$35:$O$41,MATCH($M178,'Upper Hot Cell Logistics'!$H$35:$H$41,0),MATCH($N178,'Upper Hot Cell Logistics'!$H$35:$H$41,0)),"N/A")</f>
        <v>50</v>
      </c>
      <c r="P178" s="414">
        <f>IFERROR(VLOOKUP($L178,'Upper Hot Cell Logistics'!$H$4:$I$10,2,FALSE),"N/A")</f>
        <v>0.2</v>
      </c>
      <c r="Q178" s="979">
        <f t="shared" si="19"/>
        <v>6.9444444444444448E-2</v>
      </c>
      <c r="R178" s="415"/>
      <c r="S178" s="416" t="str">
        <f>IF($E178="Logistics",VLOOKUP($P178,'Upper Hot Cell Logistics'!$C$4:$D$44,2,FALSE),"N/A")</f>
        <v>N/A</v>
      </c>
      <c r="T178" s="3604" t="s">
        <v>1082</v>
      </c>
      <c r="U178" s="310">
        <f>IFERROR(VLOOKUP($T178,'Upper HotCell RecoveryLogisitcs'!$C$130:$F$238,4,FALSE),"N/A")</f>
        <v>61.321135484039189</v>
      </c>
      <c r="V178" s="311">
        <f t="shared" si="22"/>
        <v>2.3311111111111131</v>
      </c>
      <c r="W178" s="894"/>
      <c r="Y178" s="290"/>
      <c r="Z178" s="290"/>
      <c r="AA178" s="915"/>
      <c r="AB178" s="5"/>
      <c r="AC178" s="7"/>
      <c r="AD178" s="7"/>
      <c r="AE178" s="7"/>
      <c r="AF178" s="7"/>
      <c r="AG178" s="7"/>
      <c r="AH178" s="7"/>
    </row>
    <row r="179" spans="2:34" ht="15" customHeight="1" outlineLevel="2" x14ac:dyDescent="0.4">
      <c r="B179" s="921"/>
      <c r="C179" s="5"/>
      <c r="D179" s="980"/>
      <c r="E179" s="410" t="s">
        <v>139</v>
      </c>
      <c r="F179" s="981"/>
      <c r="G179" s="975" t="s">
        <v>251</v>
      </c>
      <c r="H179" s="310">
        <f t="shared" si="20"/>
        <v>4.33</v>
      </c>
      <c r="I179" s="311">
        <f t="shared" si="21"/>
        <v>68.051691039594743</v>
      </c>
      <c r="J179" s="976" t="s">
        <v>256</v>
      </c>
      <c r="K179" s="311">
        <f>IF(G179="operation",VLOOKUP(J179,'Generic Vertical Port Tasks'!$C$4:$D$197,2,FALSE),"N/A")</f>
        <v>4.33</v>
      </c>
      <c r="L179" s="639"/>
      <c r="M179" s="985"/>
      <c r="N179" s="986"/>
      <c r="O179" s="414" t="str">
        <f>IFERROR(INDEX('Upper Hot Cell Logistics'!$I$35:$O$41,MATCH($M179,'Upper Hot Cell Logistics'!$H$35:$H$41,0),MATCH($N179,'Upper Hot Cell Logistics'!$H$35:$H$41,0)),"N/A")</f>
        <v>N/A</v>
      </c>
      <c r="P179" s="414" t="str">
        <f>IFERROR(VLOOKUP($L179,'Upper Hot Cell Logistics'!$H$4:$I$10,2,FALSE),"N/A")</f>
        <v>N/A</v>
      </c>
      <c r="Q179" s="979" t="str">
        <f t="shared" si="19"/>
        <v>N/A</v>
      </c>
      <c r="R179" s="415"/>
      <c r="S179" s="416" t="str">
        <f>IF($E179="Logistics",VLOOKUP($P179,'Upper Hot Cell Logistics'!$C$4:$D$44,2,FALSE),"N/A")</f>
        <v>N/A</v>
      </c>
      <c r="T179" s="3604"/>
      <c r="U179" s="310" t="str">
        <f>IFERROR(VLOOKUP($T179,'Upper HotCell RecoveryLogisitcs'!$C$130:$F$238,4,FALSE),"N/A")</f>
        <v>N/A</v>
      </c>
      <c r="V179" s="311" t="str">
        <f t="shared" si="22"/>
        <v>N/A</v>
      </c>
      <c r="W179" s="894"/>
      <c r="Y179" s="290"/>
      <c r="Z179" s="290"/>
      <c r="AA179" s="915"/>
      <c r="AB179" s="5"/>
      <c r="AC179" s="7"/>
      <c r="AD179" s="7"/>
      <c r="AE179" s="7"/>
      <c r="AF179" s="7"/>
      <c r="AG179" s="7"/>
      <c r="AH179" s="7"/>
    </row>
    <row r="180" spans="2:34" ht="15" customHeight="1" outlineLevel="2" x14ac:dyDescent="0.4">
      <c r="B180" s="921"/>
      <c r="C180" s="5"/>
      <c r="D180" s="980"/>
      <c r="E180" s="410" t="s">
        <v>862</v>
      </c>
      <c r="F180" s="981"/>
      <c r="G180" s="975" t="s">
        <v>778</v>
      </c>
      <c r="H180" s="310">
        <f t="shared" si="20"/>
        <v>6.9444444444444448E-2</v>
      </c>
      <c r="I180" s="311">
        <f t="shared" si="21"/>
        <v>68.121135484039186</v>
      </c>
      <c r="J180" s="976"/>
      <c r="K180" s="311" t="str">
        <f>IF(G180="operation",VLOOKUP(J180,'Generic Vertical Port Tasks'!$C$4:$D$197,2,FALSE),"N/A")</f>
        <v>N/A</v>
      </c>
      <c r="L180" s="977" t="s">
        <v>798</v>
      </c>
      <c r="M180" s="977" t="s">
        <v>799</v>
      </c>
      <c r="N180" s="978" t="s">
        <v>452</v>
      </c>
      <c r="O180" s="414">
        <f>IFERROR(INDEX('Upper Hot Cell Logistics'!$I$35:$O$41,MATCH($M180,'Upper Hot Cell Logistics'!$H$35:$H$41,0),MATCH($N180,'Upper Hot Cell Logistics'!$H$35:$H$41,0)),"N/A")</f>
        <v>50</v>
      </c>
      <c r="P180" s="414">
        <f>IFERROR(VLOOKUP($L180,'Upper Hot Cell Logistics'!$H$4:$I$10,2,FALSE),"N/A")</f>
        <v>0.2</v>
      </c>
      <c r="Q180" s="979">
        <f t="shared" si="19"/>
        <v>6.9444444444444448E-2</v>
      </c>
      <c r="R180" s="415"/>
      <c r="S180" s="416" t="str">
        <f>IF($E180="Logistics",VLOOKUP($P180,'Upper Hot Cell Logistics'!$C$4:$D$44,2,FALSE),"N/A")</f>
        <v>N/A</v>
      </c>
      <c r="T180" s="3604" t="s">
        <v>863</v>
      </c>
      <c r="U180" s="310">
        <f>IFERROR(VLOOKUP($T180,'Upper HotCell RecoveryLogisitcs'!$C$130:$F$238,4,FALSE),"N/A")</f>
        <v>64.926691039594743</v>
      </c>
      <c r="V180" s="311">
        <f t="shared" si="22"/>
        <v>3.125</v>
      </c>
      <c r="W180" s="894"/>
      <c r="Y180" s="290"/>
      <c r="Z180" s="290"/>
      <c r="AA180" s="915"/>
      <c r="AB180" s="5"/>
      <c r="AC180" s="7"/>
      <c r="AD180" s="7"/>
      <c r="AE180" s="7"/>
      <c r="AF180" s="7"/>
      <c r="AG180" s="7"/>
      <c r="AH180" s="7"/>
    </row>
    <row r="181" spans="2:34" ht="15" customHeight="1" outlineLevel="2" x14ac:dyDescent="0.4">
      <c r="B181" s="921"/>
      <c r="C181" s="5"/>
      <c r="D181" s="980"/>
      <c r="E181" s="410" t="s">
        <v>137</v>
      </c>
      <c r="F181" s="981"/>
      <c r="G181" s="975" t="s">
        <v>251</v>
      </c>
      <c r="H181" s="310">
        <f t="shared" si="20"/>
        <v>4.33</v>
      </c>
      <c r="I181" s="311">
        <f t="shared" si="21"/>
        <v>72.451135484039185</v>
      </c>
      <c r="J181" s="976" t="s">
        <v>256</v>
      </c>
      <c r="K181" s="311">
        <f>IF(G181="operation",VLOOKUP(J181,'Generic Vertical Port Tasks'!$C$4:$D$197,2,FALSE),"N/A")</f>
        <v>4.33</v>
      </c>
      <c r="L181" s="412"/>
      <c r="M181" s="413"/>
      <c r="N181" s="987"/>
      <c r="O181" s="414" t="str">
        <f>IFERROR(INDEX('Upper Hot Cell Logistics'!$I$35:$O$41,MATCH($M181,'Upper Hot Cell Logistics'!$H$35:$H$41,0),MATCH($N181,'Upper Hot Cell Logistics'!$H$35:$H$41,0)),"N/A")</f>
        <v>N/A</v>
      </c>
      <c r="P181" s="414" t="str">
        <f>IFERROR(VLOOKUP($L181,'Upper Hot Cell Logistics'!$H$4:$I$10,2,FALSE),"N/A")</f>
        <v>N/A</v>
      </c>
      <c r="Q181" s="979" t="str">
        <f t="shared" si="19"/>
        <v>N/A</v>
      </c>
      <c r="R181" s="415"/>
      <c r="S181" s="416" t="str">
        <f>IF($E181="Logistics",VLOOKUP($P181,'Upper Hot Cell Logistics'!$C$4:$D$44,2,FALSE),"N/A")</f>
        <v>N/A</v>
      </c>
      <c r="T181" s="3604"/>
      <c r="U181" s="310" t="str">
        <f>IFERROR(VLOOKUP($T181,'Upper HotCell RecoveryLogisitcs'!$C$130:$F$238,4,FALSE),"N/A")</f>
        <v>N/A</v>
      </c>
      <c r="V181" s="311" t="str">
        <f t="shared" si="22"/>
        <v>N/A</v>
      </c>
      <c r="W181" s="894"/>
      <c r="Y181" s="290"/>
      <c r="Z181" s="290"/>
      <c r="AA181" s="915"/>
      <c r="AB181" s="5"/>
      <c r="AC181" s="7"/>
      <c r="AD181" s="7"/>
      <c r="AE181" s="7"/>
      <c r="AF181" s="7"/>
      <c r="AG181" s="7"/>
      <c r="AH181" s="7"/>
    </row>
    <row r="182" spans="2:34" ht="15" customHeight="1" outlineLevel="2" x14ac:dyDescent="0.4">
      <c r="B182" s="921"/>
      <c r="C182" s="5"/>
      <c r="D182" s="980"/>
      <c r="E182" s="988" t="s">
        <v>864</v>
      </c>
      <c r="F182" s="981"/>
      <c r="G182" s="975" t="s">
        <v>778</v>
      </c>
      <c r="H182" s="310">
        <f t="shared" si="20"/>
        <v>6.9444444444444448E-2</v>
      </c>
      <c r="I182" s="311">
        <f t="shared" si="21"/>
        <v>72.520579928483627</v>
      </c>
      <c r="J182" s="976"/>
      <c r="K182" s="311" t="str">
        <f>IF(G182="operation",VLOOKUP(J182,'Generic Vertical Port Tasks'!$C$4:$D$197,2,FALSE),"N/A")</f>
        <v>N/A</v>
      </c>
      <c r="L182" s="977" t="s">
        <v>798</v>
      </c>
      <c r="M182" s="977" t="s">
        <v>799</v>
      </c>
      <c r="N182" s="978" t="s">
        <v>452</v>
      </c>
      <c r="O182" s="414">
        <f>IFERROR(INDEX('Upper Hot Cell Logistics'!$I$35:$O$41,MATCH($M182,'Upper Hot Cell Logistics'!$H$35:$H$41,0),MATCH($N182,'Upper Hot Cell Logistics'!$H$35:$H$41,0)),"N/A")</f>
        <v>50</v>
      </c>
      <c r="P182" s="414">
        <f>IFERROR(VLOOKUP($L182,'Upper Hot Cell Logistics'!$H$4:$I$10,2,FALSE),"N/A")</f>
        <v>0.2</v>
      </c>
      <c r="Q182" s="979">
        <f t="shared" si="19"/>
        <v>6.9444444444444448E-2</v>
      </c>
      <c r="R182" s="415"/>
      <c r="S182" s="416" t="str">
        <f>IF($E182="Logistics",VLOOKUP($P182,'Upper Hot Cell Logistics'!$C$4:$D$44,2,FALSE),"N/A")</f>
        <v>N/A</v>
      </c>
      <c r="T182" s="3604" t="s">
        <v>865</v>
      </c>
      <c r="U182" s="310">
        <f>IFERROR(VLOOKUP($T182,'Upper HotCell RecoveryLogisitcs'!$C$130:$F$238,4,FALSE),"N/A")</f>
        <v>69.526135484039187</v>
      </c>
      <c r="V182" s="311">
        <f t="shared" si="22"/>
        <v>2.9249999999999972</v>
      </c>
      <c r="W182" s="894"/>
      <c r="Y182" s="290"/>
      <c r="Z182" s="290"/>
      <c r="AA182" s="915"/>
      <c r="AB182" s="5"/>
      <c r="AC182" s="7"/>
      <c r="AD182" s="7"/>
      <c r="AE182" s="7"/>
      <c r="AF182" s="7"/>
      <c r="AG182" s="7"/>
      <c r="AH182" s="7"/>
    </row>
    <row r="183" spans="2:34" ht="15" customHeight="1" outlineLevel="2" x14ac:dyDescent="0.4">
      <c r="B183" s="921"/>
      <c r="C183" s="5"/>
      <c r="D183" s="980"/>
      <c r="E183" s="410" t="s">
        <v>133</v>
      </c>
      <c r="F183" s="981"/>
      <c r="G183" s="975" t="s">
        <v>251</v>
      </c>
      <c r="H183" s="310">
        <f t="shared" si="20"/>
        <v>5.74</v>
      </c>
      <c r="I183" s="311">
        <f t="shared" si="21"/>
        <v>78.260579928483622</v>
      </c>
      <c r="J183" s="976" t="s">
        <v>254</v>
      </c>
      <c r="K183" s="311">
        <f>IF(G183="operation",VLOOKUP(J183,'Generic Vertical Port Tasks'!$C$4:$D$197,2,FALSE),"N/A")</f>
        <v>5.74</v>
      </c>
      <c r="L183" s="412"/>
      <c r="M183" s="413"/>
      <c r="N183" s="987"/>
      <c r="O183" s="414" t="str">
        <f>IFERROR(INDEX('Upper Hot Cell Logistics'!$I$35:$O$41,MATCH($M183,'Upper Hot Cell Logistics'!$H$35:$H$41,0),MATCH($N183,'Upper Hot Cell Logistics'!$H$35:$H$41,0)),"N/A")</f>
        <v>N/A</v>
      </c>
      <c r="P183" s="414" t="str">
        <f>IFERROR(VLOOKUP($L183,'Upper Hot Cell Logistics'!$H$4:$I$10,2,FALSE),"N/A")</f>
        <v>N/A</v>
      </c>
      <c r="Q183" s="979" t="str">
        <f t="shared" si="19"/>
        <v>N/A</v>
      </c>
      <c r="R183" s="415"/>
      <c r="S183" s="416" t="str">
        <f>IF($E183="Logistics",VLOOKUP($P183,'Upper Hot Cell Logistics'!$C$4:$D$44,2,FALSE),"N/A")</f>
        <v>N/A</v>
      </c>
      <c r="T183" s="3604"/>
      <c r="U183" s="310" t="str">
        <f>IFERROR(VLOOKUP($T183,'Upper HotCell RecoveryLogisitcs'!$C$130:$F$238,4,FALSE),"N/A")</f>
        <v>N/A</v>
      </c>
      <c r="V183" s="311" t="str">
        <f t="shared" si="22"/>
        <v>N/A</v>
      </c>
      <c r="W183" s="894"/>
      <c r="Y183" s="290"/>
      <c r="Z183" s="290"/>
      <c r="AA183" s="915"/>
      <c r="AB183" s="5"/>
      <c r="AC183" s="7"/>
      <c r="AD183" s="7"/>
      <c r="AE183" s="7"/>
      <c r="AF183" s="7"/>
      <c r="AG183" s="7"/>
      <c r="AH183" s="7"/>
    </row>
    <row r="184" spans="2:34" ht="15" customHeight="1" outlineLevel="2" x14ac:dyDescent="0.4">
      <c r="B184" s="921"/>
      <c r="C184" s="5"/>
      <c r="D184" s="980"/>
      <c r="E184" s="410" t="s">
        <v>866</v>
      </c>
      <c r="F184" s="981"/>
      <c r="G184" s="975" t="s">
        <v>778</v>
      </c>
      <c r="H184" s="310">
        <f t="shared" si="20"/>
        <v>6.9444444444444448E-2</v>
      </c>
      <c r="I184" s="311">
        <f t="shared" si="21"/>
        <v>78.330024372928065</v>
      </c>
      <c r="J184" s="976"/>
      <c r="K184" s="311" t="str">
        <f>IF(G184="operation",VLOOKUP(J184,'Generic Vertical Port Tasks'!$C$4:$D$197,2,FALSE),"N/A")</f>
        <v>N/A</v>
      </c>
      <c r="L184" s="977" t="s">
        <v>798</v>
      </c>
      <c r="M184" s="977" t="s">
        <v>799</v>
      </c>
      <c r="N184" s="978" t="s">
        <v>452</v>
      </c>
      <c r="O184" s="414">
        <f>IFERROR(INDEX('Upper Hot Cell Logistics'!$I$35:$O$41,MATCH($M184,'Upper Hot Cell Logistics'!$H$35:$H$41,0),MATCH($N184,'Upper Hot Cell Logistics'!$H$35:$H$41,0)),"N/A")</f>
        <v>50</v>
      </c>
      <c r="P184" s="414">
        <f>IFERROR(VLOOKUP($L184,'Upper Hot Cell Logistics'!$H$4:$I$10,2,FALSE),"N/A")</f>
        <v>0.2</v>
      </c>
      <c r="Q184" s="979">
        <f t="shared" si="19"/>
        <v>6.9444444444444448E-2</v>
      </c>
      <c r="R184" s="415"/>
      <c r="S184" s="416" t="str">
        <f>IF($E184="Logistics",VLOOKUP($P184,'Upper Hot Cell Logistics'!$C$4:$D$44,2,FALSE),"N/A")</f>
        <v>N/A</v>
      </c>
      <c r="T184" s="3604" t="s">
        <v>867</v>
      </c>
      <c r="U184" s="310">
        <f>IFERROR(VLOOKUP($T184,'Upper HotCell RecoveryLogisitcs'!$C$130:$F$238,4,FALSE),"N/A")</f>
        <v>73.725579928483626</v>
      </c>
      <c r="V184" s="311">
        <f t="shared" si="22"/>
        <v>4.5349999999999966</v>
      </c>
      <c r="W184" s="894"/>
      <c r="Y184" s="290"/>
      <c r="Z184" s="290"/>
      <c r="AA184" s="915"/>
      <c r="AB184" s="5"/>
      <c r="AC184" s="7"/>
      <c r="AD184" s="7"/>
      <c r="AE184" s="7"/>
      <c r="AF184" s="7"/>
      <c r="AG184" s="7"/>
      <c r="AH184" s="7"/>
    </row>
    <row r="185" spans="2:34" ht="15.75" customHeight="1" outlineLevel="2" thickBot="1" x14ac:dyDescent="0.45">
      <c r="B185" s="921"/>
      <c r="C185" s="5"/>
      <c r="D185" s="961"/>
      <c r="E185" s="418" t="s">
        <v>134</v>
      </c>
      <c r="F185" s="981"/>
      <c r="G185" s="989" t="s">
        <v>251</v>
      </c>
      <c r="H185" s="362">
        <f t="shared" si="20"/>
        <v>5.74</v>
      </c>
      <c r="I185" s="311">
        <f t="shared" si="21"/>
        <v>84.07002437292806</v>
      </c>
      <c r="J185" s="990" t="s">
        <v>254</v>
      </c>
      <c r="K185" s="363">
        <f>IF(G185="operation",VLOOKUP(J185,'Generic Vertical Port Tasks'!$C$4:$D$197,2,FALSE),"N/A")</f>
        <v>5.74</v>
      </c>
      <c r="L185" s="420"/>
      <c r="M185" s="421"/>
      <c r="N185" s="991"/>
      <c r="O185" s="422" t="str">
        <f>IFERROR(INDEX('Upper Hot Cell Logistics'!$I$35:$O$41,MATCH($M185,'Upper Hot Cell Logistics'!$H$35:$H$41,0),MATCH($N185,'Upper Hot Cell Logistics'!$H$35:$H$41,0)),"N/A")</f>
        <v>N/A</v>
      </c>
      <c r="P185" s="422" t="str">
        <f>IFERROR(VLOOKUP($L185,'Upper Hot Cell Logistics'!$H$4:$I$10,2,FALSE),"N/A")</f>
        <v>N/A</v>
      </c>
      <c r="Q185" s="992" t="str">
        <f t="shared" si="19"/>
        <v>N/A</v>
      </c>
      <c r="R185" s="423"/>
      <c r="S185" s="424" t="str">
        <f>IF($E185="Logistics",VLOOKUP($P185,'Upper Hot Cell Logistics'!$C$4:$D$44,2,FALSE),"N/A")</f>
        <v>N/A</v>
      </c>
      <c r="T185" s="3605"/>
      <c r="U185" s="362" t="str">
        <f>IFERROR(VLOOKUP($T185,'Upper HotCell RecoveryLogisitcs'!$C$130:$F$238,4,FALSE),"N/A")</f>
        <v>N/A</v>
      </c>
      <c r="V185" s="363" t="str">
        <f t="shared" si="22"/>
        <v>N/A</v>
      </c>
      <c r="W185" s="894"/>
      <c r="Y185" s="290"/>
      <c r="Z185" s="290"/>
      <c r="AA185" s="915"/>
      <c r="AB185" s="5"/>
      <c r="AC185" s="7"/>
      <c r="AD185" s="7"/>
      <c r="AE185" s="7"/>
      <c r="AF185" s="7"/>
      <c r="AG185" s="7"/>
      <c r="AH185" s="7"/>
    </row>
    <row r="186" spans="2:34" ht="25.5" customHeight="1" outlineLevel="2" x14ac:dyDescent="0.4">
      <c r="B186" s="921"/>
      <c r="C186" s="5"/>
      <c r="D186" s="993" t="s">
        <v>117</v>
      </c>
      <c r="E186" s="798" t="s">
        <v>1083</v>
      </c>
      <c r="F186" s="798"/>
      <c r="G186" s="799" t="s">
        <v>778</v>
      </c>
      <c r="H186" s="326">
        <f t="shared" si="20"/>
        <v>0.69444444444444442</v>
      </c>
      <c r="I186" s="800">
        <f t="shared" si="21"/>
        <v>84.764468817372503</v>
      </c>
      <c r="J186" s="566"/>
      <c r="K186" s="621" t="str">
        <f>IF(G186="operation",VLOOKUP(J186,'Generic Vertical Port Tasks'!$C$4:$D$197,2,FALSE),"N/A")</f>
        <v>N/A</v>
      </c>
      <c r="L186" s="568" t="s">
        <v>857</v>
      </c>
      <c r="M186" s="566" t="s">
        <v>858</v>
      </c>
      <c r="N186" s="801" t="s">
        <v>452</v>
      </c>
      <c r="O186" s="802">
        <f>IFERROR(INDEX('Upper Hot Cell Logistics'!$I$35:$O$41,MATCH($M186,'Upper Hot Cell Logistics'!$H$35:$H$41,0),MATCH($N186,'Upper Hot Cell Logistics'!$H$35:$H$41,0)),"N/A")</f>
        <v>50</v>
      </c>
      <c r="P186" s="570">
        <f>IFERROR(VLOOKUP($L186,'Upper Hot Cell Logistics'!$H$4:$I$10,2,FALSE),"N/A")</f>
        <v>0.02</v>
      </c>
      <c r="Q186" s="800">
        <f t="shared" si="19"/>
        <v>0.69444444444444442</v>
      </c>
      <c r="R186" s="803"/>
      <c r="S186" s="802" t="str">
        <f>IF($G186="Logistics",VLOOKUP($R186,'Upper Hot Cell Logistics'!$C$4:$D$44,2,FALSE),"N/A")</f>
        <v>N/A</v>
      </c>
      <c r="T186" s="454" t="s">
        <v>1084</v>
      </c>
      <c r="U186" s="804">
        <f>IFERROR(VLOOKUP($T186,'Upper HotCell RecoveryLogisitcs'!$C$130:$F$238,4,FALSE),"N/A")</f>
        <v>81.036691039594729</v>
      </c>
      <c r="V186" s="621">
        <f t="shared" si="22"/>
        <v>3.0333333333333314</v>
      </c>
      <c r="W186" s="895"/>
      <c r="Y186" s="290"/>
      <c r="Z186" s="290"/>
      <c r="AA186" s="915"/>
    </row>
    <row r="187" spans="2:34" s="82" customFormat="1" ht="15.75" customHeight="1" outlineLevel="2" thickBot="1" x14ac:dyDescent="0.45">
      <c r="B187" s="921"/>
      <c r="C187" s="5"/>
      <c r="D187" s="994"/>
      <c r="E187" s="808" t="s">
        <v>1085</v>
      </c>
      <c r="F187" s="808"/>
      <c r="G187" s="809" t="s">
        <v>251</v>
      </c>
      <c r="H187" s="467">
        <f t="shared" si="20"/>
        <v>4.0949999999999998</v>
      </c>
      <c r="I187" s="810">
        <f t="shared" si="21"/>
        <v>88.859468817372502</v>
      </c>
      <c r="J187" s="584" t="s">
        <v>35</v>
      </c>
      <c r="K187" s="811">
        <f>IF(G187="operation",VLOOKUP(J187,'Generic Vertical Port Tasks'!$C$4:$D$197,2,FALSE),"N/A")</f>
        <v>4.0949999999999998</v>
      </c>
      <c r="L187" s="586"/>
      <c r="M187" s="584"/>
      <c r="N187" s="812"/>
      <c r="O187" s="813" t="str">
        <f>IFERROR(INDEX('Upper Hot Cell Logistics'!$I$35:$O$41,MATCH($M187,'Upper Hot Cell Logistics'!$H$35:$H$41,0),MATCH($N187,'Upper Hot Cell Logistics'!$H$35:$H$41,0)),"N/A")</f>
        <v>N/A</v>
      </c>
      <c r="P187" s="814" t="str">
        <f>IFERROR(VLOOKUP($L187,'Upper Hot Cell Logistics'!$H$4:$I$10,2,FALSE),"N/A")</f>
        <v>N/A</v>
      </c>
      <c r="Q187" s="810" t="str">
        <f t="shared" si="19"/>
        <v>N/A</v>
      </c>
      <c r="R187" s="815"/>
      <c r="S187" s="813" t="str">
        <f>IF($G187="Logistics",VLOOKUP($R187,'Upper Hot Cell Logistics'!$C$4:$D$44,2,FALSE),"N/A")</f>
        <v>N/A</v>
      </c>
      <c r="T187" s="469"/>
      <c r="U187" s="816" t="str">
        <f>IFERROR(VLOOKUP($T187,'Upper HotCell RecoveryLogisitcs'!$C$130:$F$238,4,FALSE),"N/A")</f>
        <v>N/A</v>
      </c>
      <c r="V187" s="591" t="str">
        <f t="shared" si="22"/>
        <v>N/A</v>
      </c>
      <c r="W187" s="895"/>
      <c r="Y187" s="7"/>
      <c r="Z187" s="7"/>
      <c r="AA187" s="995"/>
      <c r="AB187" s="890"/>
    </row>
    <row r="188" spans="2:34" s="82" customFormat="1" ht="15" customHeight="1" outlineLevel="2" x14ac:dyDescent="0.4">
      <c r="B188" s="921"/>
      <c r="C188" s="5"/>
      <c r="D188" s="996" t="s">
        <v>1086</v>
      </c>
      <c r="E188" s="952" t="s">
        <v>820</v>
      </c>
      <c r="F188" s="952"/>
      <c r="G188" s="953" t="s">
        <v>778</v>
      </c>
      <c r="H188" s="305">
        <f t="shared" si="20"/>
        <v>0.69444444444444442</v>
      </c>
      <c r="I188" s="955">
        <f t="shared" si="21"/>
        <v>89.553913261816945</v>
      </c>
      <c r="J188" s="592"/>
      <c r="K188" s="600" t="str">
        <f>IF(G188="operation",VLOOKUP(J188,'Generic Vertical Port Tasks'!$C$4:$D$197,2,FALSE),"N/A")</f>
        <v>N/A</v>
      </c>
      <c r="L188" s="594" t="s">
        <v>857</v>
      </c>
      <c r="M188" s="592" t="s">
        <v>858</v>
      </c>
      <c r="N188" s="956" t="s">
        <v>452</v>
      </c>
      <c r="O188" s="957">
        <f>IFERROR(INDEX('Upper Hot Cell Logistics'!$I$35:$O$41,MATCH($M188,'Upper Hot Cell Logistics'!$H$35:$H$41,0),MATCH($N188,'Upper Hot Cell Logistics'!$H$35:$H$41,0)),"N/A")</f>
        <v>50</v>
      </c>
      <c r="P188" s="958">
        <f>IFERROR(VLOOKUP($L188,'Upper Hot Cell Logistics'!$H$4:$I$10,2,FALSE),"N/A")</f>
        <v>0.02</v>
      </c>
      <c r="Q188" s="955">
        <f t="shared" si="19"/>
        <v>0.69444444444444442</v>
      </c>
      <c r="R188" s="959"/>
      <c r="S188" s="957" t="str">
        <f>IF($G188="Logistics",VLOOKUP($R188,'Upper Hot Cell Logistics'!$C$4:$D$44,2,FALSE),"N/A")</f>
        <v>N/A</v>
      </c>
      <c r="T188" s="3606" t="s">
        <v>871</v>
      </c>
      <c r="U188" s="960">
        <f>IFERROR(VLOOKUP($T188,'Upper HotCell RecoveryLogisitcs'!$C$130:$F$238,4,FALSE),"N/A")</f>
        <v>86.538357706261394</v>
      </c>
      <c r="V188" s="600">
        <f t="shared" si="22"/>
        <v>2.321111111111108</v>
      </c>
      <c r="W188" s="895"/>
      <c r="Y188" s="7"/>
      <c r="Z188" s="7"/>
      <c r="AA188" s="995"/>
      <c r="AB188" s="890"/>
    </row>
    <row r="189" spans="2:34" s="82" customFormat="1" ht="15" customHeight="1" outlineLevel="2" x14ac:dyDescent="0.4">
      <c r="B189" s="921"/>
      <c r="C189" s="5"/>
      <c r="D189" s="997"/>
      <c r="E189" s="981" t="s">
        <v>132</v>
      </c>
      <c r="F189" s="981"/>
      <c r="G189" s="998" t="s">
        <v>251</v>
      </c>
      <c r="H189" s="999">
        <f t="shared" si="20"/>
        <v>24.022732551873563</v>
      </c>
      <c r="I189" s="1000">
        <f t="shared" si="21"/>
        <v>113.5766458136905</v>
      </c>
      <c r="J189" s="977" t="s">
        <v>2492</v>
      </c>
      <c r="K189" s="638">
        <f>IF(G189="operation",VLOOKUP(J189,'Generic Vertical Port Tasks'!$C$4:$D$197,2,FALSE),"N/A")</f>
        <v>24.022732551873563</v>
      </c>
      <c r="L189" s="603"/>
      <c r="M189" s="977"/>
      <c r="N189" s="978"/>
      <c r="O189" s="1001" t="str">
        <f>IFERROR(INDEX('Upper Hot Cell Logistics'!$I$35:$O$41,MATCH($M189,'Upper Hot Cell Logistics'!$H$35:$H$41,0),MATCH($N189,'Upper Hot Cell Logistics'!$H$35:$H$41,0)),"N/A")</f>
        <v>N/A</v>
      </c>
      <c r="P189" s="1002" t="str">
        <f>IFERROR(VLOOKUP($L189,'Upper Hot Cell Logistics'!$H$4:$I$10,2,FALSE),"N/A")</f>
        <v>N/A</v>
      </c>
      <c r="Q189" s="1000" t="str">
        <f t="shared" si="19"/>
        <v>N/A</v>
      </c>
      <c r="R189" s="1003"/>
      <c r="S189" s="1001" t="str">
        <f>IF($G189="Logistics",VLOOKUP($R189,'Upper Hot Cell Logistics'!$C$4:$D$44,2,FALSE),"N/A")</f>
        <v>N/A</v>
      </c>
      <c r="T189" s="3606"/>
      <c r="U189" s="1004" t="str">
        <f>IFERROR(VLOOKUP($T189,'Upper HotCell RecoveryLogisitcs'!$C$130:$F$238,4,FALSE),"N/A")</f>
        <v>N/A</v>
      </c>
      <c r="V189" s="608" t="str">
        <f t="shared" si="22"/>
        <v>N/A</v>
      </c>
      <c r="W189" s="895"/>
      <c r="Y189" s="7"/>
      <c r="Z189" s="7"/>
      <c r="AA189" s="995"/>
      <c r="AB189" s="890"/>
    </row>
    <row r="190" spans="2:34" s="82" customFormat="1" ht="15" customHeight="1" outlineLevel="2" x14ac:dyDescent="0.4">
      <c r="B190" s="921"/>
      <c r="C190" s="5"/>
      <c r="D190" s="997"/>
      <c r="E190" s="981" t="s">
        <v>811</v>
      </c>
      <c r="F190" s="981"/>
      <c r="G190" s="998" t="s">
        <v>778</v>
      </c>
      <c r="H190" s="999">
        <f t="shared" si="20"/>
        <v>0.20833333333333334</v>
      </c>
      <c r="I190" s="1000">
        <f t="shared" si="21"/>
        <v>180.41276504911099</v>
      </c>
      <c r="J190" s="977"/>
      <c r="K190" s="638" t="str">
        <f>IF(G190="operation",VLOOKUP(J190,'Generic Vertical Port Tasks'!$C$4:$D$197,2,FALSE),"N/A")</f>
        <v>N/A</v>
      </c>
      <c r="L190" s="603" t="s">
        <v>12</v>
      </c>
      <c r="M190" s="977" t="s">
        <v>816</v>
      </c>
      <c r="N190" s="978" t="s">
        <v>452</v>
      </c>
      <c r="O190" s="1001">
        <f>IFERROR(INDEX('Upper Hot Cell Logistics'!$I$35:$O$41,MATCH($M190,'Upper Hot Cell Logistics'!$H$35:$H$41,0),MATCH($N190,'Upper Hot Cell Logistics'!$H$35:$H$41,0)),"N/A")</f>
        <v>15</v>
      </c>
      <c r="P190" s="1002">
        <f>IFERROR(VLOOKUP($L190,'Upper Hot Cell Logistics'!$H$4:$I$10,2,FALSE),"N/A")</f>
        <v>0.02</v>
      </c>
      <c r="Q190" s="1000">
        <f t="shared" si="19"/>
        <v>0.20833333333333334</v>
      </c>
      <c r="R190" s="1003"/>
      <c r="S190" s="1001" t="str">
        <f>IF($G190="Logistics",VLOOKUP($R190,'Upper Hot Cell Logistics'!$C$4:$D$44,2,FALSE),"N/A")</f>
        <v>N/A</v>
      </c>
      <c r="T190" s="3606" t="s">
        <v>1090</v>
      </c>
      <c r="U190" s="1004">
        <f>IFERROR(VLOOKUP($T190,'Upper HotCell RecoveryLogisitcs'!$C$130:$F$238,4,FALSE),"N/A")</f>
        <v>180.20443171577767</v>
      </c>
      <c r="V190" s="608">
        <f t="shared" si="22"/>
        <v>-66.627785902087169</v>
      </c>
      <c r="W190" s="895"/>
      <c r="Y190" s="7"/>
      <c r="Z190" s="7"/>
      <c r="AA190" s="995"/>
      <c r="AB190" s="890"/>
    </row>
    <row r="191" spans="2:34" s="82" customFormat="1" ht="15.75" customHeight="1" outlineLevel="2" thickBot="1" x14ac:dyDescent="0.45">
      <c r="B191" s="921"/>
      <c r="C191" s="5"/>
      <c r="D191" s="1005"/>
      <c r="E191" s="963" t="s">
        <v>47</v>
      </c>
      <c r="F191" s="963"/>
      <c r="G191" s="964" t="s">
        <v>251</v>
      </c>
      <c r="H191" s="1006">
        <f t="shared" si="20"/>
        <v>7.83</v>
      </c>
      <c r="I191" s="965">
        <f t="shared" si="21"/>
        <v>188.242765049111</v>
      </c>
      <c r="J191" s="966" t="s">
        <v>257</v>
      </c>
      <c r="K191" s="967">
        <f>IF(G191="operation",VLOOKUP(J191,'Generic Vertical Port Tasks'!$C$4:$D$197,2,FALSE),"N/A")</f>
        <v>7.83</v>
      </c>
      <c r="L191" s="611"/>
      <c r="M191" s="966"/>
      <c r="N191" s="968"/>
      <c r="O191" s="969" t="str">
        <f>IFERROR(INDEX('Upper Hot Cell Logistics'!$I$35:$O$41,MATCH($M191,'Upper Hot Cell Logistics'!$H$35:$H$41,0),MATCH($N191,'Upper Hot Cell Logistics'!$H$35:$H$41,0)),"N/A")</f>
        <v>N/A</v>
      </c>
      <c r="P191" s="970" t="str">
        <f>IFERROR(VLOOKUP($L191,'Upper Hot Cell Logistics'!$H$4:$I$10,2,FALSE),"N/A")</f>
        <v>N/A</v>
      </c>
      <c r="Q191" s="965" t="str">
        <f t="shared" si="19"/>
        <v>N/A</v>
      </c>
      <c r="R191" s="971"/>
      <c r="S191" s="969" t="str">
        <f>IF($G191="Logistics",VLOOKUP($R191,'Upper Hot Cell Logistics'!$C$4:$D$44,2,FALSE),"N/A")</f>
        <v>N/A</v>
      </c>
      <c r="T191" s="3568"/>
      <c r="U191" s="972" t="str">
        <f>IFERROR(VLOOKUP($T191,'Upper HotCell RecoveryLogisitcs'!$C$130:$F$238,4,FALSE),"N/A")</f>
        <v>N/A</v>
      </c>
      <c r="V191" s="616" t="str">
        <f t="shared" si="22"/>
        <v>N/A</v>
      </c>
      <c r="W191" s="895"/>
      <c r="Y191" s="7"/>
      <c r="Z191" s="7"/>
      <c r="AA191" s="995"/>
      <c r="AB191" s="890"/>
    </row>
    <row r="192" spans="2:34" s="82" customFormat="1" ht="15" customHeight="1" outlineLevel="2" x14ac:dyDescent="0.4">
      <c r="B192" s="921"/>
      <c r="C192" s="5"/>
      <c r="D192" s="993" t="s">
        <v>118</v>
      </c>
      <c r="E192" s="798" t="s">
        <v>797</v>
      </c>
      <c r="F192" s="798"/>
      <c r="G192" s="799" t="s">
        <v>778</v>
      </c>
      <c r="H192" s="326">
        <f t="shared" si="20"/>
        <v>6.9444444444444448E-2</v>
      </c>
      <c r="I192" s="800">
        <f t="shared" si="21"/>
        <v>188.31220949355546</v>
      </c>
      <c r="J192" s="566"/>
      <c r="K192" s="621" t="str">
        <f>IF(G192="operation",VLOOKUP(J192,'Generic Vertical Port Tasks'!$C$4:$D$197,2,FALSE),"N/A")</f>
        <v>N/A</v>
      </c>
      <c r="L192" s="568" t="s">
        <v>798</v>
      </c>
      <c r="M192" s="566" t="s">
        <v>858</v>
      </c>
      <c r="N192" s="801" t="s">
        <v>452</v>
      </c>
      <c r="O192" s="802">
        <f>IFERROR(INDEX('Upper Hot Cell Logistics'!$I$35:$O$41,MATCH($M192,'Upper Hot Cell Logistics'!$H$35:$H$41,0),MATCH($N192,'Upper Hot Cell Logistics'!$H$35:$H$41,0)),"N/A")</f>
        <v>50</v>
      </c>
      <c r="P192" s="570">
        <f>IFERROR(VLOOKUP($L192,'Upper Hot Cell Logistics'!$H$4:$I$10,2,FALSE),"N/A")</f>
        <v>0.2</v>
      </c>
      <c r="Q192" s="800">
        <f t="shared" si="19"/>
        <v>6.9444444444444448E-2</v>
      </c>
      <c r="R192" s="803"/>
      <c r="S192" s="802" t="str">
        <f>IF($G192="Logistics",VLOOKUP($R192,'Upper Hot Cell Logistics'!$C$4:$D$44,2,FALSE),"N/A")</f>
        <v>N/A</v>
      </c>
      <c r="T192" s="454" t="s">
        <v>874</v>
      </c>
      <c r="U192" s="804">
        <f>IFERROR(VLOOKUP($T192,'Upper HotCell RecoveryLogisitcs'!$C$130:$F$238,4,FALSE),"N/A")</f>
        <v>89.708913261816946</v>
      </c>
      <c r="V192" s="621">
        <f t="shared" si="22"/>
        <v>98.533851787294054</v>
      </c>
      <c r="W192" s="895"/>
      <c r="Y192" s="7"/>
      <c r="Z192" s="7"/>
      <c r="AA192" s="995"/>
      <c r="AB192" s="890"/>
    </row>
    <row r="193" spans="2:28" s="82" customFormat="1" ht="15.75" customHeight="1" outlineLevel="2" thickBot="1" x14ac:dyDescent="0.45">
      <c r="B193" s="921"/>
      <c r="C193" s="5"/>
      <c r="D193" s="994"/>
      <c r="E193" s="808" t="s">
        <v>1088</v>
      </c>
      <c r="F193" s="808"/>
      <c r="G193" s="809" t="s">
        <v>251</v>
      </c>
      <c r="H193" s="467">
        <f t="shared" si="20"/>
        <v>4.0949999999999998</v>
      </c>
      <c r="I193" s="810">
        <f t="shared" si="21"/>
        <v>192.40720949355546</v>
      </c>
      <c r="J193" s="584" t="s">
        <v>35</v>
      </c>
      <c r="K193" s="811">
        <f>IF(G193="operation",VLOOKUP(J193,'Generic Vertical Port Tasks'!$C$4:$D$197,2,FALSE),"N/A")</f>
        <v>4.0949999999999998</v>
      </c>
      <c r="L193" s="586"/>
      <c r="M193" s="584"/>
      <c r="N193" s="812"/>
      <c r="O193" s="813" t="str">
        <f>IFERROR(INDEX('Upper Hot Cell Logistics'!$I$35:$O$41,MATCH($M193,'Upper Hot Cell Logistics'!$H$35:$H$41,0),MATCH($N193,'Upper Hot Cell Logistics'!$H$35:$H$41,0)),"N/A")</f>
        <v>N/A</v>
      </c>
      <c r="P193" s="814" t="str">
        <f>IFERROR(VLOOKUP($L193,'Upper Hot Cell Logistics'!$H$4:$I$10,2,FALSE),"N/A")</f>
        <v>N/A</v>
      </c>
      <c r="Q193" s="810" t="str">
        <f t="shared" si="19"/>
        <v>N/A</v>
      </c>
      <c r="R193" s="815"/>
      <c r="S193" s="813" t="str">
        <f>IF($G193="Logistics",VLOOKUP($R193,'Upper Hot Cell Logistics'!$C$4:$D$44,2,FALSE),"N/A")</f>
        <v>N/A</v>
      </c>
      <c r="T193" s="469"/>
      <c r="U193" s="816" t="str">
        <f>IFERROR(VLOOKUP($T193,'Upper HotCell RecoveryLogisitcs'!$C$130:$F$238,4,FALSE),"N/A")</f>
        <v>N/A</v>
      </c>
      <c r="V193" s="591" t="str">
        <f t="shared" si="22"/>
        <v>N/A</v>
      </c>
      <c r="W193" s="895"/>
      <c r="Y193" s="7"/>
      <c r="Z193" s="7"/>
      <c r="AA193" s="995"/>
      <c r="AB193" s="890"/>
    </row>
    <row r="194" spans="2:28" s="82" customFormat="1" ht="15" customHeight="1" outlineLevel="2" x14ac:dyDescent="0.4">
      <c r="B194" s="921"/>
      <c r="C194" s="5"/>
      <c r="D194" s="996" t="s">
        <v>1089</v>
      </c>
      <c r="E194" s="952" t="s">
        <v>820</v>
      </c>
      <c r="F194" s="952"/>
      <c r="G194" s="953" t="s">
        <v>778</v>
      </c>
      <c r="H194" s="305">
        <f t="shared" si="20"/>
        <v>0.69444444444444442</v>
      </c>
      <c r="I194" s="955">
        <f t="shared" si="21"/>
        <v>193.10165393799991</v>
      </c>
      <c r="J194" s="592"/>
      <c r="K194" s="600" t="str">
        <f>IF(G194="operation",VLOOKUP(J194,'Generic Vertical Port Tasks'!$C$4:$D$197,2,FALSE),"N/A")</f>
        <v>N/A</v>
      </c>
      <c r="L194" s="594" t="s">
        <v>857</v>
      </c>
      <c r="M194" s="592" t="s">
        <v>858</v>
      </c>
      <c r="N194" s="956" t="s">
        <v>452</v>
      </c>
      <c r="O194" s="957">
        <f>IFERROR(INDEX('Upper Hot Cell Logistics'!$I$35:$O$41,MATCH($M194,'Upper Hot Cell Logistics'!$H$35:$H$41,0),MATCH($N194,'Upper Hot Cell Logistics'!$H$35:$H$41,0)),"N/A")</f>
        <v>50</v>
      </c>
      <c r="P194" s="958">
        <f>IFERROR(VLOOKUP($L194,'Upper Hot Cell Logistics'!$H$4:$I$10,2,FALSE),"N/A")</f>
        <v>0.02</v>
      </c>
      <c r="Q194" s="955">
        <f t="shared" si="19"/>
        <v>0.69444444444444442</v>
      </c>
      <c r="R194" s="959"/>
      <c r="S194" s="957" t="str">
        <f>IF($G194="Logistics",VLOOKUP($R194,'Upper Hot Cell Logistics'!$C$4:$D$44,2,FALSE),"N/A")</f>
        <v>N/A</v>
      </c>
      <c r="T194" s="3603"/>
      <c r="U194" s="960" t="str">
        <f>IFERROR(VLOOKUP($T194,'Upper HotCell RecoveryLogisitcs'!$C$130:$F$238,4,FALSE),"N/A")</f>
        <v>N/A</v>
      </c>
      <c r="V194" s="600" t="str">
        <f t="shared" si="22"/>
        <v>N/A</v>
      </c>
      <c r="W194" s="895"/>
      <c r="Y194" s="7"/>
      <c r="Z194" s="7"/>
      <c r="AA194" s="995"/>
      <c r="AB194" s="890"/>
    </row>
    <row r="195" spans="2:28" s="82" customFormat="1" ht="15" customHeight="1" outlineLevel="2" x14ac:dyDescent="0.4">
      <c r="B195" s="921"/>
      <c r="C195" s="5"/>
      <c r="D195" s="997"/>
      <c r="E195" s="981" t="s">
        <v>130</v>
      </c>
      <c r="F195" s="981"/>
      <c r="G195" s="998" t="s">
        <v>251</v>
      </c>
      <c r="H195" s="999">
        <f t="shared" si="20"/>
        <v>24.022732551873563</v>
      </c>
      <c r="I195" s="1000">
        <f t="shared" si="21"/>
        <v>217.12438648987347</v>
      </c>
      <c r="J195" s="977" t="s">
        <v>2492</v>
      </c>
      <c r="K195" s="638">
        <f>IF(G195="operation",VLOOKUP(J195,'Generic Vertical Port Tasks'!$C$4:$D$197,2,FALSE),"N/A")</f>
        <v>24.022732551873563</v>
      </c>
      <c r="L195" s="603"/>
      <c r="M195" s="977"/>
      <c r="N195" s="978"/>
      <c r="O195" s="1001" t="str">
        <f>IFERROR(INDEX('Upper Hot Cell Logistics'!$I$35:$O$41,MATCH($M195,'Upper Hot Cell Logistics'!$H$35:$H$41,0),MATCH($N195,'Upper Hot Cell Logistics'!$H$35:$H$41,0)),"N/A")</f>
        <v>N/A</v>
      </c>
      <c r="P195" s="1002" t="str">
        <f>IFERROR(VLOOKUP($L195,'Upper Hot Cell Logistics'!$H$4:$I$10,2,FALSE),"N/A")</f>
        <v>N/A</v>
      </c>
      <c r="Q195" s="1000" t="str">
        <f t="shared" si="19"/>
        <v>N/A</v>
      </c>
      <c r="R195" s="1003"/>
      <c r="S195" s="1001" t="str">
        <f>IF($G195="Logistics",VLOOKUP($R195,'Upper Hot Cell Logistics'!$C$4:$D$44,2,FALSE),"N/A")</f>
        <v>N/A</v>
      </c>
      <c r="T195" s="3606"/>
      <c r="U195" s="1004" t="str">
        <f>IFERROR(VLOOKUP($T195,'Upper HotCell RecoveryLogisitcs'!$C$130:$F$238,4,FALSE),"N/A")</f>
        <v>N/A</v>
      </c>
      <c r="V195" s="608" t="str">
        <f t="shared" si="22"/>
        <v>N/A</v>
      </c>
      <c r="W195" s="895"/>
      <c r="Y195" s="7"/>
      <c r="Z195" s="7"/>
      <c r="AA195" s="995"/>
      <c r="AB195" s="890"/>
    </row>
    <row r="196" spans="2:28" s="82" customFormat="1" ht="15" customHeight="1" outlineLevel="2" x14ac:dyDescent="0.4">
      <c r="B196" s="921"/>
      <c r="C196" s="5"/>
      <c r="D196" s="997"/>
      <c r="E196" s="981" t="s">
        <v>811</v>
      </c>
      <c r="F196" s="981"/>
      <c r="G196" s="998" t="s">
        <v>778</v>
      </c>
      <c r="H196" s="999">
        <f t="shared" si="20"/>
        <v>0.20833333333333334</v>
      </c>
      <c r="I196" s="1000">
        <f t="shared" si="21"/>
        <v>217.33271982320682</v>
      </c>
      <c r="J196" s="977"/>
      <c r="K196" s="638" t="str">
        <f>IF(G196="operation",VLOOKUP(J196,'Generic Vertical Port Tasks'!$C$4:$D$197,2,FALSE),"N/A")</f>
        <v>N/A</v>
      </c>
      <c r="L196" s="603" t="s">
        <v>12</v>
      </c>
      <c r="M196" s="977" t="s">
        <v>816</v>
      </c>
      <c r="N196" s="978" t="s">
        <v>452</v>
      </c>
      <c r="O196" s="1001">
        <f>IFERROR(INDEX('Upper Hot Cell Logistics'!$I$35:$O$41,MATCH($M196,'Upper Hot Cell Logistics'!$H$35:$H$41,0),MATCH($N196,'Upper Hot Cell Logistics'!$H$35:$H$41,0)),"N/A")</f>
        <v>15</v>
      </c>
      <c r="P196" s="1002">
        <f>IFERROR(VLOOKUP($L196,'Upper Hot Cell Logistics'!$H$4:$I$10,2,FALSE),"N/A")</f>
        <v>0.02</v>
      </c>
      <c r="Q196" s="1000">
        <f t="shared" si="19"/>
        <v>0.20833333333333334</v>
      </c>
      <c r="R196" s="1003"/>
      <c r="S196" s="1001" t="str">
        <f>IF($G196="Logistics",VLOOKUP($R196,'Upper Hot Cell Logistics'!$C$4:$D$44,2,FALSE),"N/A")</f>
        <v>N/A</v>
      </c>
      <c r="T196" s="3606" t="s">
        <v>1090</v>
      </c>
      <c r="U196" s="1004">
        <f>IFERROR(VLOOKUP($T196,'Upper HotCell RecoveryLogisitcs'!$C$130:$F$238,4,FALSE),"N/A")</f>
        <v>180.20443171577767</v>
      </c>
      <c r="V196" s="608">
        <f t="shared" si="22"/>
        <v>36.9199547740958</v>
      </c>
      <c r="W196" s="895"/>
      <c r="Y196" s="7"/>
      <c r="Z196" s="7"/>
      <c r="AA196" s="995"/>
      <c r="AB196" s="890"/>
    </row>
    <row r="197" spans="2:28" s="82" customFormat="1" ht="15.75" customHeight="1" outlineLevel="2" thickBot="1" x14ac:dyDescent="0.45">
      <c r="B197" s="921"/>
      <c r="C197" s="5"/>
      <c r="D197" s="1005"/>
      <c r="E197" s="963" t="s">
        <v>42</v>
      </c>
      <c r="F197" s="963"/>
      <c r="G197" s="964" t="s">
        <v>251</v>
      </c>
      <c r="H197" s="1006">
        <f t="shared" si="20"/>
        <v>7.83</v>
      </c>
      <c r="I197" s="965">
        <f t="shared" si="21"/>
        <v>225.16271982320683</v>
      </c>
      <c r="J197" s="966" t="s">
        <v>257</v>
      </c>
      <c r="K197" s="967">
        <f>IF(G197="operation",VLOOKUP(J197,'Generic Vertical Port Tasks'!$C$4:$D$197,2,FALSE),"N/A")</f>
        <v>7.83</v>
      </c>
      <c r="L197" s="611"/>
      <c r="M197" s="966"/>
      <c r="N197" s="968"/>
      <c r="O197" s="969" t="str">
        <f>IFERROR(INDEX('Upper Hot Cell Logistics'!$I$35:$O$41,MATCH($M197,'Upper Hot Cell Logistics'!$H$35:$H$41,0),MATCH($N197,'Upper Hot Cell Logistics'!$H$35:$H$41,0)),"N/A")</f>
        <v>N/A</v>
      </c>
      <c r="P197" s="970" t="str">
        <f>IFERROR(VLOOKUP($L197,'Upper Hot Cell Logistics'!$H$4:$I$10,2,FALSE),"N/A")</f>
        <v>N/A</v>
      </c>
      <c r="Q197" s="965" t="str">
        <f t="shared" si="19"/>
        <v>N/A</v>
      </c>
      <c r="R197" s="971"/>
      <c r="S197" s="969" t="str">
        <f>IF($G197="Logistics",VLOOKUP($R197,'Upper Hot Cell Logistics'!$C$4:$D$44,2,FALSE),"N/A")</f>
        <v>N/A</v>
      </c>
      <c r="T197" s="3568"/>
      <c r="U197" s="972" t="str">
        <f>IFERROR(VLOOKUP($T197,'Upper HotCell RecoveryLogisitcs'!$C$130:$F$238,4,FALSE),"N/A")</f>
        <v>N/A</v>
      </c>
      <c r="V197" s="616" t="str">
        <f t="shared" si="22"/>
        <v>N/A</v>
      </c>
      <c r="W197" s="895"/>
      <c r="Y197" s="7"/>
      <c r="Z197" s="7"/>
      <c r="AA197" s="995"/>
      <c r="AB197" s="890"/>
    </row>
    <row r="198" spans="2:28" ht="15" customHeight="1" outlineLevel="2" x14ac:dyDescent="0.4">
      <c r="B198" s="921"/>
      <c r="C198" s="5"/>
      <c r="D198" s="993" t="s">
        <v>119</v>
      </c>
      <c r="E198" s="798" t="s">
        <v>797</v>
      </c>
      <c r="F198" s="798"/>
      <c r="G198" s="799" t="s">
        <v>778</v>
      </c>
      <c r="H198" s="326">
        <f t="shared" si="20"/>
        <v>6.9444444444444448E-2</v>
      </c>
      <c r="I198" s="800">
        <f t="shared" si="21"/>
        <v>225.23216426765129</v>
      </c>
      <c r="J198" s="566"/>
      <c r="K198" s="621" t="str">
        <f>IF(G198="operation",VLOOKUP(J198,'Generic Vertical Port Tasks'!$C$4:$D$197,2,FALSE),"N/A")</f>
        <v>N/A</v>
      </c>
      <c r="L198" s="568" t="s">
        <v>798</v>
      </c>
      <c r="M198" s="566" t="s">
        <v>858</v>
      </c>
      <c r="N198" s="801" t="s">
        <v>452</v>
      </c>
      <c r="O198" s="802">
        <f>IFERROR(INDEX('Upper Hot Cell Logistics'!$I$35:$O$41,MATCH($M198,'Upper Hot Cell Logistics'!$H$35:$H$41,0),MATCH($N198,'Upper Hot Cell Logistics'!$H$35:$H$41,0)),"N/A")</f>
        <v>50</v>
      </c>
      <c r="P198" s="570">
        <f>IFERROR(VLOOKUP($L198,'Upper Hot Cell Logistics'!$H$4:$I$10,2,FALSE),"N/A")</f>
        <v>0.2</v>
      </c>
      <c r="Q198" s="800">
        <f t="shared" si="19"/>
        <v>6.9444444444444448E-2</v>
      </c>
      <c r="R198" s="803"/>
      <c r="S198" s="802" t="s">
        <v>263</v>
      </c>
      <c r="T198" s="454" t="s">
        <v>879</v>
      </c>
      <c r="U198" s="804">
        <f>IFERROR(VLOOKUP($T198,'Upper HotCell RecoveryLogisitcs'!$C$130:$F$238,4,FALSE),"N/A")</f>
        <v>193.25665393799991</v>
      </c>
      <c r="V198" s="621">
        <f t="shared" si="22"/>
        <v>31.906065885206914</v>
      </c>
      <c r="W198" s="895"/>
      <c r="Y198" s="290"/>
      <c r="Z198" s="290"/>
      <c r="AA198" s="915"/>
    </row>
    <row r="199" spans="2:28" ht="15.75" customHeight="1" outlineLevel="2" thickBot="1" x14ac:dyDescent="0.45">
      <c r="B199" s="921"/>
      <c r="C199" s="5"/>
      <c r="D199" s="994"/>
      <c r="E199" s="808" t="s">
        <v>1091</v>
      </c>
      <c r="F199" s="808"/>
      <c r="G199" s="809" t="s">
        <v>251</v>
      </c>
      <c r="H199" s="467">
        <f t="shared" si="20"/>
        <v>4.0949999999999998</v>
      </c>
      <c r="I199" s="810">
        <f t="shared" si="21"/>
        <v>229.32716426765128</v>
      </c>
      <c r="J199" s="584" t="s">
        <v>35</v>
      </c>
      <c r="K199" s="811">
        <f>IF(G199="operation",VLOOKUP(J199,'Generic Vertical Port Tasks'!$C$4:$D$197,2,FALSE),"N/A")</f>
        <v>4.0949999999999998</v>
      </c>
      <c r="L199" s="586"/>
      <c r="M199" s="584"/>
      <c r="N199" s="812"/>
      <c r="O199" s="813" t="str">
        <f>IFERROR(INDEX('Upper Hot Cell Logistics'!$I$35:$O$41,MATCH($M199,'Upper Hot Cell Logistics'!$H$35:$H$41,0),MATCH($N199,'Upper Hot Cell Logistics'!$H$35:$H$41,0)),"N/A")</f>
        <v>N/A</v>
      </c>
      <c r="P199" s="814" t="str">
        <f>IFERROR(VLOOKUP($L199,'Upper Hot Cell Logistics'!$H$4:$I$10,2,FALSE),"N/A")</f>
        <v>N/A</v>
      </c>
      <c r="Q199" s="810" t="str">
        <f t="shared" si="19"/>
        <v>N/A</v>
      </c>
      <c r="R199" s="815"/>
      <c r="S199" s="813" t="s">
        <v>263</v>
      </c>
      <c r="T199" s="469"/>
      <c r="U199" s="816" t="str">
        <f>IFERROR(VLOOKUP($T199,'Upper HotCell RecoveryLogisitcs'!$C$130:$F$238,4,FALSE),"N/A")</f>
        <v>N/A</v>
      </c>
      <c r="V199" s="591" t="str">
        <f t="shared" si="22"/>
        <v>N/A</v>
      </c>
      <c r="W199" s="895"/>
      <c r="Y199" s="290"/>
      <c r="Z199" s="290"/>
      <c r="AA199" s="915"/>
    </row>
    <row r="200" spans="2:28" ht="15" customHeight="1" outlineLevel="2" x14ac:dyDescent="0.4">
      <c r="B200" s="921"/>
      <c r="C200" s="5"/>
      <c r="D200" s="996" t="s">
        <v>1092</v>
      </c>
      <c r="E200" s="952" t="s">
        <v>820</v>
      </c>
      <c r="F200" s="952"/>
      <c r="G200" s="953" t="s">
        <v>778</v>
      </c>
      <c r="H200" s="305">
        <f t="shared" si="20"/>
        <v>0.69444444444444442</v>
      </c>
      <c r="I200" s="955">
        <f t="shared" si="21"/>
        <v>230.02160871209574</v>
      </c>
      <c r="J200" s="592"/>
      <c r="K200" s="600" t="str">
        <f>IF(G200="operation",VLOOKUP(J200,'Generic Vertical Port Tasks'!$C$4:$D$197,2,FALSE),"N/A")</f>
        <v>N/A</v>
      </c>
      <c r="L200" s="594" t="s">
        <v>857</v>
      </c>
      <c r="M200" s="592" t="s">
        <v>858</v>
      </c>
      <c r="N200" s="956" t="s">
        <v>452</v>
      </c>
      <c r="O200" s="957">
        <f>IFERROR(INDEX('Upper Hot Cell Logistics'!$I$35:$O$41,MATCH($M200,'Upper Hot Cell Logistics'!$H$35:$H$41,0),MATCH($N200,'Upper Hot Cell Logistics'!$H$35:$H$41,0)),"N/A")</f>
        <v>50</v>
      </c>
      <c r="P200" s="958">
        <f>IFERROR(VLOOKUP($L200,'Upper Hot Cell Logistics'!$H$4:$I$10,2,FALSE),"N/A")</f>
        <v>0.02</v>
      </c>
      <c r="Q200" s="955">
        <f t="shared" si="19"/>
        <v>0.69444444444444442</v>
      </c>
      <c r="R200" s="959"/>
      <c r="S200" s="957" t="s">
        <v>263</v>
      </c>
      <c r="T200" s="3603"/>
      <c r="U200" s="960" t="str">
        <f>IFERROR(VLOOKUP($T200,'Upper HotCell RecoveryLogisitcs'!$C$130:$F$238,4,FALSE),"N/A")</f>
        <v>N/A</v>
      </c>
      <c r="V200" s="600" t="str">
        <f t="shared" si="22"/>
        <v>N/A</v>
      </c>
      <c r="W200" s="895"/>
      <c r="Y200" s="290"/>
      <c r="Z200" s="290"/>
      <c r="AA200" s="915"/>
    </row>
    <row r="201" spans="2:28" ht="15" customHeight="1" outlineLevel="2" x14ac:dyDescent="0.4">
      <c r="B201" s="921"/>
      <c r="C201" s="5"/>
      <c r="D201" s="997"/>
      <c r="E201" s="981" t="s">
        <v>128</v>
      </c>
      <c r="F201" s="981"/>
      <c r="G201" s="998" t="s">
        <v>251</v>
      </c>
      <c r="H201" s="999">
        <f t="shared" si="20"/>
        <v>24.022732551873563</v>
      </c>
      <c r="I201" s="1000">
        <f t="shared" si="21"/>
        <v>254.0443412639693</v>
      </c>
      <c r="J201" s="977" t="s">
        <v>2492</v>
      </c>
      <c r="K201" s="638">
        <f>IF(G201="operation",VLOOKUP(J201,'Generic Vertical Port Tasks'!$C$4:$D$197,2,FALSE),"N/A")</f>
        <v>24.022732551873563</v>
      </c>
      <c r="L201" s="603"/>
      <c r="M201" s="977"/>
      <c r="N201" s="978"/>
      <c r="O201" s="1001" t="str">
        <f>IFERROR(INDEX('Upper Hot Cell Logistics'!$I$35:$O$41,MATCH($M201,'Upper Hot Cell Logistics'!$H$35:$H$41,0),MATCH($N201,'Upper Hot Cell Logistics'!$H$35:$H$41,0)),"N/A")</f>
        <v>N/A</v>
      </c>
      <c r="P201" s="1002" t="str">
        <f>IFERROR(VLOOKUP($L201,'Upper Hot Cell Logistics'!$H$4:$I$10,2,FALSE),"N/A")</f>
        <v>N/A</v>
      </c>
      <c r="Q201" s="1000" t="str">
        <f t="shared" si="19"/>
        <v>N/A</v>
      </c>
      <c r="R201" s="1003"/>
      <c r="S201" s="1001" t="s">
        <v>263</v>
      </c>
      <c r="T201" s="3606"/>
      <c r="U201" s="1004" t="str">
        <f>IFERROR(VLOOKUP($T201,'Upper HotCell RecoveryLogisitcs'!$C$130:$F$238,4,FALSE),"N/A")</f>
        <v>N/A</v>
      </c>
      <c r="V201" s="608" t="str">
        <f t="shared" si="22"/>
        <v>N/A</v>
      </c>
      <c r="W201" s="895"/>
      <c r="Y201" s="290"/>
      <c r="Z201" s="290"/>
      <c r="AA201" s="915"/>
    </row>
    <row r="202" spans="2:28" ht="15" customHeight="1" outlineLevel="2" x14ac:dyDescent="0.4">
      <c r="B202" s="921"/>
      <c r="C202" s="5"/>
      <c r="D202" s="997"/>
      <c r="E202" s="981" t="s">
        <v>811</v>
      </c>
      <c r="F202" s="981"/>
      <c r="G202" s="998" t="s">
        <v>778</v>
      </c>
      <c r="H202" s="999">
        <f t="shared" si="20"/>
        <v>0.20833333333333334</v>
      </c>
      <c r="I202" s="1000">
        <f t="shared" si="21"/>
        <v>254.25267459730264</v>
      </c>
      <c r="J202" s="977"/>
      <c r="K202" s="638" t="str">
        <f>IF(G202="operation",VLOOKUP(J202,'Generic Vertical Port Tasks'!$C$4:$D$197,2,FALSE),"N/A")</f>
        <v>N/A</v>
      </c>
      <c r="L202" s="603" t="s">
        <v>12</v>
      </c>
      <c r="M202" s="977" t="s">
        <v>816</v>
      </c>
      <c r="N202" s="978" t="s">
        <v>452</v>
      </c>
      <c r="O202" s="1001">
        <f>IFERROR(INDEX('Upper Hot Cell Logistics'!$I$35:$O$41,MATCH($M202,'Upper Hot Cell Logistics'!$H$35:$H$41,0),MATCH($N202,'Upper Hot Cell Logistics'!$H$35:$H$41,0)),"N/A")</f>
        <v>15</v>
      </c>
      <c r="P202" s="1002">
        <f>IFERROR(VLOOKUP($L202,'Upper Hot Cell Logistics'!$H$4:$I$10,2,FALSE),"N/A")</f>
        <v>0.02</v>
      </c>
      <c r="Q202" s="1000">
        <f t="shared" si="19"/>
        <v>0.20833333333333334</v>
      </c>
      <c r="R202" s="1003"/>
      <c r="S202" s="1001" t="s">
        <v>263</v>
      </c>
      <c r="T202" s="3606" t="s">
        <v>1093</v>
      </c>
      <c r="U202" s="1004">
        <f>IFERROR(VLOOKUP($T202,'Upper HotCell RecoveryLogisitcs'!$C$130:$F$238,4,FALSE),"N/A")</f>
        <v>219.03216426765121</v>
      </c>
      <c r="V202" s="608">
        <f t="shared" si="22"/>
        <v>35.01217699631809</v>
      </c>
      <c r="W202" s="895"/>
      <c r="Y202" s="290"/>
      <c r="Z202" s="290"/>
      <c r="AA202" s="915"/>
    </row>
    <row r="203" spans="2:28" ht="15.75" customHeight="1" outlineLevel="2" thickBot="1" x14ac:dyDescent="0.45">
      <c r="B203" s="921"/>
      <c r="C203" s="5"/>
      <c r="D203" s="1005"/>
      <c r="E203" s="963" t="s">
        <v>40</v>
      </c>
      <c r="F203" s="963"/>
      <c r="G203" s="964" t="s">
        <v>251</v>
      </c>
      <c r="H203" s="1006">
        <f t="shared" si="20"/>
        <v>7.83</v>
      </c>
      <c r="I203" s="965">
        <f t="shared" si="21"/>
        <v>262.08267459730263</v>
      </c>
      <c r="J203" s="966" t="s">
        <v>257</v>
      </c>
      <c r="K203" s="967">
        <f>IF(G203="operation",VLOOKUP(J203,'Generic Vertical Port Tasks'!$C$4:$D$197,2,FALSE),"N/A")</f>
        <v>7.83</v>
      </c>
      <c r="L203" s="611"/>
      <c r="M203" s="966"/>
      <c r="N203" s="968"/>
      <c r="O203" s="969" t="str">
        <f>IFERROR(INDEX('Upper Hot Cell Logistics'!$I$35:$O$41,MATCH($M203,'Upper Hot Cell Logistics'!$H$35:$H$41,0),MATCH($N203,'Upper Hot Cell Logistics'!$H$35:$H$41,0)),"N/A")</f>
        <v>N/A</v>
      </c>
      <c r="P203" s="970" t="str">
        <f>IFERROR(VLOOKUP($L203,'Upper Hot Cell Logistics'!$H$4:$I$10,2,FALSE),"N/A")</f>
        <v>N/A</v>
      </c>
      <c r="Q203" s="965" t="str">
        <f t="shared" si="19"/>
        <v>N/A</v>
      </c>
      <c r="R203" s="971"/>
      <c r="S203" s="969" t="s">
        <v>263</v>
      </c>
      <c r="T203" s="3568"/>
      <c r="U203" s="972" t="str">
        <f>IFERROR(VLOOKUP($T203,'Upper HotCell RecoveryLogisitcs'!$C$130:$F$238,4,FALSE),"N/A")</f>
        <v>N/A</v>
      </c>
      <c r="V203" s="616" t="str">
        <f t="shared" si="22"/>
        <v>N/A</v>
      </c>
      <c r="W203" s="895"/>
      <c r="Y203" s="290"/>
      <c r="Z203" s="290"/>
      <c r="AA203" s="915"/>
    </row>
    <row r="204" spans="2:28" ht="15" customHeight="1" outlineLevel="2" x14ac:dyDescent="0.4">
      <c r="B204" s="921"/>
      <c r="C204" s="5"/>
      <c r="D204" s="993" t="s">
        <v>120</v>
      </c>
      <c r="E204" s="798" t="s">
        <v>797</v>
      </c>
      <c r="F204" s="798"/>
      <c r="G204" s="799" t="s">
        <v>778</v>
      </c>
      <c r="H204" s="326">
        <f t="shared" si="20"/>
        <v>6.9444444444444448E-2</v>
      </c>
      <c r="I204" s="800">
        <f t="shared" si="21"/>
        <v>262.15211904174708</v>
      </c>
      <c r="J204" s="566"/>
      <c r="K204" s="621" t="str">
        <f>IF(G204="operation",VLOOKUP(J204,'Generic Vertical Port Tasks'!$C$4:$D$197,2,FALSE),"N/A")</f>
        <v>N/A</v>
      </c>
      <c r="L204" s="568" t="s">
        <v>798</v>
      </c>
      <c r="M204" s="566" t="s">
        <v>858</v>
      </c>
      <c r="N204" s="801" t="s">
        <v>452</v>
      </c>
      <c r="O204" s="802">
        <f>IFERROR(INDEX('Upper Hot Cell Logistics'!$I$35:$O$41,MATCH($M204,'Upper Hot Cell Logistics'!$H$35:$H$41,0),MATCH($N204,'Upper Hot Cell Logistics'!$H$35:$H$41,0)),"N/A")</f>
        <v>50</v>
      </c>
      <c r="P204" s="570">
        <f>IFERROR(VLOOKUP($L204,'Upper Hot Cell Logistics'!$H$4:$I$10,2,FALSE),"N/A")</f>
        <v>0.2</v>
      </c>
      <c r="Q204" s="800">
        <f t="shared" si="19"/>
        <v>6.9444444444444448E-2</v>
      </c>
      <c r="R204" s="803"/>
      <c r="S204" s="802" t="s">
        <v>263</v>
      </c>
      <c r="T204" s="454" t="s">
        <v>884</v>
      </c>
      <c r="U204" s="804">
        <f>IFERROR(VLOOKUP($T204,'Upper HotCell RecoveryLogisitcs'!$C$130:$F$238,4,FALSE),"N/A")</f>
        <v>230.17660871209574</v>
      </c>
      <c r="V204" s="621">
        <f t="shared" si="22"/>
        <v>31.906065885206885</v>
      </c>
      <c r="W204" s="895"/>
      <c r="Y204" s="290"/>
      <c r="Z204" s="290"/>
      <c r="AA204" s="915"/>
    </row>
    <row r="205" spans="2:28" ht="15.75" customHeight="1" outlineLevel="2" thickBot="1" x14ac:dyDescent="0.45">
      <c r="B205" s="921"/>
      <c r="C205" s="5"/>
      <c r="D205" s="994"/>
      <c r="E205" s="808" t="s">
        <v>1094</v>
      </c>
      <c r="F205" s="808"/>
      <c r="G205" s="809" t="s">
        <v>251</v>
      </c>
      <c r="H205" s="467">
        <f t="shared" si="20"/>
        <v>4.0949999999999998</v>
      </c>
      <c r="I205" s="810">
        <f t="shared" si="21"/>
        <v>266.24711904174711</v>
      </c>
      <c r="J205" s="584" t="s">
        <v>35</v>
      </c>
      <c r="K205" s="811">
        <f>IF(G205="operation",VLOOKUP(J205,'Generic Vertical Port Tasks'!$C$4:$D$197,2,FALSE),"N/A")</f>
        <v>4.0949999999999998</v>
      </c>
      <c r="L205" s="586"/>
      <c r="M205" s="584"/>
      <c r="N205" s="812"/>
      <c r="O205" s="813" t="str">
        <f>IFERROR(INDEX('Upper Hot Cell Logistics'!$I$35:$O$41,MATCH($M205,'Upper Hot Cell Logistics'!$H$35:$H$41,0),MATCH($N205,'Upper Hot Cell Logistics'!$H$35:$H$41,0)),"N/A")</f>
        <v>N/A</v>
      </c>
      <c r="P205" s="814" t="str">
        <f>IFERROR(VLOOKUP($L205,'Upper Hot Cell Logistics'!$H$4:$I$10,2,FALSE),"N/A")</f>
        <v>N/A</v>
      </c>
      <c r="Q205" s="810" t="str">
        <f t="shared" si="19"/>
        <v>N/A</v>
      </c>
      <c r="R205" s="815"/>
      <c r="S205" s="813" t="s">
        <v>263</v>
      </c>
      <c r="T205" s="469"/>
      <c r="U205" s="816" t="str">
        <f>IFERROR(VLOOKUP($T205,'Upper HotCell RecoveryLogisitcs'!$C$130:$F$238,4,FALSE),"N/A")</f>
        <v>N/A</v>
      </c>
      <c r="V205" s="591" t="str">
        <f t="shared" si="22"/>
        <v>N/A</v>
      </c>
      <c r="W205" s="895"/>
      <c r="Y205" s="290"/>
      <c r="Z205" s="290"/>
      <c r="AA205" s="915"/>
    </row>
    <row r="206" spans="2:28" ht="15" customHeight="1" outlineLevel="2" x14ac:dyDescent="0.4">
      <c r="B206" s="921"/>
      <c r="C206" s="5"/>
      <c r="D206" s="996" t="s">
        <v>1095</v>
      </c>
      <c r="E206" s="952" t="s">
        <v>820</v>
      </c>
      <c r="F206" s="952"/>
      <c r="G206" s="953" t="s">
        <v>778</v>
      </c>
      <c r="H206" s="305">
        <f t="shared" si="20"/>
        <v>0.69444444444444442</v>
      </c>
      <c r="I206" s="955">
        <f t="shared" si="21"/>
        <v>266.94156348619157</v>
      </c>
      <c r="J206" s="592"/>
      <c r="K206" s="600" t="str">
        <f>IF(G206="operation",VLOOKUP(J206,'Generic Vertical Port Tasks'!$C$4:$D$197,2,FALSE),"N/A")</f>
        <v>N/A</v>
      </c>
      <c r="L206" s="594" t="s">
        <v>857</v>
      </c>
      <c r="M206" s="592" t="s">
        <v>858</v>
      </c>
      <c r="N206" s="956" t="s">
        <v>452</v>
      </c>
      <c r="O206" s="957">
        <f>IFERROR(INDEX('Upper Hot Cell Logistics'!$I$35:$O$41,MATCH($M206,'Upper Hot Cell Logistics'!$H$35:$H$41,0),MATCH($N206,'Upper Hot Cell Logistics'!$H$35:$H$41,0)),"N/A")</f>
        <v>50</v>
      </c>
      <c r="P206" s="958">
        <f>IFERROR(VLOOKUP($L206,'Upper Hot Cell Logistics'!$H$4:$I$10,2,FALSE),"N/A")</f>
        <v>0.02</v>
      </c>
      <c r="Q206" s="955">
        <f t="shared" si="19"/>
        <v>0.69444444444444442</v>
      </c>
      <c r="R206" s="959"/>
      <c r="S206" s="957" t="s">
        <v>263</v>
      </c>
      <c r="T206" s="3603"/>
      <c r="U206" s="960" t="str">
        <f>IFERROR(VLOOKUP($T206,'Upper HotCell RecoveryLogisitcs'!$C$130:$F$238,4,FALSE),"N/A")</f>
        <v>N/A</v>
      </c>
      <c r="V206" s="600" t="str">
        <f t="shared" si="22"/>
        <v>N/A</v>
      </c>
      <c r="W206" s="895"/>
      <c r="Y206" s="290"/>
      <c r="Z206" s="290"/>
      <c r="AA206" s="915"/>
    </row>
    <row r="207" spans="2:28" ht="15" customHeight="1" outlineLevel="2" x14ac:dyDescent="0.4">
      <c r="B207" s="921"/>
      <c r="C207" s="5"/>
      <c r="D207" s="997"/>
      <c r="E207" s="981" t="s">
        <v>126</v>
      </c>
      <c r="F207" s="981"/>
      <c r="G207" s="998" t="s">
        <v>251</v>
      </c>
      <c r="H207" s="999">
        <f t="shared" si="20"/>
        <v>24.022732551873563</v>
      </c>
      <c r="I207" s="1000">
        <f t="shared" si="21"/>
        <v>290.96429603806513</v>
      </c>
      <c r="J207" s="977" t="s">
        <v>2492</v>
      </c>
      <c r="K207" s="638">
        <f>IF(G207="operation",VLOOKUP(J207,'Generic Vertical Port Tasks'!$C$4:$D$197,2,FALSE),"N/A")</f>
        <v>24.022732551873563</v>
      </c>
      <c r="L207" s="603"/>
      <c r="M207" s="977"/>
      <c r="N207" s="978"/>
      <c r="O207" s="1001" t="str">
        <f>IFERROR(INDEX('Upper Hot Cell Logistics'!$I$35:$O$41,MATCH($M207,'Upper Hot Cell Logistics'!$H$35:$H$41,0),MATCH($N207,'Upper Hot Cell Logistics'!$H$35:$H$41,0)),"N/A")</f>
        <v>N/A</v>
      </c>
      <c r="P207" s="1002" t="str">
        <f>IFERROR(VLOOKUP($L207,'Upper Hot Cell Logistics'!$H$4:$I$10,2,FALSE),"N/A")</f>
        <v>N/A</v>
      </c>
      <c r="Q207" s="1000" t="str">
        <f t="shared" si="19"/>
        <v>N/A</v>
      </c>
      <c r="R207" s="1003"/>
      <c r="S207" s="1001" t="s">
        <v>263</v>
      </c>
      <c r="T207" s="3606"/>
      <c r="U207" s="1004" t="str">
        <f>IFERROR(VLOOKUP($T207,'Upper HotCell RecoveryLogisitcs'!$C$130:$F$238,4,FALSE),"N/A")</f>
        <v>N/A</v>
      </c>
      <c r="V207" s="608" t="str">
        <f t="shared" si="22"/>
        <v>N/A</v>
      </c>
      <c r="W207" s="895"/>
      <c r="Y207" s="290"/>
      <c r="Z207" s="290"/>
      <c r="AA207" s="915"/>
    </row>
    <row r="208" spans="2:28" ht="15" customHeight="1" outlineLevel="2" x14ac:dyDescent="0.4">
      <c r="B208" s="921"/>
      <c r="C208" s="5"/>
      <c r="D208" s="997"/>
      <c r="E208" s="981" t="s">
        <v>811</v>
      </c>
      <c r="F208" s="981"/>
      <c r="G208" s="998" t="s">
        <v>778</v>
      </c>
      <c r="H208" s="999">
        <f t="shared" si="20"/>
        <v>0.20833333333333334</v>
      </c>
      <c r="I208" s="1000">
        <f t="shared" si="21"/>
        <v>291.17262937139844</v>
      </c>
      <c r="J208" s="977"/>
      <c r="K208" s="638" t="str">
        <f>IF(G208="operation",VLOOKUP(J208,'Generic Vertical Port Tasks'!$C$4:$D$197,2,FALSE),"N/A")</f>
        <v>N/A</v>
      </c>
      <c r="L208" s="603" t="s">
        <v>12</v>
      </c>
      <c r="M208" s="977" t="s">
        <v>816</v>
      </c>
      <c r="N208" s="978" t="s">
        <v>452</v>
      </c>
      <c r="O208" s="1001">
        <f>IFERROR(INDEX('Upper Hot Cell Logistics'!$I$35:$O$41,MATCH($M208,'Upper Hot Cell Logistics'!$H$35:$H$41,0),MATCH($N208,'Upper Hot Cell Logistics'!$H$35:$H$41,0)),"N/A")</f>
        <v>15</v>
      </c>
      <c r="P208" s="1002">
        <f>IFERROR(VLOOKUP($L208,'Upper Hot Cell Logistics'!$H$4:$I$10,2,FALSE),"N/A")</f>
        <v>0.02</v>
      </c>
      <c r="Q208" s="1000">
        <f>IF(G208="Movement",IFERROR((O208/P208)/(60*60),"Error"),"N/A")</f>
        <v>0.20833333333333334</v>
      </c>
      <c r="R208" s="1003"/>
      <c r="S208" s="1001" t="s">
        <v>263</v>
      </c>
      <c r="T208" s="3606" t="s">
        <v>1096</v>
      </c>
      <c r="U208" s="1004">
        <f>IFERROR(VLOOKUP($T208,'Upper HotCell RecoveryLogisitcs'!$C$130:$F$238,4,FALSE),"N/A")</f>
        <v>257.85989681952475</v>
      </c>
      <c r="V208" s="608">
        <f t="shared" si="22"/>
        <v>33.104399218540379</v>
      </c>
      <c r="W208" s="895"/>
      <c r="Y208" s="290"/>
      <c r="Z208" s="290"/>
      <c r="AA208" s="915"/>
    </row>
    <row r="209" spans="1:27" ht="15.75" customHeight="1" outlineLevel="2" thickBot="1" x14ac:dyDescent="0.45">
      <c r="B209" s="921"/>
      <c r="C209" s="5"/>
      <c r="D209" s="1005"/>
      <c r="E209" s="963" t="s">
        <v>41</v>
      </c>
      <c r="F209" s="963"/>
      <c r="G209" s="964" t="s">
        <v>251</v>
      </c>
      <c r="H209" s="1006">
        <f>MAX($S209,$Q209,$K209)</f>
        <v>7.83</v>
      </c>
      <c r="I209" s="965">
        <f>IF(V209&lt;0,H209+I208+(-V209),H209+I208)</f>
        <v>299.00262937139843</v>
      </c>
      <c r="J209" s="966" t="s">
        <v>257</v>
      </c>
      <c r="K209" s="967">
        <f>IF(G209="operation",VLOOKUP(J209,'Generic Vertical Port Tasks'!$C$4:$D$197,2,FALSE),"N/A")</f>
        <v>7.83</v>
      </c>
      <c r="L209" s="611"/>
      <c r="M209" s="966"/>
      <c r="N209" s="968"/>
      <c r="O209" s="969" t="str">
        <f>IFERROR(INDEX('Upper Hot Cell Logistics'!$I$35:$O$41,MATCH($M209,'Upper Hot Cell Logistics'!$H$35:$H$41,0),MATCH($N209,'Upper Hot Cell Logistics'!$H$35:$H$41,0)),"N/A")</f>
        <v>N/A</v>
      </c>
      <c r="P209" s="970" t="str">
        <f>IFERROR(VLOOKUP($L209,'Upper Hot Cell Logistics'!$H$4:$I$10,2,FALSE),"N/A")</f>
        <v>N/A</v>
      </c>
      <c r="Q209" s="965" t="str">
        <f>IF(G209="Movement",IFERROR((O209/P209)/(60*60),"Error"),"N/A")</f>
        <v>N/A</v>
      </c>
      <c r="R209" s="971"/>
      <c r="S209" s="969" t="s">
        <v>263</v>
      </c>
      <c r="T209" s="3568"/>
      <c r="U209" s="972" t="str">
        <f>IFERROR(VLOOKUP($T209,'Upper HotCell RecoveryLogisitcs'!$C$130:$F$238,4,FALSE),"N/A")</f>
        <v>N/A</v>
      </c>
      <c r="V209" s="616" t="str">
        <f>IFERROR(I208-U209,"N/A")</f>
        <v>N/A</v>
      </c>
      <c r="W209" s="895"/>
      <c r="Y209" s="290"/>
      <c r="Z209" s="290"/>
      <c r="AA209" s="915"/>
    </row>
    <row r="210" spans="1:27" ht="15" customHeight="1" outlineLevel="1" x14ac:dyDescent="0.4">
      <c r="B210" s="921"/>
      <c r="C210" s="5"/>
      <c r="D210" s="891"/>
      <c r="E210" s="892"/>
      <c r="F210" s="892"/>
      <c r="G210" s="893" t="s">
        <v>11</v>
      </c>
      <c r="H210" s="893"/>
      <c r="I210" s="894">
        <f>I209+(-SUMIF(V144:V209,"&lt;0"))</f>
        <v>367.28105529732437</v>
      </c>
      <c r="J210" s="94"/>
      <c r="K210" s="895"/>
      <c r="L210" s="94"/>
      <c r="M210" s="94"/>
      <c r="N210" s="896"/>
      <c r="O210" s="897"/>
      <c r="P210" s="897"/>
      <c r="Q210" s="894"/>
      <c r="R210" s="94"/>
      <c r="S210" s="897"/>
      <c r="T210" s="3356"/>
      <c r="U210" s="290"/>
      <c r="V210" s="895"/>
      <c r="W210" s="895"/>
      <c r="X210" s="895"/>
      <c r="Y210" s="290"/>
      <c r="Z210" s="290"/>
      <c r="AA210" s="915"/>
    </row>
    <row r="211" spans="1:27" outlineLevel="1" x14ac:dyDescent="0.4">
      <c r="B211" s="921"/>
      <c r="C211" s="5"/>
      <c r="D211" s="891"/>
      <c r="E211" s="892"/>
      <c r="F211" s="892"/>
      <c r="G211" s="898"/>
      <c r="H211" s="894"/>
      <c r="I211" s="894"/>
      <c r="J211" s="94"/>
      <c r="K211" s="895"/>
      <c r="L211" s="94"/>
      <c r="M211" s="94"/>
      <c r="N211" s="896"/>
      <c r="O211" s="897"/>
      <c r="P211" s="897"/>
      <c r="Q211" s="894"/>
      <c r="R211" s="94"/>
      <c r="S211" s="897"/>
      <c r="T211" s="3356"/>
      <c r="U211" s="290"/>
      <c r="V211" s="895"/>
      <c r="W211" s="895"/>
      <c r="X211" s="895"/>
      <c r="Y211" s="273"/>
      <c r="Z211" s="273"/>
      <c r="AA211" s="915"/>
    </row>
    <row r="212" spans="1:27" x14ac:dyDescent="0.4">
      <c r="B212" s="1007"/>
      <c r="C212" s="1008"/>
      <c r="D212" s="1008"/>
      <c r="E212" s="1008"/>
      <c r="F212" s="1008"/>
      <c r="G212" s="1009"/>
      <c r="H212" s="1008"/>
      <c r="I212" s="1008"/>
      <c r="J212" s="1010"/>
      <c r="K212" s="1011"/>
      <c r="L212" s="1008"/>
      <c r="M212" s="1008"/>
      <c r="N212" s="1012"/>
      <c r="O212" s="1008"/>
      <c r="P212" s="1008"/>
      <c r="Q212" s="1008"/>
      <c r="R212" s="1008"/>
      <c r="S212" s="1008"/>
      <c r="T212" s="1012"/>
      <c r="U212" s="1011"/>
      <c r="V212" s="1008"/>
      <c r="W212" s="1008"/>
      <c r="X212" s="1008"/>
      <c r="Y212" s="1011"/>
      <c r="Z212" s="1011"/>
      <c r="AA212" s="1013"/>
    </row>
    <row r="213" spans="1:27" x14ac:dyDescent="0.4">
      <c r="A213" s="7"/>
      <c r="B213" s="1014"/>
      <c r="C213" s="1014"/>
      <c r="D213" s="1015"/>
      <c r="E213" s="1015"/>
      <c r="F213" s="1015"/>
      <c r="G213" s="1016"/>
      <c r="H213" s="1015"/>
      <c r="I213" s="1015"/>
      <c r="J213" s="1017"/>
      <c r="K213" s="1018"/>
      <c r="L213" s="1015"/>
      <c r="M213" s="1015"/>
      <c r="N213" s="1019"/>
      <c r="O213" s="1015"/>
      <c r="P213" s="1015"/>
      <c r="Q213" s="1015"/>
      <c r="R213" s="1015"/>
      <c r="S213" s="1015"/>
      <c r="T213" s="1019"/>
      <c r="U213" s="1018"/>
      <c r="V213" s="1015"/>
      <c r="W213" s="1015"/>
      <c r="X213" s="1015"/>
      <c r="Y213" s="1018"/>
      <c r="Z213" s="1018"/>
      <c r="AA213" s="1020"/>
    </row>
    <row r="214" spans="1:27" ht="15.45" x14ac:dyDescent="0.4">
      <c r="B214" s="1021"/>
      <c r="C214" s="1022"/>
      <c r="D214" s="1022"/>
      <c r="E214" s="1023" t="s">
        <v>1108</v>
      </c>
      <c r="F214" s="1024"/>
      <c r="G214" s="1024"/>
      <c r="H214" s="1024"/>
      <c r="I214" s="1024"/>
      <c r="J214" s="1024"/>
      <c r="K214" s="1024"/>
      <c r="L214" s="1024"/>
      <c r="M214" s="1024"/>
      <c r="N214" s="1024"/>
      <c r="O214" s="1024"/>
      <c r="P214" s="1024"/>
      <c r="Q214" s="1024"/>
      <c r="R214" s="1024"/>
      <c r="S214" s="1024"/>
      <c r="T214" s="3607"/>
      <c r="U214" s="1024"/>
      <c r="V214" s="1024"/>
      <c r="W214" s="1024"/>
      <c r="X214" s="1024"/>
      <c r="Y214" s="1024"/>
      <c r="Z214" s="1024"/>
      <c r="AA214" s="1025"/>
    </row>
    <row r="215" spans="1:27" ht="15" outlineLevel="1" thickBot="1" x14ac:dyDescent="0.45">
      <c r="B215" s="1026"/>
      <c r="C215" s="704"/>
      <c r="D215" s="704"/>
      <c r="E215" s="748" t="s">
        <v>1053</v>
      </c>
      <c r="F215" s="704"/>
      <c r="G215" s="749"/>
      <c r="H215" s="704"/>
      <c r="I215" s="704"/>
      <c r="J215" s="704"/>
      <c r="K215" s="750"/>
      <c r="L215" s="704"/>
      <c r="M215" s="704"/>
      <c r="N215" s="704"/>
      <c r="O215" s="704"/>
      <c r="P215" s="704"/>
      <c r="Q215" s="704"/>
      <c r="R215" s="704"/>
      <c r="S215" s="704"/>
      <c r="T215" s="1826"/>
      <c r="U215" s="750"/>
      <c r="V215" s="704"/>
      <c r="W215" s="704"/>
      <c r="X215" s="704"/>
      <c r="Y215" s="750"/>
      <c r="Z215" s="750"/>
      <c r="AA215" s="751"/>
    </row>
    <row r="216" spans="1:27" ht="15" customHeight="1" outlineLevel="1" x14ac:dyDescent="0.4">
      <c r="B216" s="1026"/>
      <c r="C216" s="704"/>
      <c r="D216" s="704"/>
      <c r="E216" s="704" t="s">
        <v>1034</v>
      </c>
      <c r="F216" s="704"/>
      <c r="G216" s="749"/>
      <c r="H216" s="704"/>
      <c r="I216" s="704"/>
      <c r="J216" s="704"/>
      <c r="K216" s="750"/>
      <c r="L216" s="704"/>
      <c r="M216" s="704"/>
      <c r="N216" s="704"/>
      <c r="O216" s="704"/>
      <c r="P216" s="704"/>
      <c r="Q216" s="704"/>
      <c r="R216" s="704"/>
      <c r="S216" s="704"/>
      <c r="T216" s="3541"/>
      <c r="U216" s="3015" t="s">
        <v>23</v>
      </c>
      <c r="V216" s="3989" t="s">
        <v>2688</v>
      </c>
      <c r="W216" s="3990"/>
      <c r="X216" s="3990"/>
      <c r="Y216" s="3990"/>
      <c r="Z216" s="3991"/>
      <c r="AA216" s="915"/>
    </row>
    <row r="217" spans="1:27" outlineLevel="1" x14ac:dyDescent="0.4">
      <c r="B217" s="1026"/>
      <c r="C217" s="704"/>
      <c r="D217" s="704"/>
      <c r="E217" s="704" t="s">
        <v>1035</v>
      </c>
      <c r="F217" s="704"/>
      <c r="G217" s="749"/>
      <c r="H217" s="704"/>
      <c r="I217" s="704"/>
      <c r="J217" s="704"/>
      <c r="K217" s="750"/>
      <c r="L217" s="704"/>
      <c r="M217" s="704"/>
      <c r="N217" s="704"/>
      <c r="O217" s="704"/>
      <c r="P217" s="704"/>
      <c r="Q217" s="704"/>
      <c r="R217" s="704"/>
      <c r="S217" s="704"/>
      <c r="T217" s="3596" t="s">
        <v>1055</v>
      </c>
      <c r="U217" s="2282">
        <v>1</v>
      </c>
      <c r="V217" s="1497">
        <v>1</v>
      </c>
      <c r="W217" s="754">
        <v>2</v>
      </c>
      <c r="X217" s="754">
        <v>3</v>
      </c>
      <c r="Y217" s="754">
        <v>4</v>
      </c>
      <c r="Z217" s="753">
        <v>6</v>
      </c>
      <c r="AA217" s="915"/>
    </row>
    <row r="218" spans="1:27" outlineLevel="1" x14ac:dyDescent="0.4">
      <c r="B218" s="1026"/>
      <c r="C218" s="704"/>
      <c r="D218" s="704"/>
      <c r="E218" s="704" t="s">
        <v>1036</v>
      </c>
      <c r="F218" s="704"/>
      <c r="G218" s="749"/>
      <c r="H218" s="704"/>
      <c r="I218" s="704"/>
      <c r="J218" s="704"/>
      <c r="K218" s="750"/>
      <c r="L218" s="704"/>
      <c r="M218" s="704"/>
      <c r="N218" s="704"/>
      <c r="O218" s="704"/>
      <c r="P218" s="704"/>
      <c r="Q218" s="704"/>
      <c r="R218" s="704"/>
      <c r="S218" s="704"/>
      <c r="T218" s="3333" t="s">
        <v>2665</v>
      </c>
      <c r="U218" s="1086">
        <f>(Connect_vertical_pipework)</f>
        <v>24.022732551873563</v>
      </c>
      <c r="V218" s="1498">
        <f>(ROUNDUP(Tokamak_Segmts/V217,0)*(Connect_vertical_pipework))</f>
        <v>384.36372082997701</v>
      </c>
      <c r="W218" s="756">
        <f>(ROUNDUP(Tokamak_Segmts/W217,0)*(Connect_vertical_pipework))</f>
        <v>192.18186041498851</v>
      </c>
      <c r="X218" s="756">
        <f>(ROUNDUP(Tokamak_Segmts/X217,0)*(Connect_vertical_pipework))</f>
        <v>144.13639531124139</v>
      </c>
      <c r="Y218" s="756">
        <f>(ROUNDUP(Tokamak_Segmts/Y217,0)*(Connect_vertical_pipework))</f>
        <v>96.090930207494253</v>
      </c>
      <c r="Z218" s="755">
        <f>(ROUNDUP(Tokamak_Segmts/Z217,0)*(Connect_vertical_pipework))</f>
        <v>72.068197655620693</v>
      </c>
      <c r="AA218" s="915"/>
    </row>
    <row r="219" spans="1:27" ht="15" outlineLevel="1" thickBot="1" x14ac:dyDescent="0.45">
      <c r="B219" s="1026"/>
      <c r="C219" s="704"/>
      <c r="D219" s="704"/>
      <c r="E219" s="704" t="s">
        <v>1037</v>
      </c>
      <c r="F219" s="704"/>
      <c r="G219" s="749"/>
      <c r="H219" s="704"/>
      <c r="I219" s="704"/>
      <c r="J219" s="704"/>
      <c r="K219" s="750"/>
      <c r="L219" s="704"/>
      <c r="M219" s="704"/>
      <c r="N219" s="704"/>
      <c r="O219" s="704"/>
      <c r="P219" s="704"/>
      <c r="Q219" s="704"/>
      <c r="R219" s="704"/>
      <c r="S219" s="704"/>
      <c r="T219" s="3141" t="s">
        <v>2693</v>
      </c>
      <c r="U219" s="1089">
        <f>U$218*$F$222</f>
        <v>0.2642500580706092</v>
      </c>
      <c r="V219" s="1499">
        <f t="shared" ref="V219:Z219" si="23">V$218*$F$222</f>
        <v>4.2280009291297471</v>
      </c>
      <c r="W219" s="761">
        <f t="shared" si="23"/>
        <v>2.1140004645648736</v>
      </c>
      <c r="X219" s="761">
        <f t="shared" si="23"/>
        <v>1.5855003484236552</v>
      </c>
      <c r="Y219" s="761">
        <f t="shared" si="23"/>
        <v>1.0570002322824368</v>
      </c>
      <c r="Z219" s="760">
        <f t="shared" si="23"/>
        <v>0.79275017421182759</v>
      </c>
      <c r="AA219" s="915"/>
    </row>
    <row r="220" spans="1:27" outlineLevel="1" x14ac:dyDescent="0.4">
      <c r="B220" s="1026"/>
      <c r="C220" s="704"/>
      <c r="D220" s="704"/>
      <c r="E220" s="704" t="s">
        <v>1038</v>
      </c>
      <c r="F220" s="704"/>
      <c r="G220" s="749"/>
      <c r="H220" s="704"/>
      <c r="I220" s="704"/>
      <c r="J220" s="704"/>
      <c r="K220" s="750"/>
      <c r="L220" s="704"/>
      <c r="M220" s="704"/>
      <c r="N220" s="704"/>
      <c r="O220" s="704"/>
      <c r="P220" s="704"/>
      <c r="Q220" s="704"/>
      <c r="R220" s="704"/>
      <c r="S220" s="704"/>
      <c r="T220" s="3597" t="s">
        <v>1048</v>
      </c>
      <c r="U220" s="3016">
        <f t="shared" ref="U220:Z220" si="24">U219*(SUMIF($G$230:$G$283,"Operation",$H$230:$H$283))</f>
        <v>47.564467220856514</v>
      </c>
      <c r="V220" s="1500">
        <f t="shared" si="24"/>
        <v>761.03147553370422</v>
      </c>
      <c r="W220" s="768">
        <f t="shared" si="24"/>
        <v>380.51573776685211</v>
      </c>
      <c r="X220" s="768">
        <f t="shared" si="24"/>
        <v>285.38680332513911</v>
      </c>
      <c r="Y220" s="768">
        <f t="shared" si="24"/>
        <v>190.25786888342606</v>
      </c>
      <c r="Z220" s="1062">
        <f t="shared" si="24"/>
        <v>142.69340166256956</v>
      </c>
      <c r="AA220" s="915"/>
    </row>
    <row r="221" spans="1:27" outlineLevel="1" x14ac:dyDescent="0.4">
      <c r="B221" s="1026"/>
      <c r="C221" s="704"/>
      <c r="D221" s="704"/>
      <c r="E221" s="704"/>
      <c r="F221" s="704"/>
      <c r="G221" s="749"/>
      <c r="H221" s="704"/>
      <c r="I221" s="704"/>
      <c r="J221" s="704"/>
      <c r="K221" s="750"/>
      <c r="L221" s="704"/>
      <c r="M221" s="704"/>
      <c r="N221" s="704"/>
      <c r="O221" s="704"/>
      <c r="P221" s="704"/>
      <c r="Q221" s="704"/>
      <c r="R221" s="704"/>
      <c r="S221" s="704"/>
      <c r="T221" s="3540" t="s">
        <v>2658</v>
      </c>
      <c r="U221" s="3017">
        <f t="shared" ref="U221:Z221" si="25">U219*(SUMIF($G$230:$G$283,"Movement",$H$230:$H$283)+(SUMIF($G$230:$G$283,"Logistics",$H$230:$H$283)))</f>
        <v>1.2955593124850699</v>
      </c>
      <c r="V221" s="1502">
        <f t="shared" si="25"/>
        <v>20.728948999761119</v>
      </c>
      <c r="W221" s="769">
        <f t="shared" si="25"/>
        <v>10.36447449988056</v>
      </c>
      <c r="X221" s="769">
        <f t="shared" si="25"/>
        <v>7.7733558749104201</v>
      </c>
      <c r="Y221" s="769">
        <f t="shared" si="25"/>
        <v>5.1822372499402798</v>
      </c>
      <c r="Z221" s="1064">
        <f t="shared" si="25"/>
        <v>3.8866779374552101</v>
      </c>
      <c r="AA221" s="915"/>
    </row>
    <row r="222" spans="1:27" ht="15" outlineLevel="1" thickBot="1" x14ac:dyDescent="0.45">
      <c r="B222" s="1026"/>
      <c r="C222" s="704"/>
      <c r="D222" s="704"/>
      <c r="E222" s="748" t="s">
        <v>1056</v>
      </c>
      <c r="F222" s="918">
        <f>SUM(F223:F224)</f>
        <v>1.0999999999999999E-2</v>
      </c>
      <c r="G222" s="757"/>
      <c r="H222" s="709"/>
      <c r="I222" s="709"/>
      <c r="J222" s="709"/>
      <c r="K222" s="919"/>
      <c r="L222" s="918"/>
      <c r="M222" s="918"/>
      <c r="N222" s="918"/>
      <c r="O222" s="918"/>
      <c r="P222" s="918"/>
      <c r="Q222" s="918"/>
      <c r="R222" s="704"/>
      <c r="S222" s="704"/>
      <c r="T222" s="3598" t="s">
        <v>2662</v>
      </c>
      <c r="U222" s="1109">
        <f t="shared" ref="U222:Z222" si="26">U219*(-SUMIF($V$230:$V$283,"&lt;0"))</f>
        <v>11.143365643840692</v>
      </c>
      <c r="V222" s="1110">
        <f t="shared" si="26"/>
        <v>178.29385030145107</v>
      </c>
      <c r="W222" s="770">
        <f t="shared" si="26"/>
        <v>89.146925150725536</v>
      </c>
      <c r="X222" s="770">
        <f t="shared" si="26"/>
        <v>66.860193863044145</v>
      </c>
      <c r="Y222" s="770">
        <f t="shared" si="26"/>
        <v>44.573462575362768</v>
      </c>
      <c r="Z222" s="1066">
        <f t="shared" si="26"/>
        <v>33.430096931522073</v>
      </c>
      <c r="AA222" s="915"/>
    </row>
    <row r="223" spans="1:27" ht="15" outlineLevel="1" thickBot="1" x14ac:dyDescent="0.45">
      <c r="B223" s="1030"/>
      <c r="C223" s="5"/>
      <c r="D223" s="5"/>
      <c r="E223" s="7" t="s">
        <v>1057</v>
      </c>
      <c r="F223" s="922">
        <f>Weld_Failure_Rate</f>
        <v>1E-3</v>
      </c>
      <c r="G223" s="923"/>
      <c r="H223" s="922"/>
      <c r="I223" s="922"/>
      <c r="J223" s="924"/>
      <c r="K223" s="290"/>
      <c r="L223" s="922"/>
      <c r="M223" s="922"/>
      <c r="N223" s="925"/>
      <c r="O223" s="922"/>
      <c r="P223" s="922"/>
      <c r="Q223" s="922"/>
      <c r="R223" s="706"/>
      <c r="S223" s="7"/>
      <c r="T223" s="3355" t="s">
        <v>2667</v>
      </c>
      <c r="U223" s="2993">
        <f t="shared" ref="U223:Z223" si="27">U219*$I$284</f>
        <v>60.003392177182299</v>
      </c>
      <c r="V223" s="2994">
        <f t="shared" si="27"/>
        <v>960.05427483491678</v>
      </c>
      <c r="W223" s="694">
        <f t="shared" si="27"/>
        <v>480.02713741745839</v>
      </c>
      <c r="X223" s="694">
        <f t="shared" si="27"/>
        <v>360.02035306309381</v>
      </c>
      <c r="Y223" s="694">
        <f t="shared" si="27"/>
        <v>240.0135687087292</v>
      </c>
      <c r="Z223" s="2974">
        <f t="shared" si="27"/>
        <v>180.0101765315469</v>
      </c>
      <c r="AA223" s="915"/>
    </row>
    <row r="224" spans="1:27" outlineLevel="1" x14ac:dyDescent="0.4">
      <c r="B224" s="1030"/>
      <c r="C224" s="5"/>
      <c r="D224" s="5"/>
      <c r="E224" s="7" t="s">
        <v>1058</v>
      </c>
      <c r="F224" s="922">
        <f>SJS_welder_failure</f>
        <v>0.01</v>
      </c>
      <c r="G224" s="923"/>
      <c r="H224" s="922"/>
      <c r="I224" s="922"/>
      <c r="J224" s="924"/>
      <c r="K224" s="290"/>
      <c r="L224" s="922"/>
      <c r="M224" s="922"/>
      <c r="N224" s="925"/>
      <c r="O224" s="922"/>
      <c r="P224" s="922"/>
      <c r="Q224" s="922"/>
      <c r="R224" s="706"/>
      <c r="S224" s="7"/>
      <c r="AA224" s="915"/>
    </row>
    <row r="225" spans="2:34" outlineLevel="1" x14ac:dyDescent="0.4">
      <c r="B225" s="1030"/>
      <c r="C225" s="5"/>
      <c r="D225" s="5"/>
      <c r="E225" s="926" t="s">
        <v>1059</v>
      </c>
      <c r="F225" s="927">
        <f>F222*(1-(1-F222)^(Vertical_port_pipes_per_blanket))</f>
        <v>7.0632541484487834E-4</v>
      </c>
      <c r="G225" s="927"/>
      <c r="H225" s="927"/>
      <c r="I225" s="927"/>
      <c r="J225" s="927"/>
      <c r="K225" s="919"/>
      <c r="L225" s="927"/>
      <c r="M225" s="927"/>
      <c r="N225" s="927"/>
      <c r="O225" s="927"/>
      <c r="P225" s="927"/>
      <c r="Q225" s="927"/>
      <c r="R225" s="706"/>
      <c r="S225" s="7"/>
      <c r="AA225" s="915"/>
    </row>
    <row r="226" spans="2:34" outlineLevel="1" x14ac:dyDescent="0.4">
      <c r="B226" s="1030"/>
      <c r="C226" s="5"/>
      <c r="D226" s="5"/>
      <c r="E226" s="926"/>
      <c r="F226" s="927"/>
      <c r="G226" s="928"/>
      <c r="H226" s="927"/>
      <c r="I226" s="927"/>
      <c r="J226" s="927"/>
      <c r="K226" s="919"/>
      <c r="L226" s="927"/>
      <c r="M226" s="927"/>
      <c r="N226" s="927"/>
      <c r="O226" s="927"/>
      <c r="P226" s="927"/>
      <c r="Q226" s="927"/>
      <c r="R226" s="706"/>
      <c r="S226" s="7"/>
      <c r="AA226" s="915"/>
    </row>
    <row r="227" spans="2:34" ht="15.75" customHeight="1" outlineLevel="2" thickBot="1" x14ac:dyDescent="0.45">
      <c r="B227" s="1030"/>
      <c r="C227" s="5"/>
      <c r="D227" s="5"/>
      <c r="E227" s="926"/>
      <c r="F227" s="927"/>
      <c r="G227" s="928"/>
      <c r="H227" s="927"/>
      <c r="I227" s="927"/>
      <c r="J227" s="927"/>
      <c r="K227" s="919"/>
      <c r="L227" s="927"/>
      <c r="M227" s="927"/>
      <c r="N227" s="927"/>
      <c r="O227" s="927"/>
      <c r="P227" s="927"/>
      <c r="Q227" s="927"/>
      <c r="R227" s="706"/>
      <c r="S227" s="7"/>
      <c r="T227" s="707"/>
      <c r="U227" s="290"/>
      <c r="V227" s="7"/>
      <c r="W227" s="7"/>
      <c r="X227" s="7"/>
      <c r="Y227" s="290"/>
      <c r="Z227" s="290"/>
      <c r="AA227" s="915"/>
    </row>
    <row r="228" spans="2:34" ht="15.75" customHeight="1" outlineLevel="2" thickBot="1" x14ac:dyDescent="0.45">
      <c r="B228" s="1030"/>
      <c r="C228" s="5"/>
      <c r="D228" s="5"/>
      <c r="E228" s="926"/>
      <c r="F228" s="927"/>
      <c r="G228" s="701"/>
      <c r="H228" s="7"/>
      <c r="I228" s="929"/>
      <c r="J228" s="930" t="s">
        <v>18</v>
      </c>
      <c r="K228" s="931"/>
      <c r="L228" s="932" t="s">
        <v>778</v>
      </c>
      <c r="M228" s="933"/>
      <c r="N228" s="933"/>
      <c r="O228" s="933"/>
      <c r="P228" s="933"/>
      <c r="Q228" s="934"/>
      <c r="R228" s="933" t="s">
        <v>3</v>
      </c>
      <c r="S228" s="934"/>
      <c r="T228" s="3838" t="s">
        <v>779</v>
      </c>
      <c r="U228" s="3839"/>
      <c r="V228" s="3840"/>
      <c r="W228" s="937"/>
      <c r="Y228" s="938"/>
      <c r="Z228" s="938"/>
      <c r="AA228" s="915"/>
    </row>
    <row r="229" spans="2:34" ht="30.75" customHeight="1" outlineLevel="2" thickBot="1" x14ac:dyDescent="0.45">
      <c r="B229" s="1030"/>
      <c r="C229" s="5"/>
      <c r="D229" s="939" t="s">
        <v>780</v>
      </c>
      <c r="E229" s="940" t="s">
        <v>1060</v>
      </c>
      <c r="F229" s="563" t="s">
        <v>1061</v>
      </c>
      <c r="G229" s="941" t="s">
        <v>782</v>
      </c>
      <c r="H229" s="942" t="s">
        <v>783</v>
      </c>
      <c r="I229" s="943" t="s">
        <v>784</v>
      </c>
      <c r="J229" s="562" t="s">
        <v>785</v>
      </c>
      <c r="K229" s="944" t="s">
        <v>783</v>
      </c>
      <c r="L229" s="562" t="s">
        <v>786</v>
      </c>
      <c r="M229" s="563" t="s">
        <v>787</v>
      </c>
      <c r="N229" s="563" t="s">
        <v>788</v>
      </c>
      <c r="O229" s="563" t="s">
        <v>789</v>
      </c>
      <c r="P229" s="563" t="s">
        <v>790</v>
      </c>
      <c r="Q229" s="945" t="s">
        <v>783</v>
      </c>
      <c r="R229" s="560" t="s">
        <v>785</v>
      </c>
      <c r="S229" s="946" t="s">
        <v>783</v>
      </c>
      <c r="T229" s="3599" t="s">
        <v>781</v>
      </c>
      <c r="U229" s="794" t="s">
        <v>791</v>
      </c>
      <c r="V229" s="789" t="s">
        <v>792</v>
      </c>
      <c r="W229" s="795"/>
      <c r="Y229" s="947"/>
      <c r="Z229" s="947"/>
      <c r="AA229" s="915"/>
    </row>
    <row r="230" spans="2:34" ht="15" customHeight="1" outlineLevel="2" x14ac:dyDescent="0.4">
      <c r="B230" s="1030"/>
      <c r="C230" s="5"/>
      <c r="D230" s="948" t="s">
        <v>1062</v>
      </c>
      <c r="E230" s="797" t="s">
        <v>1109</v>
      </c>
      <c r="F230" s="798"/>
      <c r="G230" s="799" t="s">
        <v>251</v>
      </c>
      <c r="H230" s="456">
        <f>MAX($S230,$Q230,$K230)</f>
        <v>0</v>
      </c>
      <c r="I230" s="800">
        <f>H230</f>
        <v>0</v>
      </c>
      <c r="J230" s="566" t="s">
        <v>557</v>
      </c>
      <c r="K230" s="621">
        <f>IF(G230="operation",VLOOKUP(J230,'Generic Vertical Port Tasks'!$C$4:$D$197,2,FALSE),"N/A")</f>
        <v>0</v>
      </c>
      <c r="L230" s="568"/>
      <c r="M230" s="566"/>
      <c r="N230" s="801"/>
      <c r="O230" s="802" t="str">
        <f>IFERROR(INDEX('Upper Hot Cell Logistics'!$I$35:$O$41,MATCH($M230,'Upper Hot Cell Logistics'!$H$35:$H$41,0),MATCH($N230,'Upper Hot Cell Logistics'!$H$35:$H$41,0)),"N/A")</f>
        <v>N/A</v>
      </c>
      <c r="P230" s="570" t="str">
        <f>IFERROR(VLOOKUP($L230,'Upper Hot Cell Logistics'!$H$4:$I$10,2,FALSE),"N/A")</f>
        <v>N/A</v>
      </c>
      <c r="Q230" s="800" t="str">
        <f t="shared" ref="Q230:Q283" si="28">IF(G230="Movement",IFERROR((O230/P230)/(60*60),"Error"),"N/A")</f>
        <v>N/A</v>
      </c>
      <c r="R230" s="803"/>
      <c r="S230" s="802" t="str">
        <f>IF($G230="Logistics",VLOOKUP($R230,'Upper Hot Cell Logistics'!$C$4:$D$44,2,FALSE),"N/A")</f>
        <v>N/A</v>
      </c>
      <c r="T230" s="454"/>
      <c r="U230" s="804" t="str">
        <f>IFERROR(VLOOKUP($T230,'Upper HotCell RecoveryLogisitcs'!$C$226:$F$495,4,FALSE),"N/A")</f>
        <v>N/A</v>
      </c>
      <c r="V230" s="621" t="str">
        <f>IFERROR(I230-H230-U230,"N/A")</f>
        <v>N/A</v>
      </c>
      <c r="W230" s="895"/>
      <c r="Y230" s="947"/>
      <c r="Z230" s="947"/>
      <c r="AA230" s="915"/>
      <c r="AE230" s="8"/>
    </row>
    <row r="231" spans="2:34" ht="15.75" customHeight="1" outlineLevel="2" thickBot="1" x14ac:dyDescent="0.45">
      <c r="B231" s="1030"/>
      <c r="C231" s="5"/>
      <c r="D231" s="949"/>
      <c r="E231" s="807" t="s">
        <v>1110</v>
      </c>
      <c r="F231" s="808"/>
      <c r="G231" s="809" t="s">
        <v>251</v>
      </c>
      <c r="H231" s="471">
        <f t="shared" ref="H231:H283" si="29">MAX($S231,$Q231,$K231)</f>
        <v>1.0499155317167692</v>
      </c>
      <c r="I231" s="810">
        <f t="shared" ref="I231:I283" si="30">IF(V231&lt;0,H231+I230+(-V231),H231+I230)</f>
        <v>1.0499155317167692</v>
      </c>
      <c r="J231" s="584" t="s">
        <v>2491</v>
      </c>
      <c r="K231" s="811">
        <f>IF(G231="operation",VLOOKUP(J231,'Generic Vertical Port Tasks'!$C$4:$D$197,2,FALSE),"N/A")</f>
        <v>1.0499155317167692</v>
      </c>
      <c r="L231" s="586"/>
      <c r="M231" s="584"/>
      <c r="N231" s="812"/>
      <c r="O231" s="813" t="str">
        <f>IFERROR(INDEX('Upper Hot Cell Logistics'!$I$35:$O$41,MATCH($M231,'Upper Hot Cell Logistics'!$H$35:$H$41,0),MATCH($N231,'Upper Hot Cell Logistics'!$H$35:$H$41,0)),"N/A")</f>
        <v>N/A</v>
      </c>
      <c r="P231" s="814" t="str">
        <f>IFERROR(VLOOKUP($L231,'Upper Hot Cell Logistics'!$H$4:$I$10,2,FALSE),"N/A")</f>
        <v>N/A</v>
      </c>
      <c r="Q231" s="810" t="str">
        <f t="shared" si="28"/>
        <v>N/A</v>
      </c>
      <c r="R231" s="815"/>
      <c r="S231" s="813" t="s">
        <v>263</v>
      </c>
      <c r="T231" s="469"/>
      <c r="U231" s="816" t="str">
        <f>IFERROR(VLOOKUP($T231,'Upper HotCell RecoveryLogisitcs'!$C$226:$F$495,4,FALSE),"N/A")</f>
        <v>N/A</v>
      </c>
      <c r="V231" s="591" t="str">
        <f t="shared" ref="V231:V283" si="31">IFERROR(I230-U231,"N/A")</f>
        <v>N/A</v>
      </c>
      <c r="W231" s="895"/>
      <c r="Y231" s="290"/>
      <c r="Z231" s="290"/>
      <c r="AA231" s="915"/>
      <c r="AB231" s="5"/>
      <c r="AC231" s="7"/>
      <c r="AD231" s="7"/>
      <c r="AE231" s="7"/>
      <c r="AF231" s="7"/>
      <c r="AG231" s="7"/>
      <c r="AH231" s="7"/>
    </row>
    <row r="232" spans="2:34" ht="25.5" customHeight="1" outlineLevel="2" x14ac:dyDescent="0.4">
      <c r="B232" s="1030"/>
      <c r="C232" s="5"/>
      <c r="D232" s="950" t="s">
        <v>1104</v>
      </c>
      <c r="E232" s="951" t="s">
        <v>797</v>
      </c>
      <c r="F232" s="952"/>
      <c r="G232" s="953" t="s">
        <v>778</v>
      </c>
      <c r="H232" s="954">
        <f t="shared" si="29"/>
        <v>6.9444444444444448E-2</v>
      </c>
      <c r="I232" s="955">
        <f t="shared" si="30"/>
        <v>1.4961111111111112</v>
      </c>
      <c r="J232" s="592"/>
      <c r="K232" s="600" t="str">
        <f>IF(G232="operation",VLOOKUP(J232,'Generic Vertical Port Tasks'!$C$4:$D$197,2,FALSE),"N/A")</f>
        <v>N/A</v>
      </c>
      <c r="L232" s="594" t="s">
        <v>798</v>
      </c>
      <c r="M232" s="592" t="s">
        <v>799</v>
      </c>
      <c r="N232" s="956" t="s">
        <v>452</v>
      </c>
      <c r="O232" s="957">
        <f>IFERROR(INDEX('Upper Hot Cell Logistics'!$I$35:$O$41,MATCH($M232,'Upper Hot Cell Logistics'!$H$35:$H$41,0),MATCH($N232,'Upper Hot Cell Logistics'!$H$35:$H$41,0)),"N/A")</f>
        <v>50</v>
      </c>
      <c r="P232" s="958">
        <f>IFERROR(VLOOKUP($L232,'Upper Hot Cell Logistics'!$H$4:$I$10,2,FALSE),"N/A")</f>
        <v>0.2</v>
      </c>
      <c r="Q232" s="955">
        <f t="shared" si="28"/>
        <v>6.9444444444444448E-2</v>
      </c>
      <c r="R232" s="959"/>
      <c r="S232" s="957" t="str">
        <f>IF($F232="Logistics",VLOOKUP($Q232,'Upper Hot Cell Logistics'!$C$4:$D$44,2,FALSE),"N/A")</f>
        <v>N/A</v>
      </c>
      <c r="T232" s="3603" t="s">
        <v>1066</v>
      </c>
      <c r="U232" s="960">
        <f>IFERROR(VLOOKUP($T232,'Upper HotCell RecoveryLogisitcs'!$C$226:$F$495,4,FALSE),"N/A")</f>
        <v>1.4266666666666667</v>
      </c>
      <c r="V232" s="600">
        <f t="shared" si="31"/>
        <v>-0.37675113494989754</v>
      </c>
      <c r="W232" s="895"/>
      <c r="Y232" s="290"/>
      <c r="Z232" s="290"/>
      <c r="AA232" s="915"/>
      <c r="AB232" s="5"/>
      <c r="AC232" s="7"/>
      <c r="AD232" s="7"/>
      <c r="AE232" s="7"/>
      <c r="AF232" s="7"/>
      <c r="AG232" s="7"/>
      <c r="AH232" s="7"/>
    </row>
    <row r="233" spans="2:34" ht="15.75" customHeight="1" outlineLevel="2" thickBot="1" x14ac:dyDescent="0.45">
      <c r="B233" s="1030"/>
      <c r="C233" s="5"/>
      <c r="D233" s="961"/>
      <c r="E233" s="962" t="s">
        <v>127</v>
      </c>
      <c r="F233" s="963"/>
      <c r="G233" s="964" t="s">
        <v>251</v>
      </c>
      <c r="H233" s="368">
        <f t="shared" si="29"/>
        <v>0.72499999999999998</v>
      </c>
      <c r="I233" s="965">
        <f t="shared" si="30"/>
        <v>2.221111111111111</v>
      </c>
      <c r="J233" s="966" t="s">
        <v>253</v>
      </c>
      <c r="K233" s="967">
        <f>IF(G233="operation",VLOOKUP(J233,'Generic Vertical Port Tasks'!$C$4:$D$197,2,FALSE),"N/A")</f>
        <v>0.72499999999999998</v>
      </c>
      <c r="L233" s="611"/>
      <c r="M233" s="966"/>
      <c r="N233" s="968"/>
      <c r="O233" s="969" t="str">
        <f>IFERROR(INDEX('Upper Hot Cell Logistics'!$I$35:$O$41,MATCH($M233,'Upper Hot Cell Logistics'!$H$35:$H$41,0),MATCH($N233,'Upper Hot Cell Logistics'!$H$35:$H$41,0)),"N/A")</f>
        <v>N/A</v>
      </c>
      <c r="P233" s="970" t="str">
        <f>IFERROR(VLOOKUP($L233,'Upper Hot Cell Logistics'!$H$4:$I$10,2,FALSE),"N/A")</f>
        <v>N/A</v>
      </c>
      <c r="Q233" s="965" t="str">
        <f t="shared" si="28"/>
        <v>N/A</v>
      </c>
      <c r="R233" s="971"/>
      <c r="S233" s="969" t="str">
        <f>IF($F233="Logistics",VLOOKUP($Q233,'Upper Hot Cell Logistics'!$C$4:$D$44,2,FALSE),"N/A")</f>
        <v>N/A</v>
      </c>
      <c r="T233" s="3568"/>
      <c r="U233" s="972" t="str">
        <f>IFERROR(VLOOKUP($T233,'Upper HotCell RecoveryLogisitcs'!$C$226:$F$495,4,FALSE),"N/A")</f>
        <v>N/A</v>
      </c>
      <c r="V233" s="616" t="str">
        <f t="shared" si="31"/>
        <v>N/A</v>
      </c>
      <c r="W233" s="895"/>
      <c r="Y233" s="290"/>
      <c r="Z233" s="290"/>
      <c r="AA233" s="915"/>
      <c r="AB233" s="5"/>
      <c r="AC233" s="7"/>
      <c r="AD233" s="7"/>
      <c r="AE233" s="7"/>
      <c r="AF233" s="7"/>
      <c r="AG233" s="7"/>
      <c r="AH233" s="7"/>
    </row>
    <row r="234" spans="2:34" ht="15" customHeight="1" outlineLevel="2" x14ac:dyDescent="0.4">
      <c r="B234" s="1030"/>
      <c r="C234" s="5"/>
      <c r="D234" s="948" t="s">
        <v>1071</v>
      </c>
      <c r="E234" s="797" t="s">
        <v>811</v>
      </c>
      <c r="F234" s="798"/>
      <c r="G234" s="799" t="s">
        <v>778</v>
      </c>
      <c r="H234" s="456">
        <f t="shared" si="29"/>
        <v>0.20833333333333334</v>
      </c>
      <c r="I234" s="800">
        <f t="shared" si="30"/>
        <v>2.4294444444444445</v>
      </c>
      <c r="J234" s="566"/>
      <c r="K234" s="621" t="str">
        <f>IF(G234="operation",VLOOKUP(J234,'Generic Vertical Port Tasks'!$C$4:$D$197,2,FALSE),"N/A")</f>
        <v>N/A</v>
      </c>
      <c r="L234" s="568" t="s">
        <v>12</v>
      </c>
      <c r="M234" s="566" t="s">
        <v>816</v>
      </c>
      <c r="N234" s="801" t="s">
        <v>452</v>
      </c>
      <c r="O234" s="802">
        <f>IFERROR(INDEX('Upper Hot Cell Logistics'!$I$35:$O$41,MATCH($M234,'Upper Hot Cell Logistics'!$H$35:$H$41,0),MATCH($N234,'Upper Hot Cell Logistics'!$H$35:$H$41,0)),"N/A")</f>
        <v>15</v>
      </c>
      <c r="P234" s="570">
        <f>IFERROR(VLOOKUP($L234,'Upper Hot Cell Logistics'!$H$4:$I$10,2,FALSE),"N/A")</f>
        <v>0.02</v>
      </c>
      <c r="Q234" s="800">
        <f t="shared" si="28"/>
        <v>0.20833333333333334</v>
      </c>
      <c r="R234" s="803"/>
      <c r="S234" s="802" t="s">
        <v>263</v>
      </c>
      <c r="T234" s="454"/>
      <c r="U234" s="804" t="str">
        <f>IFERROR(VLOOKUP($T234,'Upper HotCell RecoveryLogisitcs'!$C$226:$F$495,4,FALSE),"N/A")</f>
        <v>N/A</v>
      </c>
      <c r="V234" s="621" t="str">
        <f t="shared" si="31"/>
        <v>N/A</v>
      </c>
      <c r="W234" s="895"/>
      <c r="Y234" s="290"/>
      <c r="Z234" s="290"/>
      <c r="AA234" s="915"/>
      <c r="AB234" s="5"/>
      <c r="AC234" s="7"/>
      <c r="AD234" s="7"/>
      <c r="AE234" s="7"/>
      <c r="AF234" s="7"/>
      <c r="AG234" s="7"/>
      <c r="AH234" s="7"/>
    </row>
    <row r="235" spans="2:34" ht="15" customHeight="1" outlineLevel="2" x14ac:dyDescent="0.4">
      <c r="B235" s="1030"/>
      <c r="C235" s="5"/>
      <c r="D235" s="973"/>
      <c r="E235" s="846" t="s">
        <v>21</v>
      </c>
      <c r="F235" s="847"/>
      <c r="G235" s="848" t="s">
        <v>251</v>
      </c>
      <c r="H235" s="464">
        <f t="shared" si="29"/>
        <v>6.83</v>
      </c>
      <c r="I235" s="849">
        <f t="shared" si="30"/>
        <v>9.2594444444444441</v>
      </c>
      <c r="J235" s="573" t="s">
        <v>252</v>
      </c>
      <c r="K235" s="850">
        <f>IF(G235="operation",VLOOKUP(J235,'Generic Vertical Port Tasks'!$C$4:$D$197,2,FALSE),"N/A")</f>
        <v>6.83</v>
      </c>
      <c r="L235" s="575"/>
      <c r="M235" s="573"/>
      <c r="N235" s="851"/>
      <c r="O235" s="852" t="str">
        <f>IFERROR(INDEX('Upper Hot Cell Logistics'!$I$35:$O$41,MATCH($M235,'Upper Hot Cell Logistics'!$H$35:$H$41,0),MATCH($N235,'Upper Hot Cell Logistics'!$H$35:$H$41,0)),"N/A")</f>
        <v>N/A</v>
      </c>
      <c r="P235" s="853" t="str">
        <f>IFERROR(VLOOKUP($L235,'Upper Hot Cell Logistics'!$H$4:$I$10,2,FALSE),"N/A")</f>
        <v>N/A</v>
      </c>
      <c r="Q235" s="849" t="str">
        <f t="shared" si="28"/>
        <v>N/A</v>
      </c>
      <c r="R235" s="854"/>
      <c r="S235" s="852" t="s">
        <v>263</v>
      </c>
      <c r="T235" s="462"/>
      <c r="U235" s="855" t="str">
        <f>IFERROR(VLOOKUP($T235,'Upper HotCell RecoveryLogisitcs'!$C$226:$F$495,4,FALSE),"N/A")</f>
        <v>N/A</v>
      </c>
      <c r="V235" s="580" t="str">
        <f t="shared" si="31"/>
        <v>N/A</v>
      </c>
      <c r="W235" s="895"/>
      <c r="Y235" s="290"/>
      <c r="Z235" s="290"/>
      <c r="AA235" s="915"/>
      <c r="AB235" s="290"/>
      <c r="AC235" s="290"/>
      <c r="AD235" s="290"/>
      <c r="AE235" s="7"/>
      <c r="AF235" s="7"/>
      <c r="AG235" s="7"/>
      <c r="AH235" s="7"/>
    </row>
    <row r="236" spans="2:34" ht="15" customHeight="1" outlineLevel="2" x14ac:dyDescent="0.4">
      <c r="B236" s="1030"/>
      <c r="C236" s="5"/>
      <c r="D236" s="973"/>
      <c r="E236" s="846" t="s">
        <v>820</v>
      </c>
      <c r="F236" s="847"/>
      <c r="G236" s="848" t="s">
        <v>778</v>
      </c>
      <c r="H236" s="464">
        <f t="shared" si="29"/>
        <v>2.0833333333333332E-2</v>
      </c>
      <c r="I236" s="849">
        <f t="shared" si="30"/>
        <v>9.2802777777777781</v>
      </c>
      <c r="J236" s="573"/>
      <c r="K236" s="850" t="str">
        <f>IF(G236="operation",VLOOKUP(J236,'Generic Vertical Port Tasks'!$C$4:$D$197,2,FALSE),"N/A")</f>
        <v>N/A</v>
      </c>
      <c r="L236" s="575" t="s">
        <v>798</v>
      </c>
      <c r="M236" s="573" t="s">
        <v>816</v>
      </c>
      <c r="N236" s="851" t="s">
        <v>452</v>
      </c>
      <c r="O236" s="852">
        <f>IFERROR(INDEX('Upper Hot Cell Logistics'!$I$35:$O$41,MATCH($M236,'Upper Hot Cell Logistics'!$H$35:$H$41,0),MATCH($N236,'Upper Hot Cell Logistics'!$H$35:$H$41,0)),"N/A")</f>
        <v>15</v>
      </c>
      <c r="P236" s="853">
        <f>IFERROR(VLOOKUP($L236,'Upper Hot Cell Logistics'!$H$4:$I$10,2,FALSE),"N/A")</f>
        <v>0.2</v>
      </c>
      <c r="Q236" s="849">
        <f t="shared" si="28"/>
        <v>2.0833333333333332E-2</v>
      </c>
      <c r="R236" s="854"/>
      <c r="S236" s="852" t="s">
        <v>263</v>
      </c>
      <c r="T236" s="462"/>
      <c r="U236" s="855" t="str">
        <f>IFERROR(VLOOKUP($T236,'Upper HotCell RecoveryLogisitcs'!$C$226:$F$495,4,FALSE),"N/A")</f>
        <v>N/A</v>
      </c>
      <c r="V236" s="580" t="str">
        <f t="shared" si="31"/>
        <v>N/A</v>
      </c>
      <c r="W236" s="895"/>
      <c r="Y236" s="290"/>
      <c r="Z236" s="290"/>
      <c r="AA236" s="915"/>
      <c r="AB236" s="290"/>
      <c r="AC236" s="290"/>
      <c r="AD236" s="290"/>
      <c r="AE236" s="7"/>
      <c r="AF236" s="7"/>
      <c r="AG236" s="7"/>
      <c r="AH236" s="7"/>
    </row>
    <row r="237" spans="2:34" ht="15.75" customHeight="1" outlineLevel="2" thickBot="1" x14ac:dyDescent="0.45">
      <c r="B237" s="1030"/>
      <c r="C237" s="5"/>
      <c r="D237" s="949"/>
      <c r="E237" s="807" t="s">
        <v>15</v>
      </c>
      <c r="F237" s="808"/>
      <c r="G237" s="809" t="s">
        <v>251</v>
      </c>
      <c r="H237" s="471">
        <f t="shared" si="29"/>
        <v>1.0499155317167692</v>
      </c>
      <c r="I237" s="810">
        <f t="shared" si="30"/>
        <v>10.330193309494547</v>
      </c>
      <c r="J237" s="584" t="s">
        <v>2491</v>
      </c>
      <c r="K237" s="811">
        <f>IF(G237="operation",VLOOKUP(J237,'Generic Vertical Port Tasks'!$C$4:$D$197,2,FALSE),"N/A")</f>
        <v>1.0499155317167692</v>
      </c>
      <c r="L237" s="586"/>
      <c r="M237" s="584"/>
      <c r="N237" s="812"/>
      <c r="O237" s="813" t="str">
        <f>IFERROR(INDEX('Upper Hot Cell Logistics'!$I$35:$O$41,MATCH($M237,'Upper Hot Cell Logistics'!$H$35:$H$41,0),MATCH($N237,'Upper Hot Cell Logistics'!$H$35:$H$41,0)),"N/A")</f>
        <v>N/A</v>
      </c>
      <c r="P237" s="814" t="str">
        <f>IFERROR(VLOOKUP($L237,'Upper Hot Cell Logistics'!$H$4:$I$10,2,FALSE),"N/A")</f>
        <v>N/A</v>
      </c>
      <c r="Q237" s="810" t="str">
        <f t="shared" si="28"/>
        <v>N/A</v>
      </c>
      <c r="R237" s="815"/>
      <c r="S237" s="813" t="s">
        <v>263</v>
      </c>
      <c r="T237" s="469"/>
      <c r="U237" s="816" t="str">
        <f>IFERROR(VLOOKUP($T237,'Upper HotCell RecoveryLogisitcs'!$C$226:$F$495,4,FALSE),"N/A")</f>
        <v>N/A</v>
      </c>
      <c r="V237" s="591" t="str">
        <f t="shared" si="31"/>
        <v>N/A</v>
      </c>
      <c r="W237" s="895"/>
      <c r="Y237" s="290"/>
      <c r="Z237" s="290"/>
      <c r="AA237" s="915"/>
      <c r="AB237" s="290"/>
      <c r="AC237" s="290"/>
      <c r="AD237" s="290"/>
      <c r="AE237" s="7"/>
      <c r="AF237" s="7"/>
      <c r="AG237" s="7"/>
      <c r="AH237" s="7"/>
    </row>
    <row r="238" spans="2:34" ht="15" customHeight="1" outlineLevel="2" x14ac:dyDescent="0.4">
      <c r="B238" s="1030"/>
      <c r="C238" s="5"/>
      <c r="D238" s="950" t="s">
        <v>1072</v>
      </c>
      <c r="E238" s="951" t="s">
        <v>797</v>
      </c>
      <c r="F238" s="952"/>
      <c r="G238" s="953" t="s">
        <v>778</v>
      </c>
      <c r="H238" s="954">
        <f t="shared" si="29"/>
        <v>6.9444444444444448E-2</v>
      </c>
      <c r="I238" s="955">
        <f t="shared" si="30"/>
        <v>10.399637753938991</v>
      </c>
      <c r="J238" s="592"/>
      <c r="K238" s="600" t="str">
        <f>IF(G238="operation",VLOOKUP(J238,'Generic Vertical Port Tasks'!$C$4:$D$197,2,FALSE),"N/A")</f>
        <v>N/A</v>
      </c>
      <c r="L238" s="594" t="s">
        <v>798</v>
      </c>
      <c r="M238" s="592" t="s">
        <v>831</v>
      </c>
      <c r="N238" s="956" t="s">
        <v>452</v>
      </c>
      <c r="O238" s="957">
        <f>IFERROR(INDEX('Upper Hot Cell Logistics'!$I$35:$O$41,MATCH($M238,'Upper Hot Cell Logistics'!$H$35:$H$41,0),MATCH($N238,'Upper Hot Cell Logistics'!$H$35:$H$41,0)),"N/A")</f>
        <v>50</v>
      </c>
      <c r="P238" s="958">
        <f>IFERROR(VLOOKUP($L238,'Upper Hot Cell Logistics'!$H$4:$I$10,2,FALSE),"N/A")</f>
        <v>0.2</v>
      </c>
      <c r="Q238" s="955">
        <f t="shared" si="28"/>
        <v>6.9444444444444448E-2</v>
      </c>
      <c r="R238" s="959"/>
      <c r="S238" s="957" t="s">
        <v>263</v>
      </c>
      <c r="T238" s="3603" t="s">
        <v>1105</v>
      </c>
      <c r="U238" s="960" t="str">
        <f>IFERROR(VLOOKUP($T238,'Upper HotCell RecoveryLogisitcs'!$C$226:$F$495,4,FALSE),"N/A")</f>
        <v>N/A</v>
      </c>
      <c r="V238" s="600" t="str">
        <f t="shared" si="31"/>
        <v>N/A</v>
      </c>
      <c r="W238" s="895"/>
      <c r="Y238" s="290"/>
      <c r="Z238" s="290"/>
      <c r="AA238" s="915"/>
      <c r="AB238" s="290"/>
      <c r="AC238" s="290"/>
      <c r="AD238" s="290"/>
      <c r="AE238" s="7"/>
      <c r="AF238" s="7"/>
      <c r="AG238" s="7"/>
      <c r="AH238" s="7"/>
    </row>
    <row r="239" spans="2:34" ht="15.75" customHeight="1" outlineLevel="2" thickBot="1" x14ac:dyDescent="0.45">
      <c r="B239" s="1030"/>
      <c r="C239" s="5"/>
      <c r="D239" s="961"/>
      <c r="E239" s="962" t="s">
        <v>129</v>
      </c>
      <c r="F239" s="963"/>
      <c r="G239" s="964" t="s">
        <v>251</v>
      </c>
      <c r="H239" s="368">
        <f t="shared" si="29"/>
        <v>0.72499999999999998</v>
      </c>
      <c r="I239" s="965">
        <f t="shared" si="30"/>
        <v>11.124637753938991</v>
      </c>
      <c r="J239" s="966" t="s">
        <v>253</v>
      </c>
      <c r="K239" s="967">
        <f>IF(G239="operation",VLOOKUP(J239,'Generic Vertical Port Tasks'!$C$4:$D$197,2,FALSE),"N/A")</f>
        <v>0.72499999999999998</v>
      </c>
      <c r="L239" s="611"/>
      <c r="M239" s="966"/>
      <c r="N239" s="968"/>
      <c r="O239" s="969" t="str">
        <f>IFERROR(INDEX('Upper Hot Cell Logistics'!$I$35:$O$41,MATCH($M239,'Upper Hot Cell Logistics'!$H$35:$H$41,0),MATCH($N239,'Upper Hot Cell Logistics'!$H$35:$H$41,0)),"N/A")</f>
        <v>N/A</v>
      </c>
      <c r="P239" s="970" t="str">
        <f>IFERROR(VLOOKUP($L239,'Upper Hot Cell Logistics'!$H$4:$I$10,2,FALSE),"N/A")</f>
        <v>N/A</v>
      </c>
      <c r="Q239" s="965" t="str">
        <f t="shared" si="28"/>
        <v>N/A</v>
      </c>
      <c r="R239" s="971"/>
      <c r="S239" s="969" t="s">
        <v>263</v>
      </c>
      <c r="T239" s="3568"/>
      <c r="U239" s="972" t="str">
        <f>IFERROR(VLOOKUP($T239,'Upper HotCell RecoveryLogisitcs'!$C$226:$F$495,4,FALSE),"N/A")</f>
        <v>N/A</v>
      </c>
      <c r="V239" s="616" t="str">
        <f t="shared" si="31"/>
        <v>N/A</v>
      </c>
      <c r="W239" s="895"/>
      <c r="Y239" s="290"/>
      <c r="Z239" s="290"/>
      <c r="AA239" s="915"/>
      <c r="AB239" s="290"/>
      <c r="AC239" s="290"/>
      <c r="AD239" s="290"/>
      <c r="AE239" s="7"/>
      <c r="AF239" s="7"/>
      <c r="AG239" s="7"/>
      <c r="AH239" s="7"/>
    </row>
    <row r="240" spans="2:34" ht="15" customHeight="1" outlineLevel="2" x14ac:dyDescent="0.4">
      <c r="B240" s="1030"/>
      <c r="C240" s="5"/>
      <c r="D240" s="948" t="s">
        <v>1073</v>
      </c>
      <c r="E240" s="797" t="s">
        <v>811</v>
      </c>
      <c r="F240" s="798"/>
      <c r="G240" s="799" t="s">
        <v>778</v>
      </c>
      <c r="H240" s="456">
        <f t="shared" si="29"/>
        <v>0.20833333333333334</v>
      </c>
      <c r="I240" s="800">
        <f t="shared" si="30"/>
        <v>11.332971087272325</v>
      </c>
      <c r="J240" s="566"/>
      <c r="K240" s="621" t="str">
        <f>IF(G240="operation",VLOOKUP(J240,'Generic Vertical Port Tasks'!$C$4:$D$197,2,FALSE),"N/A")</f>
        <v>N/A</v>
      </c>
      <c r="L240" s="568" t="s">
        <v>12</v>
      </c>
      <c r="M240" s="566" t="s">
        <v>816</v>
      </c>
      <c r="N240" s="801" t="s">
        <v>452</v>
      </c>
      <c r="O240" s="802">
        <f>IFERROR(INDEX('Upper Hot Cell Logistics'!$I$35:$O$41,MATCH($M240,'Upper Hot Cell Logistics'!$H$35:$H$41,0),MATCH($N240,'Upper Hot Cell Logistics'!$H$35:$H$41,0)),"N/A")</f>
        <v>15</v>
      </c>
      <c r="P240" s="570">
        <f>IFERROR(VLOOKUP($L240,'Upper Hot Cell Logistics'!$H$4:$I$10,2,FALSE),"N/A")</f>
        <v>0.02</v>
      </c>
      <c r="Q240" s="800">
        <f t="shared" si="28"/>
        <v>0.20833333333333334</v>
      </c>
      <c r="R240" s="803"/>
      <c r="S240" s="802" t="s">
        <v>263</v>
      </c>
      <c r="T240" s="454"/>
      <c r="U240" s="804" t="str">
        <f>IFERROR(VLOOKUP($T240,'Upper HotCell RecoveryLogisitcs'!$C$226:$F$495,4,FALSE),"N/A")</f>
        <v>N/A</v>
      </c>
      <c r="V240" s="621" t="str">
        <f t="shared" si="31"/>
        <v>N/A</v>
      </c>
      <c r="W240" s="895"/>
      <c r="Y240" s="290"/>
      <c r="Z240" s="290"/>
      <c r="AA240" s="915"/>
      <c r="AB240" s="290"/>
      <c r="AC240" s="290"/>
      <c r="AD240" s="290"/>
      <c r="AE240" s="7"/>
      <c r="AF240" s="7"/>
      <c r="AG240" s="7"/>
      <c r="AH240" s="7"/>
    </row>
    <row r="241" spans="2:34" ht="15" customHeight="1" outlineLevel="2" x14ac:dyDescent="0.4">
      <c r="B241" s="1030"/>
      <c r="C241" s="5"/>
      <c r="D241" s="973"/>
      <c r="E241" s="846" t="s">
        <v>22</v>
      </c>
      <c r="F241" s="847"/>
      <c r="G241" s="848" t="s">
        <v>251</v>
      </c>
      <c r="H241" s="464">
        <f t="shared" si="29"/>
        <v>6.83</v>
      </c>
      <c r="I241" s="849">
        <f t="shared" si="30"/>
        <v>18.162971087272325</v>
      </c>
      <c r="J241" s="573" t="s">
        <v>252</v>
      </c>
      <c r="K241" s="850">
        <f>IF(G241="operation",VLOOKUP(J241,'Generic Vertical Port Tasks'!$C$4:$D$197,2,FALSE),"N/A")</f>
        <v>6.83</v>
      </c>
      <c r="L241" s="575"/>
      <c r="M241" s="573"/>
      <c r="N241" s="851"/>
      <c r="O241" s="852" t="str">
        <f>IFERROR(INDEX('Upper Hot Cell Logistics'!$I$35:$O$41,MATCH($M241,'Upper Hot Cell Logistics'!$H$35:$H$41,0),MATCH($N241,'Upper Hot Cell Logistics'!$H$35:$H$41,0)),"N/A")</f>
        <v>N/A</v>
      </c>
      <c r="P241" s="853" t="str">
        <f>IFERROR(VLOOKUP($L241,'Upper Hot Cell Logistics'!$H$4:$I$10,2,FALSE),"N/A")</f>
        <v>N/A</v>
      </c>
      <c r="Q241" s="849" t="str">
        <f t="shared" si="28"/>
        <v>N/A</v>
      </c>
      <c r="R241" s="854"/>
      <c r="S241" s="852" t="s">
        <v>263</v>
      </c>
      <c r="T241" s="462"/>
      <c r="U241" s="855" t="str">
        <f>IFERROR(VLOOKUP($T241,'Upper HotCell RecoveryLogisitcs'!$C$226:$F$495,4,FALSE),"N/A")</f>
        <v>N/A</v>
      </c>
      <c r="V241" s="580" t="str">
        <f t="shared" si="31"/>
        <v>N/A</v>
      </c>
      <c r="W241" s="895"/>
      <c r="Y241" s="290"/>
      <c r="Z241" s="290"/>
      <c r="AA241" s="915"/>
      <c r="AB241" s="290"/>
      <c r="AC241" s="290"/>
      <c r="AD241" s="290"/>
      <c r="AE241" s="7"/>
      <c r="AF241" s="7"/>
      <c r="AG241" s="7"/>
      <c r="AH241" s="7"/>
    </row>
    <row r="242" spans="2:34" ht="15" customHeight="1" outlineLevel="2" x14ac:dyDescent="0.4">
      <c r="B242" s="1030"/>
      <c r="C242" s="5"/>
      <c r="D242" s="973"/>
      <c r="E242" s="846" t="s">
        <v>820</v>
      </c>
      <c r="F242" s="847"/>
      <c r="G242" s="848" t="s">
        <v>778</v>
      </c>
      <c r="H242" s="464">
        <f t="shared" si="29"/>
        <v>2.0833333333333332E-2</v>
      </c>
      <c r="I242" s="849">
        <f t="shared" si="30"/>
        <v>18.183804420605657</v>
      </c>
      <c r="J242" s="573"/>
      <c r="K242" s="850" t="str">
        <f>IF(G242="operation",VLOOKUP(J242,'Generic Vertical Port Tasks'!$C$4:$D$197,2,FALSE),"N/A")</f>
        <v>N/A</v>
      </c>
      <c r="L242" s="575" t="s">
        <v>798</v>
      </c>
      <c r="M242" s="573" t="s">
        <v>816</v>
      </c>
      <c r="N242" s="851" t="s">
        <v>452</v>
      </c>
      <c r="O242" s="852">
        <f>IFERROR(INDEX('Upper Hot Cell Logistics'!$I$35:$O$41,MATCH($M242,'Upper Hot Cell Logistics'!$H$35:$H$41,0),MATCH($N242,'Upper Hot Cell Logistics'!$H$35:$H$41,0)),"N/A")</f>
        <v>15</v>
      </c>
      <c r="P242" s="853">
        <f>IFERROR(VLOOKUP($L242,'Upper Hot Cell Logistics'!$H$4:$I$10,2,FALSE),"N/A")</f>
        <v>0.2</v>
      </c>
      <c r="Q242" s="849">
        <f t="shared" si="28"/>
        <v>2.0833333333333332E-2</v>
      </c>
      <c r="R242" s="854"/>
      <c r="S242" s="852" t="s">
        <v>263</v>
      </c>
      <c r="T242" s="462"/>
      <c r="U242" s="855" t="str">
        <f>IFERROR(VLOOKUP($T242,'Upper HotCell RecoveryLogisitcs'!$C$226:$F$495,4,FALSE),"N/A")</f>
        <v>N/A</v>
      </c>
      <c r="V242" s="580" t="str">
        <f t="shared" si="31"/>
        <v>N/A</v>
      </c>
      <c r="W242" s="895"/>
      <c r="Y242" s="290"/>
      <c r="Z242" s="290"/>
      <c r="AA242" s="915"/>
      <c r="AB242" s="290"/>
      <c r="AC242" s="290"/>
      <c r="AD242" s="290"/>
      <c r="AE242" s="7"/>
      <c r="AF242" s="7"/>
      <c r="AG242" s="7"/>
      <c r="AH242" s="7"/>
    </row>
    <row r="243" spans="2:34" ht="15.75" customHeight="1" outlineLevel="2" thickBot="1" x14ac:dyDescent="0.45">
      <c r="B243" s="1030"/>
      <c r="C243" s="5"/>
      <c r="D243" s="949"/>
      <c r="E243" s="807" t="s">
        <v>14</v>
      </c>
      <c r="F243" s="808"/>
      <c r="G243" s="809" t="s">
        <v>251</v>
      </c>
      <c r="H243" s="471">
        <f t="shared" si="29"/>
        <v>1.0499155317167692</v>
      </c>
      <c r="I243" s="810">
        <f t="shared" si="30"/>
        <v>19.233719952322428</v>
      </c>
      <c r="J243" s="584" t="s">
        <v>2491</v>
      </c>
      <c r="K243" s="811">
        <f>IF(G243="operation",VLOOKUP(J243,'Generic Vertical Port Tasks'!$C$4:$D$197,2,FALSE),"N/A")</f>
        <v>1.0499155317167692</v>
      </c>
      <c r="L243" s="586"/>
      <c r="M243" s="584"/>
      <c r="N243" s="812"/>
      <c r="O243" s="813" t="str">
        <f>IFERROR(INDEX('Upper Hot Cell Logistics'!$I$35:$O$41,MATCH($M243,'Upper Hot Cell Logistics'!$H$35:$H$41,0),MATCH($N243,'Upper Hot Cell Logistics'!$H$35:$H$41,0)),"N/A")</f>
        <v>N/A</v>
      </c>
      <c r="P243" s="814" t="str">
        <f>IFERROR(VLOOKUP($L243,'Upper Hot Cell Logistics'!$H$4:$I$10,2,FALSE),"N/A")</f>
        <v>N/A</v>
      </c>
      <c r="Q243" s="810" t="str">
        <f t="shared" si="28"/>
        <v>N/A</v>
      </c>
      <c r="R243" s="815"/>
      <c r="S243" s="813" t="s">
        <v>263</v>
      </c>
      <c r="T243" s="469"/>
      <c r="U243" s="816" t="str">
        <f>IFERROR(VLOOKUP($T243,'Upper HotCell RecoveryLogisitcs'!$C$226:$F$495,4,FALSE),"N/A")</f>
        <v>N/A</v>
      </c>
      <c r="V243" s="591" t="str">
        <f t="shared" si="31"/>
        <v>N/A</v>
      </c>
      <c r="W243" s="895"/>
      <c r="Y243" s="290"/>
      <c r="Z243" s="290"/>
      <c r="AA243" s="915"/>
      <c r="AB243" s="290"/>
      <c r="AC243" s="290"/>
      <c r="AD243" s="290"/>
      <c r="AE243" s="7"/>
      <c r="AF243" s="7"/>
      <c r="AG243" s="7"/>
      <c r="AH243" s="7"/>
    </row>
    <row r="244" spans="2:34" ht="15" customHeight="1" outlineLevel="2" x14ac:dyDescent="0.4">
      <c r="B244" s="1030"/>
      <c r="C244" s="5"/>
      <c r="D244" s="950" t="s">
        <v>1074</v>
      </c>
      <c r="E244" s="951" t="s">
        <v>797</v>
      </c>
      <c r="F244" s="952"/>
      <c r="G244" s="953" t="s">
        <v>778</v>
      </c>
      <c r="H244" s="954">
        <f t="shared" si="29"/>
        <v>6.9444444444444448E-2</v>
      </c>
      <c r="I244" s="955">
        <f t="shared" si="30"/>
        <v>19.303164396766871</v>
      </c>
      <c r="J244" s="592"/>
      <c r="K244" s="600" t="str">
        <f>IF(G244="operation",VLOOKUP(J244,'Generic Vertical Port Tasks'!$C$4:$D$197,2,FALSE),"N/A")</f>
        <v>N/A</v>
      </c>
      <c r="L244" s="594" t="s">
        <v>798</v>
      </c>
      <c r="M244" s="592" t="s">
        <v>831</v>
      </c>
      <c r="N244" s="956" t="s">
        <v>452</v>
      </c>
      <c r="O244" s="957">
        <f>IFERROR(INDEX('Upper Hot Cell Logistics'!$I$35:$O$41,MATCH($M244,'Upper Hot Cell Logistics'!$H$35:$H$41,0),MATCH($N244,'Upper Hot Cell Logistics'!$H$35:$H$41,0)),"N/A")</f>
        <v>50</v>
      </c>
      <c r="P244" s="958">
        <f>IFERROR(VLOOKUP($L244,'Upper Hot Cell Logistics'!$H$4:$I$10,2,FALSE),"N/A")</f>
        <v>0.2</v>
      </c>
      <c r="Q244" s="955">
        <f t="shared" si="28"/>
        <v>6.9444444444444448E-2</v>
      </c>
      <c r="R244" s="959"/>
      <c r="S244" s="957" t="s">
        <v>263</v>
      </c>
      <c r="T244" s="3603" t="s">
        <v>1106</v>
      </c>
      <c r="U244" s="960" t="str">
        <f>IFERROR(VLOOKUP($T244,'Upper HotCell RecoveryLogisitcs'!$C$226:$F$495,4,FALSE),"N/A")</f>
        <v>N/A</v>
      </c>
      <c r="V244" s="600" t="str">
        <f t="shared" si="31"/>
        <v>N/A</v>
      </c>
      <c r="W244" s="895"/>
      <c r="Y244" s="290"/>
      <c r="Z244" s="290"/>
      <c r="AA244" s="915"/>
      <c r="AB244" s="290"/>
      <c r="AC244" s="290"/>
      <c r="AD244" s="290"/>
      <c r="AE244" s="7"/>
      <c r="AF244" s="7"/>
      <c r="AG244" s="7"/>
      <c r="AH244" s="7"/>
    </row>
    <row r="245" spans="2:34" ht="15.75" customHeight="1" outlineLevel="2" thickBot="1" x14ac:dyDescent="0.45">
      <c r="B245" s="1030"/>
      <c r="C245" s="5"/>
      <c r="D245" s="961"/>
      <c r="E245" s="962" t="s">
        <v>131</v>
      </c>
      <c r="F245" s="963"/>
      <c r="G245" s="964" t="s">
        <v>251</v>
      </c>
      <c r="H245" s="368">
        <f t="shared" si="29"/>
        <v>0.72499999999999998</v>
      </c>
      <c r="I245" s="965">
        <f t="shared" si="30"/>
        <v>20.028164396766872</v>
      </c>
      <c r="J245" s="966" t="s">
        <v>253</v>
      </c>
      <c r="K245" s="967">
        <f>IF(G245="operation",VLOOKUP(J245,'Generic Vertical Port Tasks'!$C$4:$D$197,2,FALSE),"N/A")</f>
        <v>0.72499999999999998</v>
      </c>
      <c r="L245" s="611"/>
      <c r="M245" s="966"/>
      <c r="N245" s="968"/>
      <c r="O245" s="969" t="str">
        <f>IFERROR(INDEX('Upper Hot Cell Logistics'!$I$35:$O$41,MATCH($M245,'Upper Hot Cell Logistics'!$H$35:$H$41,0),MATCH($N245,'Upper Hot Cell Logistics'!$H$35:$H$41,0)),"N/A")</f>
        <v>N/A</v>
      </c>
      <c r="P245" s="970" t="str">
        <f>IFERROR(VLOOKUP($L245,'Upper Hot Cell Logistics'!$H$4:$I$10,2,FALSE),"N/A")</f>
        <v>N/A</v>
      </c>
      <c r="Q245" s="965" t="str">
        <f t="shared" si="28"/>
        <v>N/A</v>
      </c>
      <c r="R245" s="971"/>
      <c r="S245" s="969" t="s">
        <v>263</v>
      </c>
      <c r="T245" s="3568"/>
      <c r="U245" s="972" t="str">
        <f>IFERROR(VLOOKUP($T245,'Upper HotCell RecoveryLogisitcs'!$C$226:$F$495,4,FALSE),"N/A")</f>
        <v>N/A</v>
      </c>
      <c r="V245" s="616" t="str">
        <f t="shared" si="31"/>
        <v>N/A</v>
      </c>
      <c r="W245" s="895"/>
      <c r="Y245" s="290"/>
      <c r="Z245" s="290"/>
      <c r="AA245" s="915"/>
      <c r="AB245" s="290"/>
      <c r="AC245" s="290"/>
      <c r="AD245" s="290"/>
      <c r="AE245" s="7"/>
      <c r="AF245" s="7"/>
      <c r="AG245" s="7"/>
      <c r="AH245" s="7"/>
    </row>
    <row r="246" spans="2:34" ht="30" customHeight="1" outlineLevel="2" x14ac:dyDescent="0.4">
      <c r="B246" s="1030"/>
      <c r="C246" s="5"/>
      <c r="D246" s="948" t="s">
        <v>1107</v>
      </c>
      <c r="E246" s="847" t="s">
        <v>1076</v>
      </c>
      <c r="F246" s="847"/>
      <c r="G246" s="848" t="s">
        <v>778</v>
      </c>
      <c r="H246" s="459">
        <f t="shared" si="29"/>
        <v>6.9444444444444448E-2</v>
      </c>
      <c r="I246" s="849">
        <f t="shared" si="30"/>
        <v>21.371497730100202</v>
      </c>
      <c r="J246" s="573"/>
      <c r="K246" s="850" t="str">
        <f>IF(G246="operation",VLOOKUP(J246,'Generic Vertical Port Tasks'!$C$4:$D$197,2,FALSE),"N/A")</f>
        <v>N/A</v>
      </c>
      <c r="L246" s="575" t="s">
        <v>798</v>
      </c>
      <c r="M246" s="573" t="s">
        <v>799</v>
      </c>
      <c r="N246" s="851" t="s">
        <v>452</v>
      </c>
      <c r="O246" s="852">
        <f>IFERROR(INDEX('Upper Hot Cell Logistics'!$I$35:$O$41,MATCH($M246,'Upper Hot Cell Logistics'!$H$35:$H$41,0),MATCH($N246,'Upper Hot Cell Logistics'!$H$35:$H$41,0)),"N/A")</f>
        <v>50</v>
      </c>
      <c r="P246" s="853">
        <f>IFERROR(VLOOKUP($L246,'Upper Hot Cell Logistics'!$H$4:$I$10,2,FALSE),"N/A")</f>
        <v>0.2</v>
      </c>
      <c r="Q246" s="849">
        <f t="shared" si="28"/>
        <v>6.9444444444444448E-2</v>
      </c>
      <c r="R246" s="854"/>
      <c r="S246" s="852" t="str">
        <f>IF($G246="Logistics",VLOOKUP($R246,'Upper Hot Cell Logistics'!$C$4:$D$44,2,FALSE),"N/A")</f>
        <v>N/A</v>
      </c>
      <c r="T246" s="462" t="s">
        <v>1077</v>
      </c>
      <c r="U246" s="855">
        <f>IFERROR(VLOOKUP($T246,'Upper HotCell RecoveryLogisitcs'!$C$226:$F$495,4,FALSE),"N/A")</f>
        <v>21.302053285655759</v>
      </c>
      <c r="V246" s="580">
        <f t="shared" si="31"/>
        <v>-1.2738888888888873</v>
      </c>
      <c r="W246" s="895"/>
      <c r="Y246" s="290"/>
      <c r="Z246" s="290"/>
      <c r="AA246" s="915"/>
      <c r="AB246" s="290"/>
      <c r="AC246" s="290"/>
      <c r="AD246" s="290"/>
      <c r="AE246" s="7"/>
      <c r="AF246" s="7"/>
      <c r="AG246" s="7"/>
      <c r="AH246" s="7"/>
    </row>
    <row r="247" spans="2:34" ht="15" customHeight="1" outlineLevel="2" x14ac:dyDescent="0.4">
      <c r="B247" s="1030"/>
      <c r="C247" s="5"/>
      <c r="D247" s="973"/>
      <c r="E247" s="847" t="s">
        <v>122</v>
      </c>
      <c r="F247" s="847"/>
      <c r="G247" s="848" t="s">
        <v>251</v>
      </c>
      <c r="H247" s="459">
        <f t="shared" si="29"/>
        <v>5.74</v>
      </c>
      <c r="I247" s="849">
        <f t="shared" si="30"/>
        <v>27.111497730100204</v>
      </c>
      <c r="J247" s="573" t="s">
        <v>254</v>
      </c>
      <c r="K247" s="850">
        <f>IF(G247="operation",VLOOKUP(J247,'Generic Vertical Port Tasks'!$C$4:$D$197,2,FALSE),"N/A")</f>
        <v>5.74</v>
      </c>
      <c r="L247" s="575"/>
      <c r="M247" s="573"/>
      <c r="N247" s="851"/>
      <c r="O247" s="852" t="str">
        <f>IFERROR(INDEX('Upper Hot Cell Logistics'!$I$35:$O$41,MATCH($M247,'Upper Hot Cell Logistics'!$H$35:$H$41,0),MATCH($N247,'Upper Hot Cell Logistics'!$H$35:$H$41,0)),"N/A")</f>
        <v>N/A</v>
      </c>
      <c r="P247" s="853" t="str">
        <f>IFERROR(VLOOKUP($L247,'Upper Hot Cell Logistics'!$H$4:$I$10,2,FALSE),"N/A")</f>
        <v>N/A</v>
      </c>
      <c r="Q247" s="849" t="str">
        <f t="shared" si="28"/>
        <v>N/A</v>
      </c>
      <c r="R247" s="854"/>
      <c r="S247" s="852" t="str">
        <f>IF($G247="Logistics",VLOOKUP($R247,'Upper Hot Cell Logistics'!$C$4:$D$44,2,FALSE),"N/A")</f>
        <v>N/A</v>
      </c>
      <c r="T247" s="462"/>
      <c r="U247" s="855" t="str">
        <f>IFERROR(VLOOKUP($T247,'Upper HotCell RecoveryLogisitcs'!$C$226:$F$495,4,FALSE),"N/A")</f>
        <v>N/A</v>
      </c>
      <c r="V247" s="580" t="str">
        <f t="shared" si="31"/>
        <v>N/A</v>
      </c>
      <c r="W247" s="895"/>
      <c r="Y247" s="290"/>
      <c r="Z247" s="290"/>
      <c r="AA247" s="915"/>
      <c r="AB247" s="5"/>
      <c r="AC247" s="7"/>
      <c r="AD247" s="7"/>
      <c r="AE247" s="7"/>
      <c r="AF247" s="7"/>
      <c r="AG247" s="7"/>
      <c r="AH247" s="7"/>
    </row>
    <row r="248" spans="2:34" ht="25.5" customHeight="1" outlineLevel="2" x14ac:dyDescent="0.4">
      <c r="B248" s="1030"/>
      <c r="C248" s="5"/>
      <c r="D248" s="973"/>
      <c r="E248" s="847" t="s">
        <v>797</v>
      </c>
      <c r="F248" s="847"/>
      <c r="G248" s="848" t="s">
        <v>778</v>
      </c>
      <c r="H248" s="459">
        <f t="shared" si="29"/>
        <v>6.9444444444444448E-2</v>
      </c>
      <c r="I248" s="849">
        <f t="shared" si="30"/>
        <v>27.180942174544647</v>
      </c>
      <c r="J248" s="573"/>
      <c r="K248" s="850" t="str">
        <f>IF(G248="operation",VLOOKUP(J248,'Generic Vertical Port Tasks'!$C$4:$D$197,2,FALSE),"N/A")</f>
        <v>N/A</v>
      </c>
      <c r="L248" s="575" t="s">
        <v>798</v>
      </c>
      <c r="M248" s="573" t="s">
        <v>799</v>
      </c>
      <c r="N248" s="851" t="s">
        <v>452</v>
      </c>
      <c r="O248" s="852">
        <f>IFERROR(INDEX('Upper Hot Cell Logistics'!$I$35:$O$41,MATCH($M248,'Upper Hot Cell Logistics'!$H$35:$H$41,0),MATCH($N248,'Upper Hot Cell Logistics'!$H$35:$H$41,0)),"N/A")</f>
        <v>50</v>
      </c>
      <c r="P248" s="853">
        <f>IFERROR(VLOOKUP($L248,'Upper Hot Cell Logistics'!$H$4:$I$10,2,FALSE),"N/A")</f>
        <v>0.2</v>
      </c>
      <c r="Q248" s="849">
        <f t="shared" si="28"/>
        <v>6.9444444444444448E-2</v>
      </c>
      <c r="R248" s="854"/>
      <c r="S248" s="852" t="str">
        <f>IF($E248="Logistics",VLOOKUP($P248,'Upper Hot Cell Logistics'!$C$4:$D$44,2,FALSE),"N/A")</f>
        <v>N/A</v>
      </c>
      <c r="T248" s="462" t="s">
        <v>1079</v>
      </c>
      <c r="U248" s="855">
        <f>IFERROR(VLOOKUP($T248,'Upper HotCell RecoveryLogisitcs'!$C$226:$F$495,4,FALSE),"N/A")</f>
        <v>22.687608841211315</v>
      </c>
      <c r="V248" s="580">
        <f t="shared" si="31"/>
        <v>4.4238888888888894</v>
      </c>
      <c r="W248" s="895"/>
      <c r="Y248" s="290"/>
      <c r="Z248" s="290"/>
      <c r="AA248" s="915"/>
      <c r="AB248" s="5"/>
      <c r="AC248" s="7"/>
      <c r="AD248" s="7"/>
      <c r="AE248" s="7"/>
      <c r="AF248" s="7"/>
      <c r="AG248" s="7"/>
      <c r="AH248" s="7"/>
    </row>
    <row r="249" spans="2:34" ht="15" customHeight="1" outlineLevel="2" x14ac:dyDescent="0.4">
      <c r="B249" s="1030"/>
      <c r="C249" s="5"/>
      <c r="D249" s="973"/>
      <c r="E249" s="847" t="s">
        <v>135</v>
      </c>
      <c r="F249" s="847"/>
      <c r="G249" s="848" t="s">
        <v>251</v>
      </c>
      <c r="H249" s="459">
        <f t="shared" si="29"/>
        <v>5.74</v>
      </c>
      <c r="I249" s="849">
        <f t="shared" si="30"/>
        <v>32.920942174544649</v>
      </c>
      <c r="J249" s="573" t="s">
        <v>254</v>
      </c>
      <c r="K249" s="850">
        <f>IF(G249="operation",VLOOKUP(J249,'Generic Vertical Port Tasks'!$C$4:$D$197,2,FALSE),"N/A")</f>
        <v>5.74</v>
      </c>
      <c r="L249" s="575"/>
      <c r="M249" s="573"/>
      <c r="N249" s="851"/>
      <c r="O249" s="852" t="str">
        <f>IFERROR(INDEX('Upper Hot Cell Logistics'!$I$35:$O$41,MATCH($M249,'Upper Hot Cell Logistics'!$H$35:$H$41,0),MATCH($N249,'Upper Hot Cell Logistics'!$H$35:$H$41,0)),"N/A")</f>
        <v>N/A</v>
      </c>
      <c r="P249" s="853" t="str">
        <f>IFERROR(VLOOKUP($L249,'Upper Hot Cell Logistics'!$H$4:$I$10,2,FALSE),"N/A")</f>
        <v>N/A</v>
      </c>
      <c r="Q249" s="849" t="str">
        <f t="shared" si="28"/>
        <v>N/A</v>
      </c>
      <c r="R249" s="854"/>
      <c r="S249" s="852" t="str">
        <f>IF($E249="Logistics",VLOOKUP($P249,'Upper Hot Cell Logistics'!$C$4:$D$44,2,FALSE),"N/A")</f>
        <v>N/A</v>
      </c>
      <c r="T249" s="462"/>
      <c r="U249" s="855" t="str">
        <f>IFERROR(VLOOKUP($T249,'Upper HotCell RecoveryLogisitcs'!$C$226:$F$495,4,FALSE),"N/A")</f>
        <v>N/A</v>
      </c>
      <c r="V249" s="580" t="str">
        <f t="shared" si="31"/>
        <v>N/A</v>
      </c>
      <c r="W249" s="895"/>
      <c r="Y249" s="290"/>
      <c r="Z249" s="290"/>
      <c r="AA249" s="915"/>
      <c r="AB249" s="5"/>
      <c r="AC249" s="7"/>
      <c r="AD249" s="7"/>
      <c r="AE249" s="7"/>
      <c r="AF249" s="7"/>
      <c r="AG249" s="7"/>
      <c r="AH249" s="7"/>
    </row>
    <row r="250" spans="2:34" ht="15" customHeight="1" outlineLevel="2" x14ac:dyDescent="0.4">
      <c r="B250" s="1030"/>
      <c r="C250" s="5"/>
      <c r="D250" s="973"/>
      <c r="E250" s="847" t="s">
        <v>820</v>
      </c>
      <c r="F250" s="847"/>
      <c r="G250" s="848" t="s">
        <v>778</v>
      </c>
      <c r="H250" s="459">
        <f t="shared" si="29"/>
        <v>6.9444444444444448E-2</v>
      </c>
      <c r="I250" s="849">
        <f t="shared" si="30"/>
        <v>32.990386618989092</v>
      </c>
      <c r="J250" s="573"/>
      <c r="K250" s="850" t="str">
        <f>IF(G250="operation",VLOOKUP(J250,'Generic Vertical Port Tasks'!$C$4:$D$197,2,FALSE),"N/A")</f>
        <v>N/A</v>
      </c>
      <c r="L250" s="575" t="s">
        <v>798</v>
      </c>
      <c r="M250" s="573" t="s">
        <v>831</v>
      </c>
      <c r="N250" s="851" t="s">
        <v>452</v>
      </c>
      <c r="O250" s="852">
        <f>IFERROR(INDEX('Upper Hot Cell Logistics'!$I$35:$O$41,MATCH($M250,'Upper Hot Cell Logistics'!$H$35:$H$41,0),MATCH($N250,'Upper Hot Cell Logistics'!$H$35:$H$41,0)),"N/A")</f>
        <v>50</v>
      </c>
      <c r="P250" s="853">
        <f>IFERROR(VLOOKUP($L250,'Upper Hot Cell Logistics'!$H$4:$I$10,2,FALSE),"N/A")</f>
        <v>0.2</v>
      </c>
      <c r="Q250" s="849">
        <f t="shared" si="28"/>
        <v>6.9444444444444448E-2</v>
      </c>
      <c r="R250" s="854"/>
      <c r="S250" s="852" t="str">
        <f>IF($E250="Logistics",VLOOKUP($P250,'Upper Hot Cell Logistics'!$C$4:$D$44,2,FALSE),"N/A")</f>
        <v>N/A</v>
      </c>
      <c r="T250" s="462" t="s">
        <v>959</v>
      </c>
      <c r="U250" s="855">
        <f>IFERROR(VLOOKUP($T250,'Upper HotCell RecoveryLogisitcs'!$C$226:$F$495,4,FALSE),"N/A")</f>
        <v>28.385942174544645</v>
      </c>
      <c r="V250" s="580">
        <f t="shared" si="31"/>
        <v>4.5350000000000037</v>
      </c>
      <c r="W250" s="895"/>
      <c r="Y250" s="290"/>
      <c r="Z250" s="290"/>
      <c r="AA250" s="915"/>
      <c r="AB250" s="5"/>
      <c r="AC250" s="7"/>
      <c r="AD250" s="7"/>
      <c r="AE250" s="7"/>
      <c r="AF250" s="7"/>
      <c r="AG250" s="7"/>
      <c r="AH250" s="7"/>
    </row>
    <row r="251" spans="2:34" ht="15" customHeight="1" outlineLevel="2" x14ac:dyDescent="0.4">
      <c r="B251" s="1030"/>
      <c r="C251" s="5"/>
      <c r="D251" s="973"/>
      <c r="E251" s="847" t="s">
        <v>136</v>
      </c>
      <c r="F251" s="847"/>
      <c r="G251" s="848" t="s">
        <v>251</v>
      </c>
      <c r="H251" s="459">
        <f t="shared" si="29"/>
        <v>5.74</v>
      </c>
      <c r="I251" s="849">
        <f t="shared" si="30"/>
        <v>38.730386618989094</v>
      </c>
      <c r="J251" s="573" t="s">
        <v>254</v>
      </c>
      <c r="K251" s="850">
        <f>IF(G251="operation",VLOOKUP(J251,'Generic Vertical Port Tasks'!$C$4:$D$197,2,FALSE),"N/A")</f>
        <v>5.74</v>
      </c>
      <c r="L251" s="575"/>
      <c r="M251" s="573"/>
      <c r="N251" s="851"/>
      <c r="O251" s="852" t="str">
        <f>IFERROR(INDEX('Upper Hot Cell Logistics'!$I$35:$O$41,MATCH($M251,'Upper Hot Cell Logistics'!$H$35:$H$41,0),MATCH($N251,'Upper Hot Cell Logistics'!$H$35:$H$41,0)),"N/A")</f>
        <v>N/A</v>
      </c>
      <c r="P251" s="853" t="str">
        <f>IFERROR(VLOOKUP($L251,'Upper Hot Cell Logistics'!$H$4:$I$10,2,FALSE),"N/A")</f>
        <v>N/A</v>
      </c>
      <c r="Q251" s="849" t="str">
        <f t="shared" si="28"/>
        <v>N/A</v>
      </c>
      <c r="R251" s="854"/>
      <c r="S251" s="852" t="str">
        <f>IF($E251="Logistics",VLOOKUP($P251,'Upper Hot Cell Logistics'!$C$4:$D$44,2,FALSE),"N/A")</f>
        <v>N/A</v>
      </c>
      <c r="T251" s="462"/>
      <c r="U251" s="855" t="str">
        <f>IFERROR(VLOOKUP($T251,'Upper HotCell RecoveryLogisitcs'!$C$226:$F$495,4,FALSE),"N/A")</f>
        <v>N/A</v>
      </c>
      <c r="V251" s="580" t="str">
        <f t="shared" si="31"/>
        <v>N/A</v>
      </c>
      <c r="W251" s="895"/>
      <c r="Y251" s="290"/>
      <c r="Z251" s="290"/>
      <c r="AA251" s="915"/>
      <c r="AB251" s="5"/>
      <c r="AC251" s="7"/>
      <c r="AD251" s="7"/>
      <c r="AE251" s="7"/>
      <c r="AF251" s="7"/>
      <c r="AG251" s="7"/>
      <c r="AH251" s="7"/>
    </row>
    <row r="252" spans="2:34" ht="15" customHeight="1" outlineLevel="2" x14ac:dyDescent="0.4">
      <c r="B252" s="1030"/>
      <c r="C252" s="5"/>
      <c r="D252" s="973"/>
      <c r="E252" s="847" t="s">
        <v>797</v>
      </c>
      <c r="F252" s="847"/>
      <c r="G252" s="848" t="s">
        <v>778</v>
      </c>
      <c r="H252" s="459">
        <f t="shared" si="29"/>
        <v>6.9444444444444448E-2</v>
      </c>
      <c r="I252" s="849">
        <f t="shared" si="30"/>
        <v>38.799831063433537</v>
      </c>
      <c r="J252" s="573"/>
      <c r="K252" s="850" t="str">
        <f>IF(G252="operation",VLOOKUP(J252,'Generic Vertical Port Tasks'!$C$4:$D$197,2,FALSE),"N/A")</f>
        <v>N/A</v>
      </c>
      <c r="L252" s="575" t="s">
        <v>798</v>
      </c>
      <c r="M252" s="573" t="s">
        <v>831</v>
      </c>
      <c r="N252" s="851" t="s">
        <v>452</v>
      </c>
      <c r="O252" s="852">
        <f>IFERROR(INDEX('Upper Hot Cell Logistics'!$I$35:$O$41,MATCH($M252,'Upper Hot Cell Logistics'!$H$35:$H$41,0),MATCH($N252,'Upper Hot Cell Logistics'!$H$35:$H$41,0)),"N/A")</f>
        <v>50</v>
      </c>
      <c r="P252" s="853">
        <f>IFERROR(VLOOKUP($L252,'Upper Hot Cell Logistics'!$H$4:$I$10,2,FALSE),"N/A")</f>
        <v>0.2</v>
      </c>
      <c r="Q252" s="849">
        <f t="shared" si="28"/>
        <v>6.9444444444444448E-2</v>
      </c>
      <c r="R252" s="854"/>
      <c r="S252" s="852" t="str">
        <f>IF($E252="Logistics",VLOOKUP($P252,'Upper Hot Cell Logistics'!$C$4:$D$44,2,FALSE),"N/A")</f>
        <v>N/A</v>
      </c>
      <c r="T252" s="462" t="s">
        <v>961</v>
      </c>
      <c r="U252" s="855">
        <f>IFERROR(VLOOKUP($T252,'Upper HotCell RecoveryLogisitcs'!$C$226:$F$495,4,FALSE),"N/A")</f>
        <v>34.19538661898909</v>
      </c>
      <c r="V252" s="580">
        <f t="shared" si="31"/>
        <v>4.5350000000000037</v>
      </c>
      <c r="W252" s="895"/>
      <c r="Y252" s="290"/>
      <c r="Z252" s="290"/>
      <c r="AA252" s="915"/>
      <c r="AB252" s="5"/>
      <c r="AC252" s="7"/>
      <c r="AD252" s="7"/>
      <c r="AE252" s="7"/>
      <c r="AF252" s="7"/>
      <c r="AG252" s="7"/>
      <c r="AH252" s="7"/>
    </row>
    <row r="253" spans="2:34" ht="15" customHeight="1" outlineLevel="2" x14ac:dyDescent="0.4">
      <c r="B253" s="1030"/>
      <c r="C253" s="5"/>
      <c r="D253" s="973"/>
      <c r="E253" s="847" t="s">
        <v>138</v>
      </c>
      <c r="F253" s="847"/>
      <c r="G253" s="848" t="s">
        <v>251</v>
      </c>
      <c r="H253" s="459">
        <f t="shared" si="29"/>
        <v>5.74</v>
      </c>
      <c r="I253" s="849">
        <f t="shared" si="30"/>
        <v>44.539831063433539</v>
      </c>
      <c r="J253" s="573" t="s">
        <v>254</v>
      </c>
      <c r="K253" s="850">
        <f>IF(G253="operation",VLOOKUP(J253,'Generic Vertical Port Tasks'!$C$4:$D$197,2,FALSE),"N/A")</f>
        <v>5.74</v>
      </c>
      <c r="L253" s="575"/>
      <c r="M253" s="573"/>
      <c r="N253" s="851"/>
      <c r="O253" s="852" t="str">
        <f>IFERROR(INDEX('Upper Hot Cell Logistics'!$I$35:$O$41,MATCH($M253,'Upper Hot Cell Logistics'!$H$35:$H$41,0),MATCH($N253,'Upper Hot Cell Logistics'!$H$35:$H$41,0)),"N/A")</f>
        <v>N/A</v>
      </c>
      <c r="P253" s="853" t="str">
        <f>IFERROR(VLOOKUP($L253,'Upper Hot Cell Logistics'!$H$4:$I$10,2,FALSE),"N/A")</f>
        <v>N/A</v>
      </c>
      <c r="Q253" s="849" t="str">
        <f t="shared" si="28"/>
        <v>N/A</v>
      </c>
      <c r="R253" s="854"/>
      <c r="S253" s="852" t="str">
        <f>IF($E253="Logistics",VLOOKUP($P253,'Upper Hot Cell Logistics'!$C$4:$D$44,2,FALSE),"N/A")</f>
        <v>N/A</v>
      </c>
      <c r="T253" s="462"/>
      <c r="U253" s="855" t="str">
        <f>IFERROR(VLOOKUP($T253,'Upper HotCell RecoveryLogisitcs'!$C$226:$F$495,4,FALSE),"N/A")</f>
        <v>N/A</v>
      </c>
      <c r="V253" s="580" t="str">
        <f t="shared" si="31"/>
        <v>N/A</v>
      </c>
      <c r="W253" s="895"/>
      <c r="Y253" s="290"/>
      <c r="Z253" s="290"/>
      <c r="AA253" s="915"/>
      <c r="AB253" s="5"/>
      <c r="AC253" s="7"/>
      <c r="AD253" s="7"/>
      <c r="AE253" s="7"/>
      <c r="AF253" s="7"/>
      <c r="AG253" s="7"/>
      <c r="AH253" s="7"/>
    </row>
    <row r="254" spans="2:34" ht="15" customHeight="1" outlineLevel="2" x14ac:dyDescent="0.4">
      <c r="B254" s="1030"/>
      <c r="C254" s="5"/>
      <c r="D254" s="973"/>
      <c r="E254" s="847" t="s">
        <v>820</v>
      </c>
      <c r="F254" s="847"/>
      <c r="G254" s="848" t="s">
        <v>778</v>
      </c>
      <c r="H254" s="459">
        <f t="shared" si="29"/>
        <v>6.9444444444444448E-2</v>
      </c>
      <c r="I254" s="849">
        <f t="shared" si="30"/>
        <v>44.609275507877982</v>
      </c>
      <c r="J254" s="573"/>
      <c r="K254" s="850" t="str">
        <f>IF(G254="operation",VLOOKUP(J254,'Generic Vertical Port Tasks'!$C$4:$D$197,2,FALSE),"N/A")</f>
        <v>N/A</v>
      </c>
      <c r="L254" s="575" t="s">
        <v>798</v>
      </c>
      <c r="M254" s="573" t="s">
        <v>831</v>
      </c>
      <c r="N254" s="851" t="s">
        <v>452</v>
      </c>
      <c r="O254" s="852">
        <f>IFERROR(INDEX('Upper Hot Cell Logistics'!$I$35:$O$41,MATCH($M254,'Upper Hot Cell Logistics'!$H$35:$H$41,0),MATCH($N254,'Upper Hot Cell Logistics'!$H$35:$H$41,0)),"N/A")</f>
        <v>50</v>
      </c>
      <c r="P254" s="853">
        <f>IFERROR(VLOOKUP($L254,'Upper Hot Cell Logistics'!$H$4:$I$10,2,FALSE),"N/A")</f>
        <v>0.2</v>
      </c>
      <c r="Q254" s="849">
        <f t="shared" si="28"/>
        <v>6.9444444444444448E-2</v>
      </c>
      <c r="R254" s="854"/>
      <c r="S254" s="852" t="str">
        <f>IF($E254="Logistics",VLOOKUP($P254,'Upper Hot Cell Logistics'!$C$4:$D$44,2,FALSE),"N/A")</f>
        <v>N/A</v>
      </c>
      <c r="T254" s="462" t="s">
        <v>962</v>
      </c>
      <c r="U254" s="855">
        <f>IFERROR(VLOOKUP($T254,'Upper HotCell RecoveryLogisitcs'!$C$226:$F$495,4,FALSE),"N/A")</f>
        <v>40.004831063433535</v>
      </c>
      <c r="V254" s="580">
        <f t="shared" si="31"/>
        <v>4.5350000000000037</v>
      </c>
      <c r="W254" s="895"/>
      <c r="Y254" s="290"/>
      <c r="Z254" s="290"/>
      <c r="AA254" s="915"/>
      <c r="AB254" s="5"/>
      <c r="AC254" s="7"/>
      <c r="AD254" s="7"/>
      <c r="AE254" s="7"/>
      <c r="AF254" s="7"/>
      <c r="AG254" s="7"/>
      <c r="AH254" s="7"/>
    </row>
    <row r="255" spans="2:34" ht="15.75" customHeight="1" outlineLevel="2" thickBot="1" x14ac:dyDescent="0.45">
      <c r="B255" s="1030"/>
      <c r="C255" s="5"/>
      <c r="D255" s="949"/>
      <c r="E255" s="808" t="s">
        <v>140</v>
      </c>
      <c r="F255" s="808"/>
      <c r="G255" s="809" t="s">
        <v>251</v>
      </c>
      <c r="H255" s="467">
        <f t="shared" si="29"/>
        <v>5.74</v>
      </c>
      <c r="I255" s="810">
        <f t="shared" si="30"/>
        <v>50.349275507877984</v>
      </c>
      <c r="J255" s="584" t="s">
        <v>254</v>
      </c>
      <c r="K255" s="811">
        <f>IF(G255="operation",VLOOKUP(J255,'Generic Vertical Port Tasks'!$C$4:$D$197,2,FALSE),"N/A")</f>
        <v>5.74</v>
      </c>
      <c r="L255" s="586"/>
      <c r="M255" s="584"/>
      <c r="N255" s="812"/>
      <c r="O255" s="813" t="str">
        <f>IFERROR(INDEX('Upper Hot Cell Logistics'!$I$35:$O$41,MATCH($M255,'Upper Hot Cell Logistics'!$H$35:$H$41,0),MATCH($N255,'Upper Hot Cell Logistics'!$H$35:$H$41,0)),"N/A")</f>
        <v>N/A</v>
      </c>
      <c r="P255" s="814" t="str">
        <f>IFERROR(VLOOKUP($L255,'Upper Hot Cell Logistics'!$H$4:$I$10,2,FALSE),"N/A")</f>
        <v>N/A</v>
      </c>
      <c r="Q255" s="810" t="str">
        <f t="shared" si="28"/>
        <v>N/A</v>
      </c>
      <c r="R255" s="815"/>
      <c r="S255" s="813" t="str">
        <f>IF($E255="Logistics",VLOOKUP($P255,'Upper Hot Cell Logistics'!$C$4:$D$44,2,FALSE),"N/A")</f>
        <v>N/A</v>
      </c>
      <c r="T255" s="469"/>
      <c r="U255" s="816" t="str">
        <f>IFERROR(VLOOKUP($T255,'Upper HotCell RecoveryLogisitcs'!$C$226:$F$495,4,FALSE),"N/A")</f>
        <v>N/A</v>
      </c>
      <c r="V255" s="591" t="str">
        <f t="shared" si="31"/>
        <v>N/A</v>
      </c>
      <c r="W255" s="895"/>
      <c r="Y255" s="290"/>
      <c r="Z255" s="290"/>
      <c r="AA255" s="915"/>
      <c r="AB255" s="5"/>
      <c r="AC255" s="7"/>
      <c r="AD255" s="7"/>
      <c r="AE255" s="7"/>
      <c r="AF255" s="7"/>
      <c r="AG255" s="7"/>
      <c r="AH255" s="7"/>
    </row>
    <row r="256" spans="2:34" ht="15" customHeight="1" outlineLevel="2" x14ac:dyDescent="0.4">
      <c r="B256" s="1030"/>
      <c r="C256" s="5"/>
      <c r="D256" s="950" t="s">
        <v>1080</v>
      </c>
      <c r="E256" s="410" t="s">
        <v>797</v>
      </c>
      <c r="F256" s="974"/>
      <c r="G256" s="975" t="s">
        <v>778</v>
      </c>
      <c r="H256" s="310">
        <f t="shared" si="29"/>
        <v>6.9444444444444448E-2</v>
      </c>
      <c r="I256" s="311">
        <f t="shared" si="30"/>
        <v>50.418719952322427</v>
      </c>
      <c r="J256" s="976"/>
      <c r="K256" s="311" t="str">
        <f>IF(G256="operation",VLOOKUP(J256,'Generic Vertical Port Tasks'!$C$4:$D$197,2,FALSE),"N/A")</f>
        <v>N/A</v>
      </c>
      <c r="L256" s="977" t="s">
        <v>798</v>
      </c>
      <c r="M256" s="977" t="s">
        <v>799</v>
      </c>
      <c r="N256" s="978" t="s">
        <v>452</v>
      </c>
      <c r="O256" s="414">
        <f>IFERROR(INDEX('Upper Hot Cell Logistics'!$I$35:$O$41,MATCH($M256,'Upper Hot Cell Logistics'!$H$35:$H$41,0),MATCH($N256,'Upper Hot Cell Logistics'!$H$35:$H$41,0)),"N/A")</f>
        <v>50</v>
      </c>
      <c r="P256" s="414">
        <f>IFERROR(VLOOKUP($L256,'Upper Hot Cell Logistics'!$H$4:$I$10,2,FALSE),"N/A")</f>
        <v>0.2</v>
      </c>
      <c r="Q256" s="979">
        <f t="shared" si="28"/>
        <v>6.9444444444444448E-2</v>
      </c>
      <c r="R256" s="415"/>
      <c r="S256" s="416" t="str">
        <f>IF($E256="Logistics",VLOOKUP($P256,'Upper Hot Cell Logistics'!$C$4:$D$44,2,FALSE),"N/A")</f>
        <v>N/A</v>
      </c>
      <c r="T256" s="3604" t="s">
        <v>1081</v>
      </c>
      <c r="U256" s="310">
        <f>IFERROR(VLOOKUP($T256,'Upper HotCell RecoveryLogisitcs'!$C$226:$F$495,4,FALSE),"N/A")</f>
        <v>45.81427550787798</v>
      </c>
      <c r="V256" s="311">
        <f t="shared" si="31"/>
        <v>4.5350000000000037</v>
      </c>
      <c r="W256" s="894"/>
      <c r="Y256" s="290"/>
      <c r="Z256" s="290"/>
      <c r="AA256" s="915"/>
      <c r="AB256" s="5"/>
      <c r="AC256" s="7"/>
      <c r="AD256" s="7"/>
      <c r="AE256" s="7"/>
      <c r="AF256" s="7"/>
      <c r="AG256" s="7"/>
      <c r="AH256" s="7"/>
    </row>
    <row r="257" spans="2:34" ht="15" customHeight="1" outlineLevel="2" x14ac:dyDescent="0.4">
      <c r="B257" s="1030"/>
      <c r="C257" s="5"/>
      <c r="D257" s="980"/>
      <c r="E257" s="410" t="s">
        <v>141</v>
      </c>
      <c r="F257" s="981"/>
      <c r="G257" s="975" t="s">
        <v>251</v>
      </c>
      <c r="H257" s="310">
        <f t="shared" si="29"/>
        <v>4.33</v>
      </c>
      <c r="I257" s="311">
        <f t="shared" si="30"/>
        <v>54.748719952322425</v>
      </c>
      <c r="J257" s="976" t="s">
        <v>256</v>
      </c>
      <c r="K257" s="311">
        <f>IF(G257="operation",VLOOKUP(J257,'Generic Vertical Port Tasks'!$C$4:$D$197,2,FALSE),"N/A")</f>
        <v>4.33</v>
      </c>
      <c r="L257" s="982"/>
      <c r="M257" s="983"/>
      <c r="N257" s="984"/>
      <c r="O257" s="414" t="str">
        <f>IFERROR(INDEX('Upper Hot Cell Logistics'!$I$35:$O$41,MATCH($M257,'Upper Hot Cell Logistics'!$H$35:$H$41,0),MATCH($N257,'Upper Hot Cell Logistics'!$H$35:$H$41,0)),"N/A")</f>
        <v>N/A</v>
      </c>
      <c r="P257" s="414" t="str">
        <f>IFERROR(VLOOKUP($L257,'Upper Hot Cell Logistics'!$H$4:$I$10,2,FALSE),"N/A")</f>
        <v>N/A</v>
      </c>
      <c r="Q257" s="979" t="str">
        <f t="shared" si="28"/>
        <v>N/A</v>
      </c>
      <c r="R257" s="415"/>
      <c r="S257" s="416" t="str">
        <f>IF($E257="Logistics",VLOOKUP($P257,'Upper Hot Cell Logistics'!$C$4:$D$44,2,FALSE),"N/A")</f>
        <v>N/A</v>
      </c>
      <c r="T257" s="3604"/>
      <c r="U257" s="310" t="str">
        <f>IFERROR(VLOOKUP($T257,'Upper HotCell RecoveryLogisitcs'!$C$226:$F$495,4,FALSE),"N/A")</f>
        <v>N/A</v>
      </c>
      <c r="V257" s="311" t="str">
        <f t="shared" si="31"/>
        <v>N/A</v>
      </c>
      <c r="W257" s="894"/>
      <c r="Y257" s="290"/>
      <c r="Z257" s="290"/>
      <c r="AA257" s="915"/>
      <c r="AB257" s="5"/>
      <c r="AC257" s="7"/>
      <c r="AD257" s="7"/>
      <c r="AE257" s="7"/>
      <c r="AF257" s="7"/>
      <c r="AG257" s="7"/>
      <c r="AH257" s="7"/>
    </row>
    <row r="258" spans="2:34" ht="15" customHeight="1" outlineLevel="2" x14ac:dyDescent="0.4">
      <c r="B258" s="1030"/>
      <c r="C258" s="5"/>
      <c r="D258" s="980"/>
      <c r="E258" s="410" t="s">
        <v>860</v>
      </c>
      <c r="F258" s="981"/>
      <c r="G258" s="975" t="s">
        <v>778</v>
      </c>
      <c r="H258" s="310">
        <f t="shared" si="29"/>
        <v>6.9444444444444448E-2</v>
      </c>
      <c r="I258" s="311">
        <f t="shared" si="30"/>
        <v>54.818164396766868</v>
      </c>
      <c r="J258" s="976"/>
      <c r="K258" s="311" t="str">
        <f>IF(G258="operation",VLOOKUP(J258,'Generic Vertical Port Tasks'!$C$4:$D$197,2,FALSE),"N/A")</f>
        <v>N/A</v>
      </c>
      <c r="L258" s="977" t="s">
        <v>798</v>
      </c>
      <c r="M258" s="977" t="s">
        <v>799</v>
      </c>
      <c r="N258" s="978" t="s">
        <v>452</v>
      </c>
      <c r="O258" s="414">
        <f>IFERROR(INDEX('Upper Hot Cell Logistics'!$I$35:$O$41,MATCH($M258,'Upper Hot Cell Logistics'!$H$35:$H$41,0),MATCH($N258,'Upper Hot Cell Logistics'!$H$35:$H$41,0)),"N/A")</f>
        <v>50</v>
      </c>
      <c r="P258" s="414">
        <f>IFERROR(VLOOKUP($L258,'Upper Hot Cell Logistics'!$H$4:$I$10,2,FALSE),"N/A")</f>
        <v>0.2</v>
      </c>
      <c r="Q258" s="979">
        <f t="shared" si="28"/>
        <v>6.9444444444444448E-2</v>
      </c>
      <c r="R258" s="415"/>
      <c r="S258" s="416" t="str">
        <f>IF($E258="Logistics",VLOOKUP($P258,'Upper Hot Cell Logistics'!$C$4:$D$44,2,FALSE),"N/A")</f>
        <v>N/A</v>
      </c>
      <c r="T258" s="3604" t="s">
        <v>1082</v>
      </c>
      <c r="U258" s="310">
        <f>IFERROR(VLOOKUP($T258,'Upper HotCell RecoveryLogisitcs'!$C$226:$F$495,4,FALSE),"N/A")</f>
        <v>52.417608841211312</v>
      </c>
      <c r="V258" s="311">
        <f t="shared" si="31"/>
        <v>2.3311111111111131</v>
      </c>
      <c r="W258" s="894"/>
      <c r="Y258" s="290"/>
      <c r="Z258" s="290"/>
      <c r="AA258" s="915"/>
      <c r="AB258" s="5"/>
      <c r="AC258" s="7"/>
      <c r="AD258" s="7"/>
      <c r="AE258" s="7"/>
      <c r="AF258" s="7"/>
      <c r="AG258" s="7"/>
      <c r="AH258" s="7"/>
    </row>
    <row r="259" spans="2:34" ht="15" customHeight="1" outlineLevel="2" x14ac:dyDescent="0.4">
      <c r="B259" s="1030"/>
      <c r="C259" s="5"/>
      <c r="D259" s="980"/>
      <c r="E259" s="410" t="s">
        <v>139</v>
      </c>
      <c r="F259" s="981"/>
      <c r="G259" s="975" t="s">
        <v>251</v>
      </c>
      <c r="H259" s="310">
        <f t="shared" si="29"/>
        <v>4.33</v>
      </c>
      <c r="I259" s="311">
        <f t="shared" si="30"/>
        <v>59.148164396766866</v>
      </c>
      <c r="J259" s="976" t="s">
        <v>256</v>
      </c>
      <c r="K259" s="311">
        <f>IF(G259="operation",VLOOKUP(J259,'Generic Vertical Port Tasks'!$C$4:$D$197,2,FALSE),"N/A")</f>
        <v>4.33</v>
      </c>
      <c r="L259" s="639"/>
      <c r="M259" s="985"/>
      <c r="N259" s="986"/>
      <c r="O259" s="414" t="str">
        <f>IFERROR(INDEX('Upper Hot Cell Logistics'!$I$35:$O$41,MATCH($M259,'Upper Hot Cell Logistics'!$H$35:$H$41,0),MATCH($N259,'Upper Hot Cell Logistics'!$H$35:$H$41,0)),"N/A")</f>
        <v>N/A</v>
      </c>
      <c r="P259" s="414" t="str">
        <f>IFERROR(VLOOKUP($L259,'Upper Hot Cell Logistics'!$H$4:$I$10,2,FALSE),"N/A")</f>
        <v>N/A</v>
      </c>
      <c r="Q259" s="979" t="str">
        <f t="shared" si="28"/>
        <v>N/A</v>
      </c>
      <c r="R259" s="415"/>
      <c r="S259" s="416" t="str">
        <f>IF($E259="Logistics",VLOOKUP($P259,'Upper Hot Cell Logistics'!$C$4:$D$44,2,FALSE),"N/A")</f>
        <v>N/A</v>
      </c>
      <c r="T259" s="3604"/>
      <c r="U259" s="310" t="str">
        <f>IFERROR(VLOOKUP($T259,'Upper HotCell RecoveryLogisitcs'!$C$226:$F$495,4,FALSE),"N/A")</f>
        <v>N/A</v>
      </c>
      <c r="V259" s="311" t="str">
        <f t="shared" si="31"/>
        <v>N/A</v>
      </c>
      <c r="W259" s="894"/>
      <c r="Y259" s="290"/>
      <c r="Z259" s="290"/>
      <c r="AA259" s="915"/>
      <c r="AB259" s="5"/>
      <c r="AC259" s="7"/>
      <c r="AD259" s="7"/>
      <c r="AE259" s="7"/>
      <c r="AF259" s="7"/>
      <c r="AG259" s="7"/>
      <c r="AH259" s="7"/>
    </row>
    <row r="260" spans="2:34" ht="15" customHeight="1" outlineLevel="2" x14ac:dyDescent="0.4">
      <c r="B260" s="1030"/>
      <c r="C260" s="5"/>
      <c r="D260" s="980"/>
      <c r="E260" s="410" t="s">
        <v>862</v>
      </c>
      <c r="F260" s="981"/>
      <c r="G260" s="975" t="s">
        <v>778</v>
      </c>
      <c r="H260" s="310">
        <f t="shared" si="29"/>
        <v>6.9444444444444448E-2</v>
      </c>
      <c r="I260" s="311">
        <f t="shared" si="30"/>
        <v>59.217608841211309</v>
      </c>
      <c r="J260" s="976"/>
      <c r="K260" s="311" t="str">
        <f>IF(G260="operation",VLOOKUP(J260,'Generic Vertical Port Tasks'!$C$4:$D$197,2,FALSE),"N/A")</f>
        <v>N/A</v>
      </c>
      <c r="L260" s="977" t="s">
        <v>798</v>
      </c>
      <c r="M260" s="977" t="s">
        <v>799</v>
      </c>
      <c r="N260" s="978" t="s">
        <v>452</v>
      </c>
      <c r="O260" s="414">
        <f>IFERROR(INDEX('Upper Hot Cell Logistics'!$I$35:$O$41,MATCH($M260,'Upper Hot Cell Logistics'!$H$35:$H$41,0),MATCH($N260,'Upper Hot Cell Logistics'!$H$35:$H$41,0)),"N/A")</f>
        <v>50</v>
      </c>
      <c r="P260" s="414">
        <f>IFERROR(VLOOKUP($L260,'Upper Hot Cell Logistics'!$H$4:$I$10,2,FALSE),"N/A")</f>
        <v>0.2</v>
      </c>
      <c r="Q260" s="979">
        <f t="shared" si="28"/>
        <v>6.9444444444444448E-2</v>
      </c>
      <c r="R260" s="415"/>
      <c r="S260" s="416" t="str">
        <f>IF($E260="Logistics",VLOOKUP($P260,'Upper Hot Cell Logistics'!$C$4:$D$44,2,FALSE),"N/A")</f>
        <v>N/A</v>
      </c>
      <c r="T260" s="3604" t="s">
        <v>863</v>
      </c>
      <c r="U260" s="310">
        <f>IFERROR(VLOOKUP($T260,'Upper HotCell RecoveryLogisitcs'!$C$226:$F$495,4,FALSE),"N/A")</f>
        <v>56.023164396766866</v>
      </c>
      <c r="V260" s="311">
        <f t="shared" si="31"/>
        <v>3.125</v>
      </c>
      <c r="W260" s="894"/>
      <c r="Y260" s="290"/>
      <c r="Z260" s="290"/>
      <c r="AA260" s="915"/>
      <c r="AB260" s="5"/>
      <c r="AC260" s="7"/>
      <c r="AD260" s="7"/>
      <c r="AE260" s="7"/>
      <c r="AF260" s="7"/>
      <c r="AG260" s="7"/>
      <c r="AH260" s="7"/>
    </row>
    <row r="261" spans="2:34" ht="15" customHeight="1" outlineLevel="2" x14ac:dyDescent="0.4">
      <c r="B261" s="1030"/>
      <c r="C261" s="5"/>
      <c r="D261" s="980"/>
      <c r="E261" s="410" t="s">
        <v>137</v>
      </c>
      <c r="F261" s="981"/>
      <c r="G261" s="975" t="s">
        <v>251</v>
      </c>
      <c r="H261" s="310">
        <f t="shared" si="29"/>
        <v>4.33</v>
      </c>
      <c r="I261" s="311">
        <f t="shared" si="30"/>
        <v>63.547608841211307</v>
      </c>
      <c r="J261" s="976" t="s">
        <v>256</v>
      </c>
      <c r="K261" s="311">
        <f>IF(G261="operation",VLOOKUP(J261,'Generic Vertical Port Tasks'!$C$4:$D$197,2,FALSE),"N/A")</f>
        <v>4.33</v>
      </c>
      <c r="L261" s="412"/>
      <c r="M261" s="413"/>
      <c r="N261" s="987"/>
      <c r="O261" s="414" t="str">
        <f>IFERROR(INDEX('Upper Hot Cell Logistics'!$I$35:$O$41,MATCH($M261,'Upper Hot Cell Logistics'!$H$35:$H$41,0),MATCH($N261,'Upper Hot Cell Logistics'!$H$35:$H$41,0)),"N/A")</f>
        <v>N/A</v>
      </c>
      <c r="P261" s="414" t="str">
        <f>IFERROR(VLOOKUP($L261,'Upper Hot Cell Logistics'!$H$4:$I$10,2,FALSE),"N/A")</f>
        <v>N/A</v>
      </c>
      <c r="Q261" s="979" t="str">
        <f t="shared" si="28"/>
        <v>N/A</v>
      </c>
      <c r="R261" s="415"/>
      <c r="S261" s="416" t="str">
        <f>IF($E261="Logistics",VLOOKUP($P261,'Upper Hot Cell Logistics'!$C$4:$D$44,2,FALSE),"N/A")</f>
        <v>N/A</v>
      </c>
      <c r="T261" s="3604"/>
      <c r="U261" s="310" t="str">
        <f>IFERROR(VLOOKUP($T261,'Upper HotCell RecoveryLogisitcs'!$C$226:$F$495,4,FALSE),"N/A")</f>
        <v>N/A</v>
      </c>
      <c r="V261" s="311" t="str">
        <f t="shared" si="31"/>
        <v>N/A</v>
      </c>
      <c r="W261" s="894"/>
      <c r="Y261" s="290"/>
      <c r="Z261" s="290"/>
      <c r="AA261" s="915"/>
      <c r="AB261" s="5"/>
      <c r="AC261" s="7"/>
      <c r="AD261" s="7"/>
      <c r="AE261" s="7"/>
      <c r="AF261" s="7"/>
      <c r="AG261" s="7"/>
      <c r="AH261" s="7"/>
    </row>
    <row r="262" spans="2:34" ht="15" customHeight="1" outlineLevel="2" x14ac:dyDescent="0.4">
      <c r="B262" s="1030"/>
      <c r="C262" s="5"/>
      <c r="D262" s="980"/>
      <c r="E262" s="988" t="s">
        <v>864</v>
      </c>
      <c r="F262" s="981"/>
      <c r="G262" s="975" t="s">
        <v>778</v>
      </c>
      <c r="H262" s="310">
        <f t="shared" si="29"/>
        <v>6.9444444444444448E-2</v>
      </c>
      <c r="I262" s="311">
        <f t="shared" si="30"/>
        <v>63.61705328565575</v>
      </c>
      <c r="J262" s="976"/>
      <c r="K262" s="311" t="str">
        <f>IF(G262="operation",VLOOKUP(J262,'Generic Vertical Port Tasks'!$C$4:$D$197,2,FALSE),"N/A")</f>
        <v>N/A</v>
      </c>
      <c r="L262" s="977" t="s">
        <v>798</v>
      </c>
      <c r="M262" s="977" t="s">
        <v>799</v>
      </c>
      <c r="N262" s="978" t="s">
        <v>452</v>
      </c>
      <c r="O262" s="414">
        <f>IFERROR(INDEX('Upper Hot Cell Logistics'!$I$35:$O$41,MATCH($M262,'Upper Hot Cell Logistics'!$H$35:$H$41,0),MATCH($N262,'Upper Hot Cell Logistics'!$H$35:$H$41,0)),"N/A")</f>
        <v>50</v>
      </c>
      <c r="P262" s="414">
        <f>IFERROR(VLOOKUP($L262,'Upper Hot Cell Logistics'!$H$4:$I$10,2,FALSE),"N/A")</f>
        <v>0.2</v>
      </c>
      <c r="Q262" s="979">
        <f t="shared" si="28"/>
        <v>6.9444444444444448E-2</v>
      </c>
      <c r="R262" s="415"/>
      <c r="S262" s="416" t="str">
        <f>IF($E262="Logistics",VLOOKUP($P262,'Upper Hot Cell Logistics'!$C$4:$D$44,2,FALSE),"N/A")</f>
        <v>N/A</v>
      </c>
      <c r="T262" s="3604" t="s">
        <v>865</v>
      </c>
      <c r="U262" s="310">
        <f>IFERROR(VLOOKUP($T262,'Upper HotCell RecoveryLogisitcs'!$C$226:$F$495,4,FALSE),"N/A")</f>
        <v>60.62260884121131</v>
      </c>
      <c r="V262" s="311">
        <f t="shared" si="31"/>
        <v>2.9249999999999972</v>
      </c>
      <c r="W262" s="894"/>
      <c r="Y262" s="290"/>
      <c r="Z262" s="290"/>
      <c r="AA262" s="915"/>
      <c r="AB262" s="5"/>
      <c r="AC262" s="7"/>
      <c r="AD262" s="7"/>
      <c r="AE262" s="7"/>
      <c r="AF262" s="7"/>
      <c r="AG262" s="7"/>
      <c r="AH262" s="7"/>
    </row>
    <row r="263" spans="2:34" ht="15" customHeight="1" outlineLevel="2" x14ac:dyDescent="0.4">
      <c r="B263" s="1030"/>
      <c r="C263" s="5"/>
      <c r="D263" s="980"/>
      <c r="E263" s="410" t="s">
        <v>133</v>
      </c>
      <c r="F263" s="981"/>
      <c r="G263" s="975" t="s">
        <v>251</v>
      </c>
      <c r="H263" s="310">
        <f t="shared" si="29"/>
        <v>5.74</v>
      </c>
      <c r="I263" s="311">
        <f t="shared" si="30"/>
        <v>69.357053285655752</v>
      </c>
      <c r="J263" s="976" t="s">
        <v>254</v>
      </c>
      <c r="K263" s="311">
        <f>IF(G263="operation",VLOOKUP(J263,'Generic Vertical Port Tasks'!$C$4:$D$197,2,FALSE),"N/A")</f>
        <v>5.74</v>
      </c>
      <c r="L263" s="412"/>
      <c r="M263" s="413"/>
      <c r="N263" s="987"/>
      <c r="O263" s="414" t="str">
        <f>IFERROR(INDEX('Upper Hot Cell Logistics'!$I$35:$O$41,MATCH($M263,'Upper Hot Cell Logistics'!$H$35:$H$41,0),MATCH($N263,'Upper Hot Cell Logistics'!$H$35:$H$41,0)),"N/A")</f>
        <v>N/A</v>
      </c>
      <c r="P263" s="414" t="str">
        <f>IFERROR(VLOOKUP($L263,'Upper Hot Cell Logistics'!$H$4:$I$10,2,FALSE),"N/A")</f>
        <v>N/A</v>
      </c>
      <c r="Q263" s="979" t="str">
        <f t="shared" si="28"/>
        <v>N/A</v>
      </c>
      <c r="R263" s="415"/>
      <c r="S263" s="416" t="str">
        <f>IF($E263="Logistics",VLOOKUP($P263,'Upper Hot Cell Logistics'!$C$4:$D$44,2,FALSE),"N/A")</f>
        <v>N/A</v>
      </c>
      <c r="T263" s="3604"/>
      <c r="U263" s="310" t="str">
        <f>IFERROR(VLOOKUP($T263,'Upper HotCell RecoveryLogisitcs'!$C$226:$F$495,4,FALSE),"N/A")</f>
        <v>N/A</v>
      </c>
      <c r="V263" s="311" t="str">
        <f t="shared" si="31"/>
        <v>N/A</v>
      </c>
      <c r="W263" s="894"/>
      <c r="Y263" s="290"/>
      <c r="Z263" s="290"/>
      <c r="AA263" s="915"/>
      <c r="AB263" s="5"/>
      <c r="AC263" s="7"/>
      <c r="AD263" s="7"/>
      <c r="AE263" s="7"/>
      <c r="AF263" s="7"/>
      <c r="AG263" s="7"/>
      <c r="AH263" s="7"/>
    </row>
    <row r="264" spans="2:34" ht="15" customHeight="1" outlineLevel="2" x14ac:dyDescent="0.4">
      <c r="B264" s="1030"/>
      <c r="C264" s="5"/>
      <c r="D264" s="980"/>
      <c r="E264" s="410" t="s">
        <v>866</v>
      </c>
      <c r="F264" s="981"/>
      <c r="G264" s="975" t="s">
        <v>778</v>
      </c>
      <c r="H264" s="310">
        <f t="shared" si="29"/>
        <v>6.9444444444444448E-2</v>
      </c>
      <c r="I264" s="311">
        <f t="shared" si="30"/>
        <v>69.426497730100195</v>
      </c>
      <c r="J264" s="976"/>
      <c r="K264" s="311" t="str">
        <f>IF(G264="operation",VLOOKUP(J264,'Generic Vertical Port Tasks'!$C$4:$D$197,2,FALSE),"N/A")</f>
        <v>N/A</v>
      </c>
      <c r="L264" s="977" t="s">
        <v>798</v>
      </c>
      <c r="M264" s="977" t="s">
        <v>799</v>
      </c>
      <c r="N264" s="978" t="s">
        <v>452</v>
      </c>
      <c r="O264" s="414">
        <f>IFERROR(INDEX('Upper Hot Cell Logistics'!$I$35:$O$41,MATCH($M264,'Upper Hot Cell Logistics'!$H$35:$H$41,0),MATCH($N264,'Upper Hot Cell Logistics'!$H$35:$H$41,0)),"N/A")</f>
        <v>50</v>
      </c>
      <c r="P264" s="414">
        <f>IFERROR(VLOOKUP($L264,'Upper Hot Cell Logistics'!$H$4:$I$10,2,FALSE),"N/A")</f>
        <v>0.2</v>
      </c>
      <c r="Q264" s="979">
        <f t="shared" si="28"/>
        <v>6.9444444444444448E-2</v>
      </c>
      <c r="R264" s="415"/>
      <c r="S264" s="416" t="str">
        <f>IF($E264="Logistics",VLOOKUP($P264,'Upper Hot Cell Logistics'!$C$4:$D$44,2,FALSE),"N/A")</f>
        <v>N/A</v>
      </c>
      <c r="T264" s="3604" t="s">
        <v>867</v>
      </c>
      <c r="U264" s="310">
        <f>IFERROR(VLOOKUP($T264,'Upper HotCell RecoveryLogisitcs'!$C$226:$F$495,4,FALSE),"N/A")</f>
        <v>64.822053285655755</v>
      </c>
      <c r="V264" s="311">
        <f t="shared" si="31"/>
        <v>4.5349999999999966</v>
      </c>
      <c r="W264" s="894"/>
      <c r="Y264" s="290"/>
      <c r="Z264" s="290"/>
      <c r="AA264" s="915"/>
      <c r="AB264" s="5"/>
      <c r="AC264" s="7"/>
      <c r="AD264" s="7"/>
      <c r="AE264" s="7"/>
      <c r="AF264" s="7"/>
      <c r="AG264" s="7"/>
      <c r="AH264" s="7"/>
    </row>
    <row r="265" spans="2:34" ht="15.75" customHeight="1" outlineLevel="2" thickBot="1" x14ac:dyDescent="0.45">
      <c r="B265" s="1030"/>
      <c r="C265" s="5"/>
      <c r="D265" s="961"/>
      <c r="E265" s="418" t="s">
        <v>134</v>
      </c>
      <c r="F265" s="981"/>
      <c r="G265" s="989" t="s">
        <v>251</v>
      </c>
      <c r="H265" s="362">
        <f t="shared" si="29"/>
        <v>5.74</v>
      </c>
      <c r="I265" s="311">
        <f t="shared" si="30"/>
        <v>75.16649773010019</v>
      </c>
      <c r="J265" s="990" t="s">
        <v>254</v>
      </c>
      <c r="K265" s="363">
        <f>IF(G265="operation",VLOOKUP(J265,'Generic Vertical Port Tasks'!$C$4:$D$197,2,FALSE),"N/A")</f>
        <v>5.74</v>
      </c>
      <c r="L265" s="420"/>
      <c r="M265" s="421"/>
      <c r="N265" s="991"/>
      <c r="O265" s="422" t="str">
        <f>IFERROR(INDEX('Upper Hot Cell Logistics'!$I$35:$O$41,MATCH($M265,'Upper Hot Cell Logistics'!$H$35:$H$41,0),MATCH($N265,'Upper Hot Cell Logistics'!$H$35:$H$41,0)),"N/A")</f>
        <v>N/A</v>
      </c>
      <c r="P265" s="422" t="str">
        <f>IFERROR(VLOOKUP($L265,'Upper Hot Cell Logistics'!$H$4:$I$10,2,FALSE),"N/A")</f>
        <v>N/A</v>
      </c>
      <c r="Q265" s="992" t="str">
        <f t="shared" si="28"/>
        <v>N/A</v>
      </c>
      <c r="R265" s="423"/>
      <c r="S265" s="424" t="str">
        <f>IF($E265="Logistics",VLOOKUP($P265,'Upper Hot Cell Logistics'!$C$4:$D$44,2,FALSE),"N/A")</f>
        <v>N/A</v>
      </c>
      <c r="T265" s="3605"/>
      <c r="U265" s="362" t="str">
        <f>IFERROR(VLOOKUP($T265,'Upper HotCell RecoveryLogisitcs'!$C$226:$F$495,4,FALSE),"N/A")</f>
        <v>N/A</v>
      </c>
      <c r="V265" s="363" t="str">
        <f t="shared" si="31"/>
        <v>N/A</v>
      </c>
      <c r="W265" s="894"/>
      <c r="Y265" s="290"/>
      <c r="Z265" s="290"/>
      <c r="AA265" s="915"/>
      <c r="AB265" s="5"/>
      <c r="AC265" s="7"/>
      <c r="AD265" s="7"/>
      <c r="AE265" s="7"/>
      <c r="AF265" s="7"/>
      <c r="AG265" s="7"/>
      <c r="AH265" s="7"/>
    </row>
    <row r="266" spans="2:34" ht="25.5" customHeight="1" outlineLevel="2" x14ac:dyDescent="0.4">
      <c r="B266" s="1030"/>
      <c r="C266" s="5"/>
      <c r="D266" s="993" t="s">
        <v>117</v>
      </c>
      <c r="E266" s="798" t="s">
        <v>1083</v>
      </c>
      <c r="F266" s="798"/>
      <c r="G266" s="799" t="s">
        <v>778</v>
      </c>
      <c r="H266" s="326">
        <f t="shared" si="29"/>
        <v>0.69444444444444442</v>
      </c>
      <c r="I266" s="800">
        <f t="shared" si="30"/>
        <v>75.860942174544633</v>
      </c>
      <c r="J266" s="566"/>
      <c r="K266" s="621" t="str">
        <f>IF(G266="operation",VLOOKUP(J266,'Generic Vertical Port Tasks'!$C$4:$D$197,2,FALSE),"N/A")</f>
        <v>N/A</v>
      </c>
      <c r="L266" s="568" t="s">
        <v>857</v>
      </c>
      <c r="M266" s="566" t="s">
        <v>858</v>
      </c>
      <c r="N266" s="801" t="s">
        <v>452</v>
      </c>
      <c r="O266" s="802">
        <f>IFERROR(INDEX('Upper Hot Cell Logistics'!$I$35:$O$41,MATCH($M266,'Upper Hot Cell Logistics'!$H$35:$H$41,0),MATCH($N266,'Upper Hot Cell Logistics'!$H$35:$H$41,0)),"N/A")</f>
        <v>50</v>
      </c>
      <c r="P266" s="570">
        <f>IFERROR(VLOOKUP($L266,'Upper Hot Cell Logistics'!$H$4:$I$10,2,FALSE),"N/A")</f>
        <v>0.02</v>
      </c>
      <c r="Q266" s="800">
        <f t="shared" si="28"/>
        <v>0.69444444444444442</v>
      </c>
      <c r="R266" s="803"/>
      <c r="S266" s="802" t="str">
        <f>IF($G266="Logistics",VLOOKUP($R266,'Upper Hot Cell Logistics'!$C$4:$D$44,2,FALSE),"N/A")</f>
        <v>N/A</v>
      </c>
      <c r="T266" s="454" t="s">
        <v>1084</v>
      </c>
      <c r="U266" s="804">
        <f>IFERROR(VLOOKUP($T266,'Upper HotCell RecoveryLogisitcs'!$C$226:$F$495,4,FALSE),"N/A")</f>
        <v>72.133164396766858</v>
      </c>
      <c r="V266" s="621">
        <f t="shared" si="31"/>
        <v>3.0333333333333314</v>
      </c>
      <c r="W266" s="895"/>
      <c r="Y266" s="290"/>
      <c r="Z266" s="290"/>
      <c r="AA266" s="915"/>
    </row>
    <row r="267" spans="2:34" s="82" customFormat="1" ht="15.75" customHeight="1" outlineLevel="2" thickBot="1" x14ac:dyDescent="0.45">
      <c r="B267" s="1030"/>
      <c r="C267" s="5"/>
      <c r="D267" s="994"/>
      <c r="E267" s="808" t="s">
        <v>1085</v>
      </c>
      <c r="F267" s="808"/>
      <c r="G267" s="809" t="s">
        <v>251</v>
      </c>
      <c r="H267" s="467">
        <f t="shared" si="29"/>
        <v>4.0949999999999998</v>
      </c>
      <c r="I267" s="810">
        <f t="shared" si="30"/>
        <v>79.955942174544631</v>
      </c>
      <c r="J267" s="584" t="s">
        <v>35</v>
      </c>
      <c r="K267" s="811">
        <f>IF(G267="operation",VLOOKUP(J267,'Generic Vertical Port Tasks'!$C$4:$D$197,2,FALSE),"N/A")</f>
        <v>4.0949999999999998</v>
      </c>
      <c r="L267" s="586"/>
      <c r="M267" s="584"/>
      <c r="N267" s="812"/>
      <c r="O267" s="813" t="str">
        <f>IFERROR(INDEX('Upper Hot Cell Logistics'!$I$35:$O$41,MATCH($M267,'Upper Hot Cell Logistics'!$H$35:$H$41,0),MATCH($N267,'Upper Hot Cell Logistics'!$H$35:$H$41,0)),"N/A")</f>
        <v>N/A</v>
      </c>
      <c r="P267" s="814" t="str">
        <f>IFERROR(VLOOKUP($L267,'Upper Hot Cell Logistics'!$H$4:$I$10,2,FALSE),"N/A")</f>
        <v>N/A</v>
      </c>
      <c r="Q267" s="810" t="str">
        <f t="shared" si="28"/>
        <v>N/A</v>
      </c>
      <c r="R267" s="815"/>
      <c r="S267" s="813" t="str">
        <f>IF($G267="Logistics",VLOOKUP($R267,'Upper Hot Cell Logistics'!$C$4:$D$44,2,FALSE),"N/A")</f>
        <v>N/A</v>
      </c>
      <c r="T267" s="469"/>
      <c r="U267" s="816" t="str">
        <f>IFERROR(VLOOKUP($T267,'Upper HotCell RecoveryLogisitcs'!$C$226:$F$495,4,FALSE),"N/A")</f>
        <v>N/A</v>
      </c>
      <c r="V267" s="591" t="str">
        <f t="shared" si="31"/>
        <v>N/A</v>
      </c>
      <c r="W267" s="895"/>
      <c r="Y267" s="7"/>
      <c r="Z267" s="7"/>
      <c r="AA267" s="995"/>
      <c r="AB267" s="890"/>
    </row>
    <row r="268" spans="2:34" s="82" customFormat="1" ht="15" customHeight="1" outlineLevel="2" x14ac:dyDescent="0.4">
      <c r="B268" s="1030"/>
      <c r="C268" s="5"/>
      <c r="D268" s="996" t="s">
        <v>1086</v>
      </c>
      <c r="E268" s="952" t="s">
        <v>820</v>
      </c>
      <c r="F268" s="952"/>
      <c r="G268" s="953" t="s">
        <v>778</v>
      </c>
      <c r="H268" s="305">
        <f t="shared" si="29"/>
        <v>0.69444444444444442</v>
      </c>
      <c r="I268" s="955">
        <f t="shared" si="30"/>
        <v>80.650386618989074</v>
      </c>
      <c r="J268" s="592"/>
      <c r="K268" s="600" t="str">
        <f>IF(G268="operation",VLOOKUP(J268,'Generic Vertical Port Tasks'!$C$4:$D$197,2,FALSE),"N/A")</f>
        <v>N/A</v>
      </c>
      <c r="L268" s="594" t="s">
        <v>857</v>
      </c>
      <c r="M268" s="592" t="s">
        <v>858</v>
      </c>
      <c r="N268" s="956" t="s">
        <v>452</v>
      </c>
      <c r="O268" s="957">
        <f>IFERROR(INDEX('Upper Hot Cell Logistics'!$I$35:$O$41,MATCH($M268,'Upper Hot Cell Logistics'!$H$35:$H$41,0),MATCH($N268,'Upper Hot Cell Logistics'!$H$35:$H$41,0)),"N/A")</f>
        <v>50</v>
      </c>
      <c r="P268" s="958">
        <f>IFERROR(VLOOKUP($L268,'Upper Hot Cell Logistics'!$H$4:$I$10,2,FALSE),"N/A")</f>
        <v>0.02</v>
      </c>
      <c r="Q268" s="955">
        <f t="shared" si="28"/>
        <v>0.69444444444444442</v>
      </c>
      <c r="R268" s="959"/>
      <c r="S268" s="957" t="str">
        <f>IF($G268="Logistics",VLOOKUP($R268,'Upper Hot Cell Logistics'!$C$4:$D$44,2,FALSE),"N/A")</f>
        <v>N/A</v>
      </c>
      <c r="T268" s="3606" t="s">
        <v>871</v>
      </c>
      <c r="U268" s="960">
        <f>IFERROR(VLOOKUP($T268,'Upper HotCell RecoveryLogisitcs'!$C$226:$F$495,4,FALSE),"N/A")</f>
        <v>77.634831063433523</v>
      </c>
      <c r="V268" s="600">
        <f t="shared" si="31"/>
        <v>2.321111111111108</v>
      </c>
      <c r="W268" s="895"/>
      <c r="Y268" s="7"/>
      <c r="Z268" s="7"/>
      <c r="AA268" s="995"/>
      <c r="AB268" s="890"/>
    </row>
    <row r="269" spans="2:34" s="82" customFormat="1" ht="15" customHeight="1" outlineLevel="2" x14ac:dyDescent="0.4">
      <c r="B269" s="1030"/>
      <c r="C269" s="5"/>
      <c r="D269" s="997"/>
      <c r="E269" s="981" t="s">
        <v>132</v>
      </c>
      <c r="F269" s="981"/>
      <c r="G269" s="998" t="s">
        <v>251</v>
      </c>
      <c r="H269" s="999">
        <f t="shared" si="29"/>
        <v>24.022732551873563</v>
      </c>
      <c r="I269" s="1000">
        <f t="shared" si="30"/>
        <v>104.67311917086263</v>
      </c>
      <c r="J269" s="977" t="s">
        <v>2492</v>
      </c>
      <c r="K269" s="638">
        <f>IF(G269="operation",VLOOKUP(J269,'Generic Vertical Port Tasks'!$C$4:$D$197,2,FALSE),"N/A")</f>
        <v>24.022732551873563</v>
      </c>
      <c r="L269" s="603"/>
      <c r="M269" s="977"/>
      <c r="N269" s="978"/>
      <c r="O269" s="1001" t="str">
        <f>IFERROR(INDEX('Upper Hot Cell Logistics'!$I$35:$O$41,MATCH($M269,'Upper Hot Cell Logistics'!$H$35:$H$41,0),MATCH($N269,'Upper Hot Cell Logistics'!$H$35:$H$41,0)),"N/A")</f>
        <v>N/A</v>
      </c>
      <c r="P269" s="1002" t="str">
        <f>IFERROR(VLOOKUP($L269,'Upper Hot Cell Logistics'!$H$4:$I$10,2,FALSE),"N/A")</f>
        <v>N/A</v>
      </c>
      <c r="Q269" s="1000" t="str">
        <f t="shared" si="28"/>
        <v>N/A</v>
      </c>
      <c r="R269" s="1003"/>
      <c r="S269" s="1001" t="str">
        <f>IF($G269="Logistics",VLOOKUP($R269,'Upper Hot Cell Logistics'!$C$4:$D$44,2,FALSE),"N/A")</f>
        <v>N/A</v>
      </c>
      <c r="T269" s="3606"/>
      <c r="U269" s="1004" t="str">
        <f>IFERROR(VLOOKUP($T269,'Upper HotCell RecoveryLogisitcs'!$C$226:$F$495,4,FALSE),"N/A")</f>
        <v>N/A</v>
      </c>
      <c r="V269" s="608" t="str">
        <f t="shared" si="31"/>
        <v>N/A</v>
      </c>
      <c r="W269" s="895"/>
      <c r="Y269" s="7"/>
      <c r="Z269" s="7"/>
      <c r="AA269" s="995"/>
      <c r="AB269" s="890"/>
    </row>
    <row r="270" spans="2:34" s="82" customFormat="1" ht="15" customHeight="1" outlineLevel="2" x14ac:dyDescent="0.4">
      <c r="B270" s="1030"/>
      <c r="C270" s="5"/>
      <c r="D270" s="997"/>
      <c r="E270" s="981" t="s">
        <v>811</v>
      </c>
      <c r="F270" s="981"/>
      <c r="G270" s="998" t="s">
        <v>778</v>
      </c>
      <c r="H270" s="999">
        <f t="shared" si="29"/>
        <v>0.20833333333333334</v>
      </c>
      <c r="I270" s="1000">
        <f t="shared" si="30"/>
        <v>141.58503249723748</v>
      </c>
      <c r="J270" s="977"/>
      <c r="K270" s="638" t="str">
        <f>IF(G270="operation",VLOOKUP(J270,'Generic Vertical Port Tasks'!$C$4:$D$197,2,FALSE),"N/A")</f>
        <v>N/A</v>
      </c>
      <c r="L270" s="603" t="s">
        <v>12</v>
      </c>
      <c r="M270" s="977" t="s">
        <v>816</v>
      </c>
      <c r="N270" s="978" t="s">
        <v>452</v>
      </c>
      <c r="O270" s="1001">
        <f>IFERROR(INDEX('Upper Hot Cell Logistics'!$I$35:$O$41,MATCH($M270,'Upper Hot Cell Logistics'!$H$35:$H$41,0),MATCH($N270,'Upper Hot Cell Logistics'!$H$35:$H$41,0)),"N/A")</f>
        <v>15</v>
      </c>
      <c r="P270" s="1002">
        <f>IFERROR(VLOOKUP($L270,'Upper Hot Cell Logistics'!$H$4:$I$10,2,FALSE),"N/A")</f>
        <v>0.02</v>
      </c>
      <c r="Q270" s="1000">
        <f t="shared" si="28"/>
        <v>0.20833333333333334</v>
      </c>
      <c r="R270" s="1003"/>
      <c r="S270" s="1001" t="str">
        <f>IF($G270="Logistics",VLOOKUP($R270,'Upper Hot Cell Logistics'!$C$4:$D$44,2,FALSE),"N/A")</f>
        <v>N/A</v>
      </c>
      <c r="T270" s="3606" t="s">
        <v>1087</v>
      </c>
      <c r="U270" s="1004">
        <f>IFERROR(VLOOKUP($T270,'Upper HotCell RecoveryLogisitcs'!$C$226:$F$495,4,FALSE),"N/A")</f>
        <v>141.37669916390414</v>
      </c>
      <c r="V270" s="608">
        <f t="shared" si="31"/>
        <v>-36.703579993041501</v>
      </c>
      <c r="W270" s="895"/>
      <c r="Y270" s="7"/>
      <c r="Z270" s="7"/>
      <c r="AA270" s="995"/>
      <c r="AB270" s="890"/>
    </row>
    <row r="271" spans="2:34" s="82" customFormat="1" ht="15.75" customHeight="1" outlineLevel="2" thickBot="1" x14ac:dyDescent="0.45">
      <c r="B271" s="1030"/>
      <c r="C271" s="5"/>
      <c r="D271" s="1005"/>
      <c r="E271" s="963" t="s">
        <v>47</v>
      </c>
      <c r="F271" s="963"/>
      <c r="G271" s="964" t="s">
        <v>251</v>
      </c>
      <c r="H271" s="1006">
        <f t="shared" si="29"/>
        <v>7.83</v>
      </c>
      <c r="I271" s="965">
        <f t="shared" si="30"/>
        <v>149.41503249723749</v>
      </c>
      <c r="J271" s="966" t="s">
        <v>257</v>
      </c>
      <c r="K271" s="967">
        <f>IF(G271="operation",VLOOKUP(J271,'Generic Vertical Port Tasks'!$C$4:$D$197,2,FALSE),"N/A")</f>
        <v>7.83</v>
      </c>
      <c r="L271" s="611"/>
      <c r="M271" s="966"/>
      <c r="N271" s="968"/>
      <c r="O271" s="969" t="str">
        <f>IFERROR(INDEX('Upper Hot Cell Logistics'!$I$35:$O$41,MATCH($M271,'Upper Hot Cell Logistics'!$H$35:$H$41,0),MATCH($N271,'Upper Hot Cell Logistics'!$H$35:$H$41,0)),"N/A")</f>
        <v>N/A</v>
      </c>
      <c r="P271" s="970" t="str">
        <f>IFERROR(VLOOKUP($L271,'Upper Hot Cell Logistics'!$H$4:$I$10,2,FALSE),"N/A")</f>
        <v>N/A</v>
      </c>
      <c r="Q271" s="965" t="str">
        <f t="shared" si="28"/>
        <v>N/A</v>
      </c>
      <c r="R271" s="971"/>
      <c r="S271" s="969" t="str">
        <f>IF($G271="Logistics",VLOOKUP($R271,'Upper Hot Cell Logistics'!$C$4:$D$44,2,FALSE),"N/A")</f>
        <v>N/A</v>
      </c>
      <c r="T271" s="3568"/>
      <c r="U271" s="972" t="str">
        <f>IFERROR(VLOOKUP($T271,'Upper HotCell RecoveryLogisitcs'!$C$226:$F$495,4,FALSE),"N/A")</f>
        <v>N/A</v>
      </c>
      <c r="V271" s="616" t="str">
        <f t="shared" si="31"/>
        <v>N/A</v>
      </c>
      <c r="W271" s="895"/>
      <c r="Y271" s="7"/>
      <c r="Z271" s="7"/>
      <c r="AA271" s="995"/>
      <c r="AB271" s="890"/>
    </row>
    <row r="272" spans="2:34" s="82" customFormat="1" ht="15" customHeight="1" outlineLevel="2" x14ac:dyDescent="0.4">
      <c r="B272" s="1030"/>
      <c r="C272" s="5"/>
      <c r="D272" s="993" t="s">
        <v>118</v>
      </c>
      <c r="E272" s="798" t="s">
        <v>797</v>
      </c>
      <c r="F272" s="798"/>
      <c r="G272" s="799" t="s">
        <v>778</v>
      </c>
      <c r="H272" s="326">
        <f t="shared" si="29"/>
        <v>6.9444444444444448E-2</v>
      </c>
      <c r="I272" s="800">
        <f t="shared" si="30"/>
        <v>149.48447694168195</v>
      </c>
      <c r="J272" s="566"/>
      <c r="K272" s="621" t="str">
        <f>IF(G272="operation",VLOOKUP(J272,'Generic Vertical Port Tasks'!$C$4:$D$197,2,FALSE),"N/A")</f>
        <v>N/A</v>
      </c>
      <c r="L272" s="568" t="s">
        <v>798</v>
      </c>
      <c r="M272" s="566" t="s">
        <v>858</v>
      </c>
      <c r="N272" s="801" t="s">
        <v>452</v>
      </c>
      <c r="O272" s="802">
        <f>IFERROR(INDEX('Upper Hot Cell Logistics'!$I$35:$O$41,MATCH($M272,'Upper Hot Cell Logistics'!$H$35:$H$41,0),MATCH($N272,'Upper Hot Cell Logistics'!$H$35:$H$41,0)),"N/A")</f>
        <v>50</v>
      </c>
      <c r="P272" s="570">
        <f>IFERROR(VLOOKUP($L272,'Upper Hot Cell Logistics'!$H$4:$I$10,2,FALSE),"N/A")</f>
        <v>0.2</v>
      </c>
      <c r="Q272" s="800">
        <f t="shared" si="28"/>
        <v>6.9444444444444448E-2</v>
      </c>
      <c r="R272" s="803"/>
      <c r="S272" s="802" t="str">
        <f>IF($G272="Logistics",VLOOKUP($R272,'Upper Hot Cell Logistics'!$C$4:$D$44,2,FALSE),"N/A")</f>
        <v>N/A</v>
      </c>
      <c r="T272" s="454" t="s">
        <v>874</v>
      </c>
      <c r="U272" s="804">
        <f>IFERROR(VLOOKUP($T272,'Upper HotCell RecoveryLogisitcs'!$C$226:$F$495,4,FALSE),"N/A")</f>
        <v>80.805386618989075</v>
      </c>
      <c r="V272" s="621">
        <f t="shared" si="31"/>
        <v>68.609645878248415</v>
      </c>
      <c r="W272" s="895"/>
      <c r="Y272" s="7"/>
      <c r="Z272" s="7"/>
      <c r="AA272" s="995"/>
      <c r="AB272" s="890"/>
    </row>
    <row r="273" spans="2:28" s="82" customFormat="1" ht="15.75" customHeight="1" outlineLevel="2" thickBot="1" x14ac:dyDescent="0.45">
      <c r="B273" s="1030"/>
      <c r="C273" s="5"/>
      <c r="D273" s="994"/>
      <c r="E273" s="808" t="s">
        <v>1088</v>
      </c>
      <c r="F273" s="808"/>
      <c r="G273" s="809" t="s">
        <v>251</v>
      </c>
      <c r="H273" s="467">
        <f t="shared" si="29"/>
        <v>4.0949999999999998</v>
      </c>
      <c r="I273" s="810">
        <f t="shared" si="30"/>
        <v>153.57947694168195</v>
      </c>
      <c r="J273" s="584" t="s">
        <v>35</v>
      </c>
      <c r="K273" s="811">
        <f>IF(G273="operation",VLOOKUP(J273,'Generic Vertical Port Tasks'!$C$4:$D$197,2,FALSE),"N/A")</f>
        <v>4.0949999999999998</v>
      </c>
      <c r="L273" s="586"/>
      <c r="M273" s="584"/>
      <c r="N273" s="812"/>
      <c r="O273" s="813" t="str">
        <f>IFERROR(INDEX('Upper Hot Cell Logistics'!$I$35:$O$41,MATCH($M273,'Upper Hot Cell Logistics'!$H$35:$H$41,0),MATCH($N273,'Upper Hot Cell Logistics'!$H$35:$H$41,0)),"N/A")</f>
        <v>N/A</v>
      </c>
      <c r="P273" s="814" t="str">
        <f>IFERROR(VLOOKUP($L273,'Upper Hot Cell Logistics'!$H$4:$I$10,2,FALSE),"N/A")</f>
        <v>N/A</v>
      </c>
      <c r="Q273" s="810" t="str">
        <f t="shared" si="28"/>
        <v>N/A</v>
      </c>
      <c r="R273" s="815"/>
      <c r="S273" s="813" t="str">
        <f>IF($G273="Logistics",VLOOKUP($R273,'Upper Hot Cell Logistics'!$C$4:$D$44,2,FALSE),"N/A")</f>
        <v>N/A</v>
      </c>
      <c r="T273" s="469"/>
      <c r="U273" s="816" t="str">
        <f>IFERROR(VLOOKUP($T273,'Upper HotCell RecoveryLogisitcs'!$C$226:$F$495,4,FALSE),"N/A")</f>
        <v>N/A</v>
      </c>
      <c r="V273" s="591" t="str">
        <f t="shared" si="31"/>
        <v>N/A</v>
      </c>
      <c r="W273" s="895"/>
      <c r="Y273" s="7"/>
      <c r="Z273" s="7"/>
      <c r="AA273" s="995"/>
      <c r="AB273" s="890"/>
    </row>
    <row r="274" spans="2:28" s="82" customFormat="1" ht="15" customHeight="1" outlineLevel="2" x14ac:dyDescent="0.4">
      <c r="B274" s="1030"/>
      <c r="C274" s="5"/>
      <c r="D274" s="996" t="s">
        <v>1089</v>
      </c>
      <c r="E274" s="952" t="s">
        <v>820</v>
      </c>
      <c r="F274" s="952"/>
      <c r="G274" s="953" t="s">
        <v>778</v>
      </c>
      <c r="H274" s="305">
        <f t="shared" si="29"/>
        <v>0.69444444444444442</v>
      </c>
      <c r="I274" s="955">
        <f t="shared" si="30"/>
        <v>154.2739213861264</v>
      </c>
      <c r="J274" s="592"/>
      <c r="K274" s="600" t="str">
        <f>IF(G274="operation",VLOOKUP(J274,'Generic Vertical Port Tasks'!$C$4:$D$197,2,FALSE),"N/A")</f>
        <v>N/A</v>
      </c>
      <c r="L274" s="594" t="s">
        <v>857</v>
      </c>
      <c r="M274" s="592" t="s">
        <v>858</v>
      </c>
      <c r="N274" s="956" t="s">
        <v>452</v>
      </c>
      <c r="O274" s="957">
        <f>IFERROR(INDEX('Upper Hot Cell Logistics'!$I$35:$O$41,MATCH($M274,'Upper Hot Cell Logistics'!$H$35:$H$41,0),MATCH($N274,'Upper Hot Cell Logistics'!$H$35:$H$41,0)),"N/A")</f>
        <v>50</v>
      </c>
      <c r="P274" s="958">
        <f>IFERROR(VLOOKUP($L274,'Upper Hot Cell Logistics'!$H$4:$I$10,2,FALSE),"N/A")</f>
        <v>0.02</v>
      </c>
      <c r="Q274" s="955">
        <f t="shared" si="28"/>
        <v>0.69444444444444442</v>
      </c>
      <c r="R274" s="959"/>
      <c r="S274" s="957" t="str">
        <f>IF($G274="Logistics",VLOOKUP($R274,'Upper Hot Cell Logistics'!$C$4:$D$44,2,FALSE),"N/A")</f>
        <v>N/A</v>
      </c>
      <c r="T274" s="3603"/>
      <c r="U274" s="960" t="str">
        <f>IFERROR(VLOOKUP($T274,'Upper HotCell RecoveryLogisitcs'!$C$226:$F$495,4,FALSE),"N/A")</f>
        <v>N/A</v>
      </c>
      <c r="V274" s="600" t="str">
        <f t="shared" si="31"/>
        <v>N/A</v>
      </c>
      <c r="W274" s="895"/>
      <c r="Y274" s="7"/>
      <c r="Z274" s="7"/>
      <c r="AA274" s="995"/>
      <c r="AB274" s="890"/>
    </row>
    <row r="275" spans="2:28" s="82" customFormat="1" ht="15" customHeight="1" outlineLevel="2" x14ac:dyDescent="0.4">
      <c r="B275" s="1030"/>
      <c r="C275" s="5"/>
      <c r="D275" s="997"/>
      <c r="E275" s="981" t="s">
        <v>130</v>
      </c>
      <c r="F275" s="981"/>
      <c r="G275" s="998" t="s">
        <v>251</v>
      </c>
      <c r="H275" s="999">
        <f t="shared" si="29"/>
        <v>24.022732551873563</v>
      </c>
      <c r="I275" s="1000">
        <f t="shared" si="30"/>
        <v>178.29665393799996</v>
      </c>
      <c r="J275" s="977" t="s">
        <v>2492</v>
      </c>
      <c r="K275" s="638">
        <f>IF(G275="operation",VLOOKUP(J275,'Generic Vertical Port Tasks'!$C$4:$D$197,2,FALSE),"N/A")</f>
        <v>24.022732551873563</v>
      </c>
      <c r="L275" s="603"/>
      <c r="M275" s="977"/>
      <c r="N275" s="978"/>
      <c r="O275" s="1001" t="str">
        <f>IFERROR(INDEX('Upper Hot Cell Logistics'!$I$35:$O$41,MATCH($M275,'Upper Hot Cell Logistics'!$H$35:$H$41,0),MATCH($N275,'Upper Hot Cell Logistics'!$H$35:$H$41,0)),"N/A")</f>
        <v>N/A</v>
      </c>
      <c r="P275" s="1002" t="str">
        <f>IFERROR(VLOOKUP($L275,'Upper Hot Cell Logistics'!$H$4:$I$10,2,FALSE),"N/A")</f>
        <v>N/A</v>
      </c>
      <c r="Q275" s="1000" t="str">
        <f t="shared" si="28"/>
        <v>N/A</v>
      </c>
      <c r="R275" s="1003"/>
      <c r="S275" s="1001" t="str">
        <f>IF($G275="Logistics",VLOOKUP($R275,'Upper Hot Cell Logistics'!$C$4:$D$44,2,FALSE),"N/A")</f>
        <v>N/A</v>
      </c>
      <c r="T275" s="3606"/>
      <c r="U275" s="1004" t="str">
        <f>IFERROR(VLOOKUP($T275,'Upper HotCell RecoveryLogisitcs'!$C$226:$F$495,4,FALSE),"N/A")</f>
        <v>N/A</v>
      </c>
      <c r="V275" s="608" t="str">
        <f t="shared" si="31"/>
        <v>N/A</v>
      </c>
      <c r="W275" s="895"/>
      <c r="Y275" s="7"/>
      <c r="Z275" s="7"/>
      <c r="AA275" s="995"/>
      <c r="AB275" s="890"/>
    </row>
    <row r="276" spans="2:28" s="82" customFormat="1" ht="15" customHeight="1" outlineLevel="2" x14ac:dyDescent="0.4">
      <c r="B276" s="1030"/>
      <c r="C276" s="5"/>
      <c r="D276" s="997"/>
      <c r="E276" s="981" t="s">
        <v>811</v>
      </c>
      <c r="F276" s="981"/>
      <c r="G276" s="998" t="s">
        <v>778</v>
      </c>
      <c r="H276" s="999">
        <f t="shared" si="29"/>
        <v>0.20833333333333334</v>
      </c>
      <c r="I276" s="1000">
        <f t="shared" si="30"/>
        <v>180.41276504911102</v>
      </c>
      <c r="J276" s="977"/>
      <c r="K276" s="638" t="str">
        <f>IF(G276="operation",VLOOKUP(J276,'Generic Vertical Port Tasks'!$C$4:$D$197,2,FALSE),"N/A")</f>
        <v>N/A</v>
      </c>
      <c r="L276" s="603" t="s">
        <v>12</v>
      </c>
      <c r="M276" s="977" t="s">
        <v>816</v>
      </c>
      <c r="N276" s="978" t="s">
        <v>452</v>
      </c>
      <c r="O276" s="1001">
        <f>IFERROR(INDEX('Upper Hot Cell Logistics'!$I$35:$O$41,MATCH($M276,'Upper Hot Cell Logistics'!$H$35:$H$41,0),MATCH($N276,'Upper Hot Cell Logistics'!$H$35:$H$41,0)),"N/A")</f>
        <v>15</v>
      </c>
      <c r="P276" s="1002">
        <f>IFERROR(VLOOKUP($L276,'Upper Hot Cell Logistics'!$H$4:$I$10,2,FALSE),"N/A")</f>
        <v>0.02</v>
      </c>
      <c r="Q276" s="1000">
        <f t="shared" si="28"/>
        <v>0.20833333333333334</v>
      </c>
      <c r="R276" s="1003"/>
      <c r="S276" s="1001" t="str">
        <f>IF($G276="Logistics",VLOOKUP($R276,'Upper Hot Cell Logistics'!$C$4:$D$44,2,FALSE),"N/A")</f>
        <v>N/A</v>
      </c>
      <c r="T276" s="3606" t="s">
        <v>1090</v>
      </c>
      <c r="U276" s="1004">
        <f>IFERROR(VLOOKUP($T276,'Upper HotCell RecoveryLogisitcs'!$C$226:$F$495,4,FALSE),"N/A")</f>
        <v>180.20443171577767</v>
      </c>
      <c r="V276" s="608">
        <f t="shared" si="31"/>
        <v>-1.9077777777777101</v>
      </c>
      <c r="W276" s="895"/>
      <c r="Y276" s="7"/>
      <c r="Z276" s="7"/>
      <c r="AA276" s="995"/>
      <c r="AB276" s="890"/>
    </row>
    <row r="277" spans="2:28" s="82" customFormat="1" ht="15.75" customHeight="1" outlineLevel="2" thickBot="1" x14ac:dyDescent="0.45">
      <c r="B277" s="1030"/>
      <c r="C277" s="5"/>
      <c r="D277" s="1005"/>
      <c r="E277" s="963" t="s">
        <v>42</v>
      </c>
      <c r="F277" s="963"/>
      <c r="G277" s="964" t="s">
        <v>251</v>
      </c>
      <c r="H277" s="1006">
        <f t="shared" si="29"/>
        <v>7.83</v>
      </c>
      <c r="I277" s="965">
        <f t="shared" si="30"/>
        <v>188.24276504911103</v>
      </c>
      <c r="J277" s="966" t="s">
        <v>257</v>
      </c>
      <c r="K277" s="967">
        <f>IF(G277="operation",VLOOKUP(J277,'Generic Vertical Port Tasks'!$C$4:$D$197,2,FALSE),"N/A")</f>
        <v>7.83</v>
      </c>
      <c r="L277" s="611"/>
      <c r="M277" s="966"/>
      <c r="N277" s="968"/>
      <c r="O277" s="969" t="str">
        <f>IFERROR(INDEX('Upper Hot Cell Logistics'!$I$35:$O$41,MATCH($M277,'Upper Hot Cell Logistics'!$H$35:$H$41,0),MATCH($N277,'Upper Hot Cell Logistics'!$H$35:$H$41,0)),"N/A")</f>
        <v>N/A</v>
      </c>
      <c r="P277" s="970" t="str">
        <f>IFERROR(VLOOKUP($L277,'Upper Hot Cell Logistics'!$H$4:$I$10,2,FALSE),"N/A")</f>
        <v>N/A</v>
      </c>
      <c r="Q277" s="965" t="str">
        <f t="shared" si="28"/>
        <v>N/A</v>
      </c>
      <c r="R277" s="971"/>
      <c r="S277" s="969" t="str">
        <f>IF($G277="Logistics",VLOOKUP($R277,'Upper Hot Cell Logistics'!$C$4:$D$44,2,FALSE),"N/A")</f>
        <v>N/A</v>
      </c>
      <c r="T277" s="3568"/>
      <c r="U277" s="972" t="str">
        <f>IFERROR(VLOOKUP($T277,'Upper HotCell RecoveryLogisitcs'!$C$226:$F$495,4,FALSE),"N/A")</f>
        <v>N/A</v>
      </c>
      <c r="V277" s="616" t="str">
        <f t="shared" si="31"/>
        <v>N/A</v>
      </c>
      <c r="W277" s="895"/>
      <c r="Y277" s="7"/>
      <c r="Z277" s="7"/>
      <c r="AA277" s="995"/>
      <c r="AB277" s="890"/>
    </row>
    <row r="278" spans="2:28" ht="15" customHeight="1" outlineLevel="2" x14ac:dyDescent="0.4">
      <c r="B278" s="1030"/>
      <c r="C278" s="5"/>
      <c r="D278" s="993" t="s">
        <v>119</v>
      </c>
      <c r="E278" s="798" t="s">
        <v>797</v>
      </c>
      <c r="F278" s="798"/>
      <c r="G278" s="799" t="s">
        <v>778</v>
      </c>
      <c r="H278" s="326">
        <f t="shared" si="29"/>
        <v>6.9444444444444448E-2</v>
      </c>
      <c r="I278" s="800">
        <f t="shared" si="30"/>
        <v>188.31220949355549</v>
      </c>
      <c r="J278" s="566"/>
      <c r="K278" s="621" t="str">
        <f>IF(G278="operation",VLOOKUP(J278,'Generic Vertical Port Tasks'!$C$4:$D$197,2,FALSE),"N/A")</f>
        <v>N/A</v>
      </c>
      <c r="L278" s="568" t="s">
        <v>798</v>
      </c>
      <c r="M278" s="566" t="s">
        <v>858</v>
      </c>
      <c r="N278" s="801" t="s">
        <v>452</v>
      </c>
      <c r="O278" s="802">
        <f>IFERROR(INDEX('Upper Hot Cell Logistics'!$I$35:$O$41,MATCH($M278,'Upper Hot Cell Logistics'!$H$35:$H$41,0),MATCH($N278,'Upper Hot Cell Logistics'!$H$35:$H$41,0)),"N/A")</f>
        <v>50</v>
      </c>
      <c r="P278" s="570">
        <f>IFERROR(VLOOKUP($L278,'Upper Hot Cell Logistics'!$H$4:$I$10,2,FALSE),"N/A")</f>
        <v>0.2</v>
      </c>
      <c r="Q278" s="800">
        <f t="shared" si="28"/>
        <v>6.9444444444444448E-2</v>
      </c>
      <c r="R278" s="803"/>
      <c r="S278" s="802" t="s">
        <v>263</v>
      </c>
      <c r="T278" s="454" t="s">
        <v>879</v>
      </c>
      <c r="U278" s="804">
        <f>IFERROR(VLOOKUP($T278,'Upper HotCell RecoveryLogisitcs'!$C$226:$F$495,4,FALSE),"N/A")</f>
        <v>154.4289213861264</v>
      </c>
      <c r="V278" s="621">
        <f t="shared" si="31"/>
        <v>33.813843662984624</v>
      </c>
      <c r="W278" s="895"/>
      <c r="Y278" s="290"/>
      <c r="Z278" s="290"/>
      <c r="AA278" s="915"/>
    </row>
    <row r="279" spans="2:28" ht="15.75" customHeight="1" outlineLevel="2" thickBot="1" x14ac:dyDescent="0.45">
      <c r="B279" s="1030"/>
      <c r="C279" s="5"/>
      <c r="D279" s="994"/>
      <c r="E279" s="808" t="s">
        <v>1091</v>
      </c>
      <c r="F279" s="808"/>
      <c r="G279" s="809" t="s">
        <v>251</v>
      </c>
      <c r="H279" s="467">
        <f t="shared" si="29"/>
        <v>4.0949999999999998</v>
      </c>
      <c r="I279" s="810">
        <f t="shared" si="30"/>
        <v>192.40720949355548</v>
      </c>
      <c r="J279" s="584" t="s">
        <v>35</v>
      </c>
      <c r="K279" s="811">
        <f>IF(G279="operation",VLOOKUP(J279,'Generic Vertical Port Tasks'!$C$4:$D$197,2,FALSE),"N/A")</f>
        <v>4.0949999999999998</v>
      </c>
      <c r="L279" s="586"/>
      <c r="M279" s="584"/>
      <c r="N279" s="812"/>
      <c r="O279" s="813" t="str">
        <f>IFERROR(INDEX('Upper Hot Cell Logistics'!$I$35:$O$41,MATCH($M279,'Upper Hot Cell Logistics'!$H$35:$H$41,0),MATCH($N279,'Upper Hot Cell Logistics'!$H$35:$H$41,0)),"N/A")</f>
        <v>N/A</v>
      </c>
      <c r="P279" s="814" t="str">
        <f>IFERROR(VLOOKUP($L279,'Upper Hot Cell Logistics'!$H$4:$I$10,2,FALSE),"N/A")</f>
        <v>N/A</v>
      </c>
      <c r="Q279" s="810" t="str">
        <f t="shared" si="28"/>
        <v>N/A</v>
      </c>
      <c r="R279" s="815"/>
      <c r="S279" s="813" t="s">
        <v>263</v>
      </c>
      <c r="T279" s="469"/>
      <c r="U279" s="816" t="str">
        <f>IFERROR(VLOOKUP($T279,'Upper HotCell RecoveryLogisitcs'!$C$226:$F$495,4,FALSE),"N/A")</f>
        <v>N/A</v>
      </c>
      <c r="V279" s="591" t="str">
        <f t="shared" si="31"/>
        <v>N/A</v>
      </c>
      <c r="W279" s="895"/>
      <c r="Y279" s="290"/>
      <c r="Z279" s="290"/>
      <c r="AA279" s="915"/>
    </row>
    <row r="280" spans="2:28" ht="15" customHeight="1" outlineLevel="2" x14ac:dyDescent="0.4">
      <c r="B280" s="1030"/>
      <c r="C280" s="5"/>
      <c r="D280" s="996" t="s">
        <v>1092</v>
      </c>
      <c r="E280" s="952" t="s">
        <v>820</v>
      </c>
      <c r="F280" s="952"/>
      <c r="G280" s="953" t="s">
        <v>778</v>
      </c>
      <c r="H280" s="305">
        <f t="shared" si="29"/>
        <v>0.69444444444444442</v>
      </c>
      <c r="I280" s="955">
        <f t="shared" si="30"/>
        <v>193.10165393799994</v>
      </c>
      <c r="J280" s="592"/>
      <c r="K280" s="600" t="str">
        <f>IF(G280="operation",VLOOKUP(J280,'Generic Vertical Port Tasks'!$C$4:$D$197,2,FALSE),"N/A")</f>
        <v>N/A</v>
      </c>
      <c r="L280" s="594" t="s">
        <v>857</v>
      </c>
      <c r="M280" s="592" t="s">
        <v>858</v>
      </c>
      <c r="N280" s="956" t="s">
        <v>452</v>
      </c>
      <c r="O280" s="957">
        <f>IFERROR(INDEX('Upper Hot Cell Logistics'!$I$35:$O$41,MATCH($M280,'Upper Hot Cell Logistics'!$H$35:$H$41,0),MATCH($N280,'Upper Hot Cell Logistics'!$H$35:$H$41,0)),"N/A")</f>
        <v>50</v>
      </c>
      <c r="P280" s="958">
        <f>IFERROR(VLOOKUP($L280,'Upper Hot Cell Logistics'!$H$4:$I$10,2,FALSE),"N/A")</f>
        <v>0.02</v>
      </c>
      <c r="Q280" s="955">
        <f t="shared" si="28"/>
        <v>0.69444444444444442</v>
      </c>
      <c r="R280" s="959"/>
      <c r="S280" s="957" t="s">
        <v>263</v>
      </c>
      <c r="T280" s="3603"/>
      <c r="U280" s="960" t="str">
        <f>IFERROR(VLOOKUP($T280,'Upper HotCell RecoveryLogisitcs'!$C$226:$F$495,4,FALSE),"N/A")</f>
        <v>N/A</v>
      </c>
      <c r="V280" s="600" t="str">
        <f t="shared" si="31"/>
        <v>N/A</v>
      </c>
      <c r="W280" s="895"/>
      <c r="Y280" s="290"/>
      <c r="Z280" s="290"/>
      <c r="AA280" s="915"/>
    </row>
    <row r="281" spans="2:28" ht="15" customHeight="1" outlineLevel="2" x14ac:dyDescent="0.4">
      <c r="B281" s="1030"/>
      <c r="C281" s="5"/>
      <c r="D281" s="997"/>
      <c r="E281" s="981" t="s">
        <v>128</v>
      </c>
      <c r="F281" s="981"/>
      <c r="G281" s="998" t="s">
        <v>251</v>
      </c>
      <c r="H281" s="999">
        <f t="shared" si="29"/>
        <v>24.022732551873563</v>
      </c>
      <c r="I281" s="1000">
        <f t="shared" si="30"/>
        <v>217.1243864898735</v>
      </c>
      <c r="J281" s="977" t="s">
        <v>2492</v>
      </c>
      <c r="K281" s="638">
        <f>IF(G281="operation",VLOOKUP(J281,'Generic Vertical Port Tasks'!$C$4:$D$197,2,FALSE),"N/A")</f>
        <v>24.022732551873563</v>
      </c>
      <c r="L281" s="603"/>
      <c r="M281" s="977"/>
      <c r="N281" s="978"/>
      <c r="O281" s="1001" t="str">
        <f>IFERROR(INDEX('Upper Hot Cell Logistics'!$I$35:$O$41,MATCH($M281,'Upper Hot Cell Logistics'!$H$35:$H$41,0),MATCH($N281,'Upper Hot Cell Logistics'!$H$35:$H$41,0)),"N/A")</f>
        <v>N/A</v>
      </c>
      <c r="P281" s="1002" t="str">
        <f>IFERROR(VLOOKUP($L281,'Upper Hot Cell Logistics'!$H$4:$I$10,2,FALSE),"N/A")</f>
        <v>N/A</v>
      </c>
      <c r="Q281" s="1000" t="str">
        <f t="shared" si="28"/>
        <v>N/A</v>
      </c>
      <c r="R281" s="1003"/>
      <c r="S281" s="1001" t="s">
        <v>263</v>
      </c>
      <c r="T281" s="3606"/>
      <c r="U281" s="1004" t="str">
        <f>IFERROR(VLOOKUP($T281,'Upper HotCell RecoveryLogisitcs'!$C$226:$F$495,4,FALSE),"N/A")</f>
        <v>N/A</v>
      </c>
      <c r="V281" s="608" t="str">
        <f t="shared" si="31"/>
        <v>N/A</v>
      </c>
      <c r="W281" s="895"/>
      <c r="Y281" s="290"/>
      <c r="Z281" s="290"/>
      <c r="AA281" s="915"/>
    </row>
    <row r="282" spans="2:28" ht="15" customHeight="1" outlineLevel="2" x14ac:dyDescent="0.4">
      <c r="B282" s="1030"/>
      <c r="C282" s="5"/>
      <c r="D282" s="997"/>
      <c r="E282" s="981" t="s">
        <v>811</v>
      </c>
      <c r="F282" s="981"/>
      <c r="G282" s="998" t="s">
        <v>778</v>
      </c>
      <c r="H282" s="999">
        <f t="shared" si="29"/>
        <v>0.20833333333333334</v>
      </c>
      <c r="I282" s="1000">
        <f t="shared" si="30"/>
        <v>219.24049760098455</v>
      </c>
      <c r="J282" s="977"/>
      <c r="K282" s="638" t="str">
        <f>IF(G282="operation",VLOOKUP(J282,'Generic Vertical Port Tasks'!$C$4:$D$197,2,FALSE),"N/A")</f>
        <v>N/A</v>
      </c>
      <c r="L282" s="603" t="s">
        <v>12</v>
      </c>
      <c r="M282" s="977" t="s">
        <v>816</v>
      </c>
      <c r="N282" s="978" t="s">
        <v>452</v>
      </c>
      <c r="O282" s="1001">
        <f>IFERROR(INDEX('Upper Hot Cell Logistics'!$I$35:$O$41,MATCH($M282,'Upper Hot Cell Logistics'!$H$35:$H$41,0),MATCH($N282,'Upper Hot Cell Logistics'!$H$35:$H$41,0)),"N/A")</f>
        <v>15</v>
      </c>
      <c r="P282" s="1002">
        <f>IFERROR(VLOOKUP($L282,'Upper Hot Cell Logistics'!$H$4:$I$10,2,FALSE),"N/A")</f>
        <v>0.02</v>
      </c>
      <c r="Q282" s="1000">
        <f t="shared" si="28"/>
        <v>0.20833333333333334</v>
      </c>
      <c r="R282" s="1003"/>
      <c r="S282" s="1001" t="s">
        <v>263</v>
      </c>
      <c r="T282" s="3606" t="s">
        <v>1093</v>
      </c>
      <c r="U282" s="1004">
        <f>IFERROR(VLOOKUP($T282,'Upper HotCell RecoveryLogisitcs'!$C$226:$F$495,4,FALSE),"N/A")</f>
        <v>219.03216426765121</v>
      </c>
      <c r="V282" s="608">
        <f t="shared" si="31"/>
        <v>-1.9077777777777101</v>
      </c>
      <c r="W282" s="895"/>
      <c r="Y282" s="290"/>
      <c r="Z282" s="290"/>
      <c r="AA282" s="915"/>
    </row>
    <row r="283" spans="2:28" ht="15.75" customHeight="1" outlineLevel="2" thickBot="1" x14ac:dyDescent="0.45">
      <c r="B283" s="1030"/>
      <c r="C283" s="5"/>
      <c r="D283" s="1005"/>
      <c r="E283" s="963" t="s">
        <v>40</v>
      </c>
      <c r="F283" s="963"/>
      <c r="G283" s="964" t="s">
        <v>251</v>
      </c>
      <c r="H283" s="1006">
        <f t="shared" si="29"/>
        <v>7.83</v>
      </c>
      <c r="I283" s="965">
        <f t="shared" si="30"/>
        <v>227.07049760098457</v>
      </c>
      <c r="J283" s="966" t="s">
        <v>257</v>
      </c>
      <c r="K283" s="967">
        <f>IF(G283="operation",VLOOKUP(J283,'Generic Vertical Port Tasks'!$C$4:$D$197,2,FALSE),"N/A")</f>
        <v>7.83</v>
      </c>
      <c r="L283" s="611"/>
      <c r="M283" s="966"/>
      <c r="N283" s="968"/>
      <c r="O283" s="969" t="str">
        <f>IFERROR(INDEX('Upper Hot Cell Logistics'!$I$35:$O$41,MATCH($M283,'Upper Hot Cell Logistics'!$H$35:$H$41,0),MATCH($N283,'Upper Hot Cell Logistics'!$H$35:$H$41,0)),"N/A")</f>
        <v>N/A</v>
      </c>
      <c r="P283" s="970" t="str">
        <f>IFERROR(VLOOKUP($L283,'Upper Hot Cell Logistics'!$H$4:$I$10,2,FALSE),"N/A")</f>
        <v>N/A</v>
      </c>
      <c r="Q283" s="965" t="str">
        <f t="shared" si="28"/>
        <v>N/A</v>
      </c>
      <c r="R283" s="971"/>
      <c r="S283" s="969" t="s">
        <v>263</v>
      </c>
      <c r="T283" s="3568"/>
      <c r="U283" s="972" t="str">
        <f>IFERROR(VLOOKUP($T283,'Upper HotCell RecoveryLogisitcs'!$C$226:$F$495,4,FALSE),"N/A")</f>
        <v>N/A</v>
      </c>
      <c r="V283" s="616" t="str">
        <f t="shared" si="31"/>
        <v>N/A</v>
      </c>
      <c r="W283" s="895"/>
      <c r="Y283" s="290"/>
      <c r="Z283" s="290"/>
      <c r="AA283" s="915"/>
    </row>
    <row r="284" spans="2:28" ht="15" customHeight="1" outlineLevel="1" x14ac:dyDescent="0.4">
      <c r="B284" s="1030"/>
      <c r="C284" s="5"/>
      <c r="D284" s="891"/>
      <c r="E284" s="892"/>
      <c r="F284" s="892"/>
      <c r="G284" s="893" t="s">
        <v>11</v>
      </c>
      <c r="H284" s="893"/>
      <c r="I284" s="894">
        <f>IF(X284&lt;0,H284+I283+(-X284),H284+I283)</f>
        <v>227.07049760098457</v>
      </c>
      <c r="J284" s="94"/>
      <c r="K284" s="895"/>
      <c r="L284" s="94"/>
      <c r="M284" s="94"/>
      <c r="N284" s="896"/>
      <c r="O284" s="897"/>
      <c r="P284" s="897"/>
      <c r="Q284" s="894"/>
      <c r="R284" s="94"/>
      <c r="S284" s="897"/>
      <c r="T284" s="3356"/>
      <c r="U284" s="290"/>
      <c r="V284" s="895"/>
      <c r="W284" s="895"/>
      <c r="X284" s="895"/>
      <c r="Y284" s="290"/>
      <c r="Z284" s="290"/>
      <c r="AA284" s="915"/>
    </row>
    <row r="285" spans="2:28" outlineLevel="1" x14ac:dyDescent="0.4">
      <c r="B285" s="1030"/>
      <c r="C285" s="5"/>
      <c r="D285" s="891"/>
      <c r="E285" s="892"/>
      <c r="F285" s="892"/>
      <c r="G285" s="898"/>
      <c r="H285" s="894"/>
      <c r="I285" s="894"/>
      <c r="J285" s="94"/>
      <c r="K285" s="895"/>
      <c r="L285" s="94"/>
      <c r="M285" s="94"/>
      <c r="N285" s="896"/>
      <c r="O285" s="897"/>
      <c r="P285" s="897"/>
      <c r="Q285" s="894"/>
      <c r="R285" s="94"/>
      <c r="S285" s="897"/>
      <c r="T285" s="3356"/>
      <c r="U285" s="290"/>
      <c r="V285" s="895"/>
      <c r="W285" s="895"/>
      <c r="X285" s="895"/>
      <c r="Y285" s="273"/>
      <c r="Z285" s="273"/>
      <c r="AA285" s="915"/>
    </row>
    <row r="286" spans="2:28" x14ac:dyDescent="0.4">
      <c r="B286" s="1031"/>
      <c r="C286" s="1032"/>
      <c r="D286" s="1032"/>
      <c r="E286" s="1032"/>
      <c r="F286" s="1032"/>
      <c r="G286" s="1033"/>
      <c r="H286" s="1032"/>
      <c r="I286" s="1032"/>
      <c r="J286" s="1034"/>
      <c r="K286" s="1035"/>
      <c r="L286" s="1032"/>
      <c r="M286" s="1032"/>
      <c r="N286" s="1036"/>
      <c r="O286" s="1032"/>
      <c r="P286" s="1032"/>
      <c r="Q286" s="1032"/>
      <c r="R286" s="1032"/>
      <c r="S286" s="1032"/>
      <c r="T286" s="1036"/>
      <c r="U286" s="1035"/>
      <c r="V286" s="1032"/>
      <c r="W286" s="1032"/>
      <c r="X286" s="1032"/>
      <c r="Y286" s="1035"/>
      <c r="Z286" s="1035"/>
      <c r="AA286" s="1037"/>
    </row>
    <row r="288" spans="2:28" ht="15.45" x14ac:dyDescent="0.4">
      <c r="B288" s="1038"/>
      <c r="C288" s="1039"/>
      <c r="D288" s="1039"/>
      <c r="E288" s="1040" t="s">
        <v>1111</v>
      </c>
      <c r="F288" s="1041"/>
      <c r="G288" s="1041"/>
      <c r="H288" s="1041"/>
      <c r="I288" s="1041"/>
      <c r="J288" s="1041"/>
      <c r="K288" s="1041"/>
      <c r="L288" s="1041"/>
      <c r="M288" s="1041"/>
      <c r="N288" s="1041"/>
      <c r="O288" s="1041"/>
      <c r="P288" s="1041"/>
      <c r="Q288" s="1041"/>
      <c r="R288" s="1041"/>
      <c r="S288" s="1041"/>
      <c r="T288" s="3608"/>
      <c r="U288" s="1041"/>
      <c r="V288" s="1041"/>
      <c r="W288" s="1041"/>
      <c r="X288" s="1041"/>
      <c r="Y288" s="1041"/>
      <c r="Z288" s="1041"/>
      <c r="AA288" s="1042"/>
    </row>
    <row r="289" spans="2:31" ht="15" outlineLevel="1" thickBot="1" x14ac:dyDescent="0.45">
      <c r="B289" s="1043"/>
      <c r="C289" s="704"/>
      <c r="D289" s="704"/>
      <c r="E289" s="748" t="s">
        <v>1053</v>
      </c>
      <c r="F289" s="704"/>
      <c r="G289" s="749"/>
      <c r="H289" s="704"/>
      <c r="I289" s="704"/>
      <c r="J289" s="704"/>
      <c r="K289" s="750"/>
      <c r="L289" s="704"/>
      <c r="M289" s="704"/>
      <c r="N289" s="704"/>
      <c r="O289" s="704"/>
      <c r="P289" s="704"/>
      <c r="Q289" s="704"/>
      <c r="R289" s="704"/>
      <c r="S289" s="704"/>
      <c r="T289" s="1826"/>
      <c r="U289" s="750"/>
      <c r="V289" s="704"/>
      <c r="W289" s="704"/>
      <c r="X289" s="704"/>
      <c r="Y289" s="750"/>
      <c r="Z289" s="750"/>
      <c r="AA289" s="751"/>
    </row>
    <row r="290" spans="2:31" ht="15" customHeight="1" outlineLevel="1" x14ac:dyDescent="0.4">
      <c r="B290" s="1043"/>
      <c r="C290" s="704"/>
      <c r="D290" s="704"/>
      <c r="E290" s="704" t="s">
        <v>1034</v>
      </c>
      <c r="F290" s="704"/>
      <c r="G290" s="749"/>
      <c r="H290" s="704"/>
      <c r="I290" s="704"/>
      <c r="J290" s="704"/>
      <c r="K290" s="750"/>
      <c r="L290" s="704"/>
      <c r="M290" s="704"/>
      <c r="N290" s="704"/>
      <c r="O290" s="704"/>
      <c r="P290" s="704"/>
      <c r="Q290" s="704"/>
      <c r="R290" s="704"/>
      <c r="S290" s="704"/>
      <c r="T290" s="3541"/>
      <c r="U290" s="3015" t="s">
        <v>23</v>
      </c>
      <c r="V290" s="3989" t="s">
        <v>2688</v>
      </c>
      <c r="W290" s="3990"/>
      <c r="X290" s="3990"/>
      <c r="Y290" s="3990"/>
      <c r="Z290" s="3991"/>
      <c r="AA290" s="915"/>
    </row>
    <row r="291" spans="2:31" outlineLevel="1" x14ac:dyDescent="0.4">
      <c r="B291" s="1043"/>
      <c r="C291" s="704"/>
      <c r="D291" s="704"/>
      <c r="E291" s="704" t="s">
        <v>1035</v>
      </c>
      <c r="F291" s="704"/>
      <c r="G291" s="749"/>
      <c r="H291" s="704"/>
      <c r="I291" s="704"/>
      <c r="J291" s="704"/>
      <c r="K291" s="750"/>
      <c r="L291" s="704"/>
      <c r="M291" s="704"/>
      <c r="N291" s="704"/>
      <c r="O291" s="704"/>
      <c r="P291" s="704"/>
      <c r="Q291" s="704"/>
      <c r="R291" s="704"/>
      <c r="S291" s="704"/>
      <c r="T291" s="3596" t="s">
        <v>1055</v>
      </c>
      <c r="U291" s="2282">
        <v>1</v>
      </c>
      <c r="V291" s="1497">
        <v>1</v>
      </c>
      <c r="W291" s="754">
        <v>2</v>
      </c>
      <c r="X291" s="754">
        <v>3</v>
      </c>
      <c r="Y291" s="754">
        <v>4</v>
      </c>
      <c r="Z291" s="753">
        <v>6</v>
      </c>
      <c r="AA291" s="915"/>
    </row>
    <row r="292" spans="2:31" outlineLevel="1" x14ac:dyDescent="0.4">
      <c r="B292" s="1043"/>
      <c r="C292" s="704"/>
      <c r="D292" s="704"/>
      <c r="E292" s="704" t="s">
        <v>1036</v>
      </c>
      <c r="F292" s="704"/>
      <c r="G292" s="749"/>
      <c r="H292" s="704"/>
      <c r="I292" s="704"/>
      <c r="J292" s="704"/>
      <c r="K292" s="750"/>
      <c r="L292" s="704"/>
      <c r="M292" s="704"/>
      <c r="N292" s="704"/>
      <c r="O292" s="704"/>
      <c r="P292" s="704"/>
      <c r="Q292" s="704"/>
      <c r="R292" s="704"/>
      <c r="S292" s="704"/>
      <c r="T292" s="3333" t="s">
        <v>2665</v>
      </c>
      <c r="U292" s="1086">
        <f>(Connect_vertical_pipework)</f>
        <v>24.022732551873563</v>
      </c>
      <c r="V292" s="1498">
        <f>(ROUNDUP(Tokamak_Segmts/V291,0)*(Connect_vertical_pipework))</f>
        <v>384.36372082997701</v>
      </c>
      <c r="W292" s="756">
        <f>(ROUNDUP(Tokamak_Segmts/W291,0)*(Connect_vertical_pipework))</f>
        <v>192.18186041498851</v>
      </c>
      <c r="X292" s="756">
        <f>(ROUNDUP(Tokamak_Segmts/X291,0)*(Connect_vertical_pipework))</f>
        <v>144.13639531124139</v>
      </c>
      <c r="Y292" s="756">
        <f>(ROUNDUP(Tokamak_Segmts/Y291,0)*(Connect_vertical_pipework))</f>
        <v>96.090930207494253</v>
      </c>
      <c r="Z292" s="755">
        <f>(ROUNDUP(Tokamak_Segmts/Z291,0)*(Connect_vertical_pipework))</f>
        <v>72.068197655620693</v>
      </c>
      <c r="AA292" s="915"/>
    </row>
    <row r="293" spans="2:31" ht="15" outlineLevel="1" thickBot="1" x14ac:dyDescent="0.45">
      <c r="B293" s="1043"/>
      <c r="C293" s="704"/>
      <c r="D293" s="704"/>
      <c r="E293" s="704" t="s">
        <v>1037</v>
      </c>
      <c r="F293" s="704"/>
      <c r="G293" s="749"/>
      <c r="H293" s="704"/>
      <c r="I293" s="704"/>
      <c r="J293" s="704"/>
      <c r="K293" s="750"/>
      <c r="L293" s="704"/>
      <c r="M293" s="704"/>
      <c r="N293" s="704"/>
      <c r="O293" s="704"/>
      <c r="P293" s="704"/>
      <c r="Q293" s="704"/>
      <c r="R293" s="704"/>
      <c r="S293" s="704"/>
      <c r="T293" s="3141" t="s">
        <v>2693</v>
      </c>
      <c r="U293" s="1089">
        <f>U$292*$F$296</f>
        <v>0.2642500580706092</v>
      </c>
      <c r="V293" s="1499">
        <f t="shared" ref="V293:Z293" si="32">V$292*$F$296</f>
        <v>4.2280009291297471</v>
      </c>
      <c r="W293" s="761">
        <f t="shared" si="32"/>
        <v>2.1140004645648736</v>
      </c>
      <c r="X293" s="761">
        <f t="shared" si="32"/>
        <v>1.5855003484236552</v>
      </c>
      <c r="Y293" s="761">
        <f t="shared" si="32"/>
        <v>1.0570002322824368</v>
      </c>
      <c r="Z293" s="760">
        <f t="shared" si="32"/>
        <v>0.79275017421182759</v>
      </c>
      <c r="AA293" s="915"/>
    </row>
    <row r="294" spans="2:31" outlineLevel="1" x14ac:dyDescent="0.4">
      <c r="B294" s="1043"/>
      <c r="C294" s="704"/>
      <c r="D294" s="704"/>
      <c r="E294" s="704" t="s">
        <v>1038</v>
      </c>
      <c r="F294" s="704"/>
      <c r="G294" s="749"/>
      <c r="H294" s="704"/>
      <c r="I294" s="704"/>
      <c r="J294" s="704"/>
      <c r="K294" s="750"/>
      <c r="L294" s="704"/>
      <c r="M294" s="704"/>
      <c r="N294" s="704"/>
      <c r="O294" s="704"/>
      <c r="P294" s="704"/>
      <c r="Q294" s="704"/>
      <c r="R294" s="704"/>
      <c r="S294" s="704"/>
      <c r="T294" s="3597" t="s">
        <v>1048</v>
      </c>
      <c r="U294" s="3016">
        <f t="shared" ref="U294:Z294" si="33">U293*(SUMIF($G$304:$G$345,"Operation",$H$304:$H$345))</f>
        <v>35.791427377568347</v>
      </c>
      <c r="V294" s="1500">
        <f t="shared" si="33"/>
        <v>572.66283804109355</v>
      </c>
      <c r="W294" s="768">
        <f t="shared" si="33"/>
        <v>286.33141902054678</v>
      </c>
      <c r="X294" s="768">
        <f t="shared" si="33"/>
        <v>214.7485642654101</v>
      </c>
      <c r="Y294" s="768">
        <f t="shared" si="33"/>
        <v>143.16570951027339</v>
      </c>
      <c r="Z294" s="1062">
        <f t="shared" si="33"/>
        <v>107.37428213270505</v>
      </c>
      <c r="AA294" s="915"/>
    </row>
    <row r="295" spans="2:31" outlineLevel="1" x14ac:dyDescent="0.4">
      <c r="B295" s="1043"/>
      <c r="C295" s="704"/>
      <c r="D295" s="704"/>
      <c r="E295" s="704"/>
      <c r="F295" s="704"/>
      <c r="G295" s="749"/>
      <c r="H295" s="704"/>
      <c r="I295" s="704"/>
      <c r="J295" s="704"/>
      <c r="K295" s="750"/>
      <c r="L295" s="704"/>
      <c r="M295" s="704"/>
      <c r="N295" s="704"/>
      <c r="O295" s="704"/>
      <c r="P295" s="704"/>
      <c r="Q295" s="704"/>
      <c r="R295" s="704"/>
      <c r="S295" s="704"/>
      <c r="T295" s="3540" t="s">
        <v>2658</v>
      </c>
      <c r="U295" s="3017">
        <f t="shared" ref="U295:Z295" si="34">U293*(SUMIF($G$304:$G$345,"Movement",$H$304:$H$345)+(SUMIF($G$304:$G$345,"Logistics",$H$304:$H$345)))</f>
        <v>0.95974153035367082</v>
      </c>
      <c r="V295" s="1502">
        <f t="shared" si="34"/>
        <v>15.355864485658733</v>
      </c>
      <c r="W295" s="769">
        <f t="shared" si="34"/>
        <v>7.6779322428293666</v>
      </c>
      <c r="X295" s="769">
        <f t="shared" si="34"/>
        <v>5.7584491821220247</v>
      </c>
      <c r="Y295" s="769">
        <f t="shared" si="34"/>
        <v>3.8389661214146833</v>
      </c>
      <c r="Z295" s="1064">
        <f t="shared" si="34"/>
        <v>2.8792245910610124</v>
      </c>
      <c r="AA295" s="915"/>
    </row>
    <row r="296" spans="2:31" ht="15" outlineLevel="1" thickBot="1" x14ac:dyDescent="0.45">
      <c r="B296" s="1043"/>
      <c r="C296" s="704"/>
      <c r="D296" s="704"/>
      <c r="E296" s="748" t="s">
        <v>1056</v>
      </c>
      <c r="F296" s="918">
        <f>SUM(F297:F298)</f>
        <v>1.0999999999999999E-2</v>
      </c>
      <c r="G296" s="757"/>
      <c r="H296" s="709"/>
      <c r="I296" s="709"/>
      <c r="J296" s="709"/>
      <c r="K296" s="919"/>
      <c r="L296" s="918"/>
      <c r="M296" s="918"/>
      <c r="N296" s="918"/>
      <c r="O296" s="918"/>
      <c r="P296" s="918"/>
      <c r="Q296" s="918"/>
      <c r="R296" s="704"/>
      <c r="S296" s="704"/>
      <c r="T296" s="3598" t="s">
        <v>2662</v>
      </c>
      <c r="U296" s="1109">
        <f t="shared" ref="U296:Z296" si="35">U293*(-SUMIF($V$304:$V$345,"&lt;0"))</f>
        <v>0.33662521286439279</v>
      </c>
      <c r="V296" s="1110">
        <f t="shared" si="35"/>
        <v>5.3860034058302846</v>
      </c>
      <c r="W296" s="770">
        <f t="shared" si="35"/>
        <v>2.6930017029151423</v>
      </c>
      <c r="X296" s="770">
        <f t="shared" si="35"/>
        <v>2.0197512771863564</v>
      </c>
      <c r="Y296" s="770">
        <f t="shared" si="35"/>
        <v>1.3465008514575711</v>
      </c>
      <c r="Z296" s="1066">
        <f t="shared" si="35"/>
        <v>1.0098756385931782</v>
      </c>
      <c r="AA296" s="915"/>
    </row>
    <row r="297" spans="2:31" ht="15" outlineLevel="1" thickBot="1" x14ac:dyDescent="0.45">
      <c r="B297" s="1046"/>
      <c r="C297" s="5"/>
      <c r="D297" s="5"/>
      <c r="E297" s="7" t="s">
        <v>1057</v>
      </c>
      <c r="F297" s="922">
        <f>Weld_Failure_Rate</f>
        <v>1E-3</v>
      </c>
      <c r="G297" s="923"/>
      <c r="H297" s="922"/>
      <c r="I297" s="922"/>
      <c r="J297" s="924"/>
      <c r="K297" s="290"/>
      <c r="L297" s="922"/>
      <c r="M297" s="922"/>
      <c r="N297" s="925"/>
      <c r="O297" s="922"/>
      <c r="P297" s="922"/>
      <c r="Q297" s="922"/>
      <c r="R297" s="706"/>
      <c r="S297" s="7"/>
      <c r="T297" s="3355" t="s">
        <v>2667</v>
      </c>
      <c r="U297" s="2993">
        <f t="shared" ref="U297:Z297" si="36">U293*$I$346</f>
        <v>37.087794120786413</v>
      </c>
      <c r="V297" s="2994">
        <f t="shared" si="36"/>
        <v>593.4047059325826</v>
      </c>
      <c r="W297" s="694">
        <f t="shared" si="36"/>
        <v>296.7023529662913</v>
      </c>
      <c r="X297" s="694">
        <f t="shared" si="36"/>
        <v>222.52676472471848</v>
      </c>
      <c r="Y297" s="694">
        <f t="shared" si="36"/>
        <v>148.35117648314565</v>
      </c>
      <c r="Z297" s="2974">
        <f t="shared" si="36"/>
        <v>111.26338236235924</v>
      </c>
      <c r="AA297" s="915"/>
    </row>
    <row r="298" spans="2:31" outlineLevel="1" x14ac:dyDescent="0.4">
      <c r="B298" s="1046"/>
      <c r="C298" s="5"/>
      <c r="D298" s="5"/>
      <c r="E298" s="7" t="s">
        <v>1058</v>
      </c>
      <c r="F298" s="922">
        <f>SJS_welder_failure</f>
        <v>0.01</v>
      </c>
      <c r="G298" s="923"/>
      <c r="H298" s="922"/>
      <c r="I298" s="922"/>
      <c r="J298" s="924"/>
      <c r="K298" s="290"/>
      <c r="L298" s="922"/>
      <c r="M298" s="922"/>
      <c r="N298" s="925"/>
      <c r="O298" s="922"/>
      <c r="P298" s="922"/>
      <c r="Q298" s="922"/>
      <c r="R298" s="706"/>
      <c r="S298" s="7"/>
      <c r="AA298" s="915"/>
    </row>
    <row r="299" spans="2:31" outlineLevel="1" x14ac:dyDescent="0.4">
      <c r="B299" s="1046"/>
      <c r="C299" s="5"/>
      <c r="D299" s="5"/>
      <c r="E299" s="926" t="s">
        <v>1059</v>
      </c>
      <c r="F299" s="927">
        <f>F296*(1-(1-F296)^(Vertical_port_pipes_per_blanket))</f>
        <v>7.0632541484487834E-4</v>
      </c>
      <c r="G299" s="927"/>
      <c r="H299" s="927"/>
      <c r="I299" s="927"/>
      <c r="J299" s="927"/>
      <c r="K299" s="919"/>
      <c r="L299" s="927"/>
      <c r="M299" s="927"/>
      <c r="N299" s="927"/>
      <c r="O299" s="927"/>
      <c r="P299" s="927"/>
      <c r="Q299" s="927"/>
      <c r="R299" s="706"/>
      <c r="S299" s="7"/>
      <c r="AA299" s="915"/>
    </row>
    <row r="300" spans="2:31" outlineLevel="1" x14ac:dyDescent="0.4">
      <c r="B300" s="1046"/>
      <c r="C300" s="5"/>
      <c r="D300" s="5"/>
      <c r="E300" s="926"/>
      <c r="F300" s="927"/>
      <c r="G300" s="928"/>
      <c r="H300" s="927"/>
      <c r="I300" s="927"/>
      <c r="J300" s="927"/>
      <c r="K300" s="919"/>
      <c r="L300" s="927"/>
      <c r="M300" s="927"/>
      <c r="N300" s="927"/>
      <c r="O300" s="927"/>
      <c r="P300" s="927"/>
      <c r="Q300" s="927"/>
      <c r="R300" s="706"/>
      <c r="S300" s="7"/>
      <c r="AA300" s="915"/>
    </row>
    <row r="301" spans="2:31" ht="15.75" customHeight="1" outlineLevel="2" thickBot="1" x14ac:dyDescent="0.45">
      <c r="B301" s="1046"/>
      <c r="C301" s="5"/>
      <c r="D301" s="5"/>
      <c r="E301" s="926"/>
      <c r="F301" s="927"/>
      <c r="G301" s="928"/>
      <c r="H301" s="927"/>
      <c r="I301" s="927"/>
      <c r="J301" s="927"/>
      <c r="K301" s="919"/>
      <c r="L301" s="927"/>
      <c r="M301" s="927"/>
      <c r="N301" s="927"/>
      <c r="O301" s="927"/>
      <c r="P301" s="927"/>
      <c r="Q301" s="927"/>
      <c r="R301" s="706"/>
      <c r="S301" s="7"/>
      <c r="T301" s="707"/>
      <c r="U301" s="290"/>
      <c r="V301" s="7"/>
      <c r="W301" s="7"/>
      <c r="X301" s="7"/>
      <c r="Y301" s="290"/>
      <c r="Z301" s="290"/>
      <c r="AA301" s="915"/>
    </row>
    <row r="302" spans="2:31" ht="15.75" customHeight="1" outlineLevel="2" thickBot="1" x14ac:dyDescent="0.45">
      <c r="B302" s="1046"/>
      <c r="C302" s="5"/>
      <c r="D302" s="5"/>
      <c r="E302" s="926"/>
      <c r="F302" s="927"/>
      <c r="G302" s="701"/>
      <c r="H302" s="7"/>
      <c r="I302" s="929"/>
      <c r="J302" s="930" t="s">
        <v>18</v>
      </c>
      <c r="K302" s="931"/>
      <c r="L302" s="932" t="s">
        <v>778</v>
      </c>
      <c r="M302" s="933"/>
      <c r="N302" s="933"/>
      <c r="O302" s="933"/>
      <c r="P302" s="933"/>
      <c r="Q302" s="934"/>
      <c r="R302" s="933" t="s">
        <v>3</v>
      </c>
      <c r="S302" s="934"/>
      <c r="T302" s="3838" t="s">
        <v>779</v>
      </c>
      <c r="U302" s="3839"/>
      <c r="V302" s="3840"/>
      <c r="W302" s="937"/>
      <c r="Y302" s="938"/>
      <c r="Z302" s="938"/>
      <c r="AA302" s="915"/>
    </row>
    <row r="303" spans="2:31" ht="30.75" customHeight="1" outlineLevel="2" thickBot="1" x14ac:dyDescent="0.45">
      <c r="B303" s="1046"/>
      <c r="C303" s="5"/>
      <c r="D303" s="939" t="s">
        <v>780</v>
      </c>
      <c r="E303" s="940" t="s">
        <v>1060</v>
      </c>
      <c r="F303" s="563" t="s">
        <v>1061</v>
      </c>
      <c r="G303" s="941" t="s">
        <v>782</v>
      </c>
      <c r="H303" s="942" t="s">
        <v>783</v>
      </c>
      <c r="I303" s="943" t="s">
        <v>784</v>
      </c>
      <c r="J303" s="562" t="s">
        <v>785</v>
      </c>
      <c r="K303" s="944" t="s">
        <v>783</v>
      </c>
      <c r="L303" s="562" t="s">
        <v>786</v>
      </c>
      <c r="M303" s="563" t="s">
        <v>787</v>
      </c>
      <c r="N303" s="563" t="s">
        <v>788</v>
      </c>
      <c r="O303" s="563" t="s">
        <v>789</v>
      </c>
      <c r="P303" s="563" t="s">
        <v>790</v>
      </c>
      <c r="Q303" s="945" t="s">
        <v>783</v>
      </c>
      <c r="R303" s="560" t="s">
        <v>785</v>
      </c>
      <c r="S303" s="946" t="s">
        <v>783</v>
      </c>
      <c r="T303" s="3599" t="s">
        <v>781</v>
      </c>
      <c r="U303" s="794" t="s">
        <v>791</v>
      </c>
      <c r="V303" s="789" t="s">
        <v>792</v>
      </c>
      <c r="W303" s="795"/>
      <c r="Y303" s="947"/>
      <c r="Z303" s="947"/>
      <c r="AA303" s="915"/>
    </row>
    <row r="304" spans="2:31" ht="15" customHeight="1" outlineLevel="2" x14ac:dyDescent="0.4">
      <c r="B304" s="1046"/>
      <c r="C304" s="5"/>
      <c r="D304" s="948" t="s">
        <v>1062</v>
      </c>
      <c r="E304" s="797" t="s">
        <v>1112</v>
      </c>
      <c r="F304" s="798"/>
      <c r="G304" s="799" t="s">
        <v>251</v>
      </c>
      <c r="H304" s="456">
        <f>MAX($S304,$Q304,$K304)</f>
        <v>0</v>
      </c>
      <c r="I304" s="800">
        <f>H304</f>
        <v>0</v>
      </c>
      <c r="J304" s="566" t="s">
        <v>557</v>
      </c>
      <c r="K304" s="621">
        <f>IF(G304="operation",VLOOKUP(J304,'Generic Vertical Port Tasks'!$C$4:$D$197,2,FALSE),"N/A")</f>
        <v>0</v>
      </c>
      <c r="L304" s="568"/>
      <c r="M304" s="566"/>
      <c r="N304" s="801"/>
      <c r="O304" s="802" t="str">
        <f>IFERROR(INDEX('Upper Hot Cell Logistics'!$I$35:$O$41,MATCH($M304,'Upper Hot Cell Logistics'!$H$35:$H$41,0),MATCH($N304,'Upper Hot Cell Logistics'!$H$35:$H$41,0)),"N/A")</f>
        <v>N/A</v>
      </c>
      <c r="P304" s="570" t="str">
        <f>IFERROR(VLOOKUP($L304,'Upper Hot Cell Logistics'!$H$4:$I$10,2,FALSE),"N/A")</f>
        <v>N/A</v>
      </c>
      <c r="Q304" s="800" t="str">
        <f t="shared" ref="Q304:Q345" si="37">IF(G304="Movement",IFERROR((O304/P304)/(60*60),"Error"),"N/A")</f>
        <v>N/A</v>
      </c>
      <c r="R304" s="803"/>
      <c r="S304" s="802" t="str">
        <f>IF($G304="Logistics",VLOOKUP($R304,'Upper Hot Cell Logistics'!$C$4:$D$44,2,FALSE),"N/A")</f>
        <v>N/A</v>
      </c>
      <c r="T304" s="454"/>
      <c r="U304" s="804" t="str">
        <f>IFERROR(VLOOKUP($T304,'Upper HotCell RecoveryLogisitcs'!$C$340:$F$411,4,FALSE),"N/A")</f>
        <v>N/A</v>
      </c>
      <c r="V304" s="621" t="str">
        <f>IFERROR(I304-H304-U304,"N/A")</f>
        <v>N/A</v>
      </c>
      <c r="W304" s="895"/>
      <c r="Y304" s="947"/>
      <c r="Z304" s="947"/>
      <c r="AA304" s="915"/>
      <c r="AE304" s="8"/>
    </row>
    <row r="305" spans="2:34" ht="15.75" customHeight="1" outlineLevel="2" thickBot="1" x14ac:dyDescent="0.45">
      <c r="B305" s="1046"/>
      <c r="C305" s="5"/>
      <c r="D305" s="949"/>
      <c r="E305" s="807" t="s">
        <v>1113</v>
      </c>
      <c r="F305" s="808"/>
      <c r="G305" s="809" t="s">
        <v>251</v>
      </c>
      <c r="H305" s="471">
        <f t="shared" ref="H305:H345" si="38">MAX($S305,$Q305,$K305)</f>
        <v>1.0499155317167692</v>
      </c>
      <c r="I305" s="810">
        <f t="shared" ref="I305:I345" si="39">IF(V305&lt;0,H305+I304+(-V305),H305+I304)</f>
        <v>1.0499155317167692</v>
      </c>
      <c r="J305" s="584" t="s">
        <v>2491</v>
      </c>
      <c r="K305" s="811">
        <f>IF(G305="operation",VLOOKUP(J305,'Generic Vertical Port Tasks'!$C$4:$D$197,2,FALSE),"N/A")</f>
        <v>1.0499155317167692</v>
      </c>
      <c r="L305" s="586"/>
      <c r="M305" s="584"/>
      <c r="N305" s="812"/>
      <c r="O305" s="813" t="str">
        <f>IFERROR(INDEX('Upper Hot Cell Logistics'!$I$35:$O$41,MATCH($M305,'Upper Hot Cell Logistics'!$H$35:$H$41,0),MATCH($N305,'Upper Hot Cell Logistics'!$H$35:$H$41,0)),"N/A")</f>
        <v>N/A</v>
      </c>
      <c r="P305" s="814" t="str">
        <f>IFERROR(VLOOKUP($L305,'Upper Hot Cell Logistics'!$H$4:$I$10,2,FALSE),"N/A")</f>
        <v>N/A</v>
      </c>
      <c r="Q305" s="810" t="str">
        <f t="shared" si="37"/>
        <v>N/A</v>
      </c>
      <c r="R305" s="815"/>
      <c r="S305" s="813" t="s">
        <v>263</v>
      </c>
      <c r="T305" s="469"/>
      <c r="U305" s="816" t="str">
        <f>IFERROR(VLOOKUP($T305,'Upper HotCell RecoveryLogisitcs'!$C$340:$F$417,4,FALSE),"N/A")</f>
        <v>N/A</v>
      </c>
      <c r="V305" s="591" t="str">
        <f t="shared" ref="V305:V345" si="40">IFERROR(I304-U305,"N/A")</f>
        <v>N/A</v>
      </c>
      <c r="W305" s="895"/>
      <c r="Y305" s="290"/>
      <c r="Z305" s="290"/>
      <c r="AA305" s="915"/>
      <c r="AB305" s="5"/>
      <c r="AC305" s="7"/>
      <c r="AD305" s="7"/>
      <c r="AE305" s="7"/>
      <c r="AF305" s="7"/>
      <c r="AG305" s="7"/>
      <c r="AH305" s="7"/>
    </row>
    <row r="306" spans="2:34" ht="15" customHeight="1" outlineLevel="2" x14ac:dyDescent="0.4">
      <c r="B306" s="1046"/>
      <c r="C306" s="5"/>
      <c r="D306" s="950" t="s">
        <v>1072</v>
      </c>
      <c r="E306" s="951" t="s">
        <v>797</v>
      </c>
      <c r="F306" s="952"/>
      <c r="G306" s="953" t="s">
        <v>778</v>
      </c>
      <c r="H306" s="954">
        <f t="shared" si="38"/>
        <v>6.9444444444444448E-2</v>
      </c>
      <c r="I306" s="955">
        <f t="shared" si="39"/>
        <v>1.1193599761612136</v>
      </c>
      <c r="J306" s="592"/>
      <c r="K306" s="600" t="str">
        <f>IF(G306="operation",VLOOKUP(J306,'Generic Vertical Port Tasks'!$C$4:$D$197,2,FALSE),"N/A")</f>
        <v>N/A</v>
      </c>
      <c r="L306" s="594" t="s">
        <v>798</v>
      </c>
      <c r="M306" s="592" t="s">
        <v>831</v>
      </c>
      <c r="N306" s="956" t="s">
        <v>452</v>
      </c>
      <c r="O306" s="957">
        <f>IFERROR(INDEX('Upper Hot Cell Logistics'!$I$35:$O$41,MATCH($M306,'Upper Hot Cell Logistics'!$H$35:$H$41,0),MATCH($N306,'Upper Hot Cell Logistics'!$H$35:$H$41,0)),"N/A")</f>
        <v>50</v>
      </c>
      <c r="P306" s="958">
        <f>IFERROR(VLOOKUP($L306,'Upper Hot Cell Logistics'!$H$4:$I$10,2,FALSE),"N/A")</f>
        <v>0.2</v>
      </c>
      <c r="Q306" s="955">
        <f t="shared" si="37"/>
        <v>6.9444444444444448E-2</v>
      </c>
      <c r="R306" s="959"/>
      <c r="S306" s="957" t="s">
        <v>263</v>
      </c>
      <c r="T306" s="3603" t="s">
        <v>1105</v>
      </c>
      <c r="U306" s="960" t="str">
        <f>IFERROR(VLOOKUP($T306,'Upper HotCell RecoveryLogisitcs'!$C$340:$F$417,4,FALSE),"N/A")</f>
        <v>N/A</v>
      </c>
      <c r="V306" s="600" t="str">
        <f t="shared" si="40"/>
        <v>N/A</v>
      </c>
      <c r="W306" s="895"/>
      <c r="Y306" s="290"/>
      <c r="Z306" s="290"/>
      <c r="AA306" s="915"/>
      <c r="AB306" s="290"/>
      <c r="AC306" s="290"/>
      <c r="AD306" s="290"/>
      <c r="AE306" s="7"/>
      <c r="AF306" s="7"/>
      <c r="AG306" s="7"/>
      <c r="AH306" s="7"/>
    </row>
    <row r="307" spans="2:34" ht="15.75" customHeight="1" outlineLevel="2" thickBot="1" x14ac:dyDescent="0.45">
      <c r="B307" s="1046"/>
      <c r="C307" s="5"/>
      <c r="D307" s="961"/>
      <c r="E307" s="962" t="s">
        <v>129</v>
      </c>
      <c r="F307" s="963"/>
      <c r="G307" s="964" t="s">
        <v>251</v>
      </c>
      <c r="H307" s="368">
        <f t="shared" si="38"/>
        <v>0.72499999999999998</v>
      </c>
      <c r="I307" s="965">
        <f t="shared" si="39"/>
        <v>1.8443599761612135</v>
      </c>
      <c r="J307" s="966" t="s">
        <v>253</v>
      </c>
      <c r="K307" s="967">
        <f>IF(G307="operation",VLOOKUP(J307,'Generic Vertical Port Tasks'!$C$4:$D$197,2,FALSE),"N/A")</f>
        <v>0.72499999999999998</v>
      </c>
      <c r="L307" s="611"/>
      <c r="M307" s="966"/>
      <c r="N307" s="968"/>
      <c r="O307" s="969" t="str">
        <f>IFERROR(INDEX('Upper Hot Cell Logistics'!$I$35:$O$41,MATCH($M307,'Upper Hot Cell Logistics'!$H$35:$H$41,0),MATCH($N307,'Upper Hot Cell Logistics'!$H$35:$H$41,0)),"N/A")</f>
        <v>N/A</v>
      </c>
      <c r="P307" s="970" t="str">
        <f>IFERROR(VLOOKUP($L307,'Upper Hot Cell Logistics'!$H$4:$I$10,2,FALSE),"N/A")</f>
        <v>N/A</v>
      </c>
      <c r="Q307" s="965" t="str">
        <f t="shared" si="37"/>
        <v>N/A</v>
      </c>
      <c r="R307" s="971"/>
      <c r="S307" s="969" t="s">
        <v>263</v>
      </c>
      <c r="T307" s="3568"/>
      <c r="U307" s="972" t="str">
        <f>IFERROR(VLOOKUP($T307,'Upper HotCell RecoveryLogisitcs'!$C$340:$F$417,4,FALSE),"N/A")</f>
        <v>N/A</v>
      </c>
      <c r="V307" s="616" t="str">
        <f t="shared" si="40"/>
        <v>N/A</v>
      </c>
      <c r="W307" s="895"/>
      <c r="Y307" s="290"/>
      <c r="Z307" s="290"/>
      <c r="AA307" s="915"/>
      <c r="AB307" s="290"/>
      <c r="AC307" s="290"/>
      <c r="AD307" s="290"/>
      <c r="AE307" s="7"/>
      <c r="AF307" s="7"/>
      <c r="AG307" s="7"/>
      <c r="AH307" s="7"/>
    </row>
    <row r="308" spans="2:34" ht="15" customHeight="1" outlineLevel="2" x14ac:dyDescent="0.4">
      <c r="B308" s="1046"/>
      <c r="C308" s="5"/>
      <c r="D308" s="948" t="s">
        <v>1073</v>
      </c>
      <c r="E308" s="797" t="s">
        <v>811</v>
      </c>
      <c r="F308" s="798"/>
      <c r="G308" s="799" t="s">
        <v>778</v>
      </c>
      <c r="H308" s="456">
        <f t="shared" si="38"/>
        <v>0.20833333333333334</v>
      </c>
      <c r="I308" s="800">
        <f t="shared" si="39"/>
        <v>2.052693309494547</v>
      </c>
      <c r="J308" s="566"/>
      <c r="K308" s="621" t="str">
        <f>IF(G308="operation",VLOOKUP(J308,'Generic Vertical Port Tasks'!$C$4:$D$197,2,FALSE),"N/A")</f>
        <v>N/A</v>
      </c>
      <c r="L308" s="568" t="s">
        <v>12</v>
      </c>
      <c r="M308" s="566" t="s">
        <v>816</v>
      </c>
      <c r="N308" s="801" t="s">
        <v>452</v>
      </c>
      <c r="O308" s="802">
        <f>IFERROR(INDEX('Upper Hot Cell Logistics'!$I$35:$O$41,MATCH($M308,'Upper Hot Cell Logistics'!$H$35:$H$41,0),MATCH($N308,'Upper Hot Cell Logistics'!$H$35:$H$41,0)),"N/A")</f>
        <v>15</v>
      </c>
      <c r="P308" s="570">
        <f>IFERROR(VLOOKUP($L308,'Upper Hot Cell Logistics'!$H$4:$I$10,2,FALSE),"N/A")</f>
        <v>0.02</v>
      </c>
      <c r="Q308" s="800">
        <f t="shared" si="37"/>
        <v>0.20833333333333334</v>
      </c>
      <c r="R308" s="803"/>
      <c r="S308" s="802" t="s">
        <v>263</v>
      </c>
      <c r="T308" s="454"/>
      <c r="U308" s="804" t="str">
        <f>IFERROR(VLOOKUP($T308,'Upper HotCell RecoveryLogisitcs'!$C$340:$F$417,4,FALSE),"N/A")</f>
        <v>N/A</v>
      </c>
      <c r="V308" s="621" t="str">
        <f t="shared" si="40"/>
        <v>N/A</v>
      </c>
      <c r="W308" s="895"/>
      <c r="Y308" s="290"/>
      <c r="Z308" s="290"/>
      <c r="AA308" s="915"/>
      <c r="AB308" s="290"/>
      <c r="AC308" s="290"/>
      <c r="AD308" s="290"/>
      <c r="AE308" s="7"/>
      <c r="AF308" s="7"/>
      <c r="AG308" s="7"/>
      <c r="AH308" s="7"/>
    </row>
    <row r="309" spans="2:34" ht="15" customHeight="1" outlineLevel="2" x14ac:dyDescent="0.4">
      <c r="B309" s="1046"/>
      <c r="C309" s="5"/>
      <c r="D309" s="973"/>
      <c r="E309" s="846" t="s">
        <v>22</v>
      </c>
      <c r="F309" s="847"/>
      <c r="G309" s="848" t="s">
        <v>251</v>
      </c>
      <c r="H309" s="464">
        <f t="shared" si="38"/>
        <v>6.83</v>
      </c>
      <c r="I309" s="849">
        <f t="shared" si="39"/>
        <v>8.8826933094945471</v>
      </c>
      <c r="J309" s="573" t="s">
        <v>252</v>
      </c>
      <c r="K309" s="850">
        <f>IF(G309="operation",VLOOKUP(J309,'Generic Vertical Port Tasks'!$C$4:$D$197,2,FALSE),"N/A")</f>
        <v>6.83</v>
      </c>
      <c r="L309" s="575"/>
      <c r="M309" s="573"/>
      <c r="N309" s="851"/>
      <c r="O309" s="852" t="str">
        <f>IFERROR(INDEX('Upper Hot Cell Logistics'!$I$35:$O$41,MATCH($M309,'Upper Hot Cell Logistics'!$H$35:$H$41,0),MATCH($N309,'Upper Hot Cell Logistics'!$H$35:$H$41,0)),"N/A")</f>
        <v>N/A</v>
      </c>
      <c r="P309" s="853" t="str">
        <f>IFERROR(VLOOKUP($L309,'Upper Hot Cell Logistics'!$H$4:$I$10,2,FALSE),"N/A")</f>
        <v>N/A</v>
      </c>
      <c r="Q309" s="849" t="str">
        <f t="shared" si="37"/>
        <v>N/A</v>
      </c>
      <c r="R309" s="854"/>
      <c r="S309" s="852" t="s">
        <v>263</v>
      </c>
      <c r="T309" s="462"/>
      <c r="U309" s="855" t="str">
        <f>IFERROR(VLOOKUP($T309,'Upper HotCell RecoveryLogisitcs'!$C$340:$F$417,4,FALSE),"N/A")</f>
        <v>N/A</v>
      </c>
      <c r="V309" s="580" t="str">
        <f t="shared" si="40"/>
        <v>N/A</v>
      </c>
      <c r="W309" s="895"/>
      <c r="Y309" s="290"/>
      <c r="Z309" s="290"/>
      <c r="AA309" s="915"/>
      <c r="AB309" s="290"/>
      <c r="AC309" s="290"/>
      <c r="AD309" s="290"/>
      <c r="AE309" s="7"/>
      <c r="AF309" s="7"/>
      <c r="AG309" s="7"/>
      <c r="AH309" s="7"/>
    </row>
    <row r="310" spans="2:34" ht="15" customHeight="1" outlineLevel="2" x14ac:dyDescent="0.4">
      <c r="B310" s="1046"/>
      <c r="C310" s="5"/>
      <c r="D310" s="973"/>
      <c r="E310" s="846" t="s">
        <v>820</v>
      </c>
      <c r="F310" s="847"/>
      <c r="G310" s="848" t="s">
        <v>778</v>
      </c>
      <c r="H310" s="464">
        <f t="shared" si="38"/>
        <v>2.0833333333333332E-2</v>
      </c>
      <c r="I310" s="849">
        <f t="shared" si="39"/>
        <v>8.903526642827881</v>
      </c>
      <c r="J310" s="573"/>
      <c r="K310" s="850" t="str">
        <f>IF(G310="operation",VLOOKUP(J310,'Generic Vertical Port Tasks'!$C$4:$D$197,2,FALSE),"N/A")</f>
        <v>N/A</v>
      </c>
      <c r="L310" s="575" t="s">
        <v>798</v>
      </c>
      <c r="M310" s="573" t="s">
        <v>816</v>
      </c>
      <c r="N310" s="851" t="s">
        <v>452</v>
      </c>
      <c r="O310" s="852">
        <f>IFERROR(INDEX('Upper Hot Cell Logistics'!$I$35:$O$41,MATCH($M310,'Upper Hot Cell Logistics'!$H$35:$H$41,0),MATCH($N310,'Upper Hot Cell Logistics'!$H$35:$H$41,0)),"N/A")</f>
        <v>15</v>
      </c>
      <c r="P310" s="853">
        <f>IFERROR(VLOOKUP($L310,'Upper Hot Cell Logistics'!$H$4:$I$10,2,FALSE),"N/A")</f>
        <v>0.2</v>
      </c>
      <c r="Q310" s="849">
        <f t="shared" si="37"/>
        <v>2.0833333333333332E-2</v>
      </c>
      <c r="R310" s="854"/>
      <c r="S310" s="852" t="s">
        <v>263</v>
      </c>
      <c r="T310" s="462"/>
      <c r="U310" s="855" t="str">
        <f>IFERROR(VLOOKUP($T310,'Upper HotCell RecoveryLogisitcs'!$C$340:$F$417,4,FALSE),"N/A")</f>
        <v>N/A</v>
      </c>
      <c r="V310" s="580" t="str">
        <f t="shared" si="40"/>
        <v>N/A</v>
      </c>
      <c r="W310" s="895"/>
      <c r="Y310" s="290"/>
      <c r="Z310" s="290"/>
      <c r="AA310" s="915"/>
      <c r="AB310" s="290"/>
      <c r="AC310" s="290"/>
      <c r="AD310" s="290"/>
      <c r="AE310" s="7"/>
      <c r="AF310" s="7"/>
      <c r="AG310" s="7"/>
      <c r="AH310" s="7"/>
    </row>
    <row r="311" spans="2:34" ht="15.75" customHeight="1" outlineLevel="2" thickBot="1" x14ac:dyDescent="0.45">
      <c r="B311" s="1046"/>
      <c r="C311" s="5"/>
      <c r="D311" s="949"/>
      <c r="E311" s="807" t="s">
        <v>14</v>
      </c>
      <c r="F311" s="808"/>
      <c r="G311" s="809" t="s">
        <v>251</v>
      </c>
      <c r="H311" s="471">
        <f t="shared" si="38"/>
        <v>1.0499155317167692</v>
      </c>
      <c r="I311" s="810">
        <f t="shared" si="39"/>
        <v>9.9534421745446497</v>
      </c>
      <c r="J311" s="584" t="s">
        <v>2491</v>
      </c>
      <c r="K311" s="811">
        <f>IF(G311="operation",VLOOKUP(J311,'Generic Vertical Port Tasks'!$C$4:$D$197,2,FALSE),"N/A")</f>
        <v>1.0499155317167692</v>
      </c>
      <c r="L311" s="586"/>
      <c r="M311" s="584"/>
      <c r="N311" s="812"/>
      <c r="O311" s="813" t="str">
        <f>IFERROR(INDEX('Upper Hot Cell Logistics'!$I$35:$O$41,MATCH($M311,'Upper Hot Cell Logistics'!$H$35:$H$41,0),MATCH($N311,'Upper Hot Cell Logistics'!$H$35:$H$41,0)),"N/A")</f>
        <v>N/A</v>
      </c>
      <c r="P311" s="814" t="str">
        <f>IFERROR(VLOOKUP($L311,'Upper Hot Cell Logistics'!$H$4:$I$10,2,FALSE),"N/A")</f>
        <v>N/A</v>
      </c>
      <c r="Q311" s="810" t="str">
        <f t="shared" si="37"/>
        <v>N/A</v>
      </c>
      <c r="R311" s="815"/>
      <c r="S311" s="813" t="s">
        <v>263</v>
      </c>
      <c r="T311" s="469"/>
      <c r="U311" s="816" t="str">
        <f>IFERROR(VLOOKUP($T311,'Upper HotCell RecoveryLogisitcs'!$C$340:$F$417,4,FALSE),"N/A")</f>
        <v>N/A</v>
      </c>
      <c r="V311" s="591" t="str">
        <f t="shared" si="40"/>
        <v>N/A</v>
      </c>
      <c r="W311" s="895"/>
      <c r="Y311" s="290"/>
      <c r="Z311" s="290"/>
      <c r="AA311" s="915"/>
      <c r="AB311" s="290"/>
      <c r="AC311" s="290"/>
      <c r="AD311" s="290"/>
      <c r="AE311" s="7"/>
      <c r="AF311" s="7"/>
      <c r="AG311" s="7"/>
      <c r="AH311" s="7"/>
    </row>
    <row r="312" spans="2:34" ht="15" customHeight="1" outlineLevel="2" x14ac:dyDescent="0.4">
      <c r="B312" s="1046"/>
      <c r="C312" s="5"/>
      <c r="D312" s="950" t="s">
        <v>1074</v>
      </c>
      <c r="E312" s="951" t="s">
        <v>797</v>
      </c>
      <c r="F312" s="952"/>
      <c r="G312" s="953" t="s">
        <v>778</v>
      </c>
      <c r="H312" s="954">
        <f t="shared" si="38"/>
        <v>6.9444444444444448E-2</v>
      </c>
      <c r="I312" s="955">
        <f t="shared" si="39"/>
        <v>10.022886618989094</v>
      </c>
      <c r="J312" s="592"/>
      <c r="K312" s="600" t="str">
        <f>IF(G312="operation",VLOOKUP(J312,'Generic Vertical Port Tasks'!$C$4:$D$197,2,FALSE),"N/A")</f>
        <v>N/A</v>
      </c>
      <c r="L312" s="594" t="s">
        <v>798</v>
      </c>
      <c r="M312" s="592" t="s">
        <v>831</v>
      </c>
      <c r="N312" s="956" t="s">
        <v>452</v>
      </c>
      <c r="O312" s="957">
        <f>IFERROR(INDEX('Upper Hot Cell Logistics'!$I$35:$O$41,MATCH($M312,'Upper Hot Cell Logistics'!$H$35:$H$41,0),MATCH($N312,'Upper Hot Cell Logistics'!$H$35:$H$41,0)),"N/A")</f>
        <v>50</v>
      </c>
      <c r="P312" s="958">
        <f>IFERROR(VLOOKUP($L312,'Upper Hot Cell Logistics'!$H$4:$I$10,2,FALSE),"N/A")</f>
        <v>0.2</v>
      </c>
      <c r="Q312" s="955">
        <f t="shared" si="37"/>
        <v>6.9444444444444448E-2</v>
      </c>
      <c r="R312" s="959"/>
      <c r="S312" s="957" t="s">
        <v>263</v>
      </c>
      <c r="T312" s="3603" t="s">
        <v>1106</v>
      </c>
      <c r="U312" s="960" t="str">
        <f>IFERROR(VLOOKUP($T312,'Upper HotCell RecoveryLogisitcs'!$C$340:$F$417,4,FALSE),"N/A")</f>
        <v>N/A</v>
      </c>
      <c r="V312" s="600" t="str">
        <f t="shared" si="40"/>
        <v>N/A</v>
      </c>
      <c r="W312" s="895"/>
      <c r="Y312" s="290"/>
      <c r="Z312" s="290"/>
      <c r="AA312" s="915"/>
      <c r="AB312" s="290"/>
      <c r="AC312" s="290"/>
      <c r="AD312" s="290"/>
      <c r="AE312" s="7"/>
      <c r="AF312" s="7"/>
      <c r="AG312" s="7"/>
      <c r="AH312" s="7"/>
    </row>
    <row r="313" spans="2:34" ht="15.75" customHeight="1" outlineLevel="2" thickBot="1" x14ac:dyDescent="0.45">
      <c r="B313" s="1046"/>
      <c r="C313" s="5"/>
      <c r="D313" s="961"/>
      <c r="E313" s="962" t="s">
        <v>131</v>
      </c>
      <c r="F313" s="963"/>
      <c r="G313" s="964" t="s">
        <v>251</v>
      </c>
      <c r="H313" s="368">
        <f t="shared" si="38"/>
        <v>0.72499999999999998</v>
      </c>
      <c r="I313" s="965">
        <f t="shared" si="39"/>
        <v>10.747886618989094</v>
      </c>
      <c r="J313" s="966" t="s">
        <v>253</v>
      </c>
      <c r="K313" s="967">
        <f>IF(G313="operation",VLOOKUP(J313,'Generic Vertical Port Tasks'!$C$4:$D$197,2,FALSE),"N/A")</f>
        <v>0.72499999999999998</v>
      </c>
      <c r="L313" s="611"/>
      <c r="M313" s="966"/>
      <c r="N313" s="968"/>
      <c r="O313" s="969" t="str">
        <f>IFERROR(INDEX('Upper Hot Cell Logistics'!$I$35:$O$41,MATCH($M313,'Upper Hot Cell Logistics'!$H$35:$H$41,0),MATCH($N313,'Upper Hot Cell Logistics'!$H$35:$H$41,0)),"N/A")</f>
        <v>N/A</v>
      </c>
      <c r="P313" s="970" t="str">
        <f>IFERROR(VLOOKUP($L313,'Upper Hot Cell Logistics'!$H$4:$I$10,2,FALSE),"N/A")</f>
        <v>N/A</v>
      </c>
      <c r="Q313" s="965" t="str">
        <f t="shared" si="37"/>
        <v>N/A</v>
      </c>
      <c r="R313" s="971"/>
      <c r="S313" s="969" t="s">
        <v>263</v>
      </c>
      <c r="T313" s="3568"/>
      <c r="U313" s="972" t="str">
        <f>IFERROR(VLOOKUP($T313,'Upper HotCell RecoveryLogisitcs'!$C$340:$F$417,4,FALSE),"N/A")</f>
        <v>N/A</v>
      </c>
      <c r="V313" s="616" t="str">
        <f t="shared" si="40"/>
        <v>N/A</v>
      </c>
      <c r="W313" s="895"/>
      <c r="Y313" s="290"/>
      <c r="Z313" s="290"/>
      <c r="AA313" s="915"/>
      <c r="AB313" s="290"/>
      <c r="AC313" s="290"/>
      <c r="AD313" s="290"/>
      <c r="AE313" s="7"/>
      <c r="AF313" s="7"/>
      <c r="AG313" s="7"/>
      <c r="AH313" s="7"/>
    </row>
    <row r="314" spans="2:34" ht="30" customHeight="1" outlineLevel="2" x14ac:dyDescent="0.4">
      <c r="B314" s="1046"/>
      <c r="C314" s="5"/>
      <c r="D314" s="948" t="s">
        <v>1107</v>
      </c>
      <c r="E314" s="847" t="s">
        <v>1076</v>
      </c>
      <c r="F314" s="847"/>
      <c r="G314" s="848" t="s">
        <v>778</v>
      </c>
      <c r="H314" s="459">
        <f t="shared" si="38"/>
        <v>6.9444444444444448E-2</v>
      </c>
      <c r="I314" s="849">
        <f t="shared" si="39"/>
        <v>12.091219952322428</v>
      </c>
      <c r="J314" s="573"/>
      <c r="K314" s="850" t="str">
        <f>IF(G314="operation",VLOOKUP(J314,'Generic Vertical Port Tasks'!$C$4:$D$197,2,FALSE),"N/A")</f>
        <v>N/A</v>
      </c>
      <c r="L314" s="575" t="s">
        <v>798</v>
      </c>
      <c r="M314" s="573" t="s">
        <v>799</v>
      </c>
      <c r="N314" s="851" t="s">
        <v>452</v>
      </c>
      <c r="O314" s="852">
        <f>IFERROR(INDEX('Upper Hot Cell Logistics'!$I$35:$O$41,MATCH($M314,'Upper Hot Cell Logistics'!$H$35:$H$41,0),MATCH($N314,'Upper Hot Cell Logistics'!$H$35:$H$41,0)),"N/A")</f>
        <v>50</v>
      </c>
      <c r="P314" s="853">
        <f>IFERROR(VLOOKUP($L314,'Upper Hot Cell Logistics'!$H$4:$I$10,2,FALSE),"N/A")</f>
        <v>0.2</v>
      </c>
      <c r="Q314" s="849">
        <f t="shared" si="37"/>
        <v>6.9444444444444448E-2</v>
      </c>
      <c r="R314" s="854"/>
      <c r="S314" s="852" t="str">
        <f>IF($G314="Logistics",VLOOKUP($R314,'Upper Hot Cell Logistics'!$C$4:$D$44,2,FALSE),"N/A")</f>
        <v>N/A</v>
      </c>
      <c r="T314" s="462" t="s">
        <v>1077</v>
      </c>
      <c r="U314" s="855">
        <f>IFERROR(VLOOKUP($T314,'Upper HotCell RecoveryLogisitcs'!$C$340:$F$417,4,FALSE),"N/A")</f>
        <v>12.021775507877983</v>
      </c>
      <c r="V314" s="580">
        <f t="shared" si="40"/>
        <v>-1.2738888888888891</v>
      </c>
      <c r="W314" s="895"/>
      <c r="Y314" s="290"/>
      <c r="Z314" s="290"/>
      <c r="AA314" s="915"/>
      <c r="AB314" s="290"/>
      <c r="AC314" s="290"/>
      <c r="AD314" s="290"/>
      <c r="AE314" s="7"/>
      <c r="AF314" s="7"/>
      <c r="AG314" s="7"/>
      <c r="AH314" s="7"/>
    </row>
    <row r="315" spans="2:34" ht="15" customHeight="1" outlineLevel="2" x14ac:dyDescent="0.4">
      <c r="B315" s="1046"/>
      <c r="C315" s="5"/>
      <c r="D315" s="973"/>
      <c r="E315" s="847" t="s">
        <v>122</v>
      </c>
      <c r="F315" s="847"/>
      <c r="G315" s="848" t="s">
        <v>251</v>
      </c>
      <c r="H315" s="459">
        <f t="shared" si="38"/>
        <v>5.74</v>
      </c>
      <c r="I315" s="849">
        <f t="shared" si="39"/>
        <v>17.831219952322428</v>
      </c>
      <c r="J315" s="573" t="s">
        <v>254</v>
      </c>
      <c r="K315" s="850">
        <f>IF(G315="operation",VLOOKUP(J315,'Generic Vertical Port Tasks'!$C$4:$D$197,2,FALSE),"N/A")</f>
        <v>5.74</v>
      </c>
      <c r="L315" s="575"/>
      <c r="M315" s="573"/>
      <c r="N315" s="851"/>
      <c r="O315" s="852" t="str">
        <f>IFERROR(INDEX('Upper Hot Cell Logistics'!$I$35:$O$41,MATCH($M315,'Upper Hot Cell Logistics'!$H$35:$H$41,0),MATCH($N315,'Upper Hot Cell Logistics'!$H$35:$H$41,0)),"N/A")</f>
        <v>N/A</v>
      </c>
      <c r="P315" s="853" t="str">
        <f>IFERROR(VLOOKUP($L315,'Upper Hot Cell Logistics'!$H$4:$I$10,2,FALSE),"N/A")</f>
        <v>N/A</v>
      </c>
      <c r="Q315" s="849" t="str">
        <f t="shared" si="37"/>
        <v>N/A</v>
      </c>
      <c r="R315" s="854"/>
      <c r="S315" s="852" t="str">
        <f>IF($G315="Logistics",VLOOKUP($R315,'Upper Hot Cell Logistics'!$C$4:$D$44,2,FALSE),"N/A")</f>
        <v>N/A</v>
      </c>
      <c r="T315" s="462"/>
      <c r="U315" s="855" t="str">
        <f>IFERROR(VLOOKUP($T315,'Upper HotCell RecoveryLogisitcs'!$C$340:$F$417,4,FALSE),"N/A")</f>
        <v>N/A</v>
      </c>
      <c r="V315" s="580" t="str">
        <f t="shared" si="40"/>
        <v>N/A</v>
      </c>
      <c r="W315" s="895"/>
      <c r="Y315" s="290"/>
      <c r="Z315" s="290"/>
      <c r="AA315" s="915"/>
      <c r="AB315" s="5"/>
      <c r="AC315" s="7"/>
      <c r="AD315" s="7"/>
      <c r="AE315" s="7"/>
      <c r="AF315" s="7"/>
      <c r="AG315" s="7"/>
      <c r="AH315" s="7"/>
    </row>
    <row r="316" spans="2:34" ht="25.5" customHeight="1" outlineLevel="2" x14ac:dyDescent="0.4">
      <c r="B316" s="1046"/>
      <c r="C316" s="5"/>
      <c r="D316" s="973"/>
      <c r="E316" s="847" t="s">
        <v>797</v>
      </c>
      <c r="F316" s="847"/>
      <c r="G316" s="848" t="s">
        <v>778</v>
      </c>
      <c r="H316" s="459">
        <f t="shared" si="38"/>
        <v>6.9444444444444448E-2</v>
      </c>
      <c r="I316" s="849">
        <f t="shared" si="39"/>
        <v>17.900664396766871</v>
      </c>
      <c r="J316" s="573"/>
      <c r="K316" s="850" t="str">
        <f>IF(G316="operation",VLOOKUP(J316,'Generic Vertical Port Tasks'!$C$4:$D$197,2,FALSE),"N/A")</f>
        <v>N/A</v>
      </c>
      <c r="L316" s="575" t="s">
        <v>798</v>
      </c>
      <c r="M316" s="573" t="s">
        <v>799</v>
      </c>
      <c r="N316" s="851" t="s">
        <v>452</v>
      </c>
      <c r="O316" s="852">
        <f>IFERROR(INDEX('Upper Hot Cell Logistics'!$I$35:$O$41,MATCH($M316,'Upper Hot Cell Logistics'!$H$35:$H$41,0),MATCH($N316,'Upper Hot Cell Logistics'!$H$35:$H$41,0)),"N/A")</f>
        <v>50</v>
      </c>
      <c r="P316" s="853">
        <f>IFERROR(VLOOKUP($L316,'Upper Hot Cell Logistics'!$H$4:$I$10,2,FALSE),"N/A")</f>
        <v>0.2</v>
      </c>
      <c r="Q316" s="849">
        <f t="shared" si="37"/>
        <v>6.9444444444444448E-2</v>
      </c>
      <c r="R316" s="854"/>
      <c r="S316" s="852" t="str">
        <f>IF($E316="Logistics",VLOOKUP($P316,'Upper Hot Cell Logistics'!$C$4:$D$44,2,FALSE),"N/A")</f>
        <v>N/A</v>
      </c>
      <c r="T316" s="462" t="s">
        <v>1079</v>
      </c>
      <c r="U316" s="855">
        <f>IFERROR(VLOOKUP($T316,'Upper HotCell RecoveryLogisitcs'!$C$340:$F$417,4,FALSE),"N/A")</f>
        <v>13.40733106343354</v>
      </c>
      <c r="V316" s="580">
        <f t="shared" si="40"/>
        <v>4.4238888888888876</v>
      </c>
      <c r="W316" s="895"/>
      <c r="Y316" s="290"/>
      <c r="Z316" s="290"/>
      <c r="AA316" s="915"/>
      <c r="AB316" s="5"/>
      <c r="AC316" s="7"/>
      <c r="AD316" s="7"/>
      <c r="AE316" s="7"/>
      <c r="AF316" s="7"/>
      <c r="AG316" s="7"/>
      <c r="AH316" s="7"/>
    </row>
    <row r="317" spans="2:34" ht="15" customHeight="1" outlineLevel="2" x14ac:dyDescent="0.4">
      <c r="B317" s="1046"/>
      <c r="C317" s="5"/>
      <c r="D317" s="973"/>
      <c r="E317" s="847" t="s">
        <v>135</v>
      </c>
      <c r="F317" s="847"/>
      <c r="G317" s="848" t="s">
        <v>251</v>
      </c>
      <c r="H317" s="459">
        <f t="shared" si="38"/>
        <v>5.74</v>
      </c>
      <c r="I317" s="849">
        <f t="shared" si="39"/>
        <v>23.640664396766873</v>
      </c>
      <c r="J317" s="573" t="s">
        <v>254</v>
      </c>
      <c r="K317" s="850">
        <f>IF(G317="operation",VLOOKUP(J317,'Generic Vertical Port Tasks'!$C$4:$D$197,2,FALSE),"N/A")</f>
        <v>5.74</v>
      </c>
      <c r="L317" s="575"/>
      <c r="M317" s="573"/>
      <c r="N317" s="851"/>
      <c r="O317" s="852" t="str">
        <f>IFERROR(INDEX('Upper Hot Cell Logistics'!$I$35:$O$41,MATCH($M317,'Upper Hot Cell Logistics'!$H$35:$H$41,0),MATCH($N317,'Upper Hot Cell Logistics'!$H$35:$H$41,0)),"N/A")</f>
        <v>N/A</v>
      </c>
      <c r="P317" s="853" t="str">
        <f>IFERROR(VLOOKUP($L317,'Upper Hot Cell Logistics'!$H$4:$I$10,2,FALSE),"N/A")</f>
        <v>N/A</v>
      </c>
      <c r="Q317" s="849" t="str">
        <f t="shared" si="37"/>
        <v>N/A</v>
      </c>
      <c r="R317" s="854"/>
      <c r="S317" s="852" t="str">
        <f>IF($E317="Logistics",VLOOKUP($P317,'Upper Hot Cell Logistics'!$C$4:$D$44,2,FALSE),"N/A")</f>
        <v>N/A</v>
      </c>
      <c r="T317" s="462"/>
      <c r="U317" s="855" t="str">
        <f>IFERROR(VLOOKUP($T317,'Upper HotCell RecoveryLogisitcs'!$C$340:$F$417,4,FALSE),"N/A")</f>
        <v>N/A</v>
      </c>
      <c r="V317" s="580" t="str">
        <f t="shared" si="40"/>
        <v>N/A</v>
      </c>
      <c r="W317" s="895"/>
      <c r="Y317" s="290"/>
      <c r="Z317" s="290"/>
      <c r="AA317" s="915"/>
      <c r="AB317" s="5"/>
      <c r="AC317" s="7"/>
      <c r="AD317" s="7"/>
      <c r="AE317" s="7"/>
      <c r="AF317" s="7"/>
      <c r="AG317" s="7"/>
      <c r="AH317" s="7"/>
    </row>
    <row r="318" spans="2:34" ht="15" customHeight="1" outlineLevel="2" x14ac:dyDescent="0.4">
      <c r="B318" s="1046"/>
      <c r="C318" s="5"/>
      <c r="D318" s="973"/>
      <c r="E318" s="847" t="s">
        <v>820</v>
      </c>
      <c r="F318" s="847"/>
      <c r="G318" s="848" t="s">
        <v>778</v>
      </c>
      <c r="H318" s="459">
        <f t="shared" si="38"/>
        <v>6.9444444444444448E-2</v>
      </c>
      <c r="I318" s="849">
        <f t="shared" si="39"/>
        <v>23.710108841211316</v>
      </c>
      <c r="J318" s="573"/>
      <c r="K318" s="850" t="str">
        <f>IF(G318="operation",VLOOKUP(J318,'Generic Vertical Port Tasks'!$C$4:$D$197,2,FALSE),"N/A")</f>
        <v>N/A</v>
      </c>
      <c r="L318" s="575" t="s">
        <v>798</v>
      </c>
      <c r="M318" s="573" t="s">
        <v>831</v>
      </c>
      <c r="N318" s="851" t="s">
        <v>452</v>
      </c>
      <c r="O318" s="852">
        <f>IFERROR(INDEX('Upper Hot Cell Logistics'!$I$35:$O$41,MATCH($M318,'Upper Hot Cell Logistics'!$H$35:$H$41,0),MATCH($N318,'Upper Hot Cell Logistics'!$H$35:$H$41,0)),"N/A")</f>
        <v>50</v>
      </c>
      <c r="P318" s="853">
        <f>IFERROR(VLOOKUP($L318,'Upper Hot Cell Logistics'!$H$4:$I$10,2,FALSE),"N/A")</f>
        <v>0.2</v>
      </c>
      <c r="Q318" s="849">
        <f t="shared" si="37"/>
        <v>6.9444444444444448E-2</v>
      </c>
      <c r="R318" s="854"/>
      <c r="S318" s="852" t="str">
        <f>IF($E318="Logistics",VLOOKUP($P318,'Upper Hot Cell Logistics'!$C$4:$D$44,2,FALSE),"N/A")</f>
        <v>N/A</v>
      </c>
      <c r="T318" s="462" t="s">
        <v>959</v>
      </c>
      <c r="U318" s="855">
        <f>IFERROR(VLOOKUP($T318,'Upper HotCell RecoveryLogisitcs'!$C$340:$F$417,4,FALSE),"N/A")</f>
        <v>19.105664396766869</v>
      </c>
      <c r="V318" s="580">
        <f t="shared" si="40"/>
        <v>4.5350000000000037</v>
      </c>
      <c r="W318" s="895"/>
      <c r="Y318" s="290"/>
      <c r="Z318" s="290"/>
      <c r="AA318" s="915"/>
      <c r="AB318" s="5"/>
      <c r="AC318" s="7"/>
      <c r="AD318" s="7"/>
      <c r="AE318" s="7"/>
      <c r="AF318" s="7"/>
      <c r="AG318" s="7"/>
      <c r="AH318" s="7"/>
    </row>
    <row r="319" spans="2:34" ht="15" customHeight="1" outlineLevel="2" x14ac:dyDescent="0.4">
      <c r="B319" s="1046"/>
      <c r="C319" s="5"/>
      <c r="D319" s="973"/>
      <c r="E319" s="847" t="s">
        <v>136</v>
      </c>
      <c r="F319" s="847"/>
      <c r="G319" s="848" t="s">
        <v>251</v>
      </c>
      <c r="H319" s="459">
        <f t="shared" si="38"/>
        <v>5.74</v>
      </c>
      <c r="I319" s="849">
        <f t="shared" si="39"/>
        <v>29.450108841211318</v>
      </c>
      <c r="J319" s="573" t="s">
        <v>254</v>
      </c>
      <c r="K319" s="850">
        <f>IF(G319="operation",VLOOKUP(J319,'Generic Vertical Port Tasks'!$C$4:$D$197,2,FALSE),"N/A")</f>
        <v>5.74</v>
      </c>
      <c r="L319" s="575"/>
      <c r="M319" s="573"/>
      <c r="N319" s="851"/>
      <c r="O319" s="852" t="str">
        <f>IFERROR(INDEX('Upper Hot Cell Logistics'!$I$35:$O$41,MATCH($M319,'Upper Hot Cell Logistics'!$H$35:$H$41,0),MATCH($N319,'Upper Hot Cell Logistics'!$H$35:$H$41,0)),"N/A")</f>
        <v>N/A</v>
      </c>
      <c r="P319" s="853" t="str">
        <f>IFERROR(VLOOKUP($L319,'Upper Hot Cell Logistics'!$H$4:$I$10,2,FALSE),"N/A")</f>
        <v>N/A</v>
      </c>
      <c r="Q319" s="849" t="str">
        <f t="shared" si="37"/>
        <v>N/A</v>
      </c>
      <c r="R319" s="854"/>
      <c r="S319" s="852" t="str">
        <f>IF($E319="Logistics",VLOOKUP($P319,'Upper Hot Cell Logistics'!$C$4:$D$44,2,FALSE),"N/A")</f>
        <v>N/A</v>
      </c>
      <c r="T319" s="462"/>
      <c r="U319" s="855" t="str">
        <f>IFERROR(VLOOKUP($T319,'Upper HotCell RecoveryLogisitcs'!$C$340:$F$417,4,FALSE),"N/A")</f>
        <v>N/A</v>
      </c>
      <c r="V319" s="580" t="str">
        <f t="shared" si="40"/>
        <v>N/A</v>
      </c>
      <c r="W319" s="895"/>
      <c r="Y319" s="290"/>
      <c r="Z319" s="290"/>
      <c r="AA319" s="915"/>
      <c r="AB319" s="5"/>
      <c r="AC319" s="7"/>
      <c r="AD319" s="7"/>
      <c r="AE319" s="7"/>
      <c r="AF319" s="7"/>
      <c r="AG319" s="7"/>
      <c r="AH319" s="7"/>
    </row>
    <row r="320" spans="2:34" ht="15" customHeight="1" outlineLevel="2" x14ac:dyDescent="0.4">
      <c r="B320" s="1046"/>
      <c r="C320" s="5"/>
      <c r="D320" s="973"/>
      <c r="E320" s="847" t="s">
        <v>797</v>
      </c>
      <c r="F320" s="847"/>
      <c r="G320" s="848" t="s">
        <v>778</v>
      </c>
      <c r="H320" s="459">
        <f t="shared" si="38"/>
        <v>6.9444444444444448E-2</v>
      </c>
      <c r="I320" s="849">
        <f t="shared" si="39"/>
        <v>29.519553285655761</v>
      </c>
      <c r="J320" s="573"/>
      <c r="K320" s="850" t="str">
        <f>IF(G320="operation",VLOOKUP(J320,'Generic Vertical Port Tasks'!$C$4:$D$197,2,FALSE),"N/A")</f>
        <v>N/A</v>
      </c>
      <c r="L320" s="575" t="s">
        <v>798</v>
      </c>
      <c r="M320" s="573" t="s">
        <v>831</v>
      </c>
      <c r="N320" s="851" t="s">
        <v>452</v>
      </c>
      <c r="O320" s="852">
        <f>IFERROR(INDEX('Upper Hot Cell Logistics'!$I$35:$O$41,MATCH($M320,'Upper Hot Cell Logistics'!$H$35:$H$41,0),MATCH($N320,'Upper Hot Cell Logistics'!$H$35:$H$41,0)),"N/A")</f>
        <v>50</v>
      </c>
      <c r="P320" s="853">
        <f>IFERROR(VLOOKUP($L320,'Upper Hot Cell Logistics'!$H$4:$I$10,2,FALSE),"N/A")</f>
        <v>0.2</v>
      </c>
      <c r="Q320" s="849">
        <f t="shared" si="37"/>
        <v>6.9444444444444448E-2</v>
      </c>
      <c r="R320" s="854"/>
      <c r="S320" s="852" t="str">
        <f>IF($E320="Logistics",VLOOKUP($P320,'Upper Hot Cell Logistics'!$C$4:$D$44,2,FALSE),"N/A")</f>
        <v>N/A</v>
      </c>
      <c r="T320" s="462" t="s">
        <v>961</v>
      </c>
      <c r="U320" s="855">
        <f>IFERROR(VLOOKUP($T320,'Upper HotCell RecoveryLogisitcs'!$C$340:$F$417,4,FALSE),"N/A")</f>
        <v>24.915108841211314</v>
      </c>
      <c r="V320" s="580">
        <f t="shared" si="40"/>
        <v>4.5350000000000037</v>
      </c>
      <c r="W320" s="895"/>
      <c r="Y320" s="290"/>
      <c r="Z320" s="290"/>
      <c r="AA320" s="915"/>
      <c r="AB320" s="5"/>
      <c r="AC320" s="7"/>
      <c r="AD320" s="7"/>
      <c r="AE320" s="7"/>
      <c r="AF320" s="7"/>
      <c r="AG320" s="7"/>
      <c r="AH320" s="7"/>
    </row>
    <row r="321" spans="2:34" ht="15" customHeight="1" outlineLevel="2" x14ac:dyDescent="0.4">
      <c r="B321" s="1046"/>
      <c r="C321" s="5"/>
      <c r="D321" s="973"/>
      <c r="E321" s="847" t="s">
        <v>138</v>
      </c>
      <c r="F321" s="847"/>
      <c r="G321" s="848" t="s">
        <v>251</v>
      </c>
      <c r="H321" s="459">
        <f t="shared" si="38"/>
        <v>5.74</v>
      </c>
      <c r="I321" s="849">
        <f t="shared" si="39"/>
        <v>35.259553285655763</v>
      </c>
      <c r="J321" s="573" t="s">
        <v>254</v>
      </c>
      <c r="K321" s="850">
        <f>IF(G321="operation",VLOOKUP(J321,'Generic Vertical Port Tasks'!$C$4:$D$197,2,FALSE),"N/A")</f>
        <v>5.74</v>
      </c>
      <c r="L321" s="575"/>
      <c r="M321" s="573"/>
      <c r="N321" s="851"/>
      <c r="O321" s="852" t="str">
        <f>IFERROR(INDEX('Upper Hot Cell Logistics'!$I$35:$O$41,MATCH($M321,'Upper Hot Cell Logistics'!$H$35:$H$41,0),MATCH($N321,'Upper Hot Cell Logistics'!$H$35:$H$41,0)),"N/A")</f>
        <v>N/A</v>
      </c>
      <c r="P321" s="853" t="str">
        <f>IFERROR(VLOOKUP($L321,'Upper Hot Cell Logistics'!$H$4:$I$10,2,FALSE),"N/A")</f>
        <v>N/A</v>
      </c>
      <c r="Q321" s="849" t="str">
        <f t="shared" si="37"/>
        <v>N/A</v>
      </c>
      <c r="R321" s="854"/>
      <c r="S321" s="852" t="str">
        <f>IF($E321="Logistics",VLOOKUP($P321,'Upper Hot Cell Logistics'!$C$4:$D$44,2,FALSE),"N/A")</f>
        <v>N/A</v>
      </c>
      <c r="T321" s="462"/>
      <c r="U321" s="855" t="str">
        <f>IFERROR(VLOOKUP($T321,'Upper HotCell RecoveryLogisitcs'!$C$340:$F$417,4,FALSE),"N/A")</f>
        <v>N/A</v>
      </c>
      <c r="V321" s="580" t="str">
        <f t="shared" si="40"/>
        <v>N/A</v>
      </c>
      <c r="W321" s="895"/>
      <c r="Y321" s="290"/>
      <c r="Z321" s="290"/>
      <c r="AA321" s="915"/>
      <c r="AB321" s="5"/>
      <c r="AC321" s="7"/>
      <c r="AD321" s="7"/>
      <c r="AE321" s="7"/>
      <c r="AF321" s="7"/>
      <c r="AG321" s="7"/>
      <c r="AH321" s="7"/>
    </row>
    <row r="322" spans="2:34" ht="15" customHeight="1" outlineLevel="2" x14ac:dyDescent="0.4">
      <c r="B322" s="1046"/>
      <c r="C322" s="5"/>
      <c r="D322" s="973"/>
      <c r="E322" s="847" t="s">
        <v>820</v>
      </c>
      <c r="F322" s="847"/>
      <c r="G322" s="848" t="s">
        <v>778</v>
      </c>
      <c r="H322" s="459">
        <f t="shared" si="38"/>
        <v>6.9444444444444448E-2</v>
      </c>
      <c r="I322" s="849">
        <f t="shared" si="39"/>
        <v>35.328997730100205</v>
      </c>
      <c r="J322" s="573"/>
      <c r="K322" s="850" t="str">
        <f>IF(G322="operation",VLOOKUP(J322,'Generic Vertical Port Tasks'!$C$4:$D$197,2,FALSE),"N/A")</f>
        <v>N/A</v>
      </c>
      <c r="L322" s="575" t="s">
        <v>798</v>
      </c>
      <c r="M322" s="573" t="s">
        <v>831</v>
      </c>
      <c r="N322" s="851" t="s">
        <v>452</v>
      </c>
      <c r="O322" s="852">
        <f>IFERROR(INDEX('Upper Hot Cell Logistics'!$I$35:$O$41,MATCH($M322,'Upper Hot Cell Logistics'!$H$35:$H$41,0),MATCH($N322,'Upper Hot Cell Logistics'!$H$35:$H$41,0)),"N/A")</f>
        <v>50</v>
      </c>
      <c r="P322" s="853">
        <f>IFERROR(VLOOKUP($L322,'Upper Hot Cell Logistics'!$H$4:$I$10,2,FALSE),"N/A")</f>
        <v>0.2</v>
      </c>
      <c r="Q322" s="849">
        <f t="shared" si="37"/>
        <v>6.9444444444444448E-2</v>
      </c>
      <c r="R322" s="854"/>
      <c r="S322" s="852" t="str">
        <f>IF($E322="Logistics",VLOOKUP($P322,'Upper Hot Cell Logistics'!$C$4:$D$44,2,FALSE),"N/A")</f>
        <v>N/A</v>
      </c>
      <c r="T322" s="462" t="s">
        <v>962</v>
      </c>
      <c r="U322" s="855">
        <f>IFERROR(VLOOKUP($T322,'Upper HotCell RecoveryLogisitcs'!$C$340:$F$417,4,FALSE),"N/A")</f>
        <v>30.724553285655759</v>
      </c>
      <c r="V322" s="580">
        <f t="shared" si="40"/>
        <v>4.5350000000000037</v>
      </c>
      <c r="W322" s="895"/>
      <c r="Y322" s="290"/>
      <c r="Z322" s="290"/>
      <c r="AA322" s="915"/>
      <c r="AB322" s="5"/>
      <c r="AC322" s="7"/>
      <c r="AD322" s="7"/>
      <c r="AE322" s="7"/>
      <c r="AF322" s="7"/>
      <c r="AG322" s="7"/>
      <c r="AH322" s="7"/>
    </row>
    <row r="323" spans="2:34" ht="15.75" customHeight="1" outlineLevel="2" thickBot="1" x14ac:dyDescent="0.45">
      <c r="B323" s="1046"/>
      <c r="C323" s="5"/>
      <c r="D323" s="949"/>
      <c r="E323" s="808" t="s">
        <v>140</v>
      </c>
      <c r="F323" s="808"/>
      <c r="G323" s="809" t="s">
        <v>251</v>
      </c>
      <c r="H323" s="467">
        <f t="shared" si="38"/>
        <v>5.74</v>
      </c>
      <c r="I323" s="810">
        <f t="shared" si="39"/>
        <v>41.068997730100207</v>
      </c>
      <c r="J323" s="584" t="s">
        <v>254</v>
      </c>
      <c r="K323" s="811">
        <f>IF(G323="operation",VLOOKUP(J323,'Generic Vertical Port Tasks'!$C$4:$D$197,2,FALSE),"N/A")</f>
        <v>5.74</v>
      </c>
      <c r="L323" s="586"/>
      <c r="M323" s="584"/>
      <c r="N323" s="812"/>
      <c r="O323" s="813" t="str">
        <f>IFERROR(INDEX('Upper Hot Cell Logistics'!$I$35:$O$41,MATCH($M323,'Upper Hot Cell Logistics'!$H$35:$H$41,0),MATCH($N323,'Upper Hot Cell Logistics'!$H$35:$H$41,0)),"N/A")</f>
        <v>N/A</v>
      </c>
      <c r="P323" s="814" t="str">
        <f>IFERROR(VLOOKUP($L323,'Upper Hot Cell Logistics'!$H$4:$I$10,2,FALSE),"N/A")</f>
        <v>N/A</v>
      </c>
      <c r="Q323" s="810" t="str">
        <f t="shared" si="37"/>
        <v>N/A</v>
      </c>
      <c r="R323" s="815"/>
      <c r="S323" s="813" t="str">
        <f>IF($E323="Logistics",VLOOKUP($P323,'Upper Hot Cell Logistics'!$C$4:$D$44,2,FALSE),"N/A")</f>
        <v>N/A</v>
      </c>
      <c r="T323" s="469"/>
      <c r="U323" s="816" t="str">
        <f>IFERROR(VLOOKUP($T323,'Upper HotCell RecoveryLogisitcs'!$C$340:$F$417,4,FALSE),"N/A")</f>
        <v>N/A</v>
      </c>
      <c r="V323" s="591" t="str">
        <f t="shared" si="40"/>
        <v>N/A</v>
      </c>
      <c r="W323" s="895"/>
      <c r="Y323" s="290"/>
      <c r="Z323" s="290"/>
      <c r="AA323" s="915"/>
      <c r="AB323" s="5"/>
      <c r="AC323" s="7"/>
      <c r="AD323" s="7"/>
      <c r="AE323" s="7"/>
      <c r="AF323" s="7"/>
      <c r="AG323" s="7"/>
      <c r="AH323" s="7"/>
    </row>
    <row r="324" spans="2:34" ht="15" customHeight="1" outlineLevel="2" x14ac:dyDescent="0.4">
      <c r="B324" s="1046"/>
      <c r="C324" s="5"/>
      <c r="D324" s="950" t="s">
        <v>1080</v>
      </c>
      <c r="E324" s="410" t="s">
        <v>797</v>
      </c>
      <c r="F324" s="974"/>
      <c r="G324" s="975" t="s">
        <v>778</v>
      </c>
      <c r="H324" s="310">
        <f t="shared" si="38"/>
        <v>6.9444444444444448E-2</v>
      </c>
      <c r="I324" s="311">
        <f t="shared" si="39"/>
        <v>41.13844217454465</v>
      </c>
      <c r="J324" s="976"/>
      <c r="K324" s="311" t="str">
        <f>IF(G324="operation",VLOOKUP(J324,'Generic Vertical Port Tasks'!$C$4:$D$197,2,FALSE),"N/A")</f>
        <v>N/A</v>
      </c>
      <c r="L324" s="977" t="s">
        <v>798</v>
      </c>
      <c r="M324" s="977" t="s">
        <v>799</v>
      </c>
      <c r="N324" s="978" t="s">
        <v>452</v>
      </c>
      <c r="O324" s="414">
        <f>IFERROR(INDEX('Upper Hot Cell Logistics'!$I$35:$O$41,MATCH($M324,'Upper Hot Cell Logistics'!$H$35:$H$41,0),MATCH($N324,'Upper Hot Cell Logistics'!$H$35:$H$41,0)),"N/A")</f>
        <v>50</v>
      </c>
      <c r="P324" s="414">
        <f>IFERROR(VLOOKUP($L324,'Upper Hot Cell Logistics'!$H$4:$I$10,2,FALSE),"N/A")</f>
        <v>0.2</v>
      </c>
      <c r="Q324" s="979">
        <f t="shared" si="37"/>
        <v>6.9444444444444448E-2</v>
      </c>
      <c r="R324" s="415"/>
      <c r="S324" s="416" t="str">
        <f>IF($E324="Logistics",VLOOKUP($P324,'Upper Hot Cell Logistics'!$C$4:$D$44,2,FALSE),"N/A")</f>
        <v>N/A</v>
      </c>
      <c r="T324" s="3604" t="s">
        <v>1081</v>
      </c>
      <c r="U324" s="310">
        <f>IFERROR(VLOOKUP($T324,'Upper HotCell RecoveryLogisitcs'!$C$340:$F$417,4,FALSE),"N/A")</f>
        <v>36.533997730100204</v>
      </c>
      <c r="V324" s="311">
        <f t="shared" si="40"/>
        <v>4.5350000000000037</v>
      </c>
      <c r="W324" s="894"/>
      <c r="Y324" s="290"/>
      <c r="Z324" s="290"/>
      <c r="AA324" s="915"/>
      <c r="AB324" s="5"/>
      <c r="AC324" s="7"/>
      <c r="AD324" s="7"/>
      <c r="AE324" s="7"/>
      <c r="AF324" s="7"/>
      <c r="AG324" s="7"/>
      <c r="AH324" s="7"/>
    </row>
    <row r="325" spans="2:34" ht="15" customHeight="1" outlineLevel="2" x14ac:dyDescent="0.4">
      <c r="B325" s="1046"/>
      <c r="C325" s="5"/>
      <c r="D325" s="980"/>
      <c r="E325" s="410" t="s">
        <v>141</v>
      </c>
      <c r="F325" s="981"/>
      <c r="G325" s="975" t="s">
        <v>251</v>
      </c>
      <c r="H325" s="310">
        <f t="shared" si="38"/>
        <v>4.33</v>
      </c>
      <c r="I325" s="311">
        <f t="shared" si="39"/>
        <v>45.468442174544649</v>
      </c>
      <c r="J325" s="976" t="s">
        <v>256</v>
      </c>
      <c r="K325" s="311">
        <f>IF(G325="operation",VLOOKUP(J325,'Generic Vertical Port Tasks'!$C$4:$D$197,2,FALSE),"N/A")</f>
        <v>4.33</v>
      </c>
      <c r="L325" s="982"/>
      <c r="M325" s="983"/>
      <c r="N325" s="984"/>
      <c r="O325" s="414" t="str">
        <f>IFERROR(INDEX('Upper Hot Cell Logistics'!$I$35:$O$41,MATCH($M325,'Upper Hot Cell Logistics'!$H$35:$H$41,0),MATCH($N325,'Upper Hot Cell Logistics'!$H$35:$H$41,0)),"N/A")</f>
        <v>N/A</v>
      </c>
      <c r="P325" s="414" t="str">
        <f>IFERROR(VLOOKUP($L325,'Upper Hot Cell Logistics'!$H$4:$I$10,2,FALSE),"N/A")</f>
        <v>N/A</v>
      </c>
      <c r="Q325" s="979" t="str">
        <f t="shared" si="37"/>
        <v>N/A</v>
      </c>
      <c r="R325" s="415"/>
      <c r="S325" s="416" t="str">
        <f>IF($E325="Logistics",VLOOKUP($P325,'Upper Hot Cell Logistics'!$C$4:$D$44,2,FALSE),"N/A")</f>
        <v>N/A</v>
      </c>
      <c r="T325" s="3604"/>
      <c r="U325" s="310" t="str">
        <f>IFERROR(VLOOKUP($T325,'Upper HotCell RecoveryLogisitcs'!$C$340:$F$417,4,FALSE),"N/A")</f>
        <v>N/A</v>
      </c>
      <c r="V325" s="311" t="str">
        <f t="shared" si="40"/>
        <v>N/A</v>
      </c>
      <c r="W325" s="894"/>
      <c r="Y325" s="290"/>
      <c r="Z325" s="290"/>
      <c r="AA325" s="915"/>
      <c r="AB325" s="5"/>
      <c r="AC325" s="7"/>
      <c r="AD325" s="7"/>
      <c r="AE325" s="7"/>
      <c r="AF325" s="7"/>
      <c r="AG325" s="7"/>
      <c r="AH325" s="7"/>
    </row>
    <row r="326" spans="2:34" ht="15" customHeight="1" outlineLevel="2" x14ac:dyDescent="0.4">
      <c r="B326" s="1046"/>
      <c r="C326" s="5"/>
      <c r="D326" s="980"/>
      <c r="E326" s="410" t="s">
        <v>860</v>
      </c>
      <c r="F326" s="981"/>
      <c r="G326" s="975" t="s">
        <v>778</v>
      </c>
      <c r="H326" s="310">
        <f t="shared" si="38"/>
        <v>6.9444444444444448E-2</v>
      </c>
      <c r="I326" s="311">
        <f t="shared" si="39"/>
        <v>45.537886618989091</v>
      </c>
      <c r="J326" s="976"/>
      <c r="K326" s="311" t="str">
        <f>IF(G326="operation",VLOOKUP(J326,'Generic Vertical Port Tasks'!$C$4:$D$197,2,FALSE),"N/A")</f>
        <v>N/A</v>
      </c>
      <c r="L326" s="977" t="s">
        <v>798</v>
      </c>
      <c r="M326" s="977" t="s">
        <v>799</v>
      </c>
      <c r="N326" s="978" t="s">
        <v>452</v>
      </c>
      <c r="O326" s="414">
        <f>IFERROR(INDEX('Upper Hot Cell Logistics'!$I$35:$O$41,MATCH($M326,'Upper Hot Cell Logistics'!$H$35:$H$41,0),MATCH($N326,'Upper Hot Cell Logistics'!$H$35:$H$41,0)),"N/A")</f>
        <v>50</v>
      </c>
      <c r="P326" s="414">
        <f>IFERROR(VLOOKUP($L326,'Upper Hot Cell Logistics'!$H$4:$I$10,2,FALSE),"N/A")</f>
        <v>0.2</v>
      </c>
      <c r="Q326" s="979">
        <f t="shared" si="37"/>
        <v>6.9444444444444448E-2</v>
      </c>
      <c r="R326" s="415"/>
      <c r="S326" s="416" t="str">
        <f>IF($E326="Logistics",VLOOKUP($P326,'Upper Hot Cell Logistics'!$C$4:$D$44,2,FALSE),"N/A")</f>
        <v>N/A</v>
      </c>
      <c r="T326" s="3604" t="s">
        <v>1082</v>
      </c>
      <c r="U326" s="310">
        <f>IFERROR(VLOOKUP($T326,'Upper HotCell RecoveryLogisitcs'!$C$340:$F$417,4,FALSE),"N/A")</f>
        <v>43.137331063433535</v>
      </c>
      <c r="V326" s="311">
        <f t="shared" si="40"/>
        <v>2.3311111111111131</v>
      </c>
      <c r="W326" s="894"/>
      <c r="Y326" s="290"/>
      <c r="Z326" s="290"/>
      <c r="AA326" s="915"/>
      <c r="AB326" s="5"/>
      <c r="AC326" s="7"/>
      <c r="AD326" s="7"/>
      <c r="AE326" s="7"/>
      <c r="AF326" s="7"/>
      <c r="AG326" s="7"/>
      <c r="AH326" s="7"/>
    </row>
    <row r="327" spans="2:34" ht="15" customHeight="1" outlineLevel="2" x14ac:dyDescent="0.4">
      <c r="B327" s="1046"/>
      <c r="C327" s="5"/>
      <c r="D327" s="980"/>
      <c r="E327" s="410" t="s">
        <v>139</v>
      </c>
      <c r="F327" s="981"/>
      <c r="G327" s="975" t="s">
        <v>251</v>
      </c>
      <c r="H327" s="310">
        <f t="shared" si="38"/>
        <v>4.33</v>
      </c>
      <c r="I327" s="311">
        <f t="shared" si="39"/>
        <v>49.86788661898909</v>
      </c>
      <c r="J327" s="976" t="s">
        <v>256</v>
      </c>
      <c r="K327" s="311">
        <f>IF(G327="operation",VLOOKUP(J327,'Generic Vertical Port Tasks'!$C$4:$D$197,2,FALSE),"N/A")</f>
        <v>4.33</v>
      </c>
      <c r="L327" s="639"/>
      <c r="M327" s="985"/>
      <c r="N327" s="986"/>
      <c r="O327" s="414" t="str">
        <f>IFERROR(INDEX('Upper Hot Cell Logistics'!$I$35:$O$41,MATCH($M327,'Upper Hot Cell Logistics'!$H$35:$H$41,0),MATCH($N327,'Upper Hot Cell Logistics'!$H$35:$H$41,0)),"N/A")</f>
        <v>N/A</v>
      </c>
      <c r="P327" s="414" t="str">
        <f>IFERROR(VLOOKUP($L327,'Upper Hot Cell Logistics'!$H$4:$I$10,2,FALSE),"N/A")</f>
        <v>N/A</v>
      </c>
      <c r="Q327" s="979" t="str">
        <f t="shared" si="37"/>
        <v>N/A</v>
      </c>
      <c r="R327" s="415"/>
      <c r="S327" s="416" t="str">
        <f>IF($E327="Logistics",VLOOKUP($P327,'Upper Hot Cell Logistics'!$C$4:$D$44,2,FALSE),"N/A")</f>
        <v>N/A</v>
      </c>
      <c r="T327" s="3604"/>
      <c r="U327" s="310" t="str">
        <f>IFERROR(VLOOKUP($T327,'Upper HotCell RecoveryLogisitcs'!$C$340:$F$417,4,FALSE),"N/A")</f>
        <v>N/A</v>
      </c>
      <c r="V327" s="311" t="str">
        <f t="shared" si="40"/>
        <v>N/A</v>
      </c>
      <c r="W327" s="894"/>
      <c r="Y327" s="290"/>
      <c r="Z327" s="290"/>
      <c r="AA327" s="915"/>
      <c r="AB327" s="5"/>
      <c r="AC327" s="7"/>
      <c r="AD327" s="7"/>
      <c r="AE327" s="7"/>
      <c r="AF327" s="7"/>
      <c r="AG327" s="7"/>
      <c r="AH327" s="7"/>
    </row>
    <row r="328" spans="2:34" ht="15" customHeight="1" outlineLevel="2" x14ac:dyDescent="0.4">
      <c r="B328" s="1046"/>
      <c r="C328" s="5"/>
      <c r="D328" s="980"/>
      <c r="E328" s="410" t="s">
        <v>862</v>
      </c>
      <c r="F328" s="981"/>
      <c r="G328" s="975" t="s">
        <v>778</v>
      </c>
      <c r="H328" s="310">
        <f t="shared" si="38"/>
        <v>6.9444444444444448E-2</v>
      </c>
      <c r="I328" s="311">
        <f t="shared" si="39"/>
        <v>49.937331063433533</v>
      </c>
      <c r="J328" s="976"/>
      <c r="K328" s="311" t="str">
        <f>IF(G328="operation",VLOOKUP(J328,'Generic Vertical Port Tasks'!$C$4:$D$197,2,FALSE),"N/A")</f>
        <v>N/A</v>
      </c>
      <c r="L328" s="977" t="s">
        <v>798</v>
      </c>
      <c r="M328" s="977" t="s">
        <v>799</v>
      </c>
      <c r="N328" s="978" t="s">
        <v>452</v>
      </c>
      <c r="O328" s="414">
        <f>IFERROR(INDEX('Upper Hot Cell Logistics'!$I$35:$O$41,MATCH($M328,'Upper Hot Cell Logistics'!$H$35:$H$41,0),MATCH($N328,'Upper Hot Cell Logistics'!$H$35:$H$41,0)),"N/A")</f>
        <v>50</v>
      </c>
      <c r="P328" s="414">
        <f>IFERROR(VLOOKUP($L328,'Upper Hot Cell Logistics'!$H$4:$I$10,2,FALSE),"N/A")</f>
        <v>0.2</v>
      </c>
      <c r="Q328" s="979">
        <f t="shared" si="37"/>
        <v>6.9444444444444448E-2</v>
      </c>
      <c r="R328" s="415"/>
      <c r="S328" s="416" t="str">
        <f>IF($E328="Logistics",VLOOKUP($P328,'Upper Hot Cell Logistics'!$C$4:$D$44,2,FALSE),"N/A")</f>
        <v>N/A</v>
      </c>
      <c r="T328" s="3604" t="s">
        <v>863</v>
      </c>
      <c r="U328" s="310">
        <f>IFERROR(VLOOKUP($T328,'Upper HotCell RecoveryLogisitcs'!$C$340:$F$417,4,FALSE),"N/A")</f>
        <v>46.74288661898909</v>
      </c>
      <c r="V328" s="311">
        <f t="shared" si="40"/>
        <v>3.125</v>
      </c>
      <c r="W328" s="894"/>
      <c r="Y328" s="290"/>
      <c r="Z328" s="290"/>
      <c r="AA328" s="915"/>
      <c r="AB328" s="5"/>
      <c r="AC328" s="7"/>
      <c r="AD328" s="7"/>
      <c r="AE328" s="7"/>
      <c r="AF328" s="7"/>
      <c r="AG328" s="7"/>
      <c r="AH328" s="7"/>
    </row>
    <row r="329" spans="2:34" ht="15" customHeight="1" outlineLevel="2" x14ac:dyDescent="0.4">
      <c r="B329" s="1046"/>
      <c r="C329" s="5"/>
      <c r="D329" s="980"/>
      <c r="E329" s="410" t="s">
        <v>137</v>
      </c>
      <c r="F329" s="981"/>
      <c r="G329" s="975" t="s">
        <v>251</v>
      </c>
      <c r="H329" s="310">
        <f t="shared" si="38"/>
        <v>4.33</v>
      </c>
      <c r="I329" s="311">
        <f t="shared" si="39"/>
        <v>54.267331063433531</v>
      </c>
      <c r="J329" s="976" t="s">
        <v>256</v>
      </c>
      <c r="K329" s="311">
        <f>IF(G329="operation",VLOOKUP(J329,'Generic Vertical Port Tasks'!$C$4:$D$197,2,FALSE),"N/A")</f>
        <v>4.33</v>
      </c>
      <c r="L329" s="412"/>
      <c r="M329" s="413"/>
      <c r="N329" s="987"/>
      <c r="O329" s="414" t="str">
        <f>IFERROR(INDEX('Upper Hot Cell Logistics'!$I$35:$O$41,MATCH($M329,'Upper Hot Cell Logistics'!$H$35:$H$41,0),MATCH($N329,'Upper Hot Cell Logistics'!$H$35:$H$41,0)),"N/A")</f>
        <v>N/A</v>
      </c>
      <c r="P329" s="414" t="str">
        <f>IFERROR(VLOOKUP($L329,'Upper Hot Cell Logistics'!$H$4:$I$10,2,FALSE),"N/A")</f>
        <v>N/A</v>
      </c>
      <c r="Q329" s="979" t="str">
        <f t="shared" si="37"/>
        <v>N/A</v>
      </c>
      <c r="R329" s="415"/>
      <c r="S329" s="416" t="str">
        <f>IF($E329="Logistics",VLOOKUP($P329,'Upper Hot Cell Logistics'!$C$4:$D$44,2,FALSE),"N/A")</f>
        <v>N/A</v>
      </c>
      <c r="T329" s="3604"/>
      <c r="U329" s="310" t="str">
        <f>IFERROR(VLOOKUP($T329,'Upper HotCell RecoveryLogisitcs'!$C$340:$F$417,4,FALSE),"N/A")</f>
        <v>N/A</v>
      </c>
      <c r="V329" s="311" t="str">
        <f t="shared" si="40"/>
        <v>N/A</v>
      </c>
      <c r="W329" s="894"/>
      <c r="Y329" s="290"/>
      <c r="Z329" s="290"/>
      <c r="AA329" s="915"/>
      <c r="AB329" s="5"/>
      <c r="AC329" s="7"/>
      <c r="AD329" s="7"/>
      <c r="AE329" s="7"/>
      <c r="AF329" s="7"/>
      <c r="AG329" s="7"/>
      <c r="AH329" s="7"/>
    </row>
    <row r="330" spans="2:34" ht="15" customHeight="1" outlineLevel="2" x14ac:dyDescent="0.4">
      <c r="B330" s="1046"/>
      <c r="C330" s="5"/>
      <c r="D330" s="980"/>
      <c r="E330" s="988" t="s">
        <v>864</v>
      </c>
      <c r="F330" s="981"/>
      <c r="G330" s="975" t="s">
        <v>778</v>
      </c>
      <c r="H330" s="310">
        <f t="shared" si="38"/>
        <v>6.9444444444444448E-2</v>
      </c>
      <c r="I330" s="311">
        <f t="shared" si="39"/>
        <v>54.336775507877974</v>
      </c>
      <c r="J330" s="976"/>
      <c r="K330" s="311" t="str">
        <f>IF(G330="operation",VLOOKUP(J330,'Generic Vertical Port Tasks'!$C$4:$D$197,2,FALSE),"N/A")</f>
        <v>N/A</v>
      </c>
      <c r="L330" s="977" t="s">
        <v>798</v>
      </c>
      <c r="M330" s="977" t="s">
        <v>799</v>
      </c>
      <c r="N330" s="978" t="s">
        <v>452</v>
      </c>
      <c r="O330" s="414">
        <f>IFERROR(INDEX('Upper Hot Cell Logistics'!$I$35:$O$41,MATCH($M330,'Upper Hot Cell Logistics'!$H$35:$H$41,0),MATCH($N330,'Upper Hot Cell Logistics'!$H$35:$H$41,0)),"N/A")</f>
        <v>50</v>
      </c>
      <c r="P330" s="414">
        <f>IFERROR(VLOOKUP($L330,'Upper Hot Cell Logistics'!$H$4:$I$10,2,FALSE),"N/A")</f>
        <v>0.2</v>
      </c>
      <c r="Q330" s="979">
        <f t="shared" si="37"/>
        <v>6.9444444444444448E-2</v>
      </c>
      <c r="R330" s="415"/>
      <c r="S330" s="416" t="str">
        <f>IF($E330="Logistics",VLOOKUP($P330,'Upper Hot Cell Logistics'!$C$4:$D$44,2,FALSE),"N/A")</f>
        <v>N/A</v>
      </c>
      <c r="T330" s="3604" t="s">
        <v>865</v>
      </c>
      <c r="U330" s="310">
        <f>IFERROR(VLOOKUP($T330,'Upper HotCell RecoveryLogisitcs'!$C$340:$F$417,4,FALSE),"N/A")</f>
        <v>51.342331063433534</v>
      </c>
      <c r="V330" s="311">
        <f t="shared" si="40"/>
        <v>2.9249999999999972</v>
      </c>
      <c r="W330" s="894"/>
      <c r="Y330" s="290"/>
      <c r="Z330" s="290"/>
      <c r="AA330" s="915"/>
      <c r="AB330" s="5"/>
      <c r="AC330" s="7"/>
      <c r="AD330" s="7"/>
      <c r="AE330" s="7"/>
      <c r="AF330" s="7"/>
      <c r="AG330" s="7"/>
      <c r="AH330" s="7"/>
    </row>
    <row r="331" spans="2:34" ht="15" customHeight="1" outlineLevel="2" x14ac:dyDescent="0.4">
      <c r="B331" s="1046"/>
      <c r="C331" s="5"/>
      <c r="D331" s="980"/>
      <c r="E331" s="410" t="s">
        <v>133</v>
      </c>
      <c r="F331" s="981"/>
      <c r="G331" s="975" t="s">
        <v>251</v>
      </c>
      <c r="H331" s="310">
        <f t="shared" si="38"/>
        <v>5.74</v>
      </c>
      <c r="I331" s="311">
        <f t="shared" si="39"/>
        <v>60.076775507877976</v>
      </c>
      <c r="J331" s="976" t="s">
        <v>254</v>
      </c>
      <c r="K331" s="311">
        <f>IF(G331="operation",VLOOKUP(J331,'Generic Vertical Port Tasks'!$C$4:$D$197,2,FALSE),"N/A")</f>
        <v>5.74</v>
      </c>
      <c r="L331" s="412"/>
      <c r="M331" s="413"/>
      <c r="N331" s="987"/>
      <c r="O331" s="414" t="str">
        <f>IFERROR(INDEX('Upper Hot Cell Logistics'!$I$35:$O$41,MATCH($M331,'Upper Hot Cell Logistics'!$H$35:$H$41,0),MATCH($N331,'Upper Hot Cell Logistics'!$H$35:$H$41,0)),"N/A")</f>
        <v>N/A</v>
      </c>
      <c r="P331" s="414" t="str">
        <f>IFERROR(VLOOKUP($L331,'Upper Hot Cell Logistics'!$H$4:$I$10,2,FALSE),"N/A")</f>
        <v>N/A</v>
      </c>
      <c r="Q331" s="979" t="str">
        <f t="shared" si="37"/>
        <v>N/A</v>
      </c>
      <c r="R331" s="415"/>
      <c r="S331" s="416" t="str">
        <f>IF($E331="Logistics",VLOOKUP($P331,'Upper Hot Cell Logistics'!$C$4:$D$44,2,FALSE),"N/A")</f>
        <v>N/A</v>
      </c>
      <c r="T331" s="3604"/>
      <c r="U331" s="310" t="str">
        <f>IFERROR(VLOOKUP($T331,'Upper HotCell RecoveryLogisitcs'!$C$340:$F$417,4,FALSE),"N/A")</f>
        <v>N/A</v>
      </c>
      <c r="V331" s="311" t="str">
        <f t="shared" si="40"/>
        <v>N/A</v>
      </c>
      <c r="W331" s="894"/>
      <c r="Y331" s="290"/>
      <c r="Z331" s="290"/>
      <c r="AA331" s="915"/>
      <c r="AB331" s="5"/>
      <c r="AC331" s="7"/>
      <c r="AD331" s="7"/>
      <c r="AE331" s="7"/>
      <c r="AF331" s="7"/>
      <c r="AG331" s="7"/>
      <c r="AH331" s="7"/>
    </row>
    <row r="332" spans="2:34" ht="15" customHeight="1" outlineLevel="2" x14ac:dyDescent="0.4">
      <c r="B332" s="1046"/>
      <c r="C332" s="5"/>
      <c r="D332" s="980"/>
      <c r="E332" s="410" t="s">
        <v>866</v>
      </c>
      <c r="F332" s="981"/>
      <c r="G332" s="975" t="s">
        <v>778</v>
      </c>
      <c r="H332" s="310">
        <f t="shared" si="38"/>
        <v>6.9444444444444448E-2</v>
      </c>
      <c r="I332" s="311">
        <f t="shared" si="39"/>
        <v>60.146219952322419</v>
      </c>
      <c r="J332" s="976"/>
      <c r="K332" s="311" t="str">
        <f>IF(G332="operation",VLOOKUP(J332,'Generic Vertical Port Tasks'!$C$4:$D$197,2,FALSE),"N/A")</f>
        <v>N/A</v>
      </c>
      <c r="L332" s="977" t="s">
        <v>798</v>
      </c>
      <c r="M332" s="977" t="s">
        <v>799</v>
      </c>
      <c r="N332" s="978" t="s">
        <v>452</v>
      </c>
      <c r="O332" s="414">
        <f>IFERROR(INDEX('Upper Hot Cell Logistics'!$I$35:$O$41,MATCH($M332,'Upper Hot Cell Logistics'!$H$35:$H$41,0),MATCH($N332,'Upper Hot Cell Logistics'!$H$35:$H$41,0)),"N/A")</f>
        <v>50</v>
      </c>
      <c r="P332" s="414">
        <f>IFERROR(VLOOKUP($L332,'Upper Hot Cell Logistics'!$H$4:$I$10,2,FALSE),"N/A")</f>
        <v>0.2</v>
      </c>
      <c r="Q332" s="979">
        <f t="shared" si="37"/>
        <v>6.9444444444444448E-2</v>
      </c>
      <c r="R332" s="415"/>
      <c r="S332" s="416" t="str">
        <f>IF($E332="Logistics",VLOOKUP($P332,'Upper Hot Cell Logistics'!$C$4:$D$44,2,FALSE),"N/A")</f>
        <v>N/A</v>
      </c>
      <c r="T332" s="3604" t="s">
        <v>867</v>
      </c>
      <c r="U332" s="310">
        <f>IFERROR(VLOOKUP($T332,'Upper HotCell RecoveryLogisitcs'!$C$340:$F$417,4,FALSE),"N/A")</f>
        <v>55.741775507877975</v>
      </c>
      <c r="V332" s="311">
        <f t="shared" si="40"/>
        <v>4.3350000000000009</v>
      </c>
      <c r="W332" s="894"/>
      <c r="Y332" s="290"/>
      <c r="Z332" s="290"/>
      <c r="AA332" s="915"/>
      <c r="AB332" s="5"/>
      <c r="AC332" s="7"/>
      <c r="AD332" s="7"/>
      <c r="AE332" s="7"/>
      <c r="AF332" s="7"/>
      <c r="AG332" s="7"/>
      <c r="AH332" s="7"/>
    </row>
    <row r="333" spans="2:34" ht="15.75" customHeight="1" outlineLevel="2" thickBot="1" x14ac:dyDescent="0.45">
      <c r="B333" s="1046"/>
      <c r="C333" s="5"/>
      <c r="D333" s="961"/>
      <c r="E333" s="418" t="s">
        <v>134</v>
      </c>
      <c r="F333" s="981"/>
      <c r="G333" s="989" t="s">
        <v>251</v>
      </c>
      <c r="H333" s="362">
        <f t="shared" si="38"/>
        <v>5.74</v>
      </c>
      <c r="I333" s="311">
        <f t="shared" si="39"/>
        <v>65.886219952322421</v>
      </c>
      <c r="J333" s="990" t="s">
        <v>254</v>
      </c>
      <c r="K333" s="363">
        <f>IF(G333="operation",VLOOKUP(J333,'Generic Vertical Port Tasks'!$C$4:$D$197,2,FALSE),"N/A")</f>
        <v>5.74</v>
      </c>
      <c r="L333" s="420"/>
      <c r="M333" s="421"/>
      <c r="N333" s="991"/>
      <c r="O333" s="422" t="str">
        <f>IFERROR(INDEX('Upper Hot Cell Logistics'!$I$35:$O$41,MATCH($M333,'Upper Hot Cell Logistics'!$H$35:$H$41,0),MATCH($N333,'Upper Hot Cell Logistics'!$H$35:$H$41,0)),"N/A")</f>
        <v>N/A</v>
      </c>
      <c r="P333" s="422" t="str">
        <f>IFERROR(VLOOKUP($L333,'Upper Hot Cell Logistics'!$H$4:$I$10,2,FALSE),"N/A")</f>
        <v>N/A</v>
      </c>
      <c r="Q333" s="992" t="str">
        <f t="shared" si="37"/>
        <v>N/A</v>
      </c>
      <c r="R333" s="423"/>
      <c r="S333" s="424" t="str">
        <f>IF($E333="Logistics",VLOOKUP($P333,'Upper Hot Cell Logistics'!$C$4:$D$44,2,FALSE),"N/A")</f>
        <v>N/A</v>
      </c>
      <c r="T333" s="3605"/>
      <c r="U333" s="362" t="str">
        <f>IFERROR(VLOOKUP($T333,'Upper HotCell RecoveryLogisitcs'!$C$340:$F$417,4,FALSE),"N/A")</f>
        <v>N/A</v>
      </c>
      <c r="V333" s="363" t="str">
        <f t="shared" si="40"/>
        <v>N/A</v>
      </c>
      <c r="W333" s="894"/>
      <c r="Y333" s="290"/>
      <c r="Z333" s="290"/>
      <c r="AA333" s="915"/>
      <c r="AB333" s="5"/>
      <c r="AC333" s="7"/>
      <c r="AD333" s="7"/>
      <c r="AE333" s="7"/>
      <c r="AF333" s="7"/>
      <c r="AG333" s="7"/>
      <c r="AH333" s="7"/>
    </row>
    <row r="334" spans="2:34" ht="25.5" customHeight="1" outlineLevel="2" x14ac:dyDescent="0.4">
      <c r="B334" s="1046"/>
      <c r="C334" s="5"/>
      <c r="D334" s="993" t="s">
        <v>117</v>
      </c>
      <c r="E334" s="798" t="s">
        <v>1083</v>
      </c>
      <c r="F334" s="798"/>
      <c r="G334" s="799" t="s">
        <v>778</v>
      </c>
      <c r="H334" s="326">
        <f t="shared" si="38"/>
        <v>0.69444444444444442</v>
      </c>
      <c r="I334" s="800">
        <f t="shared" si="39"/>
        <v>66.580664396766863</v>
      </c>
      <c r="J334" s="566"/>
      <c r="K334" s="621" t="str">
        <f>IF(G334="operation",VLOOKUP(J334,'Generic Vertical Port Tasks'!$C$4:$D$197,2,FALSE),"N/A")</f>
        <v>N/A</v>
      </c>
      <c r="L334" s="568" t="s">
        <v>857</v>
      </c>
      <c r="M334" s="566" t="s">
        <v>858</v>
      </c>
      <c r="N334" s="801" t="s">
        <v>452</v>
      </c>
      <c r="O334" s="802">
        <f>IFERROR(INDEX('Upper Hot Cell Logistics'!$I$35:$O$41,MATCH($M334,'Upper Hot Cell Logistics'!$H$35:$H$41,0),MATCH($N334,'Upper Hot Cell Logistics'!$H$35:$H$41,0)),"N/A")</f>
        <v>50</v>
      </c>
      <c r="P334" s="570">
        <f>IFERROR(VLOOKUP($L334,'Upper Hot Cell Logistics'!$H$4:$I$10,2,FALSE),"N/A")</f>
        <v>0.02</v>
      </c>
      <c r="Q334" s="800">
        <f t="shared" si="37"/>
        <v>0.69444444444444442</v>
      </c>
      <c r="R334" s="803"/>
      <c r="S334" s="802" t="str">
        <f>IF($G334="Logistics",VLOOKUP($R334,'Upper Hot Cell Logistics'!$C$4:$D$44,2,FALSE),"N/A")</f>
        <v>N/A</v>
      </c>
      <c r="T334" s="454" t="s">
        <v>1084</v>
      </c>
      <c r="U334" s="804">
        <f>IFERROR(VLOOKUP($T334,'Upper HotCell RecoveryLogisitcs'!$C$340:$F$417,4,FALSE),"N/A")</f>
        <v>62.852886618989082</v>
      </c>
      <c r="V334" s="621">
        <f t="shared" si="40"/>
        <v>3.0333333333333385</v>
      </c>
      <c r="W334" s="895"/>
      <c r="Y334" s="290"/>
      <c r="Z334" s="290"/>
      <c r="AA334" s="915"/>
    </row>
    <row r="335" spans="2:34" s="82" customFormat="1" ht="15.75" customHeight="1" outlineLevel="2" thickBot="1" x14ac:dyDescent="0.45">
      <c r="B335" s="1046"/>
      <c r="C335" s="5"/>
      <c r="D335" s="994"/>
      <c r="E335" s="808" t="s">
        <v>1085</v>
      </c>
      <c r="F335" s="808"/>
      <c r="G335" s="809" t="s">
        <v>251</v>
      </c>
      <c r="H335" s="467">
        <f t="shared" si="38"/>
        <v>4.0949999999999998</v>
      </c>
      <c r="I335" s="810">
        <f t="shared" si="39"/>
        <v>70.675664396766862</v>
      </c>
      <c r="J335" s="584" t="s">
        <v>35</v>
      </c>
      <c r="K335" s="811">
        <f>IF(G335="operation",VLOOKUP(J335,'Generic Vertical Port Tasks'!$C$4:$D$197,2,FALSE),"N/A")</f>
        <v>4.0949999999999998</v>
      </c>
      <c r="L335" s="586"/>
      <c r="M335" s="584"/>
      <c r="N335" s="812"/>
      <c r="O335" s="813" t="str">
        <f>IFERROR(INDEX('Upper Hot Cell Logistics'!$I$35:$O$41,MATCH($M335,'Upper Hot Cell Logistics'!$H$35:$H$41,0),MATCH($N335,'Upper Hot Cell Logistics'!$H$35:$H$41,0)),"N/A")</f>
        <v>N/A</v>
      </c>
      <c r="P335" s="814" t="str">
        <f>IFERROR(VLOOKUP($L335,'Upper Hot Cell Logistics'!$H$4:$I$10,2,FALSE),"N/A")</f>
        <v>N/A</v>
      </c>
      <c r="Q335" s="810" t="str">
        <f t="shared" si="37"/>
        <v>N/A</v>
      </c>
      <c r="R335" s="815"/>
      <c r="S335" s="813" t="str">
        <f>IF($G335="Logistics",VLOOKUP($R335,'Upper Hot Cell Logistics'!$C$4:$D$44,2,FALSE),"N/A")</f>
        <v>N/A</v>
      </c>
      <c r="T335" s="469"/>
      <c r="U335" s="816" t="str">
        <f>IFERROR(VLOOKUP($T335,'Upper HotCell RecoveryLogisitcs'!$C$340:$F$417,4,FALSE),"N/A")</f>
        <v>N/A</v>
      </c>
      <c r="V335" s="591" t="str">
        <f t="shared" si="40"/>
        <v>N/A</v>
      </c>
      <c r="W335" s="895"/>
      <c r="Y335" s="7"/>
      <c r="Z335" s="7"/>
      <c r="AA335" s="995"/>
      <c r="AB335" s="890"/>
    </row>
    <row r="336" spans="2:34" s="82" customFormat="1" ht="15" customHeight="1" outlineLevel="2" x14ac:dyDescent="0.4">
      <c r="B336" s="1046"/>
      <c r="C336" s="5"/>
      <c r="D336" s="996" t="s">
        <v>1086</v>
      </c>
      <c r="E336" s="952" t="s">
        <v>820</v>
      </c>
      <c r="F336" s="952"/>
      <c r="G336" s="953" t="s">
        <v>778</v>
      </c>
      <c r="H336" s="305">
        <f t="shared" si="38"/>
        <v>0.69444444444444442</v>
      </c>
      <c r="I336" s="955">
        <f t="shared" si="39"/>
        <v>71.370108841211305</v>
      </c>
      <c r="J336" s="592"/>
      <c r="K336" s="600" t="str">
        <f>IF(G336="operation",VLOOKUP(J336,'Generic Vertical Port Tasks'!$C$4:$D$197,2,FALSE),"N/A")</f>
        <v>N/A</v>
      </c>
      <c r="L336" s="594" t="s">
        <v>857</v>
      </c>
      <c r="M336" s="592" t="s">
        <v>858</v>
      </c>
      <c r="N336" s="956" t="s">
        <v>452</v>
      </c>
      <c r="O336" s="957">
        <f>IFERROR(INDEX('Upper Hot Cell Logistics'!$I$35:$O$41,MATCH($M336,'Upper Hot Cell Logistics'!$H$35:$H$41,0),MATCH($N336,'Upper Hot Cell Logistics'!$H$35:$H$41,0)),"N/A")</f>
        <v>50</v>
      </c>
      <c r="P336" s="958">
        <f>IFERROR(VLOOKUP($L336,'Upper Hot Cell Logistics'!$H$4:$I$10,2,FALSE),"N/A")</f>
        <v>0.02</v>
      </c>
      <c r="Q336" s="955">
        <f t="shared" si="37"/>
        <v>0.69444444444444442</v>
      </c>
      <c r="R336" s="959"/>
      <c r="S336" s="957" t="str">
        <f>IF($G336="Logistics",VLOOKUP($R336,'Upper Hot Cell Logistics'!$C$4:$D$44,2,FALSE),"N/A")</f>
        <v>N/A</v>
      </c>
      <c r="T336" s="3606" t="s">
        <v>871</v>
      </c>
      <c r="U336" s="960">
        <f>IFERROR(VLOOKUP($T336,'Upper HotCell RecoveryLogisitcs'!$C$340:$F$417,4,FALSE),"N/A")</f>
        <v>68.354553285655754</v>
      </c>
      <c r="V336" s="600">
        <f t="shared" si="40"/>
        <v>2.321111111111108</v>
      </c>
      <c r="W336" s="895"/>
      <c r="Y336" s="7"/>
      <c r="Z336" s="7"/>
      <c r="AA336" s="995"/>
      <c r="AB336" s="890"/>
    </row>
    <row r="337" spans="2:28" s="82" customFormat="1" ht="15" customHeight="1" outlineLevel="2" x14ac:dyDescent="0.4">
      <c r="B337" s="1046"/>
      <c r="C337" s="5"/>
      <c r="D337" s="997"/>
      <c r="E337" s="981" t="s">
        <v>132</v>
      </c>
      <c r="F337" s="981"/>
      <c r="G337" s="998" t="s">
        <v>251</v>
      </c>
      <c r="H337" s="999">
        <f t="shared" si="38"/>
        <v>24.022732551873563</v>
      </c>
      <c r="I337" s="1000">
        <f t="shared" si="39"/>
        <v>95.392841393084865</v>
      </c>
      <c r="J337" s="977" t="s">
        <v>2492</v>
      </c>
      <c r="K337" s="638">
        <f>IF(G337="operation",VLOOKUP(J337,'Generic Vertical Port Tasks'!$C$4:$D$197,2,FALSE),"N/A")</f>
        <v>24.022732551873563</v>
      </c>
      <c r="L337" s="603"/>
      <c r="M337" s="977"/>
      <c r="N337" s="978"/>
      <c r="O337" s="1001" t="str">
        <f>IFERROR(INDEX('Upper Hot Cell Logistics'!$I$35:$O$41,MATCH($M337,'Upper Hot Cell Logistics'!$H$35:$H$41,0),MATCH($N337,'Upper Hot Cell Logistics'!$H$35:$H$41,0)),"N/A")</f>
        <v>N/A</v>
      </c>
      <c r="P337" s="1002" t="str">
        <f>IFERROR(VLOOKUP($L337,'Upper Hot Cell Logistics'!$H$4:$I$10,2,FALSE),"N/A")</f>
        <v>N/A</v>
      </c>
      <c r="Q337" s="1000" t="str">
        <f t="shared" si="37"/>
        <v>N/A</v>
      </c>
      <c r="R337" s="1003"/>
      <c r="S337" s="1001" t="str">
        <f>IF($G337="Logistics",VLOOKUP($R337,'Upper Hot Cell Logistics'!$C$4:$D$44,2,FALSE),"N/A")</f>
        <v>N/A</v>
      </c>
      <c r="T337" s="3606"/>
      <c r="U337" s="1004" t="str">
        <f>IFERROR(VLOOKUP($T337,'Upper HotCell RecoveryLogisitcs'!$C$340:$F$417,4,FALSE),"N/A")</f>
        <v>N/A</v>
      </c>
      <c r="V337" s="608" t="str">
        <f t="shared" si="40"/>
        <v>N/A</v>
      </c>
      <c r="W337" s="895"/>
      <c r="Y337" s="7"/>
      <c r="Z337" s="7"/>
      <c r="AA337" s="995"/>
      <c r="AB337" s="890"/>
    </row>
    <row r="338" spans="2:28" s="82" customFormat="1" ht="15" customHeight="1" outlineLevel="2" x14ac:dyDescent="0.4">
      <c r="B338" s="1046"/>
      <c r="C338" s="5"/>
      <c r="D338" s="997"/>
      <c r="E338" s="981" t="s">
        <v>811</v>
      </c>
      <c r="F338" s="981"/>
      <c r="G338" s="998" t="s">
        <v>778</v>
      </c>
      <c r="H338" s="999">
        <f t="shared" si="38"/>
        <v>0.20833333333333334</v>
      </c>
      <c r="I338" s="1000">
        <f t="shared" si="39"/>
        <v>95.601174726418193</v>
      </c>
      <c r="J338" s="977"/>
      <c r="K338" s="638" t="str">
        <f>IF(G338="operation",VLOOKUP(J338,'Generic Vertical Port Tasks'!$C$4:$D$197,2,FALSE),"N/A")</f>
        <v>N/A</v>
      </c>
      <c r="L338" s="603" t="s">
        <v>12</v>
      </c>
      <c r="M338" s="977" t="s">
        <v>816</v>
      </c>
      <c r="N338" s="978" t="s">
        <v>452</v>
      </c>
      <c r="O338" s="1001">
        <f>IFERROR(INDEX('Upper Hot Cell Logistics'!$I$35:$O$41,MATCH($M338,'Upper Hot Cell Logistics'!$H$35:$H$41,0),MATCH($N338,'Upper Hot Cell Logistics'!$H$35:$H$41,0)),"N/A")</f>
        <v>15</v>
      </c>
      <c r="P338" s="1002">
        <f>IFERROR(VLOOKUP($L338,'Upper Hot Cell Logistics'!$H$4:$I$10,2,FALSE),"N/A")</f>
        <v>0.02</v>
      </c>
      <c r="Q338" s="1000">
        <f t="shared" si="37"/>
        <v>0.20833333333333334</v>
      </c>
      <c r="R338" s="1003"/>
      <c r="S338" s="1001" t="str">
        <f>IF($G338="Logistics",VLOOKUP($R338,'Upper Hot Cell Logistics'!$C$4:$D$44,2,FALSE),"N/A")</f>
        <v>N/A</v>
      </c>
      <c r="T338" s="3606"/>
      <c r="U338" s="1004" t="str">
        <f>IFERROR(VLOOKUP($T338,'Upper HotCell RecoveryLogisitcs'!$C$340:$F$417,4,FALSE),"N/A")</f>
        <v>N/A</v>
      </c>
      <c r="V338" s="608" t="str">
        <f t="shared" si="40"/>
        <v>N/A</v>
      </c>
      <c r="W338" s="895"/>
      <c r="Y338" s="7"/>
      <c r="Z338" s="7"/>
      <c r="AA338" s="995"/>
      <c r="AB338" s="890"/>
    </row>
    <row r="339" spans="2:28" s="82" customFormat="1" ht="15.75" customHeight="1" outlineLevel="2" thickBot="1" x14ac:dyDescent="0.45">
      <c r="B339" s="1046"/>
      <c r="C339" s="5"/>
      <c r="D339" s="1005"/>
      <c r="E339" s="963" t="s">
        <v>47</v>
      </c>
      <c r="F339" s="963"/>
      <c r="G339" s="964" t="s">
        <v>251</v>
      </c>
      <c r="H339" s="1006">
        <f t="shared" si="38"/>
        <v>7.83</v>
      </c>
      <c r="I339" s="965">
        <f t="shared" si="39"/>
        <v>103.43117472641819</v>
      </c>
      <c r="J339" s="966" t="s">
        <v>257</v>
      </c>
      <c r="K339" s="967">
        <f>IF(G339="operation",VLOOKUP(J339,'Generic Vertical Port Tasks'!$C$4:$D$197,2,FALSE),"N/A")</f>
        <v>7.83</v>
      </c>
      <c r="L339" s="611"/>
      <c r="M339" s="966"/>
      <c r="N339" s="968"/>
      <c r="O339" s="969" t="str">
        <f>IFERROR(INDEX('Upper Hot Cell Logistics'!$I$35:$O$41,MATCH($M339,'Upper Hot Cell Logistics'!$H$35:$H$41,0),MATCH($N339,'Upper Hot Cell Logistics'!$H$35:$H$41,0)),"N/A")</f>
        <v>N/A</v>
      </c>
      <c r="P339" s="970" t="str">
        <f>IFERROR(VLOOKUP($L339,'Upper Hot Cell Logistics'!$H$4:$I$10,2,FALSE),"N/A")</f>
        <v>N/A</v>
      </c>
      <c r="Q339" s="965" t="str">
        <f t="shared" si="37"/>
        <v>N/A</v>
      </c>
      <c r="R339" s="971"/>
      <c r="S339" s="969" t="str">
        <f>IF($G339="Logistics",VLOOKUP($R339,'Upper Hot Cell Logistics'!$C$4:$D$44,2,FALSE),"N/A")</f>
        <v>N/A</v>
      </c>
      <c r="T339" s="3568"/>
      <c r="U339" s="972" t="str">
        <f>IFERROR(VLOOKUP($T339,'Upper HotCell RecoveryLogisitcs'!$C$340:$F$417,4,FALSE),"N/A")</f>
        <v>N/A</v>
      </c>
      <c r="V339" s="616" t="str">
        <f t="shared" si="40"/>
        <v>N/A</v>
      </c>
      <c r="W339" s="895"/>
      <c r="Y339" s="7"/>
      <c r="Z339" s="7"/>
      <c r="AA339" s="995"/>
      <c r="AB339" s="890"/>
    </row>
    <row r="340" spans="2:28" s="82" customFormat="1" ht="15" customHeight="1" outlineLevel="2" x14ac:dyDescent="0.4">
      <c r="B340" s="1046"/>
      <c r="C340" s="5"/>
      <c r="D340" s="993" t="s">
        <v>118</v>
      </c>
      <c r="E340" s="798" t="s">
        <v>797</v>
      </c>
      <c r="F340" s="798"/>
      <c r="G340" s="799" t="s">
        <v>778</v>
      </c>
      <c r="H340" s="326">
        <f t="shared" si="38"/>
        <v>6.9444444444444448E-2</v>
      </c>
      <c r="I340" s="800">
        <f t="shared" si="39"/>
        <v>103.50061917086263</v>
      </c>
      <c r="J340" s="566"/>
      <c r="K340" s="621" t="str">
        <f>IF(G340="operation",VLOOKUP(J340,'Generic Vertical Port Tasks'!$C$4:$D$197,2,FALSE),"N/A")</f>
        <v>N/A</v>
      </c>
      <c r="L340" s="568" t="s">
        <v>798</v>
      </c>
      <c r="M340" s="566" t="s">
        <v>858</v>
      </c>
      <c r="N340" s="801" t="s">
        <v>452</v>
      </c>
      <c r="O340" s="802">
        <f>IFERROR(INDEX('Upper Hot Cell Logistics'!$I$35:$O$41,MATCH($M340,'Upper Hot Cell Logistics'!$H$35:$H$41,0),MATCH($N340,'Upper Hot Cell Logistics'!$H$35:$H$41,0)),"N/A")</f>
        <v>50</v>
      </c>
      <c r="P340" s="570">
        <f>IFERROR(VLOOKUP($L340,'Upper Hot Cell Logistics'!$H$4:$I$10,2,FALSE),"N/A")</f>
        <v>0.2</v>
      </c>
      <c r="Q340" s="800">
        <f t="shared" si="37"/>
        <v>6.9444444444444448E-2</v>
      </c>
      <c r="R340" s="803"/>
      <c r="S340" s="802" t="str">
        <f>IF($G340="Logistics",VLOOKUP($R340,'Upper Hot Cell Logistics'!$C$4:$D$44,2,FALSE),"N/A")</f>
        <v>N/A</v>
      </c>
      <c r="T340" s="454" t="s">
        <v>874</v>
      </c>
      <c r="U340" s="804">
        <f>IFERROR(VLOOKUP($T340,'Upper HotCell RecoveryLogisitcs'!$C$340:$F$417,4,FALSE),"N/A")</f>
        <v>71.525108841211306</v>
      </c>
      <c r="V340" s="621">
        <f t="shared" si="40"/>
        <v>31.906065885206885</v>
      </c>
      <c r="W340" s="895"/>
      <c r="Y340" s="7"/>
      <c r="Z340" s="7"/>
      <c r="AA340" s="995"/>
      <c r="AB340" s="890"/>
    </row>
    <row r="341" spans="2:28" s="82" customFormat="1" ht="15.75" customHeight="1" outlineLevel="2" thickBot="1" x14ac:dyDescent="0.45">
      <c r="B341" s="1046"/>
      <c r="C341" s="5"/>
      <c r="D341" s="994"/>
      <c r="E341" s="808" t="s">
        <v>1088</v>
      </c>
      <c r="F341" s="808"/>
      <c r="G341" s="809" t="s">
        <v>251</v>
      </c>
      <c r="H341" s="467">
        <f t="shared" si="38"/>
        <v>4.0949999999999998</v>
      </c>
      <c r="I341" s="810">
        <f t="shared" si="39"/>
        <v>107.59561917086263</v>
      </c>
      <c r="J341" s="584" t="s">
        <v>35</v>
      </c>
      <c r="K341" s="811">
        <f>IF(G341="operation",VLOOKUP(J341,'Generic Vertical Port Tasks'!$C$4:$D$197,2,FALSE),"N/A")</f>
        <v>4.0949999999999998</v>
      </c>
      <c r="L341" s="586"/>
      <c r="M341" s="584"/>
      <c r="N341" s="812"/>
      <c r="O341" s="813" t="str">
        <f>IFERROR(INDEX('Upper Hot Cell Logistics'!$I$35:$O$41,MATCH($M341,'Upper Hot Cell Logistics'!$H$35:$H$41,0),MATCH($N341,'Upper Hot Cell Logistics'!$H$35:$H$41,0)),"N/A")</f>
        <v>N/A</v>
      </c>
      <c r="P341" s="814" t="str">
        <f>IFERROR(VLOOKUP($L341,'Upper Hot Cell Logistics'!$H$4:$I$10,2,FALSE),"N/A")</f>
        <v>N/A</v>
      </c>
      <c r="Q341" s="810" t="str">
        <f t="shared" si="37"/>
        <v>N/A</v>
      </c>
      <c r="R341" s="815"/>
      <c r="S341" s="813" t="str">
        <f>IF($G341="Logistics",VLOOKUP($R341,'Upper Hot Cell Logistics'!$C$4:$D$44,2,FALSE),"N/A")</f>
        <v>N/A</v>
      </c>
      <c r="T341" s="469" t="s">
        <v>1090</v>
      </c>
      <c r="U341" s="816" t="str">
        <f>IFERROR(VLOOKUP($T341,'Upper HotCell RecoveryLogisitcs'!$C$340:$F$417,4,FALSE),"N/A")</f>
        <v>N/A</v>
      </c>
      <c r="V341" s="591" t="str">
        <f t="shared" si="40"/>
        <v>N/A</v>
      </c>
      <c r="W341" s="895"/>
      <c r="Y341" s="7"/>
      <c r="Z341" s="7"/>
      <c r="AA341" s="995"/>
      <c r="AB341" s="890"/>
    </row>
    <row r="342" spans="2:28" s="82" customFormat="1" ht="15" customHeight="1" outlineLevel="2" x14ac:dyDescent="0.4">
      <c r="B342" s="1046"/>
      <c r="C342" s="5"/>
      <c r="D342" s="996" t="s">
        <v>1089</v>
      </c>
      <c r="E342" s="952" t="s">
        <v>820</v>
      </c>
      <c r="F342" s="952"/>
      <c r="G342" s="953" t="s">
        <v>778</v>
      </c>
      <c r="H342" s="305">
        <f t="shared" si="38"/>
        <v>0.69444444444444442</v>
      </c>
      <c r="I342" s="955">
        <f t="shared" si="39"/>
        <v>108.29006361530708</v>
      </c>
      <c r="J342" s="592"/>
      <c r="K342" s="600" t="str">
        <f>IF(G342="operation",VLOOKUP(J342,'Generic Vertical Port Tasks'!$C$4:$D$197,2,FALSE),"N/A")</f>
        <v>N/A</v>
      </c>
      <c r="L342" s="594" t="s">
        <v>857</v>
      </c>
      <c r="M342" s="592" t="s">
        <v>858</v>
      </c>
      <c r="N342" s="956" t="s">
        <v>452</v>
      </c>
      <c r="O342" s="957">
        <f>IFERROR(INDEX('Upper Hot Cell Logistics'!$I$35:$O$41,MATCH($M342,'Upper Hot Cell Logistics'!$H$35:$H$41,0),MATCH($N342,'Upper Hot Cell Logistics'!$H$35:$H$41,0)),"N/A")</f>
        <v>50</v>
      </c>
      <c r="P342" s="958">
        <f>IFERROR(VLOOKUP($L342,'Upper Hot Cell Logistics'!$H$4:$I$10,2,FALSE),"N/A")</f>
        <v>0.02</v>
      </c>
      <c r="Q342" s="955">
        <f t="shared" si="37"/>
        <v>0.69444444444444442</v>
      </c>
      <c r="R342" s="959"/>
      <c r="S342" s="957" t="str">
        <f>IF($G342="Logistics",VLOOKUP($R342,'Upper Hot Cell Logistics'!$C$4:$D$44,2,FALSE),"N/A")</f>
        <v>N/A</v>
      </c>
      <c r="T342" s="3603"/>
      <c r="U342" s="960" t="str">
        <f>IFERROR(VLOOKUP($T342,'Upper HotCell RecoveryLogisitcs'!$C$340:$F$417,4,FALSE),"N/A")</f>
        <v>N/A</v>
      </c>
      <c r="V342" s="600" t="str">
        <f t="shared" si="40"/>
        <v>N/A</v>
      </c>
      <c r="W342" s="895"/>
      <c r="Y342" s="7"/>
      <c r="Z342" s="7"/>
      <c r="AA342" s="995"/>
      <c r="AB342" s="890"/>
    </row>
    <row r="343" spans="2:28" s="82" customFormat="1" ht="15" customHeight="1" outlineLevel="2" x14ac:dyDescent="0.4">
      <c r="B343" s="1046"/>
      <c r="C343" s="5"/>
      <c r="D343" s="997"/>
      <c r="E343" s="981" t="s">
        <v>130</v>
      </c>
      <c r="F343" s="981"/>
      <c r="G343" s="998" t="s">
        <v>251</v>
      </c>
      <c r="H343" s="999">
        <f t="shared" si="38"/>
        <v>24.022732551873563</v>
      </c>
      <c r="I343" s="1000">
        <f t="shared" si="39"/>
        <v>132.31279616718064</v>
      </c>
      <c r="J343" s="977" t="s">
        <v>2492</v>
      </c>
      <c r="K343" s="638">
        <f>IF(G343="operation",VLOOKUP(J343,'Generic Vertical Port Tasks'!$C$4:$D$197,2,FALSE),"N/A")</f>
        <v>24.022732551873563</v>
      </c>
      <c r="L343" s="603"/>
      <c r="M343" s="977"/>
      <c r="N343" s="978"/>
      <c r="O343" s="1001" t="str">
        <f>IFERROR(INDEX('Upper Hot Cell Logistics'!$I$35:$O$41,MATCH($M343,'Upper Hot Cell Logistics'!$H$35:$H$41,0),MATCH($N343,'Upper Hot Cell Logistics'!$H$35:$H$41,0)),"N/A")</f>
        <v>N/A</v>
      </c>
      <c r="P343" s="1002" t="str">
        <f>IFERROR(VLOOKUP($L343,'Upper Hot Cell Logistics'!$H$4:$I$10,2,FALSE),"N/A")</f>
        <v>N/A</v>
      </c>
      <c r="Q343" s="1000" t="str">
        <f t="shared" si="37"/>
        <v>N/A</v>
      </c>
      <c r="R343" s="1003"/>
      <c r="S343" s="1001" t="str">
        <f>IF($G343="Logistics",VLOOKUP($R343,'Upper Hot Cell Logistics'!$C$4:$D$44,2,FALSE),"N/A")</f>
        <v>N/A</v>
      </c>
      <c r="T343" s="3606"/>
      <c r="U343" s="1004" t="str">
        <f>IFERROR(VLOOKUP($T343,'Upper HotCell RecoveryLogisitcs'!$C$340:$F$417,4,FALSE),"N/A")</f>
        <v>N/A</v>
      </c>
      <c r="V343" s="608" t="str">
        <f t="shared" si="40"/>
        <v>N/A</v>
      </c>
      <c r="W343" s="895"/>
      <c r="Y343" s="7"/>
      <c r="Z343" s="7"/>
      <c r="AA343" s="995"/>
      <c r="AB343" s="890"/>
    </row>
    <row r="344" spans="2:28" s="82" customFormat="1" ht="15" customHeight="1" outlineLevel="2" x14ac:dyDescent="0.4">
      <c r="B344" s="1046"/>
      <c r="C344" s="5"/>
      <c r="D344" s="997"/>
      <c r="E344" s="981" t="s">
        <v>811</v>
      </c>
      <c r="F344" s="981"/>
      <c r="G344" s="998" t="s">
        <v>778</v>
      </c>
      <c r="H344" s="999">
        <f t="shared" si="38"/>
        <v>0.20833333333333334</v>
      </c>
      <c r="I344" s="1000">
        <f t="shared" si="39"/>
        <v>132.52112950051398</v>
      </c>
      <c r="J344" s="977"/>
      <c r="K344" s="638" t="str">
        <f>IF(G344="operation",VLOOKUP(J344,'Generic Vertical Port Tasks'!$C$4:$D$197,2,FALSE),"N/A")</f>
        <v>N/A</v>
      </c>
      <c r="L344" s="603" t="s">
        <v>12</v>
      </c>
      <c r="M344" s="977" t="s">
        <v>816</v>
      </c>
      <c r="N344" s="978" t="s">
        <v>452</v>
      </c>
      <c r="O344" s="1001">
        <f>IFERROR(INDEX('Upper Hot Cell Logistics'!$I$35:$O$41,MATCH($M344,'Upper Hot Cell Logistics'!$H$35:$H$41,0),MATCH($N344,'Upper Hot Cell Logistics'!$H$35:$H$41,0)),"N/A")</f>
        <v>15</v>
      </c>
      <c r="P344" s="1002">
        <f>IFERROR(VLOOKUP($L344,'Upper Hot Cell Logistics'!$H$4:$I$10,2,FALSE),"N/A")</f>
        <v>0.02</v>
      </c>
      <c r="Q344" s="1000">
        <f t="shared" si="37"/>
        <v>0.20833333333333334</v>
      </c>
      <c r="R344" s="1003"/>
      <c r="S344" s="1001" t="str">
        <f>IF($G344="Logistics",VLOOKUP($R344,'Upper Hot Cell Logistics'!$C$4:$D$44,2,FALSE),"N/A")</f>
        <v>N/A</v>
      </c>
      <c r="T344" s="3606"/>
      <c r="U344" s="1004" t="str">
        <f>IFERROR(VLOOKUP($T344,'Upper HotCell RecoveryLogisitcs'!$C$340:$F$417,4,FALSE),"N/A")</f>
        <v>N/A</v>
      </c>
      <c r="V344" s="608" t="str">
        <f t="shared" si="40"/>
        <v>N/A</v>
      </c>
      <c r="W344" s="895"/>
      <c r="Y344" s="7"/>
      <c r="Z344" s="7"/>
      <c r="AA344" s="995"/>
      <c r="AB344" s="890"/>
    </row>
    <row r="345" spans="2:28" s="82" customFormat="1" ht="15.75" customHeight="1" outlineLevel="2" thickBot="1" x14ac:dyDescent="0.45">
      <c r="B345" s="1046"/>
      <c r="C345" s="5"/>
      <c r="D345" s="1005"/>
      <c r="E345" s="963" t="s">
        <v>42</v>
      </c>
      <c r="F345" s="963"/>
      <c r="G345" s="964" t="s">
        <v>251</v>
      </c>
      <c r="H345" s="1006">
        <f t="shared" si="38"/>
        <v>7.83</v>
      </c>
      <c r="I345" s="965">
        <f t="shared" si="39"/>
        <v>140.35112950051399</v>
      </c>
      <c r="J345" s="966" t="s">
        <v>257</v>
      </c>
      <c r="K345" s="967">
        <f>IF(G345="operation",VLOOKUP(J345,'Generic Vertical Port Tasks'!$C$4:$D$197,2,FALSE),"N/A")</f>
        <v>7.83</v>
      </c>
      <c r="L345" s="611"/>
      <c r="M345" s="966"/>
      <c r="N345" s="968"/>
      <c r="O345" s="969" t="str">
        <f>IFERROR(INDEX('Upper Hot Cell Logistics'!$I$35:$O$41,MATCH($M345,'Upper Hot Cell Logistics'!$H$35:$H$41,0),MATCH($N345,'Upper Hot Cell Logistics'!$H$35:$H$41,0)),"N/A")</f>
        <v>N/A</v>
      </c>
      <c r="P345" s="970" t="str">
        <f>IFERROR(VLOOKUP($L345,'Upper Hot Cell Logistics'!$H$4:$I$10,2,FALSE),"N/A")</f>
        <v>N/A</v>
      </c>
      <c r="Q345" s="965" t="str">
        <f t="shared" si="37"/>
        <v>N/A</v>
      </c>
      <c r="R345" s="971"/>
      <c r="S345" s="969" t="str">
        <f>IF($G345="Logistics",VLOOKUP($R345,'Upper Hot Cell Logistics'!$C$4:$D$44,2,FALSE),"N/A")</f>
        <v>N/A</v>
      </c>
      <c r="T345" s="3568"/>
      <c r="U345" s="972" t="str">
        <f>IFERROR(VLOOKUP($T345,'Upper HotCell RecoveryLogisitcs'!$C$340:$F$417,4,FALSE),"N/A")</f>
        <v>N/A</v>
      </c>
      <c r="V345" s="616" t="str">
        <f t="shared" si="40"/>
        <v>N/A</v>
      </c>
      <c r="W345" s="895"/>
      <c r="Y345" s="7"/>
      <c r="Z345" s="7"/>
      <c r="AA345" s="995"/>
      <c r="AB345" s="890"/>
    </row>
    <row r="346" spans="2:28" s="82" customFormat="1" outlineLevel="1" x14ac:dyDescent="0.4">
      <c r="B346" s="1046"/>
      <c r="C346" s="5"/>
      <c r="D346" s="891"/>
      <c r="E346" s="892"/>
      <c r="F346" s="892"/>
      <c r="G346" s="893" t="s">
        <v>11</v>
      </c>
      <c r="H346" s="893"/>
      <c r="I346" s="894">
        <f>IF(X346&lt;0,H346+I345+(-X346),H346+I345)</f>
        <v>140.35112950051399</v>
      </c>
      <c r="J346" s="94"/>
      <c r="K346" s="895"/>
      <c r="L346" s="94"/>
      <c r="M346" s="94"/>
      <c r="N346" s="896"/>
      <c r="O346" s="897"/>
      <c r="P346" s="897"/>
      <c r="Q346" s="894"/>
      <c r="R346" s="94"/>
      <c r="S346" s="897"/>
      <c r="T346" s="3356"/>
      <c r="U346" s="7"/>
      <c r="V346" s="895"/>
      <c r="W346" s="895"/>
      <c r="X346" s="895"/>
      <c r="Y346" s="7"/>
      <c r="Z346" s="7"/>
      <c r="AA346" s="995"/>
      <c r="AB346" s="890"/>
    </row>
    <row r="347" spans="2:28" s="82" customFormat="1" outlineLevel="1" x14ac:dyDescent="0.4">
      <c r="B347" s="1046"/>
      <c r="C347" s="5"/>
      <c r="D347" s="891"/>
      <c r="E347" s="892"/>
      <c r="F347" s="892"/>
      <c r="G347" s="898"/>
      <c r="H347" s="894"/>
      <c r="I347" s="894"/>
      <c r="J347" s="94"/>
      <c r="K347" s="895"/>
      <c r="L347" s="94"/>
      <c r="M347" s="94"/>
      <c r="N347" s="896"/>
      <c r="O347" s="897"/>
      <c r="P347" s="897"/>
      <c r="Q347" s="894"/>
      <c r="R347" s="94"/>
      <c r="S347" s="897"/>
      <c r="T347" s="3356"/>
      <c r="U347" s="7"/>
      <c r="V347" s="895"/>
      <c r="W347" s="895"/>
      <c r="X347" s="895"/>
      <c r="Y347" s="7"/>
      <c r="Z347" s="7"/>
      <c r="AA347" s="995"/>
      <c r="AB347" s="890"/>
    </row>
    <row r="348" spans="2:28" x14ac:dyDescent="0.4">
      <c r="B348" s="1048"/>
      <c r="C348" s="1049"/>
      <c r="D348" s="1049"/>
      <c r="E348" s="1049"/>
      <c r="F348" s="1049"/>
      <c r="G348" s="1050"/>
      <c r="H348" s="1049"/>
      <c r="I348" s="1049"/>
      <c r="J348" s="1051"/>
      <c r="K348" s="1052"/>
      <c r="L348" s="1049"/>
      <c r="M348" s="1049"/>
      <c r="N348" s="1053"/>
      <c r="O348" s="1049"/>
      <c r="P348" s="1049"/>
      <c r="Q348" s="1049"/>
      <c r="R348" s="1049"/>
      <c r="S348" s="1049"/>
      <c r="T348" s="1053"/>
      <c r="U348" s="1052"/>
      <c r="V348" s="1049"/>
      <c r="W348" s="1049"/>
      <c r="X348" s="1049"/>
      <c r="Y348" s="1052"/>
      <c r="Z348" s="1052"/>
      <c r="AA348" s="1054"/>
    </row>
    <row r="350" spans="2:28" ht="15.45" x14ac:dyDescent="0.4">
      <c r="B350" s="1055"/>
      <c r="C350" s="1056"/>
      <c r="D350" s="1056"/>
      <c r="E350" s="1057" t="s">
        <v>1114</v>
      </c>
      <c r="F350" s="1058"/>
      <c r="G350" s="1058"/>
      <c r="H350" s="1058"/>
      <c r="I350" s="1058"/>
      <c r="J350" s="1058"/>
      <c r="K350" s="1058"/>
      <c r="L350" s="1058"/>
      <c r="M350" s="1058"/>
      <c r="N350" s="1058"/>
      <c r="O350" s="1058"/>
      <c r="P350" s="1058"/>
      <c r="Q350" s="1058"/>
      <c r="R350" s="1058"/>
      <c r="S350" s="1058"/>
      <c r="T350" s="3609"/>
      <c r="U350" s="1058"/>
      <c r="V350" s="1058"/>
      <c r="W350" s="1058"/>
      <c r="X350" s="1058"/>
      <c r="Y350" s="1058"/>
      <c r="Z350" s="1058"/>
      <c r="AA350" s="1059"/>
    </row>
    <row r="351" spans="2:28" ht="15" outlineLevel="1" thickBot="1" x14ac:dyDescent="0.45">
      <c r="B351" s="1060"/>
      <c r="C351" s="704"/>
      <c r="D351" s="704"/>
      <c r="E351" s="748" t="s">
        <v>1053</v>
      </c>
      <c r="F351" s="704"/>
      <c r="G351" s="749"/>
      <c r="H351" s="704"/>
      <c r="I351" s="704"/>
      <c r="J351" s="704"/>
      <c r="K351" s="750"/>
      <c r="L351" s="704"/>
      <c r="M351" s="704"/>
      <c r="N351" s="704"/>
      <c r="O351" s="704"/>
      <c r="P351" s="704"/>
      <c r="Q351" s="704"/>
      <c r="R351" s="704"/>
      <c r="S351" s="704"/>
      <c r="T351" s="1826"/>
      <c r="U351" s="750"/>
      <c r="V351" s="704"/>
      <c r="W351" s="704"/>
      <c r="X351" s="704"/>
      <c r="Y351" s="750"/>
      <c r="Z351" s="750"/>
      <c r="AA351" s="751"/>
    </row>
    <row r="352" spans="2:28" ht="15" customHeight="1" outlineLevel="1" x14ac:dyDescent="0.4">
      <c r="B352" s="1060"/>
      <c r="C352" s="704"/>
      <c r="D352" s="704"/>
      <c r="E352" s="704" t="s">
        <v>1034</v>
      </c>
      <c r="F352" s="704"/>
      <c r="G352" s="749"/>
      <c r="H352" s="704"/>
      <c r="I352" s="704"/>
      <c r="J352" s="704"/>
      <c r="K352" s="750"/>
      <c r="L352" s="704"/>
      <c r="M352" s="704"/>
      <c r="N352" s="704"/>
      <c r="O352" s="704"/>
      <c r="P352" s="704"/>
      <c r="Q352" s="704"/>
      <c r="R352" s="704"/>
      <c r="S352" s="704"/>
      <c r="T352" s="3541"/>
      <c r="U352" s="3015" t="s">
        <v>23</v>
      </c>
      <c r="V352" s="3989" t="s">
        <v>2688</v>
      </c>
      <c r="W352" s="3990"/>
      <c r="X352" s="3990"/>
      <c r="Y352" s="3990"/>
      <c r="Z352" s="3991"/>
      <c r="AA352" s="915"/>
    </row>
    <row r="353" spans="2:27" outlineLevel="1" x14ac:dyDescent="0.4">
      <c r="B353" s="1060"/>
      <c r="C353" s="704"/>
      <c r="D353" s="704"/>
      <c r="E353" s="704" t="s">
        <v>1035</v>
      </c>
      <c r="F353" s="704"/>
      <c r="G353" s="749"/>
      <c r="H353" s="704"/>
      <c r="I353" s="704"/>
      <c r="J353" s="704"/>
      <c r="K353" s="750"/>
      <c r="L353" s="704"/>
      <c r="M353" s="704"/>
      <c r="N353" s="704"/>
      <c r="O353" s="704"/>
      <c r="P353" s="704"/>
      <c r="Q353" s="704"/>
      <c r="R353" s="704"/>
      <c r="S353" s="704"/>
      <c r="T353" s="3596" t="s">
        <v>1055</v>
      </c>
      <c r="U353" s="2282">
        <v>1</v>
      </c>
      <c r="V353" s="1497">
        <v>1</v>
      </c>
      <c r="W353" s="754">
        <v>2</v>
      </c>
      <c r="X353" s="754">
        <v>3</v>
      </c>
      <c r="Y353" s="754">
        <v>4</v>
      </c>
      <c r="Z353" s="753">
        <v>6</v>
      </c>
      <c r="AA353" s="915"/>
    </row>
    <row r="354" spans="2:27" outlineLevel="1" x14ac:dyDescent="0.4">
      <c r="B354" s="1060"/>
      <c r="C354" s="704"/>
      <c r="D354" s="704"/>
      <c r="E354" s="704" t="s">
        <v>1036</v>
      </c>
      <c r="F354" s="704"/>
      <c r="G354" s="749"/>
      <c r="H354" s="704"/>
      <c r="I354" s="704"/>
      <c r="J354" s="704"/>
      <c r="K354" s="750"/>
      <c r="L354" s="704"/>
      <c r="M354" s="704"/>
      <c r="N354" s="704"/>
      <c r="O354" s="704"/>
      <c r="P354" s="704"/>
      <c r="Q354" s="704"/>
      <c r="R354" s="704"/>
      <c r="S354" s="704"/>
      <c r="T354" s="3333" t="s">
        <v>2665</v>
      </c>
      <c r="U354" s="1086">
        <f>(Connect_vertical_pipework)</f>
        <v>24.022732551873563</v>
      </c>
      <c r="V354" s="1498">
        <f>(ROUNDUP(Tokamak_Segmts/V353,0)*(Connect_vertical_pipework))</f>
        <v>384.36372082997701</v>
      </c>
      <c r="W354" s="756">
        <f>(ROUNDUP(Tokamak_Segmts/W353,0)*(Connect_vertical_pipework))</f>
        <v>192.18186041498851</v>
      </c>
      <c r="X354" s="756">
        <f>(ROUNDUP(Tokamak_Segmts/X353,0)*(Connect_vertical_pipework))</f>
        <v>144.13639531124139</v>
      </c>
      <c r="Y354" s="756">
        <f>(ROUNDUP(Tokamak_Segmts/Y353,0)*(Connect_vertical_pipework))</f>
        <v>96.090930207494253</v>
      </c>
      <c r="Z354" s="755">
        <f>(ROUNDUP(Tokamak_Segmts/Z353,0)*(Connect_vertical_pipework))</f>
        <v>72.068197655620693</v>
      </c>
      <c r="AA354" s="915"/>
    </row>
    <row r="355" spans="2:27" ht="15" outlineLevel="1" thickBot="1" x14ac:dyDescent="0.45">
      <c r="B355" s="1060"/>
      <c r="C355" s="704"/>
      <c r="D355" s="704"/>
      <c r="E355" s="704" t="s">
        <v>1037</v>
      </c>
      <c r="F355" s="704"/>
      <c r="G355" s="749"/>
      <c r="H355" s="704"/>
      <c r="I355" s="704"/>
      <c r="J355" s="704"/>
      <c r="K355" s="750"/>
      <c r="L355" s="704"/>
      <c r="M355" s="704"/>
      <c r="N355" s="704"/>
      <c r="O355" s="704"/>
      <c r="P355" s="704"/>
      <c r="Q355" s="704"/>
      <c r="R355" s="704"/>
      <c r="S355" s="704"/>
      <c r="T355" s="3141" t="s">
        <v>2693</v>
      </c>
      <c r="U355" s="1089">
        <f>U$354*$F$358</f>
        <v>0.2642500580706092</v>
      </c>
      <c r="V355" s="1499">
        <f t="shared" ref="V355:Z355" si="41">V$354*$F$358</f>
        <v>4.2280009291297471</v>
      </c>
      <c r="W355" s="761">
        <f t="shared" si="41"/>
        <v>2.1140004645648736</v>
      </c>
      <c r="X355" s="761">
        <f t="shared" si="41"/>
        <v>1.5855003484236552</v>
      </c>
      <c r="Y355" s="761">
        <f t="shared" si="41"/>
        <v>1.0570002322824368</v>
      </c>
      <c r="Z355" s="760">
        <f t="shared" si="41"/>
        <v>0.79275017421182759</v>
      </c>
      <c r="AA355" s="915"/>
    </row>
    <row r="356" spans="2:27" outlineLevel="1" x14ac:dyDescent="0.4">
      <c r="B356" s="1060"/>
      <c r="C356" s="704"/>
      <c r="D356" s="704"/>
      <c r="E356" s="704" t="s">
        <v>1038</v>
      </c>
      <c r="F356" s="704"/>
      <c r="G356" s="749"/>
      <c r="H356" s="704"/>
      <c r="I356" s="704"/>
      <c r="J356" s="704"/>
      <c r="K356" s="750"/>
      <c r="L356" s="704"/>
      <c r="M356" s="704"/>
      <c r="N356" s="704"/>
      <c r="O356" s="704"/>
      <c r="P356" s="704"/>
      <c r="Q356" s="704"/>
      <c r="R356" s="704"/>
      <c r="S356" s="704"/>
      <c r="T356" s="3597" t="s">
        <v>1048</v>
      </c>
      <c r="U356" s="3016">
        <f t="shared" ref="U356:Z356" si="42">U355*(SUMIF($G$366:$G$395,"Operation",$H$366:$H$395))</f>
        <v>24.01838753428019</v>
      </c>
      <c r="V356" s="1500">
        <f t="shared" si="42"/>
        <v>384.29420054848305</v>
      </c>
      <c r="W356" s="768">
        <f t="shared" si="42"/>
        <v>192.14710027424152</v>
      </c>
      <c r="X356" s="768">
        <f t="shared" si="42"/>
        <v>144.11032520568114</v>
      </c>
      <c r="Y356" s="768">
        <f t="shared" si="42"/>
        <v>96.073550137120762</v>
      </c>
      <c r="Z356" s="1062">
        <f t="shared" si="42"/>
        <v>72.055162602840568</v>
      </c>
      <c r="AA356" s="915"/>
    </row>
    <row r="357" spans="2:27" outlineLevel="1" x14ac:dyDescent="0.4">
      <c r="B357" s="1060"/>
      <c r="C357" s="704"/>
      <c r="D357" s="704"/>
      <c r="E357" s="704"/>
      <c r="F357" s="704"/>
      <c r="G357" s="749"/>
      <c r="H357" s="704"/>
      <c r="I357" s="704"/>
      <c r="J357" s="704"/>
      <c r="K357" s="750"/>
      <c r="L357" s="704"/>
      <c r="M357" s="704"/>
      <c r="N357" s="704"/>
      <c r="O357" s="704"/>
      <c r="P357" s="704"/>
      <c r="Q357" s="704"/>
      <c r="R357" s="704"/>
      <c r="S357" s="704"/>
      <c r="T357" s="3540" t="s">
        <v>2658</v>
      </c>
      <c r="U357" s="3017">
        <f t="shared" ref="U357:Z357" si="43">U355*(SUMIF($G$366:$G$395,"Movement",$H$366:$H$395)+(SUMIF($G$366:$G$395,"Logistics",$H$366:$H$395)))</f>
        <v>0.6239237482222717</v>
      </c>
      <c r="V357" s="1502">
        <f t="shared" si="43"/>
        <v>9.9827799715563472</v>
      </c>
      <c r="W357" s="769">
        <f t="shared" si="43"/>
        <v>4.9913899857781736</v>
      </c>
      <c r="X357" s="769">
        <f t="shared" si="43"/>
        <v>3.7435424893336302</v>
      </c>
      <c r="Y357" s="769">
        <f t="shared" si="43"/>
        <v>2.4956949928890868</v>
      </c>
      <c r="Z357" s="1064">
        <f t="shared" si="43"/>
        <v>1.8717712446668151</v>
      </c>
      <c r="AA357" s="915"/>
    </row>
    <row r="358" spans="2:27" ht="15" outlineLevel="1" thickBot="1" x14ac:dyDescent="0.45">
      <c r="B358" s="1060"/>
      <c r="C358" s="704"/>
      <c r="D358" s="704"/>
      <c r="E358" s="748" t="s">
        <v>1056</v>
      </c>
      <c r="F358" s="918">
        <f>SUM(F359:F360)</f>
        <v>1.0999999999999999E-2</v>
      </c>
      <c r="G358" s="757"/>
      <c r="H358" s="709"/>
      <c r="I358" s="709"/>
      <c r="J358" s="709"/>
      <c r="K358" s="919"/>
      <c r="L358" s="918"/>
      <c r="M358" s="918"/>
      <c r="N358" s="918"/>
      <c r="O358" s="918"/>
      <c r="P358" s="918"/>
      <c r="Q358" s="918"/>
      <c r="R358" s="704"/>
      <c r="S358" s="704"/>
      <c r="T358" s="3598" t="s">
        <v>2662</v>
      </c>
      <c r="U358" s="1109">
        <f t="shared" ref="U358:Z358" si="44">U355*(-SUMIF($V$366:$V$395,"&lt;0"))</f>
        <v>0.33662521286439279</v>
      </c>
      <c r="V358" s="1110">
        <f t="shared" si="44"/>
        <v>5.3860034058302846</v>
      </c>
      <c r="W358" s="770">
        <f t="shared" si="44"/>
        <v>2.6930017029151423</v>
      </c>
      <c r="X358" s="770">
        <f t="shared" si="44"/>
        <v>2.0197512771863564</v>
      </c>
      <c r="Y358" s="770">
        <f t="shared" si="44"/>
        <v>1.3465008514575711</v>
      </c>
      <c r="Z358" s="1066">
        <f t="shared" si="44"/>
        <v>1.0098756385931782</v>
      </c>
      <c r="AA358" s="915"/>
    </row>
    <row r="359" spans="2:27" ht="15" outlineLevel="1" thickBot="1" x14ac:dyDescent="0.45">
      <c r="B359" s="1061"/>
      <c r="C359" s="5"/>
      <c r="D359" s="5"/>
      <c r="E359" s="7" t="s">
        <v>1057</v>
      </c>
      <c r="F359" s="922">
        <f>Weld_Failure_Rate</f>
        <v>1E-3</v>
      </c>
      <c r="G359" s="923"/>
      <c r="H359" s="922"/>
      <c r="I359" s="922"/>
      <c r="J359" s="924"/>
      <c r="K359" s="290"/>
      <c r="L359" s="922"/>
      <c r="M359" s="922"/>
      <c r="N359" s="925"/>
      <c r="O359" s="922"/>
      <c r="P359" s="922"/>
      <c r="Q359" s="922"/>
      <c r="R359" s="706"/>
      <c r="S359" s="7"/>
      <c r="T359" s="3355" t="s">
        <v>2667</v>
      </c>
      <c r="U359" s="2993">
        <f t="shared" ref="U359:Z359" si="45">U355*$I$396</f>
        <v>24.978936495366849</v>
      </c>
      <c r="V359" s="2994">
        <f t="shared" si="45"/>
        <v>399.66298392586958</v>
      </c>
      <c r="W359" s="694">
        <f t="shared" si="45"/>
        <v>199.83149196293479</v>
      </c>
      <c r="X359" s="694">
        <f t="shared" si="45"/>
        <v>149.87361897220109</v>
      </c>
      <c r="Y359" s="694">
        <f t="shared" si="45"/>
        <v>99.915745981467396</v>
      </c>
      <c r="Z359" s="2974">
        <f t="shared" si="45"/>
        <v>74.936809486100543</v>
      </c>
      <c r="AA359" s="915"/>
    </row>
    <row r="360" spans="2:27" outlineLevel="1" x14ac:dyDescent="0.4">
      <c r="B360" s="1061"/>
      <c r="C360" s="5"/>
      <c r="D360" s="5"/>
      <c r="E360" s="7" t="s">
        <v>1058</v>
      </c>
      <c r="F360" s="922">
        <f>SJS_welder_failure</f>
        <v>0.01</v>
      </c>
      <c r="G360" s="923"/>
      <c r="H360" s="922"/>
      <c r="I360" s="922"/>
      <c r="J360" s="924"/>
      <c r="K360" s="290"/>
      <c r="L360" s="922"/>
      <c r="M360" s="922"/>
      <c r="N360" s="925"/>
      <c r="O360" s="922"/>
      <c r="P360" s="922"/>
      <c r="Q360" s="922"/>
      <c r="R360" s="706"/>
      <c r="S360" s="7"/>
      <c r="AA360" s="915"/>
    </row>
    <row r="361" spans="2:27" outlineLevel="1" x14ac:dyDescent="0.4">
      <c r="B361" s="1061"/>
      <c r="C361" s="5"/>
      <c r="D361" s="5"/>
      <c r="E361" s="926" t="s">
        <v>1059</v>
      </c>
      <c r="F361" s="927">
        <f>F358*(1-(1-F358)^(Vertical_port_pipes_per_blanket))</f>
        <v>7.0632541484487834E-4</v>
      </c>
      <c r="G361" s="927"/>
      <c r="H361" s="927"/>
      <c r="I361" s="927"/>
      <c r="J361" s="927"/>
      <c r="K361" s="919"/>
      <c r="L361" s="927"/>
      <c r="M361" s="927"/>
      <c r="N361" s="927"/>
      <c r="O361" s="927"/>
      <c r="P361" s="927"/>
      <c r="Q361" s="927"/>
      <c r="R361" s="706"/>
      <c r="S361" s="7"/>
      <c r="AA361" s="915"/>
    </row>
    <row r="362" spans="2:27" outlineLevel="1" x14ac:dyDescent="0.4">
      <c r="B362" s="1061"/>
      <c r="C362" s="5"/>
      <c r="D362" s="5"/>
      <c r="E362" s="926"/>
      <c r="F362" s="927"/>
      <c r="G362" s="928"/>
      <c r="H362" s="927"/>
      <c r="I362" s="927"/>
      <c r="J362" s="927"/>
      <c r="K362" s="919"/>
      <c r="L362" s="927"/>
      <c r="M362" s="927"/>
      <c r="N362" s="927"/>
      <c r="O362" s="927"/>
      <c r="P362" s="927"/>
      <c r="Q362" s="927"/>
      <c r="R362" s="706"/>
      <c r="S362" s="7"/>
      <c r="AA362" s="915"/>
    </row>
    <row r="363" spans="2:27" ht="15.75" customHeight="1" outlineLevel="2" thickBot="1" x14ac:dyDescent="0.45">
      <c r="B363" s="1061"/>
      <c r="C363" s="5"/>
      <c r="D363" s="5"/>
      <c r="E363" s="926"/>
      <c r="F363" s="927"/>
      <c r="G363" s="928"/>
      <c r="H363" s="927"/>
      <c r="I363" s="927"/>
      <c r="J363" s="927"/>
      <c r="K363" s="919"/>
      <c r="L363" s="927"/>
      <c r="M363" s="927"/>
      <c r="N363" s="927"/>
      <c r="O363" s="927"/>
      <c r="P363" s="927"/>
      <c r="Q363" s="927"/>
      <c r="R363" s="706"/>
      <c r="S363" s="7"/>
      <c r="T363" s="707"/>
      <c r="U363" s="290"/>
      <c r="V363" s="7"/>
      <c r="W363" s="7"/>
      <c r="X363" s="7"/>
      <c r="Y363" s="290"/>
      <c r="Z363" s="290"/>
      <c r="AA363" s="915"/>
    </row>
    <row r="364" spans="2:27" ht="15.75" customHeight="1" outlineLevel="2" thickBot="1" x14ac:dyDescent="0.45">
      <c r="B364" s="1061"/>
      <c r="C364" s="5"/>
      <c r="D364" s="5"/>
      <c r="E364" s="926"/>
      <c r="F364" s="927"/>
      <c r="G364" s="701"/>
      <c r="H364" s="7"/>
      <c r="I364" s="929"/>
      <c r="J364" s="930" t="s">
        <v>18</v>
      </c>
      <c r="K364" s="931"/>
      <c r="L364" s="932" t="s">
        <v>778</v>
      </c>
      <c r="M364" s="933"/>
      <c r="N364" s="933"/>
      <c r="O364" s="933"/>
      <c r="P364" s="933"/>
      <c r="Q364" s="934"/>
      <c r="R364" s="933" t="s">
        <v>3</v>
      </c>
      <c r="S364" s="934"/>
      <c r="T364" s="3838" t="s">
        <v>779</v>
      </c>
      <c r="U364" s="3839"/>
      <c r="V364" s="3840"/>
      <c r="W364" s="937"/>
      <c r="Y364" s="938"/>
      <c r="Z364" s="938"/>
      <c r="AA364" s="915"/>
    </row>
    <row r="365" spans="2:27" ht="30.75" customHeight="1" outlineLevel="2" thickBot="1" x14ac:dyDescent="0.45">
      <c r="B365" s="1061"/>
      <c r="C365" s="5"/>
      <c r="D365" s="939" t="s">
        <v>780</v>
      </c>
      <c r="E365" s="940" t="s">
        <v>1060</v>
      </c>
      <c r="F365" s="563" t="s">
        <v>1061</v>
      </c>
      <c r="G365" s="941" t="s">
        <v>782</v>
      </c>
      <c r="H365" s="942" t="s">
        <v>783</v>
      </c>
      <c r="I365" s="943" t="s">
        <v>784</v>
      </c>
      <c r="J365" s="562" t="s">
        <v>785</v>
      </c>
      <c r="K365" s="944" t="s">
        <v>783</v>
      </c>
      <c r="L365" s="562" t="s">
        <v>786</v>
      </c>
      <c r="M365" s="563" t="s">
        <v>787</v>
      </c>
      <c r="N365" s="563" t="s">
        <v>788</v>
      </c>
      <c r="O365" s="563" t="s">
        <v>789</v>
      </c>
      <c r="P365" s="563" t="s">
        <v>790</v>
      </c>
      <c r="Q365" s="945" t="s">
        <v>783</v>
      </c>
      <c r="R365" s="560" t="s">
        <v>785</v>
      </c>
      <c r="S365" s="946" t="s">
        <v>783</v>
      </c>
      <c r="T365" s="3599" t="s">
        <v>781</v>
      </c>
      <c r="U365" s="794" t="s">
        <v>791</v>
      </c>
      <c r="V365" s="789" t="s">
        <v>792</v>
      </c>
      <c r="W365" s="795"/>
      <c r="Y365" s="947"/>
      <c r="Z365" s="947"/>
      <c r="AA365" s="915"/>
    </row>
    <row r="366" spans="2:27" ht="15" customHeight="1" outlineLevel="2" x14ac:dyDescent="0.4">
      <c r="B366" s="1061"/>
      <c r="C366" s="5"/>
      <c r="D366" s="948" t="s">
        <v>1062</v>
      </c>
      <c r="E366" s="797" t="s">
        <v>1115</v>
      </c>
      <c r="F366" s="798"/>
      <c r="G366" s="799" t="s">
        <v>251</v>
      </c>
      <c r="H366" s="456">
        <f>MAX($S366,$Q366,$K366)</f>
        <v>0</v>
      </c>
      <c r="I366" s="800">
        <f>H366</f>
        <v>0</v>
      </c>
      <c r="J366" s="566" t="s">
        <v>557</v>
      </c>
      <c r="K366" s="621">
        <f>IF(G366="operation",VLOOKUP(J366,'Generic Vertical Port Tasks'!$C$4:$D$197,2,FALSE),"N/A")</f>
        <v>0</v>
      </c>
      <c r="L366" s="568"/>
      <c r="M366" s="566"/>
      <c r="N366" s="801"/>
      <c r="O366" s="802" t="str">
        <f>IFERROR(INDEX('Upper Hot Cell Logistics'!$I$35:$O$41,MATCH($M366,'Upper Hot Cell Logistics'!$H$35:$H$41,0),MATCH($N366,'Upper Hot Cell Logistics'!$H$35:$H$41,0)),"N/A")</f>
        <v>N/A</v>
      </c>
      <c r="P366" s="570" t="str">
        <f>IFERROR(VLOOKUP($L366,'Upper Hot Cell Logistics'!$H$4:$I$10,2,FALSE),"N/A")</f>
        <v>N/A</v>
      </c>
      <c r="Q366" s="800" t="str">
        <f t="shared" ref="Q366:Q395" si="46">IF(G366="Movement",IFERROR((O366/P366)/(60*60),"Error"),"N/A")</f>
        <v>N/A</v>
      </c>
      <c r="R366" s="803"/>
      <c r="S366" s="802" t="str">
        <f>IF($G366="Logistics",VLOOKUP($R366,'Upper Hot Cell Logistics'!$C$4:$D$44,2,FALSE),"N/A")</f>
        <v>N/A</v>
      </c>
      <c r="T366" s="454"/>
      <c r="U366" s="804" t="str">
        <f>IFERROR(VLOOKUP($T366,'Upper HotCell RecoveryLogisitcs'!$C$421:$F$490,4,FALSE),"N/A")</f>
        <v>N/A</v>
      </c>
      <c r="V366" s="621" t="str">
        <f>IFERROR(I366-H366-U366,"N/A")</f>
        <v>N/A</v>
      </c>
      <c r="W366" s="895"/>
      <c r="Y366" s="947"/>
      <c r="Z366" s="947"/>
      <c r="AA366" s="915"/>
    </row>
    <row r="367" spans="2:27" ht="15.75" customHeight="1" outlineLevel="2" thickBot="1" x14ac:dyDescent="0.45">
      <c r="B367" s="1061"/>
      <c r="C367" s="5"/>
      <c r="D367" s="949"/>
      <c r="E367" s="807" t="s">
        <v>1116</v>
      </c>
      <c r="F367" s="808"/>
      <c r="G367" s="809" t="s">
        <v>251</v>
      </c>
      <c r="H367" s="471">
        <f t="shared" ref="H367:H395" si="47">MAX($S367,$Q367,$K367)</f>
        <v>1.0499155317167692</v>
      </c>
      <c r="I367" s="810">
        <f t="shared" ref="I367:I395" si="48">IF(V367&lt;0,H367+I366+(-V367),H367+I366)</f>
        <v>1.0499155317167692</v>
      </c>
      <c r="J367" s="584" t="s">
        <v>2491</v>
      </c>
      <c r="K367" s="811">
        <f>IF(G367="operation",VLOOKUP(J367,'Generic Vertical Port Tasks'!$C$4:$D$197,2,FALSE),"N/A")</f>
        <v>1.0499155317167692</v>
      </c>
      <c r="L367" s="586"/>
      <c r="M367" s="584"/>
      <c r="N367" s="812"/>
      <c r="O367" s="813" t="str">
        <f>IFERROR(INDEX('Upper Hot Cell Logistics'!$I$35:$O$41,MATCH($M367,'Upper Hot Cell Logistics'!$H$35:$H$41,0),MATCH($N367,'Upper Hot Cell Logistics'!$H$35:$H$41,0)),"N/A")</f>
        <v>N/A</v>
      </c>
      <c r="P367" s="814" t="str">
        <f>IFERROR(VLOOKUP($L367,'Upper Hot Cell Logistics'!$H$4:$I$10,2,FALSE),"N/A")</f>
        <v>N/A</v>
      </c>
      <c r="Q367" s="810" t="str">
        <f t="shared" si="46"/>
        <v>N/A</v>
      </c>
      <c r="R367" s="815"/>
      <c r="S367" s="813" t="s">
        <v>263</v>
      </c>
      <c r="T367" s="469"/>
      <c r="U367" s="816" t="str">
        <f>IFERROR(VLOOKUP($T367,'Upper HotCell RecoveryLogisitcs'!$C$421:$F$490,4,FALSE),"N/A")</f>
        <v>N/A</v>
      </c>
      <c r="V367" s="591" t="str">
        <f t="shared" ref="V367:V395" si="49">IFERROR(I366-U367,"N/A")</f>
        <v>N/A</v>
      </c>
      <c r="W367" s="895"/>
      <c r="Y367" s="290"/>
      <c r="Z367" s="290"/>
      <c r="AA367" s="915"/>
    </row>
    <row r="368" spans="2:27" ht="15" customHeight="1" outlineLevel="2" x14ac:dyDescent="0.4">
      <c r="B368" s="1061"/>
      <c r="C368" s="5"/>
      <c r="D368" s="950" t="s">
        <v>1074</v>
      </c>
      <c r="E368" s="951" t="s">
        <v>797</v>
      </c>
      <c r="F368" s="952"/>
      <c r="G368" s="953" t="s">
        <v>778</v>
      </c>
      <c r="H368" s="954">
        <f t="shared" si="47"/>
        <v>6.9444444444444448E-2</v>
      </c>
      <c r="I368" s="955">
        <f t="shared" si="48"/>
        <v>1.1193599761612136</v>
      </c>
      <c r="J368" s="592"/>
      <c r="K368" s="600" t="str">
        <f>IF(G368="operation",VLOOKUP(J368,'Generic Vertical Port Tasks'!$C$4:$D$197,2,FALSE),"N/A")</f>
        <v>N/A</v>
      </c>
      <c r="L368" s="594" t="s">
        <v>798</v>
      </c>
      <c r="M368" s="592" t="s">
        <v>831</v>
      </c>
      <c r="N368" s="956" t="s">
        <v>452</v>
      </c>
      <c r="O368" s="957">
        <f>IFERROR(INDEX('Upper Hot Cell Logistics'!$I$35:$O$41,MATCH($M368,'Upper Hot Cell Logistics'!$H$35:$H$41,0),MATCH($N368,'Upper Hot Cell Logistics'!$H$35:$H$41,0)),"N/A")</f>
        <v>50</v>
      </c>
      <c r="P368" s="958">
        <f>IFERROR(VLOOKUP($L368,'Upper Hot Cell Logistics'!$H$4:$I$10,2,FALSE),"N/A")</f>
        <v>0.2</v>
      </c>
      <c r="Q368" s="955">
        <f t="shared" si="46"/>
        <v>6.9444444444444448E-2</v>
      </c>
      <c r="R368" s="959"/>
      <c r="S368" s="957" t="s">
        <v>263</v>
      </c>
      <c r="T368" s="3603" t="s">
        <v>1106</v>
      </c>
      <c r="U368" s="960" t="str">
        <f>IFERROR(VLOOKUP($T368,'Upper HotCell RecoveryLogisitcs'!$C$421:$F$490,4,FALSE),"N/A")</f>
        <v>N/A</v>
      </c>
      <c r="V368" s="600" t="str">
        <f t="shared" si="49"/>
        <v>N/A</v>
      </c>
      <c r="W368" s="895"/>
      <c r="Y368" s="290"/>
      <c r="Z368" s="290"/>
      <c r="AA368" s="915"/>
    </row>
    <row r="369" spans="2:27" ht="15.75" customHeight="1" outlineLevel="2" thickBot="1" x14ac:dyDescent="0.45">
      <c r="B369" s="1061"/>
      <c r="C369" s="5"/>
      <c r="D369" s="961"/>
      <c r="E369" s="962" t="s">
        <v>131</v>
      </c>
      <c r="F369" s="963"/>
      <c r="G369" s="964" t="s">
        <v>251</v>
      </c>
      <c r="H369" s="368">
        <f t="shared" si="47"/>
        <v>0.72499999999999998</v>
      </c>
      <c r="I369" s="965">
        <f t="shared" si="48"/>
        <v>1.8443599761612135</v>
      </c>
      <c r="J369" s="966" t="s">
        <v>253</v>
      </c>
      <c r="K369" s="967">
        <f>IF(G369="operation",VLOOKUP(J369,'Generic Vertical Port Tasks'!$C$4:$D$197,2,FALSE),"N/A")</f>
        <v>0.72499999999999998</v>
      </c>
      <c r="L369" s="611"/>
      <c r="M369" s="966"/>
      <c r="N369" s="968"/>
      <c r="O369" s="969" t="str">
        <f>IFERROR(INDEX('Upper Hot Cell Logistics'!$I$35:$O$41,MATCH($M369,'Upper Hot Cell Logistics'!$H$35:$H$41,0),MATCH($N369,'Upper Hot Cell Logistics'!$H$35:$H$41,0)),"N/A")</f>
        <v>N/A</v>
      </c>
      <c r="P369" s="970" t="str">
        <f>IFERROR(VLOOKUP($L369,'Upper Hot Cell Logistics'!$H$4:$I$10,2,FALSE),"N/A")</f>
        <v>N/A</v>
      </c>
      <c r="Q369" s="965" t="str">
        <f t="shared" si="46"/>
        <v>N/A</v>
      </c>
      <c r="R369" s="971"/>
      <c r="S369" s="969" t="s">
        <v>263</v>
      </c>
      <c r="T369" s="3568"/>
      <c r="U369" s="972" t="str">
        <f>IFERROR(VLOOKUP($T369,'Upper HotCell RecoveryLogisitcs'!$C$421:$F$490,4,FALSE),"N/A")</f>
        <v>N/A</v>
      </c>
      <c r="V369" s="616" t="str">
        <f t="shared" si="49"/>
        <v>N/A</v>
      </c>
      <c r="W369" s="895"/>
      <c r="Y369" s="290"/>
      <c r="Z369" s="290"/>
      <c r="AA369" s="915"/>
    </row>
    <row r="370" spans="2:27" ht="15" customHeight="1" outlineLevel="2" x14ac:dyDescent="0.4">
      <c r="B370" s="1061"/>
      <c r="C370" s="5"/>
      <c r="D370" s="948" t="s">
        <v>1107</v>
      </c>
      <c r="E370" s="847" t="s">
        <v>1076</v>
      </c>
      <c r="F370" s="847"/>
      <c r="G370" s="848" t="s">
        <v>778</v>
      </c>
      <c r="H370" s="459">
        <f t="shared" si="47"/>
        <v>6.9444444444444448E-2</v>
      </c>
      <c r="I370" s="849">
        <f t="shared" si="48"/>
        <v>3.1876933094945468</v>
      </c>
      <c r="J370" s="573"/>
      <c r="K370" s="850" t="str">
        <f>IF(G370="operation",VLOOKUP(J370,'Generic Vertical Port Tasks'!$C$4:$D$197,2,FALSE),"N/A")</f>
        <v>N/A</v>
      </c>
      <c r="L370" s="575" t="s">
        <v>798</v>
      </c>
      <c r="M370" s="573" t="s">
        <v>799</v>
      </c>
      <c r="N370" s="851" t="s">
        <v>452</v>
      </c>
      <c r="O370" s="852">
        <f>IFERROR(INDEX('Upper Hot Cell Logistics'!$I$35:$O$41,MATCH($M370,'Upper Hot Cell Logistics'!$H$35:$H$41,0),MATCH($N370,'Upper Hot Cell Logistics'!$H$35:$H$41,0)),"N/A")</f>
        <v>50</v>
      </c>
      <c r="P370" s="853">
        <f>IFERROR(VLOOKUP($L370,'Upper Hot Cell Logistics'!$H$4:$I$10,2,FALSE),"N/A")</f>
        <v>0.2</v>
      </c>
      <c r="Q370" s="849">
        <f t="shared" si="46"/>
        <v>6.9444444444444448E-2</v>
      </c>
      <c r="R370" s="854"/>
      <c r="S370" s="852" t="str">
        <f>IF($G370="Logistics",VLOOKUP($R370,'Upper Hot Cell Logistics'!$C$4:$D$44,2,FALSE),"N/A")</f>
        <v>N/A</v>
      </c>
      <c r="T370" s="462" t="s">
        <v>1077</v>
      </c>
      <c r="U370" s="855">
        <f>IFERROR(VLOOKUP($T370,'Upper HotCell RecoveryLogisitcs'!$C$421:$F$490,4,FALSE),"N/A")</f>
        <v>3.1182488650501026</v>
      </c>
      <c r="V370" s="580">
        <f t="shared" si="49"/>
        <v>-1.2738888888888891</v>
      </c>
      <c r="W370" s="895"/>
      <c r="Y370" s="290"/>
      <c r="Z370" s="290"/>
      <c r="AA370" s="915"/>
    </row>
    <row r="371" spans="2:27" ht="15" customHeight="1" outlineLevel="2" x14ac:dyDescent="0.4">
      <c r="B371" s="1061"/>
      <c r="C371" s="5"/>
      <c r="D371" s="973"/>
      <c r="E371" s="847" t="s">
        <v>122</v>
      </c>
      <c r="F371" s="847"/>
      <c r="G371" s="848" t="s">
        <v>251</v>
      </c>
      <c r="H371" s="459">
        <f t="shared" si="47"/>
        <v>5.74</v>
      </c>
      <c r="I371" s="849">
        <f t="shared" si="48"/>
        <v>8.927693309494547</v>
      </c>
      <c r="J371" s="573" t="s">
        <v>254</v>
      </c>
      <c r="K371" s="850">
        <f>IF(G371="operation",VLOOKUP(J371,'Generic Vertical Port Tasks'!$C$4:$D$197,2,FALSE),"N/A")</f>
        <v>5.74</v>
      </c>
      <c r="L371" s="575"/>
      <c r="M371" s="573"/>
      <c r="N371" s="851"/>
      <c r="O371" s="852" t="str">
        <f>IFERROR(INDEX('Upper Hot Cell Logistics'!$I$35:$O$41,MATCH($M371,'Upper Hot Cell Logistics'!$H$35:$H$41,0),MATCH($N371,'Upper Hot Cell Logistics'!$H$35:$H$41,0)),"N/A")</f>
        <v>N/A</v>
      </c>
      <c r="P371" s="853" t="str">
        <f>IFERROR(VLOOKUP($L371,'Upper Hot Cell Logistics'!$H$4:$I$10,2,FALSE),"N/A")</f>
        <v>N/A</v>
      </c>
      <c r="Q371" s="849" t="str">
        <f t="shared" si="46"/>
        <v>N/A</v>
      </c>
      <c r="R371" s="854"/>
      <c r="S371" s="852" t="str">
        <f>IF($G371="Logistics",VLOOKUP($R371,'Upper Hot Cell Logistics'!$C$4:$D$44,2,FALSE),"N/A")</f>
        <v>N/A</v>
      </c>
      <c r="T371" s="462"/>
      <c r="U371" s="855" t="str">
        <f>IFERROR(VLOOKUP($T371,'Upper HotCell RecoveryLogisitcs'!$C$421:$F$490,4,FALSE),"N/A")</f>
        <v>N/A</v>
      </c>
      <c r="V371" s="580" t="str">
        <f t="shared" si="49"/>
        <v>N/A</v>
      </c>
      <c r="W371" s="895"/>
      <c r="Y371" s="290"/>
      <c r="Z371" s="290"/>
      <c r="AA371" s="915"/>
    </row>
    <row r="372" spans="2:27" ht="25.5" customHeight="1" outlineLevel="2" x14ac:dyDescent="0.4">
      <c r="B372" s="1061"/>
      <c r="C372" s="5"/>
      <c r="D372" s="973"/>
      <c r="E372" s="847" t="s">
        <v>797</v>
      </c>
      <c r="F372" s="847"/>
      <c r="G372" s="848" t="s">
        <v>778</v>
      </c>
      <c r="H372" s="459">
        <f t="shared" si="47"/>
        <v>6.9444444444444448E-2</v>
      </c>
      <c r="I372" s="849">
        <f t="shared" si="48"/>
        <v>8.9971377539389916</v>
      </c>
      <c r="J372" s="573"/>
      <c r="K372" s="850" t="str">
        <f>IF(G372="operation",VLOOKUP(J372,'Generic Vertical Port Tasks'!$C$4:$D$197,2,FALSE),"N/A")</f>
        <v>N/A</v>
      </c>
      <c r="L372" s="575" t="s">
        <v>798</v>
      </c>
      <c r="M372" s="573" t="s">
        <v>799</v>
      </c>
      <c r="N372" s="851" t="s">
        <v>452</v>
      </c>
      <c r="O372" s="852">
        <f>IFERROR(INDEX('Upper Hot Cell Logistics'!$I$35:$O$41,MATCH($M372,'Upper Hot Cell Logistics'!$H$35:$H$41,0),MATCH($N372,'Upper Hot Cell Logistics'!$H$35:$H$41,0)),"N/A")</f>
        <v>50</v>
      </c>
      <c r="P372" s="853">
        <f>IFERROR(VLOOKUP($L372,'Upper Hot Cell Logistics'!$H$4:$I$10,2,FALSE),"N/A")</f>
        <v>0.2</v>
      </c>
      <c r="Q372" s="849">
        <f t="shared" si="46"/>
        <v>6.9444444444444448E-2</v>
      </c>
      <c r="R372" s="854"/>
      <c r="S372" s="852" t="str">
        <f>IF($E372="Logistics",VLOOKUP($P372,'Upper Hot Cell Logistics'!$C$4:$D$44,2,FALSE),"N/A")</f>
        <v>N/A</v>
      </c>
      <c r="T372" s="462" t="s">
        <v>1079</v>
      </c>
      <c r="U372" s="855">
        <f>IFERROR(VLOOKUP($T372,'Upper HotCell RecoveryLogisitcs'!$C$421:$F$490,4,FALSE),"N/A")</f>
        <v>4.5038044206056576</v>
      </c>
      <c r="V372" s="580">
        <f t="shared" si="49"/>
        <v>4.4238888888888894</v>
      </c>
      <c r="W372" s="895"/>
      <c r="Y372" s="290"/>
      <c r="Z372" s="290"/>
      <c r="AA372" s="915"/>
    </row>
    <row r="373" spans="2:27" ht="15" customHeight="1" outlineLevel="2" x14ac:dyDescent="0.4">
      <c r="B373" s="1061"/>
      <c r="C373" s="5"/>
      <c r="D373" s="973"/>
      <c r="E373" s="847" t="s">
        <v>135</v>
      </c>
      <c r="F373" s="847"/>
      <c r="G373" s="848" t="s">
        <v>251</v>
      </c>
      <c r="H373" s="459">
        <f t="shared" si="47"/>
        <v>5.74</v>
      </c>
      <c r="I373" s="849">
        <f t="shared" si="48"/>
        <v>14.737137753938992</v>
      </c>
      <c r="J373" s="573" t="s">
        <v>254</v>
      </c>
      <c r="K373" s="850">
        <f>IF(G373="operation",VLOOKUP(J373,'Generic Vertical Port Tasks'!$C$4:$D$197,2,FALSE),"N/A")</f>
        <v>5.74</v>
      </c>
      <c r="L373" s="575"/>
      <c r="M373" s="573"/>
      <c r="N373" s="851"/>
      <c r="O373" s="852" t="str">
        <f>IFERROR(INDEX('Upper Hot Cell Logistics'!$I$35:$O$41,MATCH($M373,'Upper Hot Cell Logistics'!$H$35:$H$41,0),MATCH($N373,'Upper Hot Cell Logistics'!$H$35:$H$41,0)),"N/A")</f>
        <v>N/A</v>
      </c>
      <c r="P373" s="853" t="str">
        <f>IFERROR(VLOOKUP($L373,'Upper Hot Cell Logistics'!$H$4:$I$10,2,FALSE),"N/A")</f>
        <v>N/A</v>
      </c>
      <c r="Q373" s="849" t="str">
        <f t="shared" si="46"/>
        <v>N/A</v>
      </c>
      <c r="R373" s="854"/>
      <c r="S373" s="852" t="str">
        <f>IF($E373="Logistics",VLOOKUP($P373,'Upper Hot Cell Logistics'!$C$4:$D$44,2,FALSE),"N/A")</f>
        <v>N/A</v>
      </c>
      <c r="T373" s="462"/>
      <c r="U373" s="855" t="str">
        <f>IFERROR(VLOOKUP($T373,'Upper HotCell RecoveryLogisitcs'!$C$421:$F$490,4,FALSE),"N/A")</f>
        <v>N/A</v>
      </c>
      <c r="V373" s="580" t="str">
        <f t="shared" si="49"/>
        <v>N/A</v>
      </c>
      <c r="W373" s="895"/>
      <c r="Y373" s="290"/>
      <c r="Z373" s="290"/>
      <c r="AA373" s="915"/>
    </row>
    <row r="374" spans="2:27" ht="15" customHeight="1" outlineLevel="2" x14ac:dyDescent="0.4">
      <c r="B374" s="1061"/>
      <c r="C374" s="5"/>
      <c r="D374" s="973"/>
      <c r="E374" s="847" t="s">
        <v>820</v>
      </c>
      <c r="F374" s="847"/>
      <c r="G374" s="848" t="s">
        <v>778</v>
      </c>
      <c r="H374" s="459">
        <f t="shared" si="47"/>
        <v>6.9444444444444448E-2</v>
      </c>
      <c r="I374" s="849">
        <f t="shared" si="48"/>
        <v>14.806582198383436</v>
      </c>
      <c r="J374" s="573"/>
      <c r="K374" s="850" t="str">
        <f>IF(G374="operation",VLOOKUP(J374,'Generic Vertical Port Tasks'!$C$4:$D$197,2,FALSE),"N/A")</f>
        <v>N/A</v>
      </c>
      <c r="L374" s="575" t="s">
        <v>798</v>
      </c>
      <c r="M374" s="573" t="s">
        <v>831</v>
      </c>
      <c r="N374" s="851" t="s">
        <v>452</v>
      </c>
      <c r="O374" s="852">
        <f>IFERROR(INDEX('Upper Hot Cell Logistics'!$I$35:$O$41,MATCH($M374,'Upper Hot Cell Logistics'!$H$35:$H$41,0),MATCH($N374,'Upper Hot Cell Logistics'!$H$35:$H$41,0)),"N/A")</f>
        <v>50</v>
      </c>
      <c r="P374" s="853">
        <f>IFERROR(VLOOKUP($L374,'Upper Hot Cell Logistics'!$H$4:$I$10,2,FALSE),"N/A")</f>
        <v>0.2</v>
      </c>
      <c r="Q374" s="849">
        <f t="shared" si="46"/>
        <v>6.9444444444444448E-2</v>
      </c>
      <c r="R374" s="854"/>
      <c r="S374" s="852" t="str">
        <f>IF($E374="Logistics",VLOOKUP($P374,'Upper Hot Cell Logistics'!$C$4:$D$44,2,FALSE),"N/A")</f>
        <v>N/A</v>
      </c>
      <c r="T374" s="462" t="s">
        <v>959</v>
      </c>
      <c r="U374" s="855">
        <f>IFERROR(VLOOKUP($T374,'Upper HotCell RecoveryLogisitcs'!$C$421:$F$490,4,FALSE),"N/A")</f>
        <v>10.202137753938992</v>
      </c>
      <c r="V374" s="580">
        <f t="shared" si="49"/>
        <v>4.5350000000000001</v>
      </c>
      <c r="W374" s="895"/>
      <c r="Y374" s="290"/>
      <c r="Z374" s="290"/>
      <c r="AA374" s="915"/>
    </row>
    <row r="375" spans="2:27" ht="15" customHeight="1" outlineLevel="2" x14ac:dyDescent="0.4">
      <c r="B375" s="1061"/>
      <c r="C375" s="5"/>
      <c r="D375" s="973"/>
      <c r="E375" s="847" t="s">
        <v>136</v>
      </c>
      <c r="F375" s="847"/>
      <c r="G375" s="848" t="s">
        <v>251</v>
      </c>
      <c r="H375" s="459">
        <f t="shared" si="47"/>
        <v>5.74</v>
      </c>
      <c r="I375" s="849">
        <f t="shared" si="48"/>
        <v>20.546582198383437</v>
      </c>
      <c r="J375" s="573" t="s">
        <v>254</v>
      </c>
      <c r="K375" s="850">
        <f>IF(G375="operation",VLOOKUP(J375,'Generic Vertical Port Tasks'!$C$4:$D$197,2,FALSE),"N/A")</f>
        <v>5.74</v>
      </c>
      <c r="L375" s="575"/>
      <c r="M375" s="573"/>
      <c r="N375" s="851"/>
      <c r="O375" s="852" t="str">
        <f>IFERROR(INDEX('Upper Hot Cell Logistics'!$I$35:$O$41,MATCH($M375,'Upper Hot Cell Logistics'!$H$35:$H$41,0),MATCH($N375,'Upper Hot Cell Logistics'!$H$35:$H$41,0)),"N/A")</f>
        <v>N/A</v>
      </c>
      <c r="P375" s="853" t="str">
        <f>IFERROR(VLOOKUP($L375,'Upper Hot Cell Logistics'!$H$4:$I$10,2,FALSE),"N/A")</f>
        <v>N/A</v>
      </c>
      <c r="Q375" s="849" t="str">
        <f t="shared" si="46"/>
        <v>N/A</v>
      </c>
      <c r="R375" s="854"/>
      <c r="S375" s="852" t="str">
        <f>IF($E375="Logistics",VLOOKUP($P375,'Upper Hot Cell Logistics'!$C$4:$D$44,2,FALSE),"N/A")</f>
        <v>N/A</v>
      </c>
      <c r="T375" s="462"/>
      <c r="U375" s="855" t="str">
        <f>IFERROR(VLOOKUP($T375,'Upper HotCell RecoveryLogisitcs'!$C$421:$F$490,4,FALSE),"N/A")</f>
        <v>N/A</v>
      </c>
      <c r="V375" s="580" t="str">
        <f t="shared" si="49"/>
        <v>N/A</v>
      </c>
      <c r="W375" s="895"/>
      <c r="Y375" s="290"/>
      <c r="Z375" s="290"/>
      <c r="AA375" s="915"/>
    </row>
    <row r="376" spans="2:27" ht="15" customHeight="1" outlineLevel="2" x14ac:dyDescent="0.4">
      <c r="B376" s="1061"/>
      <c r="C376" s="5"/>
      <c r="D376" s="973"/>
      <c r="E376" s="847" t="s">
        <v>797</v>
      </c>
      <c r="F376" s="847"/>
      <c r="G376" s="848" t="s">
        <v>778</v>
      </c>
      <c r="H376" s="459">
        <f t="shared" si="47"/>
        <v>6.9444444444444448E-2</v>
      </c>
      <c r="I376" s="849">
        <f t="shared" si="48"/>
        <v>20.61602664282788</v>
      </c>
      <c r="J376" s="573"/>
      <c r="K376" s="850" t="str">
        <f>IF(G376="operation",VLOOKUP(J376,'Generic Vertical Port Tasks'!$C$4:$D$197,2,FALSE),"N/A")</f>
        <v>N/A</v>
      </c>
      <c r="L376" s="575" t="s">
        <v>798</v>
      </c>
      <c r="M376" s="573" t="s">
        <v>831</v>
      </c>
      <c r="N376" s="851" t="s">
        <v>452</v>
      </c>
      <c r="O376" s="852">
        <f>IFERROR(INDEX('Upper Hot Cell Logistics'!$I$35:$O$41,MATCH($M376,'Upper Hot Cell Logistics'!$H$35:$H$41,0),MATCH($N376,'Upper Hot Cell Logistics'!$H$35:$H$41,0)),"N/A")</f>
        <v>50</v>
      </c>
      <c r="P376" s="853">
        <f>IFERROR(VLOOKUP($L376,'Upper Hot Cell Logistics'!$H$4:$I$10,2,FALSE),"N/A")</f>
        <v>0.2</v>
      </c>
      <c r="Q376" s="849">
        <f t="shared" si="46"/>
        <v>6.9444444444444448E-2</v>
      </c>
      <c r="R376" s="854"/>
      <c r="S376" s="852" t="str">
        <f>IF($E376="Logistics",VLOOKUP($P376,'Upper Hot Cell Logistics'!$C$4:$D$44,2,FALSE),"N/A")</f>
        <v>N/A</v>
      </c>
      <c r="T376" s="462" t="s">
        <v>961</v>
      </c>
      <c r="U376" s="855">
        <f>IFERROR(VLOOKUP($T376,'Upper HotCell RecoveryLogisitcs'!$C$421:$F$490,4,FALSE),"N/A")</f>
        <v>16.011582198383437</v>
      </c>
      <c r="V376" s="580">
        <f t="shared" si="49"/>
        <v>4.5350000000000001</v>
      </c>
      <c r="W376" s="895"/>
      <c r="Y376" s="290"/>
      <c r="Z376" s="290"/>
      <c r="AA376" s="915"/>
    </row>
    <row r="377" spans="2:27" ht="15" customHeight="1" outlineLevel="2" x14ac:dyDescent="0.4">
      <c r="B377" s="1061"/>
      <c r="C377" s="5"/>
      <c r="D377" s="973"/>
      <c r="E377" s="847" t="s">
        <v>138</v>
      </c>
      <c r="F377" s="847"/>
      <c r="G377" s="848" t="s">
        <v>251</v>
      </c>
      <c r="H377" s="459">
        <f t="shared" si="47"/>
        <v>5.74</v>
      </c>
      <c r="I377" s="849">
        <f t="shared" si="48"/>
        <v>26.356026642827878</v>
      </c>
      <c r="J377" s="573" t="s">
        <v>254</v>
      </c>
      <c r="K377" s="850">
        <f>IF(G377="operation",VLOOKUP(J377,'Generic Vertical Port Tasks'!$C$4:$D$197,2,FALSE),"N/A")</f>
        <v>5.74</v>
      </c>
      <c r="L377" s="575"/>
      <c r="M377" s="573"/>
      <c r="N377" s="851"/>
      <c r="O377" s="852" t="str">
        <f>IFERROR(INDEX('Upper Hot Cell Logistics'!$I$35:$O$41,MATCH($M377,'Upper Hot Cell Logistics'!$H$35:$H$41,0),MATCH($N377,'Upper Hot Cell Logistics'!$H$35:$H$41,0)),"N/A")</f>
        <v>N/A</v>
      </c>
      <c r="P377" s="853" t="str">
        <f>IFERROR(VLOOKUP($L377,'Upper Hot Cell Logistics'!$H$4:$I$10,2,FALSE),"N/A")</f>
        <v>N/A</v>
      </c>
      <c r="Q377" s="849" t="str">
        <f t="shared" si="46"/>
        <v>N/A</v>
      </c>
      <c r="R377" s="854"/>
      <c r="S377" s="852" t="str">
        <f>IF($E377="Logistics",VLOOKUP($P377,'Upper Hot Cell Logistics'!$C$4:$D$44,2,FALSE),"N/A")</f>
        <v>N/A</v>
      </c>
      <c r="T377" s="462"/>
      <c r="U377" s="855" t="str">
        <f>IFERROR(VLOOKUP($T377,'Upper HotCell RecoveryLogisitcs'!$C$421:$F$490,4,FALSE),"N/A")</f>
        <v>N/A</v>
      </c>
      <c r="V377" s="580" t="str">
        <f t="shared" si="49"/>
        <v>N/A</v>
      </c>
      <c r="W377" s="895"/>
      <c r="Y377" s="290"/>
      <c r="Z377" s="290"/>
      <c r="AA377" s="915"/>
    </row>
    <row r="378" spans="2:27" ht="15" customHeight="1" outlineLevel="2" x14ac:dyDescent="0.4">
      <c r="B378" s="1061"/>
      <c r="C378" s="5"/>
      <c r="D378" s="973"/>
      <c r="E378" s="847" t="s">
        <v>820</v>
      </c>
      <c r="F378" s="847"/>
      <c r="G378" s="848" t="s">
        <v>778</v>
      </c>
      <c r="H378" s="459">
        <f t="shared" si="47"/>
        <v>6.9444444444444448E-2</v>
      </c>
      <c r="I378" s="849">
        <f t="shared" si="48"/>
        <v>26.425471087272321</v>
      </c>
      <c r="J378" s="573"/>
      <c r="K378" s="850" t="str">
        <f>IF(G378="operation",VLOOKUP(J378,'Generic Vertical Port Tasks'!$C$4:$D$197,2,FALSE),"N/A")</f>
        <v>N/A</v>
      </c>
      <c r="L378" s="575" t="s">
        <v>798</v>
      </c>
      <c r="M378" s="573" t="s">
        <v>831</v>
      </c>
      <c r="N378" s="851" t="s">
        <v>452</v>
      </c>
      <c r="O378" s="852">
        <f>IFERROR(INDEX('Upper Hot Cell Logistics'!$I$35:$O$41,MATCH($M378,'Upper Hot Cell Logistics'!$H$35:$H$41,0),MATCH($N378,'Upper Hot Cell Logistics'!$H$35:$H$41,0)),"N/A")</f>
        <v>50</v>
      </c>
      <c r="P378" s="853">
        <f>IFERROR(VLOOKUP($L378,'Upper Hot Cell Logistics'!$H$4:$I$10,2,FALSE),"N/A")</f>
        <v>0.2</v>
      </c>
      <c r="Q378" s="849">
        <f t="shared" si="46"/>
        <v>6.9444444444444448E-2</v>
      </c>
      <c r="R378" s="854"/>
      <c r="S378" s="852" t="str">
        <f>IF($E378="Logistics",VLOOKUP($P378,'Upper Hot Cell Logistics'!$C$4:$D$44,2,FALSE),"N/A")</f>
        <v>N/A</v>
      </c>
      <c r="T378" s="462" t="s">
        <v>962</v>
      </c>
      <c r="U378" s="855">
        <f>IFERROR(VLOOKUP($T378,'Upper HotCell RecoveryLogisitcs'!$C$421:$F$490,4,FALSE),"N/A")</f>
        <v>21.821026642827881</v>
      </c>
      <c r="V378" s="580">
        <f t="shared" si="49"/>
        <v>4.5349999999999966</v>
      </c>
      <c r="W378" s="895"/>
      <c r="Y378" s="290"/>
      <c r="Z378" s="290"/>
      <c r="AA378" s="915"/>
    </row>
    <row r="379" spans="2:27" ht="15.75" customHeight="1" outlineLevel="2" thickBot="1" x14ac:dyDescent="0.45">
      <c r="B379" s="1061"/>
      <c r="C379" s="5"/>
      <c r="D379" s="949"/>
      <c r="E379" s="808" t="s">
        <v>140</v>
      </c>
      <c r="F379" s="808"/>
      <c r="G379" s="809" t="s">
        <v>251</v>
      </c>
      <c r="H379" s="467">
        <f t="shared" si="47"/>
        <v>5.74</v>
      </c>
      <c r="I379" s="810">
        <f t="shared" si="48"/>
        <v>32.165471087272323</v>
      </c>
      <c r="J379" s="584" t="s">
        <v>254</v>
      </c>
      <c r="K379" s="811">
        <f>IF(G379="operation",VLOOKUP(J379,'Generic Vertical Port Tasks'!$C$4:$D$197,2,FALSE),"N/A")</f>
        <v>5.74</v>
      </c>
      <c r="L379" s="586"/>
      <c r="M379" s="584"/>
      <c r="N379" s="812"/>
      <c r="O379" s="813" t="str">
        <f>IFERROR(INDEX('Upper Hot Cell Logistics'!$I$35:$O$41,MATCH($M379,'Upper Hot Cell Logistics'!$H$35:$H$41,0),MATCH($N379,'Upper Hot Cell Logistics'!$H$35:$H$41,0)),"N/A")</f>
        <v>N/A</v>
      </c>
      <c r="P379" s="814" t="str">
        <f>IFERROR(VLOOKUP($L379,'Upper Hot Cell Logistics'!$H$4:$I$10,2,FALSE),"N/A")</f>
        <v>N/A</v>
      </c>
      <c r="Q379" s="810" t="str">
        <f t="shared" si="46"/>
        <v>N/A</v>
      </c>
      <c r="R379" s="815"/>
      <c r="S379" s="813" t="str">
        <f>IF($E379="Logistics",VLOOKUP($P379,'Upper Hot Cell Logistics'!$C$4:$D$44,2,FALSE),"N/A")</f>
        <v>N/A</v>
      </c>
      <c r="T379" s="469"/>
      <c r="U379" s="816" t="str">
        <f>IFERROR(VLOOKUP($T379,'Upper HotCell RecoveryLogisitcs'!$C$421:$F$490,4,FALSE),"N/A")</f>
        <v>N/A</v>
      </c>
      <c r="V379" s="591" t="str">
        <f t="shared" si="49"/>
        <v>N/A</v>
      </c>
      <c r="W379" s="895"/>
      <c r="Y379" s="290"/>
      <c r="Z379" s="290"/>
      <c r="AA379" s="915"/>
    </row>
    <row r="380" spans="2:27" ht="15" customHeight="1" outlineLevel="2" x14ac:dyDescent="0.4">
      <c r="B380" s="1061"/>
      <c r="C380" s="5"/>
      <c r="D380" s="950" t="s">
        <v>1080</v>
      </c>
      <c r="E380" s="410" t="s">
        <v>797</v>
      </c>
      <c r="F380" s="974"/>
      <c r="G380" s="975" t="s">
        <v>778</v>
      </c>
      <c r="H380" s="310">
        <f t="shared" si="47"/>
        <v>6.9444444444444448E-2</v>
      </c>
      <c r="I380" s="311">
        <f t="shared" si="48"/>
        <v>32.234915531716766</v>
      </c>
      <c r="J380" s="976"/>
      <c r="K380" s="311" t="str">
        <f>IF(G380="operation",VLOOKUP(J380,'Generic Vertical Port Tasks'!$C$4:$D$197,2,FALSE),"N/A")</f>
        <v>N/A</v>
      </c>
      <c r="L380" s="977" t="s">
        <v>798</v>
      </c>
      <c r="M380" s="977" t="s">
        <v>799</v>
      </c>
      <c r="N380" s="978" t="s">
        <v>452</v>
      </c>
      <c r="O380" s="414">
        <f>IFERROR(INDEX('Upper Hot Cell Logistics'!$I$35:$O$41,MATCH($M380,'Upper Hot Cell Logistics'!$H$35:$H$41,0),MATCH($N380,'Upper Hot Cell Logistics'!$H$35:$H$41,0)),"N/A")</f>
        <v>50</v>
      </c>
      <c r="P380" s="414">
        <f>IFERROR(VLOOKUP($L380,'Upper Hot Cell Logistics'!$H$4:$I$10,2,FALSE),"N/A")</f>
        <v>0.2</v>
      </c>
      <c r="Q380" s="979">
        <f t="shared" si="46"/>
        <v>6.9444444444444448E-2</v>
      </c>
      <c r="R380" s="415"/>
      <c r="S380" s="416" t="str">
        <f>IF($E380="Logistics",VLOOKUP($P380,'Upper Hot Cell Logistics'!$C$4:$D$44,2,FALSE),"N/A")</f>
        <v>N/A</v>
      </c>
      <c r="T380" s="3604" t="s">
        <v>1081</v>
      </c>
      <c r="U380" s="310">
        <f>IFERROR(VLOOKUP($T380,'Upper HotCell RecoveryLogisitcs'!$C$421:$F$490,4,FALSE),"N/A")</f>
        <v>27.630471087272319</v>
      </c>
      <c r="V380" s="311">
        <f t="shared" si="49"/>
        <v>4.5350000000000037</v>
      </c>
      <c r="W380" s="894"/>
      <c r="Y380" s="290"/>
      <c r="Z380" s="290"/>
      <c r="AA380" s="915"/>
    </row>
    <row r="381" spans="2:27" ht="15" customHeight="1" outlineLevel="2" x14ac:dyDescent="0.4">
      <c r="B381" s="1061"/>
      <c r="C381" s="5"/>
      <c r="D381" s="980"/>
      <c r="E381" s="410" t="s">
        <v>141</v>
      </c>
      <c r="F381" s="981"/>
      <c r="G381" s="975" t="s">
        <v>251</v>
      </c>
      <c r="H381" s="310">
        <f t="shared" si="47"/>
        <v>4.33</v>
      </c>
      <c r="I381" s="311">
        <f t="shared" si="48"/>
        <v>36.564915531716764</v>
      </c>
      <c r="J381" s="976" t="s">
        <v>256</v>
      </c>
      <c r="K381" s="311">
        <f>IF(G381="operation",VLOOKUP(J381,'Generic Vertical Port Tasks'!$C$4:$D$197,2,FALSE),"N/A")</f>
        <v>4.33</v>
      </c>
      <c r="L381" s="982"/>
      <c r="M381" s="983"/>
      <c r="N381" s="984"/>
      <c r="O381" s="414" t="str">
        <f>IFERROR(INDEX('Upper Hot Cell Logistics'!$I$35:$O$41,MATCH($M381,'Upper Hot Cell Logistics'!$H$35:$H$41,0),MATCH($N381,'Upper Hot Cell Logistics'!$H$35:$H$41,0)),"N/A")</f>
        <v>N/A</v>
      </c>
      <c r="P381" s="414" t="str">
        <f>IFERROR(VLOOKUP($L381,'Upper Hot Cell Logistics'!$H$4:$I$10,2,FALSE),"N/A")</f>
        <v>N/A</v>
      </c>
      <c r="Q381" s="979" t="str">
        <f t="shared" si="46"/>
        <v>N/A</v>
      </c>
      <c r="R381" s="415"/>
      <c r="S381" s="416" t="str">
        <f>IF($E381="Logistics",VLOOKUP($P381,'Upper Hot Cell Logistics'!$C$4:$D$44,2,FALSE),"N/A")</f>
        <v>N/A</v>
      </c>
      <c r="T381" s="3604"/>
      <c r="U381" s="310" t="str">
        <f>IFERROR(VLOOKUP($T381,'Upper HotCell RecoveryLogisitcs'!$C$421:$F$490,4,FALSE),"N/A")</f>
        <v>N/A</v>
      </c>
      <c r="V381" s="311" t="str">
        <f t="shared" si="49"/>
        <v>N/A</v>
      </c>
      <c r="W381" s="894"/>
      <c r="Y381" s="290"/>
      <c r="Z381" s="290"/>
      <c r="AA381" s="915"/>
    </row>
    <row r="382" spans="2:27" ht="15" customHeight="1" outlineLevel="2" x14ac:dyDescent="0.4">
      <c r="B382" s="1061"/>
      <c r="C382" s="5"/>
      <c r="D382" s="980"/>
      <c r="E382" s="410" t="s">
        <v>860</v>
      </c>
      <c r="F382" s="981"/>
      <c r="G382" s="975" t="s">
        <v>778</v>
      </c>
      <c r="H382" s="310">
        <f t="shared" si="47"/>
        <v>6.9444444444444448E-2</v>
      </c>
      <c r="I382" s="311">
        <f t="shared" si="48"/>
        <v>36.634359976161207</v>
      </c>
      <c r="J382" s="976"/>
      <c r="K382" s="311" t="str">
        <f>IF(G382="operation",VLOOKUP(J382,'Generic Vertical Port Tasks'!$C$4:$D$197,2,FALSE),"N/A")</f>
        <v>N/A</v>
      </c>
      <c r="L382" s="977" t="s">
        <v>798</v>
      </c>
      <c r="M382" s="977" t="s">
        <v>799</v>
      </c>
      <c r="N382" s="978" t="s">
        <v>452</v>
      </c>
      <c r="O382" s="414">
        <f>IFERROR(INDEX('Upper Hot Cell Logistics'!$I$35:$O$41,MATCH($M382,'Upper Hot Cell Logistics'!$H$35:$H$41,0),MATCH($N382,'Upper Hot Cell Logistics'!$H$35:$H$41,0)),"N/A")</f>
        <v>50</v>
      </c>
      <c r="P382" s="414">
        <f>IFERROR(VLOOKUP($L382,'Upper Hot Cell Logistics'!$H$4:$I$10,2,FALSE),"N/A")</f>
        <v>0.2</v>
      </c>
      <c r="Q382" s="979">
        <f t="shared" si="46"/>
        <v>6.9444444444444448E-2</v>
      </c>
      <c r="R382" s="415"/>
      <c r="S382" s="416" t="str">
        <f>IF($E382="Logistics",VLOOKUP($P382,'Upper Hot Cell Logistics'!$C$4:$D$44,2,FALSE),"N/A")</f>
        <v>N/A</v>
      </c>
      <c r="T382" s="3604" t="s">
        <v>1082</v>
      </c>
      <c r="U382" s="310">
        <f>IFERROR(VLOOKUP($T382,'Upper HotCell RecoveryLogisitcs'!$C$421:$F$490,4,FALSE),"N/A")</f>
        <v>34.233804420605651</v>
      </c>
      <c r="V382" s="311">
        <f t="shared" si="49"/>
        <v>2.3311111111111131</v>
      </c>
      <c r="W382" s="894"/>
      <c r="Y382" s="290"/>
      <c r="Z382" s="290"/>
      <c r="AA382" s="915"/>
    </row>
    <row r="383" spans="2:27" ht="15" customHeight="1" outlineLevel="2" x14ac:dyDescent="0.4">
      <c r="B383" s="1061"/>
      <c r="C383" s="5"/>
      <c r="D383" s="980"/>
      <c r="E383" s="410" t="s">
        <v>139</v>
      </c>
      <c r="F383" s="981"/>
      <c r="G383" s="975" t="s">
        <v>251</v>
      </c>
      <c r="H383" s="310">
        <f t="shared" si="47"/>
        <v>4.33</v>
      </c>
      <c r="I383" s="311">
        <f t="shared" si="48"/>
        <v>40.964359976161205</v>
      </c>
      <c r="J383" s="976" t="s">
        <v>256</v>
      </c>
      <c r="K383" s="311">
        <f>IF(G383="operation",VLOOKUP(J383,'Generic Vertical Port Tasks'!$C$4:$D$197,2,FALSE),"N/A")</f>
        <v>4.33</v>
      </c>
      <c r="L383" s="639"/>
      <c r="M383" s="985"/>
      <c r="N383" s="986"/>
      <c r="O383" s="414" t="str">
        <f>IFERROR(INDEX('Upper Hot Cell Logistics'!$I$35:$O$41,MATCH($M383,'Upper Hot Cell Logistics'!$H$35:$H$41,0),MATCH($N383,'Upper Hot Cell Logistics'!$H$35:$H$41,0)),"N/A")</f>
        <v>N/A</v>
      </c>
      <c r="P383" s="414" t="str">
        <f>IFERROR(VLOOKUP($L383,'Upper Hot Cell Logistics'!$H$4:$I$10,2,FALSE),"N/A")</f>
        <v>N/A</v>
      </c>
      <c r="Q383" s="979" t="str">
        <f t="shared" si="46"/>
        <v>N/A</v>
      </c>
      <c r="R383" s="415"/>
      <c r="S383" s="416" t="str">
        <f>IF($E383="Logistics",VLOOKUP($P383,'Upper Hot Cell Logistics'!$C$4:$D$44,2,FALSE),"N/A")</f>
        <v>N/A</v>
      </c>
      <c r="T383" s="3604"/>
      <c r="U383" s="310" t="str">
        <f>IFERROR(VLOOKUP($T383,'Upper HotCell RecoveryLogisitcs'!$C$421:$F$490,4,FALSE),"N/A")</f>
        <v>N/A</v>
      </c>
      <c r="V383" s="311" t="str">
        <f t="shared" si="49"/>
        <v>N/A</v>
      </c>
      <c r="W383" s="894"/>
      <c r="Y383" s="290"/>
      <c r="Z383" s="290"/>
      <c r="AA383" s="915"/>
    </row>
    <row r="384" spans="2:27" ht="15" customHeight="1" outlineLevel="2" x14ac:dyDescent="0.4">
      <c r="B384" s="1061"/>
      <c r="C384" s="5"/>
      <c r="D384" s="980"/>
      <c r="E384" s="410" t="s">
        <v>862</v>
      </c>
      <c r="F384" s="981"/>
      <c r="G384" s="975" t="s">
        <v>778</v>
      </c>
      <c r="H384" s="310">
        <f t="shared" si="47"/>
        <v>6.9444444444444448E-2</v>
      </c>
      <c r="I384" s="311">
        <f t="shared" si="48"/>
        <v>41.033804420605648</v>
      </c>
      <c r="J384" s="976"/>
      <c r="K384" s="311" t="str">
        <f>IF(G384="operation",VLOOKUP(J384,'Generic Vertical Port Tasks'!$C$4:$D$197,2,FALSE),"N/A")</f>
        <v>N/A</v>
      </c>
      <c r="L384" s="977" t="s">
        <v>798</v>
      </c>
      <c r="M384" s="977" t="s">
        <v>799</v>
      </c>
      <c r="N384" s="978" t="s">
        <v>452</v>
      </c>
      <c r="O384" s="414">
        <f>IFERROR(INDEX('Upper Hot Cell Logistics'!$I$35:$O$41,MATCH($M384,'Upper Hot Cell Logistics'!$H$35:$H$41,0),MATCH($N384,'Upper Hot Cell Logistics'!$H$35:$H$41,0)),"N/A")</f>
        <v>50</v>
      </c>
      <c r="P384" s="414">
        <f>IFERROR(VLOOKUP($L384,'Upper Hot Cell Logistics'!$H$4:$I$10,2,FALSE),"N/A")</f>
        <v>0.2</v>
      </c>
      <c r="Q384" s="979">
        <f t="shared" si="46"/>
        <v>6.9444444444444448E-2</v>
      </c>
      <c r="R384" s="415"/>
      <c r="S384" s="416" t="str">
        <f>IF($E384="Logistics",VLOOKUP($P384,'Upper Hot Cell Logistics'!$C$4:$D$44,2,FALSE),"N/A")</f>
        <v>N/A</v>
      </c>
      <c r="T384" s="3604" t="s">
        <v>863</v>
      </c>
      <c r="U384" s="310">
        <f>IFERROR(VLOOKUP($T384,'Upper HotCell RecoveryLogisitcs'!$C$421:$F$490,4,FALSE),"N/A")</f>
        <v>37.839359976161205</v>
      </c>
      <c r="V384" s="311">
        <f t="shared" si="49"/>
        <v>3.125</v>
      </c>
      <c r="W384" s="894"/>
      <c r="Y384" s="290"/>
      <c r="Z384" s="290"/>
      <c r="AA384" s="915"/>
    </row>
    <row r="385" spans="2:27" ht="15" customHeight="1" outlineLevel="2" x14ac:dyDescent="0.4">
      <c r="B385" s="1061"/>
      <c r="C385" s="5"/>
      <c r="D385" s="980"/>
      <c r="E385" s="410" t="s">
        <v>137</v>
      </c>
      <c r="F385" s="981"/>
      <c r="G385" s="975" t="s">
        <v>251</v>
      </c>
      <c r="H385" s="310">
        <f t="shared" si="47"/>
        <v>4.33</v>
      </c>
      <c r="I385" s="311">
        <f t="shared" si="48"/>
        <v>45.363804420605646</v>
      </c>
      <c r="J385" s="976" t="s">
        <v>256</v>
      </c>
      <c r="K385" s="311">
        <f>IF(G385="operation",VLOOKUP(J385,'Generic Vertical Port Tasks'!$C$4:$D$197,2,FALSE),"N/A")</f>
        <v>4.33</v>
      </c>
      <c r="L385" s="412"/>
      <c r="M385" s="413"/>
      <c r="N385" s="987"/>
      <c r="O385" s="414" t="str">
        <f>IFERROR(INDEX('Upper Hot Cell Logistics'!$I$35:$O$41,MATCH($M385,'Upper Hot Cell Logistics'!$H$35:$H$41,0),MATCH($N385,'Upper Hot Cell Logistics'!$H$35:$H$41,0)),"N/A")</f>
        <v>N/A</v>
      </c>
      <c r="P385" s="414" t="str">
        <f>IFERROR(VLOOKUP($L385,'Upper Hot Cell Logistics'!$H$4:$I$10,2,FALSE),"N/A")</f>
        <v>N/A</v>
      </c>
      <c r="Q385" s="979" t="str">
        <f t="shared" si="46"/>
        <v>N/A</v>
      </c>
      <c r="R385" s="415"/>
      <c r="S385" s="416" t="str">
        <f>IF($E385="Logistics",VLOOKUP($P385,'Upper Hot Cell Logistics'!$C$4:$D$44,2,FALSE),"N/A")</f>
        <v>N/A</v>
      </c>
      <c r="T385" s="3604"/>
      <c r="U385" s="310" t="str">
        <f>IFERROR(VLOOKUP($T385,'Upper HotCell RecoveryLogisitcs'!$C$421:$F$490,4,FALSE),"N/A")</f>
        <v>N/A</v>
      </c>
      <c r="V385" s="311" t="str">
        <f t="shared" si="49"/>
        <v>N/A</v>
      </c>
      <c r="W385" s="894"/>
      <c r="Y385" s="290"/>
      <c r="Z385" s="290"/>
      <c r="AA385" s="915"/>
    </row>
    <row r="386" spans="2:27" ht="15" customHeight="1" outlineLevel="2" x14ac:dyDescent="0.4">
      <c r="B386" s="1061"/>
      <c r="C386" s="5"/>
      <c r="D386" s="980"/>
      <c r="E386" s="988" t="s">
        <v>864</v>
      </c>
      <c r="F386" s="981"/>
      <c r="G386" s="975" t="s">
        <v>778</v>
      </c>
      <c r="H386" s="310">
        <f t="shared" si="47"/>
        <v>6.9444444444444448E-2</v>
      </c>
      <c r="I386" s="311">
        <f t="shared" si="48"/>
        <v>45.433248865050089</v>
      </c>
      <c r="J386" s="976"/>
      <c r="K386" s="311" t="str">
        <f>IF(G386="operation",VLOOKUP(J386,'Generic Vertical Port Tasks'!$C$4:$D$197,2,FALSE),"N/A")</f>
        <v>N/A</v>
      </c>
      <c r="L386" s="977" t="s">
        <v>798</v>
      </c>
      <c r="M386" s="977" t="s">
        <v>799</v>
      </c>
      <c r="N386" s="978" t="s">
        <v>452</v>
      </c>
      <c r="O386" s="414">
        <f>IFERROR(INDEX('Upper Hot Cell Logistics'!$I$35:$O$41,MATCH($M386,'Upper Hot Cell Logistics'!$H$35:$H$41,0),MATCH($N386,'Upper Hot Cell Logistics'!$H$35:$H$41,0)),"N/A")</f>
        <v>50</v>
      </c>
      <c r="P386" s="414">
        <f>IFERROR(VLOOKUP($L386,'Upper Hot Cell Logistics'!$H$4:$I$10,2,FALSE),"N/A")</f>
        <v>0.2</v>
      </c>
      <c r="Q386" s="979">
        <f t="shared" si="46"/>
        <v>6.9444444444444448E-2</v>
      </c>
      <c r="R386" s="415"/>
      <c r="S386" s="416" t="str">
        <f>IF($E386="Logistics",VLOOKUP($P386,'Upper Hot Cell Logistics'!$C$4:$D$44,2,FALSE),"N/A")</f>
        <v>N/A</v>
      </c>
      <c r="T386" s="3604" t="s">
        <v>865</v>
      </c>
      <c r="U386" s="310">
        <f>IFERROR(VLOOKUP($T386,'Upper HotCell RecoveryLogisitcs'!$C$421:$F$490,4,FALSE),"N/A")</f>
        <v>42.438804420605649</v>
      </c>
      <c r="V386" s="311">
        <f t="shared" si="49"/>
        <v>2.9249999999999972</v>
      </c>
      <c r="W386" s="894"/>
      <c r="Y386" s="290"/>
      <c r="Z386" s="290"/>
      <c r="AA386" s="915"/>
    </row>
    <row r="387" spans="2:27" ht="15" customHeight="1" outlineLevel="2" x14ac:dyDescent="0.4">
      <c r="B387" s="1061"/>
      <c r="C387" s="5"/>
      <c r="D387" s="980"/>
      <c r="E387" s="410" t="s">
        <v>133</v>
      </c>
      <c r="F387" s="981"/>
      <c r="G387" s="975" t="s">
        <v>251</v>
      </c>
      <c r="H387" s="310">
        <f t="shared" si="47"/>
        <v>5.74</v>
      </c>
      <c r="I387" s="311">
        <f t="shared" si="48"/>
        <v>51.173248865050091</v>
      </c>
      <c r="J387" s="976" t="s">
        <v>254</v>
      </c>
      <c r="K387" s="311">
        <f>IF(G387="operation",VLOOKUP(J387,'Generic Vertical Port Tasks'!$C$4:$D$197,2,FALSE),"N/A")</f>
        <v>5.74</v>
      </c>
      <c r="L387" s="412"/>
      <c r="M387" s="413"/>
      <c r="N387" s="987"/>
      <c r="O387" s="414" t="str">
        <f>IFERROR(INDEX('Upper Hot Cell Logistics'!$I$35:$O$41,MATCH($M387,'Upper Hot Cell Logistics'!$H$35:$H$41,0),MATCH($N387,'Upper Hot Cell Logistics'!$H$35:$H$41,0)),"N/A")</f>
        <v>N/A</v>
      </c>
      <c r="P387" s="414" t="str">
        <f>IFERROR(VLOOKUP($L387,'Upper Hot Cell Logistics'!$H$4:$I$10,2,FALSE),"N/A")</f>
        <v>N/A</v>
      </c>
      <c r="Q387" s="979" t="str">
        <f t="shared" si="46"/>
        <v>N/A</v>
      </c>
      <c r="R387" s="415"/>
      <c r="S387" s="416" t="str">
        <f>IF($E387="Logistics",VLOOKUP($P387,'Upper Hot Cell Logistics'!$C$4:$D$44,2,FALSE),"N/A")</f>
        <v>N/A</v>
      </c>
      <c r="T387" s="3604"/>
      <c r="U387" s="310" t="str">
        <f>IFERROR(VLOOKUP($T387,'Upper HotCell RecoveryLogisitcs'!$C$421:$F$490,4,FALSE),"N/A")</f>
        <v>N/A</v>
      </c>
      <c r="V387" s="311" t="str">
        <f t="shared" si="49"/>
        <v>N/A</v>
      </c>
      <c r="W387" s="894"/>
      <c r="Y387" s="290"/>
      <c r="Z387" s="290"/>
      <c r="AA387" s="915"/>
    </row>
    <row r="388" spans="2:27" ht="15" customHeight="1" outlineLevel="2" x14ac:dyDescent="0.4">
      <c r="B388" s="1061"/>
      <c r="C388" s="5"/>
      <c r="D388" s="980"/>
      <c r="E388" s="410" t="s">
        <v>866</v>
      </c>
      <c r="F388" s="981"/>
      <c r="G388" s="975" t="s">
        <v>778</v>
      </c>
      <c r="H388" s="310">
        <f t="shared" si="47"/>
        <v>6.9444444444444448E-2</v>
      </c>
      <c r="I388" s="311">
        <f t="shared" si="48"/>
        <v>51.242693309494534</v>
      </c>
      <c r="J388" s="976"/>
      <c r="K388" s="311" t="str">
        <f>IF(G388="operation",VLOOKUP(J388,'Generic Vertical Port Tasks'!$C$4:$D$197,2,FALSE),"N/A")</f>
        <v>N/A</v>
      </c>
      <c r="L388" s="977" t="s">
        <v>798</v>
      </c>
      <c r="M388" s="977" t="s">
        <v>799</v>
      </c>
      <c r="N388" s="978" t="s">
        <v>452</v>
      </c>
      <c r="O388" s="414">
        <f>IFERROR(INDEX('Upper Hot Cell Logistics'!$I$35:$O$41,MATCH($M388,'Upper Hot Cell Logistics'!$H$35:$H$41,0),MATCH($N388,'Upper Hot Cell Logistics'!$H$35:$H$41,0)),"N/A")</f>
        <v>50</v>
      </c>
      <c r="P388" s="414">
        <f>IFERROR(VLOOKUP($L388,'Upper Hot Cell Logistics'!$H$4:$I$10,2,FALSE),"N/A")</f>
        <v>0.2</v>
      </c>
      <c r="Q388" s="979">
        <f t="shared" si="46"/>
        <v>6.9444444444444448E-2</v>
      </c>
      <c r="R388" s="415"/>
      <c r="S388" s="416" t="str">
        <f>IF($E388="Logistics",VLOOKUP($P388,'Upper Hot Cell Logistics'!$C$4:$D$44,2,FALSE),"N/A")</f>
        <v>N/A</v>
      </c>
      <c r="T388" s="3604" t="s">
        <v>867</v>
      </c>
      <c r="U388" s="310">
        <f>IFERROR(VLOOKUP($T388,'Upper HotCell RecoveryLogisitcs'!$C$421:$F$490,4,FALSE),"N/A")</f>
        <v>46.638248865050087</v>
      </c>
      <c r="V388" s="311">
        <f t="shared" si="49"/>
        <v>4.5350000000000037</v>
      </c>
      <c r="W388" s="894"/>
      <c r="Y388" s="290"/>
      <c r="Z388" s="290"/>
      <c r="AA388" s="915"/>
    </row>
    <row r="389" spans="2:27" ht="15.75" customHeight="1" outlineLevel="2" thickBot="1" x14ac:dyDescent="0.45">
      <c r="B389" s="1061"/>
      <c r="C389" s="5"/>
      <c r="D389" s="961"/>
      <c r="E389" s="418" t="s">
        <v>134</v>
      </c>
      <c r="F389" s="981"/>
      <c r="G389" s="989" t="s">
        <v>251</v>
      </c>
      <c r="H389" s="362">
        <f t="shared" si="47"/>
        <v>5.74</v>
      </c>
      <c r="I389" s="311">
        <f t="shared" si="48"/>
        <v>56.982693309494536</v>
      </c>
      <c r="J389" s="990" t="s">
        <v>254</v>
      </c>
      <c r="K389" s="363">
        <f>IF(G389="operation",VLOOKUP(J389,'Generic Vertical Port Tasks'!$C$4:$D$197,2,FALSE),"N/A")</f>
        <v>5.74</v>
      </c>
      <c r="L389" s="420"/>
      <c r="M389" s="421"/>
      <c r="N389" s="991"/>
      <c r="O389" s="422" t="str">
        <f>IFERROR(INDEX('Upper Hot Cell Logistics'!$I$35:$O$41,MATCH($M389,'Upper Hot Cell Logistics'!$H$35:$H$41,0),MATCH($N389,'Upper Hot Cell Logistics'!$H$35:$H$41,0)),"N/A")</f>
        <v>N/A</v>
      </c>
      <c r="P389" s="422" t="str">
        <f>IFERROR(VLOOKUP($L389,'Upper Hot Cell Logistics'!$H$4:$I$10,2,FALSE),"N/A")</f>
        <v>N/A</v>
      </c>
      <c r="Q389" s="992" t="str">
        <f t="shared" si="46"/>
        <v>N/A</v>
      </c>
      <c r="R389" s="423"/>
      <c r="S389" s="424" t="str">
        <f>IF($E389="Logistics",VLOOKUP($P389,'Upper Hot Cell Logistics'!$C$4:$D$44,2,FALSE),"N/A")</f>
        <v>N/A</v>
      </c>
      <c r="T389" s="3605"/>
      <c r="U389" s="362" t="str">
        <f>IFERROR(VLOOKUP($T389,'Upper HotCell RecoveryLogisitcs'!$C$421:$F$490,4,FALSE),"N/A")</f>
        <v>N/A</v>
      </c>
      <c r="V389" s="363" t="str">
        <f t="shared" si="49"/>
        <v>N/A</v>
      </c>
      <c r="W389" s="894"/>
      <c r="Y389" s="290"/>
      <c r="Z389" s="290"/>
      <c r="AA389" s="915"/>
    </row>
    <row r="390" spans="2:27" ht="25.5" customHeight="1" outlineLevel="2" x14ac:dyDescent="0.4">
      <c r="B390" s="1061"/>
      <c r="C390" s="5"/>
      <c r="D390" s="993" t="s">
        <v>117</v>
      </c>
      <c r="E390" s="798" t="s">
        <v>1083</v>
      </c>
      <c r="F390" s="798"/>
      <c r="G390" s="799" t="s">
        <v>778</v>
      </c>
      <c r="H390" s="326">
        <f t="shared" si="47"/>
        <v>0.69444444444444442</v>
      </c>
      <c r="I390" s="800">
        <f t="shared" si="48"/>
        <v>57.677137753938979</v>
      </c>
      <c r="J390" s="566"/>
      <c r="K390" s="621" t="str">
        <f>IF(G390="operation",VLOOKUP(J390,'Generic Vertical Port Tasks'!$C$4:$D$197,2,FALSE),"N/A")</f>
        <v>N/A</v>
      </c>
      <c r="L390" s="568" t="s">
        <v>857</v>
      </c>
      <c r="M390" s="566" t="s">
        <v>858</v>
      </c>
      <c r="N390" s="801" t="s">
        <v>452</v>
      </c>
      <c r="O390" s="802">
        <f>IFERROR(INDEX('Upper Hot Cell Logistics'!$I$35:$O$41,MATCH($M390,'Upper Hot Cell Logistics'!$H$35:$H$41,0),MATCH($N390,'Upper Hot Cell Logistics'!$H$35:$H$41,0)),"N/A")</f>
        <v>50</v>
      </c>
      <c r="P390" s="570">
        <f>IFERROR(VLOOKUP($L390,'Upper Hot Cell Logistics'!$H$4:$I$10,2,FALSE),"N/A")</f>
        <v>0.02</v>
      </c>
      <c r="Q390" s="800">
        <f t="shared" si="46"/>
        <v>0.69444444444444442</v>
      </c>
      <c r="R390" s="803"/>
      <c r="S390" s="802" t="str">
        <f>IF($G390="Logistics",VLOOKUP($R390,'Upper Hot Cell Logistics'!$C$4:$D$44,2,FALSE),"N/A")</f>
        <v>N/A</v>
      </c>
      <c r="T390" s="454" t="s">
        <v>1084</v>
      </c>
      <c r="U390" s="804">
        <f>IFERROR(VLOOKUP($T390,'Upper HotCell RecoveryLogisitcs'!$C$421:$F$490,4,FALSE),"N/A")</f>
        <v>53.949359976161197</v>
      </c>
      <c r="V390" s="621">
        <f t="shared" si="49"/>
        <v>3.0333333333333385</v>
      </c>
      <c r="W390" s="895"/>
      <c r="Y390" s="290"/>
      <c r="Z390" s="290"/>
      <c r="AA390" s="915"/>
    </row>
    <row r="391" spans="2:27" ht="15.75" customHeight="1" outlineLevel="2" thickBot="1" x14ac:dyDescent="0.45">
      <c r="B391" s="1061"/>
      <c r="C391" s="5"/>
      <c r="D391" s="994"/>
      <c r="E391" s="808" t="s">
        <v>1085</v>
      </c>
      <c r="F391" s="808"/>
      <c r="G391" s="809" t="s">
        <v>251</v>
      </c>
      <c r="H391" s="467">
        <f t="shared" si="47"/>
        <v>4.0949999999999998</v>
      </c>
      <c r="I391" s="810">
        <f t="shared" si="48"/>
        <v>61.772137753938978</v>
      </c>
      <c r="J391" s="584" t="s">
        <v>35</v>
      </c>
      <c r="K391" s="811">
        <f>IF(G391="operation",VLOOKUP(J391,'Generic Vertical Port Tasks'!$C$4:$D$197,2,FALSE),"N/A")</f>
        <v>4.0949999999999998</v>
      </c>
      <c r="L391" s="586"/>
      <c r="M391" s="584"/>
      <c r="N391" s="812"/>
      <c r="O391" s="813" t="str">
        <f>IFERROR(INDEX('Upper Hot Cell Logistics'!$I$35:$O$41,MATCH($M391,'Upper Hot Cell Logistics'!$H$35:$H$41,0),MATCH($N391,'Upper Hot Cell Logistics'!$H$35:$H$41,0)),"N/A")</f>
        <v>N/A</v>
      </c>
      <c r="P391" s="814" t="str">
        <f>IFERROR(VLOOKUP($L391,'Upper Hot Cell Logistics'!$H$4:$I$10,2,FALSE),"N/A")</f>
        <v>N/A</v>
      </c>
      <c r="Q391" s="810" t="str">
        <f t="shared" si="46"/>
        <v>N/A</v>
      </c>
      <c r="R391" s="815"/>
      <c r="S391" s="813" t="str">
        <f>IF($G391="Logistics",VLOOKUP($R391,'Upper Hot Cell Logistics'!$C$4:$D$44,2,FALSE),"N/A")</f>
        <v>N/A</v>
      </c>
      <c r="T391" s="469" t="s">
        <v>1087</v>
      </c>
      <c r="U391" s="816" t="str">
        <f>IFERROR(VLOOKUP($T391,'Upper HotCell RecoveryLogisitcs'!$C$421:$F$490,4,FALSE),"N/A")</f>
        <v>N/A</v>
      </c>
      <c r="V391" s="591" t="str">
        <f t="shared" si="49"/>
        <v>N/A</v>
      </c>
      <c r="W391" s="895"/>
      <c r="Y391" s="7"/>
      <c r="Z391" s="7"/>
      <c r="AA391" s="995"/>
    </row>
    <row r="392" spans="2:27" ht="15" customHeight="1" outlineLevel="2" x14ac:dyDescent="0.4">
      <c r="B392" s="1061"/>
      <c r="C392" s="5"/>
      <c r="D392" s="996" t="s">
        <v>1086</v>
      </c>
      <c r="E392" s="952" t="s">
        <v>820</v>
      </c>
      <c r="F392" s="952"/>
      <c r="G392" s="953" t="s">
        <v>778</v>
      </c>
      <c r="H392" s="305">
        <f t="shared" si="47"/>
        <v>0.69444444444444442</v>
      </c>
      <c r="I392" s="955">
        <f t="shared" si="48"/>
        <v>62.466582198383421</v>
      </c>
      <c r="J392" s="592"/>
      <c r="K392" s="600" t="str">
        <f>IF(G392="operation",VLOOKUP(J392,'Generic Vertical Port Tasks'!$C$4:$D$197,2,FALSE),"N/A")</f>
        <v>N/A</v>
      </c>
      <c r="L392" s="594" t="s">
        <v>857</v>
      </c>
      <c r="M392" s="592" t="s">
        <v>858</v>
      </c>
      <c r="N392" s="956" t="s">
        <v>452</v>
      </c>
      <c r="O392" s="957">
        <f>IFERROR(INDEX('Upper Hot Cell Logistics'!$I$35:$O$41,MATCH($M392,'Upper Hot Cell Logistics'!$H$35:$H$41,0),MATCH($N392,'Upper Hot Cell Logistics'!$H$35:$H$41,0)),"N/A")</f>
        <v>50</v>
      </c>
      <c r="P392" s="958">
        <f>IFERROR(VLOOKUP($L392,'Upper Hot Cell Logistics'!$H$4:$I$10,2,FALSE),"N/A")</f>
        <v>0.02</v>
      </c>
      <c r="Q392" s="955">
        <f t="shared" si="46"/>
        <v>0.69444444444444442</v>
      </c>
      <c r="R392" s="959"/>
      <c r="S392" s="957" t="str">
        <f>IF($G392="Logistics",VLOOKUP($R392,'Upper Hot Cell Logistics'!$C$4:$D$44,2,FALSE),"N/A")</f>
        <v>N/A</v>
      </c>
      <c r="T392" s="3606" t="s">
        <v>871</v>
      </c>
      <c r="U392" s="960">
        <f>IFERROR(VLOOKUP($T392,'Upper HotCell RecoveryLogisitcs'!$C$421:$F$490,4,FALSE),"N/A")</f>
        <v>59.451026642827863</v>
      </c>
      <c r="V392" s="600">
        <f t="shared" si="49"/>
        <v>2.3211111111111151</v>
      </c>
      <c r="W392" s="895"/>
      <c r="Y392" s="7"/>
      <c r="Z392" s="7"/>
      <c r="AA392" s="995"/>
    </row>
    <row r="393" spans="2:27" ht="15" customHeight="1" outlineLevel="2" x14ac:dyDescent="0.4">
      <c r="B393" s="1061"/>
      <c r="C393" s="5"/>
      <c r="D393" s="997"/>
      <c r="E393" s="981" t="s">
        <v>132</v>
      </c>
      <c r="F393" s="981"/>
      <c r="G393" s="998" t="s">
        <v>251</v>
      </c>
      <c r="H393" s="999">
        <f t="shared" si="47"/>
        <v>24.022732551873563</v>
      </c>
      <c r="I393" s="1000">
        <f t="shared" si="48"/>
        <v>86.48931475025698</v>
      </c>
      <c r="J393" s="977" t="s">
        <v>2492</v>
      </c>
      <c r="K393" s="638">
        <f>IF(G393="operation",VLOOKUP(J393,'Generic Vertical Port Tasks'!$C$4:$D$197,2,FALSE),"N/A")</f>
        <v>24.022732551873563</v>
      </c>
      <c r="L393" s="603"/>
      <c r="M393" s="977"/>
      <c r="N393" s="978"/>
      <c r="O393" s="1001" t="str">
        <f>IFERROR(INDEX('Upper Hot Cell Logistics'!$I$35:$O$41,MATCH($M393,'Upper Hot Cell Logistics'!$H$35:$H$41,0),MATCH($N393,'Upper Hot Cell Logistics'!$H$35:$H$41,0)),"N/A")</f>
        <v>N/A</v>
      </c>
      <c r="P393" s="1002" t="str">
        <f>IFERROR(VLOOKUP($L393,'Upper Hot Cell Logistics'!$H$4:$I$10,2,FALSE),"N/A")</f>
        <v>N/A</v>
      </c>
      <c r="Q393" s="1000" t="str">
        <f t="shared" si="46"/>
        <v>N/A</v>
      </c>
      <c r="R393" s="1003"/>
      <c r="S393" s="1001" t="str">
        <f>IF($G393="Logistics",VLOOKUP($R393,'Upper Hot Cell Logistics'!$C$4:$D$44,2,FALSE),"N/A")</f>
        <v>N/A</v>
      </c>
      <c r="T393" s="3606"/>
      <c r="U393" s="1004" t="str">
        <f>IFERROR(VLOOKUP($T393,'Upper HotCell RecoveryLogisitcs'!$C$421:$F$490,4,FALSE),"N/A")</f>
        <v>N/A</v>
      </c>
      <c r="V393" s="608" t="str">
        <f t="shared" si="49"/>
        <v>N/A</v>
      </c>
      <c r="W393" s="895"/>
      <c r="Y393" s="7"/>
      <c r="Z393" s="7"/>
      <c r="AA393" s="995"/>
    </row>
    <row r="394" spans="2:27" ht="15" customHeight="1" outlineLevel="2" x14ac:dyDescent="0.4">
      <c r="B394" s="1061"/>
      <c r="C394" s="5"/>
      <c r="D394" s="997"/>
      <c r="E394" s="981" t="s">
        <v>811</v>
      </c>
      <c r="F394" s="981"/>
      <c r="G394" s="998" t="s">
        <v>778</v>
      </c>
      <c r="H394" s="999">
        <f t="shared" si="47"/>
        <v>0.20833333333333334</v>
      </c>
      <c r="I394" s="1000">
        <f t="shared" si="48"/>
        <v>86.697648083590309</v>
      </c>
      <c r="J394" s="977"/>
      <c r="K394" s="638" t="str">
        <f>IF(G394="operation",VLOOKUP(J394,'Generic Vertical Port Tasks'!$C$4:$D$197,2,FALSE),"N/A")</f>
        <v>N/A</v>
      </c>
      <c r="L394" s="603" t="s">
        <v>12</v>
      </c>
      <c r="M394" s="977" t="s">
        <v>816</v>
      </c>
      <c r="N394" s="978" t="s">
        <v>452</v>
      </c>
      <c r="O394" s="1001">
        <f>IFERROR(INDEX('Upper Hot Cell Logistics'!$I$35:$O$41,MATCH($M394,'Upper Hot Cell Logistics'!$H$35:$H$41,0),MATCH($N394,'Upper Hot Cell Logistics'!$H$35:$H$41,0)),"N/A")</f>
        <v>15</v>
      </c>
      <c r="P394" s="1002">
        <f>IFERROR(VLOOKUP($L394,'Upper Hot Cell Logistics'!$H$4:$I$10,2,FALSE),"N/A")</f>
        <v>0.02</v>
      </c>
      <c r="Q394" s="1000">
        <f t="shared" si="46"/>
        <v>0.20833333333333334</v>
      </c>
      <c r="R394" s="1003"/>
      <c r="S394" s="1001" t="str">
        <f>IF($G394="Logistics",VLOOKUP($R394,'Upper Hot Cell Logistics'!$C$4:$D$44,2,FALSE),"N/A")</f>
        <v>N/A</v>
      </c>
      <c r="T394" s="3606"/>
      <c r="U394" s="1004" t="str">
        <f>IFERROR(VLOOKUP($T394,'Upper HotCell RecoveryLogisitcs'!$C$421:$F$490,4,FALSE),"N/A")</f>
        <v>N/A</v>
      </c>
      <c r="V394" s="608" t="str">
        <f t="shared" si="49"/>
        <v>N/A</v>
      </c>
      <c r="W394" s="895"/>
      <c r="Y394" s="7"/>
      <c r="Z394" s="7"/>
      <c r="AA394" s="995"/>
    </row>
    <row r="395" spans="2:27" ht="15.75" customHeight="1" outlineLevel="2" thickBot="1" x14ac:dyDescent="0.45">
      <c r="B395" s="1061"/>
      <c r="C395" s="5"/>
      <c r="D395" s="1005"/>
      <c r="E395" s="963" t="s">
        <v>47</v>
      </c>
      <c r="F395" s="963"/>
      <c r="G395" s="964" t="s">
        <v>251</v>
      </c>
      <c r="H395" s="1006">
        <f t="shared" si="47"/>
        <v>7.83</v>
      </c>
      <c r="I395" s="965">
        <f t="shared" si="48"/>
        <v>94.527648083590307</v>
      </c>
      <c r="J395" s="966" t="s">
        <v>257</v>
      </c>
      <c r="K395" s="967">
        <f>IF(G395="operation",VLOOKUP(J395,'Generic Vertical Port Tasks'!$C$4:$D$197,2,FALSE),"N/A")</f>
        <v>7.83</v>
      </c>
      <c r="L395" s="611"/>
      <c r="M395" s="966"/>
      <c r="N395" s="968"/>
      <c r="O395" s="969" t="str">
        <f>IFERROR(INDEX('Upper Hot Cell Logistics'!$I$35:$O$41,MATCH($M395,'Upper Hot Cell Logistics'!$H$35:$H$41,0),MATCH($N395,'Upper Hot Cell Logistics'!$H$35:$H$41,0)),"N/A")</f>
        <v>N/A</v>
      </c>
      <c r="P395" s="970" t="str">
        <f>IFERROR(VLOOKUP($L395,'Upper Hot Cell Logistics'!$H$4:$I$10,2,FALSE),"N/A")</f>
        <v>N/A</v>
      </c>
      <c r="Q395" s="965" t="str">
        <f t="shared" si="46"/>
        <v>N/A</v>
      </c>
      <c r="R395" s="971"/>
      <c r="S395" s="969" t="str">
        <f>IF($G395="Logistics",VLOOKUP($R395,'Upper Hot Cell Logistics'!$C$4:$D$44,2,FALSE),"N/A")</f>
        <v>N/A</v>
      </c>
      <c r="T395" s="3568"/>
      <c r="U395" s="972" t="str">
        <f>IFERROR(VLOOKUP($T395,'Upper HotCell RecoveryLogisitcs'!$C$421:$F$490,4,FALSE),"N/A")</f>
        <v>N/A</v>
      </c>
      <c r="V395" s="616" t="str">
        <f t="shared" si="49"/>
        <v>N/A</v>
      </c>
      <c r="W395" s="895"/>
      <c r="Y395" s="7"/>
      <c r="Z395" s="7"/>
      <c r="AA395" s="995"/>
    </row>
    <row r="396" spans="2:27" outlineLevel="1" x14ac:dyDescent="0.4">
      <c r="B396" s="1061"/>
      <c r="C396" s="5"/>
      <c r="D396" s="891"/>
      <c r="E396" s="892"/>
      <c r="F396" s="892"/>
      <c r="G396" s="893" t="s">
        <v>11</v>
      </c>
      <c r="H396" s="893"/>
      <c r="I396" s="894">
        <f>IF(X396&lt;0,H396+I395+(-X396),H396+I395)</f>
        <v>94.527648083590307</v>
      </c>
      <c r="J396" s="94"/>
      <c r="K396" s="895"/>
      <c r="L396" s="94"/>
      <c r="M396" s="94"/>
      <c r="N396" s="896"/>
      <c r="O396" s="897"/>
      <c r="P396" s="897"/>
      <c r="Q396" s="894"/>
      <c r="R396" s="94"/>
      <c r="S396" s="897"/>
      <c r="T396" s="3356"/>
      <c r="U396" s="7"/>
      <c r="V396" s="895"/>
      <c r="W396" s="895"/>
      <c r="X396" s="895"/>
      <c r="Y396" s="7"/>
      <c r="Z396" s="7"/>
      <c r="AA396" s="995"/>
    </row>
    <row r="397" spans="2:27" outlineLevel="1" x14ac:dyDescent="0.4">
      <c r="B397" s="1061"/>
      <c r="C397" s="5"/>
      <c r="D397" s="891"/>
      <c r="E397" s="892"/>
      <c r="F397" s="892"/>
      <c r="G397" s="898"/>
      <c r="H397" s="894"/>
      <c r="I397" s="894"/>
      <c r="J397" s="94"/>
      <c r="K397" s="895"/>
      <c r="L397" s="94"/>
      <c r="M397" s="94"/>
      <c r="N397" s="896"/>
      <c r="O397" s="897"/>
      <c r="P397" s="897"/>
      <c r="Q397" s="894"/>
      <c r="R397" s="94"/>
      <c r="S397" s="897"/>
      <c r="T397" s="3356"/>
      <c r="U397" s="7"/>
      <c r="V397" s="895"/>
      <c r="W397" s="895"/>
      <c r="X397" s="895"/>
      <c r="Y397" s="7"/>
      <c r="Z397" s="7"/>
      <c r="AA397" s="995"/>
    </row>
    <row r="398" spans="2:27" x14ac:dyDescent="0.4">
      <c r="B398" s="1068"/>
      <c r="C398" s="1069"/>
      <c r="D398" s="1069"/>
      <c r="E398" s="1069"/>
      <c r="F398" s="1069"/>
      <c r="G398" s="1070"/>
      <c r="H398" s="1069"/>
      <c r="I398" s="1069"/>
      <c r="J398" s="1071"/>
      <c r="K398" s="1072"/>
      <c r="L398" s="1069"/>
      <c r="M398" s="1069"/>
      <c r="N398" s="1073"/>
      <c r="O398" s="1069"/>
      <c r="P398" s="1069"/>
      <c r="Q398" s="1069"/>
      <c r="R398" s="1069"/>
      <c r="S398" s="1069"/>
      <c r="T398" s="1073"/>
      <c r="U398" s="1072"/>
      <c r="V398" s="1069"/>
      <c r="W398" s="1069"/>
      <c r="X398" s="1069"/>
      <c r="Y398" s="1072"/>
      <c r="Z398" s="1072"/>
      <c r="AA398" s="1074"/>
    </row>
  </sheetData>
  <customSheetViews>
    <customSheetView guid="{9C0AA20B-B2A2-4A2C-B279-4A5988F4E71A}" scale="40" state="hidden">
      <selection activeCell="H129" sqref="H129"/>
      <pageMargins left="0.7" right="0.7" top="0.75" bottom="0.75" header="0.3" footer="0.3"/>
      <pageSetup paperSize="9" orientation="portrait" verticalDpi="0" r:id="rId1"/>
    </customSheetView>
  </customSheetViews>
  <mergeCells count="33">
    <mergeCell ref="T364:V364"/>
    <mergeCell ref="T302:V302"/>
    <mergeCell ref="T228:V228"/>
    <mergeCell ref="T142:V142"/>
    <mergeCell ref="T44:V44"/>
    <mergeCell ref="V32:Z32"/>
    <mergeCell ref="V130:Z130"/>
    <mergeCell ref="V216:Z216"/>
    <mergeCell ref="V290:Z290"/>
    <mergeCell ref="V352:Z352"/>
    <mergeCell ref="D108:D111"/>
    <mergeCell ref="D112:D113"/>
    <mergeCell ref="D114:D117"/>
    <mergeCell ref="D118:D119"/>
    <mergeCell ref="D120:D123"/>
    <mergeCell ref="D106:D107"/>
    <mergeCell ref="D62:D65"/>
    <mergeCell ref="D66:D67"/>
    <mergeCell ref="D68:D71"/>
    <mergeCell ref="D72:D73"/>
    <mergeCell ref="D74:D75"/>
    <mergeCell ref="D76:D83"/>
    <mergeCell ref="D84:D93"/>
    <mergeCell ref="D94:D95"/>
    <mergeCell ref="D96:D99"/>
    <mergeCell ref="D100:D101"/>
    <mergeCell ref="D102:D105"/>
    <mergeCell ref="D60:D61"/>
    <mergeCell ref="D46:D47"/>
    <mergeCell ref="D48:D49"/>
    <mergeCell ref="D50:D53"/>
    <mergeCell ref="D54:D55"/>
    <mergeCell ref="D56:D59"/>
  </mergeCells>
  <conditionalFormatting sqref="K1:K1048576 Q1:Q1048576 S1:S1048576 U43:V43 U1:V39 U141:V141 U227:V227 U363:V363 U301:V301 U356:V359 V355 U365:V1048576 U303:V354 U230:V297 U144:V223 U46:V137">
    <cfRule type="cellIs" dxfId="29" priority="90" stopIfTrue="1" operator="equal">
      <formula>"N/A"</formula>
    </cfRule>
  </conditionalFormatting>
  <conditionalFormatting sqref="V43 V1:V39 V141 V227 V363 V301 V365:V1048576 V303:V359 V230:V297 V144:V223 V46:V137">
    <cfRule type="cellIs" dxfId="28" priority="89" stopIfTrue="1" operator="lessThan">
      <formula>0</formula>
    </cfRule>
  </conditionalFormatting>
  <conditionalFormatting sqref="G1:G1048576">
    <cfRule type="cellIs" dxfId="27" priority="91" stopIfTrue="1" operator="equal">
      <formula>"Total"</formula>
    </cfRule>
    <cfRule type="cellIs" dxfId="26" priority="92" stopIfTrue="1" operator="equal">
      <formula>"Operation"</formula>
    </cfRule>
  </conditionalFormatting>
  <conditionalFormatting sqref="T35">
    <cfRule type="cellIs" dxfId="25" priority="23" stopIfTrue="1" operator="equal">
      <formula>"N/A"</formula>
    </cfRule>
  </conditionalFormatting>
  <conditionalFormatting sqref="T35">
    <cfRule type="cellIs" dxfId="24" priority="22" stopIfTrue="1" operator="equal">
      <formula>"N/A"</formula>
    </cfRule>
  </conditionalFormatting>
  <conditionalFormatting sqref="T133">
    <cfRule type="cellIs" dxfId="23" priority="21" stopIfTrue="1" operator="equal">
      <formula>"N/A"</formula>
    </cfRule>
  </conditionalFormatting>
  <conditionalFormatting sqref="T133">
    <cfRule type="cellIs" dxfId="22" priority="20" stopIfTrue="1" operator="equal">
      <formula>"N/A"</formula>
    </cfRule>
  </conditionalFormatting>
  <conditionalFormatting sqref="T219">
    <cfRule type="cellIs" dxfId="21" priority="12" stopIfTrue="1" operator="equal">
      <formula>"N/A"</formula>
    </cfRule>
  </conditionalFormatting>
  <conditionalFormatting sqref="T293">
    <cfRule type="cellIs" dxfId="20" priority="11" stopIfTrue="1" operator="equal">
      <formula>"N/A"</formula>
    </cfRule>
  </conditionalFormatting>
  <conditionalFormatting sqref="T219">
    <cfRule type="cellIs" dxfId="19" priority="13" stopIfTrue="1" operator="equal">
      <formula>"N/A"</formula>
    </cfRule>
  </conditionalFormatting>
  <conditionalFormatting sqref="T293">
    <cfRule type="cellIs" dxfId="18" priority="10" stopIfTrue="1" operator="equal">
      <formula>"N/A"</formula>
    </cfRule>
  </conditionalFormatting>
  <conditionalFormatting sqref="U355">
    <cfRule type="cellIs" dxfId="17" priority="9" stopIfTrue="1" operator="equal">
      <formula>"N/A"</formula>
    </cfRule>
  </conditionalFormatting>
  <conditionalFormatting sqref="T355">
    <cfRule type="cellIs" dxfId="16" priority="8" stopIfTrue="1" operator="equal">
      <formula>"N/A"</formula>
    </cfRule>
  </conditionalFormatting>
  <conditionalFormatting sqref="T355">
    <cfRule type="cellIs" dxfId="15" priority="7" stopIfTrue="1" operator="equal">
      <formula>"N/A"</formula>
    </cfRule>
  </conditionalFormatting>
  <conditionalFormatting sqref="U229:V229">
    <cfRule type="cellIs" dxfId="14" priority="6" stopIfTrue="1" operator="equal">
      <formula>"N/A"</formula>
    </cfRule>
  </conditionalFormatting>
  <conditionalFormatting sqref="V229">
    <cfRule type="cellIs" dxfId="13" priority="5" stopIfTrue="1" operator="lessThan">
      <formula>0</formula>
    </cfRule>
  </conditionalFormatting>
  <conditionalFormatting sqref="U143:V143">
    <cfRule type="cellIs" dxfId="12" priority="4" stopIfTrue="1" operator="equal">
      <formula>"N/A"</formula>
    </cfRule>
  </conditionalFormatting>
  <conditionalFormatting sqref="V143">
    <cfRule type="cellIs" dxfId="11" priority="3" stopIfTrue="1" operator="lessThan">
      <formula>0</formula>
    </cfRule>
  </conditionalFormatting>
  <conditionalFormatting sqref="U45:V45">
    <cfRule type="cellIs" dxfId="10" priority="2" stopIfTrue="1" operator="equal">
      <formula>"N/A"</formula>
    </cfRule>
  </conditionalFormatting>
  <conditionalFormatting sqref="V45">
    <cfRule type="cellIs" dxfId="9" priority="1" stopIfTrue="1" operator="lessThan">
      <formula>0</formula>
    </cfRule>
  </conditionalFormatting>
  <dataValidations disablePrompts="1" count="1">
    <dataValidation type="list" allowBlank="1" showInputMessage="1" showErrorMessage="1" sqref="JQ304 WWC304 WMG304 WCK304 VSO304 VIS304 UYW304 UPA304 UFE304 TVI304 TLM304 TBQ304 SRU304 SHY304 RYC304 ROG304 REK304 QUO304 QKS304 QAW304 PRA304 PHE304 OXI304 ONM304 ODQ304 NTU304 NJY304 NAC304 MQG304 MGK304 LWO304 LMS304 LCW304 KTA304 KJE304 JZI304 JPM304 JFQ304 IVU304 ILY304 ICC304 HSG304 HIK304 GYO304 GOS304 GEW304 FVA304 FLE304 FBI304 ERM304 EHQ304 DXU304 DNY304 DEC304 CUG304 CKK304 CAO304 BQS304 BGW304 AXA304 ANE304 ADI304 TM304 AWX231:AWX303 BGT231:BGT303 BQP231:BQP303 CAL231:CAL303 CKH231:CKH303 CUD231:CUD303 DDZ231:DDZ303 DNV231:DNV303 DXR231:DXR303 EHN231:EHN303 ERJ231:ERJ303 FBF231:FBF303 FLB231:FLB303 FUX231:FUX303 GET231:GET303 GOP231:GOP303 GYL231:GYL303 HIH231:HIH303 HSD231:HSD303 IBZ231:IBZ303 ILV231:ILV303 IVR231:IVR303 JFN231:JFN303 JPJ231:JPJ303 JZF231:JZF303 KJB231:KJB303 KSX231:KSX303 LCT231:LCT303 LMP231:LMP303 LWL231:LWL303 MGH231:MGH303 MQD231:MQD303 MZZ231:MZZ303 NJV231:NJV303 NTR231:NTR303 ODN231:ODN303 ONJ231:ONJ303 OXF231:OXF303 PHB231:PHB303 PQX231:PQX303 QAT231:QAT303 QKP231:QKP303 QUL231:QUL303 REH231:REH303 ROD231:ROD303 RXZ231:RXZ303 SHV231:SHV303 SRR231:SRR303 TBN231:TBN303 TLJ231:TLJ303 TVF231:TVF303 UFB231:UFB303 UOX231:UOX303 UYT231:UYT303 VIP231:VIP303 VSL231:VSL303 WCH231:WCH303 WMD231:WMD303 WVZ231:WVZ303 JN231:JN303 TJ231:TJ303 ADF231:ADF303 ANB231:ANB303 JQ230 WWC230 WMG230 WCK230 VSO230 VIS230 UYW230 UPA230 UFE230 TVI230 TLM230 TBQ230 SRU230 SHY230 RYC230 ROG230 REK230 QUO230 QKS230 QAW230 PRA230 PHE230 OXI230 ONM230 ODQ230 NTU230 NJY230 NAC230 MQG230 MGK230 LWO230 LMS230 LCW230 KTA230 KJE230 JZI230 JPM230 JFQ230 IVU230 ILY230 ICC230 HSG230 HIK230 GYO230 GOS230 GEW230 FVA230 FLE230 FBI230 ERM230 EHQ230 DXU230 DNY230 DEC230 CUG230 CKK230 CAO230 BQS230 BGW230 AXA230 ANE230 ADI230 TM230 ANB145:ANB229 AWX145:AWX229 BGT145:BGT229 BQP145:BQP229 CAL145:CAL229 CKH145:CKH229 CUD145:CUD229 DDZ145:DDZ229 DNV145:DNV229 DXR145:DXR229 EHN145:EHN229 ERJ145:ERJ229 FBF145:FBF229 FLB145:FLB229 FUX145:FUX229 GET145:GET229 GOP145:GOP229 GYL145:GYL229 HIH145:HIH229 HSD145:HSD229 IBZ145:IBZ229 ILV145:ILV229 IVR145:IVR229 JFN145:JFN229 JPJ145:JPJ229 JZF145:JZF229 KJB145:KJB229 KSX145:KSX229 LCT145:LCT229 LMP145:LMP229 LWL145:LWL229 MGH145:MGH229 MQD145:MQD229 MZZ145:MZZ229 NJV145:NJV229 NTR145:NTR229 ODN145:ODN229 ONJ145:ONJ229 OXF145:OXF229 PHB145:PHB229 PQX145:PQX229 QAT145:QAT229 QKP145:QKP229 QUL145:QUL229 REH145:REH229 ROD145:ROD229 RXZ145:RXZ229 SHV145:SHV229 SRR145:SRR229 TBN145:TBN229 TLJ145:TLJ229 TVF145:TVF229 UFB145:UFB229 UOX145:UOX229 UYT145:UYT229 VIP145:VIP229 VSL145:VSL229 WCH145:WCH229 WMD145:WMD229 WVZ145:WVZ229 JN145:JN229 TJ145:TJ229 ADF145:ADF229 JQ144 WWC144 WMG144 WCK144 VSO144 VIS144 UYW144 UPA144 UFE144 TVI144 TLM144 TBQ144 SRU144 SHY144 RYC144 ROG144 REK144 QUO144 QKS144 QAW144 PRA144 PHE144 OXI144 ONM144 ODQ144 NTU144 NJY144 NAC144 MQG144 MGK144 LWO144 LMS144 LCW144 KTA144 KJE144 JZI144 JPM144 JFQ144 IVU144 ILY144 ICC144 HSG144 HIK144 GYO144 GOS144 GEW144 FVA144 FLE144 FBI144 ERM144 EHQ144 DXU144 DNY144 DEC144 CUG144 CKK144 CAO144 BQS144 BGW144 AXA144 ANE144 ADI144 TM144 JQ44:JQ46 WWC44:WWC46 WMG44:WMG46 WCK44:WCK46 VSO44:VSO46 VIS44:VIS46 UYW44:UYW46 UPA44:UPA46 UFE44:UFE46 TVI44:TVI46 TLM44:TLM46 TBQ44:TBQ46 SRU44:SRU46 SHY44:SHY46 RYC44:RYC46 ROG44:ROG46 REK44:REK46 QUO44:QUO46 QKS44:QKS46 QAW44:QAW46 PRA44:PRA46 PHE44:PHE46 OXI44:OXI46 ONM44:ONM46 ODQ44:ODQ46 NTU44:NTU46 NJY44:NJY46 NAC44:NAC46 MQG44:MQG46 MGK44:MGK46 LWO44:LWO46 LMS44:LMS46 LCW44:LCW46 KTA44:KTA46 KJE44:KJE46 JZI44:JZI46 JPM44:JPM46 JFQ44:JFQ46 IVU44:IVU46 ILY44:ILY46 ICC44:ICC46 HSG44:HSG46 HIK44:HIK46 GYO44:GYO46 GOS44:GOS46 GEW44:GEW46 FVA44:FVA46 FLE44:FLE46 FBI44:FBI46 ERM44:ERM46 EHQ44:EHQ46 DXU44:DXU46 DNY44:DNY46 DEC44:DEC46 CUG44:CUG46 CKK44:CKK46 CAO44:CAO46 BQS44:BQS46 BGW44:BGW46 AXA44:AXA46 ANE44:ANE46 ADI44:ADI46 TM44:TM46 BGT47:BGT143 BQP47:BQP143 CAL47:CAL143 CKH47:CKH143 CUD47:CUD143 DDZ47:DDZ143 DNV47:DNV143 DXR47:DXR143 EHN47:EHN143 ERJ47:ERJ143 FBF47:FBF143 FLB47:FLB143 FUX47:FUX143 GET47:GET143 GOP47:GOP143 GYL47:GYL143 HIH47:HIH143 HSD47:HSD143 IBZ47:IBZ143 ILV47:ILV143 IVR47:IVR143 JFN47:JFN143 JPJ47:JPJ143 JZF47:JZF143 KJB47:KJB143 KSX47:KSX143 LCT47:LCT143 LMP47:LMP143 LWL47:LWL143 MGH47:MGH143 MQD47:MQD143 MZZ47:MZZ143 NJV47:NJV143 NTR47:NTR143 ODN47:ODN143 ONJ47:ONJ143 OXF47:OXF143 PHB47:PHB143 PQX47:PQX143 QAT47:QAT143 QKP47:QKP143 QUL47:QUL143 REH47:REH143 ROD47:ROD143 RXZ47:RXZ143 SHV47:SHV143 SRR47:SRR143 TBN47:TBN143 TLJ47:TLJ143 TVF47:TVF143 UFB47:UFB143 UOX47:UOX143 UYT47:UYT143 VIP47:VIP143 VSL47:VSL143 WCH47:WCH143 WMD47:WMD143 WVZ47:WVZ143 JN47:JN143 TJ47:TJ143 ADF47:ADF143 ANB47:ANB143 AWX47:AWX143 BGT305:BGT1048576 BQP305:BQP1048576 CAL305:CAL1048576 CKH305:CKH1048576 CUD305:CUD1048576 DDZ305:DDZ1048576 DNV305:DNV1048576 DXR305:DXR1048576 EHN305:EHN1048576 ERJ305:ERJ1048576 FBF305:FBF1048576 FLB305:FLB1048576 FUX305:FUX1048576 GET305:GET1048576 GOP305:GOP1048576 GYL305:GYL1048576 HIH305:HIH1048576 HSD305:HSD1048576 IBZ305:IBZ1048576 ILV305:ILV1048576 IVR305:IVR1048576 JFN305:JFN1048576 JPJ305:JPJ1048576 JZF305:JZF1048576 KJB305:KJB1048576 KSX305:KSX1048576 LCT305:LCT1048576 LMP305:LMP1048576 LWL305:LWL1048576 MGH305:MGH1048576 MQD305:MQD1048576 MZZ305:MZZ1048576 NJV305:NJV1048576 NTR305:NTR1048576 ODN305:ODN1048576 ONJ305:ONJ1048576 OXF305:OXF1048576 PHB305:PHB1048576 PQX305:PQX1048576 QAT305:QAT1048576 QKP305:QKP1048576 QUL305:QUL1048576 REH305:REH1048576 ROD305:ROD1048576 RXZ305:RXZ1048576 SHV305:SHV1048576 SRR305:SRR1048576 TBN305:TBN1048576 TLJ305:TLJ1048576 TVF305:TVF1048576 UFB305:UFB1048576 UOX305:UOX1048576 UYT305:UYT1048576 VIP305:VIP1048576 VSL305:VSL1048576 WCH305:WCH1048576 WMD305:WMD1048576 WVZ305:WVZ1048576 JN305:JN1048576 TJ305:TJ1048576 ADF305:ADF1048576 ANB305:ANB1048576 AWX305:AWX1048576 TJ1:TJ43 JN1:JN43 WVZ1:WVZ43 WMD1:WMD43 WCH1:WCH43 VSL1:VSL43 VIP1:VIP43 UYT1:UYT43 UOX1:UOX43 UFB1:UFB43 TVF1:TVF43 TLJ1:TLJ43 TBN1:TBN43 SRR1:SRR43 SHV1:SHV43 RXZ1:RXZ43 ROD1:ROD43 REH1:REH43 QUL1:QUL43 QKP1:QKP43 QAT1:QAT43 PQX1:PQX43 PHB1:PHB43 OXF1:OXF43 ONJ1:ONJ43 ODN1:ODN43 NTR1:NTR43 NJV1:NJV43 MZZ1:MZZ43 MQD1:MQD43 MGH1:MGH43 LWL1:LWL43 LMP1:LMP43 LCT1:LCT43 KSX1:KSX43 KJB1:KJB43 JZF1:JZF43 JPJ1:JPJ43 JFN1:JFN43 IVR1:IVR43 ILV1:ILV43 IBZ1:IBZ43 HSD1:HSD43 HIH1:HIH43 GYL1:GYL43 GOP1:GOP43 GET1:GET43 FUX1:FUX43 FLB1:FLB43 FBF1:FBF43 ERJ1:ERJ43 EHN1:EHN43 DXR1:DXR43 DNV1:DNV43 DDZ1:DDZ43 CUD1:CUD43 CKH1:CKH43 CAL1:CAL43 BQP1:BQP43 BGT1:BGT43 AWX1:AWX43 ANB1:ANB43 ADF1:ADF43">
      <formula1>$AC$5:$AC$8</formula1>
    </dataValidation>
  </dataValidations>
  <pageMargins left="0.7" right="0.7" top="0.75" bottom="0.75" header="0.3" footer="0.3"/>
  <pageSetup paperSize="9" orientation="portrait" verticalDpi="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FF0000"/>
  </sheetPr>
  <dimension ref="B1:AJ92"/>
  <sheetViews>
    <sheetView topLeftCell="E22" workbookViewId="0">
      <selection activeCell="H129" sqref="H129"/>
    </sheetView>
  </sheetViews>
  <sheetFormatPr defaultRowHeight="14.6" outlineLevelCol="1" x14ac:dyDescent="0.4"/>
  <cols>
    <col min="1" max="1" width="4.69140625" customWidth="1"/>
    <col min="2" max="2" width="5.69140625" customWidth="1"/>
    <col min="3" max="3" width="81.69140625" customWidth="1"/>
    <col min="4" max="4" width="46.69140625" customWidth="1"/>
    <col min="5" max="5" width="18.3046875" customWidth="1"/>
    <col min="6" max="6" width="12" bestFit="1" customWidth="1"/>
    <col min="7" max="7" width="25.84375" bestFit="1" customWidth="1"/>
    <col min="8" max="8" width="30.3046875" hidden="1" customWidth="1" outlineLevel="1"/>
    <col min="9" max="9" width="13.69140625" style="177"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32.15234375" hidden="1" customWidth="1"/>
    <col min="19" max="19" width="11.69140625" hidden="1" customWidth="1"/>
    <col min="20" max="20" width="11.69140625" customWidth="1"/>
    <col min="21" max="21" width="6.3046875" customWidth="1"/>
    <col min="22" max="22" width="61.84375" bestFit="1" customWidth="1"/>
    <col min="23" max="23" width="14.69140625" style="177" bestFit="1" customWidth="1"/>
    <col min="24" max="28" width="9.3046875" style="177" customWidth="1"/>
    <col min="29" max="29" width="9.3046875" style="290" customWidth="1"/>
    <col min="30" max="30" width="7.69140625" style="8" bestFit="1" customWidth="1"/>
    <col min="31" max="31" width="14.53515625" bestFit="1" customWidth="1"/>
    <col min="32" max="36" width="12.69140625" customWidth="1"/>
    <col min="276" max="276" width="8.15234375" bestFit="1" customWidth="1"/>
    <col min="277" max="277" width="53.3828125" customWidth="1"/>
    <col min="278" max="278" width="22.3046875" bestFit="1" customWidth="1"/>
    <col min="279" max="279" width="12.53515625" customWidth="1"/>
    <col min="280" max="280" width="6.3046875" customWidth="1"/>
    <col min="281" max="281" width="41.53515625" bestFit="1" customWidth="1"/>
    <col min="282" max="282" width="8.53515625" bestFit="1" customWidth="1"/>
    <col min="283" max="284" width="6.3046875" customWidth="1"/>
    <col min="285" max="285" width="6.69140625" customWidth="1"/>
    <col min="286" max="286" width="12.69140625" customWidth="1"/>
    <col min="287" max="287" width="14.53515625" bestFit="1" customWidth="1"/>
    <col min="288" max="292" width="12.69140625" customWidth="1"/>
    <col min="532" max="532" width="8.15234375" bestFit="1" customWidth="1"/>
    <col min="533" max="533" width="53.3828125" customWidth="1"/>
    <col min="534" max="534" width="22.3046875" bestFit="1" customWidth="1"/>
    <col min="535" max="535" width="12.53515625" customWidth="1"/>
    <col min="536" max="536" width="6.3046875" customWidth="1"/>
    <col min="537" max="537" width="41.53515625" bestFit="1" customWidth="1"/>
    <col min="538" max="538" width="8.53515625" bestFit="1" customWidth="1"/>
    <col min="539" max="540" width="6.3046875" customWidth="1"/>
    <col min="541" max="541" width="6.69140625" customWidth="1"/>
    <col min="542" max="542" width="12.69140625" customWidth="1"/>
    <col min="543" max="543" width="14.53515625" bestFit="1" customWidth="1"/>
    <col min="544" max="548" width="12.69140625" customWidth="1"/>
    <col min="788" max="788" width="8.15234375" bestFit="1" customWidth="1"/>
    <col min="789" max="789" width="53.3828125" customWidth="1"/>
    <col min="790" max="790" width="22.3046875" bestFit="1" customWidth="1"/>
    <col min="791" max="791" width="12.53515625" customWidth="1"/>
    <col min="792" max="792" width="6.3046875" customWidth="1"/>
    <col min="793" max="793" width="41.53515625" bestFit="1" customWidth="1"/>
    <col min="794" max="794" width="8.53515625" bestFit="1" customWidth="1"/>
    <col min="795" max="796" width="6.3046875" customWidth="1"/>
    <col min="797" max="797" width="6.69140625" customWidth="1"/>
    <col min="798" max="798" width="12.69140625" customWidth="1"/>
    <col min="799" max="799" width="14.53515625" bestFit="1" customWidth="1"/>
    <col min="800" max="804" width="12.69140625" customWidth="1"/>
    <col min="1044" max="1044" width="8.15234375" bestFit="1" customWidth="1"/>
    <col min="1045" max="1045" width="53.3828125" customWidth="1"/>
    <col min="1046" max="1046" width="22.3046875" bestFit="1" customWidth="1"/>
    <col min="1047" max="1047" width="12.53515625" customWidth="1"/>
    <col min="1048" max="1048" width="6.3046875" customWidth="1"/>
    <col min="1049" max="1049" width="41.53515625" bestFit="1" customWidth="1"/>
    <col min="1050" max="1050" width="8.53515625" bestFit="1" customWidth="1"/>
    <col min="1051" max="1052" width="6.3046875" customWidth="1"/>
    <col min="1053" max="1053" width="6.69140625" customWidth="1"/>
    <col min="1054" max="1054" width="12.69140625" customWidth="1"/>
    <col min="1055" max="1055" width="14.53515625" bestFit="1" customWidth="1"/>
    <col min="1056" max="1060" width="12.69140625" customWidth="1"/>
    <col min="1300" max="1300" width="8.15234375" bestFit="1" customWidth="1"/>
    <col min="1301" max="1301" width="53.3828125" customWidth="1"/>
    <col min="1302" max="1302" width="22.3046875" bestFit="1" customWidth="1"/>
    <col min="1303" max="1303" width="12.53515625" customWidth="1"/>
    <col min="1304" max="1304" width="6.3046875" customWidth="1"/>
    <col min="1305" max="1305" width="41.53515625" bestFit="1" customWidth="1"/>
    <col min="1306" max="1306" width="8.53515625" bestFit="1" customWidth="1"/>
    <col min="1307" max="1308" width="6.3046875" customWidth="1"/>
    <col min="1309" max="1309" width="6.69140625" customWidth="1"/>
    <col min="1310" max="1310" width="12.69140625" customWidth="1"/>
    <col min="1311" max="1311" width="14.53515625" bestFit="1" customWidth="1"/>
    <col min="1312" max="1316" width="12.69140625" customWidth="1"/>
    <col min="1556" max="1556" width="8.15234375" bestFit="1" customWidth="1"/>
    <col min="1557" max="1557" width="53.3828125" customWidth="1"/>
    <col min="1558" max="1558" width="22.3046875" bestFit="1" customWidth="1"/>
    <col min="1559" max="1559" width="12.53515625" customWidth="1"/>
    <col min="1560" max="1560" width="6.3046875" customWidth="1"/>
    <col min="1561" max="1561" width="41.53515625" bestFit="1" customWidth="1"/>
    <col min="1562" max="1562" width="8.53515625" bestFit="1" customWidth="1"/>
    <col min="1563" max="1564" width="6.3046875" customWidth="1"/>
    <col min="1565" max="1565" width="6.69140625" customWidth="1"/>
    <col min="1566" max="1566" width="12.69140625" customWidth="1"/>
    <col min="1567" max="1567" width="14.53515625" bestFit="1" customWidth="1"/>
    <col min="1568" max="1572" width="12.69140625" customWidth="1"/>
    <col min="1812" max="1812" width="8.15234375" bestFit="1" customWidth="1"/>
    <col min="1813" max="1813" width="53.3828125" customWidth="1"/>
    <col min="1814" max="1814" width="22.3046875" bestFit="1" customWidth="1"/>
    <col min="1815" max="1815" width="12.53515625" customWidth="1"/>
    <col min="1816" max="1816" width="6.3046875" customWidth="1"/>
    <col min="1817" max="1817" width="41.53515625" bestFit="1" customWidth="1"/>
    <col min="1818" max="1818" width="8.53515625" bestFit="1" customWidth="1"/>
    <col min="1819" max="1820" width="6.3046875" customWidth="1"/>
    <col min="1821" max="1821" width="6.69140625" customWidth="1"/>
    <col min="1822" max="1822" width="12.69140625" customWidth="1"/>
    <col min="1823" max="1823" width="14.53515625" bestFit="1" customWidth="1"/>
    <col min="1824" max="1828" width="12.69140625" customWidth="1"/>
    <col min="2068" max="2068" width="8.15234375" bestFit="1" customWidth="1"/>
    <col min="2069" max="2069" width="53.3828125" customWidth="1"/>
    <col min="2070" max="2070" width="22.3046875" bestFit="1" customWidth="1"/>
    <col min="2071" max="2071" width="12.53515625" customWidth="1"/>
    <col min="2072" max="2072" width="6.3046875" customWidth="1"/>
    <col min="2073" max="2073" width="41.53515625" bestFit="1" customWidth="1"/>
    <col min="2074" max="2074" width="8.53515625" bestFit="1" customWidth="1"/>
    <col min="2075" max="2076" width="6.3046875" customWidth="1"/>
    <col min="2077" max="2077" width="6.69140625" customWidth="1"/>
    <col min="2078" max="2078" width="12.69140625" customWidth="1"/>
    <col min="2079" max="2079" width="14.53515625" bestFit="1" customWidth="1"/>
    <col min="2080" max="2084" width="12.69140625" customWidth="1"/>
    <col min="2324" max="2324" width="8.15234375" bestFit="1" customWidth="1"/>
    <col min="2325" max="2325" width="53.3828125" customWidth="1"/>
    <col min="2326" max="2326" width="22.3046875" bestFit="1" customWidth="1"/>
    <col min="2327" max="2327" width="12.53515625" customWidth="1"/>
    <col min="2328" max="2328" width="6.3046875" customWidth="1"/>
    <col min="2329" max="2329" width="41.53515625" bestFit="1" customWidth="1"/>
    <col min="2330" max="2330" width="8.53515625" bestFit="1" customWidth="1"/>
    <col min="2331" max="2332" width="6.3046875" customWidth="1"/>
    <col min="2333" max="2333" width="6.69140625" customWidth="1"/>
    <col min="2334" max="2334" width="12.69140625" customWidth="1"/>
    <col min="2335" max="2335" width="14.53515625" bestFit="1" customWidth="1"/>
    <col min="2336" max="2340" width="12.69140625" customWidth="1"/>
    <col min="2580" max="2580" width="8.15234375" bestFit="1" customWidth="1"/>
    <col min="2581" max="2581" width="53.3828125" customWidth="1"/>
    <col min="2582" max="2582" width="22.3046875" bestFit="1" customWidth="1"/>
    <col min="2583" max="2583" width="12.53515625" customWidth="1"/>
    <col min="2584" max="2584" width="6.3046875" customWidth="1"/>
    <col min="2585" max="2585" width="41.53515625" bestFit="1" customWidth="1"/>
    <col min="2586" max="2586" width="8.53515625" bestFit="1" customWidth="1"/>
    <col min="2587" max="2588" width="6.3046875" customWidth="1"/>
    <col min="2589" max="2589" width="6.69140625" customWidth="1"/>
    <col min="2590" max="2590" width="12.69140625" customWidth="1"/>
    <col min="2591" max="2591" width="14.53515625" bestFit="1" customWidth="1"/>
    <col min="2592" max="2596" width="12.69140625" customWidth="1"/>
    <col min="2836" max="2836" width="8.15234375" bestFit="1" customWidth="1"/>
    <col min="2837" max="2837" width="53.3828125" customWidth="1"/>
    <col min="2838" max="2838" width="22.3046875" bestFit="1" customWidth="1"/>
    <col min="2839" max="2839" width="12.53515625" customWidth="1"/>
    <col min="2840" max="2840" width="6.3046875" customWidth="1"/>
    <col min="2841" max="2841" width="41.53515625" bestFit="1" customWidth="1"/>
    <col min="2842" max="2842" width="8.53515625" bestFit="1" customWidth="1"/>
    <col min="2843" max="2844" width="6.3046875" customWidth="1"/>
    <col min="2845" max="2845" width="6.69140625" customWidth="1"/>
    <col min="2846" max="2846" width="12.69140625" customWidth="1"/>
    <col min="2847" max="2847" width="14.53515625" bestFit="1" customWidth="1"/>
    <col min="2848" max="2852" width="12.69140625" customWidth="1"/>
    <col min="3092" max="3092" width="8.15234375" bestFit="1" customWidth="1"/>
    <col min="3093" max="3093" width="53.3828125" customWidth="1"/>
    <col min="3094" max="3094" width="22.3046875" bestFit="1" customWidth="1"/>
    <col min="3095" max="3095" width="12.53515625" customWidth="1"/>
    <col min="3096" max="3096" width="6.3046875" customWidth="1"/>
    <col min="3097" max="3097" width="41.53515625" bestFit="1" customWidth="1"/>
    <col min="3098" max="3098" width="8.53515625" bestFit="1" customWidth="1"/>
    <col min="3099" max="3100" width="6.3046875" customWidth="1"/>
    <col min="3101" max="3101" width="6.69140625" customWidth="1"/>
    <col min="3102" max="3102" width="12.69140625" customWidth="1"/>
    <col min="3103" max="3103" width="14.53515625" bestFit="1" customWidth="1"/>
    <col min="3104" max="3108" width="12.69140625" customWidth="1"/>
    <col min="3348" max="3348" width="8.15234375" bestFit="1" customWidth="1"/>
    <col min="3349" max="3349" width="53.3828125" customWidth="1"/>
    <col min="3350" max="3350" width="22.3046875" bestFit="1" customWidth="1"/>
    <col min="3351" max="3351" width="12.53515625" customWidth="1"/>
    <col min="3352" max="3352" width="6.3046875" customWidth="1"/>
    <col min="3353" max="3353" width="41.53515625" bestFit="1" customWidth="1"/>
    <col min="3354" max="3354" width="8.53515625" bestFit="1" customWidth="1"/>
    <col min="3355" max="3356" width="6.3046875" customWidth="1"/>
    <col min="3357" max="3357" width="6.69140625" customWidth="1"/>
    <col min="3358" max="3358" width="12.69140625" customWidth="1"/>
    <col min="3359" max="3359" width="14.53515625" bestFit="1" customWidth="1"/>
    <col min="3360" max="3364" width="12.69140625" customWidth="1"/>
    <col min="3604" max="3604" width="8.15234375" bestFit="1" customWidth="1"/>
    <col min="3605" max="3605" width="53.3828125" customWidth="1"/>
    <col min="3606" max="3606" width="22.3046875" bestFit="1" customWidth="1"/>
    <col min="3607" max="3607" width="12.53515625" customWidth="1"/>
    <col min="3608" max="3608" width="6.3046875" customWidth="1"/>
    <col min="3609" max="3609" width="41.53515625" bestFit="1" customWidth="1"/>
    <col min="3610" max="3610" width="8.53515625" bestFit="1" customWidth="1"/>
    <col min="3611" max="3612" width="6.3046875" customWidth="1"/>
    <col min="3613" max="3613" width="6.69140625" customWidth="1"/>
    <col min="3614" max="3614" width="12.69140625" customWidth="1"/>
    <col min="3615" max="3615" width="14.53515625" bestFit="1" customWidth="1"/>
    <col min="3616" max="3620" width="12.69140625" customWidth="1"/>
    <col min="3860" max="3860" width="8.15234375" bestFit="1" customWidth="1"/>
    <col min="3861" max="3861" width="53.3828125" customWidth="1"/>
    <col min="3862" max="3862" width="22.3046875" bestFit="1" customWidth="1"/>
    <col min="3863" max="3863" width="12.53515625" customWidth="1"/>
    <col min="3864" max="3864" width="6.3046875" customWidth="1"/>
    <col min="3865" max="3865" width="41.53515625" bestFit="1" customWidth="1"/>
    <col min="3866" max="3866" width="8.53515625" bestFit="1" customWidth="1"/>
    <col min="3867" max="3868" width="6.3046875" customWidth="1"/>
    <col min="3869" max="3869" width="6.69140625" customWidth="1"/>
    <col min="3870" max="3870" width="12.69140625" customWidth="1"/>
    <col min="3871" max="3871" width="14.53515625" bestFit="1" customWidth="1"/>
    <col min="3872" max="3876" width="12.69140625" customWidth="1"/>
    <col min="4116" max="4116" width="8.15234375" bestFit="1" customWidth="1"/>
    <col min="4117" max="4117" width="53.3828125" customWidth="1"/>
    <col min="4118" max="4118" width="22.3046875" bestFit="1" customWidth="1"/>
    <col min="4119" max="4119" width="12.53515625" customWidth="1"/>
    <col min="4120" max="4120" width="6.3046875" customWidth="1"/>
    <col min="4121" max="4121" width="41.53515625" bestFit="1" customWidth="1"/>
    <col min="4122" max="4122" width="8.53515625" bestFit="1" customWidth="1"/>
    <col min="4123" max="4124" width="6.3046875" customWidth="1"/>
    <col min="4125" max="4125" width="6.69140625" customWidth="1"/>
    <col min="4126" max="4126" width="12.69140625" customWidth="1"/>
    <col min="4127" max="4127" width="14.53515625" bestFit="1" customWidth="1"/>
    <col min="4128" max="4132" width="12.69140625" customWidth="1"/>
    <col min="4372" max="4372" width="8.15234375" bestFit="1" customWidth="1"/>
    <col min="4373" max="4373" width="53.3828125" customWidth="1"/>
    <col min="4374" max="4374" width="22.3046875" bestFit="1" customWidth="1"/>
    <col min="4375" max="4375" width="12.53515625" customWidth="1"/>
    <col min="4376" max="4376" width="6.3046875" customWidth="1"/>
    <col min="4377" max="4377" width="41.53515625" bestFit="1" customWidth="1"/>
    <col min="4378" max="4378" width="8.53515625" bestFit="1" customWidth="1"/>
    <col min="4379" max="4380" width="6.3046875" customWidth="1"/>
    <col min="4381" max="4381" width="6.69140625" customWidth="1"/>
    <col min="4382" max="4382" width="12.69140625" customWidth="1"/>
    <col min="4383" max="4383" width="14.53515625" bestFit="1" customWidth="1"/>
    <col min="4384" max="4388" width="12.69140625" customWidth="1"/>
    <col min="4628" max="4628" width="8.15234375" bestFit="1" customWidth="1"/>
    <col min="4629" max="4629" width="53.3828125" customWidth="1"/>
    <col min="4630" max="4630" width="22.3046875" bestFit="1" customWidth="1"/>
    <col min="4631" max="4631" width="12.53515625" customWidth="1"/>
    <col min="4632" max="4632" width="6.3046875" customWidth="1"/>
    <col min="4633" max="4633" width="41.53515625" bestFit="1" customWidth="1"/>
    <col min="4634" max="4634" width="8.53515625" bestFit="1" customWidth="1"/>
    <col min="4635" max="4636" width="6.3046875" customWidth="1"/>
    <col min="4637" max="4637" width="6.69140625" customWidth="1"/>
    <col min="4638" max="4638" width="12.69140625" customWidth="1"/>
    <col min="4639" max="4639" width="14.53515625" bestFit="1" customWidth="1"/>
    <col min="4640" max="4644" width="12.69140625" customWidth="1"/>
    <col min="4884" max="4884" width="8.15234375" bestFit="1" customWidth="1"/>
    <col min="4885" max="4885" width="53.3828125" customWidth="1"/>
    <col min="4886" max="4886" width="22.3046875" bestFit="1" customWidth="1"/>
    <col min="4887" max="4887" width="12.53515625" customWidth="1"/>
    <col min="4888" max="4888" width="6.3046875" customWidth="1"/>
    <col min="4889" max="4889" width="41.53515625" bestFit="1" customWidth="1"/>
    <col min="4890" max="4890" width="8.53515625" bestFit="1" customWidth="1"/>
    <col min="4891" max="4892" width="6.3046875" customWidth="1"/>
    <col min="4893" max="4893" width="6.69140625" customWidth="1"/>
    <col min="4894" max="4894" width="12.69140625" customWidth="1"/>
    <col min="4895" max="4895" width="14.53515625" bestFit="1" customWidth="1"/>
    <col min="4896" max="4900" width="12.69140625" customWidth="1"/>
    <col min="5140" max="5140" width="8.15234375" bestFit="1" customWidth="1"/>
    <col min="5141" max="5141" width="53.3828125" customWidth="1"/>
    <col min="5142" max="5142" width="22.3046875" bestFit="1" customWidth="1"/>
    <col min="5143" max="5143" width="12.53515625" customWidth="1"/>
    <col min="5144" max="5144" width="6.3046875" customWidth="1"/>
    <col min="5145" max="5145" width="41.53515625" bestFit="1" customWidth="1"/>
    <col min="5146" max="5146" width="8.53515625" bestFit="1" customWidth="1"/>
    <col min="5147" max="5148" width="6.3046875" customWidth="1"/>
    <col min="5149" max="5149" width="6.69140625" customWidth="1"/>
    <col min="5150" max="5150" width="12.69140625" customWidth="1"/>
    <col min="5151" max="5151" width="14.53515625" bestFit="1" customWidth="1"/>
    <col min="5152" max="5156" width="12.69140625" customWidth="1"/>
    <col min="5396" max="5396" width="8.15234375" bestFit="1" customWidth="1"/>
    <col min="5397" max="5397" width="53.3828125" customWidth="1"/>
    <col min="5398" max="5398" width="22.3046875" bestFit="1" customWidth="1"/>
    <col min="5399" max="5399" width="12.53515625" customWidth="1"/>
    <col min="5400" max="5400" width="6.3046875" customWidth="1"/>
    <col min="5401" max="5401" width="41.53515625" bestFit="1" customWidth="1"/>
    <col min="5402" max="5402" width="8.53515625" bestFit="1" customWidth="1"/>
    <col min="5403" max="5404" width="6.3046875" customWidth="1"/>
    <col min="5405" max="5405" width="6.69140625" customWidth="1"/>
    <col min="5406" max="5406" width="12.69140625" customWidth="1"/>
    <col min="5407" max="5407" width="14.53515625" bestFit="1" customWidth="1"/>
    <col min="5408" max="5412" width="12.69140625" customWidth="1"/>
    <col min="5652" max="5652" width="8.15234375" bestFit="1" customWidth="1"/>
    <col min="5653" max="5653" width="53.3828125" customWidth="1"/>
    <col min="5654" max="5654" width="22.3046875" bestFit="1" customWidth="1"/>
    <col min="5655" max="5655" width="12.53515625" customWidth="1"/>
    <col min="5656" max="5656" width="6.3046875" customWidth="1"/>
    <col min="5657" max="5657" width="41.53515625" bestFit="1" customWidth="1"/>
    <col min="5658" max="5658" width="8.53515625" bestFit="1" customWidth="1"/>
    <col min="5659" max="5660" width="6.3046875" customWidth="1"/>
    <col min="5661" max="5661" width="6.69140625" customWidth="1"/>
    <col min="5662" max="5662" width="12.69140625" customWidth="1"/>
    <col min="5663" max="5663" width="14.53515625" bestFit="1" customWidth="1"/>
    <col min="5664" max="5668" width="12.69140625" customWidth="1"/>
    <col min="5908" max="5908" width="8.15234375" bestFit="1" customWidth="1"/>
    <col min="5909" max="5909" width="53.3828125" customWidth="1"/>
    <col min="5910" max="5910" width="22.3046875" bestFit="1" customWidth="1"/>
    <col min="5911" max="5911" width="12.53515625" customWidth="1"/>
    <col min="5912" max="5912" width="6.3046875" customWidth="1"/>
    <col min="5913" max="5913" width="41.53515625" bestFit="1" customWidth="1"/>
    <col min="5914" max="5914" width="8.53515625" bestFit="1" customWidth="1"/>
    <col min="5915" max="5916" width="6.3046875" customWidth="1"/>
    <col min="5917" max="5917" width="6.69140625" customWidth="1"/>
    <col min="5918" max="5918" width="12.69140625" customWidth="1"/>
    <col min="5919" max="5919" width="14.53515625" bestFit="1" customWidth="1"/>
    <col min="5920" max="5924" width="12.69140625" customWidth="1"/>
    <col min="6164" max="6164" width="8.15234375" bestFit="1" customWidth="1"/>
    <col min="6165" max="6165" width="53.3828125" customWidth="1"/>
    <col min="6166" max="6166" width="22.3046875" bestFit="1" customWidth="1"/>
    <col min="6167" max="6167" width="12.53515625" customWidth="1"/>
    <col min="6168" max="6168" width="6.3046875" customWidth="1"/>
    <col min="6169" max="6169" width="41.53515625" bestFit="1" customWidth="1"/>
    <col min="6170" max="6170" width="8.53515625" bestFit="1" customWidth="1"/>
    <col min="6171" max="6172" width="6.3046875" customWidth="1"/>
    <col min="6173" max="6173" width="6.69140625" customWidth="1"/>
    <col min="6174" max="6174" width="12.69140625" customWidth="1"/>
    <col min="6175" max="6175" width="14.53515625" bestFit="1" customWidth="1"/>
    <col min="6176" max="6180" width="12.69140625" customWidth="1"/>
    <col min="6420" max="6420" width="8.15234375" bestFit="1" customWidth="1"/>
    <col min="6421" max="6421" width="53.3828125" customWidth="1"/>
    <col min="6422" max="6422" width="22.3046875" bestFit="1" customWidth="1"/>
    <col min="6423" max="6423" width="12.53515625" customWidth="1"/>
    <col min="6424" max="6424" width="6.3046875" customWidth="1"/>
    <col min="6425" max="6425" width="41.53515625" bestFit="1" customWidth="1"/>
    <col min="6426" max="6426" width="8.53515625" bestFit="1" customWidth="1"/>
    <col min="6427" max="6428" width="6.3046875" customWidth="1"/>
    <col min="6429" max="6429" width="6.69140625" customWidth="1"/>
    <col min="6430" max="6430" width="12.69140625" customWidth="1"/>
    <col min="6431" max="6431" width="14.53515625" bestFit="1" customWidth="1"/>
    <col min="6432" max="6436" width="12.69140625" customWidth="1"/>
    <col min="6676" max="6676" width="8.15234375" bestFit="1" customWidth="1"/>
    <col min="6677" max="6677" width="53.3828125" customWidth="1"/>
    <col min="6678" max="6678" width="22.3046875" bestFit="1" customWidth="1"/>
    <col min="6679" max="6679" width="12.53515625" customWidth="1"/>
    <col min="6680" max="6680" width="6.3046875" customWidth="1"/>
    <col min="6681" max="6681" width="41.53515625" bestFit="1" customWidth="1"/>
    <col min="6682" max="6682" width="8.53515625" bestFit="1" customWidth="1"/>
    <col min="6683" max="6684" width="6.3046875" customWidth="1"/>
    <col min="6685" max="6685" width="6.69140625" customWidth="1"/>
    <col min="6686" max="6686" width="12.69140625" customWidth="1"/>
    <col min="6687" max="6687" width="14.53515625" bestFit="1" customWidth="1"/>
    <col min="6688" max="6692" width="12.69140625" customWidth="1"/>
    <col min="6932" max="6932" width="8.15234375" bestFit="1" customWidth="1"/>
    <col min="6933" max="6933" width="53.3828125" customWidth="1"/>
    <col min="6934" max="6934" width="22.3046875" bestFit="1" customWidth="1"/>
    <col min="6935" max="6935" width="12.53515625" customWidth="1"/>
    <col min="6936" max="6936" width="6.3046875" customWidth="1"/>
    <col min="6937" max="6937" width="41.53515625" bestFit="1" customWidth="1"/>
    <col min="6938" max="6938" width="8.53515625" bestFit="1" customWidth="1"/>
    <col min="6939" max="6940" width="6.3046875" customWidth="1"/>
    <col min="6941" max="6941" width="6.69140625" customWidth="1"/>
    <col min="6942" max="6942" width="12.69140625" customWidth="1"/>
    <col min="6943" max="6943" width="14.53515625" bestFit="1" customWidth="1"/>
    <col min="6944" max="6948" width="12.69140625" customWidth="1"/>
    <col min="7188" max="7188" width="8.15234375" bestFit="1" customWidth="1"/>
    <col min="7189" max="7189" width="53.3828125" customWidth="1"/>
    <col min="7190" max="7190" width="22.3046875" bestFit="1" customWidth="1"/>
    <col min="7191" max="7191" width="12.53515625" customWidth="1"/>
    <col min="7192" max="7192" width="6.3046875" customWidth="1"/>
    <col min="7193" max="7193" width="41.53515625" bestFit="1" customWidth="1"/>
    <col min="7194" max="7194" width="8.53515625" bestFit="1" customWidth="1"/>
    <col min="7195" max="7196" width="6.3046875" customWidth="1"/>
    <col min="7197" max="7197" width="6.69140625" customWidth="1"/>
    <col min="7198" max="7198" width="12.69140625" customWidth="1"/>
    <col min="7199" max="7199" width="14.53515625" bestFit="1" customWidth="1"/>
    <col min="7200" max="7204" width="12.69140625" customWidth="1"/>
    <col min="7444" max="7444" width="8.15234375" bestFit="1" customWidth="1"/>
    <col min="7445" max="7445" width="53.3828125" customWidth="1"/>
    <col min="7446" max="7446" width="22.3046875" bestFit="1" customWidth="1"/>
    <col min="7447" max="7447" width="12.53515625" customWidth="1"/>
    <col min="7448" max="7448" width="6.3046875" customWidth="1"/>
    <col min="7449" max="7449" width="41.53515625" bestFit="1" customWidth="1"/>
    <col min="7450" max="7450" width="8.53515625" bestFit="1" customWidth="1"/>
    <col min="7451" max="7452" width="6.3046875" customWidth="1"/>
    <col min="7453" max="7453" width="6.69140625" customWidth="1"/>
    <col min="7454" max="7454" width="12.69140625" customWidth="1"/>
    <col min="7455" max="7455" width="14.53515625" bestFit="1" customWidth="1"/>
    <col min="7456" max="7460" width="12.69140625" customWidth="1"/>
    <col min="7700" max="7700" width="8.15234375" bestFit="1" customWidth="1"/>
    <col min="7701" max="7701" width="53.3828125" customWidth="1"/>
    <col min="7702" max="7702" width="22.3046875" bestFit="1" customWidth="1"/>
    <col min="7703" max="7703" width="12.53515625" customWidth="1"/>
    <col min="7704" max="7704" width="6.3046875" customWidth="1"/>
    <col min="7705" max="7705" width="41.53515625" bestFit="1" customWidth="1"/>
    <col min="7706" max="7706" width="8.53515625" bestFit="1" customWidth="1"/>
    <col min="7707" max="7708" width="6.3046875" customWidth="1"/>
    <col min="7709" max="7709" width="6.69140625" customWidth="1"/>
    <col min="7710" max="7710" width="12.69140625" customWidth="1"/>
    <col min="7711" max="7711" width="14.53515625" bestFit="1" customWidth="1"/>
    <col min="7712" max="7716" width="12.69140625" customWidth="1"/>
    <col min="7956" max="7956" width="8.15234375" bestFit="1" customWidth="1"/>
    <col min="7957" max="7957" width="53.3828125" customWidth="1"/>
    <col min="7958" max="7958" width="22.3046875" bestFit="1" customWidth="1"/>
    <col min="7959" max="7959" width="12.53515625" customWidth="1"/>
    <col min="7960" max="7960" width="6.3046875" customWidth="1"/>
    <col min="7961" max="7961" width="41.53515625" bestFit="1" customWidth="1"/>
    <col min="7962" max="7962" width="8.53515625" bestFit="1" customWidth="1"/>
    <col min="7963" max="7964" width="6.3046875" customWidth="1"/>
    <col min="7965" max="7965" width="6.69140625" customWidth="1"/>
    <col min="7966" max="7966" width="12.69140625" customWidth="1"/>
    <col min="7967" max="7967" width="14.53515625" bestFit="1" customWidth="1"/>
    <col min="7968" max="7972" width="12.69140625" customWidth="1"/>
    <col min="8212" max="8212" width="8.15234375" bestFit="1" customWidth="1"/>
    <col min="8213" max="8213" width="53.3828125" customWidth="1"/>
    <col min="8214" max="8214" width="22.3046875" bestFit="1" customWidth="1"/>
    <col min="8215" max="8215" width="12.53515625" customWidth="1"/>
    <col min="8216" max="8216" width="6.3046875" customWidth="1"/>
    <col min="8217" max="8217" width="41.53515625" bestFit="1" customWidth="1"/>
    <col min="8218" max="8218" width="8.53515625" bestFit="1" customWidth="1"/>
    <col min="8219" max="8220" width="6.3046875" customWidth="1"/>
    <col min="8221" max="8221" width="6.69140625" customWidth="1"/>
    <col min="8222" max="8222" width="12.69140625" customWidth="1"/>
    <col min="8223" max="8223" width="14.53515625" bestFit="1" customWidth="1"/>
    <col min="8224" max="8228" width="12.69140625" customWidth="1"/>
    <col min="8468" max="8468" width="8.15234375" bestFit="1" customWidth="1"/>
    <col min="8469" max="8469" width="53.3828125" customWidth="1"/>
    <col min="8470" max="8470" width="22.3046875" bestFit="1" customWidth="1"/>
    <col min="8471" max="8471" width="12.53515625" customWidth="1"/>
    <col min="8472" max="8472" width="6.3046875" customWidth="1"/>
    <col min="8473" max="8473" width="41.53515625" bestFit="1" customWidth="1"/>
    <col min="8474" max="8474" width="8.53515625" bestFit="1" customWidth="1"/>
    <col min="8475" max="8476" width="6.3046875" customWidth="1"/>
    <col min="8477" max="8477" width="6.69140625" customWidth="1"/>
    <col min="8478" max="8478" width="12.69140625" customWidth="1"/>
    <col min="8479" max="8479" width="14.53515625" bestFit="1" customWidth="1"/>
    <col min="8480" max="8484" width="12.69140625" customWidth="1"/>
    <col min="8724" max="8724" width="8.15234375" bestFit="1" customWidth="1"/>
    <col min="8725" max="8725" width="53.3828125" customWidth="1"/>
    <col min="8726" max="8726" width="22.3046875" bestFit="1" customWidth="1"/>
    <col min="8727" max="8727" width="12.53515625" customWidth="1"/>
    <col min="8728" max="8728" width="6.3046875" customWidth="1"/>
    <col min="8729" max="8729" width="41.53515625" bestFit="1" customWidth="1"/>
    <col min="8730" max="8730" width="8.53515625" bestFit="1" customWidth="1"/>
    <col min="8731" max="8732" width="6.3046875" customWidth="1"/>
    <col min="8733" max="8733" width="6.69140625" customWidth="1"/>
    <col min="8734" max="8734" width="12.69140625" customWidth="1"/>
    <col min="8735" max="8735" width="14.53515625" bestFit="1" customWidth="1"/>
    <col min="8736" max="8740" width="12.69140625" customWidth="1"/>
    <col min="8980" max="8980" width="8.15234375" bestFit="1" customWidth="1"/>
    <col min="8981" max="8981" width="53.3828125" customWidth="1"/>
    <col min="8982" max="8982" width="22.3046875" bestFit="1" customWidth="1"/>
    <col min="8983" max="8983" width="12.53515625" customWidth="1"/>
    <col min="8984" max="8984" width="6.3046875" customWidth="1"/>
    <col min="8985" max="8985" width="41.53515625" bestFit="1" customWidth="1"/>
    <col min="8986" max="8986" width="8.53515625" bestFit="1" customWidth="1"/>
    <col min="8987" max="8988" width="6.3046875" customWidth="1"/>
    <col min="8989" max="8989" width="6.69140625" customWidth="1"/>
    <col min="8990" max="8990" width="12.69140625" customWidth="1"/>
    <col min="8991" max="8991" width="14.53515625" bestFit="1" customWidth="1"/>
    <col min="8992" max="8996" width="12.69140625" customWidth="1"/>
    <col min="9236" max="9236" width="8.15234375" bestFit="1" customWidth="1"/>
    <col min="9237" max="9237" width="53.3828125" customWidth="1"/>
    <col min="9238" max="9238" width="22.3046875" bestFit="1" customWidth="1"/>
    <col min="9239" max="9239" width="12.53515625" customWidth="1"/>
    <col min="9240" max="9240" width="6.3046875" customWidth="1"/>
    <col min="9241" max="9241" width="41.53515625" bestFit="1" customWidth="1"/>
    <col min="9242" max="9242" width="8.53515625" bestFit="1" customWidth="1"/>
    <col min="9243" max="9244" width="6.3046875" customWidth="1"/>
    <col min="9245" max="9245" width="6.69140625" customWidth="1"/>
    <col min="9246" max="9246" width="12.69140625" customWidth="1"/>
    <col min="9247" max="9247" width="14.53515625" bestFit="1" customWidth="1"/>
    <col min="9248" max="9252" width="12.69140625" customWidth="1"/>
    <col min="9492" max="9492" width="8.15234375" bestFit="1" customWidth="1"/>
    <col min="9493" max="9493" width="53.3828125" customWidth="1"/>
    <col min="9494" max="9494" width="22.3046875" bestFit="1" customWidth="1"/>
    <col min="9495" max="9495" width="12.53515625" customWidth="1"/>
    <col min="9496" max="9496" width="6.3046875" customWidth="1"/>
    <col min="9497" max="9497" width="41.53515625" bestFit="1" customWidth="1"/>
    <col min="9498" max="9498" width="8.53515625" bestFit="1" customWidth="1"/>
    <col min="9499" max="9500" width="6.3046875" customWidth="1"/>
    <col min="9501" max="9501" width="6.69140625" customWidth="1"/>
    <col min="9502" max="9502" width="12.69140625" customWidth="1"/>
    <col min="9503" max="9503" width="14.53515625" bestFit="1" customWidth="1"/>
    <col min="9504" max="9508" width="12.69140625" customWidth="1"/>
    <col min="9748" max="9748" width="8.15234375" bestFit="1" customWidth="1"/>
    <col min="9749" max="9749" width="53.3828125" customWidth="1"/>
    <col min="9750" max="9750" width="22.3046875" bestFit="1" customWidth="1"/>
    <col min="9751" max="9751" width="12.53515625" customWidth="1"/>
    <col min="9752" max="9752" width="6.3046875" customWidth="1"/>
    <col min="9753" max="9753" width="41.53515625" bestFit="1" customWidth="1"/>
    <col min="9754" max="9754" width="8.53515625" bestFit="1" customWidth="1"/>
    <col min="9755" max="9756" width="6.3046875" customWidth="1"/>
    <col min="9757" max="9757" width="6.69140625" customWidth="1"/>
    <col min="9758" max="9758" width="12.69140625" customWidth="1"/>
    <col min="9759" max="9759" width="14.53515625" bestFit="1" customWidth="1"/>
    <col min="9760" max="9764" width="12.69140625" customWidth="1"/>
    <col min="10004" max="10004" width="8.15234375" bestFit="1" customWidth="1"/>
    <col min="10005" max="10005" width="53.3828125" customWidth="1"/>
    <col min="10006" max="10006" width="22.3046875" bestFit="1" customWidth="1"/>
    <col min="10007" max="10007" width="12.53515625" customWidth="1"/>
    <col min="10008" max="10008" width="6.3046875" customWidth="1"/>
    <col min="10009" max="10009" width="41.53515625" bestFit="1" customWidth="1"/>
    <col min="10010" max="10010" width="8.53515625" bestFit="1" customWidth="1"/>
    <col min="10011" max="10012" width="6.3046875" customWidth="1"/>
    <col min="10013" max="10013" width="6.69140625" customWidth="1"/>
    <col min="10014" max="10014" width="12.69140625" customWidth="1"/>
    <col min="10015" max="10015" width="14.53515625" bestFit="1" customWidth="1"/>
    <col min="10016" max="10020" width="12.69140625" customWidth="1"/>
    <col min="10260" max="10260" width="8.15234375" bestFit="1" customWidth="1"/>
    <col min="10261" max="10261" width="53.3828125" customWidth="1"/>
    <col min="10262" max="10262" width="22.3046875" bestFit="1" customWidth="1"/>
    <col min="10263" max="10263" width="12.53515625" customWidth="1"/>
    <col min="10264" max="10264" width="6.3046875" customWidth="1"/>
    <col min="10265" max="10265" width="41.53515625" bestFit="1" customWidth="1"/>
    <col min="10266" max="10266" width="8.53515625" bestFit="1" customWidth="1"/>
    <col min="10267" max="10268" width="6.3046875" customWidth="1"/>
    <col min="10269" max="10269" width="6.69140625" customWidth="1"/>
    <col min="10270" max="10270" width="12.69140625" customWidth="1"/>
    <col min="10271" max="10271" width="14.53515625" bestFit="1" customWidth="1"/>
    <col min="10272" max="10276" width="12.69140625" customWidth="1"/>
    <col min="10516" max="10516" width="8.15234375" bestFit="1" customWidth="1"/>
    <col min="10517" max="10517" width="53.3828125" customWidth="1"/>
    <col min="10518" max="10518" width="22.3046875" bestFit="1" customWidth="1"/>
    <col min="10519" max="10519" width="12.53515625" customWidth="1"/>
    <col min="10520" max="10520" width="6.3046875" customWidth="1"/>
    <col min="10521" max="10521" width="41.53515625" bestFit="1" customWidth="1"/>
    <col min="10522" max="10522" width="8.53515625" bestFit="1" customWidth="1"/>
    <col min="10523" max="10524" width="6.3046875" customWidth="1"/>
    <col min="10525" max="10525" width="6.69140625" customWidth="1"/>
    <col min="10526" max="10526" width="12.69140625" customWidth="1"/>
    <col min="10527" max="10527" width="14.53515625" bestFit="1" customWidth="1"/>
    <col min="10528" max="10532" width="12.69140625" customWidth="1"/>
    <col min="10772" max="10772" width="8.15234375" bestFit="1" customWidth="1"/>
    <col min="10773" max="10773" width="53.3828125" customWidth="1"/>
    <col min="10774" max="10774" width="22.3046875" bestFit="1" customWidth="1"/>
    <col min="10775" max="10775" width="12.53515625" customWidth="1"/>
    <col min="10776" max="10776" width="6.3046875" customWidth="1"/>
    <col min="10777" max="10777" width="41.53515625" bestFit="1" customWidth="1"/>
    <col min="10778" max="10778" width="8.53515625" bestFit="1" customWidth="1"/>
    <col min="10779" max="10780" width="6.3046875" customWidth="1"/>
    <col min="10781" max="10781" width="6.69140625" customWidth="1"/>
    <col min="10782" max="10782" width="12.69140625" customWidth="1"/>
    <col min="10783" max="10783" width="14.53515625" bestFit="1" customWidth="1"/>
    <col min="10784" max="10788" width="12.69140625" customWidth="1"/>
    <col min="11028" max="11028" width="8.15234375" bestFit="1" customWidth="1"/>
    <col min="11029" max="11029" width="53.3828125" customWidth="1"/>
    <col min="11030" max="11030" width="22.3046875" bestFit="1" customWidth="1"/>
    <col min="11031" max="11031" width="12.53515625" customWidth="1"/>
    <col min="11032" max="11032" width="6.3046875" customWidth="1"/>
    <col min="11033" max="11033" width="41.53515625" bestFit="1" customWidth="1"/>
    <col min="11034" max="11034" width="8.53515625" bestFit="1" customWidth="1"/>
    <col min="11035" max="11036" width="6.3046875" customWidth="1"/>
    <col min="11037" max="11037" width="6.69140625" customWidth="1"/>
    <col min="11038" max="11038" width="12.69140625" customWidth="1"/>
    <col min="11039" max="11039" width="14.53515625" bestFit="1" customWidth="1"/>
    <col min="11040" max="11044" width="12.69140625" customWidth="1"/>
    <col min="11284" max="11284" width="8.15234375" bestFit="1" customWidth="1"/>
    <col min="11285" max="11285" width="53.3828125" customWidth="1"/>
    <col min="11286" max="11286" width="22.3046875" bestFit="1" customWidth="1"/>
    <col min="11287" max="11287" width="12.53515625" customWidth="1"/>
    <col min="11288" max="11288" width="6.3046875" customWidth="1"/>
    <col min="11289" max="11289" width="41.53515625" bestFit="1" customWidth="1"/>
    <col min="11290" max="11290" width="8.53515625" bestFit="1" customWidth="1"/>
    <col min="11291" max="11292" width="6.3046875" customWidth="1"/>
    <col min="11293" max="11293" width="6.69140625" customWidth="1"/>
    <col min="11294" max="11294" width="12.69140625" customWidth="1"/>
    <col min="11295" max="11295" width="14.53515625" bestFit="1" customWidth="1"/>
    <col min="11296" max="11300" width="12.69140625" customWidth="1"/>
    <col min="11540" max="11540" width="8.15234375" bestFit="1" customWidth="1"/>
    <col min="11541" max="11541" width="53.3828125" customWidth="1"/>
    <col min="11542" max="11542" width="22.3046875" bestFit="1" customWidth="1"/>
    <col min="11543" max="11543" width="12.53515625" customWidth="1"/>
    <col min="11544" max="11544" width="6.3046875" customWidth="1"/>
    <col min="11545" max="11545" width="41.53515625" bestFit="1" customWidth="1"/>
    <col min="11546" max="11546" width="8.53515625" bestFit="1" customWidth="1"/>
    <col min="11547" max="11548" width="6.3046875" customWidth="1"/>
    <col min="11549" max="11549" width="6.69140625" customWidth="1"/>
    <col min="11550" max="11550" width="12.69140625" customWidth="1"/>
    <col min="11551" max="11551" width="14.53515625" bestFit="1" customWidth="1"/>
    <col min="11552" max="11556" width="12.69140625" customWidth="1"/>
    <col min="11796" max="11796" width="8.15234375" bestFit="1" customWidth="1"/>
    <col min="11797" max="11797" width="53.3828125" customWidth="1"/>
    <col min="11798" max="11798" width="22.3046875" bestFit="1" customWidth="1"/>
    <col min="11799" max="11799" width="12.53515625" customWidth="1"/>
    <col min="11800" max="11800" width="6.3046875" customWidth="1"/>
    <col min="11801" max="11801" width="41.53515625" bestFit="1" customWidth="1"/>
    <col min="11802" max="11802" width="8.53515625" bestFit="1" customWidth="1"/>
    <col min="11803" max="11804" width="6.3046875" customWidth="1"/>
    <col min="11805" max="11805" width="6.69140625" customWidth="1"/>
    <col min="11806" max="11806" width="12.69140625" customWidth="1"/>
    <col min="11807" max="11807" width="14.53515625" bestFit="1" customWidth="1"/>
    <col min="11808" max="11812" width="12.69140625" customWidth="1"/>
    <col min="12052" max="12052" width="8.15234375" bestFit="1" customWidth="1"/>
    <col min="12053" max="12053" width="53.3828125" customWidth="1"/>
    <col min="12054" max="12054" width="22.3046875" bestFit="1" customWidth="1"/>
    <col min="12055" max="12055" width="12.53515625" customWidth="1"/>
    <col min="12056" max="12056" width="6.3046875" customWidth="1"/>
    <col min="12057" max="12057" width="41.53515625" bestFit="1" customWidth="1"/>
    <col min="12058" max="12058" width="8.53515625" bestFit="1" customWidth="1"/>
    <col min="12059" max="12060" width="6.3046875" customWidth="1"/>
    <col min="12061" max="12061" width="6.69140625" customWidth="1"/>
    <col min="12062" max="12062" width="12.69140625" customWidth="1"/>
    <col min="12063" max="12063" width="14.53515625" bestFit="1" customWidth="1"/>
    <col min="12064" max="12068" width="12.69140625" customWidth="1"/>
    <col min="12308" max="12308" width="8.15234375" bestFit="1" customWidth="1"/>
    <col min="12309" max="12309" width="53.3828125" customWidth="1"/>
    <col min="12310" max="12310" width="22.3046875" bestFit="1" customWidth="1"/>
    <col min="12311" max="12311" width="12.53515625" customWidth="1"/>
    <col min="12312" max="12312" width="6.3046875" customWidth="1"/>
    <col min="12313" max="12313" width="41.53515625" bestFit="1" customWidth="1"/>
    <col min="12314" max="12314" width="8.53515625" bestFit="1" customWidth="1"/>
    <col min="12315" max="12316" width="6.3046875" customWidth="1"/>
    <col min="12317" max="12317" width="6.69140625" customWidth="1"/>
    <col min="12318" max="12318" width="12.69140625" customWidth="1"/>
    <col min="12319" max="12319" width="14.53515625" bestFit="1" customWidth="1"/>
    <col min="12320" max="12324" width="12.69140625" customWidth="1"/>
    <col min="12564" max="12564" width="8.15234375" bestFit="1" customWidth="1"/>
    <col min="12565" max="12565" width="53.3828125" customWidth="1"/>
    <col min="12566" max="12566" width="22.3046875" bestFit="1" customWidth="1"/>
    <col min="12567" max="12567" width="12.53515625" customWidth="1"/>
    <col min="12568" max="12568" width="6.3046875" customWidth="1"/>
    <col min="12569" max="12569" width="41.53515625" bestFit="1" customWidth="1"/>
    <col min="12570" max="12570" width="8.53515625" bestFit="1" customWidth="1"/>
    <col min="12571" max="12572" width="6.3046875" customWidth="1"/>
    <col min="12573" max="12573" width="6.69140625" customWidth="1"/>
    <col min="12574" max="12574" width="12.69140625" customWidth="1"/>
    <col min="12575" max="12575" width="14.53515625" bestFit="1" customWidth="1"/>
    <col min="12576" max="12580" width="12.69140625" customWidth="1"/>
    <col min="12820" max="12820" width="8.15234375" bestFit="1" customWidth="1"/>
    <col min="12821" max="12821" width="53.3828125" customWidth="1"/>
    <col min="12822" max="12822" width="22.3046875" bestFit="1" customWidth="1"/>
    <col min="12823" max="12823" width="12.53515625" customWidth="1"/>
    <col min="12824" max="12824" width="6.3046875" customWidth="1"/>
    <col min="12825" max="12825" width="41.53515625" bestFit="1" customWidth="1"/>
    <col min="12826" max="12826" width="8.53515625" bestFit="1" customWidth="1"/>
    <col min="12827" max="12828" width="6.3046875" customWidth="1"/>
    <col min="12829" max="12829" width="6.69140625" customWidth="1"/>
    <col min="12830" max="12830" width="12.69140625" customWidth="1"/>
    <col min="12831" max="12831" width="14.53515625" bestFit="1" customWidth="1"/>
    <col min="12832" max="12836" width="12.69140625" customWidth="1"/>
    <col min="13076" max="13076" width="8.15234375" bestFit="1" customWidth="1"/>
    <col min="13077" max="13077" width="53.3828125" customWidth="1"/>
    <col min="13078" max="13078" width="22.3046875" bestFit="1" customWidth="1"/>
    <col min="13079" max="13079" width="12.53515625" customWidth="1"/>
    <col min="13080" max="13080" width="6.3046875" customWidth="1"/>
    <col min="13081" max="13081" width="41.53515625" bestFit="1" customWidth="1"/>
    <col min="13082" max="13082" width="8.53515625" bestFit="1" customWidth="1"/>
    <col min="13083" max="13084" width="6.3046875" customWidth="1"/>
    <col min="13085" max="13085" width="6.69140625" customWidth="1"/>
    <col min="13086" max="13086" width="12.69140625" customWidth="1"/>
    <col min="13087" max="13087" width="14.53515625" bestFit="1" customWidth="1"/>
    <col min="13088" max="13092" width="12.69140625" customWidth="1"/>
    <col min="13332" max="13332" width="8.15234375" bestFit="1" customWidth="1"/>
    <col min="13333" max="13333" width="53.3828125" customWidth="1"/>
    <col min="13334" max="13334" width="22.3046875" bestFit="1" customWidth="1"/>
    <col min="13335" max="13335" width="12.53515625" customWidth="1"/>
    <col min="13336" max="13336" width="6.3046875" customWidth="1"/>
    <col min="13337" max="13337" width="41.53515625" bestFit="1" customWidth="1"/>
    <col min="13338" max="13338" width="8.53515625" bestFit="1" customWidth="1"/>
    <col min="13339" max="13340" width="6.3046875" customWidth="1"/>
    <col min="13341" max="13341" width="6.69140625" customWidth="1"/>
    <col min="13342" max="13342" width="12.69140625" customWidth="1"/>
    <col min="13343" max="13343" width="14.53515625" bestFit="1" customWidth="1"/>
    <col min="13344" max="13348" width="12.69140625" customWidth="1"/>
    <col min="13588" max="13588" width="8.15234375" bestFit="1" customWidth="1"/>
    <col min="13589" max="13589" width="53.3828125" customWidth="1"/>
    <col min="13590" max="13590" width="22.3046875" bestFit="1" customWidth="1"/>
    <col min="13591" max="13591" width="12.53515625" customWidth="1"/>
    <col min="13592" max="13592" width="6.3046875" customWidth="1"/>
    <col min="13593" max="13593" width="41.53515625" bestFit="1" customWidth="1"/>
    <col min="13594" max="13594" width="8.53515625" bestFit="1" customWidth="1"/>
    <col min="13595" max="13596" width="6.3046875" customWidth="1"/>
    <col min="13597" max="13597" width="6.69140625" customWidth="1"/>
    <col min="13598" max="13598" width="12.69140625" customWidth="1"/>
    <col min="13599" max="13599" width="14.53515625" bestFit="1" customWidth="1"/>
    <col min="13600" max="13604" width="12.69140625" customWidth="1"/>
    <col min="13844" max="13844" width="8.15234375" bestFit="1" customWidth="1"/>
    <col min="13845" max="13845" width="53.3828125" customWidth="1"/>
    <col min="13846" max="13846" width="22.3046875" bestFit="1" customWidth="1"/>
    <col min="13847" max="13847" width="12.53515625" customWidth="1"/>
    <col min="13848" max="13848" width="6.3046875" customWidth="1"/>
    <col min="13849" max="13849" width="41.53515625" bestFit="1" customWidth="1"/>
    <col min="13850" max="13850" width="8.53515625" bestFit="1" customWidth="1"/>
    <col min="13851" max="13852" width="6.3046875" customWidth="1"/>
    <col min="13853" max="13853" width="6.69140625" customWidth="1"/>
    <col min="13854" max="13854" width="12.69140625" customWidth="1"/>
    <col min="13855" max="13855" width="14.53515625" bestFit="1" customWidth="1"/>
    <col min="13856" max="13860" width="12.69140625" customWidth="1"/>
    <col min="14100" max="14100" width="8.15234375" bestFit="1" customWidth="1"/>
    <col min="14101" max="14101" width="53.3828125" customWidth="1"/>
    <col min="14102" max="14102" width="22.3046875" bestFit="1" customWidth="1"/>
    <col min="14103" max="14103" width="12.53515625" customWidth="1"/>
    <col min="14104" max="14104" width="6.3046875" customWidth="1"/>
    <col min="14105" max="14105" width="41.53515625" bestFit="1" customWidth="1"/>
    <col min="14106" max="14106" width="8.53515625" bestFit="1" customWidth="1"/>
    <col min="14107" max="14108" width="6.3046875" customWidth="1"/>
    <col min="14109" max="14109" width="6.69140625" customWidth="1"/>
    <col min="14110" max="14110" width="12.69140625" customWidth="1"/>
    <col min="14111" max="14111" width="14.53515625" bestFit="1" customWidth="1"/>
    <col min="14112" max="14116" width="12.69140625" customWidth="1"/>
    <col min="14356" max="14356" width="8.15234375" bestFit="1" customWidth="1"/>
    <col min="14357" max="14357" width="53.3828125" customWidth="1"/>
    <col min="14358" max="14358" width="22.3046875" bestFit="1" customWidth="1"/>
    <col min="14359" max="14359" width="12.53515625" customWidth="1"/>
    <col min="14360" max="14360" width="6.3046875" customWidth="1"/>
    <col min="14361" max="14361" width="41.53515625" bestFit="1" customWidth="1"/>
    <col min="14362" max="14362" width="8.53515625" bestFit="1" customWidth="1"/>
    <col min="14363" max="14364" width="6.3046875" customWidth="1"/>
    <col min="14365" max="14365" width="6.69140625" customWidth="1"/>
    <col min="14366" max="14366" width="12.69140625" customWidth="1"/>
    <col min="14367" max="14367" width="14.53515625" bestFit="1" customWidth="1"/>
    <col min="14368" max="14372" width="12.69140625" customWidth="1"/>
    <col min="14612" max="14612" width="8.15234375" bestFit="1" customWidth="1"/>
    <col min="14613" max="14613" width="53.3828125" customWidth="1"/>
    <col min="14614" max="14614" width="22.3046875" bestFit="1" customWidth="1"/>
    <col min="14615" max="14615" width="12.53515625" customWidth="1"/>
    <col min="14616" max="14616" width="6.3046875" customWidth="1"/>
    <col min="14617" max="14617" width="41.53515625" bestFit="1" customWidth="1"/>
    <col min="14618" max="14618" width="8.53515625" bestFit="1" customWidth="1"/>
    <col min="14619" max="14620" width="6.3046875" customWidth="1"/>
    <col min="14621" max="14621" width="6.69140625" customWidth="1"/>
    <col min="14622" max="14622" width="12.69140625" customWidth="1"/>
    <col min="14623" max="14623" width="14.53515625" bestFit="1" customWidth="1"/>
    <col min="14624" max="14628" width="12.69140625" customWidth="1"/>
    <col min="14868" max="14868" width="8.15234375" bestFit="1" customWidth="1"/>
    <col min="14869" max="14869" width="53.3828125" customWidth="1"/>
    <col min="14870" max="14870" width="22.3046875" bestFit="1" customWidth="1"/>
    <col min="14871" max="14871" width="12.53515625" customWidth="1"/>
    <col min="14872" max="14872" width="6.3046875" customWidth="1"/>
    <col min="14873" max="14873" width="41.53515625" bestFit="1" customWidth="1"/>
    <col min="14874" max="14874" width="8.53515625" bestFit="1" customWidth="1"/>
    <col min="14875" max="14876" width="6.3046875" customWidth="1"/>
    <col min="14877" max="14877" width="6.69140625" customWidth="1"/>
    <col min="14878" max="14878" width="12.69140625" customWidth="1"/>
    <col min="14879" max="14879" width="14.53515625" bestFit="1" customWidth="1"/>
    <col min="14880" max="14884" width="12.69140625" customWidth="1"/>
    <col min="15124" max="15124" width="8.15234375" bestFit="1" customWidth="1"/>
    <col min="15125" max="15125" width="53.3828125" customWidth="1"/>
    <col min="15126" max="15126" width="22.3046875" bestFit="1" customWidth="1"/>
    <col min="15127" max="15127" width="12.53515625" customWidth="1"/>
    <col min="15128" max="15128" width="6.3046875" customWidth="1"/>
    <col min="15129" max="15129" width="41.53515625" bestFit="1" customWidth="1"/>
    <col min="15130" max="15130" width="8.53515625" bestFit="1" customWidth="1"/>
    <col min="15131" max="15132" width="6.3046875" customWidth="1"/>
    <col min="15133" max="15133" width="6.69140625" customWidth="1"/>
    <col min="15134" max="15134" width="12.69140625" customWidth="1"/>
    <col min="15135" max="15135" width="14.53515625" bestFit="1" customWidth="1"/>
    <col min="15136" max="15140" width="12.69140625" customWidth="1"/>
    <col min="15380" max="15380" width="8.15234375" bestFit="1" customWidth="1"/>
    <col min="15381" max="15381" width="53.3828125" customWidth="1"/>
    <col min="15382" max="15382" width="22.3046875" bestFit="1" customWidth="1"/>
    <col min="15383" max="15383" width="12.53515625" customWidth="1"/>
    <col min="15384" max="15384" width="6.3046875" customWidth="1"/>
    <col min="15385" max="15385" width="41.53515625" bestFit="1" customWidth="1"/>
    <col min="15386" max="15386" width="8.53515625" bestFit="1" customWidth="1"/>
    <col min="15387" max="15388" width="6.3046875" customWidth="1"/>
    <col min="15389" max="15389" width="6.69140625" customWidth="1"/>
    <col min="15390" max="15390" width="12.69140625" customWidth="1"/>
    <col min="15391" max="15391" width="14.53515625" bestFit="1" customWidth="1"/>
    <col min="15392" max="15396" width="12.69140625" customWidth="1"/>
    <col min="15636" max="15636" width="8.15234375" bestFit="1" customWidth="1"/>
    <col min="15637" max="15637" width="53.3828125" customWidth="1"/>
    <col min="15638" max="15638" width="22.3046875" bestFit="1" customWidth="1"/>
    <col min="15639" max="15639" width="12.53515625" customWidth="1"/>
    <col min="15640" max="15640" width="6.3046875" customWidth="1"/>
    <col min="15641" max="15641" width="41.53515625" bestFit="1" customWidth="1"/>
    <col min="15642" max="15642" width="8.53515625" bestFit="1" customWidth="1"/>
    <col min="15643" max="15644" width="6.3046875" customWidth="1"/>
    <col min="15645" max="15645" width="6.69140625" customWidth="1"/>
    <col min="15646" max="15646" width="12.69140625" customWidth="1"/>
    <col min="15647" max="15647" width="14.53515625" bestFit="1" customWidth="1"/>
    <col min="15648" max="15652" width="12.69140625" customWidth="1"/>
    <col min="15892" max="15892" width="8.15234375" bestFit="1" customWidth="1"/>
    <col min="15893" max="15893" width="53.3828125" customWidth="1"/>
    <col min="15894" max="15894" width="22.3046875" bestFit="1" customWidth="1"/>
    <col min="15895" max="15895" width="12.53515625" customWidth="1"/>
    <col min="15896" max="15896" width="6.3046875" customWidth="1"/>
    <col min="15897" max="15897" width="41.53515625" bestFit="1" customWidth="1"/>
    <col min="15898" max="15898" width="8.53515625" bestFit="1" customWidth="1"/>
    <col min="15899" max="15900" width="6.3046875" customWidth="1"/>
    <col min="15901" max="15901" width="6.69140625" customWidth="1"/>
    <col min="15902" max="15902" width="12.69140625" customWidth="1"/>
    <col min="15903" max="15903" width="14.53515625" bestFit="1" customWidth="1"/>
    <col min="15904" max="15908" width="12.69140625" customWidth="1"/>
    <col min="16148" max="16148" width="8.15234375" bestFit="1" customWidth="1"/>
    <col min="16149" max="16149" width="53.3828125" customWidth="1"/>
    <col min="16150" max="16150" width="22.3046875" bestFit="1" customWidth="1"/>
    <col min="16151" max="16151" width="12.53515625" customWidth="1"/>
    <col min="16152" max="16152" width="6.3046875" customWidth="1"/>
    <col min="16153" max="16153" width="41.53515625" bestFit="1" customWidth="1"/>
    <col min="16154" max="16154" width="8.53515625" bestFit="1" customWidth="1"/>
    <col min="16155" max="16156" width="6.3046875" customWidth="1"/>
    <col min="16157" max="16157" width="6.69140625" customWidth="1"/>
    <col min="16158" max="16158" width="12.69140625" customWidth="1"/>
    <col min="16159" max="16159" width="14.53515625" bestFit="1" customWidth="1"/>
    <col min="16160" max="16164" width="12.69140625" customWidth="1"/>
  </cols>
  <sheetData>
    <row r="1" spans="2:36" s="687" customFormat="1" ht="24.9" x14ac:dyDescent="0.55000000000000004">
      <c r="C1" s="1075" t="s">
        <v>1117</v>
      </c>
      <c r="D1" s="1076"/>
      <c r="E1" s="1076"/>
      <c r="F1" s="1076"/>
      <c r="G1" s="1076"/>
      <c r="H1" s="1076"/>
      <c r="I1" s="1076"/>
      <c r="J1" s="1076"/>
      <c r="K1" s="1076"/>
      <c r="L1" s="1076"/>
      <c r="M1" s="1076"/>
      <c r="N1" s="1076"/>
      <c r="O1" s="1076"/>
      <c r="P1" s="1076"/>
      <c r="Q1" s="1076"/>
      <c r="R1" s="1076"/>
      <c r="S1" s="1076"/>
      <c r="T1" s="1076"/>
      <c r="U1" s="1076"/>
      <c r="V1" s="1076"/>
      <c r="W1" s="1076"/>
      <c r="X1" s="1076"/>
      <c r="Y1" s="1076"/>
      <c r="Z1" s="1076"/>
      <c r="AA1" s="1076"/>
      <c r="AB1" s="1076"/>
      <c r="AC1" s="700"/>
      <c r="AD1" s="286"/>
      <c r="AE1" s="79"/>
    </row>
    <row r="2" spans="2:36" ht="15" thickBot="1" x14ac:dyDescent="0.45">
      <c r="W2"/>
      <c r="X2"/>
      <c r="Y2"/>
    </row>
    <row r="3" spans="2:36" ht="20.6" thickBot="1" x14ac:dyDescent="0.55000000000000004">
      <c r="C3" s="690" t="s">
        <v>1118</v>
      </c>
      <c r="D3" s="692"/>
      <c r="E3" s="692"/>
      <c r="F3" s="692"/>
      <c r="G3" s="692"/>
      <c r="H3" s="692"/>
      <c r="I3" s="692"/>
      <c r="J3" s="692"/>
      <c r="K3" s="692"/>
      <c r="L3" s="692"/>
      <c r="M3" s="692"/>
      <c r="N3" s="692"/>
      <c r="O3" s="692"/>
      <c r="P3" s="692"/>
      <c r="Q3" s="692"/>
      <c r="R3" s="692"/>
      <c r="S3" s="692"/>
      <c r="T3" s="692"/>
      <c r="U3" s="692"/>
      <c r="V3" s="692"/>
      <c r="W3" s="692"/>
      <c r="X3" s="692"/>
      <c r="Y3" s="692"/>
      <c r="Z3" s="692"/>
      <c r="AA3" s="692"/>
      <c r="AB3" s="692"/>
      <c r="AC3" s="700"/>
      <c r="AE3" s="697"/>
    </row>
    <row r="4" spans="2:36" x14ac:dyDescent="0.4">
      <c r="C4" s="1077" t="s">
        <v>1119</v>
      </c>
      <c r="W4"/>
      <c r="X4"/>
      <c r="Y4"/>
    </row>
    <row r="5" spans="2:36" x14ac:dyDescent="0.4">
      <c r="C5" s="8" t="s">
        <v>1120</v>
      </c>
      <c r="W5"/>
      <c r="X5"/>
      <c r="Y5"/>
    </row>
    <row r="6" spans="2:36" x14ac:dyDescent="0.4">
      <c r="C6" s="8" t="s">
        <v>1121</v>
      </c>
      <c r="W6"/>
      <c r="X6"/>
      <c r="Y6"/>
    </row>
    <row r="7" spans="2:36" x14ac:dyDescent="0.4">
      <c r="C7" s="8" t="s">
        <v>1122</v>
      </c>
      <c r="W7"/>
      <c r="X7"/>
      <c r="Y7"/>
    </row>
    <row r="8" spans="2:36" ht="15" thickBot="1" x14ac:dyDescent="0.45">
      <c r="C8" s="748"/>
    </row>
    <row r="9" spans="2:36" ht="15.9" thickBot="1" x14ac:dyDescent="0.45">
      <c r="C9" s="710"/>
      <c r="D9" s="718" t="s">
        <v>23</v>
      </c>
      <c r="E9" s="1078" t="s">
        <v>1044</v>
      </c>
      <c r="F9" s="1079"/>
      <c r="G9" s="1079"/>
      <c r="H9" s="1079"/>
      <c r="I9" s="1080"/>
    </row>
    <row r="10" spans="2:36" ht="15" thickBot="1" x14ac:dyDescent="0.45">
      <c r="C10" s="717" t="s">
        <v>1045</v>
      </c>
      <c r="D10" s="718">
        <v>1</v>
      </c>
      <c r="E10" s="1081">
        <v>1</v>
      </c>
      <c r="F10" s="719">
        <v>2</v>
      </c>
      <c r="G10" s="719">
        <v>3</v>
      </c>
      <c r="H10" s="716">
        <v>4</v>
      </c>
      <c r="I10" s="715">
        <v>6</v>
      </c>
      <c r="J10" s="7"/>
      <c r="K10" s="7"/>
      <c r="L10" s="7"/>
      <c r="M10" s="7"/>
      <c r="N10" s="7"/>
    </row>
    <row r="11" spans="2:36" x14ac:dyDescent="0.4">
      <c r="C11" s="1093" t="s">
        <v>1048</v>
      </c>
      <c r="D11" s="1094">
        <f t="shared" ref="D11:I13" si="0">W31+W54+W76</f>
        <v>38.90133796296297</v>
      </c>
      <c r="E11" s="1095">
        <f t="shared" si="0"/>
        <v>622.42140740740751</v>
      </c>
      <c r="F11" s="1096">
        <f t="shared" si="0"/>
        <v>311.21070370370376</v>
      </c>
      <c r="G11" s="1096">
        <f t="shared" si="0"/>
        <v>233.29357777777778</v>
      </c>
      <c r="H11" s="1096">
        <f t="shared" si="0"/>
        <v>155.60535185185188</v>
      </c>
      <c r="I11" s="1097">
        <f t="shared" si="0"/>
        <v>116.64678888888889</v>
      </c>
    </row>
    <row r="12" spans="2:36" x14ac:dyDescent="0.4">
      <c r="C12" s="1098" t="s">
        <v>1049</v>
      </c>
      <c r="D12" s="1099">
        <f t="shared" si="0"/>
        <v>27.445496296296298</v>
      </c>
      <c r="E12" s="1100">
        <f t="shared" si="0"/>
        <v>439.12794074074077</v>
      </c>
      <c r="F12" s="1101">
        <f t="shared" si="0"/>
        <v>219.56397037037038</v>
      </c>
      <c r="G12" s="1101">
        <f t="shared" si="0"/>
        <v>164.58836955555554</v>
      </c>
      <c r="H12" s="1101">
        <f t="shared" si="0"/>
        <v>109.78198518518519</v>
      </c>
      <c r="I12" s="1102">
        <f t="shared" si="0"/>
        <v>82.294184777777772</v>
      </c>
    </row>
    <row r="13" spans="2:36" ht="15" thickBot="1" x14ac:dyDescent="0.45">
      <c r="C13" s="1103" t="s">
        <v>2657</v>
      </c>
      <c r="D13" s="1104">
        <f t="shared" si="0"/>
        <v>7.6740046296296294</v>
      </c>
      <c r="E13" s="1105">
        <f t="shared" si="0"/>
        <v>122.78407407407407</v>
      </c>
      <c r="F13" s="1106">
        <f t="shared" si="0"/>
        <v>61.392037037037035</v>
      </c>
      <c r="G13" s="1106">
        <f t="shared" si="0"/>
        <v>46.044027777777771</v>
      </c>
      <c r="H13" s="1106">
        <f t="shared" si="0"/>
        <v>30.696018518518517</v>
      </c>
      <c r="I13" s="1107">
        <f t="shared" si="0"/>
        <v>23.022013888888885</v>
      </c>
      <c r="W13"/>
      <c r="X13"/>
      <c r="Y13"/>
      <c r="Z13"/>
      <c r="AA13"/>
    </row>
    <row r="14" spans="2:36" ht="15" thickBot="1" x14ac:dyDescent="0.45">
      <c r="C14" s="1108" t="s">
        <v>2661</v>
      </c>
      <c r="D14" s="1109">
        <f t="shared" ref="D14:I14" si="1">W57+W34+W79</f>
        <v>52.804473148148148</v>
      </c>
      <c r="E14" s="1110">
        <f t="shared" si="1"/>
        <v>844.87157037037036</v>
      </c>
      <c r="F14" s="1111">
        <f t="shared" si="1"/>
        <v>422.43578518518518</v>
      </c>
      <c r="G14" s="1111">
        <f t="shared" si="1"/>
        <v>316.62778066666669</v>
      </c>
      <c r="H14" s="1111">
        <f t="shared" si="1"/>
        <v>211.21789259259259</v>
      </c>
      <c r="I14" s="1112">
        <f t="shared" si="1"/>
        <v>158.31389033333335</v>
      </c>
      <c r="W14"/>
      <c r="X14"/>
      <c r="Y14"/>
      <c r="Z14"/>
      <c r="AA14"/>
    </row>
    <row r="15" spans="2:36" x14ac:dyDescent="0.4">
      <c r="C15" s="748"/>
      <c r="W15"/>
      <c r="X15"/>
      <c r="Y15"/>
      <c r="Z15"/>
      <c r="AA15"/>
    </row>
    <row r="16" spans="2:36" ht="15.45" x14ac:dyDescent="0.4">
      <c r="B16" s="1113"/>
      <c r="C16" s="1114" t="s">
        <v>1123</v>
      </c>
      <c r="D16" s="1115"/>
      <c r="E16" s="1115"/>
      <c r="F16" s="1115"/>
      <c r="G16" s="1115"/>
      <c r="H16" s="1115"/>
      <c r="I16" s="1115"/>
      <c r="J16" s="1115"/>
      <c r="K16" s="1115"/>
      <c r="L16" s="1115"/>
      <c r="M16" s="1115"/>
      <c r="N16" s="1115"/>
      <c r="O16" s="1115"/>
      <c r="P16" s="1115"/>
      <c r="Q16" s="1115"/>
      <c r="R16" s="1115"/>
      <c r="S16" s="1115"/>
      <c r="T16" s="1115"/>
      <c r="U16" s="1115"/>
      <c r="V16" s="1115"/>
      <c r="W16" s="1115"/>
      <c r="X16" s="1115"/>
      <c r="Y16" s="1115"/>
      <c r="Z16" s="1115"/>
      <c r="AA16" s="1115"/>
      <c r="AB16" s="1115"/>
      <c r="AC16" s="3137"/>
      <c r="AE16" s="8"/>
      <c r="AF16" s="8"/>
      <c r="AG16" s="8"/>
      <c r="AH16" s="8"/>
      <c r="AI16" s="8"/>
      <c r="AJ16" s="8"/>
    </row>
    <row r="17" spans="2:36" x14ac:dyDescent="0.4">
      <c r="B17" s="1116"/>
      <c r="C17" s="748" t="s">
        <v>1053</v>
      </c>
      <c r="D17" s="706"/>
      <c r="E17" s="706"/>
      <c r="F17" s="706"/>
      <c r="G17" s="706"/>
      <c r="H17" s="706"/>
      <c r="I17" s="1117"/>
      <c r="J17" s="706"/>
      <c r="K17" s="706"/>
      <c r="L17" s="706"/>
      <c r="M17" s="706"/>
      <c r="N17" s="706"/>
      <c r="O17" s="706"/>
      <c r="P17" s="706"/>
      <c r="Q17" s="7"/>
      <c r="R17" s="7"/>
      <c r="S17" s="7"/>
      <c r="T17" s="7"/>
      <c r="U17" s="7"/>
      <c r="V17" s="7"/>
      <c r="W17" s="7"/>
      <c r="X17" s="7"/>
      <c r="Y17" s="7"/>
      <c r="Z17" s="7"/>
      <c r="AA17" s="7"/>
      <c r="AB17" s="290"/>
      <c r="AE17" s="8"/>
      <c r="AF17" s="8"/>
      <c r="AG17" s="8"/>
      <c r="AH17" s="8"/>
      <c r="AI17" s="8"/>
      <c r="AJ17" s="8"/>
    </row>
    <row r="18" spans="2:36" x14ac:dyDescent="0.4">
      <c r="B18" s="1116"/>
      <c r="C18" s="700" t="s">
        <v>1124</v>
      </c>
      <c r="D18" s="706"/>
      <c r="E18" s="706"/>
      <c r="F18" s="706"/>
      <c r="G18" s="706"/>
      <c r="H18" s="706"/>
      <c r="I18" s="1117"/>
      <c r="J18" s="706"/>
      <c r="K18" s="706"/>
      <c r="L18" s="706"/>
      <c r="M18" s="706"/>
      <c r="N18" s="706"/>
      <c r="O18" s="706"/>
      <c r="P18" s="706"/>
      <c r="Q18" s="7"/>
      <c r="R18" s="7"/>
      <c r="S18" s="7"/>
      <c r="T18" s="7"/>
      <c r="U18" s="7"/>
      <c r="V18" s="7"/>
      <c r="W18" s="7"/>
      <c r="X18" s="7"/>
      <c r="Y18" s="7"/>
      <c r="Z18" s="7"/>
      <c r="AA18" s="7"/>
      <c r="AB18" s="290"/>
      <c r="AE18" s="8"/>
      <c r="AF18" s="8"/>
      <c r="AG18" s="8"/>
      <c r="AH18" s="8"/>
      <c r="AI18" s="8"/>
      <c r="AJ18" s="8"/>
    </row>
    <row r="19" spans="2:36" x14ac:dyDescent="0.4">
      <c r="B19" s="1116"/>
      <c r="C19" s="700" t="s">
        <v>1125</v>
      </c>
      <c r="D19" s="706"/>
      <c r="E19" s="706"/>
      <c r="F19" s="706"/>
      <c r="G19" s="706"/>
      <c r="H19" s="706"/>
      <c r="I19" s="1117"/>
      <c r="J19" s="706"/>
      <c r="K19" s="706"/>
      <c r="L19" s="706"/>
      <c r="M19" s="706"/>
      <c r="N19" s="706"/>
      <c r="O19" s="706"/>
      <c r="P19" s="706"/>
      <c r="Q19" s="7"/>
      <c r="R19" s="7"/>
      <c r="S19" s="7"/>
      <c r="T19" s="7"/>
      <c r="U19" s="7"/>
      <c r="V19" s="7"/>
      <c r="W19" s="7"/>
      <c r="X19" s="7"/>
      <c r="Y19" s="7"/>
      <c r="Z19" s="7"/>
      <c r="AA19" s="7"/>
      <c r="AB19" s="290"/>
      <c r="AE19" s="8"/>
      <c r="AF19" s="8"/>
      <c r="AG19" s="8"/>
      <c r="AH19" s="8"/>
      <c r="AI19" s="8"/>
      <c r="AJ19" s="8"/>
    </row>
    <row r="20" spans="2:36" x14ac:dyDescent="0.4">
      <c r="B20" s="1116"/>
      <c r="C20" s="700" t="s">
        <v>1126</v>
      </c>
      <c r="D20" s="706"/>
      <c r="E20" s="706"/>
      <c r="F20" s="706"/>
      <c r="G20" s="706"/>
      <c r="H20" s="706"/>
      <c r="I20" s="1117"/>
      <c r="J20" s="706"/>
      <c r="K20" s="706"/>
      <c r="L20" s="706"/>
      <c r="M20" s="706"/>
      <c r="N20" s="706"/>
      <c r="O20" s="706"/>
      <c r="P20" s="706"/>
      <c r="Q20" s="7"/>
      <c r="R20" s="7"/>
      <c r="S20" s="7"/>
      <c r="T20" s="7"/>
      <c r="U20" s="7"/>
      <c r="V20" s="7"/>
      <c r="W20" s="290"/>
      <c r="X20" s="290"/>
      <c r="Y20" s="290"/>
      <c r="Z20" s="290"/>
      <c r="AA20" s="290"/>
      <c r="AB20" s="290"/>
      <c r="AE20" s="8"/>
      <c r="AF20" s="8"/>
      <c r="AG20" s="8"/>
      <c r="AH20" s="8"/>
      <c r="AI20" s="8"/>
      <c r="AJ20" s="8"/>
    </row>
    <row r="21" spans="2:36" x14ac:dyDescent="0.4">
      <c r="B21" s="1116"/>
      <c r="C21" s="1118" t="s">
        <v>1127</v>
      </c>
      <c r="D21" s="706"/>
      <c r="E21" s="706"/>
      <c r="F21" s="706"/>
      <c r="G21" s="706"/>
      <c r="H21" s="706"/>
      <c r="I21" s="1117"/>
      <c r="J21" s="706"/>
      <c r="K21" s="706"/>
      <c r="L21" s="706"/>
      <c r="M21" s="706"/>
      <c r="N21" s="706"/>
      <c r="O21" s="706"/>
      <c r="P21" s="706"/>
      <c r="Q21" s="7"/>
      <c r="R21" s="7"/>
      <c r="S21" s="7"/>
      <c r="T21" s="7"/>
      <c r="U21" s="7"/>
      <c r="V21" s="7"/>
      <c r="W21" s="290"/>
      <c r="X21" s="290"/>
      <c r="Y21" s="290"/>
      <c r="Z21" s="290"/>
      <c r="AA21" s="290"/>
      <c r="AB21" s="290"/>
      <c r="AE21" s="8"/>
      <c r="AF21" s="8"/>
      <c r="AG21" s="8"/>
      <c r="AH21" s="8"/>
      <c r="AI21" s="8"/>
      <c r="AJ21" s="8"/>
    </row>
    <row r="22" spans="2:36" x14ac:dyDescent="0.4">
      <c r="B22" s="1116"/>
      <c r="C22" s="700"/>
      <c r="D22" s="706"/>
      <c r="E22" s="706"/>
      <c r="F22" s="706"/>
      <c r="G22" s="706"/>
      <c r="H22" s="706"/>
      <c r="I22" s="1117"/>
      <c r="J22" s="706"/>
      <c r="K22" s="706"/>
      <c r="L22" s="706"/>
      <c r="M22" s="706"/>
      <c r="N22" s="706"/>
      <c r="O22" s="706"/>
      <c r="P22" s="706"/>
      <c r="Q22" s="7"/>
      <c r="R22" s="7"/>
      <c r="S22" s="7"/>
      <c r="T22" s="7"/>
      <c r="U22" s="7"/>
      <c r="V22" s="7"/>
      <c r="W22" s="290"/>
      <c r="X22" s="290"/>
      <c r="Y22" s="290"/>
      <c r="Z22" s="290"/>
      <c r="AA22" s="290"/>
      <c r="AB22" s="290"/>
      <c r="AE22" s="8"/>
      <c r="AF22" s="8"/>
      <c r="AG22" s="8"/>
      <c r="AH22" s="8"/>
      <c r="AI22" s="8"/>
      <c r="AJ22" s="8"/>
    </row>
    <row r="23" spans="2:36" x14ac:dyDescent="0.4">
      <c r="B23" s="1116"/>
      <c r="C23" s="700"/>
      <c r="D23" s="706"/>
      <c r="E23" s="706"/>
      <c r="F23" s="706"/>
      <c r="G23" s="706"/>
      <c r="H23" s="706"/>
      <c r="I23" s="1117"/>
      <c r="J23" s="706"/>
      <c r="K23" s="706"/>
      <c r="L23" s="706"/>
      <c r="M23" s="706"/>
      <c r="N23" s="706"/>
      <c r="O23" s="706"/>
      <c r="P23" s="706"/>
      <c r="Q23" s="7"/>
      <c r="R23" s="7"/>
      <c r="S23" s="7"/>
      <c r="T23" s="7"/>
      <c r="U23" s="7"/>
      <c r="V23" s="7"/>
      <c r="W23" s="2730"/>
      <c r="X23" s="2730"/>
      <c r="Y23" s="2730"/>
      <c r="Z23" s="2730"/>
      <c r="AA23" s="2730"/>
      <c r="AB23" s="2730"/>
      <c r="AC23" s="2730"/>
      <c r="AE23" s="8"/>
      <c r="AF23" s="8"/>
      <c r="AG23" s="8"/>
      <c r="AH23" s="8"/>
      <c r="AI23" s="8"/>
      <c r="AJ23" s="8"/>
    </row>
    <row r="24" spans="2:36" x14ac:dyDescent="0.4">
      <c r="B24" s="1116"/>
      <c r="C24" s="748" t="s">
        <v>1056</v>
      </c>
      <c r="D24" s="927">
        <f>SUM(D25)</f>
        <v>1E-3</v>
      </c>
      <c r="E24" s="918"/>
      <c r="F24" s="918"/>
      <c r="G24" s="918"/>
      <c r="H24" s="918"/>
      <c r="I24" s="919"/>
      <c r="J24" s="918"/>
      <c r="K24" s="918"/>
      <c r="L24" s="918"/>
      <c r="M24" s="918"/>
      <c r="N24" s="918"/>
      <c r="O24" s="918"/>
      <c r="P24" s="706"/>
      <c r="Q24" s="7"/>
      <c r="R24" s="7"/>
      <c r="S24" s="7"/>
      <c r="T24" s="7"/>
      <c r="U24" s="7"/>
      <c r="V24" s="7"/>
      <c r="W24" s="290"/>
      <c r="X24" s="290"/>
      <c r="Y24" s="290"/>
      <c r="Z24" s="290"/>
      <c r="AA24" s="290"/>
      <c r="AB24" s="290"/>
      <c r="AE24" s="8"/>
      <c r="AF24" s="8"/>
      <c r="AG24" s="8"/>
      <c r="AH24" s="8"/>
      <c r="AI24" s="8"/>
      <c r="AJ24" s="8"/>
    </row>
    <row r="25" spans="2:36" ht="15" thickBot="1" x14ac:dyDescent="0.45">
      <c r="B25" s="1116"/>
      <c r="C25" s="7" t="s">
        <v>1128</v>
      </c>
      <c r="D25" s="283">
        <f>overhead_crane_failure</f>
        <v>1E-3</v>
      </c>
      <c r="E25" s="922"/>
      <c r="F25" s="922"/>
      <c r="G25" s="922"/>
      <c r="H25" s="918"/>
      <c r="I25" s="919"/>
      <c r="J25" s="918"/>
      <c r="K25" s="918"/>
      <c r="L25" s="918"/>
      <c r="M25" s="918"/>
      <c r="N25" s="918"/>
      <c r="O25" s="918"/>
      <c r="P25" s="706"/>
      <c r="Q25" s="7"/>
      <c r="R25" s="7"/>
      <c r="S25" s="7"/>
      <c r="T25" s="7"/>
      <c r="U25" s="7"/>
      <c r="V25" s="7"/>
      <c r="W25" s="290"/>
      <c r="X25" s="290"/>
      <c r="Y25" s="290"/>
      <c r="Z25" s="290"/>
      <c r="AA25" s="290"/>
      <c r="AB25" s="290"/>
      <c r="AE25" s="8"/>
      <c r="AF25" s="8"/>
      <c r="AG25" s="8"/>
      <c r="AH25" s="8"/>
      <c r="AI25" s="8"/>
      <c r="AJ25" s="8"/>
    </row>
    <row r="26" spans="2:36" ht="15" thickBot="1" x14ac:dyDescent="0.45">
      <c r="B26" s="1116"/>
      <c r="C26" s="7"/>
      <c r="D26" s="922"/>
      <c r="E26" s="922"/>
      <c r="F26" s="922"/>
      <c r="G26" s="922"/>
      <c r="H26" s="918"/>
      <c r="I26" s="919"/>
      <c r="J26" s="918"/>
      <c r="K26" s="918"/>
      <c r="L26" s="918"/>
      <c r="M26" s="918"/>
      <c r="N26" s="918"/>
      <c r="O26" s="918"/>
      <c r="P26" s="706"/>
      <c r="Q26" s="7"/>
      <c r="R26" s="7"/>
      <c r="S26" s="7"/>
      <c r="T26" s="7"/>
      <c r="U26" s="7"/>
      <c r="V26" s="2992" t="s">
        <v>1123</v>
      </c>
      <c r="W26" s="1119" t="s">
        <v>23</v>
      </c>
      <c r="X26" s="3842" t="s">
        <v>2689</v>
      </c>
      <c r="Y26" s="3843"/>
      <c r="Z26" s="3843"/>
      <c r="AA26" s="3843"/>
      <c r="AB26" s="3844"/>
      <c r="AC26" s="947"/>
      <c r="AE26" s="8"/>
      <c r="AF26" s="8"/>
      <c r="AG26" s="8"/>
      <c r="AH26" s="8"/>
      <c r="AI26" s="8"/>
      <c r="AJ26" s="8"/>
    </row>
    <row r="27" spans="2:36" ht="15" thickBot="1" x14ac:dyDescent="0.45">
      <c r="B27" s="1116"/>
      <c r="C27" s="7"/>
      <c r="D27" s="7"/>
      <c r="E27" s="7"/>
      <c r="F27" s="7"/>
      <c r="G27" s="929"/>
      <c r="H27" s="3841" t="s">
        <v>18</v>
      </c>
      <c r="I27" s="3837"/>
      <c r="J27" s="3793" t="s">
        <v>778</v>
      </c>
      <c r="K27" s="3794"/>
      <c r="L27" s="3794"/>
      <c r="M27" s="3794"/>
      <c r="N27" s="3794"/>
      <c r="O27" s="3795"/>
      <c r="P27" s="3793" t="s">
        <v>3</v>
      </c>
      <c r="Q27" s="3794"/>
      <c r="R27" s="3838" t="s">
        <v>779</v>
      </c>
      <c r="S27" s="3839"/>
      <c r="T27" s="3840"/>
      <c r="U27" s="938"/>
      <c r="V27" s="3145" t="s">
        <v>1055</v>
      </c>
      <c r="W27" s="1122">
        <v>1</v>
      </c>
      <c r="X27" s="1512">
        <v>1</v>
      </c>
      <c r="Y27" s="916">
        <v>2</v>
      </c>
      <c r="Z27" s="916">
        <v>3</v>
      </c>
      <c r="AA27" s="916">
        <v>4</v>
      </c>
      <c r="AB27" s="1045">
        <v>6</v>
      </c>
      <c r="AC27" s="1851"/>
      <c r="AE27" s="8"/>
      <c r="AF27" s="8"/>
      <c r="AG27" s="8"/>
      <c r="AH27" s="8"/>
      <c r="AI27" s="8"/>
      <c r="AJ27" s="8"/>
    </row>
    <row r="28" spans="2:36" ht="15" thickBot="1" x14ac:dyDescent="0.45">
      <c r="B28" s="1116"/>
      <c r="C28" s="565" t="s">
        <v>1129</v>
      </c>
      <c r="D28" s="559" t="s">
        <v>1061</v>
      </c>
      <c r="E28" s="559" t="s">
        <v>782</v>
      </c>
      <c r="F28" s="1123" t="s">
        <v>783</v>
      </c>
      <c r="G28" s="1124" t="s">
        <v>784</v>
      </c>
      <c r="H28" s="940" t="s">
        <v>785</v>
      </c>
      <c r="I28" s="944" t="s">
        <v>783</v>
      </c>
      <c r="J28" s="940" t="s">
        <v>786</v>
      </c>
      <c r="K28" s="563" t="s">
        <v>787</v>
      </c>
      <c r="L28" s="563" t="s">
        <v>788</v>
      </c>
      <c r="M28" s="1125" t="s">
        <v>789</v>
      </c>
      <c r="N28" s="1125" t="s">
        <v>790</v>
      </c>
      <c r="O28" s="1126" t="s">
        <v>783</v>
      </c>
      <c r="P28" s="560" t="s">
        <v>785</v>
      </c>
      <c r="Q28" s="1127" t="s">
        <v>783</v>
      </c>
      <c r="R28" s="782" t="s">
        <v>781</v>
      </c>
      <c r="S28" s="786" t="s">
        <v>791</v>
      </c>
      <c r="T28" s="787" t="s">
        <v>792</v>
      </c>
      <c r="U28" s="947"/>
      <c r="V28" s="3139" t="s">
        <v>1130</v>
      </c>
      <c r="W28" s="1086">
        <f>SUMIF('Upper Hot Cell Dependencies'!I6:I225, "*Overhead Crane*", 'Upper Hot Cell Dependencies'!N6:N225)+SUMIF('Upper Hot Cell Critical Path'!I4:I151, "*Overhead Crane*",'Upper Hot Cell Critical Path'!N4:N151)</f>
        <v>31.791666666666654</v>
      </c>
      <c r="X28" s="1415">
        <f>$W$28</f>
        <v>31.791666666666654</v>
      </c>
      <c r="Y28" s="917">
        <f>$W$28</f>
        <v>31.791666666666654</v>
      </c>
      <c r="Z28" s="917">
        <f>$W$28</f>
        <v>31.791666666666654</v>
      </c>
      <c r="AA28" s="917">
        <f>$W$28</f>
        <v>31.791666666666654</v>
      </c>
      <c r="AB28" s="1028">
        <f>$W$28</f>
        <v>31.791666666666654</v>
      </c>
      <c r="AE28" s="8"/>
      <c r="AF28" s="8"/>
      <c r="AG28" s="8"/>
      <c r="AH28" s="8"/>
      <c r="AI28" s="8"/>
      <c r="AJ28" s="8"/>
    </row>
    <row r="29" spans="2:36" x14ac:dyDescent="0.4">
      <c r="B29" s="1116"/>
      <c r="C29" s="3146" t="s">
        <v>1131</v>
      </c>
      <c r="D29" s="656"/>
      <c r="E29" s="656" t="s">
        <v>778</v>
      </c>
      <c r="F29" s="326">
        <f>MAX($Q29,$O29,$I29)</f>
        <v>6.9444444444444448E-2</v>
      </c>
      <c r="G29" s="327">
        <f>F29</f>
        <v>6.9444444444444448E-2</v>
      </c>
      <c r="H29" s="1129"/>
      <c r="I29" s="1130" t="str">
        <f>IF(E29="operation",VLOOKUP(H29,'Generic Vertical Port Tasks'!$C$4:$D$189,2,FALSE),"N/A")</f>
        <v>N/A</v>
      </c>
      <c r="J29" s="1131" t="s">
        <v>798</v>
      </c>
      <c r="K29" s="573" t="s">
        <v>799</v>
      </c>
      <c r="L29" s="573" t="s">
        <v>452</v>
      </c>
      <c r="M29" s="853">
        <f>IFERROR(INDEX('Upper Hot Cell Logistics'!$H$35:$O$42,MATCH($K29,'Upper Hot Cell Logistics'!$H$35:$H$41,0),MATCH($L29,'Upper Hot Cell Logistics'!$H$35:$H$41,0)),"N/A")</f>
        <v>50</v>
      </c>
      <c r="N29" s="852">
        <f>IFERROR(VLOOKUP($J29,'Upper Hot Cell Logistics'!$H$4:$I$9,2,FALSE),"N/A")</f>
        <v>0.2</v>
      </c>
      <c r="O29" s="580">
        <f>IF(E29="Movement",IFERROR((M29/N29)/(60*60),"Error"),"N/A")</f>
        <v>6.9444444444444448E-2</v>
      </c>
      <c r="P29" s="575"/>
      <c r="Q29" s="1132" t="str">
        <f>IF($E29="Logistics",VLOOKUP($P29,'Upper Hot Cell Logistics'!$C$4:$D$51,2,FALSE),"N/A")</f>
        <v>N/A</v>
      </c>
      <c r="R29" s="1133"/>
      <c r="S29" s="320" t="str">
        <f>IFERROR(VLOOKUP($Q29,'Upper HotCell RecoveryLogisitcs'!$C$5:$F$248,4,FALSE),"N/A")</f>
        <v>N/A</v>
      </c>
      <c r="T29" s="319" t="str">
        <f>IFERROR(G29-F29-S29,"N/A")</f>
        <v>N/A</v>
      </c>
      <c r="U29" s="947"/>
      <c r="V29" s="3140" t="s">
        <v>2668</v>
      </c>
      <c r="W29" s="1086">
        <f>W28</f>
        <v>31.791666666666654</v>
      </c>
      <c r="X29" s="1415">
        <f>ROUNDUP((Tokamak_Segmts/X27),1)*(X28)</f>
        <v>508.66666666666646</v>
      </c>
      <c r="Y29" s="917">
        <f>ROUNDUP((Tokamak_Segmts/Y27),1)*(Y28)</f>
        <v>254.33333333333323</v>
      </c>
      <c r="Z29" s="917">
        <f>ROUNDUP((Tokamak_Segmts/Z27),1)*(Z28)</f>
        <v>171.67499999999993</v>
      </c>
      <c r="AA29" s="917">
        <f>ROUNDUP((Tokamak_Segmts/AA27),1)*(AA28)</f>
        <v>127.16666666666661</v>
      </c>
      <c r="AB29" s="1028">
        <f>ROUNDUP((Tokamak_Segmts/AB27),1)*(AB28)</f>
        <v>85.837499999999977</v>
      </c>
      <c r="AE29" s="8"/>
      <c r="AF29" s="8"/>
      <c r="AG29" s="8"/>
      <c r="AH29" s="8"/>
      <c r="AI29" s="8"/>
      <c r="AJ29" s="8"/>
    </row>
    <row r="30" spans="2:36" ht="15" thickBot="1" x14ac:dyDescent="0.45">
      <c r="B30" s="1116"/>
      <c r="C30" s="1128" t="s">
        <v>1132</v>
      </c>
      <c r="D30" s="659"/>
      <c r="E30" s="659" t="s">
        <v>3</v>
      </c>
      <c r="F30" s="459">
        <f>MAX($Q30,$O30,$I30)</f>
        <v>3.1</v>
      </c>
      <c r="G30" s="517">
        <f t="shared" ref="G30:G36" si="2">IF(T30&lt;0,F30+G29+(-T30),F30+G29)</f>
        <v>3.1694444444444447</v>
      </c>
      <c r="H30" s="575"/>
      <c r="I30" s="580" t="str">
        <f>IF(E30="operation",VLOOKUP(H30,'Generic Vertical Port Tasks'!$C$4:$D$189,2,FALSE),"N/A")</f>
        <v>N/A</v>
      </c>
      <c r="J30" s="1131"/>
      <c r="K30" s="573"/>
      <c r="L30" s="573"/>
      <c r="M30" s="853" t="str">
        <f>IFERROR(INDEX('Upper Hot Cell Logistics'!$H$35:$O$42,MATCH($K30,'Upper Hot Cell Logistics'!$H$35:$H$41,0),MATCH($L30,'Upper Hot Cell Logistics'!$H$35:$H$41,0)),"N/A")</f>
        <v>N/A</v>
      </c>
      <c r="N30" s="852" t="str">
        <f>IFERROR(VLOOKUP($J30,'Upper Hot Cell Logistics'!$H$4:$I$9,2,FALSE),"N/A")</f>
        <v>N/A</v>
      </c>
      <c r="O30" s="580" t="str">
        <f>IF(E30="Movement",IFERROR((M30/N30)/(60*60),"Error"),"N/A")</f>
        <v>N/A</v>
      </c>
      <c r="P30" s="575" t="s">
        <v>1025</v>
      </c>
      <c r="Q30" s="1132">
        <f>IF($E30="Logistics",VLOOKUP($P30,'Upper Hot Cell Logistics'!$C$4:$D$51,2,FALSE),"N/A")</f>
        <v>3.1</v>
      </c>
      <c r="R30" s="1134"/>
      <c r="S30" s="853" t="str">
        <f>IFERROR(VLOOKUP($Q30,'Upper HotCell RecoveryLogisitcs'!$C$5:$F$248,4,FALSE),"N/A")</f>
        <v>N/A</v>
      </c>
      <c r="T30" s="576" t="str">
        <f>IFERROR(G29-S30,"N/A")</f>
        <v>N/A</v>
      </c>
      <c r="U30" s="947"/>
      <c r="V30" s="3141" t="s">
        <v>2693</v>
      </c>
      <c r="W30" s="1089">
        <f>W$29*$D$24</f>
        <v>3.1791666666666656E-2</v>
      </c>
      <c r="X30" s="1416">
        <f t="shared" ref="X30:AB30" si="3">X$29*$D$24</f>
        <v>0.50866666666666649</v>
      </c>
      <c r="Y30" s="920">
        <f t="shared" si="3"/>
        <v>0.25433333333333324</v>
      </c>
      <c r="Z30" s="920">
        <f t="shared" si="3"/>
        <v>0.17167499999999994</v>
      </c>
      <c r="AA30" s="920">
        <f t="shared" si="3"/>
        <v>0.12716666666666662</v>
      </c>
      <c r="AB30" s="1029">
        <f t="shared" si="3"/>
        <v>8.5837499999999983E-2</v>
      </c>
      <c r="AE30" s="8"/>
      <c r="AF30" s="8"/>
      <c r="AG30" s="8"/>
      <c r="AH30" s="8"/>
      <c r="AI30" s="8"/>
      <c r="AJ30" s="8"/>
    </row>
    <row r="31" spans="2:36" x14ac:dyDescent="0.4">
      <c r="B31" s="1116"/>
      <c r="C31" s="1128" t="s">
        <v>1133</v>
      </c>
      <c r="D31" s="659" t="s">
        <v>1134</v>
      </c>
      <c r="E31" s="659" t="s">
        <v>251</v>
      </c>
      <c r="F31" s="459">
        <f t="shared" ref="F31:F36" si="4">MAX($Q31,$O31,$I31)</f>
        <v>4</v>
      </c>
      <c r="G31" s="517">
        <f t="shared" si="2"/>
        <v>7.1694444444444443</v>
      </c>
      <c r="H31" s="1131" t="s">
        <v>1135</v>
      </c>
      <c r="I31" s="850">
        <v>4</v>
      </c>
      <c r="J31" s="1131"/>
      <c r="K31" s="573"/>
      <c r="L31" s="573"/>
      <c r="M31" s="853" t="str">
        <f>IFERROR(INDEX('Upper Hot Cell Logistics'!$H$35:$O$42,MATCH($K31,'Upper Hot Cell Logistics'!$H$35:$H$41,0),MATCH($L31,'Upper Hot Cell Logistics'!$H$35:$H$41,0)),"N/A")</f>
        <v>N/A</v>
      </c>
      <c r="N31" s="852" t="str">
        <f>IFERROR(VLOOKUP($J31,'Upper Hot Cell Logistics'!$H$4:$I$9,2,FALSE),"N/A")</f>
        <v>N/A</v>
      </c>
      <c r="O31" s="580" t="str">
        <f t="shared" ref="O31:O36" si="5">IF(E31="Movement",IFERROR((M31/N31)/(60*60),"Error"),"N/A")</f>
        <v>N/A</v>
      </c>
      <c r="P31" s="575"/>
      <c r="Q31" s="1132" t="str">
        <f>IF($E31="Logistics",VLOOKUP($P31,'Upper Hot Cell Logistics'!$C$4:$D$51,2,FALSE),"N/A")</f>
        <v>N/A</v>
      </c>
      <c r="R31" s="1134"/>
      <c r="S31" s="853" t="str">
        <f>IFERROR(VLOOKUP($Q31,'Upper HotCell RecoveryLogisitcs'!$C$5:$F$248,4,FALSE),"N/A")</f>
        <v>N/A</v>
      </c>
      <c r="T31" s="576" t="str">
        <f t="shared" ref="T31:T36" si="6">IFERROR(G30-S31,"N/A")</f>
        <v>N/A</v>
      </c>
      <c r="U31" s="897"/>
      <c r="V31" s="3142" t="s">
        <v>1048</v>
      </c>
      <c r="W31" s="1086">
        <f t="shared" ref="W31:AB31" si="7">W30*(SUMIF($E$29:$E$36,"Operation",$F$29:$F$36))</f>
        <v>0.19074999999999992</v>
      </c>
      <c r="X31" s="1083">
        <f t="shared" si="7"/>
        <v>3.0519999999999987</v>
      </c>
      <c r="Y31" s="1084">
        <f t="shared" si="7"/>
        <v>1.5259999999999994</v>
      </c>
      <c r="Z31" s="1084">
        <f t="shared" si="7"/>
        <v>1.0300499999999997</v>
      </c>
      <c r="AA31" s="1084">
        <f t="shared" si="7"/>
        <v>0.76299999999999968</v>
      </c>
      <c r="AB31" s="1085">
        <f t="shared" si="7"/>
        <v>0.51502499999999984</v>
      </c>
      <c r="AE31" s="8"/>
      <c r="AF31" s="8"/>
      <c r="AG31" s="8"/>
      <c r="AH31" s="8"/>
      <c r="AI31" s="8"/>
      <c r="AJ31" s="8"/>
    </row>
    <row r="32" spans="2:36" x14ac:dyDescent="0.4">
      <c r="B32" s="1116"/>
      <c r="C32" s="1128" t="s">
        <v>1136</v>
      </c>
      <c r="D32" s="659" t="s">
        <v>1137</v>
      </c>
      <c r="E32" s="659" t="s">
        <v>778</v>
      </c>
      <c r="F32" s="459">
        <f t="shared" si="4"/>
        <v>0.1388888888888889</v>
      </c>
      <c r="G32" s="517">
        <f t="shared" si="2"/>
        <v>7.3083333333333336</v>
      </c>
      <c r="H32" s="1131"/>
      <c r="I32" s="850" t="str">
        <f>IF(E32="operation",VLOOKUP(H32,'Generic Vertical Port Tasks'!$C$4:$D$189,2,FALSE),"N/A")</f>
        <v>N/A</v>
      </c>
      <c r="J32" s="1131" t="s">
        <v>798</v>
      </c>
      <c r="K32" s="573" t="s">
        <v>452</v>
      </c>
      <c r="L32" s="573" t="s">
        <v>914</v>
      </c>
      <c r="M32" s="853">
        <f>IFERROR(INDEX('Upper Hot Cell Logistics'!$H$35:$O$42,MATCH($K32,'Upper Hot Cell Logistics'!$H$35:$H$41,0),MATCH($L32,'Upper Hot Cell Logistics'!$H$35:$H$41,0)),"N/A")</f>
        <v>50</v>
      </c>
      <c r="N32" s="852">
        <f>IFERROR((VLOOKUP($J32,'Upper Hot Cell Logistics'!$H$4:$I$9,2,FALSE))/2,"N/A")</f>
        <v>0.1</v>
      </c>
      <c r="O32" s="580">
        <f t="shared" si="5"/>
        <v>0.1388888888888889</v>
      </c>
      <c r="P32" s="575"/>
      <c r="Q32" s="1132" t="str">
        <f>IF($E32="Logistics",VLOOKUP($P32,'Upper Hot Cell Logistics'!$C$4:$D$51,2,FALSE),"N/A")</f>
        <v>N/A</v>
      </c>
      <c r="R32" s="1134"/>
      <c r="S32" s="853" t="str">
        <f>IFERROR(VLOOKUP($Q32,'Upper HotCell RecoveryLogisitcs'!$C$5:$F$248,4,FALSE),"N/A")</f>
        <v>N/A</v>
      </c>
      <c r="T32" s="576" t="str">
        <f t="shared" si="6"/>
        <v>N/A</v>
      </c>
      <c r="U32" s="5"/>
      <c r="V32" s="3139" t="s">
        <v>1049</v>
      </c>
      <c r="W32" s="1086">
        <f t="shared" ref="W32:AB32" si="8">W30*(SUMIF($E$29:$E$36,"Movement",$F$29:$F$36)+(SUMIF($E$29:$E$36,"Logistics",$F$29:$F$36)))</f>
        <v>0.14101370370370364</v>
      </c>
      <c r="X32" s="1087">
        <f t="shared" si="8"/>
        <v>2.2562192592592583</v>
      </c>
      <c r="Y32" s="915">
        <f t="shared" si="8"/>
        <v>1.1281096296296291</v>
      </c>
      <c r="Z32" s="915">
        <f t="shared" si="8"/>
        <v>0.76147399999999965</v>
      </c>
      <c r="AA32" s="915">
        <f t="shared" si="8"/>
        <v>0.56405481481481456</v>
      </c>
      <c r="AB32" s="1088">
        <f t="shared" si="8"/>
        <v>0.38073699999999988</v>
      </c>
      <c r="AE32" s="8"/>
      <c r="AF32" s="8"/>
      <c r="AG32" s="8"/>
      <c r="AH32" s="8"/>
      <c r="AI32" s="8"/>
      <c r="AJ32" s="8"/>
    </row>
    <row r="33" spans="2:36" ht="15" thickBot="1" x14ac:dyDescent="0.45">
      <c r="B33" s="1116"/>
      <c r="C33" s="1128" t="s">
        <v>1138</v>
      </c>
      <c r="D33" s="659" t="s">
        <v>1139</v>
      </c>
      <c r="E33" s="659" t="s">
        <v>251</v>
      </c>
      <c r="F33" s="459">
        <f t="shared" si="4"/>
        <v>2</v>
      </c>
      <c r="G33" s="517">
        <f t="shared" si="2"/>
        <v>9.3083333333333336</v>
      </c>
      <c r="H33" s="1131" t="s">
        <v>1135</v>
      </c>
      <c r="I33" s="850">
        <v>2</v>
      </c>
      <c r="J33" s="1131"/>
      <c r="K33" s="573"/>
      <c r="L33" s="573"/>
      <c r="M33" s="853" t="str">
        <f>IFERROR(INDEX('Upper Hot Cell Logistics'!$H$35:$O$42,MATCH($K33,'Upper Hot Cell Logistics'!$H$35:$H$41,0),MATCH($L33,'Upper Hot Cell Logistics'!$H$35:$H$41,0)),"N/A")</f>
        <v>N/A</v>
      </c>
      <c r="N33" s="852" t="str">
        <f>IFERROR((VLOOKUP($J33,'Upper Hot Cell Logistics'!$H$4:$I$9,2,FALSE))/2,"N/A")</f>
        <v>N/A</v>
      </c>
      <c r="O33" s="580" t="str">
        <f t="shared" si="5"/>
        <v>N/A</v>
      </c>
      <c r="P33" s="575"/>
      <c r="Q33" s="1132" t="str">
        <f>IF($E33="Logistics",VLOOKUP($P33,'Upper Hot Cell Logistics'!$C$4:$D$51,2,FALSE),"N/A")</f>
        <v>N/A</v>
      </c>
      <c r="R33" s="1134"/>
      <c r="S33" s="853" t="str">
        <f>IFERROR(VLOOKUP($Q33,'Upper HotCell RecoveryLogisitcs'!$C$5:$F$248,4,FALSE),"N/A")</f>
        <v>N/A</v>
      </c>
      <c r="T33" s="576" t="str">
        <f t="shared" si="6"/>
        <v>N/A</v>
      </c>
      <c r="U33" s="7"/>
      <c r="V33" s="3143" t="s">
        <v>2657</v>
      </c>
      <c r="W33" s="1089">
        <f t="shared" ref="W33:AB33" si="9">W30*(-SUMIF($T$29:$T$36,"&lt;0"))</f>
        <v>0</v>
      </c>
      <c r="X33" s="1090">
        <f t="shared" si="9"/>
        <v>0</v>
      </c>
      <c r="Y33" s="1091">
        <f t="shared" si="9"/>
        <v>0</v>
      </c>
      <c r="Z33" s="1091">
        <f t="shared" si="9"/>
        <v>0</v>
      </c>
      <c r="AA33" s="1091">
        <f t="shared" si="9"/>
        <v>0</v>
      </c>
      <c r="AB33" s="1092">
        <f t="shared" si="9"/>
        <v>0</v>
      </c>
      <c r="AE33" s="8"/>
      <c r="AF33" s="8"/>
      <c r="AG33" s="8"/>
      <c r="AH33" s="8"/>
      <c r="AI33" s="8"/>
      <c r="AJ33" s="8"/>
    </row>
    <row r="34" spans="2:36" ht="15" thickBot="1" x14ac:dyDescent="0.45">
      <c r="B34" s="1116"/>
      <c r="C34" s="1128" t="s">
        <v>1140</v>
      </c>
      <c r="D34" s="659"/>
      <c r="E34" s="659" t="s">
        <v>778</v>
      </c>
      <c r="F34" s="459">
        <f t="shared" si="4"/>
        <v>0.1388888888888889</v>
      </c>
      <c r="G34" s="517">
        <f t="shared" si="2"/>
        <v>9.4472222222222229</v>
      </c>
      <c r="H34" s="1131"/>
      <c r="I34" s="850" t="str">
        <f>IF(E34="operation",VLOOKUP(H34,'Generic Vertical Port Tasks'!$C$4:$D$189,2,FALSE),"N/A")</f>
        <v>N/A</v>
      </c>
      <c r="J34" s="1131" t="s">
        <v>798</v>
      </c>
      <c r="K34" s="573" t="s">
        <v>914</v>
      </c>
      <c r="L34" s="573" t="s">
        <v>452</v>
      </c>
      <c r="M34" s="853">
        <f>IFERROR(INDEX('Upper Hot Cell Logistics'!$H$35:$O$42,MATCH($K34,'Upper Hot Cell Logistics'!$H$35:$H$41,0),MATCH($L34,'Upper Hot Cell Logistics'!$H$35:$H$41,0)),"N/A")</f>
        <v>50</v>
      </c>
      <c r="N34" s="852">
        <f>IFERROR((VLOOKUP($J34,'Upper Hot Cell Logistics'!$H$4:$I$9,2,FALSE))/2,"N/A")</f>
        <v>0.1</v>
      </c>
      <c r="O34" s="580">
        <f t="shared" si="5"/>
        <v>0.1388888888888889</v>
      </c>
      <c r="P34" s="575"/>
      <c r="Q34" s="1132" t="str">
        <f>IF($E34="Logistics",VLOOKUP($P34,'Upper Hot Cell Logistics'!$C$4:$D$51,2,FALSE),"N/A")</f>
        <v>N/A</v>
      </c>
      <c r="R34" s="1134"/>
      <c r="S34" s="853" t="str">
        <f>IFERROR(VLOOKUP($Q34,'Upper HotCell RecoveryLogisitcs'!$C$5:$F$248,4,FALSE),"N/A")</f>
        <v>N/A</v>
      </c>
      <c r="T34" s="576" t="str">
        <f t="shared" si="6"/>
        <v>N/A</v>
      </c>
      <c r="U34" s="7"/>
      <c r="V34" s="3144" t="s">
        <v>2686</v>
      </c>
      <c r="W34" s="1089">
        <f t="shared" ref="W34:AB34" si="10">W$30*$G$37</f>
        <v>0.33176370370370362</v>
      </c>
      <c r="X34" s="1416">
        <f t="shared" si="10"/>
        <v>5.3082192592592579</v>
      </c>
      <c r="Y34" s="920">
        <f t="shared" si="10"/>
        <v>2.6541096296296289</v>
      </c>
      <c r="Z34" s="920">
        <f t="shared" si="10"/>
        <v>1.7915239999999995</v>
      </c>
      <c r="AA34" s="920">
        <f t="shared" si="10"/>
        <v>1.3270548148148145</v>
      </c>
      <c r="AB34" s="1029">
        <f t="shared" si="10"/>
        <v>0.89576199999999984</v>
      </c>
      <c r="AE34" s="8"/>
      <c r="AF34" s="8"/>
      <c r="AG34" s="8"/>
      <c r="AH34" s="8"/>
      <c r="AI34" s="8"/>
      <c r="AJ34" s="8"/>
    </row>
    <row r="35" spans="2:36" x14ac:dyDescent="0.4">
      <c r="B35" s="1116"/>
      <c r="C35" s="1128" t="s">
        <v>1141</v>
      </c>
      <c r="D35" s="659"/>
      <c r="E35" s="659" t="s">
        <v>3</v>
      </c>
      <c r="F35" s="459">
        <f t="shared" si="4"/>
        <v>0.78</v>
      </c>
      <c r="G35" s="517">
        <f t="shared" si="2"/>
        <v>10.227222222222222</v>
      </c>
      <c r="H35" s="1131"/>
      <c r="I35" s="850" t="str">
        <f>IF(E35="operation",VLOOKUP(H35,'Generic Vertical Port Tasks'!$C$4:$D$189,2,FALSE),"N/A")</f>
        <v>N/A</v>
      </c>
      <c r="J35" s="1131"/>
      <c r="K35" s="573"/>
      <c r="L35" s="573"/>
      <c r="M35" s="853" t="str">
        <f>IFERROR(INDEX('Upper Hot Cell Logistics'!$H$35:$O$42,MATCH($K35,'Upper Hot Cell Logistics'!$H$35:$H$41,0),MATCH($L35,'Upper Hot Cell Logistics'!$H$35:$H$41,0)),"N/A")</f>
        <v>N/A</v>
      </c>
      <c r="N35" s="852" t="str">
        <f>IFERROR((VLOOKUP($J35,'Upper Hot Cell Logistics'!$H$4:$I$9,2,FALSE))/2,"N/A")</f>
        <v>N/A</v>
      </c>
      <c r="O35" s="580" t="str">
        <f t="shared" si="5"/>
        <v>N/A</v>
      </c>
      <c r="P35" s="575" t="s">
        <v>971</v>
      </c>
      <c r="Q35" s="1132">
        <f>IF($E35="Logistics",VLOOKUP($P35,'Upper Hot Cell Logistics'!$C$4:$D$51,2,FALSE),"N/A")</f>
        <v>0.78</v>
      </c>
      <c r="R35" s="1134"/>
      <c r="S35" s="853" t="str">
        <f>IFERROR(VLOOKUP($Q35,'Upper HotCell RecoveryLogisitcs'!$C$5:$F$248,4,FALSE),"N/A")</f>
        <v>N/A</v>
      </c>
      <c r="T35" s="576" t="str">
        <f t="shared" si="6"/>
        <v>N/A</v>
      </c>
      <c r="U35" s="7"/>
      <c r="AE35" s="8"/>
      <c r="AF35" s="8"/>
      <c r="AG35" s="8"/>
      <c r="AH35" s="8"/>
      <c r="AI35" s="8"/>
      <c r="AJ35" s="8"/>
    </row>
    <row r="36" spans="2:36" ht="15" thickBot="1" x14ac:dyDescent="0.45">
      <c r="B36" s="1116"/>
      <c r="C36" s="1437" t="s">
        <v>1142</v>
      </c>
      <c r="D36" s="1438"/>
      <c r="E36" s="1438" t="s">
        <v>778</v>
      </c>
      <c r="F36" s="467">
        <f t="shared" si="4"/>
        <v>0.20833333333333334</v>
      </c>
      <c r="G36" s="1148">
        <f t="shared" si="2"/>
        <v>10.435555555555556</v>
      </c>
      <c r="H36" s="1136"/>
      <c r="I36" s="591" t="str">
        <f>IF(E36="operation",VLOOKUP(H36,'Generic Vertical Port Tasks'!$C$4:$D$189,2,FALSE),"N/A")</f>
        <v>N/A</v>
      </c>
      <c r="J36" s="1136" t="s">
        <v>857</v>
      </c>
      <c r="K36" s="584" t="s">
        <v>452</v>
      </c>
      <c r="L36" s="584" t="s">
        <v>452</v>
      </c>
      <c r="M36" s="814">
        <f>IFERROR(INDEX('Upper Hot Cell Logistics'!$H$35:$O$42,MATCH($K36,'Upper Hot Cell Logistics'!$H$35:$H$41,0),MATCH($L36,'Upper Hot Cell Logistics'!$H$35:$H$41,0)),"N/A")</f>
        <v>15</v>
      </c>
      <c r="N36" s="813">
        <f>IFERROR(VLOOKUP($J36,'Upper Hot Cell Logistics'!$H$4:$I$9,2,FALSE),"N/A")</f>
        <v>0.02</v>
      </c>
      <c r="O36" s="591">
        <f t="shared" si="5"/>
        <v>0.20833333333333334</v>
      </c>
      <c r="P36" s="586"/>
      <c r="Q36" s="1132" t="str">
        <f>IF($E36="Logistics",VLOOKUP($P36,'Upper Hot Cell Logistics'!$C$4:$D$51,2,FALSE),"N/A")</f>
        <v>N/A</v>
      </c>
      <c r="R36" s="1137"/>
      <c r="S36" s="814" t="str">
        <f>IFERROR(VLOOKUP($Q36,'Upper HotCell RecoveryLogisitcs'!$C$5:$F$248,4,FALSE),"N/A")</f>
        <v>N/A</v>
      </c>
      <c r="T36" s="587" t="str">
        <f t="shared" si="6"/>
        <v>N/A</v>
      </c>
      <c r="U36" s="7"/>
      <c r="AE36" s="8"/>
      <c r="AF36" s="8"/>
      <c r="AG36" s="8"/>
      <c r="AH36" s="8"/>
      <c r="AI36" s="8"/>
      <c r="AJ36" s="8"/>
    </row>
    <row r="37" spans="2:36" x14ac:dyDescent="0.4">
      <c r="B37" s="1116"/>
      <c r="E37" s="1439" t="s">
        <v>11</v>
      </c>
      <c r="F37" s="1439"/>
      <c r="G37" s="894">
        <f>G36</f>
        <v>10.435555555555556</v>
      </c>
      <c r="R37" s="897"/>
      <c r="S37" s="897"/>
      <c r="T37" s="897"/>
      <c r="U37" s="7"/>
      <c r="AE37" s="8"/>
      <c r="AF37" s="8"/>
      <c r="AG37" s="8"/>
      <c r="AH37" s="8"/>
      <c r="AI37" s="8"/>
      <c r="AJ37" s="8"/>
    </row>
    <row r="38" spans="2:36" x14ac:dyDescent="0.4">
      <c r="B38" s="1116"/>
      <c r="C38" s="5"/>
      <c r="D38" s="1139"/>
      <c r="E38" s="1140"/>
      <c r="F38" s="1139"/>
      <c r="G38" s="1139"/>
      <c r="H38" s="1139"/>
      <c r="I38" s="1140"/>
      <c r="J38" s="1139"/>
      <c r="K38" s="1139"/>
      <c r="L38" s="1139"/>
      <c r="M38" s="1139"/>
      <c r="N38" s="1139"/>
      <c r="O38" s="1139"/>
      <c r="P38" s="1141"/>
      <c r="Q38" s="7"/>
      <c r="R38" s="7"/>
      <c r="S38" s="7"/>
      <c r="T38" s="7"/>
      <c r="U38" s="7"/>
      <c r="V38" s="7"/>
      <c r="W38" s="290"/>
      <c r="X38" s="290"/>
      <c r="Y38" s="290"/>
      <c r="Z38" s="290"/>
      <c r="AA38" s="290"/>
      <c r="AB38" s="290"/>
      <c r="AE38" s="8"/>
      <c r="AF38" s="8"/>
      <c r="AG38" s="8"/>
      <c r="AH38" s="8"/>
      <c r="AI38" s="8"/>
      <c r="AJ38" s="8"/>
    </row>
    <row r="39" spans="2:36" x14ac:dyDescent="0.4">
      <c r="B39" s="1142"/>
      <c r="C39" s="1015"/>
      <c r="D39" s="1015"/>
      <c r="E39" s="1015"/>
      <c r="F39" s="1015"/>
      <c r="G39" s="1015"/>
      <c r="H39" s="1015"/>
      <c r="I39" s="1018"/>
      <c r="J39" s="1015"/>
      <c r="K39" s="1015"/>
      <c r="L39" s="1015"/>
      <c r="M39" s="1015"/>
      <c r="N39" s="1015"/>
      <c r="O39" s="1015"/>
      <c r="P39" s="1015"/>
      <c r="Q39" s="1015"/>
      <c r="R39" s="1015"/>
      <c r="S39" s="1015"/>
      <c r="T39" s="1015"/>
      <c r="U39" s="1015"/>
      <c r="V39" s="1143"/>
      <c r="W39" s="1143"/>
      <c r="X39" s="1143"/>
      <c r="Y39" s="1143"/>
      <c r="Z39" s="1143"/>
      <c r="AA39" s="1143"/>
      <c r="AB39" s="1143"/>
      <c r="AC39" s="938"/>
      <c r="AE39" s="8"/>
      <c r="AF39" s="8"/>
      <c r="AG39" s="8"/>
      <c r="AH39" s="8"/>
      <c r="AI39" s="8"/>
      <c r="AJ39" s="8"/>
    </row>
    <row r="40" spans="2:36" x14ac:dyDescent="0.4">
      <c r="B40" s="5"/>
      <c r="C40" s="1144"/>
      <c r="D40" s="892"/>
      <c r="E40" s="892"/>
      <c r="F40" s="894"/>
      <c r="G40" s="894"/>
      <c r="H40" s="94"/>
      <c r="I40" s="895"/>
      <c r="J40" s="94"/>
      <c r="K40" s="94"/>
      <c r="L40" s="94"/>
      <c r="M40" s="897"/>
      <c r="N40" s="897"/>
      <c r="O40" s="895"/>
      <c r="P40" s="94"/>
      <c r="Q40" s="897"/>
      <c r="R40" s="897"/>
      <c r="S40" s="897"/>
      <c r="T40" s="897"/>
      <c r="U40" s="5"/>
      <c r="V40" s="7"/>
      <c r="W40" s="7"/>
      <c r="X40" s="7"/>
      <c r="Y40" s="7"/>
      <c r="Z40" s="7"/>
      <c r="AA40" s="7"/>
      <c r="AB40" s="1018"/>
      <c r="AE40" s="8"/>
      <c r="AF40" s="8"/>
      <c r="AG40" s="8"/>
      <c r="AH40" s="8"/>
      <c r="AI40" s="8"/>
      <c r="AJ40" s="8"/>
    </row>
    <row r="41" spans="2:36" ht="15.45" x14ac:dyDescent="0.4">
      <c r="B41" s="1113"/>
      <c r="C41" s="1114" t="s">
        <v>1143</v>
      </c>
      <c r="D41" s="1115"/>
      <c r="E41" s="1115"/>
      <c r="F41" s="1115"/>
      <c r="G41" s="1115"/>
      <c r="H41" s="1115"/>
      <c r="I41" s="1115"/>
      <c r="J41" s="1115"/>
      <c r="K41" s="1115"/>
      <c r="L41" s="1115"/>
      <c r="M41" s="1115"/>
      <c r="N41" s="1115"/>
      <c r="O41" s="1115"/>
      <c r="P41" s="1115"/>
      <c r="Q41" s="1115"/>
      <c r="R41" s="1115"/>
      <c r="S41" s="1115"/>
      <c r="T41" s="1115"/>
      <c r="U41" s="1115"/>
      <c r="V41" s="1115"/>
      <c r="W41" s="1115"/>
      <c r="X41" s="1115"/>
      <c r="Y41" s="1115"/>
      <c r="Z41" s="1115"/>
      <c r="AA41" s="1115"/>
      <c r="AB41" s="1115"/>
      <c r="AC41" s="3137"/>
    </row>
    <row r="42" spans="2:36" x14ac:dyDescent="0.4">
      <c r="B42" s="1116"/>
      <c r="C42" s="748" t="s">
        <v>1053</v>
      </c>
      <c r="D42" s="706"/>
      <c r="E42" s="706"/>
      <c r="F42" s="706"/>
      <c r="G42" s="706"/>
      <c r="H42" s="706"/>
      <c r="I42" s="1117"/>
      <c r="J42" s="706"/>
      <c r="K42" s="706"/>
      <c r="L42" s="706"/>
      <c r="M42" s="706"/>
      <c r="N42" s="706"/>
      <c r="O42" s="706"/>
      <c r="P42" s="706"/>
      <c r="Q42" s="7"/>
      <c r="R42" s="7"/>
      <c r="S42" s="7"/>
      <c r="T42" s="7"/>
      <c r="U42" s="7"/>
      <c r="V42" s="7"/>
      <c r="W42" s="7"/>
      <c r="X42" s="7"/>
      <c r="Y42" s="7"/>
      <c r="Z42" s="7"/>
      <c r="AA42" s="7"/>
      <c r="AB42" s="290"/>
    </row>
    <row r="43" spans="2:36" x14ac:dyDescent="0.4">
      <c r="B43" s="1116"/>
      <c r="C43" s="700" t="s">
        <v>1144</v>
      </c>
      <c r="D43" s="706"/>
      <c r="E43" s="706"/>
      <c r="F43" s="706"/>
      <c r="G43" s="706"/>
      <c r="H43" s="706"/>
      <c r="I43" s="1117"/>
      <c r="J43" s="706"/>
      <c r="K43" s="706"/>
      <c r="L43" s="706"/>
      <c r="M43" s="706"/>
      <c r="N43" s="706"/>
      <c r="O43" s="706"/>
      <c r="P43" s="706"/>
      <c r="Q43" s="7"/>
      <c r="R43" s="7"/>
      <c r="S43" s="7"/>
      <c r="T43" s="7"/>
      <c r="U43" s="7"/>
      <c r="V43" s="7"/>
      <c r="W43" s="290"/>
      <c r="X43" s="290"/>
      <c r="Y43" s="290"/>
      <c r="Z43" s="290"/>
      <c r="AA43" s="290"/>
      <c r="AB43" s="290"/>
    </row>
    <row r="44" spans="2:36" x14ac:dyDescent="0.4">
      <c r="B44" s="1116"/>
      <c r="C44" s="700" t="s">
        <v>1125</v>
      </c>
      <c r="D44" s="706"/>
      <c r="E44" s="706"/>
      <c r="F44" s="706"/>
      <c r="G44" s="706"/>
      <c r="H44" s="706"/>
      <c r="I44" s="1117"/>
      <c r="J44" s="706"/>
      <c r="K44" s="706"/>
      <c r="L44" s="706"/>
      <c r="M44" s="706"/>
      <c r="N44" s="706"/>
      <c r="O44" s="706"/>
      <c r="P44" s="706"/>
      <c r="Q44" s="7"/>
      <c r="R44" s="7"/>
      <c r="S44" s="7"/>
      <c r="T44" s="7"/>
      <c r="U44" s="7"/>
      <c r="V44" s="7"/>
      <c r="W44" s="290"/>
      <c r="X44" s="290"/>
      <c r="Y44" s="290"/>
      <c r="Z44" s="290"/>
      <c r="AA44" s="290"/>
      <c r="AB44" s="290"/>
    </row>
    <row r="45" spans="2:36" x14ac:dyDescent="0.4">
      <c r="B45" s="1116"/>
      <c r="C45" s="700" t="s">
        <v>1145</v>
      </c>
      <c r="D45" s="706"/>
      <c r="E45" s="706"/>
      <c r="F45" s="706"/>
      <c r="G45" s="706"/>
      <c r="H45" s="706"/>
      <c r="I45" s="1117"/>
      <c r="J45" s="706"/>
      <c r="K45" s="706"/>
      <c r="L45" s="706"/>
      <c r="M45" s="706"/>
      <c r="N45" s="706"/>
      <c r="O45" s="706"/>
      <c r="P45" s="706"/>
      <c r="Q45" s="7"/>
      <c r="R45" s="7"/>
      <c r="S45" s="7"/>
      <c r="T45" s="7"/>
      <c r="U45" s="7"/>
      <c r="V45" s="7"/>
      <c r="W45" s="290"/>
      <c r="X45" s="290"/>
      <c r="Y45" s="290"/>
      <c r="Z45" s="290"/>
      <c r="AA45" s="290"/>
      <c r="AB45" s="290"/>
    </row>
    <row r="46" spans="2:36" x14ac:dyDescent="0.4">
      <c r="B46" s="1116"/>
      <c r="C46" s="700"/>
      <c r="D46" s="706"/>
      <c r="E46" s="706"/>
      <c r="F46" s="706"/>
      <c r="G46" s="706"/>
      <c r="H46" s="706"/>
      <c r="I46" s="1117"/>
      <c r="J46" s="706"/>
      <c r="K46" s="706"/>
      <c r="L46" s="706"/>
      <c r="M46" s="706"/>
      <c r="N46" s="706"/>
      <c r="O46" s="706"/>
      <c r="P46" s="706"/>
      <c r="Q46" s="7"/>
      <c r="R46" s="7"/>
      <c r="S46" s="7"/>
      <c r="T46" s="7"/>
      <c r="U46" s="7"/>
      <c r="V46" s="7"/>
      <c r="W46" s="290"/>
      <c r="X46" s="290"/>
      <c r="Y46" s="290"/>
      <c r="Z46" s="290"/>
      <c r="AA46" s="290"/>
      <c r="AB46" s="290"/>
    </row>
    <row r="47" spans="2:36" x14ac:dyDescent="0.4">
      <c r="B47" s="1116"/>
      <c r="C47" s="748" t="s">
        <v>1056</v>
      </c>
      <c r="D47" s="927">
        <f>SUM(D48)</f>
        <v>0.02</v>
      </c>
      <c r="E47" s="918"/>
      <c r="F47" s="918"/>
      <c r="G47" s="918"/>
      <c r="H47" s="918"/>
      <c r="I47" s="919"/>
      <c r="J47" s="918"/>
      <c r="K47" s="918"/>
      <c r="L47" s="918"/>
      <c r="M47" s="918"/>
      <c r="N47" s="918"/>
      <c r="O47" s="918"/>
      <c r="P47" s="706"/>
      <c r="Q47" s="7"/>
      <c r="R47" s="7"/>
      <c r="S47" s="7"/>
      <c r="T47" s="7"/>
      <c r="U47" s="7"/>
      <c r="V47" s="7"/>
      <c r="W47" s="290"/>
      <c r="X47" s="290"/>
      <c r="Y47" s="290"/>
      <c r="Z47" s="290"/>
      <c r="AA47" s="290"/>
      <c r="AB47" s="290"/>
    </row>
    <row r="48" spans="2:36" ht="15" thickBot="1" x14ac:dyDescent="0.45">
      <c r="B48" s="1116"/>
      <c r="C48" s="7" t="s">
        <v>1146</v>
      </c>
      <c r="D48" s="283">
        <f>total_mfm_failure</f>
        <v>0.02</v>
      </c>
      <c r="E48" s="922"/>
      <c r="F48" s="922"/>
      <c r="G48" s="922"/>
      <c r="H48" s="918"/>
      <c r="I48" s="919"/>
      <c r="J48" s="918"/>
      <c r="K48" s="918"/>
      <c r="L48" s="918"/>
      <c r="M48" s="918"/>
      <c r="N48" s="918"/>
      <c r="O48" s="918"/>
      <c r="P48" s="706"/>
      <c r="Q48" s="7"/>
      <c r="R48" s="7"/>
      <c r="S48" s="7"/>
      <c r="T48" s="7"/>
      <c r="U48" s="7"/>
      <c r="V48" s="7"/>
      <c r="W48" s="290"/>
      <c r="X48" s="290"/>
      <c r="Y48" s="290"/>
      <c r="Z48" s="290"/>
      <c r="AA48" s="290"/>
      <c r="AB48" s="290"/>
    </row>
    <row r="49" spans="2:29" ht="15.75" customHeight="1" thickBot="1" x14ac:dyDescent="0.45">
      <c r="B49" s="1116"/>
      <c r="C49" s="7"/>
      <c r="D49" s="922"/>
      <c r="E49" s="922"/>
      <c r="F49" s="922"/>
      <c r="G49" s="922"/>
      <c r="H49" s="918"/>
      <c r="I49" s="919"/>
      <c r="J49" s="918"/>
      <c r="K49" s="918"/>
      <c r="L49" s="918"/>
      <c r="M49" s="918"/>
      <c r="N49" s="918"/>
      <c r="O49" s="918"/>
      <c r="P49" s="706"/>
      <c r="Q49" s="7"/>
      <c r="R49" s="7"/>
      <c r="S49" s="7"/>
      <c r="T49" s="7"/>
      <c r="U49" s="7"/>
      <c r="V49" s="2992" t="s">
        <v>1143</v>
      </c>
      <c r="W49" s="1119" t="s">
        <v>23</v>
      </c>
      <c r="X49" s="3842" t="s">
        <v>2689</v>
      </c>
      <c r="Y49" s="3843"/>
      <c r="Z49" s="3843"/>
      <c r="AA49" s="3843"/>
      <c r="AB49" s="3844"/>
      <c r="AC49" s="947"/>
    </row>
    <row r="50" spans="2:29" ht="15" thickBot="1" x14ac:dyDescent="0.45">
      <c r="B50" s="1116"/>
      <c r="C50" s="7"/>
      <c r="D50" s="7"/>
      <c r="E50" s="7"/>
      <c r="F50" s="7"/>
      <c r="G50" s="929"/>
      <c r="H50" s="3841" t="s">
        <v>18</v>
      </c>
      <c r="I50" s="3837"/>
      <c r="J50" s="3793" t="s">
        <v>778</v>
      </c>
      <c r="K50" s="3794"/>
      <c r="L50" s="3794"/>
      <c r="M50" s="3794"/>
      <c r="N50" s="3794"/>
      <c r="O50" s="3795"/>
      <c r="P50" s="3793" t="s">
        <v>3</v>
      </c>
      <c r="Q50" s="3795"/>
      <c r="R50" s="3838" t="s">
        <v>779</v>
      </c>
      <c r="S50" s="3839"/>
      <c r="T50" s="3840"/>
      <c r="U50" s="938"/>
      <c r="V50" s="3145" t="s">
        <v>1055</v>
      </c>
      <c r="W50" s="1122">
        <v>1</v>
      </c>
      <c r="X50" s="1512">
        <v>1</v>
      </c>
      <c r="Y50" s="916">
        <v>2</v>
      </c>
      <c r="Z50" s="916">
        <v>3</v>
      </c>
      <c r="AA50" s="916">
        <v>4</v>
      </c>
      <c r="AB50" s="1045">
        <v>6</v>
      </c>
      <c r="AC50" s="1851"/>
    </row>
    <row r="51" spans="2:29" ht="15" thickBot="1" x14ac:dyDescent="0.45">
      <c r="B51" s="1116"/>
      <c r="C51" s="565" t="s">
        <v>1129</v>
      </c>
      <c r="D51" s="559" t="s">
        <v>1061</v>
      </c>
      <c r="E51" s="559" t="s">
        <v>782</v>
      </c>
      <c r="F51" s="1123" t="s">
        <v>783</v>
      </c>
      <c r="G51" s="1124" t="s">
        <v>784</v>
      </c>
      <c r="H51" s="940" t="s">
        <v>785</v>
      </c>
      <c r="I51" s="944" t="s">
        <v>783</v>
      </c>
      <c r="J51" s="940" t="s">
        <v>786</v>
      </c>
      <c r="K51" s="563" t="s">
        <v>787</v>
      </c>
      <c r="L51" s="563" t="s">
        <v>788</v>
      </c>
      <c r="M51" s="563" t="s">
        <v>789</v>
      </c>
      <c r="N51" s="563" t="s">
        <v>790</v>
      </c>
      <c r="O51" s="564" t="s">
        <v>783</v>
      </c>
      <c r="P51" s="560" t="s">
        <v>785</v>
      </c>
      <c r="Q51" s="1145" t="s">
        <v>783</v>
      </c>
      <c r="R51" s="782" t="s">
        <v>781</v>
      </c>
      <c r="S51" s="786" t="s">
        <v>791</v>
      </c>
      <c r="T51" s="787" t="s">
        <v>792</v>
      </c>
      <c r="U51" s="947"/>
      <c r="V51" s="3139" t="s">
        <v>1147</v>
      </c>
      <c r="W51" s="1086">
        <f>SUMIF('Upper Hot Cell Critical Path'!$C$4:$C$151, "*Multifunction Manipulator*", 'Upper Hot Cell Critical Path'!$E$4:$E$151)</f>
        <v>174.9422222222222</v>
      </c>
      <c r="X51" s="1415">
        <f>$W$51</f>
        <v>174.9422222222222</v>
      </c>
      <c r="Y51" s="917">
        <f>$W$51</f>
        <v>174.9422222222222</v>
      </c>
      <c r="Z51" s="917">
        <f>$W$51</f>
        <v>174.9422222222222</v>
      </c>
      <c r="AA51" s="917">
        <f>$W$51</f>
        <v>174.9422222222222</v>
      </c>
      <c r="AB51" s="1028">
        <f>$W$51</f>
        <v>174.9422222222222</v>
      </c>
    </row>
    <row r="52" spans="2:29" x14ac:dyDescent="0.4">
      <c r="B52" s="1116"/>
      <c r="C52" s="1128" t="s">
        <v>1131</v>
      </c>
      <c r="D52" s="659"/>
      <c r="E52" s="659" t="s">
        <v>778</v>
      </c>
      <c r="F52" s="459">
        <f>MAX($Q52,$O52,$I52)</f>
        <v>6.9444444444444448E-2</v>
      </c>
      <c r="G52" s="517">
        <f>F52</f>
        <v>6.9444444444444448E-2</v>
      </c>
      <c r="H52" s="1131"/>
      <c r="I52" s="850" t="str">
        <f>IF(E52="operation",VLOOKUP(H52,'Generic Vertical Port Tasks'!$C$4:$D$189,2,FALSE),"N/A")</f>
        <v>N/A</v>
      </c>
      <c r="J52" s="1131" t="s">
        <v>798</v>
      </c>
      <c r="K52" s="573" t="s">
        <v>799</v>
      </c>
      <c r="L52" s="573" t="s">
        <v>452</v>
      </c>
      <c r="M52" s="853">
        <f>IFERROR(INDEX('Upper Hot Cell Logistics'!$H$35:$O$42,MATCH($K52,'Upper Hot Cell Logistics'!$H$35:$H$41,0),MATCH($L52,'Upper Hot Cell Logistics'!$H$35:$H$41,0)),"N/A")</f>
        <v>50</v>
      </c>
      <c r="N52" s="852">
        <f>IFERROR(VLOOKUP($J52,'Upper Hot Cell Logistics'!$H$4:$I$9,2,FALSE),"N/A")</f>
        <v>0.2</v>
      </c>
      <c r="O52" s="580">
        <f t="shared" ref="O52:O57" si="11">IF(E52="Movement",IFERROR((M52/N52)/(60*60),"Error"),"N/A")</f>
        <v>6.9444444444444448E-2</v>
      </c>
      <c r="P52" s="575"/>
      <c r="Q52" s="576" t="str">
        <f>IF($E52="Logistics",VLOOKUP($P52,'Upper Hot Cell Logistics'!$C$4:$D$51,2,FALSE),"N/A")</f>
        <v>N/A</v>
      </c>
      <c r="R52" s="1133"/>
      <c r="S52" s="320" t="str">
        <f>IFERROR(VLOOKUP($Q52,'Upper HotCell RecoveryLogisitcs'!$C$5:$F$248,4,FALSE),"N/A")</f>
        <v>N/A</v>
      </c>
      <c r="T52" s="319" t="str">
        <f>IFERROR(G52-F52-S52,"N/A")</f>
        <v>N/A</v>
      </c>
      <c r="U52" s="947"/>
      <c r="V52" s="3140" t="s">
        <v>2668</v>
      </c>
      <c r="W52" s="1086">
        <f>W51</f>
        <v>174.9422222222222</v>
      </c>
      <c r="X52" s="1415">
        <f>ROUNDUP((Tokamak_Segmts/X50),0)*(X51)</f>
        <v>2799.0755555555552</v>
      </c>
      <c r="Y52" s="917">
        <f>ROUNDUP((Tokamak_Segmts/Y50),0)*(Y51)</f>
        <v>1399.5377777777776</v>
      </c>
      <c r="Z52" s="917">
        <f>ROUNDUP((Tokamak_Segmts/Z50),0)*(Z51)</f>
        <v>1049.6533333333332</v>
      </c>
      <c r="AA52" s="917">
        <f>ROUNDUP((Tokamak_Segmts/AA50),0)*(AA51)</f>
        <v>699.7688888888888</v>
      </c>
      <c r="AB52" s="1028">
        <f>ROUNDUP((Tokamak_Segmts/AB50),0)*(AB51)</f>
        <v>524.8266666666666</v>
      </c>
    </row>
    <row r="53" spans="2:29" ht="15" thickBot="1" x14ac:dyDescent="0.45">
      <c r="B53" s="1116"/>
      <c r="C53" s="1128" t="s">
        <v>1132</v>
      </c>
      <c r="D53" s="659"/>
      <c r="E53" s="659" t="s">
        <v>3</v>
      </c>
      <c r="F53" s="459">
        <f>MAX($Q53,$O53,$I53)</f>
        <v>3.1</v>
      </c>
      <c r="G53" s="517">
        <f>IF(T53&lt;0,F53+G52+(-T53),F53+G52)</f>
        <v>3.1694444444444447</v>
      </c>
      <c r="H53" s="1131"/>
      <c r="I53" s="850" t="str">
        <f>IF(E53="operation",VLOOKUP(H53,'Generic Vertical Port Tasks'!$C$4:$D$189,2,FALSE),"N/A")</f>
        <v>N/A</v>
      </c>
      <c r="J53" s="1131"/>
      <c r="K53" s="573"/>
      <c r="L53" s="573"/>
      <c r="M53" s="853" t="str">
        <f>IFERROR(INDEX('Upper Hot Cell Logistics'!$H$35:$O$42,MATCH($K53,'Upper Hot Cell Logistics'!$H$35:$H$41,0),MATCH($L53,'Upper Hot Cell Logistics'!$H$35:$H$41,0)),"N/A")</f>
        <v>N/A</v>
      </c>
      <c r="N53" s="852" t="str">
        <f>IFERROR(VLOOKUP($J53,'Upper Hot Cell Logistics'!$H$4:$I$9,2,FALSE),"N/A")</f>
        <v>N/A</v>
      </c>
      <c r="O53" s="580" t="str">
        <f t="shared" si="11"/>
        <v>N/A</v>
      </c>
      <c r="P53" s="575" t="s">
        <v>1025</v>
      </c>
      <c r="Q53" s="576">
        <f>IF($E53="Logistics",VLOOKUP($P53,'Upper Hot Cell Logistics'!$C$4:$D$51,2,FALSE),"N/A")</f>
        <v>3.1</v>
      </c>
      <c r="R53" s="1134"/>
      <c r="S53" s="853" t="str">
        <f>IFERROR(VLOOKUP($Q53,'Upper HotCell RecoveryLogisitcs'!$C$5:$F$248,4,FALSE),"N/A")</f>
        <v>N/A</v>
      </c>
      <c r="T53" s="576" t="str">
        <f>IFERROR(G52-S53,"N/A")</f>
        <v>N/A</v>
      </c>
      <c r="U53" s="947"/>
      <c r="V53" s="3141" t="s">
        <v>2666</v>
      </c>
      <c r="W53" s="1089">
        <f>W$52*$D$47</f>
        <v>3.498844444444444</v>
      </c>
      <c r="X53" s="1416">
        <f t="shared" ref="X53:AB53" si="12">X$52*$D$47</f>
        <v>55.981511111111104</v>
      </c>
      <c r="Y53" s="920">
        <f t="shared" si="12"/>
        <v>27.990755555555552</v>
      </c>
      <c r="Z53" s="920">
        <f t="shared" si="12"/>
        <v>20.993066666666664</v>
      </c>
      <c r="AA53" s="920">
        <f t="shared" si="12"/>
        <v>13.995377777777776</v>
      </c>
      <c r="AB53" s="1029">
        <f t="shared" si="12"/>
        <v>10.496533333333332</v>
      </c>
    </row>
    <row r="54" spans="2:29" x14ac:dyDescent="0.4">
      <c r="B54" s="1116"/>
      <c r="C54" s="1128" t="s">
        <v>1148</v>
      </c>
      <c r="D54" s="659" t="s">
        <v>1149</v>
      </c>
      <c r="E54" s="659" t="s">
        <v>251</v>
      </c>
      <c r="F54" s="459">
        <v>3</v>
      </c>
      <c r="G54" s="517">
        <f>IF(T54&lt;0,F54+G53+(-T54),F54+G53)</f>
        <v>6.1694444444444443</v>
      </c>
      <c r="H54" s="1131" t="s">
        <v>1135</v>
      </c>
      <c r="I54" s="850">
        <v>3</v>
      </c>
      <c r="J54" s="1131"/>
      <c r="K54" s="573"/>
      <c r="L54" s="573"/>
      <c r="M54" s="853" t="str">
        <f>IFERROR(INDEX('Upper Hot Cell Logistics'!$H$35:$O$42,MATCH($K54,'Upper Hot Cell Logistics'!$H$35:$H$41,0),MATCH($L54,'Upper Hot Cell Logistics'!$H$35:$H$41,0)),"N/A")</f>
        <v>N/A</v>
      </c>
      <c r="N54" s="852" t="str">
        <f>IFERROR(VLOOKUP($J54,'Upper Hot Cell Logistics'!$H$4:$I$9,2,FALSE),"N/A")</f>
        <v>N/A</v>
      </c>
      <c r="O54" s="580" t="str">
        <f t="shared" si="11"/>
        <v>N/A</v>
      </c>
      <c r="P54" s="575"/>
      <c r="Q54" s="576" t="str">
        <f>IF($E54="Logistics",VLOOKUP($P54,'Upper Hot Cell Logistics'!$C$4:$D$51,2,FALSE),"N/A")</f>
        <v>N/A</v>
      </c>
      <c r="R54" s="1134"/>
      <c r="S54" s="853" t="str">
        <f>IFERROR(VLOOKUP($Q54,'Upper HotCell RecoveryLogisitcs'!$C$5:$F$248,4,FALSE),"N/A")</f>
        <v>N/A</v>
      </c>
      <c r="T54" s="576" t="str">
        <f>IFERROR(G53-S54,"N/A")</f>
        <v>N/A</v>
      </c>
      <c r="U54" s="897"/>
      <c r="V54" s="3142" t="s">
        <v>1048</v>
      </c>
      <c r="W54" s="1086">
        <f t="shared" ref="W54:AB54" si="13">W53*(SUMIF($E$52:$E$57,"Operation",$F$52:$F$57))</f>
        <v>17.49422222222222</v>
      </c>
      <c r="X54" s="1083">
        <f t="shared" si="13"/>
        <v>279.90755555555552</v>
      </c>
      <c r="Y54" s="1084">
        <f t="shared" si="13"/>
        <v>139.95377777777776</v>
      </c>
      <c r="Z54" s="1084">
        <f t="shared" si="13"/>
        <v>104.96533333333332</v>
      </c>
      <c r="AA54" s="1084">
        <f t="shared" si="13"/>
        <v>69.97688888888888</v>
      </c>
      <c r="AB54" s="1085">
        <f t="shared" si="13"/>
        <v>52.48266666666666</v>
      </c>
    </row>
    <row r="55" spans="2:29" x14ac:dyDescent="0.4">
      <c r="B55" s="1116"/>
      <c r="C55" s="1128" t="s">
        <v>1150</v>
      </c>
      <c r="D55" s="659"/>
      <c r="E55" s="659" t="s">
        <v>778</v>
      </c>
      <c r="F55" s="459">
        <f>MAX($Q55,$O55,$I55)</f>
        <v>0.69444444444444442</v>
      </c>
      <c r="G55" s="517">
        <f>IF(T55&lt;0,F55+G54+(-T55),F55+G54)</f>
        <v>6.8638888888888889</v>
      </c>
      <c r="H55" s="1131"/>
      <c r="I55" s="850" t="str">
        <f>IF(E55="operation",VLOOKUP(H55,'Generic Vertical Port Tasks'!$C$4:$D$189,2,FALSE),"N/A")</f>
        <v>N/A</v>
      </c>
      <c r="J55" s="1131" t="s">
        <v>857</v>
      </c>
      <c r="K55" s="573" t="s">
        <v>452</v>
      </c>
      <c r="L55" s="573" t="s">
        <v>914</v>
      </c>
      <c r="M55" s="853">
        <f>IFERROR(INDEX('Upper Hot Cell Logistics'!$H$35:$O$42,MATCH($K55,'Upper Hot Cell Logistics'!$H$35:$H$41,0),MATCH($L55,'Upper Hot Cell Logistics'!$H$35:$H$41,0)),"N/A")</f>
        <v>50</v>
      </c>
      <c r="N55" s="852">
        <f>IFERROR(VLOOKUP($J55,'Upper Hot Cell Logistics'!$H$4:$I$9,2,FALSE),"N/A")</f>
        <v>0.02</v>
      </c>
      <c r="O55" s="580">
        <f t="shared" si="11"/>
        <v>0.69444444444444442</v>
      </c>
      <c r="P55" s="575"/>
      <c r="Q55" s="576" t="str">
        <f>IF($E55="Logistics",VLOOKUP($P55,'Upper Hot Cell Logistics'!$C$4:$D$51,2,FALSE),"N/A")</f>
        <v>N/A</v>
      </c>
      <c r="R55" s="1134"/>
      <c r="S55" s="853" t="str">
        <f>IFERROR(VLOOKUP($Q55,'Upper HotCell RecoveryLogisitcs'!$C$5:$F$248,4,FALSE),"N/A")</f>
        <v>N/A</v>
      </c>
      <c r="T55" s="576" t="str">
        <f>IFERROR(G54-S55,"N/A")</f>
        <v>N/A</v>
      </c>
      <c r="U55" s="5"/>
      <c r="V55" s="3139" t="s">
        <v>1049</v>
      </c>
      <c r="W55" s="1086">
        <f t="shared" ref="W55:AB55" si="14">W53*(SUMIF($E$52:$E$57,"Movement",$F$52:$F$57)+(SUMIF($E$52:$E$57,"Logistics",$F$52:$F$57)))</f>
        <v>13.762121481481481</v>
      </c>
      <c r="X55" s="1087">
        <f t="shared" si="14"/>
        <v>220.1939437037037</v>
      </c>
      <c r="Y55" s="915">
        <f t="shared" si="14"/>
        <v>110.09697185185185</v>
      </c>
      <c r="Z55" s="915">
        <f t="shared" si="14"/>
        <v>82.572728888888889</v>
      </c>
      <c r="AA55" s="915">
        <f t="shared" si="14"/>
        <v>55.048485925925924</v>
      </c>
      <c r="AB55" s="1088">
        <f t="shared" si="14"/>
        <v>41.286364444444445</v>
      </c>
    </row>
    <row r="56" spans="2:29" ht="15" thickBot="1" x14ac:dyDescent="0.45">
      <c r="B56" s="1116"/>
      <c r="C56" s="1128" t="s">
        <v>1151</v>
      </c>
      <c r="D56" s="659" t="s">
        <v>1152</v>
      </c>
      <c r="E56" s="659" t="s">
        <v>251</v>
      </c>
      <c r="F56" s="459">
        <v>2</v>
      </c>
      <c r="G56" s="517">
        <f>IF(T56&lt;0,F56+G55+(-T56),F56+G55)</f>
        <v>8.8638888888888889</v>
      </c>
      <c r="H56" s="1131" t="s">
        <v>1135</v>
      </c>
      <c r="I56" s="850">
        <v>2</v>
      </c>
      <c r="J56" s="1131"/>
      <c r="K56" s="573"/>
      <c r="L56" s="573"/>
      <c r="M56" s="853" t="str">
        <f>IFERROR(INDEX('Upper Hot Cell Logistics'!$H$35:$O$42,MATCH($K56,'Upper Hot Cell Logistics'!$H$35:$H$41,0),MATCH($L56,'Upper Hot Cell Logistics'!$H$35:$H$41,0)),"N/A")</f>
        <v>N/A</v>
      </c>
      <c r="N56" s="852" t="str">
        <f>IFERROR(VLOOKUP($J56,'Upper Hot Cell Logistics'!$H$4:$I$9,2,FALSE),"N/A")</f>
        <v>N/A</v>
      </c>
      <c r="O56" s="580" t="str">
        <f t="shared" si="11"/>
        <v>N/A</v>
      </c>
      <c r="P56" s="575"/>
      <c r="Q56" s="576" t="str">
        <f>IF($E56="Logistics",VLOOKUP($P56,'Upper Hot Cell Logistics'!$C$4:$D$51,2,FALSE),"N/A")</f>
        <v>N/A</v>
      </c>
      <c r="R56" s="1134"/>
      <c r="S56" s="853" t="str">
        <f>IFERROR(VLOOKUP($Q56,'Upper HotCell RecoveryLogisitcs'!$C$5:$F$248,4,FALSE),"N/A")</f>
        <v>N/A</v>
      </c>
      <c r="T56" s="576" t="str">
        <f>IFERROR(G55-S56,"N/A")</f>
        <v>N/A</v>
      </c>
      <c r="U56" s="7"/>
      <c r="V56" s="3143" t="s">
        <v>2657</v>
      </c>
      <c r="W56" s="1089">
        <f t="shared" ref="W56:AB56" si="15">W53*(-SUMIF($T$52:$T$57,"&lt;0"))</f>
        <v>0</v>
      </c>
      <c r="X56" s="1090">
        <f t="shared" si="15"/>
        <v>0</v>
      </c>
      <c r="Y56" s="1091">
        <f t="shared" si="15"/>
        <v>0</v>
      </c>
      <c r="Z56" s="1091">
        <f t="shared" si="15"/>
        <v>0</v>
      </c>
      <c r="AA56" s="1091">
        <f t="shared" si="15"/>
        <v>0</v>
      </c>
      <c r="AB56" s="1092">
        <f t="shared" si="15"/>
        <v>0</v>
      </c>
    </row>
    <row r="57" spans="2:29" ht="15" thickBot="1" x14ac:dyDescent="0.45">
      <c r="B57" s="1116"/>
      <c r="C57" s="1146" t="s">
        <v>1153</v>
      </c>
      <c r="D57" s="1147"/>
      <c r="E57" s="1147" t="s">
        <v>778</v>
      </c>
      <c r="F57" s="467">
        <f>MAX($Q57,$O57,$I57)</f>
        <v>6.9444444444444448E-2</v>
      </c>
      <c r="G57" s="1148">
        <f>IF(T57&lt;0,F57+G56+(-T57),F57+G56)</f>
        <v>8.9333333333333336</v>
      </c>
      <c r="H57" s="1136"/>
      <c r="I57" s="591" t="str">
        <f>IF(E57="operation",VLOOKUP(H57,'Generic Vertical Port Tasks'!$C$4:$D$189,2,FALSE),"N/A")</f>
        <v>N/A</v>
      </c>
      <c r="J57" s="1136" t="s">
        <v>798</v>
      </c>
      <c r="K57" s="584" t="s">
        <v>799</v>
      </c>
      <c r="L57" s="584" t="s">
        <v>452</v>
      </c>
      <c r="M57" s="814">
        <f>IFERROR(INDEX('Upper Hot Cell Logistics'!$H$35:$O$42,MATCH($K57,'Upper Hot Cell Logistics'!$H$35:$H$41,0),MATCH($L57,'Upper Hot Cell Logistics'!$H$35:$H$41,0)),"N/A")</f>
        <v>50</v>
      </c>
      <c r="N57" s="813">
        <f>IFERROR(VLOOKUP($J57,'Upper Hot Cell Logistics'!$H$4:$I$9,2,FALSE),"N/A")</f>
        <v>0.2</v>
      </c>
      <c r="O57" s="591">
        <f t="shared" si="11"/>
        <v>6.9444444444444448E-2</v>
      </c>
      <c r="P57" s="586"/>
      <c r="Q57" s="587" t="str">
        <f>IF($E57="Logistics",VLOOKUP($P57,'Upper Hot Cell Logistics'!$C$4:$D$51,2,FALSE),"N/A")</f>
        <v>N/A</v>
      </c>
      <c r="R57" s="1137"/>
      <c r="S57" s="814" t="str">
        <f>IFERROR(VLOOKUP($Q57,'Upper HotCell RecoveryLogisitcs'!$C$5:$F$248,4,FALSE),"N/A")</f>
        <v>N/A</v>
      </c>
      <c r="T57" s="587" t="str">
        <f>IFERROR(G56-S57,"N/A")</f>
        <v>N/A</v>
      </c>
      <c r="U57" s="7"/>
      <c r="V57" s="3144" t="s">
        <v>2686</v>
      </c>
      <c r="W57" s="1089">
        <f t="shared" ref="W57:AB57" si="16">W$53*$G$58</f>
        <v>31.256343703703699</v>
      </c>
      <c r="X57" s="1416">
        <f t="shared" si="16"/>
        <v>500.10149925925919</v>
      </c>
      <c r="Y57" s="920">
        <f t="shared" si="16"/>
        <v>250.05074962962959</v>
      </c>
      <c r="Z57" s="920">
        <f t="shared" si="16"/>
        <v>187.53806222222221</v>
      </c>
      <c r="AA57" s="920">
        <f t="shared" si="16"/>
        <v>125.0253748148148</v>
      </c>
      <c r="AB57" s="1029">
        <f t="shared" si="16"/>
        <v>93.769031111111104</v>
      </c>
    </row>
    <row r="58" spans="2:29" x14ac:dyDescent="0.4">
      <c r="B58" s="1116"/>
      <c r="C58" s="1149"/>
      <c r="D58" s="1139"/>
      <c r="E58" s="893" t="s">
        <v>11</v>
      </c>
      <c r="F58" s="893"/>
      <c r="G58" s="894">
        <f>G57</f>
        <v>8.9333333333333336</v>
      </c>
      <c r="H58" s="1139"/>
      <c r="I58" s="1140"/>
      <c r="J58" s="1139"/>
      <c r="K58" s="1139"/>
      <c r="L58" s="1139"/>
      <c r="M58" s="1139"/>
      <c r="N58" s="1139"/>
      <c r="O58" s="1139"/>
      <c r="P58" s="1141"/>
      <c r="Q58" s="7"/>
      <c r="R58" s="7"/>
      <c r="S58" s="7"/>
      <c r="T58" s="7"/>
      <c r="U58" s="7"/>
    </row>
    <row r="59" spans="2:29" x14ac:dyDescent="0.4">
      <c r="B59" s="1116"/>
      <c r="C59" s="5"/>
      <c r="D59" s="1139"/>
      <c r="E59" s="1140"/>
      <c r="F59" s="1139"/>
      <c r="G59" s="1139"/>
      <c r="H59" s="1139"/>
      <c r="I59" s="1140"/>
      <c r="J59" s="1139"/>
      <c r="K59" s="1139"/>
      <c r="L59" s="1139"/>
      <c r="M59" s="1139"/>
      <c r="N59" s="1139"/>
      <c r="O59" s="1139"/>
      <c r="P59" s="1141"/>
      <c r="Q59" s="7"/>
      <c r="R59" s="7"/>
      <c r="S59" s="7"/>
      <c r="T59" s="7"/>
      <c r="U59" s="7"/>
    </row>
    <row r="60" spans="2:29" ht="15" thickBot="1" x14ac:dyDescent="0.45">
      <c r="B60" s="1116"/>
      <c r="C60" s="5"/>
      <c r="D60" s="1139"/>
      <c r="E60" s="1140"/>
      <c r="F60" s="1139"/>
      <c r="G60" s="1139"/>
      <c r="H60" s="1139"/>
      <c r="I60" s="1140"/>
      <c r="J60" s="1139"/>
      <c r="K60" s="1139"/>
      <c r="L60" s="1139"/>
      <c r="M60" s="1139"/>
      <c r="N60" s="1139"/>
      <c r="O60" s="1139"/>
      <c r="P60" s="1141"/>
      <c r="Q60" s="7"/>
      <c r="R60" s="7"/>
      <c r="S60" s="7"/>
      <c r="T60" s="7"/>
      <c r="U60" s="7"/>
    </row>
    <row r="61" spans="2:29" x14ac:dyDescent="0.4">
      <c r="B61" s="1142"/>
      <c r="C61" s="1015"/>
      <c r="D61" s="1015"/>
      <c r="E61" s="1015"/>
      <c r="F61" s="1015"/>
      <c r="G61" s="1015"/>
      <c r="H61" s="1015"/>
      <c r="I61" s="1018"/>
      <c r="J61" s="1015"/>
      <c r="K61" s="1015"/>
      <c r="L61" s="1015"/>
      <c r="M61" s="1015"/>
      <c r="N61" s="1015"/>
      <c r="O61" s="1015"/>
      <c r="P61" s="1015"/>
      <c r="Q61" s="1015"/>
      <c r="R61" s="1015"/>
      <c r="S61" s="1015"/>
      <c r="T61" s="1015"/>
      <c r="U61" s="1015"/>
      <c r="V61" s="914"/>
      <c r="W61" s="914"/>
      <c r="X61" s="914"/>
      <c r="Y61" s="914"/>
      <c r="Z61" s="914"/>
      <c r="AA61" s="914"/>
      <c r="AB61" s="2972"/>
      <c r="AC61" s="938"/>
    </row>
    <row r="62" spans="2:29" x14ac:dyDescent="0.4">
      <c r="B62" s="5"/>
      <c r="C62" s="7"/>
      <c r="D62" s="7"/>
      <c r="E62" s="7"/>
      <c r="F62" s="7"/>
      <c r="G62" s="7"/>
      <c r="H62" s="7"/>
      <c r="I62" s="290"/>
      <c r="J62" s="7"/>
      <c r="K62" s="7"/>
      <c r="L62" s="7"/>
      <c r="M62" s="7"/>
      <c r="N62" s="7"/>
      <c r="O62" s="7"/>
      <c r="P62" s="7"/>
      <c r="Q62" s="7"/>
      <c r="R62" s="7"/>
      <c r="S62" s="7"/>
      <c r="T62" s="7"/>
      <c r="U62" s="7"/>
      <c r="V62" s="938"/>
      <c r="W62" s="938"/>
      <c r="X62" s="938"/>
      <c r="Y62" s="938"/>
      <c r="Z62" s="938"/>
      <c r="AA62" s="938"/>
      <c r="AB62" s="938"/>
      <c r="AC62" s="938"/>
    </row>
    <row r="63" spans="2:29" ht="15.45" x14ac:dyDescent="0.4">
      <c r="B63" s="1113"/>
      <c r="C63" s="1114" t="s">
        <v>1154</v>
      </c>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3138"/>
    </row>
    <row r="64" spans="2:29" x14ac:dyDescent="0.4">
      <c r="B64" s="1116"/>
      <c r="C64" s="748" t="s">
        <v>1053</v>
      </c>
      <c r="D64" s="706"/>
      <c r="E64" s="706"/>
      <c r="F64" s="706"/>
      <c r="G64" s="706"/>
      <c r="H64" s="706"/>
      <c r="I64" s="1117"/>
      <c r="J64" s="706"/>
      <c r="K64" s="706"/>
      <c r="L64" s="706"/>
      <c r="M64" s="706"/>
      <c r="N64" s="706"/>
      <c r="O64" s="706"/>
      <c r="P64" s="706"/>
      <c r="Q64" s="7"/>
      <c r="R64" s="7"/>
      <c r="S64" s="7"/>
      <c r="T64" s="7"/>
      <c r="U64" s="7"/>
      <c r="V64" s="7"/>
      <c r="W64" s="290"/>
      <c r="X64" s="290"/>
      <c r="Y64" s="290"/>
      <c r="Z64" s="290"/>
      <c r="AA64" s="290"/>
      <c r="AB64" s="290"/>
    </row>
    <row r="65" spans="2:30" x14ac:dyDescent="0.4">
      <c r="B65" s="1116"/>
      <c r="C65" s="700" t="s">
        <v>1124</v>
      </c>
      <c r="D65" s="706"/>
      <c r="E65" s="706"/>
      <c r="F65" s="706"/>
      <c r="G65" s="706"/>
      <c r="H65" s="706"/>
      <c r="I65" s="1117"/>
      <c r="J65" s="706"/>
      <c r="K65" s="706"/>
      <c r="L65" s="706"/>
      <c r="M65" s="706"/>
      <c r="N65" s="706"/>
      <c r="O65" s="706"/>
      <c r="P65" s="706"/>
      <c r="Q65" s="7"/>
      <c r="R65" s="7"/>
      <c r="S65" s="7"/>
      <c r="T65" s="7"/>
      <c r="U65" s="7"/>
      <c r="V65" s="7"/>
      <c r="W65" s="290"/>
      <c r="X65" s="290"/>
      <c r="Y65" s="290"/>
      <c r="Z65" s="290"/>
      <c r="AA65" s="290"/>
      <c r="AB65" s="290"/>
    </row>
    <row r="66" spans="2:30" x14ac:dyDescent="0.4">
      <c r="B66" s="1116"/>
      <c r="C66" t="s">
        <v>1155</v>
      </c>
      <c r="D66" s="706"/>
      <c r="E66" s="706"/>
      <c r="F66" s="706"/>
      <c r="G66" s="706"/>
      <c r="H66" s="706"/>
      <c r="I66" s="1117"/>
      <c r="J66" s="706"/>
      <c r="K66" s="706"/>
      <c r="L66" s="706"/>
      <c r="M66" s="706"/>
      <c r="N66" s="706"/>
      <c r="O66" s="706"/>
      <c r="P66" s="706"/>
      <c r="Q66" s="7"/>
      <c r="R66" s="7"/>
      <c r="S66" s="7"/>
      <c r="T66" s="7"/>
      <c r="U66" s="7"/>
      <c r="V66" s="7"/>
      <c r="W66" s="290"/>
      <c r="X66" s="290"/>
      <c r="Y66" s="290"/>
      <c r="Z66" s="290"/>
      <c r="AA66" s="290"/>
      <c r="AB66" s="290"/>
    </row>
    <row r="67" spans="2:30" x14ac:dyDescent="0.4">
      <c r="B67" s="1116"/>
      <c r="C67" s="700" t="s">
        <v>1125</v>
      </c>
      <c r="D67" s="706"/>
      <c r="E67" s="706"/>
      <c r="F67" s="706"/>
      <c r="G67" s="706"/>
      <c r="H67" s="706"/>
      <c r="I67" s="1117"/>
      <c r="J67" s="706"/>
      <c r="K67" s="706"/>
      <c r="L67" s="706"/>
      <c r="M67" s="706"/>
      <c r="N67" s="706"/>
      <c r="O67" s="706"/>
      <c r="P67" s="706"/>
      <c r="Q67" s="7"/>
      <c r="R67" s="7"/>
      <c r="S67" s="7"/>
      <c r="T67" s="7"/>
      <c r="U67" s="7"/>
      <c r="V67" s="7"/>
      <c r="W67" s="290"/>
      <c r="X67" s="290"/>
      <c r="Y67" s="290"/>
      <c r="Z67" s="290"/>
      <c r="AA67" s="290"/>
      <c r="AB67" s="290"/>
    </row>
    <row r="68" spans="2:30" x14ac:dyDescent="0.4">
      <c r="B68" s="1116"/>
      <c r="C68" s="700" t="s">
        <v>1156</v>
      </c>
      <c r="D68" s="706"/>
      <c r="E68" s="706"/>
      <c r="F68" s="706"/>
      <c r="G68" s="706"/>
      <c r="H68" s="706"/>
      <c r="I68" s="1117"/>
      <c r="J68" s="706"/>
      <c r="K68" s="706"/>
      <c r="L68" s="706"/>
      <c r="M68" s="706"/>
      <c r="N68" s="706"/>
      <c r="O68" s="706"/>
      <c r="P68" s="706"/>
      <c r="Q68" s="7"/>
      <c r="R68" s="7"/>
      <c r="S68" s="7"/>
      <c r="T68" s="7"/>
      <c r="U68" s="7"/>
      <c r="V68" s="7"/>
      <c r="W68" s="290"/>
      <c r="X68" s="290"/>
      <c r="Y68" s="290"/>
      <c r="Z68" s="290"/>
      <c r="AA68" s="290"/>
      <c r="AB68" s="290"/>
    </row>
    <row r="69" spans="2:30" ht="15" thickBot="1" x14ac:dyDescent="0.45">
      <c r="B69" s="1116"/>
      <c r="C69" s="700"/>
      <c r="D69" s="706"/>
      <c r="E69" s="706"/>
      <c r="F69" s="706"/>
      <c r="G69" s="706"/>
      <c r="H69" s="706"/>
      <c r="I69" s="1117"/>
      <c r="J69" s="706"/>
      <c r="K69" s="706"/>
      <c r="L69" s="706"/>
      <c r="M69" s="706"/>
      <c r="N69" s="706"/>
      <c r="O69" s="706"/>
      <c r="P69" s="706"/>
      <c r="Q69" s="7"/>
      <c r="R69" s="7"/>
      <c r="S69" s="7"/>
      <c r="T69" s="7"/>
      <c r="U69" s="7"/>
      <c r="V69" s="7"/>
      <c r="W69" s="290"/>
      <c r="X69" s="290"/>
      <c r="Y69" s="290"/>
      <c r="Z69" s="290"/>
      <c r="AA69" s="290"/>
      <c r="AB69" s="290"/>
    </row>
    <row r="70" spans="2:30" x14ac:dyDescent="0.4">
      <c r="B70" s="1116"/>
      <c r="C70" s="748" t="s">
        <v>1056</v>
      </c>
      <c r="D70" s="927">
        <f>SUM(D71)</f>
        <v>0.05</v>
      </c>
      <c r="E70" s="918"/>
      <c r="F70" s="918"/>
      <c r="G70" s="918"/>
      <c r="H70" s="918"/>
      <c r="I70" s="919"/>
      <c r="J70" s="918"/>
      <c r="K70" s="918"/>
      <c r="L70" s="918"/>
      <c r="M70" s="918"/>
      <c r="N70" s="918"/>
      <c r="O70" s="918"/>
      <c r="P70" s="706"/>
      <c r="Q70" s="7"/>
      <c r="R70" s="7"/>
      <c r="S70" s="7"/>
      <c r="T70" s="7"/>
      <c r="U70" s="7"/>
      <c r="V70" s="2992" t="s">
        <v>1154</v>
      </c>
      <c r="W70" s="1119" t="s">
        <v>23</v>
      </c>
      <c r="X70" s="3842" t="s">
        <v>2689</v>
      </c>
      <c r="Y70" s="3843"/>
      <c r="Z70" s="3843"/>
      <c r="AA70" s="3843"/>
      <c r="AB70" s="3844"/>
    </row>
    <row r="71" spans="2:30" ht="15" customHeight="1" x14ac:dyDescent="0.4">
      <c r="B71" s="1116"/>
      <c r="C71" s="7" t="s">
        <v>1157</v>
      </c>
      <c r="D71" s="283">
        <f>total_BT_failure</f>
        <v>0.05</v>
      </c>
      <c r="E71" s="922"/>
      <c r="F71" s="922"/>
      <c r="G71" s="922"/>
      <c r="H71" s="918"/>
      <c r="I71" s="919"/>
      <c r="J71" s="918"/>
      <c r="K71" s="918"/>
      <c r="L71" s="918"/>
      <c r="M71" s="918"/>
      <c r="N71" s="918"/>
      <c r="O71" s="918"/>
      <c r="P71" s="706"/>
      <c r="Q71" s="7"/>
      <c r="R71" s="7"/>
      <c r="S71" s="7"/>
      <c r="T71" s="7"/>
      <c r="U71" s="7"/>
      <c r="V71" s="3145" t="s">
        <v>1055</v>
      </c>
      <c r="W71" s="1122">
        <v>1</v>
      </c>
      <c r="X71" s="1512">
        <v>1</v>
      </c>
      <c r="Y71" s="916">
        <v>2</v>
      </c>
      <c r="Z71" s="916">
        <v>3</v>
      </c>
      <c r="AA71" s="916">
        <v>4</v>
      </c>
      <c r="AB71" s="1045">
        <v>6</v>
      </c>
      <c r="AC71" s="947"/>
    </row>
    <row r="72" spans="2:30" ht="15" thickBot="1" x14ac:dyDescent="0.45">
      <c r="B72" s="1116"/>
      <c r="C72" s="7"/>
      <c r="D72" s="922"/>
      <c r="E72" s="922"/>
      <c r="F72" s="922"/>
      <c r="G72" s="922"/>
      <c r="H72" s="918"/>
      <c r="I72" s="919"/>
      <c r="J72" s="918"/>
      <c r="K72" s="918"/>
      <c r="L72" s="918"/>
      <c r="M72" s="918"/>
      <c r="N72" s="918"/>
      <c r="O72" s="918"/>
      <c r="P72" s="706"/>
      <c r="Q72" s="7"/>
      <c r="R72" s="7"/>
      <c r="S72" s="7"/>
      <c r="T72" s="7"/>
      <c r="U72" s="7"/>
      <c r="V72" s="3139" t="s">
        <v>1158</v>
      </c>
      <c r="W72" s="1086">
        <f>SUM('Upper Hot Cell Critical Path'!$E$73:$E$82)</f>
        <v>29.047222222222224</v>
      </c>
      <c r="X72" s="1415">
        <f>SUM('Upper Hot Cell Critical Path'!$E$73:$E$82)</f>
        <v>29.047222222222224</v>
      </c>
      <c r="Y72" s="917">
        <f>SUM('Upper Hot Cell Critical Path'!$E$73:$E$82)</f>
        <v>29.047222222222224</v>
      </c>
      <c r="Z72" s="917">
        <f>SUM('Upper Hot Cell Critical Path'!$E$73:$E$82)</f>
        <v>29.047222222222224</v>
      </c>
      <c r="AA72" s="917">
        <f>SUM('Upper Hot Cell Critical Path'!$E$73:$E$82)</f>
        <v>29.047222222222224</v>
      </c>
      <c r="AB72" s="1028">
        <f>SUM('Upper Hot Cell Critical Path'!$E$73:$E$82)</f>
        <v>29.047222222222224</v>
      </c>
      <c r="AC72" s="1851"/>
    </row>
    <row r="73" spans="2:30" ht="15" thickBot="1" x14ac:dyDescent="0.45">
      <c r="B73" s="1116"/>
      <c r="C73" s="7"/>
      <c r="D73" s="7"/>
      <c r="E73" s="7"/>
      <c r="F73" s="7"/>
      <c r="G73" s="1150"/>
      <c r="H73" s="3836" t="s">
        <v>18</v>
      </c>
      <c r="I73" s="3837"/>
      <c r="J73" s="3793" t="s">
        <v>778</v>
      </c>
      <c r="K73" s="3794"/>
      <c r="L73" s="3794"/>
      <c r="M73" s="3794"/>
      <c r="N73" s="3794"/>
      <c r="O73" s="3795"/>
      <c r="P73" s="3793" t="s">
        <v>3</v>
      </c>
      <c r="Q73" s="3795"/>
      <c r="R73" s="3838" t="s">
        <v>779</v>
      </c>
      <c r="S73" s="3839"/>
      <c r="T73" s="3840"/>
      <c r="U73" s="938"/>
      <c r="V73" s="3140" t="s">
        <v>1159</v>
      </c>
      <c r="W73" s="1086">
        <f>SUM('Upper Hot Cell Critical Path'!$E$91:$E$100)</f>
        <v>25.12222222222222</v>
      </c>
      <c r="X73" s="1087">
        <f>SUM('Upper Hot Cell Critical Path'!$E$91:$E$100)</f>
        <v>25.12222222222222</v>
      </c>
      <c r="Y73" s="915">
        <f>SUM('Upper Hot Cell Critical Path'!$E$91:$E$100)</f>
        <v>25.12222222222222</v>
      </c>
      <c r="Z73" s="915">
        <f>SUM('Upper Hot Cell Critical Path'!$E$91:$E$100)</f>
        <v>25.12222222222222</v>
      </c>
      <c r="AA73" s="915">
        <f>SUM('Upper Hot Cell Critical Path'!$E$91:$E$100)</f>
        <v>25.12222222222222</v>
      </c>
      <c r="AB73" s="1088">
        <f>SUM('Upper Hot Cell Critical Path'!$E$91:$E$100)</f>
        <v>25.12222222222222</v>
      </c>
    </row>
    <row r="74" spans="2:30" ht="15" thickBot="1" x14ac:dyDescent="0.45">
      <c r="B74" s="1116"/>
      <c r="C74" s="565" t="s">
        <v>1129</v>
      </c>
      <c r="D74" s="559" t="s">
        <v>1061</v>
      </c>
      <c r="E74" s="563" t="s">
        <v>782</v>
      </c>
      <c r="F74" s="942" t="s">
        <v>783</v>
      </c>
      <c r="G74" s="1151" t="s">
        <v>784</v>
      </c>
      <c r="H74" s="562" t="s">
        <v>785</v>
      </c>
      <c r="I74" s="944" t="s">
        <v>783</v>
      </c>
      <c r="J74" s="562" t="s">
        <v>786</v>
      </c>
      <c r="K74" s="563" t="s">
        <v>787</v>
      </c>
      <c r="L74" s="563" t="s">
        <v>788</v>
      </c>
      <c r="M74" s="563" t="s">
        <v>789</v>
      </c>
      <c r="N74" s="563" t="s">
        <v>790</v>
      </c>
      <c r="O74" s="945" t="s">
        <v>783</v>
      </c>
      <c r="P74" s="560" t="s">
        <v>785</v>
      </c>
      <c r="Q74" s="1152" t="s">
        <v>783</v>
      </c>
      <c r="R74" s="782" t="s">
        <v>781</v>
      </c>
      <c r="S74" s="786" t="s">
        <v>791</v>
      </c>
      <c r="T74" s="787" t="s">
        <v>792</v>
      </c>
      <c r="U74" s="947"/>
      <c r="V74" s="3140" t="s">
        <v>2668</v>
      </c>
      <c r="W74" s="1086">
        <f>SUM(W72:W73)</f>
        <v>54.169444444444444</v>
      </c>
      <c r="X74" s="1087">
        <f>SUM(X72:X73)*ROUNDUP(Tokamak_Segmts/X71,0)</f>
        <v>866.71111111111111</v>
      </c>
      <c r="Y74" s="915">
        <f>SUM(Y72:Y73)*ROUNDUP(Tokamak_Segmts/Y71,0)</f>
        <v>433.35555555555555</v>
      </c>
      <c r="Z74" s="915">
        <f>SUM(Z72:Z73)*ROUNDUP(Tokamak_Segmts/Z71,0)</f>
        <v>325.01666666666665</v>
      </c>
      <c r="AA74" s="915">
        <f>SUM(AA72:AA73)*ROUNDUP(Tokamak_Segmts/AA71,0)</f>
        <v>216.67777777777778</v>
      </c>
      <c r="AB74" s="1088">
        <f>SUM(AB72:AB73)*ROUNDUP(Tokamak_Segmts/AB71,0)</f>
        <v>162.50833333333333</v>
      </c>
    </row>
    <row r="75" spans="2:30" ht="15" thickBot="1" x14ac:dyDescent="0.45">
      <c r="B75" s="1116"/>
      <c r="C75" s="1153" t="s">
        <v>1160</v>
      </c>
      <c r="D75" s="1154"/>
      <c r="E75" s="847" t="s">
        <v>778</v>
      </c>
      <c r="F75" s="459">
        <f>MAX($Q75,$O75,$I75)</f>
        <v>6.9444444444444448E-2</v>
      </c>
      <c r="G75" s="389">
        <f>F75</f>
        <v>6.9444444444444448E-2</v>
      </c>
      <c r="H75" s="575"/>
      <c r="I75" s="580" t="str">
        <f>IF(E75="operation",VLOOKUP(H75,'Generic Vertical Port Tasks'!$C$4:$D$189,2,FALSE),"N/A")</f>
        <v>N/A</v>
      </c>
      <c r="J75" s="575" t="s">
        <v>1161</v>
      </c>
      <c r="K75" s="573" t="s">
        <v>799</v>
      </c>
      <c r="L75" s="573" t="s">
        <v>452</v>
      </c>
      <c r="M75" s="853">
        <f>IFERROR(INDEX('Upper Hot Cell Logistics'!$H$35:$O$42,MATCH($K75,'Upper Hot Cell Logistics'!$H$35:$H$41,0),MATCH($L75,'Upper Hot Cell Logistics'!$H$35:$H$41,0)),"N/A")</f>
        <v>50</v>
      </c>
      <c r="N75" s="853">
        <f>IFERROR(VLOOKUP($J75,'Upper Hot Cell Logistics'!$H$4:$I$9,2,FALSE),"N/A")</f>
        <v>0.2</v>
      </c>
      <c r="O75" s="580">
        <f t="shared" ref="O75:O80" si="17">IF(E75="Movement",IFERROR((M75/N75)/(60*60),"Error"),"N/A")</f>
        <v>6.9444444444444448E-2</v>
      </c>
      <c r="P75" s="575"/>
      <c r="Q75" s="576" t="str">
        <f>IF($E75="Logistics",VLOOKUP($P75,'Upper Hot Cell Logistics'!$C$4:$D$51,2,FALSE),"N/A")</f>
        <v>N/A</v>
      </c>
      <c r="R75" s="1133"/>
      <c r="S75" s="320" t="str">
        <f>IFERROR(VLOOKUP($Q75,'Upper HotCell RecoveryLogisitcs'!$C$5:$F$248,4,FALSE),"N/A")</f>
        <v>N/A</v>
      </c>
      <c r="T75" s="319" t="str">
        <f>IFERROR(G75-F75-S75,"N/A")</f>
        <v>N/A</v>
      </c>
      <c r="U75" s="947"/>
      <c r="V75" s="3141" t="s">
        <v>2666</v>
      </c>
      <c r="W75" s="1089">
        <f>W$74*$D$70</f>
        <v>2.7084722222222224</v>
      </c>
      <c r="X75" s="1416">
        <f t="shared" ref="X75:AB75" si="18">X$74*$D$70</f>
        <v>43.335555555555558</v>
      </c>
      <c r="Y75" s="920">
        <f t="shared" si="18"/>
        <v>21.667777777777779</v>
      </c>
      <c r="Z75" s="920">
        <f t="shared" si="18"/>
        <v>16.250833333333333</v>
      </c>
      <c r="AA75" s="920">
        <f t="shared" si="18"/>
        <v>10.83388888888889</v>
      </c>
      <c r="AB75" s="1029">
        <f t="shared" si="18"/>
        <v>8.1254166666666663</v>
      </c>
    </row>
    <row r="76" spans="2:30" x14ac:dyDescent="0.4">
      <c r="B76" s="1116"/>
      <c r="C76" s="1155" t="s">
        <v>1162</v>
      </c>
      <c r="D76" s="1156"/>
      <c r="E76" s="847" t="s">
        <v>3</v>
      </c>
      <c r="F76" s="459">
        <f>MAX($Q76,$O76,$I76)</f>
        <v>2</v>
      </c>
      <c r="G76" s="389">
        <f>IF(T76&lt;0,F76+G75+(-T76),F76+G75)</f>
        <v>2.0694444444444446</v>
      </c>
      <c r="H76" s="575"/>
      <c r="I76" s="580" t="str">
        <f>IF(E76="operation",VLOOKUP(H76,'Generic Vertical Port Tasks'!$C$4:$D$189,2,FALSE),"N/A")</f>
        <v>N/A</v>
      </c>
      <c r="J76" s="575"/>
      <c r="K76" s="573"/>
      <c r="L76" s="573"/>
      <c r="M76" s="853" t="str">
        <f>IFERROR(INDEX('Upper Hot Cell Logistics'!$H$35:$O$42,MATCH($K76,'Upper Hot Cell Logistics'!$H$35:$H$41,0),MATCH($L76,'Upper Hot Cell Logistics'!$H$35:$H$41,0)),"N/A")</f>
        <v>N/A</v>
      </c>
      <c r="N76" s="853" t="str">
        <f>IFERROR(VLOOKUP($J76,'Upper Hot Cell Logistics'!$H$4:$I$9,2,FALSE),"N/A")</f>
        <v>N/A</v>
      </c>
      <c r="O76" s="580" t="str">
        <f t="shared" si="17"/>
        <v>N/A</v>
      </c>
      <c r="P76" s="575" t="s">
        <v>1025</v>
      </c>
      <c r="Q76" s="576">
        <v>2</v>
      </c>
      <c r="R76" s="1134"/>
      <c r="S76" s="853" t="str">
        <f>IFERROR(VLOOKUP($Q76,'Upper HotCell RecoveryLogisitcs'!$C$5:$F$248,4,FALSE),"N/A")</f>
        <v>N/A</v>
      </c>
      <c r="T76" s="576" t="str">
        <f>IFERROR(G75-S76,"N/A")</f>
        <v>N/A</v>
      </c>
      <c r="U76" s="947"/>
      <c r="V76" s="3142" t="s">
        <v>2661</v>
      </c>
      <c r="W76" s="1086">
        <f t="shared" ref="W76:AB76" si="19">W75*$G$81</f>
        <v>21.216365740740745</v>
      </c>
      <c r="X76" s="1083">
        <f t="shared" si="19"/>
        <v>339.46185185185192</v>
      </c>
      <c r="Y76" s="1084">
        <f t="shared" si="19"/>
        <v>169.73092592592596</v>
      </c>
      <c r="Z76" s="1084">
        <f t="shared" si="19"/>
        <v>127.29819444444445</v>
      </c>
      <c r="AA76" s="1084">
        <f t="shared" si="19"/>
        <v>84.86546296296298</v>
      </c>
      <c r="AB76" s="1085">
        <f t="shared" si="19"/>
        <v>63.649097222222224</v>
      </c>
    </row>
    <row r="77" spans="2:30" x14ac:dyDescent="0.4">
      <c r="B77" s="1116"/>
      <c r="C77" s="1157" t="s">
        <v>1163</v>
      </c>
      <c r="D77" s="847" t="s">
        <v>1149</v>
      </c>
      <c r="E77" s="847" t="s">
        <v>251</v>
      </c>
      <c r="F77" s="459">
        <f>MAX($Q77,$O77,$I77)</f>
        <v>3</v>
      </c>
      <c r="G77" s="389">
        <f>IF(T77&lt;0,F77+G76+(-T77),F77+G76)</f>
        <v>5.0694444444444446</v>
      </c>
      <c r="H77" s="575" t="s">
        <v>1135</v>
      </c>
      <c r="I77" s="580">
        <v>3</v>
      </c>
      <c r="J77" s="575"/>
      <c r="K77" s="573"/>
      <c r="L77" s="573"/>
      <c r="M77" s="853" t="str">
        <f>IFERROR(INDEX('Upper Hot Cell Logistics'!$H$35:$O$42,MATCH($K77,'Upper Hot Cell Logistics'!$H$35:$H$41,0),MATCH($L77,'Upper Hot Cell Logistics'!$H$35:$H$41,0)),"N/A")</f>
        <v>N/A</v>
      </c>
      <c r="N77" s="853" t="str">
        <f>IFERROR(VLOOKUP($J77,'Upper Hot Cell Logistics'!$H$4:$I$9,2,FALSE),"N/A")</f>
        <v>N/A</v>
      </c>
      <c r="O77" s="580" t="str">
        <f t="shared" si="17"/>
        <v>N/A</v>
      </c>
      <c r="P77" s="575"/>
      <c r="Q77" s="576" t="str">
        <f>IF($E77="Logistics",VLOOKUP($P77,'Upper Hot Cell Logistics'!$C$4:$D$51,2,FALSE),"N/A")</f>
        <v>N/A</v>
      </c>
      <c r="R77" s="1134"/>
      <c r="S77" s="853" t="str">
        <f>IFERROR(VLOOKUP($Q77,'Upper HotCell RecoveryLogisitcs'!$C$5:$F$248,4,FALSE),"N/A")</f>
        <v>N/A</v>
      </c>
      <c r="T77" s="576" t="str">
        <f>IFERROR(G76-S77,"N/A")</f>
        <v>N/A</v>
      </c>
      <c r="U77" s="897"/>
      <c r="V77" s="3139" t="s">
        <v>1048</v>
      </c>
      <c r="W77" s="1086">
        <f t="shared" ref="W77:AB77" si="20">W75*(SUMIF($E$75:$E$80,"Operation",$F$75:$F$80))</f>
        <v>13.542361111111113</v>
      </c>
      <c r="X77" s="1087">
        <f t="shared" si="20"/>
        <v>216.67777777777781</v>
      </c>
      <c r="Y77" s="915">
        <f t="shared" si="20"/>
        <v>108.3388888888889</v>
      </c>
      <c r="Z77" s="915">
        <f t="shared" si="20"/>
        <v>81.254166666666663</v>
      </c>
      <c r="AA77" s="915">
        <f t="shared" si="20"/>
        <v>54.169444444444451</v>
      </c>
      <c r="AB77" s="1088">
        <f t="shared" si="20"/>
        <v>40.627083333333331</v>
      </c>
    </row>
    <row r="78" spans="2:30" ht="15" thickBot="1" x14ac:dyDescent="0.45">
      <c r="B78" s="1116"/>
      <c r="C78" s="1128" t="s">
        <v>1150</v>
      </c>
      <c r="D78" s="659"/>
      <c r="E78" s="659" t="s">
        <v>778</v>
      </c>
      <c r="F78" s="459">
        <f>MAX($Q78,$O78,$I78)</f>
        <v>0.69444444444444442</v>
      </c>
      <c r="G78" s="1158">
        <f>IF(T78&lt;0,F78+G77+(-T78),F78+G77)</f>
        <v>5.7638888888888893</v>
      </c>
      <c r="H78" s="575"/>
      <c r="I78" s="850" t="str">
        <f>IF(E78="operation",VLOOKUP(H78,'Generic Vertical Port Tasks'!$C$4:$D$189,2,FALSE),"N/A")</f>
        <v>N/A</v>
      </c>
      <c r="J78" s="575" t="s">
        <v>857</v>
      </c>
      <c r="K78" s="573" t="s">
        <v>452</v>
      </c>
      <c r="L78" s="573" t="s">
        <v>914</v>
      </c>
      <c r="M78" s="853">
        <f>IFERROR(INDEX('Upper Hot Cell Logistics'!$H$35:$O$42,MATCH($K78,'Upper Hot Cell Logistics'!$H$35:$H$41,0),MATCH($L78,'Upper Hot Cell Logistics'!$H$35:$H$41,0)),"N/A")</f>
        <v>50</v>
      </c>
      <c r="N78" s="852">
        <f>IFERROR(VLOOKUP($J78,'Upper Hot Cell Logistics'!$H$4:$I$9,2,FALSE),"N/A")</f>
        <v>0.02</v>
      </c>
      <c r="O78" s="580">
        <f t="shared" si="17"/>
        <v>0.69444444444444442</v>
      </c>
      <c r="P78" s="575"/>
      <c r="Q78" s="576" t="str">
        <f>IF($E78="Logistics",VLOOKUP($P78,'Upper Hot Cell Logistics'!$C$4:$D$51,2,FALSE),"N/A")</f>
        <v>N/A</v>
      </c>
      <c r="R78" s="1134"/>
      <c r="S78" s="853" t="str">
        <f>IFERROR(VLOOKUP($Q78,'Upper HotCell RecoveryLogisitcs'!$C$5:$F$248,4,FALSE),"N/A")</f>
        <v>N/A</v>
      </c>
      <c r="T78" s="576" t="str">
        <f>IFERROR(G77-S78,"N/A")</f>
        <v>N/A</v>
      </c>
      <c r="U78" s="5"/>
      <c r="V78" s="3143" t="s">
        <v>1049</v>
      </c>
      <c r="W78" s="1089">
        <f t="shared" ref="W78:AB78" si="21">W75*(SUMIF($E$75:$E$80,"Movement",$F$75:$F$80)+(SUMIF($E$75:$E$80,"Logistics",$F$75:$F$80)))</f>
        <v>7.6740046296296294</v>
      </c>
      <c r="X78" s="1090">
        <f t="shared" si="21"/>
        <v>122.78407407407407</v>
      </c>
      <c r="Y78" s="1091">
        <f t="shared" si="21"/>
        <v>61.392037037037035</v>
      </c>
      <c r="Z78" s="1091">
        <f t="shared" si="21"/>
        <v>46.044027777777771</v>
      </c>
      <c r="AA78" s="1091">
        <f t="shared" si="21"/>
        <v>30.696018518518517</v>
      </c>
      <c r="AB78" s="1092">
        <f t="shared" si="21"/>
        <v>23.022013888888885</v>
      </c>
    </row>
    <row r="79" spans="2:30" ht="15" thickBot="1" x14ac:dyDescent="0.45">
      <c r="B79" s="1116"/>
      <c r="C79" s="1159" t="s">
        <v>1164</v>
      </c>
      <c r="D79" s="847" t="s">
        <v>1152</v>
      </c>
      <c r="E79" s="847" t="s">
        <v>251</v>
      </c>
      <c r="F79" s="459">
        <v>2</v>
      </c>
      <c r="G79" s="1158">
        <f>IF(T79&lt;0,F79+G78+(-T79),F79+G78)</f>
        <v>7.7638888888888893</v>
      </c>
      <c r="H79" s="575" t="s">
        <v>1135</v>
      </c>
      <c r="I79" s="850">
        <v>2</v>
      </c>
      <c r="J79" s="575"/>
      <c r="K79" s="573"/>
      <c r="L79" s="573"/>
      <c r="M79" s="853" t="str">
        <f>IFERROR(INDEX('Upper Hot Cell Logistics'!$H$35:$O$42,MATCH($K79,'Upper Hot Cell Logistics'!$H$35:$H$41,0),MATCH($L79,'Upper Hot Cell Logistics'!$H$35:$H$41,0)),"N/A")</f>
        <v>N/A</v>
      </c>
      <c r="N79" s="852" t="str">
        <f>IFERROR(VLOOKUP($J79,'Upper Hot Cell Logistics'!$H$4:$I$9,2,FALSE),"N/A")</f>
        <v>N/A</v>
      </c>
      <c r="O79" s="580" t="str">
        <f t="shared" si="17"/>
        <v>N/A</v>
      </c>
      <c r="P79" s="575"/>
      <c r="Q79" s="576" t="str">
        <f>IF($E79="Logistics",VLOOKUP($P79,'Upper Hot Cell Logistics'!$C$4:$D$51,2,FALSE),"N/A")</f>
        <v>N/A</v>
      </c>
      <c r="R79" s="1134"/>
      <c r="S79" s="853" t="str">
        <f>IFERROR(VLOOKUP($Q79,'Upper HotCell RecoveryLogisitcs'!$C$5:$F$248,4,FALSE),"N/A")</f>
        <v>N/A</v>
      </c>
      <c r="T79" s="576" t="str">
        <f>IFERROR(G78-S79,"N/A")</f>
        <v>N/A</v>
      </c>
      <c r="U79" s="7"/>
      <c r="V79" s="3144" t="s">
        <v>2657</v>
      </c>
      <c r="W79" s="1089">
        <f t="shared" ref="W79:AB79" si="22">W75*$G$81</f>
        <v>21.216365740740745</v>
      </c>
      <c r="X79" s="1416">
        <f t="shared" si="22"/>
        <v>339.46185185185192</v>
      </c>
      <c r="Y79" s="920">
        <f t="shared" si="22"/>
        <v>169.73092592592596</v>
      </c>
      <c r="Z79" s="920">
        <f t="shared" si="22"/>
        <v>127.29819444444445</v>
      </c>
      <c r="AA79" s="920">
        <f t="shared" si="22"/>
        <v>84.86546296296298</v>
      </c>
      <c r="AB79" s="1029">
        <f t="shared" si="22"/>
        <v>63.649097222222224</v>
      </c>
      <c r="AD79" s="5"/>
    </row>
    <row r="80" spans="2:30" ht="15" thickBot="1" x14ac:dyDescent="0.45">
      <c r="B80" s="1116"/>
      <c r="C80" s="1146" t="s">
        <v>1153</v>
      </c>
      <c r="D80" s="1147"/>
      <c r="E80" s="1147" t="s">
        <v>778</v>
      </c>
      <c r="F80" s="467">
        <f>MAX($Q80,$O80,$I80)</f>
        <v>6.9444444444444448E-2</v>
      </c>
      <c r="G80" s="1160">
        <f>IF(T80&lt;0,F80+G79+(-T80),F80+G79)</f>
        <v>7.8333333333333339</v>
      </c>
      <c r="H80" s="586"/>
      <c r="I80" s="591" t="str">
        <f>IF(E80="operation",VLOOKUP(H80,'Generic Vertical Port Tasks'!$C$4:$D$189,2,FALSE),"N/A")</f>
        <v>N/A</v>
      </c>
      <c r="J80" s="586" t="s">
        <v>798</v>
      </c>
      <c r="K80" s="584" t="s">
        <v>799</v>
      </c>
      <c r="L80" s="584" t="s">
        <v>452</v>
      </c>
      <c r="M80" s="814">
        <f>IFERROR(INDEX('Upper Hot Cell Logistics'!$H$35:$O$42,MATCH($K80,'Upper Hot Cell Logistics'!$H$35:$H$41,0),MATCH($L80,'Upper Hot Cell Logistics'!$H$35:$H$41,0)),"N/A")</f>
        <v>50</v>
      </c>
      <c r="N80" s="813">
        <f>IFERROR(VLOOKUP($J80,'Upper Hot Cell Logistics'!$H$4:$I$9,2,FALSE),"N/A")</f>
        <v>0.2</v>
      </c>
      <c r="O80" s="591">
        <f t="shared" si="17"/>
        <v>6.9444444444444448E-2</v>
      </c>
      <c r="P80" s="586"/>
      <c r="Q80" s="587" t="str">
        <f>IF($E80="Logistics",VLOOKUP($P80,'Upper Hot Cell Logistics'!$C$4:$D$51,2,FALSE),"N/A")</f>
        <v>N/A</v>
      </c>
      <c r="R80" s="1137"/>
      <c r="S80" s="814" t="str">
        <f>IFERROR(VLOOKUP($Q80,'Upper HotCell RecoveryLogisitcs'!$C$5:$F$248,4,FALSE),"N/A")</f>
        <v>N/A</v>
      </c>
      <c r="T80" s="587" t="str">
        <f>IFERROR(G79-S80,"N/A")</f>
        <v>N/A</v>
      </c>
      <c r="U80" s="7"/>
      <c r="AD80" s="290"/>
    </row>
    <row r="81" spans="2:31" x14ac:dyDescent="0.4">
      <c r="B81" s="1116"/>
      <c r="C81" s="5"/>
      <c r="D81" s="1139"/>
      <c r="E81" s="893" t="s">
        <v>11</v>
      </c>
      <c r="F81" s="893"/>
      <c r="G81" s="894">
        <f>G80</f>
        <v>7.8333333333333339</v>
      </c>
      <c r="H81" s="1139"/>
      <c r="I81" s="1140"/>
      <c r="J81" s="1139"/>
      <c r="K81" s="1139"/>
      <c r="L81" s="1139"/>
      <c r="M81" s="1139"/>
      <c r="N81" s="1139"/>
      <c r="O81" s="1139"/>
      <c r="P81" s="1141"/>
      <c r="Q81" s="7"/>
      <c r="R81" s="7"/>
      <c r="S81" s="7"/>
      <c r="T81" s="7"/>
      <c r="U81" s="7"/>
      <c r="AD81" s="290"/>
    </row>
    <row r="82" spans="2:31" x14ac:dyDescent="0.4">
      <c r="B82" s="1142"/>
      <c r="C82" s="1015"/>
      <c r="D82" s="1015"/>
      <c r="E82" s="1015"/>
      <c r="F82" s="1015"/>
      <c r="G82" s="1015"/>
      <c r="H82" s="1015"/>
      <c r="I82" s="1018"/>
      <c r="J82" s="1015"/>
      <c r="K82" s="1015"/>
      <c r="L82" s="1015"/>
      <c r="M82" s="1015"/>
      <c r="N82" s="1015"/>
      <c r="O82" s="1015"/>
      <c r="P82" s="1015"/>
      <c r="Q82" s="1015"/>
      <c r="R82" s="1015"/>
      <c r="S82" s="1015"/>
      <c r="T82" s="1015"/>
      <c r="U82" s="1015"/>
      <c r="AD82" s="290"/>
      <c r="AE82" s="7"/>
    </row>
    <row r="83" spans="2:31" x14ac:dyDescent="0.4">
      <c r="C83" s="7"/>
    </row>
    <row r="86" spans="2:31" x14ac:dyDescent="0.4">
      <c r="AD86" s="273"/>
    </row>
    <row r="87" spans="2:31" x14ac:dyDescent="0.4">
      <c r="AD87" s="273"/>
    </row>
    <row r="88" spans="2:31" x14ac:dyDescent="0.4">
      <c r="AD88" s="273"/>
    </row>
    <row r="89" spans="2:31" x14ac:dyDescent="0.4">
      <c r="AD89" s="273"/>
    </row>
    <row r="90" spans="2:31" x14ac:dyDescent="0.4">
      <c r="AD90" s="273"/>
    </row>
    <row r="91" spans="2:31" x14ac:dyDescent="0.4">
      <c r="AD91" s="273"/>
    </row>
    <row r="92" spans="2:31" x14ac:dyDescent="0.4">
      <c r="AD92" s="273"/>
    </row>
  </sheetData>
  <customSheetViews>
    <customSheetView guid="{9C0AA20B-B2A2-4A2C-B279-4A5988F4E71A}" hiddenColumns="1" state="hidden" topLeftCell="E22">
      <selection activeCell="H129" sqref="H129"/>
      <pageMargins left="0.7" right="0.7" top="0.75" bottom="0.75" header="0.3" footer="0.3"/>
      <pageSetup paperSize="9" orientation="portrait" verticalDpi="0" r:id="rId1"/>
    </customSheetView>
  </customSheetViews>
  <mergeCells count="15">
    <mergeCell ref="X26:AB26"/>
    <mergeCell ref="X49:AB49"/>
    <mergeCell ref="X70:AB70"/>
    <mergeCell ref="H73:I73"/>
    <mergeCell ref="J73:O73"/>
    <mergeCell ref="P73:Q73"/>
    <mergeCell ref="R73:T73"/>
    <mergeCell ref="H27:I27"/>
    <mergeCell ref="J27:O27"/>
    <mergeCell ref="P27:Q27"/>
    <mergeCell ref="R27:T27"/>
    <mergeCell ref="H50:I50"/>
    <mergeCell ref="J50:O50"/>
    <mergeCell ref="P50:Q50"/>
    <mergeCell ref="R50:T50"/>
  </mergeCells>
  <conditionalFormatting sqref="H1:T1048576">
    <cfRule type="cellIs" dxfId="8" priority="69" stopIfTrue="1" operator="equal">
      <formula>"N/A"</formula>
    </cfRule>
  </conditionalFormatting>
  <conditionalFormatting sqref="E1:E1048576">
    <cfRule type="cellIs" dxfId="7" priority="67" stopIfTrue="1" operator="equal">
      <formula>"Total"</formula>
    </cfRule>
    <cfRule type="cellIs" dxfId="6" priority="68" stopIfTrue="1" operator="equal">
      <formula>"Operation"</formula>
    </cfRule>
  </conditionalFormatting>
  <conditionalFormatting sqref="V30">
    <cfRule type="cellIs" dxfId="5" priority="2" stopIfTrue="1" operator="equal">
      <formula>"N/A"</formula>
    </cfRule>
  </conditionalFormatting>
  <conditionalFormatting sqref="V30">
    <cfRule type="cellIs" dxfId="4" priority="1" stopIfTrue="1" operator="equal">
      <formula>"N/A"</formula>
    </cfRule>
  </conditionalFormatting>
  <dataValidations disablePrompts="1" count="1">
    <dataValidation type="list" allowBlank="1" showInputMessage="1" showErrorMessage="1" sqref="TL1:TL1048576 JP1:JP1048576 WWB1:WWB1048576 WMF1:WMF1048576 WCJ1:WCJ1048576 VSN1:VSN1048576 VIR1:VIR1048576 UYV1:UYV1048576 UOZ1:UOZ1048576 UFD1:UFD1048576 TVH1:TVH1048576 TLL1:TLL1048576 TBP1:TBP1048576 SRT1:SRT1048576 SHX1:SHX1048576 RYB1:RYB1048576 ROF1:ROF1048576 REJ1:REJ1048576 QUN1:QUN1048576 QKR1:QKR1048576 QAV1:QAV1048576 PQZ1:PQZ1048576 PHD1:PHD1048576 OXH1:OXH1048576 ONL1:ONL1048576 ODP1:ODP1048576 NTT1:NTT1048576 NJX1:NJX1048576 NAB1:NAB1048576 MQF1:MQF1048576 MGJ1:MGJ1048576 LWN1:LWN1048576 LMR1:LMR1048576 LCV1:LCV1048576 KSZ1:KSZ1048576 KJD1:KJD1048576 JZH1:JZH1048576 JPL1:JPL1048576 JFP1:JFP1048576 IVT1:IVT1048576 ILX1:ILX1048576 ICB1:ICB1048576 HSF1:HSF1048576 HIJ1:HIJ1048576 GYN1:GYN1048576 GOR1:GOR1048576 GEV1:GEV1048576 FUZ1:FUZ1048576 FLD1:FLD1048576 FBH1:FBH1048576 ERL1:ERL1048576 EHP1:EHP1048576 DXT1:DXT1048576 DNX1:DNX1048576 DEB1:DEB1048576 CUF1:CUF1048576 CKJ1:CKJ1048576 CAN1:CAN1048576 BQR1:BQR1048576 BGV1:BGV1048576 AWZ1:AWZ1048576 AND1:AND1048576 ADH1:ADH1048576">
      <formula1>$AE$4:$AE$15</formula1>
    </dataValidation>
  </dataValidations>
  <pageMargins left="0.7" right="0.7" top="0.75" bottom="0.75" header="0.3" footer="0.3"/>
  <pageSetup paperSize="9" orientation="portrait" verticalDpi="0" r:id="rId2"/>
  <drawing r:id="rId3"/>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Q490"/>
  <sheetViews>
    <sheetView workbookViewId="0">
      <selection activeCell="H129" sqref="H129"/>
    </sheetView>
  </sheetViews>
  <sheetFormatPr defaultColWidth="9.15234375" defaultRowHeight="12.9" outlineLevelRow="1" outlineLevelCol="1" x14ac:dyDescent="0.4"/>
  <cols>
    <col min="1" max="1" width="9.15234375" style="3023" customWidth="1"/>
    <col min="2" max="2" width="44" style="3020" customWidth="1"/>
    <col min="3" max="3" width="46" style="3023" customWidth="1"/>
    <col min="4" max="4" width="12.3828125" style="3023" bestFit="1" customWidth="1"/>
    <col min="5" max="5" width="8.3828125" style="3023" bestFit="1" customWidth="1"/>
    <col min="6" max="6" width="11.3828125" style="3023" customWidth="1"/>
    <col min="7" max="7" width="30.84375" style="3023" bestFit="1" customWidth="1" outlineLevel="1"/>
    <col min="8" max="8" width="12.3046875" style="3135" customWidth="1"/>
    <col min="9" max="9" width="24.3828125" style="3023" customWidth="1" outlineLevel="1"/>
    <col min="10" max="11" width="23.3046875" style="3023" customWidth="1" outlineLevel="1"/>
    <col min="12" max="12" width="13.3828125" style="3136" bestFit="1" customWidth="1" outlineLevel="1"/>
    <col min="13" max="13" width="13.15234375" style="3136" bestFit="1" customWidth="1" outlineLevel="1"/>
    <col min="14" max="14" width="10" style="3136" bestFit="1" customWidth="1"/>
    <col min="15" max="15" width="34.15234375" style="3023" bestFit="1" customWidth="1" outlineLevel="1"/>
    <col min="16" max="16" width="10.3046875" style="3023" customWidth="1"/>
    <col min="17" max="16384" width="9.15234375" style="3023"/>
  </cols>
  <sheetData>
    <row r="1" spans="1:16" ht="13.3" thickBot="1" x14ac:dyDescent="0.45">
      <c r="A1" s="3020"/>
      <c r="C1" s="3020"/>
      <c r="D1" s="3020"/>
      <c r="E1" s="3020"/>
      <c r="F1" s="3020"/>
      <c r="G1" s="3020"/>
      <c r="H1" s="3021"/>
      <c r="I1" s="3020"/>
      <c r="J1" s="3020"/>
      <c r="K1" s="3020"/>
      <c r="L1" s="3022"/>
      <c r="M1" s="3022"/>
      <c r="N1" s="3022"/>
      <c r="O1" s="3020"/>
      <c r="P1" s="3020"/>
    </row>
    <row r="2" spans="1:16" ht="13.3" thickBot="1" x14ac:dyDescent="0.45">
      <c r="A2" s="3020"/>
      <c r="C2" s="3020"/>
      <c r="D2" s="3020"/>
      <c r="E2" s="3020"/>
      <c r="F2" s="3020"/>
      <c r="G2" s="4058" t="s">
        <v>18</v>
      </c>
      <c r="H2" s="4059"/>
      <c r="I2" s="4058" t="s">
        <v>778</v>
      </c>
      <c r="J2" s="4060"/>
      <c r="K2" s="4060"/>
      <c r="L2" s="4060"/>
      <c r="M2" s="4060"/>
      <c r="N2" s="4060"/>
      <c r="O2" s="4058" t="s">
        <v>3</v>
      </c>
      <c r="P2" s="4059"/>
    </row>
    <row r="3" spans="1:16" ht="16.5" customHeight="1" thickBot="1" x14ac:dyDescent="0.45">
      <c r="A3" s="3020"/>
      <c r="B3" s="3024" t="s">
        <v>780</v>
      </c>
      <c r="C3" s="3025" t="s">
        <v>781</v>
      </c>
      <c r="D3" s="3025" t="s">
        <v>782</v>
      </c>
      <c r="E3" s="3026" t="s">
        <v>783</v>
      </c>
      <c r="F3" s="3026" t="s">
        <v>769</v>
      </c>
      <c r="G3" s="3027" t="s">
        <v>785</v>
      </c>
      <c r="H3" s="3028" t="s">
        <v>783</v>
      </c>
      <c r="I3" s="3024" t="s">
        <v>786</v>
      </c>
      <c r="J3" s="3026" t="s">
        <v>787</v>
      </c>
      <c r="K3" s="3026" t="s">
        <v>788</v>
      </c>
      <c r="L3" s="3029" t="s">
        <v>789</v>
      </c>
      <c r="M3" s="3029" t="s">
        <v>790</v>
      </c>
      <c r="N3" s="3030" t="s">
        <v>783</v>
      </c>
      <c r="O3" s="3024" t="s">
        <v>785</v>
      </c>
      <c r="P3" s="3031" t="s">
        <v>783</v>
      </c>
    </row>
    <row r="4" spans="1:16" x14ac:dyDescent="0.4">
      <c r="A4" s="3032"/>
      <c r="B4" s="3033" t="s">
        <v>1165</v>
      </c>
      <c r="C4" s="3033"/>
      <c r="D4" s="3033"/>
      <c r="E4" s="3033"/>
      <c r="F4" s="3033"/>
      <c r="G4" s="3033"/>
      <c r="H4" s="3034"/>
      <c r="I4" s="3033"/>
      <c r="J4" s="3033"/>
      <c r="K4" s="3033"/>
      <c r="L4" s="3033"/>
      <c r="M4" s="3033"/>
      <c r="N4" s="3033"/>
      <c r="O4" s="3033"/>
      <c r="P4" s="3035"/>
    </row>
    <row r="5" spans="1:16" ht="13.3" thickBot="1" x14ac:dyDescent="0.45">
      <c r="A5" s="3036"/>
      <c r="B5" s="3037"/>
      <c r="C5" s="3037"/>
      <c r="D5" s="3037"/>
      <c r="E5" s="3037"/>
      <c r="F5" s="3037"/>
      <c r="G5" s="3037"/>
      <c r="H5" s="3038"/>
      <c r="I5" s="3037"/>
      <c r="J5" s="3037"/>
      <c r="K5" s="3037"/>
      <c r="L5" s="3039"/>
      <c r="M5" s="3039"/>
      <c r="N5" s="3039"/>
      <c r="O5" s="3037"/>
      <c r="P5" s="3040"/>
    </row>
    <row r="6" spans="1:16" outlineLevel="1" x14ac:dyDescent="0.4">
      <c r="A6" s="3041"/>
      <c r="B6" s="4054" t="s">
        <v>1066</v>
      </c>
      <c r="C6" s="3042" t="str">
        <f>'Upper Hot Cell Welding failures'!E46</f>
        <v>Weld Failure identified at COB/Pipe Module joint</v>
      </c>
      <c r="D6" s="3042" t="s">
        <v>907</v>
      </c>
      <c r="E6" s="3043">
        <f t="shared" ref="E6:E69" si="0">MAX($P6,$N6,$H6)</f>
        <v>0</v>
      </c>
      <c r="F6" s="3044">
        <f>IF($D6="Trigger",VLOOKUP($C6,'Upper Hot Cell Welding failures'!$E$30:$I$123,5,FALSE),E6+F5)</f>
        <v>0</v>
      </c>
      <c r="G6" s="3045"/>
      <c r="H6" s="3046" t="str">
        <f>IF(D6="operation",VLOOKUP(G6,'Generic Vertical Port Tasks'!$C$6:$D$558,2,FALSE),"N/A")</f>
        <v>N/A</v>
      </c>
      <c r="I6" s="3042"/>
      <c r="J6" s="3042"/>
      <c r="K6" s="3042"/>
      <c r="L6" s="3047" t="str">
        <f>IFERROR(INDEX('Upper Hot Cell Logistics'!$I$35:$O$41,MATCH($J6,'Upper Hot Cell Logistics'!$H$35:$H$41,0),MATCH($K6,'Upper Hot Cell Logistics'!$H$35:$H$41,0)),"N/A")</f>
        <v>N/A</v>
      </c>
      <c r="M6" s="3047" t="str">
        <f>IFERROR(VLOOKUP($I6,'Upper Hot Cell Logistics'!$H$4:$I$9,2,FALSE),"N/A")</f>
        <v>N/A</v>
      </c>
      <c r="N6" s="3047" t="str">
        <f t="shared" ref="N6:N17" si="1">IF(D6="Movement",IFERROR((L6/M6)/(60*60),"Error"),"N/A")</f>
        <v>N/A</v>
      </c>
      <c r="O6" s="3048"/>
      <c r="P6" s="3044" t="str">
        <f>IF($D6="Logistics",VLOOKUP($O6,'Upper Hot Cell Logistics'!$C$4:$D$44,2,FALSE),"N/A")</f>
        <v>N/A</v>
      </c>
    </row>
    <row r="7" spans="1:16" outlineLevel="1" x14ac:dyDescent="0.4">
      <c r="A7" s="3041"/>
      <c r="B7" s="4055"/>
      <c r="C7" s="3049" t="s">
        <v>921</v>
      </c>
      <c r="D7" s="3049" t="s">
        <v>778</v>
      </c>
      <c r="E7" s="3047">
        <f t="shared" si="0"/>
        <v>6.9444444444444448E-2</v>
      </c>
      <c r="F7" s="3046">
        <f>IF($D7="Trigger",VLOOKUP($C7,'Upper Hot Cell Welding failures'!$E$30:$I$123,5,FALSE),E7+F6)</f>
        <v>6.9444444444444448E-2</v>
      </c>
      <c r="G7" s="3050"/>
      <c r="H7" s="3046" t="str">
        <f>IF(D7="operation",VLOOKUP(G7,'Generic Vertical Port Tasks'!$C$6:$D$558,2,FALSE),"N/A")</f>
        <v>N/A</v>
      </c>
      <c r="I7" s="3049" t="s">
        <v>798</v>
      </c>
      <c r="J7" s="3049" t="s">
        <v>452</v>
      </c>
      <c r="K7" s="3049" t="s">
        <v>914</v>
      </c>
      <c r="L7" s="3047">
        <f>IFERROR(INDEX('Upper Hot Cell Logistics'!$I$35:$O$41,MATCH($J7,'Upper Hot Cell Logistics'!$H$35:$H$41,0),MATCH($K7,'Upper Hot Cell Logistics'!$H$35:$H$41,0)),"N/A")</f>
        <v>50</v>
      </c>
      <c r="M7" s="3047">
        <f>IFERROR(VLOOKUP($I7,'Upper Hot Cell Logistics'!$H$4:$I$9,2,FALSE),"N/A")</f>
        <v>0.2</v>
      </c>
      <c r="N7" s="3047">
        <f t="shared" si="1"/>
        <v>6.9444444444444448E-2</v>
      </c>
      <c r="O7" s="3051"/>
      <c r="P7" s="3046" t="str">
        <f>IF($D7="Logistics",VLOOKUP($O7,'Upper Hot Cell Logistics'!$C$4:$D$44,2,FALSE),"N/A")</f>
        <v>N/A</v>
      </c>
    </row>
    <row r="8" spans="1:16" outlineLevel="1" x14ac:dyDescent="0.4">
      <c r="A8" s="3041"/>
      <c r="B8" s="4055"/>
      <c r="C8" s="3049" t="s">
        <v>987</v>
      </c>
      <c r="D8" s="3049" t="s">
        <v>3</v>
      </c>
      <c r="E8" s="3047">
        <f t="shared" si="0"/>
        <v>0.68</v>
      </c>
      <c r="F8" s="3046">
        <f>IF($D8="Trigger",VLOOKUP($C8,'Upper Hot Cell Welding failures'!$E$30:$I$123,5,FALSE),E8+F7)</f>
        <v>0.74944444444444447</v>
      </c>
      <c r="G8" s="3050"/>
      <c r="H8" s="3046" t="str">
        <f>IF(D8="operation",VLOOKUP(G8,'Generic Vertical Port Tasks'!$C$6:$D$558,2,FALSE),"N/A")</f>
        <v>N/A</v>
      </c>
      <c r="I8" s="3049"/>
      <c r="J8" s="3049"/>
      <c r="K8" s="3049"/>
      <c r="L8" s="3047" t="str">
        <f>IFERROR(INDEX('Upper Hot Cell Logistics'!$I$35:$O$41,MATCH($J8,'Upper Hot Cell Logistics'!$H$35:$H$41,0),MATCH($K8,'Upper Hot Cell Logistics'!$H$35:$H$41,0)),"N/A")</f>
        <v>N/A</v>
      </c>
      <c r="M8" s="3047" t="str">
        <f>IFERROR(VLOOKUP($I8,'Upper Hot Cell Logistics'!$H$4:$I$9,2,FALSE),"N/A")</f>
        <v>N/A</v>
      </c>
      <c r="N8" s="3047" t="str">
        <f t="shared" si="1"/>
        <v>N/A</v>
      </c>
      <c r="O8" s="3051" t="s">
        <v>916</v>
      </c>
      <c r="P8" s="3046">
        <f>IF($D8="Logistics",VLOOKUP($O8,'Upper Hot Cell Logistics'!$C$4:$D$44,2,FALSE),"N/A")</f>
        <v>0.68</v>
      </c>
    </row>
    <row r="9" spans="1:16" outlineLevel="1" x14ac:dyDescent="0.4">
      <c r="A9" s="3041"/>
      <c r="B9" s="4055"/>
      <c r="C9" s="3049" t="s">
        <v>923</v>
      </c>
      <c r="D9" s="3049" t="s">
        <v>778</v>
      </c>
      <c r="E9" s="3047">
        <f t="shared" si="0"/>
        <v>2.7777777777777776E-2</v>
      </c>
      <c r="F9" s="3046">
        <f>IF($D9="Trigger",VLOOKUP($C9,'Upper Hot Cell Welding failures'!$E$30:$I$123,5,FALSE),E9+F8)</f>
        <v>0.77722222222222226</v>
      </c>
      <c r="G9" s="3050"/>
      <c r="H9" s="3046" t="str">
        <f>IF(D9="operation",VLOOKUP(G9,'Generic Vertical Port Tasks'!$C$6:$D$558,2,FALSE),"N/A")</f>
        <v>N/A</v>
      </c>
      <c r="I9" s="3049" t="s">
        <v>798</v>
      </c>
      <c r="J9" s="3049" t="s">
        <v>914</v>
      </c>
      <c r="K9" s="3049" t="s">
        <v>799</v>
      </c>
      <c r="L9" s="3047">
        <f>IFERROR(INDEX('Upper Hot Cell Logistics'!$I$35:$O$41,MATCH($J9,'Upper Hot Cell Logistics'!$H$35:$H$41,0),MATCH($K9,'Upper Hot Cell Logistics'!$H$35:$H$41,0)),"N/A")</f>
        <v>20</v>
      </c>
      <c r="M9" s="3047">
        <f>IFERROR(VLOOKUP($I9,'Upper Hot Cell Logistics'!$H$4:$I$9,2,FALSE),"N/A")</f>
        <v>0.2</v>
      </c>
      <c r="N9" s="3047">
        <f t="shared" si="1"/>
        <v>2.7777777777777776E-2</v>
      </c>
      <c r="O9" s="3051"/>
      <c r="P9" s="3046" t="str">
        <f>IF($D9="Logistics",VLOOKUP($O9,'Upper Hot Cell Logistics'!$C$4:$D$44,2,FALSE),"N/A")</f>
        <v>N/A</v>
      </c>
    </row>
    <row r="10" spans="1:16" outlineLevel="1" x14ac:dyDescent="0.4">
      <c r="A10" s="3041"/>
      <c r="B10" s="4055"/>
      <c r="C10" s="3049" t="s">
        <v>1166</v>
      </c>
      <c r="D10" s="3049" t="s">
        <v>3</v>
      </c>
      <c r="E10" s="3047">
        <f t="shared" si="0"/>
        <v>0.58000000000000007</v>
      </c>
      <c r="F10" s="3046">
        <f>IF($D10="Trigger",VLOOKUP($C10,'Upper Hot Cell Welding failures'!$E$30:$I$123,5,FALSE),E10+F9)</f>
        <v>1.3572222222222223</v>
      </c>
      <c r="G10" s="3050"/>
      <c r="H10" s="3046" t="str">
        <f>IF(D10="operation",VLOOKUP(G10,'Generic Vertical Port Tasks'!$C$6:$D$558,2,FALSE),"N/A")</f>
        <v>N/A</v>
      </c>
      <c r="I10" s="3049"/>
      <c r="J10" s="3049"/>
      <c r="K10" s="3049"/>
      <c r="L10" s="3047" t="str">
        <f>IFERROR(INDEX('Upper Hot Cell Logistics'!$I$35:$O$41,MATCH($J10,'Upper Hot Cell Logistics'!$H$35:$H$41,0),MATCH($K10,'Upper Hot Cell Logistics'!$H$35:$H$41,0)),"N/A")</f>
        <v>N/A</v>
      </c>
      <c r="M10" s="3047" t="str">
        <f>IFERROR(VLOOKUP($I10,'Upper Hot Cell Logistics'!$H$4:$I$9,2,FALSE),"N/A")</f>
        <v>N/A</v>
      </c>
      <c r="N10" s="3047" t="str">
        <f t="shared" si="1"/>
        <v>N/A</v>
      </c>
      <c r="O10" s="3051" t="s">
        <v>796</v>
      </c>
      <c r="P10" s="3046">
        <f>IF($D10="Logistics",VLOOKUP($O10,'Upper Hot Cell Logistics'!$C$4:$D$44,2,FALSE),"N/A")</f>
        <v>0.58000000000000007</v>
      </c>
    </row>
    <row r="11" spans="1:16" outlineLevel="1" x14ac:dyDescent="0.4">
      <c r="A11" s="3041"/>
      <c r="B11" s="4056"/>
      <c r="C11" s="3052" t="s">
        <v>2671</v>
      </c>
      <c r="D11" s="3052" t="s">
        <v>778</v>
      </c>
      <c r="E11" s="3047">
        <f t="shared" si="0"/>
        <v>6.9444444444444448E-2</v>
      </c>
      <c r="F11" s="3046">
        <f>IF($D11="Trigger",VLOOKUP($C11,'Upper Hot Cell Welding failures'!$E$30:$I$123,5,FALSE),E11+F10)</f>
        <v>1.4266666666666667</v>
      </c>
      <c r="G11" s="3050"/>
      <c r="H11" s="3046" t="str">
        <f>IF(D11="operation",VLOOKUP(G11,'Generic Vertical Port Tasks'!$C$6:$D$558,2,FALSE),"N/A")</f>
        <v>N/A</v>
      </c>
      <c r="I11" s="3049" t="s">
        <v>798</v>
      </c>
      <c r="J11" s="3049" t="s">
        <v>799</v>
      </c>
      <c r="K11" s="3049" t="s">
        <v>452</v>
      </c>
      <c r="L11" s="3047">
        <f>IFERROR(INDEX('Upper Hot Cell Logistics'!$I$35:$O$41,MATCH($J11,'Upper Hot Cell Logistics'!$H$35:$H$41,0),MATCH($K11,'Upper Hot Cell Logistics'!$H$35:$H$41,0)),"N/A")</f>
        <v>50</v>
      </c>
      <c r="M11" s="3047">
        <f>IFERROR(VLOOKUP($I11,'Upper Hot Cell Logistics'!$H$4:$I$9,2,FALSE),"N/A")</f>
        <v>0.2</v>
      </c>
      <c r="N11" s="3047">
        <f>IF(D11="Movement",IFERROR((L11/M11)/(60*60),"Error"),"N/A")</f>
        <v>6.9444444444444448E-2</v>
      </c>
      <c r="O11" s="3051"/>
      <c r="P11" s="3046" t="str">
        <f>IF($D11="Logistics",VLOOKUP($O11,'Upper Hot Cell Logistics'!$C$4:$D$44,2,FALSE),"N/A")</f>
        <v>N/A</v>
      </c>
    </row>
    <row r="12" spans="1:16" ht="26.15" outlineLevel="1" thickBot="1" x14ac:dyDescent="0.45">
      <c r="A12" s="3041"/>
      <c r="B12" s="4057"/>
      <c r="C12" s="3053" t="str">
        <f>B6</f>
        <v>Shield Plug &amp; Fixations Equipment Stored, Pipe Module interface hardware Collected and moved to port</v>
      </c>
      <c r="D12" s="3053" t="s">
        <v>11</v>
      </c>
      <c r="E12" s="3054">
        <f t="shared" si="0"/>
        <v>0</v>
      </c>
      <c r="F12" s="3055">
        <f>IF($D12="Trigger",VLOOKUP($C12,'Upper Hot Cell Welding failures'!$E$30:$I$123,5,FALSE),E12+F11)</f>
        <v>1.4266666666666667</v>
      </c>
      <c r="G12" s="3056"/>
      <c r="H12" s="3046" t="str">
        <f>IF(D12="operation",VLOOKUP(G12,'Generic Vertical Port Tasks'!$C$6:$D$558,2,FALSE),"N/A")</f>
        <v>N/A</v>
      </c>
      <c r="I12" s="3053"/>
      <c r="J12" s="3053"/>
      <c r="K12" s="3053"/>
      <c r="L12" s="3047" t="str">
        <f>IFERROR(INDEX('Upper Hot Cell Logistics'!$I$35:$O$41,MATCH($J12,'Upper Hot Cell Logistics'!$H$35:$H$41,0),MATCH($K12,'Upper Hot Cell Logistics'!$H$35:$H$41,0)),"N/A")</f>
        <v>N/A</v>
      </c>
      <c r="M12" s="3047" t="str">
        <f>IFERROR(VLOOKUP($I12,'Upper Hot Cell Logistics'!$H$4:$I$9,2,FALSE),"N/A")</f>
        <v>N/A</v>
      </c>
      <c r="N12" s="3047" t="str">
        <f>IF(D12="Movement",IFERROR((L12/M12)/(60*60),"Error"),"N/A")</f>
        <v>N/A</v>
      </c>
      <c r="O12" s="3057"/>
      <c r="P12" s="3055" t="str">
        <f>IF($D12="Logistics",VLOOKUP($O12,'Upper Hot Cell Logistics'!$C$4:$D$44,2,FALSE),"N/A")</f>
        <v>N/A</v>
      </c>
    </row>
    <row r="13" spans="1:16" outlineLevel="1" x14ac:dyDescent="0.4">
      <c r="A13" s="3041"/>
      <c r="B13" s="4054" t="s">
        <v>2672</v>
      </c>
      <c r="C13" s="3042" t="str">
        <f>'Upper Hot Cell Welding failures'!E49</f>
        <v>Extract COB Pipe Module</v>
      </c>
      <c r="D13" s="3042" t="s">
        <v>907</v>
      </c>
      <c r="E13" s="3043">
        <f t="shared" si="0"/>
        <v>0</v>
      </c>
      <c r="F13" s="3043">
        <f>IF($D13="Trigger",VLOOKUP($C13,'Upper Hot Cell Welding failures'!$E$30:$I$123,5,FALSE),E13+F12)</f>
        <v>3.6500000000000004</v>
      </c>
      <c r="G13" s="3045"/>
      <c r="H13" s="3046" t="str">
        <f>IF(D13="operation",VLOOKUP(G13,'Generic Vertical Port Tasks'!$C$6:$D$558,2,FALSE),"N/A")</f>
        <v>N/A</v>
      </c>
      <c r="I13" s="3042"/>
      <c r="J13" s="3042"/>
      <c r="K13" s="3042"/>
      <c r="L13" s="3047" t="str">
        <f>IFERROR(INDEX('Upper Hot Cell Logistics'!$I$35:$O$41,MATCH($J13,'Upper Hot Cell Logistics'!$H$35:$H$41,0),MATCH($K13,'Upper Hot Cell Logistics'!$H$35:$H$41,0)),"N/A")</f>
        <v>N/A</v>
      </c>
      <c r="M13" s="3047" t="str">
        <f>IFERROR(VLOOKUP($I13,'Upper Hot Cell Logistics'!$H$4:$I$9,2,FALSE),"N/A")</f>
        <v>N/A</v>
      </c>
      <c r="N13" s="3047" t="str">
        <f t="shared" si="1"/>
        <v>N/A</v>
      </c>
      <c r="O13" s="3048"/>
      <c r="P13" s="3044" t="str">
        <f>IF($D13="Logistics",VLOOKUP($O13,'Upper Hot Cell Logistics'!$C$4:$D$44,2,FALSE),"N/A")</f>
        <v>N/A</v>
      </c>
    </row>
    <row r="14" spans="1:16" outlineLevel="1" x14ac:dyDescent="0.4">
      <c r="A14" s="3041"/>
      <c r="B14" s="4055"/>
      <c r="C14" s="3049" t="s">
        <v>926</v>
      </c>
      <c r="D14" s="3049" t="s">
        <v>778</v>
      </c>
      <c r="E14" s="3047">
        <f t="shared" si="0"/>
        <v>0.69444444444444442</v>
      </c>
      <c r="F14" s="3047">
        <f>IF($D14="Trigger",VLOOKUP($C14,'Upper Hot Cell Welding failures'!$E$30:$I$123,5,FALSE),E14+F13)</f>
        <v>4.344444444444445</v>
      </c>
      <c r="G14" s="3050"/>
      <c r="H14" s="3046" t="str">
        <f>IF(D14="operation",VLOOKUP(G14,'Generic Vertical Port Tasks'!$C$6:$D$558,2,FALSE),"N/A")</f>
        <v>N/A</v>
      </c>
      <c r="I14" s="3049" t="s">
        <v>857</v>
      </c>
      <c r="J14" s="3049" t="s">
        <v>452</v>
      </c>
      <c r="K14" s="3049" t="s">
        <v>831</v>
      </c>
      <c r="L14" s="3047">
        <f>IFERROR(INDEX('Upper Hot Cell Logistics'!$I$35:$O$41,MATCH($J14,'Upper Hot Cell Logistics'!$H$35:$H$41,0),MATCH($K14,'Upper Hot Cell Logistics'!$H$35:$H$41,0)),"N/A")</f>
        <v>50</v>
      </c>
      <c r="M14" s="3047">
        <f>IFERROR(VLOOKUP($I14,'Upper Hot Cell Logistics'!$H$4:$I$9,2,FALSE),"N/A")</f>
        <v>0.02</v>
      </c>
      <c r="N14" s="3047">
        <f t="shared" si="1"/>
        <v>0.69444444444444442</v>
      </c>
      <c r="O14" s="3051"/>
      <c r="P14" s="3046" t="str">
        <f>IF($D14="Logistics",VLOOKUP($O14,'Upper Hot Cell Logistics'!$C$4:$D$44,2,FALSE),"N/A")</f>
        <v>N/A</v>
      </c>
    </row>
    <row r="15" spans="1:16" outlineLevel="1" x14ac:dyDescent="0.4">
      <c r="A15" s="3041"/>
      <c r="B15" s="4055"/>
      <c r="C15" s="3049" t="s">
        <v>940</v>
      </c>
      <c r="D15" s="3049" t="s">
        <v>3</v>
      </c>
      <c r="E15" s="3047">
        <f t="shared" si="0"/>
        <v>0.58000000000000007</v>
      </c>
      <c r="F15" s="3047">
        <f>IF($D15="Trigger",VLOOKUP($C15,'Upper Hot Cell Welding failures'!$E$30:$I$123,5,FALSE),E15+F14)</f>
        <v>4.9244444444444451</v>
      </c>
      <c r="G15" s="3050"/>
      <c r="H15" s="3046" t="str">
        <f>IF(D15="operation",VLOOKUP(G15,'Generic Vertical Port Tasks'!$C$6:$D$558,2,FALSE),"N/A")</f>
        <v>N/A</v>
      </c>
      <c r="I15" s="3049"/>
      <c r="J15" s="3049"/>
      <c r="K15" s="3049"/>
      <c r="L15" s="3047" t="str">
        <f>IFERROR(INDEX('Upper Hot Cell Logistics'!$I$35:$O$41,MATCH($J15,'Upper Hot Cell Logistics'!$H$35:$H$41,0),MATCH($K15,'Upper Hot Cell Logistics'!$H$35:$H$41,0)),"N/A")</f>
        <v>N/A</v>
      </c>
      <c r="M15" s="3047" t="str">
        <f>IFERROR(VLOOKUP($I15,'Upper Hot Cell Logistics'!$H$4:$I$9,2,FALSE),"N/A")</f>
        <v>N/A</v>
      </c>
      <c r="N15" s="3047" t="str">
        <f t="shared" si="1"/>
        <v>N/A</v>
      </c>
      <c r="O15" s="3051" t="s">
        <v>904</v>
      </c>
      <c r="P15" s="3046">
        <f>IF($D15="Logistics",VLOOKUP($O15,'Upper Hot Cell Logistics'!$C$4:$D$44,2,FALSE),"N/A")</f>
        <v>0.58000000000000007</v>
      </c>
    </row>
    <row r="16" spans="1:16" outlineLevel="1" x14ac:dyDescent="0.4">
      <c r="A16" s="3041"/>
      <c r="B16" s="4056"/>
      <c r="C16" s="3052" t="s">
        <v>807</v>
      </c>
      <c r="D16" s="3049" t="s">
        <v>778</v>
      </c>
      <c r="E16" s="3047">
        <f t="shared" si="0"/>
        <v>6.9444444444444448E-2</v>
      </c>
      <c r="F16" s="3047">
        <f>IF($D16="Trigger",VLOOKUP($C16,'Upper Hot Cell Welding failures'!$E$30:$I$123,5,FALSE),E16+F15)</f>
        <v>4.9938888888888897</v>
      </c>
      <c r="G16" s="3050"/>
      <c r="H16" s="3046" t="str">
        <f>IF(D16="operation",VLOOKUP(G16,'Generic Vertical Port Tasks'!$C$6:$D$558,2,FALSE),"N/A")</f>
        <v>N/A</v>
      </c>
      <c r="I16" s="3049" t="s">
        <v>798</v>
      </c>
      <c r="J16" s="3049" t="s">
        <v>831</v>
      </c>
      <c r="K16" s="3049" t="s">
        <v>452</v>
      </c>
      <c r="L16" s="3047">
        <f>IFERROR(INDEX('Upper Hot Cell Logistics'!$I$35:$O$41,MATCH($J16,'Upper Hot Cell Logistics'!$H$35:$H$41,0),MATCH($K16,'Upper Hot Cell Logistics'!$H$35:$H$41,0)),"N/A")</f>
        <v>50</v>
      </c>
      <c r="M16" s="3047">
        <f>IFERROR(VLOOKUP($I16,'Upper Hot Cell Logistics'!$H$4:$I$9,2,FALSE),"N/A")</f>
        <v>0.2</v>
      </c>
      <c r="N16" s="3047">
        <f>IF(D16="Movement",IFERROR((L16/M16)/(60*60),"Error"),"N/A")</f>
        <v>6.9444444444444448E-2</v>
      </c>
      <c r="O16" s="3051"/>
      <c r="P16" s="3046" t="str">
        <f>IF($D16="Logistics",VLOOKUP($O16,'Upper Hot Cell Logistics'!$C$4:$D$44,2,FALSE),"N/A")</f>
        <v>N/A</v>
      </c>
    </row>
    <row r="17" spans="1:16" ht="26.15" outlineLevel="1" thickBot="1" x14ac:dyDescent="0.45">
      <c r="A17" s="3041"/>
      <c r="B17" s="4057"/>
      <c r="C17" s="3053" t="str">
        <f>B13</f>
        <v>COB Pipe Module Stored and Transporter Returned to Vertical Port</v>
      </c>
      <c r="D17" s="3053" t="s">
        <v>11</v>
      </c>
      <c r="E17" s="3054">
        <f t="shared" si="0"/>
        <v>0</v>
      </c>
      <c r="F17" s="3054">
        <f>IF($D17="Trigger",VLOOKUP($C17,'Upper Hot Cell Welding failures'!$E$30:$I$123,5,FALSE),E17+F16)</f>
        <v>4.9938888888888897</v>
      </c>
      <c r="G17" s="3056"/>
      <c r="H17" s="3046" t="str">
        <f>IF(D17="operation",VLOOKUP(G17,'Generic Vertical Port Tasks'!$C$6:$D$558,2,FALSE),"N/A")</f>
        <v>N/A</v>
      </c>
      <c r="I17" s="3053"/>
      <c r="J17" s="3053"/>
      <c r="K17" s="3053"/>
      <c r="L17" s="3047" t="str">
        <f>IFERROR(INDEX('Upper Hot Cell Logistics'!$I$35:$O$41,MATCH($J17,'Upper Hot Cell Logistics'!$H$35:$H$41,0),MATCH($K17,'Upper Hot Cell Logistics'!$H$35:$H$41,0)),"N/A")</f>
        <v>N/A</v>
      </c>
      <c r="M17" s="3047" t="str">
        <f>IFERROR(VLOOKUP($I17,'Upper Hot Cell Logistics'!$H$4:$I$9,2,FALSE),"N/A")</f>
        <v>N/A</v>
      </c>
      <c r="N17" s="3047" t="str">
        <f t="shared" si="1"/>
        <v>N/A</v>
      </c>
      <c r="O17" s="3057"/>
      <c r="P17" s="3055" t="str">
        <f>IF($D17="Logistics",VLOOKUP($O17,'Upper Hot Cell Logistics'!$C$4:$D$44,2,FALSE),"N/A")</f>
        <v>N/A</v>
      </c>
    </row>
    <row r="18" spans="1:16" outlineLevel="1" x14ac:dyDescent="0.4">
      <c r="A18" s="3041"/>
      <c r="B18" s="4054" t="s">
        <v>2673</v>
      </c>
      <c r="C18" s="3042" t="str">
        <f>'Upper Hot Cell Welding failures'!E55</f>
        <v>Extract LOB Pipe Module</v>
      </c>
      <c r="D18" s="3042" t="s">
        <v>907</v>
      </c>
      <c r="E18" s="3043">
        <f t="shared" si="0"/>
        <v>0</v>
      </c>
      <c r="F18" s="3043">
        <f>IF($D18="Trigger",VLOOKUP($C18,'Upper Hot Cell Welding failures'!$E$30:$I$123,5,FALSE),E18+F17)</f>
        <v>16.781111111111112</v>
      </c>
      <c r="G18" s="3045"/>
      <c r="H18" s="3046" t="str">
        <f>IF(D18="operation",VLOOKUP(G18,'Generic Vertical Port Tasks'!$C$6:$D$558,2,FALSE),"N/A")</f>
        <v>N/A</v>
      </c>
      <c r="I18" s="3042"/>
      <c r="J18" s="3042"/>
      <c r="K18" s="3042"/>
      <c r="L18" s="3047" t="str">
        <f>IFERROR(INDEX('Upper Hot Cell Logistics'!$I$35:$O$41,MATCH($J18,'Upper Hot Cell Logistics'!$H$35:$H$41,0),MATCH($K18,'Upper Hot Cell Logistics'!$H$35:$H$41,0)),"N/A")</f>
        <v>N/A</v>
      </c>
      <c r="M18" s="3047" t="str">
        <f>IFERROR(VLOOKUP($I18,'Upper Hot Cell Logistics'!$H$4:$I$9,2,FALSE),"N/A")</f>
        <v>N/A</v>
      </c>
      <c r="N18" s="3047" t="str">
        <f>IF(D18="Movement",IFERROR((L18/M18)/(60*60),"Error"),"N/A")</f>
        <v>N/A</v>
      </c>
      <c r="O18" s="3048"/>
      <c r="P18" s="3044" t="str">
        <f>IF($D18="Logistics",VLOOKUP($O18,'Upper Hot Cell Logistics'!$C$4:$D$44,2,FALSE),"N/A")</f>
        <v>N/A</v>
      </c>
    </row>
    <row r="19" spans="1:16" outlineLevel="1" x14ac:dyDescent="0.4">
      <c r="A19" s="3041"/>
      <c r="B19" s="4055"/>
      <c r="C19" s="3049" t="s">
        <v>926</v>
      </c>
      <c r="D19" s="3049" t="s">
        <v>778</v>
      </c>
      <c r="E19" s="3047">
        <f t="shared" si="0"/>
        <v>0.69444444444444442</v>
      </c>
      <c r="F19" s="3047">
        <f>IF($D19="Trigger",VLOOKUP($C19,'Upper Hot Cell Welding failures'!$E$30:$I$123,5,FALSE),E19+F18)</f>
        <v>17.475555555555555</v>
      </c>
      <c r="G19" s="3050"/>
      <c r="H19" s="3046" t="str">
        <f>IF(D19="operation",VLOOKUP(G19,'Generic Vertical Port Tasks'!$C$6:$D$558,2,FALSE),"N/A")</f>
        <v>N/A</v>
      </c>
      <c r="I19" s="3049" t="s">
        <v>857</v>
      </c>
      <c r="J19" s="3049" t="s">
        <v>452</v>
      </c>
      <c r="K19" s="3049" t="s">
        <v>831</v>
      </c>
      <c r="L19" s="3047">
        <f>IFERROR(INDEX('Upper Hot Cell Logistics'!$I$35:$O$41,MATCH($J19,'Upper Hot Cell Logistics'!$H$35:$H$41,0),MATCH($K19,'Upper Hot Cell Logistics'!$H$35:$H$41,0)),"N/A")</f>
        <v>50</v>
      </c>
      <c r="M19" s="3047">
        <f>IFERROR(VLOOKUP($I19,'Upper Hot Cell Logistics'!$H$4:$I$9,2,FALSE),"N/A")</f>
        <v>0.02</v>
      </c>
      <c r="N19" s="3047">
        <f>IF(D19="Movement",IFERROR((L19/M19)/(60*60),"Error"),"N/A")</f>
        <v>0.69444444444444442</v>
      </c>
      <c r="O19" s="3051"/>
      <c r="P19" s="3046" t="str">
        <f>IF($D19="Logistics",VLOOKUP($O19,'Upper Hot Cell Logistics'!$C$4:$D$44,2,FALSE),"N/A")</f>
        <v>N/A</v>
      </c>
    </row>
    <row r="20" spans="1:16" outlineLevel="1" x14ac:dyDescent="0.4">
      <c r="A20" s="3041"/>
      <c r="B20" s="4055"/>
      <c r="C20" s="3049" t="s">
        <v>940</v>
      </c>
      <c r="D20" s="3049" t="s">
        <v>3</v>
      </c>
      <c r="E20" s="3047">
        <f t="shared" si="0"/>
        <v>0.58000000000000007</v>
      </c>
      <c r="F20" s="3047">
        <f>IF($D20="Trigger",VLOOKUP($C20,'Upper Hot Cell Welding failures'!$E$30:$I$123,5,FALSE),E20+F19)</f>
        <v>18.055555555555557</v>
      </c>
      <c r="G20" s="3050"/>
      <c r="H20" s="3046" t="str">
        <f>IF(D20="operation",VLOOKUP(G20,'Generic Vertical Port Tasks'!$C$6:$D$558,2,FALSE),"N/A")</f>
        <v>N/A</v>
      </c>
      <c r="I20" s="3049"/>
      <c r="J20" s="3049"/>
      <c r="K20" s="3049"/>
      <c r="L20" s="3047" t="str">
        <f>IFERROR(INDEX('Upper Hot Cell Logistics'!$I$35:$O$41,MATCH($J20,'Upper Hot Cell Logistics'!$H$35:$H$41,0),MATCH($K20,'Upper Hot Cell Logistics'!$H$35:$H$41,0)),"N/A")</f>
        <v>N/A</v>
      </c>
      <c r="M20" s="3047" t="str">
        <f>IFERROR(VLOOKUP($I20,'Upper Hot Cell Logistics'!$H$4:$I$9,2,FALSE),"N/A")</f>
        <v>N/A</v>
      </c>
      <c r="N20" s="3047" t="str">
        <f>IF(D20="Movement",IFERROR((L20/M20)/(60*60),"Error"),"N/A")</f>
        <v>N/A</v>
      </c>
      <c r="O20" s="3051" t="s">
        <v>904</v>
      </c>
      <c r="P20" s="3046">
        <f>IF($D20="Logistics",VLOOKUP($O20,'Upper Hot Cell Logistics'!$C$4:$D$44,2,FALSE),"N/A")</f>
        <v>0.58000000000000007</v>
      </c>
    </row>
    <row r="21" spans="1:16" outlineLevel="1" x14ac:dyDescent="0.4">
      <c r="A21" s="3041"/>
      <c r="B21" s="4056"/>
      <c r="C21" s="3052" t="s">
        <v>807</v>
      </c>
      <c r="D21" s="3049" t="s">
        <v>778</v>
      </c>
      <c r="E21" s="3047">
        <f t="shared" si="0"/>
        <v>6.9444444444444448E-2</v>
      </c>
      <c r="F21" s="3047">
        <f>IF($D21="Trigger",VLOOKUP($C21,'Upper Hot Cell Welding failures'!$E$30:$I$123,5,FALSE),E21+F20)</f>
        <v>18.125</v>
      </c>
      <c r="G21" s="3050"/>
      <c r="H21" s="3046" t="str">
        <f>IF(D21="operation",VLOOKUP(G21,'Generic Vertical Port Tasks'!$C$6:$D$558,2,FALSE),"N/A")</f>
        <v>N/A</v>
      </c>
      <c r="I21" s="3049" t="s">
        <v>798</v>
      </c>
      <c r="J21" s="3049" t="s">
        <v>831</v>
      </c>
      <c r="K21" s="3049" t="s">
        <v>452</v>
      </c>
      <c r="L21" s="3047">
        <f>IFERROR(INDEX('Upper Hot Cell Logistics'!$I$35:$O$41,MATCH($J21,'Upper Hot Cell Logistics'!$H$35:$H$41,0),MATCH($K21,'Upper Hot Cell Logistics'!$H$35:$H$41,0)),"N/A")</f>
        <v>50</v>
      </c>
      <c r="M21" s="3047">
        <f>IFERROR(VLOOKUP($I21,'Upper Hot Cell Logistics'!$H$4:$I$9,2,FALSE),"N/A")</f>
        <v>0.2</v>
      </c>
      <c r="N21" s="3047">
        <f>IF(D21="Movement",IFERROR((L21/M21)/(60*60),"Error"),"N/A")</f>
        <v>6.9444444444444448E-2</v>
      </c>
      <c r="O21" s="3051"/>
      <c r="P21" s="3046" t="str">
        <f>IF($D21="Logistics",VLOOKUP($O21,'Upper Hot Cell Logistics'!$C$4:$D$44,2,FALSE),"N/A")</f>
        <v>N/A</v>
      </c>
    </row>
    <row r="22" spans="1:16" ht="26.15" outlineLevel="1" thickBot="1" x14ac:dyDescent="0.45">
      <c r="A22" s="3041"/>
      <c r="B22" s="4057"/>
      <c r="C22" s="3053" t="str">
        <f>B18</f>
        <v>LOB Pipe Module Stored and Transporter Returned to Vertical Port</v>
      </c>
      <c r="D22" s="3053" t="s">
        <v>11</v>
      </c>
      <c r="E22" s="3054">
        <f t="shared" si="0"/>
        <v>0</v>
      </c>
      <c r="F22" s="3054">
        <f>IF($D22="Trigger",VLOOKUP($C22,'Upper Hot Cell Welding failures'!$E$30:$I$123,5,FALSE),E22+F21)</f>
        <v>18.125</v>
      </c>
      <c r="G22" s="3056"/>
      <c r="H22" s="3046" t="str">
        <f>IF(D22="operation",VLOOKUP(G22,'Generic Vertical Port Tasks'!$C$6:$D$558,2,FALSE),"N/A")</f>
        <v>N/A</v>
      </c>
      <c r="I22" s="3053"/>
      <c r="J22" s="3053"/>
      <c r="K22" s="3053"/>
      <c r="L22" s="3047" t="str">
        <f>IFERROR(INDEX('Upper Hot Cell Logistics'!$I$35:$O$41,MATCH($J22,'Upper Hot Cell Logistics'!$H$35:$H$41,0),MATCH($K22,'Upper Hot Cell Logistics'!$H$35:$H$41,0)),"N/A")</f>
        <v>N/A</v>
      </c>
      <c r="M22" s="3047" t="str">
        <f>IFERROR(VLOOKUP($I22,'Upper Hot Cell Logistics'!$H$4:$I$9,2,FALSE),"N/A")</f>
        <v>N/A</v>
      </c>
      <c r="N22" s="3047" t="str">
        <f>IF(D22="Movement",IFERROR((L22/M22)/(60*60),"Error"),"N/A")</f>
        <v>N/A</v>
      </c>
      <c r="O22" s="3057"/>
      <c r="P22" s="3055" t="str">
        <f>IF($D22="Logistics",VLOOKUP($O22,'Upper Hot Cell Logistics'!$C$4:$D$44,2,FALSE),"N/A")</f>
        <v>N/A</v>
      </c>
    </row>
    <row r="23" spans="1:16" outlineLevel="1" x14ac:dyDescent="0.4">
      <c r="A23" s="3041"/>
      <c r="B23" s="4054" t="s">
        <v>2674</v>
      </c>
      <c r="C23" s="3042" t="str">
        <f>'Upper Hot Cell Welding failures'!E61</f>
        <v>Extract ROB Pipe Module</v>
      </c>
      <c r="D23" s="3042" t="s">
        <v>907</v>
      </c>
      <c r="E23" s="3043">
        <f t="shared" si="0"/>
        <v>0</v>
      </c>
      <c r="F23" s="3043">
        <f>IF($D23="Trigger",VLOOKUP($C23,'Upper Hot Cell Welding failures'!$E$30:$I$123,5,FALSE),E23+F22)</f>
        <v>29.912222222222219</v>
      </c>
      <c r="G23" s="3045"/>
      <c r="H23" s="3046" t="str">
        <f>IF(D23="operation",VLOOKUP(G23,'Generic Vertical Port Tasks'!$C$6:$D$558,2,FALSE),"N/A")</f>
        <v>N/A</v>
      </c>
      <c r="I23" s="3042"/>
      <c r="J23" s="3042"/>
      <c r="K23" s="3042"/>
      <c r="L23" s="3047" t="str">
        <f>IFERROR(INDEX('Upper Hot Cell Logistics'!$I$35:$O$41,MATCH($J23,'Upper Hot Cell Logistics'!$H$35:$H$41,0),MATCH($K23,'Upper Hot Cell Logistics'!$H$35:$H$41,0)),"N/A")</f>
        <v>N/A</v>
      </c>
      <c r="M23" s="3047" t="str">
        <f>IFERROR(VLOOKUP($I23,'Upper Hot Cell Logistics'!$H$4:$I$9,2,FALSE),"N/A")</f>
        <v>N/A</v>
      </c>
      <c r="N23" s="3047" t="str">
        <f t="shared" ref="N23:N111" si="2">IF(D23="Movement",IFERROR((L23/M23)/(60*60),"Error"),"N/A")</f>
        <v>N/A</v>
      </c>
      <c r="O23" s="3048"/>
      <c r="P23" s="3044" t="str">
        <f>IF($D23="Logistics",VLOOKUP($O23,'Upper Hot Cell Logistics'!$C$4:$D$44,2,FALSE),"N/A")</f>
        <v>N/A</v>
      </c>
    </row>
    <row r="24" spans="1:16" outlineLevel="1" x14ac:dyDescent="0.4">
      <c r="A24" s="3041"/>
      <c r="B24" s="4055"/>
      <c r="C24" s="3049" t="s">
        <v>926</v>
      </c>
      <c r="D24" s="3049" t="s">
        <v>778</v>
      </c>
      <c r="E24" s="3047">
        <f t="shared" si="0"/>
        <v>0.69444444444444442</v>
      </c>
      <c r="F24" s="3047">
        <f>IF($D24="Trigger",VLOOKUP($C24,'Upper Hot Cell Welding failures'!$E$30:$I$123,5,FALSE),E24+F23)</f>
        <v>30.606666666666662</v>
      </c>
      <c r="G24" s="3050"/>
      <c r="H24" s="3046" t="str">
        <f>IF(D24="operation",VLOOKUP(G24,'Generic Vertical Port Tasks'!$C$6:$D$558,2,FALSE),"N/A")</f>
        <v>N/A</v>
      </c>
      <c r="I24" s="3049" t="s">
        <v>857</v>
      </c>
      <c r="J24" s="3049" t="s">
        <v>452</v>
      </c>
      <c r="K24" s="3049" t="s">
        <v>831</v>
      </c>
      <c r="L24" s="3047">
        <f>IFERROR(INDEX('Upper Hot Cell Logistics'!$I$35:$O$41,MATCH($J24,'Upper Hot Cell Logistics'!$H$35:$H$41,0),MATCH($K24,'Upper Hot Cell Logistics'!$H$35:$H$41,0)),"N/A")</f>
        <v>50</v>
      </c>
      <c r="M24" s="3047">
        <f>IFERROR(VLOOKUP($I24,'Upper Hot Cell Logistics'!$H$4:$I$9,2,FALSE),"N/A")</f>
        <v>0.02</v>
      </c>
      <c r="N24" s="3047">
        <f t="shared" si="2"/>
        <v>0.69444444444444442</v>
      </c>
      <c r="O24" s="3051"/>
      <c r="P24" s="3046" t="str">
        <f>IF($D24="Logistics",VLOOKUP($O24,'Upper Hot Cell Logistics'!$C$4:$D$44,2,FALSE),"N/A")</f>
        <v>N/A</v>
      </c>
    </row>
    <row r="25" spans="1:16" outlineLevel="1" x14ac:dyDescent="0.4">
      <c r="A25" s="3041"/>
      <c r="B25" s="4055"/>
      <c r="C25" s="3049" t="s">
        <v>940</v>
      </c>
      <c r="D25" s="3049" t="s">
        <v>3</v>
      </c>
      <c r="E25" s="3047">
        <f t="shared" si="0"/>
        <v>0.58000000000000007</v>
      </c>
      <c r="F25" s="3047">
        <f>IF($D25="Trigger",VLOOKUP($C25,'Upper Hot Cell Welding failures'!$E$30:$I$123,5,FALSE),E25+F24)</f>
        <v>31.18666666666666</v>
      </c>
      <c r="G25" s="3050"/>
      <c r="H25" s="3046" t="str">
        <f>IF(D25="operation",VLOOKUP(G25,'Generic Vertical Port Tasks'!$C$6:$D$558,2,FALSE),"N/A")</f>
        <v>N/A</v>
      </c>
      <c r="I25" s="3049"/>
      <c r="J25" s="3049"/>
      <c r="K25" s="3049"/>
      <c r="L25" s="3047" t="str">
        <f>IFERROR(INDEX('Upper Hot Cell Logistics'!$I$35:$O$41,MATCH($J25,'Upper Hot Cell Logistics'!$H$35:$H$41,0),MATCH($K25,'Upper Hot Cell Logistics'!$H$35:$H$41,0)),"N/A")</f>
        <v>N/A</v>
      </c>
      <c r="M25" s="3047" t="str">
        <f>IFERROR(VLOOKUP($I25,'Upper Hot Cell Logistics'!$H$4:$I$9,2,FALSE),"N/A")</f>
        <v>N/A</v>
      </c>
      <c r="N25" s="3047" t="str">
        <f t="shared" si="2"/>
        <v>N/A</v>
      </c>
      <c r="O25" s="3051" t="s">
        <v>904</v>
      </c>
      <c r="P25" s="3046">
        <f>IF($D25="Logistics",VLOOKUP($O25,'Upper Hot Cell Logistics'!$C$4:$D$44,2,FALSE),"N/A")</f>
        <v>0.58000000000000007</v>
      </c>
    </row>
    <row r="26" spans="1:16" outlineLevel="1" x14ac:dyDescent="0.4">
      <c r="A26" s="3041"/>
      <c r="B26" s="4056"/>
      <c r="C26" s="3052" t="s">
        <v>807</v>
      </c>
      <c r="D26" s="3049" t="s">
        <v>778</v>
      </c>
      <c r="E26" s="3047">
        <f t="shared" si="0"/>
        <v>6.9444444444444448E-2</v>
      </c>
      <c r="F26" s="3047">
        <f>IF($D26="Trigger",VLOOKUP($C26,'Upper Hot Cell Welding failures'!$E$30:$I$123,5,FALSE),E26+F25)</f>
        <v>31.256111111111103</v>
      </c>
      <c r="G26" s="3050"/>
      <c r="H26" s="3046" t="str">
        <f>IF(D26="operation",VLOOKUP(G26,'Generic Vertical Port Tasks'!$C$6:$D$558,2,FALSE),"N/A")</f>
        <v>N/A</v>
      </c>
      <c r="I26" s="3049" t="s">
        <v>798</v>
      </c>
      <c r="J26" s="3049" t="s">
        <v>831</v>
      </c>
      <c r="K26" s="3049" t="s">
        <v>452</v>
      </c>
      <c r="L26" s="3047">
        <f>IFERROR(INDEX('Upper Hot Cell Logistics'!$I$35:$O$41,MATCH($J26,'Upper Hot Cell Logistics'!$H$35:$H$41,0),MATCH($K26,'Upper Hot Cell Logistics'!$H$35:$H$41,0)),"N/A")</f>
        <v>50</v>
      </c>
      <c r="M26" s="3047">
        <f>IFERROR(VLOOKUP($I26,'Upper Hot Cell Logistics'!$H$4:$I$9,2,FALSE),"N/A")</f>
        <v>0.2</v>
      </c>
      <c r="N26" s="3047">
        <f t="shared" si="2"/>
        <v>6.9444444444444448E-2</v>
      </c>
      <c r="O26" s="3051"/>
      <c r="P26" s="3046" t="str">
        <f>IF($D26="Logistics",VLOOKUP($O26,'Upper Hot Cell Logistics'!$C$4:$D$44,2,FALSE),"N/A")</f>
        <v>N/A</v>
      </c>
    </row>
    <row r="27" spans="1:16" ht="26.15" outlineLevel="1" thickBot="1" x14ac:dyDescent="0.45">
      <c r="A27" s="3041"/>
      <c r="B27" s="4057"/>
      <c r="C27" s="3053" t="str">
        <f>B23</f>
        <v>ROB Pipe Module Stored and Transporter Returned to Vertical Port</v>
      </c>
      <c r="D27" s="3053" t="s">
        <v>11</v>
      </c>
      <c r="E27" s="3054">
        <f t="shared" si="0"/>
        <v>0</v>
      </c>
      <c r="F27" s="3054">
        <f>IF($D27="Trigger",VLOOKUP($C27,'Upper Hot Cell Welding failures'!$E$30:$I$123,5,FALSE),E27+F26)</f>
        <v>31.256111111111103</v>
      </c>
      <c r="G27" s="3056"/>
      <c r="H27" s="3046" t="str">
        <f>IF(D27="operation",VLOOKUP(G27,'Generic Vertical Port Tasks'!$C$6:$D$558,2,FALSE),"N/A")</f>
        <v>N/A</v>
      </c>
      <c r="I27" s="3053"/>
      <c r="J27" s="3053"/>
      <c r="K27" s="3053"/>
      <c r="L27" s="3047" t="str">
        <f>IFERROR(INDEX('Upper Hot Cell Logistics'!$I$35:$O$41,MATCH($J27,'Upper Hot Cell Logistics'!$H$35:$H$41,0),MATCH($K27,'Upper Hot Cell Logistics'!$H$35:$H$41,0)),"N/A")</f>
        <v>N/A</v>
      </c>
      <c r="M27" s="3047" t="str">
        <f>IFERROR(VLOOKUP($I27,'Upper Hot Cell Logistics'!$H$4:$I$9,2,FALSE),"N/A")</f>
        <v>N/A</v>
      </c>
      <c r="N27" s="3047" t="str">
        <f t="shared" si="2"/>
        <v>N/A</v>
      </c>
      <c r="O27" s="3057"/>
      <c r="P27" s="3055" t="str">
        <f>IF($D27="Logistics",VLOOKUP($O27,'Upper Hot Cell Logistics'!$C$4:$D$44,2,FALSE),"N/A")</f>
        <v>N/A</v>
      </c>
    </row>
    <row r="28" spans="1:16" outlineLevel="1" x14ac:dyDescent="0.4">
      <c r="A28" s="3041"/>
      <c r="B28" s="4054" t="s">
        <v>2675</v>
      </c>
      <c r="C28" s="3042" t="str">
        <f>'Upper Hot Cell Welding failures'!E67</f>
        <v>Extract LIB Pipe Module</v>
      </c>
      <c r="D28" s="3042" t="s">
        <v>907</v>
      </c>
      <c r="E28" s="3043">
        <f t="shared" si="0"/>
        <v>0</v>
      </c>
      <c r="F28" s="3043">
        <f>IF($D28="Trigger",VLOOKUP($C28,'Upper Hot Cell Welding failures'!$E$30:$I$123,5,FALSE),E28+F27)</f>
        <v>43.043333333333329</v>
      </c>
      <c r="G28" s="3045"/>
      <c r="H28" s="3046" t="str">
        <f>IF(D28="operation",VLOOKUP(G28,'Generic Vertical Port Tasks'!$C$6:$D$558,2,FALSE),"N/A")</f>
        <v>N/A</v>
      </c>
      <c r="I28" s="3042"/>
      <c r="J28" s="3042"/>
      <c r="K28" s="3042"/>
      <c r="L28" s="3047" t="str">
        <f>IFERROR(INDEX('Upper Hot Cell Logistics'!$I$35:$O$41,MATCH($J28,'Upper Hot Cell Logistics'!$H$35:$H$41,0),MATCH($K28,'Upper Hot Cell Logistics'!$H$35:$H$41,0)),"N/A")</f>
        <v>N/A</v>
      </c>
      <c r="M28" s="3047" t="str">
        <f>IFERROR(VLOOKUP($I28,'Upper Hot Cell Logistics'!$H$4:$I$9,2,FALSE),"N/A")</f>
        <v>N/A</v>
      </c>
      <c r="N28" s="3047" t="str">
        <f t="shared" si="2"/>
        <v>N/A</v>
      </c>
      <c r="O28" s="3048"/>
      <c r="P28" s="3044" t="str">
        <f>IF($D28="Logistics",VLOOKUP($O28,'Upper Hot Cell Logistics'!$C$4:$D$44,2,FALSE),"N/A")</f>
        <v>N/A</v>
      </c>
    </row>
    <row r="29" spans="1:16" outlineLevel="1" x14ac:dyDescent="0.4">
      <c r="A29" s="3041"/>
      <c r="B29" s="4055"/>
      <c r="C29" s="3049" t="s">
        <v>926</v>
      </c>
      <c r="D29" s="3049" t="s">
        <v>778</v>
      </c>
      <c r="E29" s="3047">
        <f t="shared" si="0"/>
        <v>0.69444444444444442</v>
      </c>
      <c r="F29" s="3047">
        <f>IF($D29="Trigger",VLOOKUP($C29,'Upper Hot Cell Welding failures'!$E$30:$I$123,5,FALSE),E29+F28)</f>
        <v>43.737777777777772</v>
      </c>
      <c r="G29" s="3050"/>
      <c r="H29" s="3046" t="str">
        <f>IF(D29="operation",VLOOKUP(G29,'Generic Vertical Port Tasks'!$C$6:$D$558,2,FALSE),"N/A")</f>
        <v>N/A</v>
      </c>
      <c r="I29" s="3049" t="s">
        <v>857</v>
      </c>
      <c r="J29" s="3049" t="s">
        <v>452</v>
      </c>
      <c r="K29" s="3049" t="s">
        <v>831</v>
      </c>
      <c r="L29" s="3047">
        <f>IFERROR(INDEX('Upper Hot Cell Logistics'!$I$35:$O$41,MATCH($J29,'Upper Hot Cell Logistics'!$H$35:$H$41,0),MATCH($K29,'Upper Hot Cell Logistics'!$H$35:$H$41,0)),"N/A")</f>
        <v>50</v>
      </c>
      <c r="M29" s="3047">
        <f>IFERROR(VLOOKUP($I29,'Upper Hot Cell Logistics'!$H$4:$I$9,2,FALSE),"N/A")</f>
        <v>0.02</v>
      </c>
      <c r="N29" s="3047">
        <f t="shared" si="2"/>
        <v>0.69444444444444442</v>
      </c>
      <c r="O29" s="3051"/>
      <c r="P29" s="3046" t="str">
        <f>IF($D29="Logistics",VLOOKUP($O29,'Upper Hot Cell Logistics'!$C$4:$D$44,2,FALSE),"N/A")</f>
        <v>N/A</v>
      </c>
    </row>
    <row r="30" spans="1:16" outlineLevel="1" x14ac:dyDescent="0.4">
      <c r="A30" s="3041"/>
      <c r="B30" s="4055"/>
      <c r="C30" s="3049" t="s">
        <v>940</v>
      </c>
      <c r="D30" s="3049" t="s">
        <v>3</v>
      </c>
      <c r="E30" s="3047">
        <f t="shared" si="0"/>
        <v>0.58000000000000007</v>
      </c>
      <c r="F30" s="3047">
        <f>IF($D30="Trigger",VLOOKUP($C30,'Upper Hot Cell Welding failures'!$E$30:$I$123,5,FALSE),E30+F29)</f>
        <v>44.317777777777771</v>
      </c>
      <c r="G30" s="3050"/>
      <c r="H30" s="3046" t="str">
        <f>IF(D30="operation",VLOOKUP(G30,'Generic Vertical Port Tasks'!$C$6:$D$558,2,FALSE),"N/A")</f>
        <v>N/A</v>
      </c>
      <c r="I30" s="3049"/>
      <c r="J30" s="3049"/>
      <c r="K30" s="3049"/>
      <c r="L30" s="3047" t="str">
        <f>IFERROR(INDEX('Upper Hot Cell Logistics'!$I$35:$O$41,MATCH($J30,'Upper Hot Cell Logistics'!$H$35:$H$41,0),MATCH($K30,'Upper Hot Cell Logistics'!$H$35:$H$41,0)),"N/A")</f>
        <v>N/A</v>
      </c>
      <c r="M30" s="3047" t="str">
        <f>IFERROR(VLOOKUP($I30,'Upper Hot Cell Logistics'!$H$4:$I$9,2,FALSE),"N/A")</f>
        <v>N/A</v>
      </c>
      <c r="N30" s="3047" t="str">
        <f t="shared" si="2"/>
        <v>N/A</v>
      </c>
      <c r="O30" s="3051" t="s">
        <v>904</v>
      </c>
      <c r="P30" s="3046">
        <f>IF($D30="Logistics",VLOOKUP($O30,'Upper Hot Cell Logistics'!$C$4:$D$44,2,FALSE),"N/A")</f>
        <v>0.58000000000000007</v>
      </c>
    </row>
    <row r="31" spans="1:16" outlineLevel="1" x14ac:dyDescent="0.4">
      <c r="A31" s="3041"/>
      <c r="B31" s="4056"/>
      <c r="C31" s="3052" t="s">
        <v>807</v>
      </c>
      <c r="D31" s="3049" t="s">
        <v>778</v>
      </c>
      <c r="E31" s="3047">
        <f t="shared" si="0"/>
        <v>6.9444444444444448E-2</v>
      </c>
      <c r="F31" s="3047">
        <f>IF($D31="Trigger",VLOOKUP($C31,'Upper Hot Cell Welding failures'!$E$30:$I$123,5,FALSE),E31+F30)</f>
        <v>44.387222222222213</v>
      </c>
      <c r="G31" s="3050"/>
      <c r="H31" s="3046" t="str">
        <f>IF(D31="operation",VLOOKUP(G31,'Generic Vertical Port Tasks'!$C$6:$D$558,2,FALSE),"N/A")</f>
        <v>N/A</v>
      </c>
      <c r="I31" s="3049" t="s">
        <v>798</v>
      </c>
      <c r="J31" s="3049" t="s">
        <v>831</v>
      </c>
      <c r="K31" s="3049" t="s">
        <v>452</v>
      </c>
      <c r="L31" s="3047">
        <f>IFERROR(INDEX('Upper Hot Cell Logistics'!$I$35:$O$41,MATCH($J31,'Upper Hot Cell Logistics'!$H$35:$H$41,0),MATCH($K31,'Upper Hot Cell Logistics'!$H$35:$H$41,0)),"N/A")</f>
        <v>50</v>
      </c>
      <c r="M31" s="3047">
        <f>IFERROR(VLOOKUP($I31,'Upper Hot Cell Logistics'!$H$4:$I$9,2,FALSE),"N/A")</f>
        <v>0.2</v>
      </c>
      <c r="N31" s="3047">
        <f t="shared" si="2"/>
        <v>6.9444444444444448E-2</v>
      </c>
      <c r="O31" s="3051"/>
      <c r="P31" s="3046" t="str">
        <f>IF($D31="Logistics",VLOOKUP($O31,'Upper Hot Cell Logistics'!$C$4:$D$44,2,FALSE),"N/A")</f>
        <v>N/A</v>
      </c>
    </row>
    <row r="32" spans="1:16" ht="26.15" outlineLevel="1" thickBot="1" x14ac:dyDescent="0.45">
      <c r="A32" s="3041"/>
      <c r="B32" s="4057"/>
      <c r="C32" s="3053" t="str">
        <f>B28</f>
        <v>LIB Pipe Module Stored and Transporter Returned to Vertical Port</v>
      </c>
      <c r="D32" s="3053" t="s">
        <v>11</v>
      </c>
      <c r="E32" s="3054">
        <f t="shared" si="0"/>
        <v>0</v>
      </c>
      <c r="F32" s="3054">
        <f>IF($D32="Trigger",VLOOKUP($C32,'Upper Hot Cell Welding failures'!$E$30:$I$123,5,FALSE),E32+F31)</f>
        <v>44.387222222222213</v>
      </c>
      <c r="G32" s="3056"/>
      <c r="H32" s="3046" t="str">
        <f>IF(D32="operation",VLOOKUP(G32,'Generic Vertical Port Tasks'!$C$6:$D$558,2,FALSE),"N/A")</f>
        <v>N/A</v>
      </c>
      <c r="I32" s="3053"/>
      <c r="J32" s="3053"/>
      <c r="K32" s="3053"/>
      <c r="L32" s="3047" t="str">
        <f>IFERROR(INDEX('Upper Hot Cell Logistics'!$I$35:$O$41,MATCH($J32,'Upper Hot Cell Logistics'!$H$35:$H$41,0),MATCH($K32,'Upper Hot Cell Logistics'!$H$35:$H$41,0)),"N/A")</f>
        <v>N/A</v>
      </c>
      <c r="M32" s="3047" t="str">
        <f>IFERROR(VLOOKUP($I32,'Upper Hot Cell Logistics'!$H$4:$I$9,2,FALSE),"N/A")</f>
        <v>N/A</v>
      </c>
      <c r="N32" s="3047" t="str">
        <f t="shared" si="2"/>
        <v>N/A</v>
      </c>
      <c r="O32" s="3057"/>
      <c r="P32" s="3055" t="str">
        <f>IF($D32="Logistics",VLOOKUP($O32,'Upper Hot Cell Logistics'!$C$4:$D$44,2,FALSE),"N/A")</f>
        <v>N/A</v>
      </c>
    </row>
    <row r="33" spans="1:17" s="3058" customFormat="1" ht="14.6" outlineLevel="1" x14ac:dyDescent="0.4">
      <c r="A33" s="3041"/>
      <c r="B33" s="4054" t="s">
        <v>1077</v>
      </c>
      <c r="C33" s="3042" t="str">
        <f>'Upper Hot Cell Welding failures'!E71</f>
        <v>Cut Pipes 5</v>
      </c>
      <c r="D33" s="3042" t="s">
        <v>907</v>
      </c>
      <c r="E33" s="3043">
        <f t="shared" si="0"/>
        <v>0</v>
      </c>
      <c r="F33" s="3044">
        <f>IF($D33="Trigger",VLOOKUP($C33,'Upper Hot Cell Welding failures'!$E$30:$I$123,5,FALSE),E33+F32)</f>
        <v>53.57</v>
      </c>
      <c r="G33" s="3045"/>
      <c r="H33" s="3046" t="str">
        <f>IF(D33="operation",VLOOKUP(G33,'Generic Vertical Port Tasks'!$C$6:$D$558,2,FALSE),"N/A")</f>
        <v>N/A</v>
      </c>
      <c r="I33" s="3042"/>
      <c r="J33" s="3042"/>
      <c r="K33" s="3042"/>
      <c r="L33" s="3047" t="str">
        <f>IFERROR(INDEX('Upper Hot Cell Logistics'!$I$35:$O$41,MATCH($J33,'Upper Hot Cell Logistics'!$H$35:$H$41,0),MATCH($K33,'Upper Hot Cell Logistics'!$H$35:$H$41,0)),"N/A")</f>
        <v>N/A</v>
      </c>
      <c r="M33" s="3047" t="str">
        <f>IFERROR(VLOOKUP($I33,'Upper Hot Cell Logistics'!$H$4:$I$9,2,FALSE),"N/A")</f>
        <v>N/A</v>
      </c>
      <c r="N33" s="3047" t="str">
        <f t="shared" si="2"/>
        <v>N/A</v>
      </c>
      <c r="O33" s="3048"/>
      <c r="P33" s="3044" t="str">
        <f>IF($D33="Logistics",VLOOKUP($O33,'Upper Hot Cell Logistics'!$C$4:$D$44,2,FALSE),"N/A")</f>
        <v>N/A</v>
      </c>
      <c r="Q33" s="3023"/>
    </row>
    <row r="34" spans="1:17" s="3058" customFormat="1" ht="14.6" outlineLevel="1" x14ac:dyDescent="0.4">
      <c r="A34" s="3041"/>
      <c r="B34" s="4055"/>
      <c r="C34" s="3049" t="s">
        <v>913</v>
      </c>
      <c r="D34" s="3049" t="s">
        <v>778</v>
      </c>
      <c r="E34" s="3047">
        <f t="shared" si="0"/>
        <v>0.69444444444444442</v>
      </c>
      <c r="F34" s="3046">
        <f>IF($D34="Trigger",VLOOKUP($C34,'Upper Hot Cell Welding failures'!$E$30:$I$123,5,FALSE),E34+F33)</f>
        <v>54.264444444444443</v>
      </c>
      <c r="G34" s="3050"/>
      <c r="H34" s="3046" t="str">
        <f>IF(D34="operation",VLOOKUP(G34,'Generic Vertical Port Tasks'!$C$6:$D$558,2,FALSE),"N/A")</f>
        <v>N/A</v>
      </c>
      <c r="I34" s="3049" t="s">
        <v>857</v>
      </c>
      <c r="J34" s="3049" t="s">
        <v>452</v>
      </c>
      <c r="K34" s="3049" t="s">
        <v>914</v>
      </c>
      <c r="L34" s="3047">
        <f>IFERROR(INDEX('Upper Hot Cell Logistics'!$I$35:$O$41,MATCH($J34,'Upper Hot Cell Logistics'!$H$35:$H$41,0),MATCH($K34,'Upper Hot Cell Logistics'!$H$35:$H$41,0)),"N/A")</f>
        <v>50</v>
      </c>
      <c r="M34" s="3047">
        <f>IFERROR(VLOOKUP($I34,'Upper Hot Cell Logistics'!$H$4:$I$9,2,FALSE),"N/A")</f>
        <v>0.02</v>
      </c>
      <c r="N34" s="3047">
        <f t="shared" si="2"/>
        <v>0.69444444444444442</v>
      </c>
      <c r="O34" s="3051"/>
      <c r="P34" s="3046" t="str">
        <f>IF($D34="Logistics",VLOOKUP($O34,'Upper Hot Cell Logistics'!$C$4:$D$44,2,FALSE),"N/A")</f>
        <v>N/A</v>
      </c>
      <c r="Q34" s="3023"/>
    </row>
    <row r="35" spans="1:17" s="3058" customFormat="1" ht="14.6" outlineLevel="1" x14ac:dyDescent="0.4">
      <c r="A35" s="3041"/>
      <c r="B35" s="4055"/>
      <c r="C35" s="3049" t="s">
        <v>955</v>
      </c>
      <c r="D35" s="3049" t="s">
        <v>3</v>
      </c>
      <c r="E35" s="3047">
        <f t="shared" si="0"/>
        <v>0.68</v>
      </c>
      <c r="F35" s="3046">
        <f>IF($D35="Trigger",VLOOKUP($C35,'Upper Hot Cell Welding failures'!$E$30:$I$123,5,FALSE),E35+F34)</f>
        <v>54.944444444444443</v>
      </c>
      <c r="G35" s="3050"/>
      <c r="H35" s="3046" t="str">
        <f>IF(D35="operation",VLOOKUP(G35,'Generic Vertical Port Tasks'!$C$6:$D$558,2,FALSE),"N/A")</f>
        <v>N/A</v>
      </c>
      <c r="I35" s="3049"/>
      <c r="J35" s="3049"/>
      <c r="K35" s="3049"/>
      <c r="L35" s="3047" t="str">
        <f>IFERROR(INDEX('Upper Hot Cell Logistics'!$I$35:$O$41,MATCH($J35,'Upper Hot Cell Logistics'!$H$35:$H$41,0),MATCH($K35,'Upper Hot Cell Logistics'!$H$35:$H$41,0)),"N/A")</f>
        <v>N/A</v>
      </c>
      <c r="M35" s="3047" t="str">
        <f>IFERROR(VLOOKUP($I35,'Upper Hot Cell Logistics'!$H$4:$I$9,2,FALSE),"N/A")</f>
        <v>N/A</v>
      </c>
      <c r="N35" s="3047" t="str">
        <f t="shared" si="2"/>
        <v>N/A</v>
      </c>
      <c r="O35" s="3051" t="s">
        <v>916</v>
      </c>
      <c r="P35" s="3046">
        <f>IF($D35="Logistics",VLOOKUP($O35,'Upper Hot Cell Logistics'!$C$4:$D$44,2,FALSE),"N/A")</f>
        <v>0.68</v>
      </c>
      <c r="Q35" s="3023"/>
    </row>
    <row r="36" spans="1:17" s="3058" customFormat="1" ht="14.6" outlineLevel="1" x14ac:dyDescent="0.4">
      <c r="A36" s="3041"/>
      <c r="B36" s="4055"/>
      <c r="C36" s="3049" t="s">
        <v>976</v>
      </c>
      <c r="D36" s="3049" t="s">
        <v>778</v>
      </c>
      <c r="E36" s="3047">
        <f t="shared" si="0"/>
        <v>1.3888888888888888E-2</v>
      </c>
      <c r="F36" s="3046">
        <f>IF($D36="Trigger",VLOOKUP($C36,'Upper Hot Cell Welding failures'!$E$30:$I$123,5,FALSE),E36+F35)</f>
        <v>54.958333333333329</v>
      </c>
      <c r="G36" s="3050"/>
      <c r="H36" s="3046" t="str">
        <f>IF(D36="operation",VLOOKUP(G36,'Generic Vertical Port Tasks'!$C$6:$D$558,2,FALSE),"N/A")</f>
        <v>N/A</v>
      </c>
      <c r="I36" s="3049" t="s">
        <v>798</v>
      </c>
      <c r="J36" s="3049" t="s">
        <v>831</v>
      </c>
      <c r="K36" s="3049" t="s">
        <v>858</v>
      </c>
      <c r="L36" s="3047">
        <f>IFERROR(INDEX('Upper Hot Cell Logistics'!$I$35:$O$41,MATCH($J36,'Upper Hot Cell Logistics'!$H$35:$H$41,0),MATCH($K36,'Upper Hot Cell Logistics'!$H$35:$H$41,0)),"N/A")</f>
        <v>10</v>
      </c>
      <c r="M36" s="3047">
        <f>IFERROR(VLOOKUP($I36,'Upper Hot Cell Logistics'!$H$4:$I$9,2,FALSE),"N/A")</f>
        <v>0.2</v>
      </c>
      <c r="N36" s="3047">
        <f t="shared" si="2"/>
        <v>1.3888888888888888E-2</v>
      </c>
      <c r="O36" s="3051"/>
      <c r="P36" s="3046" t="str">
        <f>IF($D36="Logistics",VLOOKUP($O36,'Upper Hot Cell Logistics'!$C$4:$D$44,2,FALSE),"N/A")</f>
        <v>N/A</v>
      </c>
      <c r="Q36" s="3023"/>
    </row>
    <row r="37" spans="1:17" s="3058" customFormat="1" ht="14.6" outlineLevel="1" x14ac:dyDescent="0.4">
      <c r="A37" s="3041"/>
      <c r="B37" s="4055"/>
      <c r="C37" s="3049" t="s">
        <v>956</v>
      </c>
      <c r="D37" s="3049" t="s">
        <v>3</v>
      </c>
      <c r="E37" s="3047">
        <f t="shared" si="0"/>
        <v>0.58000000000000007</v>
      </c>
      <c r="F37" s="3046">
        <f>IF($D37="Trigger",VLOOKUP($C37,'Upper Hot Cell Welding failures'!$E$30:$I$123,5,FALSE),E37+F36)</f>
        <v>55.538333333333327</v>
      </c>
      <c r="G37" s="3050"/>
      <c r="H37" s="3046" t="str">
        <f>IF(D37="operation",VLOOKUP(G37,'Generic Vertical Port Tasks'!$C$6:$D$558,2,FALSE),"N/A")</f>
        <v>N/A</v>
      </c>
      <c r="I37" s="3049"/>
      <c r="J37" s="3049"/>
      <c r="K37" s="3049"/>
      <c r="L37" s="3047" t="str">
        <f>IFERROR(INDEX('Upper Hot Cell Logistics'!$I$35:$O$41,MATCH($J37,'Upper Hot Cell Logistics'!$H$35:$H$41,0),MATCH($K37,'Upper Hot Cell Logistics'!$H$35:$H$41,0)),"N/A")</f>
        <v>N/A</v>
      </c>
      <c r="M37" s="3047" t="str">
        <f>IFERROR(VLOOKUP($I37,'Upper Hot Cell Logistics'!$H$4:$I$9,2,FALSE),"N/A")</f>
        <v>N/A</v>
      </c>
      <c r="N37" s="3047" t="str">
        <f t="shared" si="2"/>
        <v>N/A</v>
      </c>
      <c r="O37" s="3051" t="s">
        <v>796</v>
      </c>
      <c r="P37" s="3046">
        <f>IF($D37="Logistics",VLOOKUP($O37,'Upper Hot Cell Logistics'!$C$4:$D$44,2,FALSE),"N/A")</f>
        <v>0.58000000000000007</v>
      </c>
      <c r="Q37" s="3023"/>
    </row>
    <row r="38" spans="1:17" s="3058" customFormat="1" ht="15" outlineLevel="1" thickBot="1" x14ac:dyDescent="0.45">
      <c r="A38" s="3041"/>
      <c r="B38" s="4057"/>
      <c r="C38" s="3053" t="str">
        <f>B33</f>
        <v xml:space="preserve"> Service Joint System Stored &amp; Blanket Transporter Collected</v>
      </c>
      <c r="D38" s="3053" t="s">
        <v>11</v>
      </c>
      <c r="E38" s="3054">
        <f t="shared" si="0"/>
        <v>0</v>
      </c>
      <c r="F38" s="3046">
        <f>IF($D38="Trigger",VLOOKUP($C38,'Upper Hot Cell Welding failures'!$E$30:$I$123,5,FALSE),E38+F37)</f>
        <v>55.538333333333327</v>
      </c>
      <c r="G38" s="3056"/>
      <c r="H38" s="3046" t="str">
        <f>IF(D38="operation",VLOOKUP(G38,'Generic Vertical Port Tasks'!$C$6:$D$558,2,FALSE),"N/A")</f>
        <v>N/A</v>
      </c>
      <c r="I38" s="3053"/>
      <c r="J38" s="3053"/>
      <c r="K38" s="3053"/>
      <c r="L38" s="3047" t="str">
        <f>IFERROR(INDEX('Upper Hot Cell Logistics'!$I$35:$O$41,MATCH($J38,'Upper Hot Cell Logistics'!$H$35:$H$41,0),MATCH($K38,'Upper Hot Cell Logistics'!$H$35:$H$41,0)),"N/A")</f>
        <v>N/A</v>
      </c>
      <c r="M38" s="3047" t="str">
        <f>IFERROR(VLOOKUP($I38,'Upper Hot Cell Logistics'!$H$4:$I$9,2,FALSE),"N/A")</f>
        <v>N/A</v>
      </c>
      <c r="N38" s="3047" t="str">
        <f t="shared" si="2"/>
        <v>N/A</v>
      </c>
      <c r="O38" s="3057"/>
      <c r="P38" s="3055" t="str">
        <f>IF($D38="Logistics",VLOOKUP($O38,'Upper Hot Cell Logistics'!$C$4:$D$44,2,FALSE),"N/A")</f>
        <v>N/A</v>
      </c>
      <c r="Q38" s="3023"/>
    </row>
    <row r="39" spans="1:17" ht="12.75" customHeight="1" outlineLevel="1" x14ac:dyDescent="0.4">
      <c r="A39" s="3041"/>
      <c r="B39" s="4054" t="s">
        <v>1079</v>
      </c>
      <c r="C39" s="3042" t="str">
        <f>'Upper Hot Cell Welding failures'!E73</f>
        <v>Extract RIB Pipe Module</v>
      </c>
      <c r="D39" s="3042" t="s">
        <v>907</v>
      </c>
      <c r="E39" s="3043">
        <f t="shared" si="0"/>
        <v>0</v>
      </c>
      <c r="F39" s="3043">
        <f>IF($D39="Trigger",VLOOKUP($C39,'Upper Hot Cell Welding failures'!$E$30:$I$123,5,FALSE),E39+F38)</f>
        <v>56.17444444444444</v>
      </c>
      <c r="G39" s="3045"/>
      <c r="H39" s="3046" t="str">
        <f>IF(D39="operation",VLOOKUP(G39,'Generic Vertical Port Tasks'!$C$6:$D$558,2,FALSE),"N/A")</f>
        <v>N/A</v>
      </c>
      <c r="I39" s="3042"/>
      <c r="J39" s="3042"/>
      <c r="K39" s="3042"/>
      <c r="L39" s="3047" t="str">
        <f>IFERROR(INDEX('Upper Hot Cell Logistics'!$I$35:$O$41,MATCH($J39,'Upper Hot Cell Logistics'!$H$35:$H$41,0),MATCH($K39,'Upper Hot Cell Logistics'!$H$35:$H$41,0)),"N/A")</f>
        <v>N/A</v>
      </c>
      <c r="M39" s="3047" t="str">
        <f>IFERROR(VLOOKUP($I39,'Upper Hot Cell Logistics'!$H$4:$I$9,2,FALSE),"N/A")</f>
        <v>N/A</v>
      </c>
      <c r="N39" s="3047" t="str">
        <f t="shared" si="2"/>
        <v>N/A</v>
      </c>
      <c r="O39" s="3048"/>
      <c r="P39" s="3044" t="str">
        <f>IF($D39="Logistics",VLOOKUP($O39,'Upper Hot Cell Logistics'!$C$4:$D$44,2,FALSE),"N/A")</f>
        <v>N/A</v>
      </c>
    </row>
    <row r="40" spans="1:17" outlineLevel="1" x14ac:dyDescent="0.4">
      <c r="A40" s="3041"/>
      <c r="B40" s="4055"/>
      <c r="C40" s="3049" t="s">
        <v>926</v>
      </c>
      <c r="D40" s="3049" t="s">
        <v>778</v>
      </c>
      <c r="E40" s="3047">
        <f t="shared" si="0"/>
        <v>0.69444444444444442</v>
      </c>
      <c r="F40" s="3047">
        <f>IF($D40="Trigger",VLOOKUP($C40,'Upper Hot Cell Welding failures'!$E$30:$I$123,5,FALSE),E40+F39)</f>
        <v>56.868888888888883</v>
      </c>
      <c r="G40" s="3050"/>
      <c r="H40" s="3046" t="str">
        <f>IF(D40="operation",VLOOKUP(G40,'Generic Vertical Port Tasks'!$C$6:$D$558,2,FALSE),"N/A")</f>
        <v>N/A</v>
      </c>
      <c r="I40" s="3049" t="s">
        <v>857</v>
      </c>
      <c r="J40" s="3049" t="s">
        <v>452</v>
      </c>
      <c r="K40" s="3049" t="s">
        <v>831</v>
      </c>
      <c r="L40" s="3047">
        <f>IFERROR(INDEX('Upper Hot Cell Logistics'!$I$35:$O$41,MATCH($J40,'Upper Hot Cell Logistics'!$H$35:$H$41,0),MATCH($K40,'Upper Hot Cell Logistics'!$H$35:$H$41,0)),"N/A")</f>
        <v>50</v>
      </c>
      <c r="M40" s="3047">
        <f>IFERROR(VLOOKUP($I40,'Upper Hot Cell Logistics'!$H$4:$I$9,2,FALSE),"N/A")</f>
        <v>0.02</v>
      </c>
      <c r="N40" s="3047">
        <f t="shared" si="2"/>
        <v>0.69444444444444442</v>
      </c>
      <c r="O40" s="3051"/>
      <c r="P40" s="3046" t="str">
        <f>IF($D40="Logistics",VLOOKUP($O40,'Upper Hot Cell Logistics'!$C$4:$D$44,2,FALSE),"N/A")</f>
        <v>N/A</v>
      </c>
    </row>
    <row r="41" spans="1:17" outlineLevel="1" x14ac:dyDescent="0.4">
      <c r="A41" s="3041"/>
      <c r="B41" s="4055"/>
      <c r="C41" s="3049" t="s">
        <v>940</v>
      </c>
      <c r="D41" s="3049" t="s">
        <v>3</v>
      </c>
      <c r="E41" s="3047">
        <f t="shared" si="0"/>
        <v>0.58000000000000007</v>
      </c>
      <c r="F41" s="3047">
        <f>IF($D41="Trigger",VLOOKUP($C41,'Upper Hot Cell Welding failures'!$E$30:$I$123,5,FALSE),E41+F40)</f>
        <v>57.448888888888881</v>
      </c>
      <c r="G41" s="3050"/>
      <c r="H41" s="3046" t="str">
        <f>IF(D41="operation",VLOOKUP(G41,'Generic Vertical Port Tasks'!$C$6:$D$558,2,FALSE),"N/A")</f>
        <v>N/A</v>
      </c>
      <c r="I41" s="3049"/>
      <c r="J41" s="3049"/>
      <c r="K41" s="3049"/>
      <c r="L41" s="3047" t="str">
        <f>IFERROR(INDEX('Upper Hot Cell Logistics'!$I$35:$O$41,MATCH($J41,'Upper Hot Cell Logistics'!$H$35:$H$41,0),MATCH($K41,'Upper Hot Cell Logistics'!$H$35:$H$41,0)),"N/A")</f>
        <v>N/A</v>
      </c>
      <c r="M41" s="3047" t="str">
        <f>IFERROR(VLOOKUP($I41,'Upper Hot Cell Logistics'!$H$4:$I$9,2,FALSE),"N/A")</f>
        <v>N/A</v>
      </c>
      <c r="N41" s="3047" t="str">
        <f t="shared" si="2"/>
        <v>N/A</v>
      </c>
      <c r="O41" s="3051" t="s">
        <v>904</v>
      </c>
      <c r="P41" s="3046">
        <f>IF($D41="Logistics",VLOOKUP($O41,'Upper Hot Cell Logistics'!$C$4:$D$44,2,FALSE),"N/A")</f>
        <v>0.58000000000000007</v>
      </c>
    </row>
    <row r="42" spans="1:17" outlineLevel="1" x14ac:dyDescent="0.4">
      <c r="A42" s="3041"/>
      <c r="B42" s="4056"/>
      <c r="C42" s="3049" t="s">
        <v>1170</v>
      </c>
      <c r="D42" s="3049" t="s">
        <v>778</v>
      </c>
      <c r="E42" s="3047">
        <f t="shared" si="0"/>
        <v>2.7777777777777776E-2</v>
      </c>
      <c r="F42" s="3047">
        <f>IF($D42="Trigger",VLOOKUP($C42,'Upper Hot Cell Welding failures'!$E$30:$I$123,5,FALSE),E42+F41)</f>
        <v>57.476666666666659</v>
      </c>
      <c r="G42" s="3050"/>
      <c r="H42" s="3046" t="str">
        <f>IF(D42="operation",VLOOKUP(G42,'Generic Vertical Port Tasks'!$C$6:$D$558,2,FALSE),"N/A")</f>
        <v>N/A</v>
      </c>
      <c r="I42" s="3049" t="s">
        <v>798</v>
      </c>
      <c r="J42" s="3049" t="s">
        <v>831</v>
      </c>
      <c r="K42" s="3049" t="s">
        <v>914</v>
      </c>
      <c r="L42" s="3047">
        <f>IFERROR(INDEX('Upper Hot Cell Logistics'!$I$35:$O$41,MATCH($J42,'Upper Hot Cell Logistics'!$H$35:$H$41,0),MATCH($K42,'Upper Hot Cell Logistics'!$H$35:$H$41,0)),"N/A")</f>
        <v>20</v>
      </c>
      <c r="M42" s="3047">
        <f>IFERROR(VLOOKUP($I42,'Upper Hot Cell Logistics'!$H$4:$I$9,2,FALSE),"N/A")</f>
        <v>0.2</v>
      </c>
      <c r="N42" s="3047">
        <f t="shared" si="2"/>
        <v>2.7777777777777776E-2</v>
      </c>
      <c r="O42" s="3051"/>
      <c r="P42" s="3046" t="str">
        <f>IF($D42="Logistics",VLOOKUP($O42,'Upper Hot Cell Logistics'!$C$4:$D$44,2,FALSE),"N/A")</f>
        <v>N/A</v>
      </c>
    </row>
    <row r="43" spans="1:17" outlineLevel="1" x14ac:dyDescent="0.4">
      <c r="A43" s="3041"/>
      <c r="B43" s="4056"/>
      <c r="C43" s="3052" t="s">
        <v>983</v>
      </c>
      <c r="D43" s="3049" t="s">
        <v>3</v>
      </c>
      <c r="E43" s="3047">
        <f t="shared" si="0"/>
        <v>0.58000000000000007</v>
      </c>
      <c r="F43" s="3047">
        <f>IF($D43="Trigger",VLOOKUP($C43,'Upper Hot Cell Welding failures'!$E$30:$I$123,5,FALSE),E43+F42)</f>
        <v>58.056666666666658</v>
      </c>
      <c r="G43" s="3050"/>
      <c r="H43" s="3046" t="str">
        <f>IF(D43="operation",VLOOKUP(G43,'Generic Vertical Port Tasks'!$C$6:$D$558,2,FALSE),"N/A")</f>
        <v>N/A</v>
      </c>
      <c r="I43" s="3049"/>
      <c r="J43" s="3049"/>
      <c r="K43" s="3049"/>
      <c r="L43" s="3047" t="str">
        <f>IFERROR(INDEX('Upper Hot Cell Logistics'!$I$35:$O$41,MATCH($J43,'Upper Hot Cell Logistics'!$H$35:$H$41,0),MATCH($K43,'Upper Hot Cell Logistics'!$H$35:$H$41,0)),"N/A")</f>
        <v>N/A</v>
      </c>
      <c r="M43" s="3047" t="str">
        <f>IFERROR(VLOOKUP($I43,'Upper Hot Cell Logistics'!$H$4:$I$9,2,FALSE),"N/A")</f>
        <v>N/A</v>
      </c>
      <c r="N43" s="3047" t="str">
        <f>IF(D43="Movement",IFERROR((L43/M43)/(60*60),"Error"),"N/A")</f>
        <v>N/A</v>
      </c>
      <c r="O43" s="3051" t="s">
        <v>904</v>
      </c>
      <c r="P43" s="3046">
        <f>IF($D43="Logistics",VLOOKUP($O43,'Upper Hot Cell Logistics'!$C$4:$D$44,2,FALSE),"N/A")</f>
        <v>0.58000000000000007</v>
      </c>
    </row>
    <row r="44" spans="1:17" outlineLevel="1" x14ac:dyDescent="0.4">
      <c r="A44" s="3041"/>
      <c r="B44" s="4056"/>
      <c r="C44" s="3052" t="s">
        <v>1171</v>
      </c>
      <c r="D44" s="3049" t="s">
        <v>778</v>
      </c>
      <c r="E44" s="3047">
        <f t="shared" si="0"/>
        <v>2.7777777777777776E-2</v>
      </c>
      <c r="F44" s="3047">
        <f>IF($D44="Trigger",VLOOKUP($C44,'Upper Hot Cell Welding failures'!$E$30:$I$123,5,FALSE),E44+F43)</f>
        <v>58.084444444444436</v>
      </c>
      <c r="G44" s="3050"/>
      <c r="H44" s="3046" t="str">
        <f>IF(D44="operation",VLOOKUP(G44,'Generic Vertical Port Tasks'!$C$6:$D$558,2,FALSE),"N/A")</f>
        <v>N/A</v>
      </c>
      <c r="I44" s="3049" t="s">
        <v>798</v>
      </c>
      <c r="J44" s="3049" t="s">
        <v>914</v>
      </c>
      <c r="K44" s="3049" t="s">
        <v>799</v>
      </c>
      <c r="L44" s="3047">
        <f>IFERROR(INDEX('Upper Hot Cell Logistics'!$I$35:$O$41,MATCH($J44,'Upper Hot Cell Logistics'!$H$35:$H$41,0),MATCH($K44,'Upper Hot Cell Logistics'!$H$35:$H$41,0)),"N/A")</f>
        <v>20</v>
      </c>
      <c r="M44" s="3047">
        <f>IFERROR(VLOOKUP($I44,'Upper Hot Cell Logistics'!$H$4:$I$9,2,FALSE),"N/A")</f>
        <v>0.2</v>
      </c>
      <c r="N44" s="3047">
        <f>IF(D44="Movement",IFERROR((L44/M44)/(60*60),"Error"),"N/A")</f>
        <v>2.7777777777777776E-2</v>
      </c>
      <c r="O44" s="3051"/>
      <c r="P44" s="3046" t="str">
        <f>IF($D44="Logistics",VLOOKUP($O44,'Upper Hot Cell Logistics'!$C$4:$D$44,2,FALSE),"N/A")</f>
        <v>N/A</v>
      </c>
    </row>
    <row r="45" spans="1:17" outlineLevel="1" x14ac:dyDescent="0.4">
      <c r="A45" s="3041"/>
      <c r="B45" s="4056"/>
      <c r="C45" s="3052" t="s">
        <v>956</v>
      </c>
      <c r="D45" s="3049" t="s">
        <v>3</v>
      </c>
      <c r="E45" s="3047">
        <f t="shared" si="0"/>
        <v>0.58000000000000007</v>
      </c>
      <c r="F45" s="3047">
        <f>IF($D45="Trigger",VLOOKUP($C45,'Upper Hot Cell Welding failures'!$E$30:$I$123,5,FALSE),E45+F44)</f>
        <v>58.664444444444435</v>
      </c>
      <c r="G45" s="3050"/>
      <c r="H45" s="3046" t="str">
        <f>IF(D45="operation",VLOOKUP(G45,'Generic Vertical Port Tasks'!$C$6:$D$558,2,FALSE),"N/A")</f>
        <v>N/A</v>
      </c>
      <c r="I45" s="3049"/>
      <c r="J45" s="3049"/>
      <c r="K45" s="3049"/>
      <c r="L45" s="3047" t="str">
        <f>IFERROR(INDEX('Upper Hot Cell Logistics'!$I$35:$O$41,MATCH($J45,'Upper Hot Cell Logistics'!$H$35:$H$41,0),MATCH($K45,'Upper Hot Cell Logistics'!$H$35:$H$41,0)),"N/A")</f>
        <v>N/A</v>
      </c>
      <c r="M45" s="3047" t="str">
        <f>IFERROR(VLOOKUP($I45,'Upper Hot Cell Logistics'!$H$4:$I$9,2,FALSE),"N/A")</f>
        <v>N/A</v>
      </c>
      <c r="N45" s="3047" t="str">
        <f>IF(D45="Movement",IFERROR((L45/M45)/(60*60),"Error"),"N/A")</f>
        <v>N/A</v>
      </c>
      <c r="O45" s="3051" t="s">
        <v>1172</v>
      </c>
      <c r="P45" s="3046">
        <f>IF($D45="Logistics",VLOOKUP($O45,'Upper Hot Cell Logistics'!$C$4:$D$44,2,FALSE),"N/A")</f>
        <v>0.58000000000000007</v>
      </c>
    </row>
    <row r="46" spans="1:17" outlineLevel="1" x14ac:dyDescent="0.4">
      <c r="A46" s="3041"/>
      <c r="B46" s="4056"/>
      <c r="C46" s="3052" t="s">
        <v>2676</v>
      </c>
      <c r="D46" s="3049" t="s">
        <v>778</v>
      </c>
      <c r="E46" s="3047">
        <f t="shared" si="0"/>
        <v>6.9444444444444448E-2</v>
      </c>
      <c r="F46" s="3047">
        <f>IF($D46="Trigger",VLOOKUP($C46,'Upper Hot Cell Welding failures'!$E$30:$I$123,5,FALSE),E46+F45)</f>
        <v>58.733888888888877</v>
      </c>
      <c r="G46" s="3050"/>
      <c r="H46" s="3046" t="str">
        <f>IF(D46="operation",VLOOKUP(G46,'Generic Vertical Port Tasks'!$C$6:$D$558,2,FALSE),"N/A")</f>
        <v>N/A</v>
      </c>
      <c r="I46" s="3049" t="s">
        <v>798</v>
      </c>
      <c r="J46" s="3049" t="s">
        <v>799</v>
      </c>
      <c r="K46" s="3049" t="s">
        <v>452</v>
      </c>
      <c r="L46" s="3047">
        <f>IFERROR(INDEX('Upper Hot Cell Logistics'!$I$35:$O$41,MATCH($J46,'Upper Hot Cell Logistics'!$H$35:$H$41,0),MATCH($K46,'Upper Hot Cell Logistics'!$H$35:$H$41,0)),"N/A")</f>
        <v>50</v>
      </c>
      <c r="M46" s="3047">
        <f>IFERROR(VLOOKUP($I46,'Upper Hot Cell Logistics'!$H$4:$I$9,2,FALSE),"N/A")</f>
        <v>0.2</v>
      </c>
      <c r="N46" s="3047">
        <f>IF(D46="Movement",IFERROR((L46/M46)/(60*60),"Error"),"N/A")</f>
        <v>6.9444444444444448E-2</v>
      </c>
      <c r="O46" s="3051"/>
      <c r="P46" s="3046" t="str">
        <f>IF($D46="Logistics",VLOOKUP($O46,'Upper Hot Cell Logistics'!$C$4:$D$44,2,FALSE),"N/A")</f>
        <v>N/A</v>
      </c>
    </row>
    <row r="47" spans="1:17" ht="26.15" outlineLevel="1" thickBot="1" x14ac:dyDescent="0.45">
      <c r="A47" s="3041"/>
      <c r="B47" s="4057"/>
      <c r="C47" s="3053" t="str">
        <f>B39</f>
        <v>RIB Pipe Module Stored; Pipe Module interface hardware Stored; Blanket Transporter Collected</v>
      </c>
      <c r="D47" s="3053" t="s">
        <v>11</v>
      </c>
      <c r="E47" s="3054">
        <f t="shared" si="0"/>
        <v>0</v>
      </c>
      <c r="F47" s="3054">
        <f>IF($D47="Trigger",VLOOKUP($C47,'Upper Hot Cell Welding failures'!$E$30:$I$123,5,FALSE),E47+F46)</f>
        <v>58.733888888888877</v>
      </c>
      <c r="G47" s="3056"/>
      <c r="H47" s="3046" t="str">
        <f>IF(D47="operation",VLOOKUP(G47,'Generic Vertical Port Tasks'!$C$6:$D$558,2,FALSE),"N/A")</f>
        <v>N/A</v>
      </c>
      <c r="I47" s="3053"/>
      <c r="J47" s="3053"/>
      <c r="K47" s="3053"/>
      <c r="L47" s="3047" t="str">
        <f>IFERROR(INDEX('Upper Hot Cell Logistics'!$I$35:$O$41,MATCH($J47,'Upper Hot Cell Logistics'!$H$35:$H$41,0),MATCH($K47,'Upper Hot Cell Logistics'!$H$35:$H$41,0)),"N/A")</f>
        <v>N/A</v>
      </c>
      <c r="M47" s="3047" t="str">
        <f>IFERROR(VLOOKUP($I47,'Upper Hot Cell Logistics'!$H$4:$I$9,2,FALSE),"N/A")</f>
        <v>N/A</v>
      </c>
      <c r="N47" s="3047" t="str">
        <f t="shared" si="2"/>
        <v>N/A</v>
      </c>
      <c r="O47" s="3057"/>
      <c r="P47" s="3055" t="str">
        <f>IF($D47="Logistics",VLOOKUP($O47,'Upper Hot Cell Logistics'!$C$4:$D$44,2,FALSE),"N/A")</f>
        <v>N/A</v>
      </c>
    </row>
    <row r="48" spans="1:17" outlineLevel="1" x14ac:dyDescent="0.4">
      <c r="A48" s="3041"/>
      <c r="B48" s="4054" t="s">
        <v>959</v>
      </c>
      <c r="C48" s="3042" t="str">
        <f>'Upper Hot Cell Welding failures'!E75</f>
        <v>Extract COB Blanket Segment</v>
      </c>
      <c r="D48" s="3042" t="s">
        <v>907</v>
      </c>
      <c r="E48" s="3043">
        <f t="shared" si="0"/>
        <v>0</v>
      </c>
      <c r="F48" s="3043">
        <f>IF($D48="Trigger",VLOOKUP($C48,'Upper Hot Cell Welding failures'!$E$30:$I$123,5,FALSE),E48+F47)</f>
        <v>63.824444444444438</v>
      </c>
      <c r="G48" s="3045"/>
      <c r="H48" s="3046" t="str">
        <f>IF(D48="operation",VLOOKUP(G48,'Generic Vertical Port Tasks'!$C$6:$D$558,2,FALSE),"N/A")</f>
        <v>N/A</v>
      </c>
      <c r="I48" s="3042"/>
      <c r="J48" s="3042"/>
      <c r="K48" s="3042"/>
      <c r="L48" s="3047" t="str">
        <f>IFERROR(INDEX('Upper Hot Cell Logistics'!$I$35:$O$41,MATCH($J48,'Upper Hot Cell Logistics'!$H$35:$H$41,0),MATCH($K48,'Upper Hot Cell Logistics'!$H$35:$H$41,0)),"N/A")</f>
        <v>N/A</v>
      </c>
      <c r="M48" s="3047" t="str">
        <f>IFERROR(VLOOKUP($I48,'Upper Hot Cell Logistics'!$H$4:$I$9,2,FALSE),"N/A")</f>
        <v>N/A</v>
      </c>
      <c r="N48" s="3047" t="str">
        <f t="shared" si="2"/>
        <v>N/A</v>
      </c>
      <c r="O48" s="3048"/>
      <c r="P48" s="3044" t="str">
        <f>IF($D48="Logistics",VLOOKUP($O48,'Upper Hot Cell Logistics'!$C$4:$D$44,2,FALSE),"N/A")</f>
        <v>N/A</v>
      </c>
    </row>
    <row r="49" spans="1:16" outlineLevel="1" x14ac:dyDescent="0.4">
      <c r="A49" s="3041"/>
      <c r="B49" s="4055"/>
      <c r="C49" s="3049" t="s">
        <v>930</v>
      </c>
      <c r="D49" s="3049" t="s">
        <v>778</v>
      </c>
      <c r="E49" s="3047">
        <f t="shared" si="0"/>
        <v>0.69444444444444442</v>
      </c>
      <c r="F49" s="3047">
        <f>IF($D49="Trigger",VLOOKUP($C49,'Upper Hot Cell Welding failures'!$E$30:$I$123,5,FALSE),E49+F48)</f>
        <v>64.518888888888881</v>
      </c>
      <c r="G49" s="3050"/>
      <c r="H49" s="3046" t="str">
        <f>IF(D49="operation",VLOOKUP(G49,'Generic Vertical Port Tasks'!$C$6:$D$558,2,FALSE),"N/A")</f>
        <v>N/A</v>
      </c>
      <c r="I49" s="3049" t="s">
        <v>857</v>
      </c>
      <c r="J49" s="3049" t="s">
        <v>452</v>
      </c>
      <c r="K49" s="3049" t="s">
        <v>831</v>
      </c>
      <c r="L49" s="3047">
        <f>IFERROR(INDEX('Upper Hot Cell Logistics'!$I$35:$O$41,MATCH($J49,'Upper Hot Cell Logistics'!$H$35:$H$41,0),MATCH($K49,'Upper Hot Cell Logistics'!$H$35:$H$41,0)),"N/A")</f>
        <v>50</v>
      </c>
      <c r="M49" s="3047">
        <f>IFERROR(VLOOKUP($I49,'Upper Hot Cell Logistics'!$H$4:$I$9,2,FALSE),"N/A")</f>
        <v>0.02</v>
      </c>
      <c r="N49" s="3047">
        <f t="shared" si="2"/>
        <v>0.69444444444444442</v>
      </c>
      <c r="O49" s="3051"/>
      <c r="P49" s="3046" t="str">
        <f>IF($D49="Logistics",VLOOKUP($O49,'Upper Hot Cell Logistics'!$C$4:$D$44,2,FALSE),"N/A")</f>
        <v>N/A</v>
      </c>
    </row>
    <row r="50" spans="1:16" outlineLevel="1" x14ac:dyDescent="0.4">
      <c r="A50" s="3041"/>
      <c r="B50" s="4055"/>
      <c r="C50" s="3049" t="s">
        <v>960</v>
      </c>
      <c r="D50" s="3049" t="s">
        <v>3</v>
      </c>
      <c r="E50" s="3047">
        <f t="shared" si="0"/>
        <v>0.58000000000000007</v>
      </c>
      <c r="F50" s="3047">
        <f>IF($D50="Trigger",VLOOKUP($C50,'Upper Hot Cell Welding failures'!$E$30:$I$123,5,FALSE),E50+F49)</f>
        <v>65.098888888888879</v>
      </c>
      <c r="G50" s="3050"/>
      <c r="H50" s="3046" t="str">
        <f>IF(D50="operation",VLOOKUP(G50,'Generic Vertical Port Tasks'!$C$6:$D$558,2,FALSE),"N/A")</f>
        <v>N/A</v>
      </c>
      <c r="I50" s="3049"/>
      <c r="J50" s="3049"/>
      <c r="K50" s="3049"/>
      <c r="L50" s="3047" t="str">
        <f>IFERROR(INDEX('Upper Hot Cell Logistics'!$I$35:$O$41,MATCH($J50,'Upper Hot Cell Logistics'!$H$35:$H$41,0),MATCH($K50,'Upper Hot Cell Logistics'!$H$35:$H$41,0)),"N/A")</f>
        <v>N/A</v>
      </c>
      <c r="M50" s="3047" t="str">
        <f>IFERROR(VLOOKUP($I50,'Upper Hot Cell Logistics'!$H$4:$I$9,2,FALSE),"N/A")</f>
        <v>N/A</v>
      </c>
      <c r="N50" s="3047" t="str">
        <f t="shared" si="2"/>
        <v>N/A</v>
      </c>
      <c r="O50" s="3051" t="s">
        <v>904</v>
      </c>
      <c r="P50" s="3046">
        <f>IF($D50="Logistics",VLOOKUP($O50,'Upper Hot Cell Logistics'!$C$4:$D$44,2,FALSE),"N/A")</f>
        <v>0.58000000000000007</v>
      </c>
    </row>
    <row r="51" spans="1:16" ht="13.3" outlineLevel="1" thickBot="1" x14ac:dyDescent="0.45">
      <c r="A51" s="3041"/>
      <c r="B51" s="4057"/>
      <c r="C51" s="3053" t="str">
        <f>B48</f>
        <v>COB Blanket Segment Stored</v>
      </c>
      <c r="D51" s="3053" t="s">
        <v>11</v>
      </c>
      <c r="E51" s="3054">
        <f t="shared" si="0"/>
        <v>0</v>
      </c>
      <c r="F51" s="3054">
        <f>IF($D51="Trigger",VLOOKUP($C51,'Upper Hot Cell Welding failures'!$E$30:$I$123,5,FALSE),E51+F50)</f>
        <v>65.098888888888879</v>
      </c>
      <c r="G51" s="3056"/>
      <c r="H51" s="3046" t="str">
        <f>IF(D51="operation",VLOOKUP(G51,'Generic Vertical Port Tasks'!$C$6:$D$558,2,FALSE),"N/A")</f>
        <v>N/A</v>
      </c>
      <c r="I51" s="3053"/>
      <c r="J51" s="3053"/>
      <c r="K51" s="3053"/>
      <c r="L51" s="3047" t="str">
        <f>IFERROR(INDEX('Upper Hot Cell Logistics'!$I$35:$O$41,MATCH($J51,'Upper Hot Cell Logistics'!$H$35:$H$41,0),MATCH($K51,'Upper Hot Cell Logistics'!$H$35:$H$41,0)),"N/A")</f>
        <v>N/A</v>
      </c>
      <c r="M51" s="3047" t="str">
        <f>IFERROR(VLOOKUP($I51,'Upper Hot Cell Logistics'!$H$4:$I$9,2,FALSE),"N/A")</f>
        <v>N/A</v>
      </c>
      <c r="N51" s="3047" t="str">
        <f t="shared" si="2"/>
        <v>N/A</v>
      </c>
      <c r="O51" s="3057"/>
      <c r="P51" s="3055" t="str">
        <f>IF($D51="Logistics",VLOOKUP($O51,'Upper Hot Cell Logistics'!$C$4:$D$44,2,FALSE),"N/A")</f>
        <v>N/A</v>
      </c>
    </row>
    <row r="52" spans="1:16" outlineLevel="1" x14ac:dyDescent="0.4">
      <c r="A52" s="3041"/>
      <c r="B52" s="4054" t="s">
        <v>961</v>
      </c>
      <c r="C52" s="3042" t="str">
        <f>'Upper Hot Cell Welding failures'!E77</f>
        <v>Extract LOB Blanket Segment</v>
      </c>
      <c r="D52" s="3042" t="s">
        <v>907</v>
      </c>
      <c r="E52" s="3043">
        <f t="shared" si="0"/>
        <v>0</v>
      </c>
      <c r="F52" s="3043">
        <f>IF($D52="Trigger",VLOOKUP($C52,'Upper Hot Cell Welding failures'!$E$30:$I$123,5,FALSE),E52+F51)</f>
        <v>69.633888888888876</v>
      </c>
      <c r="G52" s="3045"/>
      <c r="H52" s="3046" t="str">
        <f>IF(D52="operation",VLOOKUP(G52,'Generic Vertical Port Tasks'!$C$6:$D$558,2,FALSE),"N/A")</f>
        <v>N/A</v>
      </c>
      <c r="I52" s="3042"/>
      <c r="J52" s="3042"/>
      <c r="K52" s="3042"/>
      <c r="L52" s="3047" t="str">
        <f>IFERROR(INDEX('Upper Hot Cell Logistics'!$I$35:$O$41,MATCH($J52,'Upper Hot Cell Logistics'!$H$35:$H$41,0),MATCH($K52,'Upper Hot Cell Logistics'!$H$35:$H$41,0)),"N/A")</f>
        <v>N/A</v>
      </c>
      <c r="M52" s="3047" t="str">
        <f>IFERROR(VLOOKUP($I52,'Upper Hot Cell Logistics'!$H$4:$I$9,2,FALSE),"N/A")</f>
        <v>N/A</v>
      </c>
      <c r="N52" s="3047" t="str">
        <f t="shared" si="2"/>
        <v>N/A</v>
      </c>
      <c r="O52" s="3048"/>
      <c r="P52" s="3044" t="str">
        <f>IF($D52="Logistics",VLOOKUP($O52,'Upper Hot Cell Logistics'!$C$4:$D$44,2,FALSE),"N/A")</f>
        <v>N/A</v>
      </c>
    </row>
    <row r="53" spans="1:16" outlineLevel="1" x14ac:dyDescent="0.4">
      <c r="A53" s="3041"/>
      <c r="B53" s="4055"/>
      <c r="C53" s="3049" t="s">
        <v>926</v>
      </c>
      <c r="D53" s="3049" t="s">
        <v>778</v>
      </c>
      <c r="E53" s="3047">
        <f t="shared" si="0"/>
        <v>0.69444444444444442</v>
      </c>
      <c r="F53" s="3047">
        <f>IF($D53="Trigger",VLOOKUP($C53,'Upper Hot Cell Welding failures'!$E$30:$I$123,5,FALSE),E53+F52)</f>
        <v>70.328333333333319</v>
      </c>
      <c r="G53" s="3050"/>
      <c r="H53" s="3046" t="str">
        <f>IF(D53="operation",VLOOKUP(G53,'Generic Vertical Port Tasks'!$C$6:$D$558,2,FALSE),"N/A")</f>
        <v>N/A</v>
      </c>
      <c r="I53" s="3049" t="s">
        <v>857</v>
      </c>
      <c r="J53" s="3049" t="s">
        <v>452</v>
      </c>
      <c r="K53" s="3049" t="s">
        <v>831</v>
      </c>
      <c r="L53" s="3047">
        <f>IFERROR(INDEX('Upper Hot Cell Logistics'!$I$35:$O$41,MATCH($J53,'Upper Hot Cell Logistics'!$H$35:$H$41,0),MATCH($K53,'Upper Hot Cell Logistics'!$H$35:$H$41,0)),"N/A")</f>
        <v>50</v>
      </c>
      <c r="M53" s="3047">
        <f>IFERROR(VLOOKUP($I53,'Upper Hot Cell Logistics'!$H$4:$I$9,2,FALSE),"N/A")</f>
        <v>0.02</v>
      </c>
      <c r="N53" s="3047">
        <f t="shared" si="2"/>
        <v>0.69444444444444442</v>
      </c>
      <c r="O53" s="3051"/>
      <c r="P53" s="3046" t="str">
        <f>IF($D53="Logistics",VLOOKUP($O53,'Upper Hot Cell Logistics'!$C$4:$D$44,2,FALSE),"N/A")</f>
        <v>N/A</v>
      </c>
    </row>
    <row r="54" spans="1:16" outlineLevel="1" x14ac:dyDescent="0.4">
      <c r="A54" s="3041"/>
      <c r="B54" s="4055"/>
      <c r="C54" s="3049" t="s">
        <v>960</v>
      </c>
      <c r="D54" s="3049" t="s">
        <v>3</v>
      </c>
      <c r="E54" s="3047">
        <f t="shared" si="0"/>
        <v>0.58000000000000007</v>
      </c>
      <c r="F54" s="3047">
        <f>IF($D54="Trigger",VLOOKUP($C54,'Upper Hot Cell Welding failures'!$E$30:$I$123,5,FALSE),E54+F53)</f>
        <v>70.908333333333317</v>
      </c>
      <c r="G54" s="3050"/>
      <c r="H54" s="3046" t="str">
        <f>IF(D54="operation",VLOOKUP(G54,'Generic Vertical Port Tasks'!$C$6:$D$558,2,FALSE),"N/A")</f>
        <v>N/A</v>
      </c>
      <c r="I54" s="3049"/>
      <c r="J54" s="3049"/>
      <c r="K54" s="3049"/>
      <c r="L54" s="3047" t="str">
        <f>IFERROR(INDEX('Upper Hot Cell Logistics'!$I$35:$O$41,MATCH($J54,'Upper Hot Cell Logistics'!$H$35:$H$41,0),MATCH($K54,'Upper Hot Cell Logistics'!$H$35:$H$41,0)),"N/A")</f>
        <v>N/A</v>
      </c>
      <c r="M54" s="3047" t="str">
        <f>IFERROR(VLOOKUP($I54,'Upper Hot Cell Logistics'!$H$4:$I$9,2,FALSE),"N/A")</f>
        <v>N/A</v>
      </c>
      <c r="N54" s="3047" t="str">
        <f t="shared" si="2"/>
        <v>N/A</v>
      </c>
      <c r="O54" s="3051" t="s">
        <v>904</v>
      </c>
      <c r="P54" s="3046">
        <f>IF($D54="Logistics",VLOOKUP($O54,'Upper Hot Cell Logistics'!$C$4:$D$44,2,FALSE),"N/A")</f>
        <v>0.58000000000000007</v>
      </c>
    </row>
    <row r="55" spans="1:16" ht="13.3" outlineLevel="1" thickBot="1" x14ac:dyDescent="0.45">
      <c r="A55" s="3041"/>
      <c r="B55" s="4057"/>
      <c r="C55" s="3053" t="str">
        <f>B52</f>
        <v>LOB Blanket Segment Stored</v>
      </c>
      <c r="D55" s="3053" t="s">
        <v>11</v>
      </c>
      <c r="E55" s="3054">
        <f t="shared" si="0"/>
        <v>0</v>
      </c>
      <c r="F55" s="3054">
        <f>IF($D55="Trigger",VLOOKUP($C55,'Upper Hot Cell Welding failures'!$E$30:$I$123,5,FALSE),E55+F54)</f>
        <v>70.908333333333317</v>
      </c>
      <c r="G55" s="3056"/>
      <c r="H55" s="3055" t="str">
        <f>IF(D55="operation",VLOOKUP(G55,'Generic Vertical Port Tasks'!$C$6:$D$558,2,FALSE),"N/A")</f>
        <v>N/A</v>
      </c>
      <c r="I55" s="3053"/>
      <c r="J55" s="3053"/>
      <c r="K55" s="3053"/>
      <c r="L55" s="3047" t="str">
        <f>IFERROR(INDEX('Upper Hot Cell Logistics'!$I$35:$O$41,MATCH($J55,'Upper Hot Cell Logistics'!$H$35:$H$41,0),MATCH($K55,'Upper Hot Cell Logistics'!$H$35:$H$41,0)),"N/A")</f>
        <v>N/A</v>
      </c>
      <c r="M55" s="3047" t="str">
        <f>IFERROR(VLOOKUP($I55,'Upper Hot Cell Logistics'!$H$4:$I$9,2,FALSE),"N/A")</f>
        <v>N/A</v>
      </c>
      <c r="N55" s="3047" t="str">
        <f t="shared" si="2"/>
        <v>N/A</v>
      </c>
      <c r="O55" s="3057"/>
      <c r="P55" s="3055" t="str">
        <f>IF($D55="Logistics",VLOOKUP($O55,'Upper Hot Cell Logistics'!$C$4:$D$44,2,FALSE),"N/A")</f>
        <v>N/A</v>
      </c>
    </row>
    <row r="56" spans="1:16" outlineLevel="1" x14ac:dyDescent="0.4">
      <c r="A56" s="3041"/>
      <c r="B56" s="4054" t="s">
        <v>962</v>
      </c>
      <c r="C56" s="3042" t="str">
        <f>'Upper Hot Cell Welding failures'!E79</f>
        <v>Extract ROB Blanket Segment</v>
      </c>
      <c r="D56" s="3042" t="s">
        <v>907</v>
      </c>
      <c r="E56" s="3043">
        <f t="shared" si="0"/>
        <v>0</v>
      </c>
      <c r="F56" s="3043">
        <f>IF($D56="Trigger",VLOOKUP($C56,'Upper Hot Cell Welding failures'!$E$30:$I$123,5,FALSE),E56+F55)</f>
        <v>75.443333333333314</v>
      </c>
      <c r="G56" s="3045"/>
      <c r="H56" s="3044" t="str">
        <f>IF(D56="operation",VLOOKUP(G56,'Generic Vertical Port Tasks'!$C$6:$D$558,2,FALSE),"N/A")</f>
        <v>N/A</v>
      </c>
      <c r="I56" s="3042"/>
      <c r="J56" s="3042"/>
      <c r="K56" s="3042"/>
      <c r="L56" s="3047" t="str">
        <f>IFERROR(INDEX('Upper Hot Cell Logistics'!$I$35:$O$41,MATCH($J56,'Upper Hot Cell Logistics'!$H$35:$H$41,0),MATCH($K56,'Upper Hot Cell Logistics'!$H$35:$H$41,0)),"N/A")</f>
        <v>N/A</v>
      </c>
      <c r="M56" s="3047" t="str">
        <f>IFERROR(VLOOKUP($I56,'Upper Hot Cell Logistics'!$H$4:$I$9,2,FALSE),"N/A")</f>
        <v>N/A</v>
      </c>
      <c r="N56" s="3047" t="str">
        <f t="shared" si="2"/>
        <v>N/A</v>
      </c>
      <c r="O56" s="3048"/>
      <c r="P56" s="3044" t="str">
        <f>IF($D56="Logistics",VLOOKUP($O56,'Upper Hot Cell Logistics'!$C$4:$D$44,2,FALSE),"N/A")</f>
        <v>N/A</v>
      </c>
    </row>
    <row r="57" spans="1:16" outlineLevel="1" x14ac:dyDescent="0.4">
      <c r="A57" s="3041"/>
      <c r="B57" s="4055"/>
      <c r="C57" s="3049" t="s">
        <v>930</v>
      </c>
      <c r="D57" s="3049" t="s">
        <v>778</v>
      </c>
      <c r="E57" s="3047">
        <f t="shared" si="0"/>
        <v>0.69444444444444442</v>
      </c>
      <c r="F57" s="3047">
        <f>IF($D57="Trigger",VLOOKUP($C57,'Upper Hot Cell Welding failures'!$E$30:$I$123,5,FALSE),E57+F56)</f>
        <v>76.137777777777757</v>
      </c>
      <c r="G57" s="3050"/>
      <c r="H57" s="3046" t="str">
        <f>IF(D57="operation",VLOOKUP(G57,'Generic Vertical Port Tasks'!$C$6:$D$558,2,FALSE),"N/A")</f>
        <v>N/A</v>
      </c>
      <c r="I57" s="3049" t="s">
        <v>857</v>
      </c>
      <c r="J57" s="3049" t="s">
        <v>452</v>
      </c>
      <c r="K57" s="3049" t="s">
        <v>831</v>
      </c>
      <c r="L57" s="3047">
        <f>IFERROR(INDEX('Upper Hot Cell Logistics'!$I$35:$O$41,MATCH($J57,'Upper Hot Cell Logistics'!$H$35:$H$41,0),MATCH($K57,'Upper Hot Cell Logistics'!$H$35:$H$41,0)),"N/A")</f>
        <v>50</v>
      </c>
      <c r="M57" s="3047">
        <f>IFERROR(VLOOKUP($I57,'Upper Hot Cell Logistics'!$H$4:$I$9,2,FALSE),"N/A")</f>
        <v>0.02</v>
      </c>
      <c r="N57" s="3047">
        <f t="shared" si="2"/>
        <v>0.69444444444444442</v>
      </c>
      <c r="O57" s="3051"/>
      <c r="P57" s="3046" t="str">
        <f>IF($D57="Logistics",VLOOKUP($O57,'Upper Hot Cell Logistics'!$C$4:$D$44,2,FALSE),"N/A")</f>
        <v>N/A</v>
      </c>
    </row>
    <row r="58" spans="1:16" outlineLevel="1" x14ac:dyDescent="0.4">
      <c r="A58" s="3041"/>
      <c r="B58" s="4055"/>
      <c r="C58" s="3049" t="s">
        <v>960</v>
      </c>
      <c r="D58" s="3049" t="s">
        <v>3</v>
      </c>
      <c r="E58" s="3047">
        <f t="shared" si="0"/>
        <v>0.58000000000000007</v>
      </c>
      <c r="F58" s="3047">
        <f>IF($D58="Trigger",VLOOKUP($C58,'Upper Hot Cell Welding failures'!$E$30:$I$123,5,FALSE),E58+F57)</f>
        <v>76.717777777777755</v>
      </c>
      <c r="G58" s="3050"/>
      <c r="H58" s="3046" t="str">
        <f>IF(D58="operation",VLOOKUP(G58,'Generic Vertical Port Tasks'!$C$6:$D$558,2,FALSE),"N/A")</f>
        <v>N/A</v>
      </c>
      <c r="I58" s="3049"/>
      <c r="J58" s="3049"/>
      <c r="K58" s="3049"/>
      <c r="L58" s="3047" t="str">
        <f>IFERROR(INDEX('Upper Hot Cell Logistics'!$I$35:$O$41,MATCH($J58,'Upper Hot Cell Logistics'!$H$35:$H$41,0),MATCH($K58,'Upper Hot Cell Logistics'!$H$35:$H$41,0)),"N/A")</f>
        <v>N/A</v>
      </c>
      <c r="M58" s="3047" t="str">
        <f>IFERROR(VLOOKUP($I58,'Upper Hot Cell Logistics'!$H$4:$I$9,2,FALSE),"N/A")</f>
        <v>N/A</v>
      </c>
      <c r="N58" s="3047" t="str">
        <f t="shared" si="2"/>
        <v>N/A</v>
      </c>
      <c r="O58" s="3051" t="s">
        <v>904</v>
      </c>
      <c r="P58" s="3046">
        <f>IF($D58="Logistics",VLOOKUP($O58,'Upper Hot Cell Logistics'!$C$4:$D$44,2,FALSE),"N/A")</f>
        <v>0.58000000000000007</v>
      </c>
    </row>
    <row r="59" spans="1:16" ht="13.3" outlineLevel="1" thickBot="1" x14ac:dyDescent="0.45">
      <c r="A59" s="3041"/>
      <c r="B59" s="4057"/>
      <c r="C59" s="3053" t="str">
        <f>B56</f>
        <v>ROB Blanket Segment Stored</v>
      </c>
      <c r="D59" s="3053" t="s">
        <v>11</v>
      </c>
      <c r="E59" s="3054">
        <f t="shared" si="0"/>
        <v>0</v>
      </c>
      <c r="F59" s="3054">
        <f>IF($D59="Trigger",VLOOKUP($C59,'Upper Hot Cell Welding failures'!$E$30:$I$123,5,FALSE),E59+F58)</f>
        <v>76.717777777777755</v>
      </c>
      <c r="G59" s="3056"/>
      <c r="H59" s="3055" t="str">
        <f>IF(D59="operation",VLOOKUP(G59,'Generic Vertical Port Tasks'!$C$6:$D$558,2,FALSE),"N/A")</f>
        <v>N/A</v>
      </c>
      <c r="I59" s="3053"/>
      <c r="J59" s="3053"/>
      <c r="K59" s="3053"/>
      <c r="L59" s="3047" t="str">
        <f>IFERROR(INDEX('Upper Hot Cell Logistics'!$I$35:$O$41,MATCH($J59,'Upper Hot Cell Logistics'!$H$35:$H$41,0),MATCH($K59,'Upper Hot Cell Logistics'!$H$35:$H$41,0)),"N/A")</f>
        <v>N/A</v>
      </c>
      <c r="M59" s="3047" t="str">
        <f>IFERROR(VLOOKUP($I59,'Upper Hot Cell Logistics'!$H$4:$I$9,2,FALSE),"N/A")</f>
        <v>N/A</v>
      </c>
      <c r="N59" s="3047" t="str">
        <f t="shared" si="2"/>
        <v>N/A</v>
      </c>
      <c r="O59" s="3057"/>
      <c r="P59" s="3055" t="str">
        <f>IF($D59="Logistics",VLOOKUP($O59,'Upper Hot Cell Logistics'!$C$4:$D$44,2,FALSE),"N/A")</f>
        <v>N/A</v>
      </c>
    </row>
    <row r="60" spans="1:16" outlineLevel="1" x14ac:dyDescent="0.4">
      <c r="A60" s="3041"/>
      <c r="B60" s="4054" t="s">
        <v>1081</v>
      </c>
      <c r="C60" s="3042" t="str">
        <f>'Upper Hot Cell Welding failures'!E81</f>
        <v>Extract LIB Blanket Segment</v>
      </c>
      <c r="D60" s="3042" t="s">
        <v>907</v>
      </c>
      <c r="E60" s="3043">
        <f t="shared" si="0"/>
        <v>0</v>
      </c>
      <c r="F60" s="3043">
        <f>IF($D60="Trigger",VLOOKUP($C60,'Upper Hot Cell Welding failures'!$E$30:$I$123,5,FALSE),E60+F59)</f>
        <v>81.252777777777752</v>
      </c>
      <c r="G60" s="3045"/>
      <c r="H60" s="3044" t="str">
        <f>IF(D60="operation",VLOOKUP(G60,'Generic Vertical Port Tasks'!$C$6:$D$558,2,FALSE),"N/A")</f>
        <v>N/A</v>
      </c>
      <c r="I60" s="3042"/>
      <c r="J60" s="3042"/>
      <c r="K60" s="3042"/>
      <c r="L60" s="3047" t="str">
        <f>IFERROR(INDEX('Upper Hot Cell Logistics'!$I$35:$O$41,MATCH($J60,'Upper Hot Cell Logistics'!$H$35:$H$41,0),MATCH($K60,'Upper Hot Cell Logistics'!$H$35:$H$41,0)),"N/A")</f>
        <v>N/A</v>
      </c>
      <c r="M60" s="3047" t="str">
        <f>IFERROR(VLOOKUP($I60,'Upper Hot Cell Logistics'!$H$4:$I$9,2,FALSE),"N/A")</f>
        <v>N/A</v>
      </c>
      <c r="N60" s="3047" t="str">
        <f t="shared" si="2"/>
        <v>N/A</v>
      </c>
      <c r="O60" s="3048"/>
      <c r="P60" s="3044" t="str">
        <f>IF($D60="Logistics",VLOOKUP($O60,'Upper Hot Cell Logistics'!$C$4:$D$44,2,FALSE),"N/A")</f>
        <v>N/A</v>
      </c>
    </row>
    <row r="61" spans="1:16" outlineLevel="1" x14ac:dyDescent="0.4">
      <c r="A61" s="3041"/>
      <c r="B61" s="4055"/>
      <c r="C61" s="3049" t="s">
        <v>930</v>
      </c>
      <c r="D61" s="3049" t="s">
        <v>778</v>
      </c>
      <c r="E61" s="3047">
        <f t="shared" si="0"/>
        <v>0.69444444444444442</v>
      </c>
      <c r="F61" s="3047">
        <f>IF($D61="Trigger",VLOOKUP($C61,'Upper Hot Cell Welding failures'!$E$30:$I$123,5,FALSE),E61+F60)</f>
        <v>81.947222222222194</v>
      </c>
      <c r="G61" s="3050"/>
      <c r="H61" s="3046" t="str">
        <f>IF(D61="operation",VLOOKUP(G61,'Generic Vertical Port Tasks'!$C$6:$D$558,2,FALSE),"N/A")</f>
        <v>N/A</v>
      </c>
      <c r="I61" s="3049" t="s">
        <v>857</v>
      </c>
      <c r="J61" s="3049" t="s">
        <v>452</v>
      </c>
      <c r="K61" s="3049" t="s">
        <v>831</v>
      </c>
      <c r="L61" s="3047">
        <f>IFERROR(INDEX('Upper Hot Cell Logistics'!$I$35:$O$41,MATCH($J61,'Upper Hot Cell Logistics'!$H$35:$H$41,0),MATCH($K61,'Upper Hot Cell Logistics'!$H$35:$H$41,0)),"N/A")</f>
        <v>50</v>
      </c>
      <c r="M61" s="3047">
        <f>IFERROR(VLOOKUP($I61,'Upper Hot Cell Logistics'!$H$4:$I$9,2,FALSE),"N/A")</f>
        <v>0.02</v>
      </c>
      <c r="N61" s="3047">
        <f t="shared" si="2"/>
        <v>0.69444444444444442</v>
      </c>
      <c r="O61" s="3051"/>
      <c r="P61" s="3046" t="str">
        <f>IF($D61="Logistics",VLOOKUP($O61,'Upper Hot Cell Logistics'!$C$4:$D$44,2,FALSE),"N/A")</f>
        <v>N/A</v>
      </c>
    </row>
    <row r="62" spans="1:16" outlineLevel="1" x14ac:dyDescent="0.4">
      <c r="A62" s="3041"/>
      <c r="B62" s="4055"/>
      <c r="C62" s="3049" t="s">
        <v>960</v>
      </c>
      <c r="D62" s="3049" t="s">
        <v>3</v>
      </c>
      <c r="E62" s="3047">
        <f t="shared" si="0"/>
        <v>0.58000000000000007</v>
      </c>
      <c r="F62" s="3047">
        <f>IF($D62="Trigger",VLOOKUP($C62,'Upper Hot Cell Welding failures'!$E$30:$I$123,5,FALSE),E62+F61)</f>
        <v>82.527222222222193</v>
      </c>
      <c r="G62" s="3050"/>
      <c r="H62" s="3046" t="str">
        <f>IF(D62="operation",VLOOKUP(G62,'Generic Vertical Port Tasks'!$C$6:$D$558,2,FALSE),"N/A")</f>
        <v>N/A</v>
      </c>
      <c r="I62" s="3049"/>
      <c r="J62" s="3049"/>
      <c r="K62" s="3049"/>
      <c r="L62" s="3047" t="str">
        <f>IFERROR(INDEX('Upper Hot Cell Logistics'!$I$35:$O$41,MATCH($J62,'Upper Hot Cell Logistics'!$H$35:$H$41,0),MATCH($K62,'Upper Hot Cell Logistics'!$H$35:$H$41,0)),"N/A")</f>
        <v>N/A</v>
      </c>
      <c r="M62" s="3047" t="str">
        <f>IFERROR(VLOOKUP($I62,'Upper Hot Cell Logistics'!$H$4:$I$9,2,FALSE),"N/A")</f>
        <v>N/A</v>
      </c>
      <c r="N62" s="3059" t="str">
        <f t="shared" si="2"/>
        <v>N/A</v>
      </c>
      <c r="O62" s="3051" t="s">
        <v>904</v>
      </c>
      <c r="P62" s="3046">
        <f>IF($D62="Logistics",VLOOKUP($O62,'Upper Hot Cell Logistics'!$C$4:$D$44,2,FALSE),"N/A")</f>
        <v>0.58000000000000007</v>
      </c>
    </row>
    <row r="63" spans="1:16" ht="26.15" outlineLevel="1" thickBot="1" x14ac:dyDescent="0.45">
      <c r="A63" s="3041"/>
      <c r="B63" s="4057"/>
      <c r="C63" s="3053" t="str">
        <f>B60</f>
        <v>LIB Blanket Segment Stored; Replacement RIB Blanket Segment collected</v>
      </c>
      <c r="D63" s="3053" t="s">
        <v>11</v>
      </c>
      <c r="E63" s="3054">
        <f t="shared" si="0"/>
        <v>0</v>
      </c>
      <c r="F63" s="3054">
        <f>IF($D63="Trigger",VLOOKUP($C63,'Upper Hot Cell Welding failures'!$E$30:$I$123,5,FALSE),E63+F62)</f>
        <v>82.527222222222193</v>
      </c>
      <c r="G63" s="3056"/>
      <c r="H63" s="3055" t="str">
        <f>IF(D63="operation",VLOOKUP(G63,'Generic Vertical Port Tasks'!$C$6:$D$558,2,FALSE),"N/A")</f>
        <v>N/A</v>
      </c>
      <c r="I63" s="3053"/>
      <c r="J63" s="3053"/>
      <c r="K63" s="3053"/>
      <c r="L63" s="3054" t="str">
        <f>IFERROR(INDEX('Upper Hot Cell Logistics'!$I$35:$O$41,MATCH($J63,'Upper Hot Cell Logistics'!$H$35:$H$41,0),MATCH($K63,'Upper Hot Cell Logistics'!$H$35:$H$41,0)),"N/A")</f>
        <v>N/A</v>
      </c>
      <c r="M63" s="3054" t="str">
        <f>IFERROR(VLOOKUP($I63,'Upper Hot Cell Logistics'!$H$4:$I$9,2,FALSE),"N/A")</f>
        <v>N/A</v>
      </c>
      <c r="N63" s="3060" t="str">
        <f t="shared" si="2"/>
        <v>N/A</v>
      </c>
      <c r="O63" s="3057"/>
      <c r="P63" s="3055" t="str">
        <f>IF($D63="Logistics",VLOOKUP($O63,'Upper Hot Cell Logistics'!$C$4:$D$44,2,FALSE),"N/A")</f>
        <v>N/A</v>
      </c>
    </row>
    <row r="64" spans="1:16" outlineLevel="1" x14ac:dyDescent="0.4">
      <c r="A64" s="3041"/>
      <c r="B64" s="4054" t="s">
        <v>1082</v>
      </c>
      <c r="C64" s="3042" t="str">
        <f>'Upper Hot Cell Welding failures'!E83</f>
        <v>Extract RIB Blanket Segment</v>
      </c>
      <c r="D64" s="3042" t="s">
        <v>907</v>
      </c>
      <c r="E64" s="3043">
        <f t="shared" si="0"/>
        <v>0</v>
      </c>
      <c r="F64" s="3043">
        <f>IF($D64="Trigger",VLOOKUP($C64,'Upper Hot Cell Welding failures'!$E$30:$I$123,5,FALSE),E64+F63)</f>
        <v>87.062222222222189</v>
      </c>
      <c r="G64" s="3045"/>
      <c r="H64" s="3044" t="str">
        <f>IF(D64="operation",VLOOKUP(G64,'Generic Vertical Port Tasks'!$C$6:$D$558,2,FALSE),"N/A")</f>
        <v>N/A</v>
      </c>
      <c r="I64" s="3042"/>
      <c r="J64" s="3042"/>
      <c r="K64" s="3042"/>
      <c r="L64" s="3043" t="str">
        <f>IFERROR(INDEX('Upper Hot Cell Logistics'!$I$35:$O$41,MATCH($J64,'Upper Hot Cell Logistics'!$H$35:$H$41,0),MATCH($K64,'Upper Hot Cell Logistics'!$H$35:$H$41,0)),"N/A")</f>
        <v>N/A</v>
      </c>
      <c r="M64" s="3043" t="str">
        <f>IFERROR(VLOOKUP($I64,'Upper Hot Cell Logistics'!$H$4:$I$9,2,FALSE),"N/A")</f>
        <v>N/A</v>
      </c>
      <c r="N64" s="3061" t="str">
        <f t="shared" si="2"/>
        <v>N/A</v>
      </c>
      <c r="O64" s="3048"/>
      <c r="P64" s="3044" t="str">
        <f>IF($D64="Logistics",VLOOKUP($O64,'Upper Hot Cell Logistics'!$C$4:$D$44,2,FALSE),"N/A")</f>
        <v>N/A</v>
      </c>
    </row>
    <row r="65" spans="1:17" outlineLevel="1" x14ac:dyDescent="0.4">
      <c r="A65" s="3041"/>
      <c r="B65" s="4055"/>
      <c r="C65" s="3049" t="s">
        <v>930</v>
      </c>
      <c r="D65" s="3049" t="s">
        <v>778</v>
      </c>
      <c r="E65" s="3047">
        <f t="shared" si="0"/>
        <v>0.69444444444444442</v>
      </c>
      <c r="F65" s="3047">
        <f>IF($D65="Trigger",VLOOKUP($C65,'Upper Hot Cell Welding failures'!$E$30:$I$123,5,FALSE),E65+F64)</f>
        <v>87.756666666666632</v>
      </c>
      <c r="G65" s="3050"/>
      <c r="H65" s="3046" t="str">
        <f>IF(D65="operation",VLOOKUP(G65,'Generic Vertical Port Tasks'!$C$6:$D$558,2,FALSE),"N/A")</f>
        <v>N/A</v>
      </c>
      <c r="I65" s="3049" t="s">
        <v>857</v>
      </c>
      <c r="J65" s="3049" t="s">
        <v>452</v>
      </c>
      <c r="K65" s="3049" t="s">
        <v>831</v>
      </c>
      <c r="L65" s="3047">
        <f>IFERROR(INDEX('Upper Hot Cell Logistics'!$I$35:$O$41,MATCH($J65,'Upper Hot Cell Logistics'!$H$35:$H$41,0),MATCH($K65,'Upper Hot Cell Logistics'!$H$35:$H$41,0)),"N/A")</f>
        <v>50</v>
      </c>
      <c r="M65" s="3047">
        <f>IFERROR(VLOOKUP($I65,'Upper Hot Cell Logistics'!$H$4:$I$9,2,FALSE),"N/A")</f>
        <v>0.02</v>
      </c>
      <c r="N65" s="3059">
        <f t="shared" si="2"/>
        <v>0.69444444444444442</v>
      </c>
      <c r="O65" s="3051"/>
      <c r="P65" s="3046" t="str">
        <f>IF($D65="Logistics",VLOOKUP($O65,'Upper Hot Cell Logistics'!$C$4:$D$44,2,FALSE),"N/A")</f>
        <v>N/A</v>
      </c>
    </row>
    <row r="66" spans="1:17" outlineLevel="1" x14ac:dyDescent="0.4">
      <c r="A66" s="3041"/>
      <c r="B66" s="4055"/>
      <c r="C66" s="3049" t="s">
        <v>960</v>
      </c>
      <c r="D66" s="3049" t="s">
        <v>3</v>
      </c>
      <c r="E66" s="3047">
        <f t="shared" si="0"/>
        <v>0.58000000000000007</v>
      </c>
      <c r="F66" s="3047">
        <f>IF($D66="Trigger",VLOOKUP($C66,'Upper Hot Cell Welding failures'!$E$30:$I$123,5,FALSE),E66+F65)</f>
        <v>88.33666666666663</v>
      </c>
      <c r="G66" s="3050"/>
      <c r="H66" s="3046" t="str">
        <f>IF(D66="operation",VLOOKUP(G66,'Generic Vertical Port Tasks'!$C$6:$D$558,2,FALSE),"N/A")</f>
        <v>N/A</v>
      </c>
      <c r="I66" s="3049"/>
      <c r="J66" s="3049"/>
      <c r="K66" s="3049"/>
      <c r="L66" s="3047" t="str">
        <f>IFERROR(INDEX('Upper Hot Cell Logistics'!$I$35:$O$41,MATCH($J66,'Upper Hot Cell Logistics'!$H$35:$H$41,0),MATCH($K66,'Upper Hot Cell Logistics'!$H$35:$H$41,0)),"N/A")</f>
        <v>N/A</v>
      </c>
      <c r="M66" s="3047" t="str">
        <f>IFERROR(VLOOKUP($I66,'Upper Hot Cell Logistics'!$H$4:$I$9,2,FALSE),"N/A")</f>
        <v>N/A</v>
      </c>
      <c r="N66" s="3059" t="str">
        <f t="shared" si="2"/>
        <v>N/A</v>
      </c>
      <c r="O66" s="3051" t="s">
        <v>904</v>
      </c>
      <c r="P66" s="3046">
        <f>IF($D66="Logistics",VLOOKUP($O66,'Upper Hot Cell Logistics'!$C$4:$D$44,2,FALSE),"N/A")</f>
        <v>0.58000000000000007</v>
      </c>
    </row>
    <row r="67" spans="1:17" outlineLevel="1" x14ac:dyDescent="0.4">
      <c r="A67" s="3041"/>
      <c r="B67" s="4056"/>
      <c r="C67" s="3052" t="s">
        <v>1173</v>
      </c>
      <c r="D67" s="3052" t="s">
        <v>778</v>
      </c>
      <c r="E67" s="3047">
        <f t="shared" si="0"/>
        <v>1.3888888888888888E-2</v>
      </c>
      <c r="F67" s="3047">
        <f>IF($D67="Trigger",VLOOKUP($C67,'Upper Hot Cell Welding failures'!$E$30:$I$123,5,FALSE),E67+F66)</f>
        <v>88.350555555555516</v>
      </c>
      <c r="G67" s="3050"/>
      <c r="H67" s="3046" t="str">
        <f>IF(D67="operation",VLOOKUP(G67,'Generic Vertical Port Tasks'!$C$6:$D$558,2,FALSE),"N/A")</f>
        <v>N/A</v>
      </c>
      <c r="I67" s="3049" t="s">
        <v>798</v>
      </c>
      <c r="J67" s="3049" t="s">
        <v>831</v>
      </c>
      <c r="K67" s="3049" t="s">
        <v>858</v>
      </c>
      <c r="L67" s="3047">
        <f>IFERROR(INDEX('Upper Hot Cell Logistics'!$I$35:$O$41,MATCH($J67,'Upper Hot Cell Logistics'!$H$35:$H$41,0),MATCH($K67,'Upper Hot Cell Logistics'!$H$35:$H$41,0)),"N/A")</f>
        <v>10</v>
      </c>
      <c r="M67" s="3047">
        <f>IFERROR(VLOOKUP($I67,'Upper Hot Cell Logistics'!$H$4:$I$9,2,FALSE),"N/A")</f>
        <v>0.2</v>
      </c>
      <c r="N67" s="3059">
        <f>IF(D67="Movement",IFERROR((L67/M67)/(60*60),"Error"),"N/A")</f>
        <v>1.3888888888888888E-2</v>
      </c>
      <c r="O67" s="3051"/>
      <c r="P67" s="3046" t="str">
        <f>IF($D67="Logistics",VLOOKUP($O67,'Upper Hot Cell Logistics'!$C$4:$D$44,2,FALSE),"N/A")</f>
        <v>N/A</v>
      </c>
    </row>
    <row r="68" spans="1:17" outlineLevel="1" x14ac:dyDescent="0.4">
      <c r="A68" s="3041"/>
      <c r="B68" s="4056"/>
      <c r="C68" s="3052" t="s">
        <v>1174</v>
      </c>
      <c r="D68" s="3052" t="s">
        <v>3</v>
      </c>
      <c r="E68" s="3047">
        <f t="shared" si="0"/>
        <v>0.78</v>
      </c>
      <c r="F68" s="3047">
        <f>IF($D68="Trigger",VLOOKUP($C68,'Upper Hot Cell Welding failures'!$E$30:$I$123,5,FALSE),E68+F67)</f>
        <v>89.130555555555517</v>
      </c>
      <c r="G68" s="3050"/>
      <c r="H68" s="3046" t="str">
        <f>IF(D68="operation",VLOOKUP(G68,'Generic Vertical Port Tasks'!$C$6:$D$558,2,FALSE),"N/A")</f>
        <v>N/A</v>
      </c>
      <c r="I68" s="3049"/>
      <c r="J68" s="3049"/>
      <c r="K68" s="3049"/>
      <c r="L68" s="3047" t="str">
        <f>IFERROR(INDEX('Upper Hot Cell Logistics'!$I$35:$O$41,MATCH($J68,'Upper Hot Cell Logistics'!$H$35:$H$41,0),MATCH($K68,'Upper Hot Cell Logistics'!$H$35:$H$41,0)),"N/A")</f>
        <v>N/A</v>
      </c>
      <c r="M68" s="3047" t="str">
        <f>IFERROR(VLOOKUP($I68,'Upper Hot Cell Logistics'!$H$4:$I$9,2,FALSE),"N/A")</f>
        <v>N/A</v>
      </c>
      <c r="N68" s="3059" t="str">
        <f>IF(D68="Movement",IFERROR((L68/M68)/(60*60),"Error"),"N/A")</f>
        <v>N/A</v>
      </c>
      <c r="O68" s="3051" t="s">
        <v>1175</v>
      </c>
      <c r="P68" s="3046">
        <f>IF($D68="Logistics",VLOOKUP($O68,'Upper Hot Cell Logistics'!$C$4:$D$44,2,FALSE),"N/A")</f>
        <v>0.78</v>
      </c>
    </row>
    <row r="69" spans="1:17" ht="26.15" outlineLevel="1" thickBot="1" x14ac:dyDescent="0.45">
      <c r="A69" s="3041"/>
      <c r="B69" s="4056"/>
      <c r="C69" s="3052" t="str">
        <f>B64</f>
        <v>RIB Blanket Segment Stored; Replacement LIB Blanket Segment collected</v>
      </c>
      <c r="D69" s="3052" t="s">
        <v>11</v>
      </c>
      <c r="E69" s="3062">
        <f t="shared" si="0"/>
        <v>0</v>
      </c>
      <c r="F69" s="3062">
        <f>IF($D69="Trigger",VLOOKUP($C69,'Upper Hot Cell Welding failures'!$E$30:$I$123,5,FALSE),E69+F68)</f>
        <v>89.130555555555517</v>
      </c>
      <c r="G69" s="3063"/>
      <c r="H69" s="3064" t="str">
        <f>IF(D69="operation",VLOOKUP(G69,'Generic Vertical Port Tasks'!$C$6:$D$558,2,FALSE),"N/A")</f>
        <v>N/A</v>
      </c>
      <c r="I69" s="3052"/>
      <c r="J69" s="3052"/>
      <c r="K69" s="3052"/>
      <c r="L69" s="3062" t="str">
        <f>IFERROR(INDEX('Upper Hot Cell Logistics'!$I$35:$O$41,MATCH($J69,'Upper Hot Cell Logistics'!$H$35:$H$41,0),MATCH($K69,'Upper Hot Cell Logistics'!$H$35:$H$41,0)),"N/A")</f>
        <v>N/A</v>
      </c>
      <c r="M69" s="3062" t="str">
        <f>IFERROR(VLOOKUP($I69,'Upper Hot Cell Logistics'!$H$4:$I$9,2,FALSE),"N/A")</f>
        <v>N/A</v>
      </c>
      <c r="N69" s="3065" t="str">
        <f t="shared" si="2"/>
        <v>N/A</v>
      </c>
      <c r="O69" s="3066"/>
      <c r="P69" s="3064" t="str">
        <f>IF($D69="Logistics",VLOOKUP($O69,'Upper Hot Cell Logistics'!$C$4:$D$44,2,FALSE),"N/A")</f>
        <v>N/A</v>
      </c>
    </row>
    <row r="70" spans="1:17" s="3058" customFormat="1" ht="14.6" outlineLevel="1" collapsed="1" x14ac:dyDescent="0.4">
      <c r="A70" s="3041"/>
      <c r="B70" s="4054" t="s">
        <v>863</v>
      </c>
      <c r="C70" s="3042" t="str">
        <f>'Upper Hot Cell Welding failures'!E85</f>
        <v>Install RIB Blanket Segment</v>
      </c>
      <c r="D70" s="3042" t="s">
        <v>907</v>
      </c>
      <c r="E70" s="3043">
        <f t="shared" ref="E70:E126" si="3">MAX($P70,$N70,$H70)</f>
        <v>0</v>
      </c>
      <c r="F70" s="3044">
        <f>IF($D70="Trigger",VLOOKUP($C70,'Upper Hot Cell Welding failures'!$E$30:$I$123,5,FALSE),E70+F69)</f>
        <v>91.46166666666663</v>
      </c>
      <c r="G70" s="3045"/>
      <c r="H70" s="3044" t="str">
        <f>IF(D70="operation",VLOOKUP(G70,'Generic Vertical Port Tasks'!$C$6:$D$558,2,FALSE),"N/A")</f>
        <v>N/A</v>
      </c>
      <c r="I70" s="3042"/>
      <c r="J70" s="3042"/>
      <c r="K70" s="3042"/>
      <c r="L70" s="3043" t="str">
        <f>IFERROR(INDEX('Upper Hot Cell Logistics'!$I$35:$O$41,MATCH($J70,'Upper Hot Cell Logistics'!$H$35:$H$41,0),MATCH($K70,'Upper Hot Cell Logistics'!$H$35:$H$41,0)),"N/A")</f>
        <v>N/A</v>
      </c>
      <c r="M70" s="3043" t="str">
        <f>IFERROR(VLOOKUP($I70,'Upper Hot Cell Logistics'!$H$4:$I$9,2,FALSE),"N/A")</f>
        <v>N/A</v>
      </c>
      <c r="N70" s="3061" t="str">
        <f t="shared" si="2"/>
        <v>N/A</v>
      </c>
      <c r="O70" s="3048"/>
      <c r="P70" s="3044" t="str">
        <f>IF($D70="Logistics",VLOOKUP($O70,'Upper Hot Cell Logistics'!$C$4:$D$44,2,FALSE),"N/A")</f>
        <v>N/A</v>
      </c>
      <c r="Q70" s="3023"/>
    </row>
    <row r="71" spans="1:17" s="3058" customFormat="1" ht="14.6" outlineLevel="1" x14ac:dyDescent="0.4">
      <c r="A71" s="3041"/>
      <c r="B71" s="4055"/>
      <c r="C71" s="3049" t="s">
        <v>926</v>
      </c>
      <c r="D71" s="3049" t="s">
        <v>778</v>
      </c>
      <c r="E71" s="3047">
        <f t="shared" si="3"/>
        <v>0.69444444444444442</v>
      </c>
      <c r="F71" s="3046">
        <f>IF($D71="Trigger",VLOOKUP($C71,'Upper Hot Cell Welding failures'!$E$30:$I$123,5,FALSE),E71+F70)</f>
        <v>92.156111111111073</v>
      </c>
      <c r="G71" s="3050"/>
      <c r="H71" s="3046" t="str">
        <f>IF(D71="operation",VLOOKUP(G71,'Generic Vertical Port Tasks'!$C$6:$D$558,2,FALSE),"N/A")</f>
        <v>N/A</v>
      </c>
      <c r="I71" s="3049" t="s">
        <v>857</v>
      </c>
      <c r="J71" s="3049" t="s">
        <v>452</v>
      </c>
      <c r="K71" s="3049" t="s">
        <v>858</v>
      </c>
      <c r="L71" s="3047">
        <f>IFERROR(INDEX('Upper Hot Cell Logistics'!$I$35:$O$41,MATCH($J71,'Upper Hot Cell Logistics'!$H$35:$H$41,0),MATCH($K71,'Upper Hot Cell Logistics'!$H$35:$H$41,0)),"N/A")</f>
        <v>50</v>
      </c>
      <c r="M71" s="3047">
        <f>IFERROR(VLOOKUP($I71,'Upper Hot Cell Logistics'!$H$4:$I$9,2,FALSE),"N/A")</f>
        <v>0.02</v>
      </c>
      <c r="N71" s="3059">
        <f t="shared" si="2"/>
        <v>0.69444444444444442</v>
      </c>
      <c r="O71" s="3051"/>
      <c r="P71" s="3046" t="str">
        <f>IF($D71="Logistics",VLOOKUP($O71,'Upper Hot Cell Logistics'!$C$4:$D$44,2,FALSE),"N/A")</f>
        <v>N/A</v>
      </c>
      <c r="Q71" s="3023"/>
    </row>
    <row r="72" spans="1:17" s="3058" customFormat="1" ht="14.6" outlineLevel="1" x14ac:dyDescent="0.4">
      <c r="A72" s="3041"/>
      <c r="B72" s="4055"/>
      <c r="C72" s="3049" t="s">
        <v>970</v>
      </c>
      <c r="D72" s="3049" t="s">
        <v>3</v>
      </c>
      <c r="E72" s="3047">
        <f t="shared" si="3"/>
        <v>0.58000000000000007</v>
      </c>
      <c r="F72" s="3046">
        <f>IF($D72="Trigger",VLOOKUP($C72,'Upper Hot Cell Welding failures'!$E$30:$I$123,5,FALSE),E72+F71)</f>
        <v>92.736111111111072</v>
      </c>
      <c r="G72" s="3050"/>
      <c r="H72" s="3046" t="str">
        <f>IF(D72="operation",VLOOKUP(G72,'Generic Vertical Port Tasks'!$C$6:$D$558,2,FALSE),"N/A")</f>
        <v>N/A</v>
      </c>
      <c r="I72" s="3049"/>
      <c r="J72" s="3049"/>
      <c r="K72" s="3049"/>
      <c r="L72" s="3047" t="str">
        <f>IFERROR(INDEX('Upper Hot Cell Logistics'!$I$35:$O$41,MATCH($J72,'Upper Hot Cell Logistics'!$H$35:$H$41,0),MATCH($K72,'Upper Hot Cell Logistics'!$H$35:$H$41,0)),"N/A")</f>
        <v>N/A</v>
      </c>
      <c r="M72" s="3047" t="str">
        <f>IFERROR(VLOOKUP($I72,'Upper Hot Cell Logistics'!$H$4:$I$9,2,FALSE),"N/A")</f>
        <v>N/A</v>
      </c>
      <c r="N72" s="3059" t="str">
        <f t="shared" si="2"/>
        <v>N/A</v>
      </c>
      <c r="O72" s="3051" t="s">
        <v>904</v>
      </c>
      <c r="P72" s="3046">
        <f>IF($D72="Logistics",VLOOKUP($O72,'Upper Hot Cell Logistics'!$C$4:$D$44,2,FALSE),"N/A")</f>
        <v>0.58000000000000007</v>
      </c>
      <c r="Q72" s="3023"/>
    </row>
    <row r="73" spans="1:17" s="3058" customFormat="1" ht="15" outlineLevel="1" thickBot="1" x14ac:dyDescent="0.45">
      <c r="A73" s="3041"/>
      <c r="B73" s="4057"/>
      <c r="C73" s="3053" t="str">
        <f>B70</f>
        <v>ROB Blanket Segment Exported</v>
      </c>
      <c r="D73" s="3053" t="s">
        <v>11</v>
      </c>
      <c r="E73" s="3054">
        <f t="shared" si="3"/>
        <v>0</v>
      </c>
      <c r="F73" s="3055">
        <f>IF($D73="Trigger",VLOOKUP($C73,'Upper Hot Cell Welding failures'!$E$30:$I$123,5,FALSE),E73+F72)</f>
        <v>92.736111111111072</v>
      </c>
      <c r="G73" s="3056"/>
      <c r="H73" s="3055" t="str">
        <f>IF(D73="operation",VLOOKUP(G73,'Generic Vertical Port Tasks'!$C$6:$D$558,2,FALSE),"N/A")</f>
        <v>N/A</v>
      </c>
      <c r="I73" s="3053"/>
      <c r="J73" s="3053"/>
      <c r="K73" s="3053"/>
      <c r="L73" s="3054" t="str">
        <f>IFERROR(INDEX('Upper Hot Cell Logistics'!$I$35:$O$41,MATCH($J73,'Upper Hot Cell Logistics'!$H$35:$H$41,0),MATCH($K73,'Upper Hot Cell Logistics'!$H$35:$H$41,0)),"N/A")</f>
        <v>N/A</v>
      </c>
      <c r="M73" s="3054" t="str">
        <f>IFERROR(VLOOKUP($I73,'Upper Hot Cell Logistics'!$H$4:$I$9,2,FALSE),"N/A")</f>
        <v>N/A</v>
      </c>
      <c r="N73" s="3060" t="str">
        <f t="shared" si="2"/>
        <v>N/A</v>
      </c>
      <c r="O73" s="3057"/>
      <c r="P73" s="3055" t="str">
        <f>IF($D73="Logistics",VLOOKUP($O73,'Upper Hot Cell Logistics'!$C$4:$D$44,2,FALSE),"N/A")</f>
        <v>N/A</v>
      </c>
      <c r="Q73" s="3023"/>
    </row>
    <row r="74" spans="1:17" s="3058" customFormat="1" ht="14.6" outlineLevel="1" x14ac:dyDescent="0.4">
      <c r="A74" s="3041"/>
      <c r="B74" s="4054" t="s">
        <v>865</v>
      </c>
      <c r="C74" s="3042" t="str">
        <f>'Upper Hot Cell Welding failures'!E87</f>
        <v>Install LIB Blanket Segment</v>
      </c>
      <c r="D74" s="3042" t="s">
        <v>907</v>
      </c>
      <c r="E74" s="3043">
        <f t="shared" si="3"/>
        <v>0</v>
      </c>
      <c r="F74" s="3044">
        <f>IF($D74="Trigger",VLOOKUP($C74,'Upper Hot Cell Welding failures'!$E$30:$I$123,5,FALSE),E74+F73)</f>
        <v>95.861111111111072</v>
      </c>
      <c r="G74" s="3045"/>
      <c r="H74" s="3044" t="str">
        <f>IF(D74="operation",VLOOKUP(G74,'Generic Vertical Port Tasks'!$C$6:$D$558,2,FALSE),"N/A")</f>
        <v>N/A</v>
      </c>
      <c r="I74" s="3042"/>
      <c r="J74" s="3042"/>
      <c r="K74" s="3042"/>
      <c r="L74" s="3043" t="str">
        <f>IFERROR(INDEX('Upper Hot Cell Logistics'!$I$35:$O$41,MATCH($J74,'Upper Hot Cell Logistics'!$H$35:$H$41,0),MATCH($K74,'Upper Hot Cell Logistics'!$H$35:$H$41,0)),"N/A")</f>
        <v>N/A</v>
      </c>
      <c r="M74" s="3043" t="str">
        <f>IFERROR(VLOOKUP($I74,'Upper Hot Cell Logistics'!$H$4:$I$9,2,FALSE),"N/A")</f>
        <v>N/A</v>
      </c>
      <c r="N74" s="3061" t="str">
        <f t="shared" si="2"/>
        <v>N/A</v>
      </c>
      <c r="O74" s="3048"/>
      <c r="P74" s="3044" t="str">
        <f>IF($D74="Logistics",VLOOKUP($O74,'Upper Hot Cell Logistics'!$C$4:$D$44,2,FALSE),"N/A")</f>
        <v>N/A</v>
      </c>
      <c r="Q74" s="3023"/>
    </row>
    <row r="75" spans="1:17" s="3058" customFormat="1" ht="14.6" outlineLevel="1" x14ac:dyDescent="0.4">
      <c r="A75" s="3041"/>
      <c r="B75" s="4055"/>
      <c r="C75" s="3049" t="s">
        <v>930</v>
      </c>
      <c r="D75" s="3049" t="s">
        <v>778</v>
      </c>
      <c r="E75" s="3047">
        <f t="shared" si="3"/>
        <v>0.69444444444444442</v>
      </c>
      <c r="F75" s="3046">
        <f>IF($D75="Trigger",VLOOKUP($C75,'Upper Hot Cell Welding failures'!$E$30:$I$123,5,FALSE),E75+F74)</f>
        <v>96.555555555555515</v>
      </c>
      <c r="G75" s="3050"/>
      <c r="H75" s="3046" t="str">
        <f>IF(D75="operation",VLOOKUP(G75,'Generic Vertical Port Tasks'!$C$6:$D$558,2,FALSE),"N/A")</f>
        <v>N/A</v>
      </c>
      <c r="I75" s="3049" t="s">
        <v>857</v>
      </c>
      <c r="J75" s="3049" t="s">
        <v>452</v>
      </c>
      <c r="K75" s="3049" t="s">
        <v>858</v>
      </c>
      <c r="L75" s="3047">
        <f>IFERROR(INDEX('Upper Hot Cell Logistics'!$I$35:$O$41,MATCH($J75,'Upper Hot Cell Logistics'!$H$35:$H$41,0),MATCH($K75,'Upper Hot Cell Logistics'!$H$35:$H$41,0)),"N/A")</f>
        <v>50</v>
      </c>
      <c r="M75" s="3047">
        <f>IFERROR(VLOOKUP($I75,'Upper Hot Cell Logistics'!$H$4:$I$9,2,FALSE),"N/A")</f>
        <v>0.02</v>
      </c>
      <c r="N75" s="3059">
        <f t="shared" si="2"/>
        <v>0.69444444444444442</v>
      </c>
      <c r="O75" s="3051"/>
      <c r="P75" s="3046" t="str">
        <f>IF($D75="Logistics",VLOOKUP($O75,'Upper Hot Cell Logistics'!$C$4:$D$44,2,FALSE),"N/A")</f>
        <v>N/A</v>
      </c>
      <c r="Q75" s="3023"/>
    </row>
    <row r="76" spans="1:17" s="3058" customFormat="1" ht="15" customHeight="1" outlineLevel="1" x14ac:dyDescent="0.4">
      <c r="A76" s="3041"/>
      <c r="B76" s="4055"/>
      <c r="C76" s="3049" t="s">
        <v>970</v>
      </c>
      <c r="D76" s="3049" t="s">
        <v>3</v>
      </c>
      <c r="E76" s="3047">
        <f t="shared" si="3"/>
        <v>0.78</v>
      </c>
      <c r="F76" s="3046">
        <f>IF($D76="Trigger",VLOOKUP($C76,'Upper Hot Cell Welding failures'!$E$30:$I$123,5,FALSE),E76+F75)</f>
        <v>97.335555555555516</v>
      </c>
      <c r="G76" s="3050"/>
      <c r="H76" s="3046" t="str">
        <f>IF(D76="operation",VLOOKUP(G76,'Generic Vertical Port Tasks'!$C$6:$D$558,2,FALSE),"N/A")</f>
        <v>N/A</v>
      </c>
      <c r="I76" s="3049"/>
      <c r="J76" s="3049"/>
      <c r="K76" s="3049"/>
      <c r="L76" s="3047" t="str">
        <f>IFERROR(INDEX('Upper Hot Cell Logistics'!$I$35:$O$41,MATCH($J76,'Upper Hot Cell Logistics'!$H$35:$H$41,0),MATCH($K76,'Upper Hot Cell Logistics'!$H$35:$H$41,0)),"N/A")</f>
        <v>N/A</v>
      </c>
      <c r="M76" s="3047" t="str">
        <f>IFERROR(VLOOKUP($I76,'Upper Hot Cell Logistics'!$H$4:$I$9,2,FALSE),"N/A")</f>
        <v>N/A</v>
      </c>
      <c r="N76" s="3059" t="str">
        <f t="shared" si="2"/>
        <v>N/A</v>
      </c>
      <c r="O76" s="3051" t="s">
        <v>1175</v>
      </c>
      <c r="P76" s="3046">
        <f>IF($D76="Logistics",VLOOKUP($O76,'Upper Hot Cell Logistics'!$C$4:$D$44,2,FALSE),"N/A")</f>
        <v>0.78</v>
      </c>
      <c r="Q76" s="3023"/>
    </row>
    <row r="77" spans="1:17" s="3058" customFormat="1" ht="15" outlineLevel="1" thickBot="1" x14ac:dyDescent="0.45">
      <c r="A77" s="3041"/>
      <c r="B77" s="4057"/>
      <c r="C77" s="3053" t="str">
        <f>B74</f>
        <v>LOB Blanket Segment Exported</v>
      </c>
      <c r="D77" s="3053" t="s">
        <v>11</v>
      </c>
      <c r="E77" s="3054">
        <f t="shared" si="3"/>
        <v>0</v>
      </c>
      <c r="F77" s="3055">
        <f>IF($D77="Trigger",VLOOKUP($C77,'Upper Hot Cell Welding failures'!$E$30:$I$123,5,FALSE),E77+F76)</f>
        <v>97.335555555555516</v>
      </c>
      <c r="G77" s="3056"/>
      <c r="H77" s="3055" t="str">
        <f>IF(D77="operation",VLOOKUP(G77,'Generic Vertical Port Tasks'!$C$6:$D$558,2,FALSE),"N/A")</f>
        <v>N/A</v>
      </c>
      <c r="I77" s="3053"/>
      <c r="J77" s="3053"/>
      <c r="K77" s="3053"/>
      <c r="L77" s="3054" t="str">
        <f>IFERROR(INDEX('Upper Hot Cell Logistics'!$I$35:$O$41,MATCH($J77,'Upper Hot Cell Logistics'!$H$35:$H$41,0),MATCH($K77,'Upper Hot Cell Logistics'!$H$35:$H$41,0)),"N/A")</f>
        <v>N/A</v>
      </c>
      <c r="M77" s="3054" t="str">
        <f>IFERROR(VLOOKUP($I77,'Upper Hot Cell Logistics'!$H$4:$I$9,2,FALSE),"N/A")</f>
        <v>N/A</v>
      </c>
      <c r="N77" s="3060" t="str">
        <f t="shared" si="2"/>
        <v>N/A</v>
      </c>
      <c r="O77" s="3057"/>
      <c r="P77" s="3055" t="str">
        <f>IF($D77="Logistics",VLOOKUP($O77,'Upper Hot Cell Logistics'!$C$4:$D$44,2,FALSE),"N/A")</f>
        <v>N/A</v>
      </c>
      <c r="Q77" s="3023"/>
    </row>
    <row r="78" spans="1:17" s="3058" customFormat="1" ht="14.6" outlineLevel="1" x14ac:dyDescent="0.4">
      <c r="A78" s="3041"/>
      <c r="B78" s="4054" t="s">
        <v>867</v>
      </c>
      <c r="C78" s="3042" t="str">
        <f>'Upper Hot Cell Welding failures'!E89</f>
        <v>Install ROB Blanket Segment</v>
      </c>
      <c r="D78" s="3042" t="s">
        <v>907</v>
      </c>
      <c r="E78" s="3043">
        <f t="shared" si="3"/>
        <v>0</v>
      </c>
      <c r="F78" s="3044">
        <f>IF($D78="Trigger",VLOOKUP($C78,'Upper Hot Cell Welding failures'!$E$30:$I$123,5,FALSE),E78+F77)</f>
        <v>100.26055555555551</v>
      </c>
      <c r="G78" s="3045"/>
      <c r="H78" s="3044" t="str">
        <f>IF(D78="operation",VLOOKUP(G78,'Generic Vertical Port Tasks'!$C$6:$D$558,2,FALSE),"N/A")</f>
        <v>N/A</v>
      </c>
      <c r="I78" s="3042"/>
      <c r="J78" s="3042"/>
      <c r="K78" s="3042"/>
      <c r="L78" s="3043" t="str">
        <f>IFERROR(INDEX('Upper Hot Cell Logistics'!$I$35:$O$41,MATCH($J78,'Upper Hot Cell Logistics'!$H$35:$H$41,0),MATCH($K78,'Upper Hot Cell Logistics'!$H$35:$H$41,0)),"N/A")</f>
        <v>N/A</v>
      </c>
      <c r="M78" s="3043" t="str">
        <f>IFERROR(VLOOKUP($I78,'Upper Hot Cell Logistics'!$H$4:$I$9,2,FALSE),"N/A")</f>
        <v>N/A</v>
      </c>
      <c r="N78" s="3061" t="str">
        <f t="shared" si="2"/>
        <v>N/A</v>
      </c>
      <c r="O78" s="3048"/>
      <c r="P78" s="3044" t="str">
        <f>IF($D78="Logistics",VLOOKUP($O78,'Upper Hot Cell Logistics'!$C$4:$D$44,2,FALSE),"N/A")</f>
        <v>N/A</v>
      </c>
      <c r="Q78" s="3023"/>
    </row>
    <row r="79" spans="1:17" s="3058" customFormat="1" ht="14.6" outlineLevel="1" x14ac:dyDescent="0.4">
      <c r="A79" s="3041"/>
      <c r="B79" s="4055"/>
      <c r="C79" s="3049" t="s">
        <v>926</v>
      </c>
      <c r="D79" s="3049" t="s">
        <v>778</v>
      </c>
      <c r="E79" s="3047">
        <f t="shared" si="3"/>
        <v>0.69444444444444442</v>
      </c>
      <c r="F79" s="3046">
        <f>IF($D79="Trigger",VLOOKUP($C79,'Upper Hot Cell Welding failures'!$E$30:$I$123,5,FALSE),E79+F78)</f>
        <v>100.95499999999996</v>
      </c>
      <c r="G79" s="3050"/>
      <c r="H79" s="3046" t="str">
        <f>IF(D79="operation",VLOOKUP(G79,'Generic Vertical Port Tasks'!$C$6:$D$558,2,FALSE),"N/A")</f>
        <v>N/A</v>
      </c>
      <c r="I79" s="3049" t="s">
        <v>857</v>
      </c>
      <c r="J79" s="3049" t="s">
        <v>452</v>
      </c>
      <c r="K79" s="3049" t="s">
        <v>858</v>
      </c>
      <c r="L79" s="3047">
        <f>IFERROR(INDEX('Upper Hot Cell Logistics'!$I$35:$O$41,MATCH($J79,'Upper Hot Cell Logistics'!$H$35:$H$41,0),MATCH($K79,'Upper Hot Cell Logistics'!$H$35:$H$41,0)),"N/A")</f>
        <v>50</v>
      </c>
      <c r="M79" s="3047">
        <f>IFERROR(VLOOKUP($I79,'Upper Hot Cell Logistics'!$H$4:$I$9,2,FALSE),"N/A")</f>
        <v>0.02</v>
      </c>
      <c r="N79" s="3059">
        <f t="shared" si="2"/>
        <v>0.69444444444444442</v>
      </c>
      <c r="O79" s="3051"/>
      <c r="P79" s="3046" t="str">
        <f>IF($D79="Logistics",VLOOKUP($O79,'Upper Hot Cell Logistics'!$C$4:$D$44,2,FALSE),"N/A")</f>
        <v>N/A</v>
      </c>
      <c r="Q79" s="3023"/>
    </row>
    <row r="80" spans="1:17" s="3058" customFormat="1" ht="14.6" outlineLevel="1" x14ac:dyDescent="0.4">
      <c r="A80" s="3041"/>
      <c r="B80" s="4055"/>
      <c r="C80" s="3049" t="s">
        <v>970</v>
      </c>
      <c r="D80" s="3049" t="s">
        <v>3</v>
      </c>
      <c r="E80" s="3047">
        <f t="shared" si="3"/>
        <v>0.78</v>
      </c>
      <c r="F80" s="3046">
        <f>IF($D80="Trigger",VLOOKUP($C80,'Upper Hot Cell Welding failures'!$E$30:$I$123,5,FALSE),E80+F79)</f>
        <v>101.73499999999996</v>
      </c>
      <c r="G80" s="3050"/>
      <c r="H80" s="3046" t="str">
        <f>IF(D80="operation",VLOOKUP(G80,'Generic Vertical Port Tasks'!$C$6:$D$558,2,FALSE),"N/A")</f>
        <v>N/A</v>
      </c>
      <c r="I80" s="3049"/>
      <c r="J80" s="3049"/>
      <c r="K80" s="3049"/>
      <c r="L80" s="3047" t="str">
        <f>IFERROR(INDEX('Upper Hot Cell Logistics'!$I$35:$O$41,MATCH($J80,'Upper Hot Cell Logistics'!$H$35:$H$41,0),MATCH($K80,'Upper Hot Cell Logistics'!$H$35:$H$41,0)),"N/A")</f>
        <v>N/A</v>
      </c>
      <c r="M80" s="3047" t="str">
        <f>IFERROR(VLOOKUP($I80,'Upper Hot Cell Logistics'!$H$4:$I$9,2,FALSE),"N/A")</f>
        <v>N/A</v>
      </c>
      <c r="N80" s="3059" t="str">
        <f t="shared" si="2"/>
        <v>N/A</v>
      </c>
      <c r="O80" s="3051" t="s">
        <v>1175</v>
      </c>
      <c r="P80" s="3046">
        <f>IF($D80="Logistics",VLOOKUP($O80,'Upper Hot Cell Logistics'!$C$4:$D$44,2,FALSE),"N/A")</f>
        <v>0.78</v>
      </c>
      <c r="Q80" s="3023"/>
    </row>
    <row r="81" spans="1:17" s="3058" customFormat="1" ht="15" outlineLevel="1" thickBot="1" x14ac:dyDescent="0.45">
      <c r="A81" s="3041"/>
      <c r="B81" s="4057"/>
      <c r="C81" s="3053" t="str">
        <f>B78</f>
        <v>COB Blanket Segment Exported</v>
      </c>
      <c r="D81" s="3053" t="s">
        <v>11</v>
      </c>
      <c r="E81" s="3054">
        <f t="shared" si="3"/>
        <v>0</v>
      </c>
      <c r="F81" s="3055">
        <f>IF($D81="Trigger",VLOOKUP($C81,'Upper Hot Cell Welding failures'!$E$30:$I$123,5,FALSE),E81+F80)</f>
        <v>101.73499999999996</v>
      </c>
      <c r="G81" s="3056"/>
      <c r="H81" s="3055" t="str">
        <f>IF(D81="operation",VLOOKUP(G81,'Generic Vertical Port Tasks'!$C$6:$D$558,2,FALSE),"N/A")</f>
        <v>N/A</v>
      </c>
      <c r="I81" s="3053"/>
      <c r="J81" s="3053"/>
      <c r="K81" s="3053"/>
      <c r="L81" s="3054" t="str">
        <f>IFERROR(INDEX('Upper Hot Cell Logistics'!$I$35:$O$41,MATCH($J81,'Upper Hot Cell Logistics'!$H$35:$H$41,0),MATCH($K81,'Upper Hot Cell Logistics'!$H$35:$H$41,0)),"N/A")</f>
        <v>N/A</v>
      </c>
      <c r="M81" s="3054" t="str">
        <f>IFERROR(VLOOKUP($I81,'Upper Hot Cell Logistics'!$H$4:$I$9,2,FALSE),"N/A")</f>
        <v>N/A</v>
      </c>
      <c r="N81" s="3060" t="str">
        <f t="shared" si="2"/>
        <v>N/A</v>
      </c>
      <c r="O81" s="3057"/>
      <c r="P81" s="3055" t="str">
        <f>IF($D81="Logistics",VLOOKUP($O81,'Upper Hot Cell Logistics'!$C$4:$D$44,2,FALSE),"N/A")</f>
        <v>N/A</v>
      </c>
      <c r="Q81" s="3023"/>
    </row>
    <row r="82" spans="1:17" ht="12.75" customHeight="1" outlineLevel="1" x14ac:dyDescent="0.4">
      <c r="A82" s="3041"/>
      <c r="B82" s="4061" t="s">
        <v>1084</v>
      </c>
      <c r="C82" s="3042" t="str">
        <f>'Upper Hot Cell Welding failures'!E91</f>
        <v>Install LOB Blanket Segment</v>
      </c>
      <c r="D82" s="3042" t="s">
        <v>907</v>
      </c>
      <c r="E82" s="3043">
        <f t="shared" si="3"/>
        <v>0</v>
      </c>
      <c r="F82" s="3044">
        <f>IF($D82="Trigger",VLOOKUP($C82,'Upper Hot Cell Welding failures'!$E$30:$I$123,5,FALSE),E82+F81)</f>
        <v>106.06999999999995</v>
      </c>
      <c r="G82" s="3045"/>
      <c r="H82" s="3044" t="str">
        <f>IF(D82="operation",VLOOKUP(G82,'Generic Vertical Port Tasks'!$C$6:$D$558,2,FALSE),"N/A")</f>
        <v>N/A</v>
      </c>
      <c r="I82" s="3042"/>
      <c r="J82" s="3042"/>
      <c r="K82" s="3042"/>
      <c r="L82" s="3043" t="str">
        <f>IFERROR(INDEX('Upper Hot Cell Logistics'!$I$35:$O$41,MATCH($J82,'Upper Hot Cell Logistics'!$H$35:$H$41,0),MATCH($K82,'Upper Hot Cell Logistics'!$H$35:$H$41,0)),"N/A")</f>
        <v>N/A</v>
      </c>
      <c r="M82" s="3043" t="str">
        <f>IFERROR(VLOOKUP($I82,'Upper Hot Cell Logistics'!$H$4:$I$9,2,FALSE),"N/A")</f>
        <v>N/A</v>
      </c>
      <c r="N82" s="3061" t="str">
        <f t="shared" si="2"/>
        <v>N/A</v>
      </c>
      <c r="O82" s="3048"/>
      <c r="P82" s="3044" t="str">
        <f>IF($D82="Logistics",VLOOKUP($O82,'Upper Hot Cell Logistics'!$C$4:$D$44,2,FALSE),"N/A")</f>
        <v>N/A</v>
      </c>
    </row>
    <row r="83" spans="1:17" outlineLevel="1" x14ac:dyDescent="0.4">
      <c r="A83" s="3041"/>
      <c r="B83" s="4062"/>
      <c r="C83" s="3049" t="s">
        <v>921</v>
      </c>
      <c r="D83" s="3049" t="s">
        <v>778</v>
      </c>
      <c r="E83" s="3047">
        <f t="shared" si="3"/>
        <v>0.69444444444444442</v>
      </c>
      <c r="F83" s="3046">
        <f>IF($D83="Trigger",VLOOKUP($C83,'Upper Hot Cell Welding failures'!$E$30:$I$123,5,FALSE),E83+F82)</f>
        <v>106.76444444444439</v>
      </c>
      <c r="G83" s="3050"/>
      <c r="H83" s="3046" t="str">
        <f>IF(D83="operation",VLOOKUP(G83,'Generic Vertical Port Tasks'!$C$6:$D$558,2,FALSE),"N/A")</f>
        <v>N/A</v>
      </c>
      <c r="I83" s="3049" t="s">
        <v>857</v>
      </c>
      <c r="J83" s="3049" t="s">
        <v>452</v>
      </c>
      <c r="K83" s="3049" t="s">
        <v>914</v>
      </c>
      <c r="L83" s="3047">
        <f>IFERROR(INDEX('Upper Hot Cell Logistics'!$I$35:$O$41,MATCH($J83,'Upper Hot Cell Logistics'!$H$35:$H$41,0),MATCH($K83,'Upper Hot Cell Logistics'!$H$35:$H$41,0)),"N/A")</f>
        <v>50</v>
      </c>
      <c r="M83" s="3047">
        <f>IFERROR(VLOOKUP($I83,'Upper Hot Cell Logistics'!$H$4:$I$9,2,FALSE),"N/A")</f>
        <v>0.02</v>
      </c>
      <c r="N83" s="3059">
        <f t="shared" si="2"/>
        <v>0.69444444444444442</v>
      </c>
      <c r="O83" s="3051"/>
      <c r="P83" s="3046" t="str">
        <f>IF($D83="Logistics",VLOOKUP($O83,'Upper Hot Cell Logistics'!$C$4:$D$44,2,FALSE),"N/A")</f>
        <v>N/A</v>
      </c>
    </row>
    <row r="84" spans="1:17" outlineLevel="1" x14ac:dyDescent="0.4">
      <c r="A84" s="3041"/>
      <c r="B84" s="4062"/>
      <c r="C84" s="3049" t="s">
        <v>973</v>
      </c>
      <c r="D84" s="3049" t="s">
        <v>3</v>
      </c>
      <c r="E84" s="3047">
        <f t="shared" si="3"/>
        <v>0.68</v>
      </c>
      <c r="F84" s="3046">
        <f>IF($D84="Trigger",VLOOKUP($C84,'Upper Hot Cell Welding failures'!$E$30:$I$123,5,FALSE),E84+F83)</f>
        <v>107.4444444444444</v>
      </c>
      <c r="G84" s="3050"/>
      <c r="H84" s="3046" t="str">
        <f>IF(D84="operation",VLOOKUP(G84,'Generic Vertical Port Tasks'!$C$6:$D$558,2,FALSE),"N/A")</f>
        <v>N/A</v>
      </c>
      <c r="I84" s="3049"/>
      <c r="J84" s="3049"/>
      <c r="K84" s="3049"/>
      <c r="L84" s="3047" t="str">
        <f>IFERROR(INDEX('Upper Hot Cell Logistics'!$I$35:$O$41,MATCH($J84,'Upper Hot Cell Logistics'!$H$35:$H$41,0),MATCH($K84,'Upper Hot Cell Logistics'!$H$35:$H$41,0)),"N/A")</f>
        <v>N/A</v>
      </c>
      <c r="M84" s="3047" t="str">
        <f>IFERROR(VLOOKUP($I84,'Upper Hot Cell Logistics'!$H$4:$I$9,2,FALSE),"N/A")</f>
        <v>N/A</v>
      </c>
      <c r="N84" s="3059" t="str">
        <f t="shared" si="2"/>
        <v>N/A</v>
      </c>
      <c r="O84" s="3051" t="s">
        <v>916</v>
      </c>
      <c r="P84" s="3046">
        <f>IF($D84="Logistics",VLOOKUP($O84,'Upper Hot Cell Logistics'!$C$4:$D$44,2,FALSE),"N/A")</f>
        <v>0.68</v>
      </c>
    </row>
    <row r="85" spans="1:17" outlineLevel="1" x14ac:dyDescent="0.4">
      <c r="A85" s="3041"/>
      <c r="B85" s="4062"/>
      <c r="C85" s="3049" t="s">
        <v>968</v>
      </c>
      <c r="D85" s="3049" t="s">
        <v>778</v>
      </c>
      <c r="E85" s="3047">
        <f t="shared" si="3"/>
        <v>1.3888888888888888E-2</v>
      </c>
      <c r="F85" s="3046">
        <f>IF($D85="Trigger",VLOOKUP($C85,'Upper Hot Cell Welding failures'!$E$30:$I$123,5,FALSE),E85+F84)</f>
        <v>107.45833333333329</v>
      </c>
      <c r="G85" s="3050"/>
      <c r="H85" s="3046" t="str">
        <f>IF(D85="operation",VLOOKUP(G85,'Generic Vertical Port Tasks'!$C$6:$D$558,2,FALSE),"N/A")</f>
        <v>N/A</v>
      </c>
      <c r="I85" s="3049" t="s">
        <v>798</v>
      </c>
      <c r="J85" s="3049" t="s">
        <v>831</v>
      </c>
      <c r="K85" s="3049" t="s">
        <v>858</v>
      </c>
      <c r="L85" s="3047">
        <f>IFERROR(INDEX('Upper Hot Cell Logistics'!$I$35:$O$41,MATCH($J85,'Upper Hot Cell Logistics'!$H$35:$H$41,0),MATCH($K85,'Upper Hot Cell Logistics'!$H$35:$H$41,0)),"N/A")</f>
        <v>10</v>
      </c>
      <c r="M85" s="3047">
        <f>IFERROR(VLOOKUP($I85,'Upper Hot Cell Logistics'!$H$4:$I$9,2,FALSE),"N/A")</f>
        <v>0.2</v>
      </c>
      <c r="N85" s="3059">
        <f t="shared" si="2"/>
        <v>1.3888888888888888E-2</v>
      </c>
      <c r="O85" s="3051"/>
      <c r="P85" s="3046" t="str">
        <f>IF($D85="Logistics",VLOOKUP($O85,'Upper Hot Cell Logistics'!$C$4:$D$44,2,FALSE),"N/A")</f>
        <v>N/A</v>
      </c>
    </row>
    <row r="86" spans="1:17" outlineLevel="1" x14ac:dyDescent="0.4">
      <c r="A86" s="3041"/>
      <c r="B86" s="4062"/>
      <c r="C86" s="3049" t="s">
        <v>974</v>
      </c>
      <c r="D86" s="3049" t="s">
        <v>3</v>
      </c>
      <c r="E86" s="3047">
        <f t="shared" si="3"/>
        <v>0.58000000000000007</v>
      </c>
      <c r="F86" s="3046">
        <f>IF($D86="Trigger",VLOOKUP($C86,'Upper Hot Cell Welding failures'!$E$30:$I$123,5,FALSE),E86+F85)</f>
        <v>108.03833333333328</v>
      </c>
      <c r="G86" s="3050"/>
      <c r="H86" s="3046" t="str">
        <f>IF(D86="operation",VLOOKUP(G86,'Generic Vertical Port Tasks'!$C$6:$D$558,2,FALSE),"N/A")</f>
        <v>N/A</v>
      </c>
      <c r="I86" s="3049"/>
      <c r="J86" s="3049"/>
      <c r="K86" s="3049"/>
      <c r="L86" s="3047" t="str">
        <f>IFERROR(INDEX('Upper Hot Cell Logistics'!$I$35:$O$41,MATCH($J86,'Upper Hot Cell Logistics'!$H$35:$H$41,0),MATCH($K86,'Upper Hot Cell Logistics'!$H$35:$H$41,0)),"N/A")</f>
        <v>N/A</v>
      </c>
      <c r="M86" s="3047" t="str">
        <f>IFERROR(VLOOKUP($I86,'Upper Hot Cell Logistics'!$H$4:$I$9,2,FALSE),"N/A")</f>
        <v>N/A</v>
      </c>
      <c r="N86" s="3059" t="str">
        <f t="shared" si="2"/>
        <v>N/A</v>
      </c>
      <c r="O86" s="3051" t="s">
        <v>796</v>
      </c>
      <c r="P86" s="3046">
        <f>IF($D86="Logistics",VLOOKUP($O86,'Upper Hot Cell Logistics'!$C$4:$D$44,2,FALSE),"N/A")</f>
        <v>0.58000000000000007</v>
      </c>
    </row>
    <row r="87" spans="1:17" outlineLevel="1" x14ac:dyDescent="0.4">
      <c r="A87" s="3041"/>
      <c r="B87" s="4062"/>
      <c r="C87" s="3049" t="s">
        <v>968</v>
      </c>
      <c r="D87" s="3049" t="s">
        <v>778</v>
      </c>
      <c r="E87" s="3047">
        <f t="shared" si="3"/>
        <v>2.7777777777777776E-2</v>
      </c>
      <c r="F87" s="3046">
        <f>IF($D87="Trigger",VLOOKUP($C87,'Upper Hot Cell Welding failures'!$E$30:$I$123,5,FALSE),E87+F86)</f>
        <v>108.06611111111106</v>
      </c>
      <c r="G87" s="3050"/>
      <c r="H87" s="3046" t="str">
        <f>IF(D87="operation",VLOOKUP(G87,'Generic Vertical Port Tasks'!$C$6:$D$558,2,FALSE),"N/A")</f>
        <v>N/A</v>
      </c>
      <c r="I87" s="3049" t="s">
        <v>798</v>
      </c>
      <c r="J87" s="3049" t="s">
        <v>799</v>
      </c>
      <c r="K87" s="3049" t="s">
        <v>858</v>
      </c>
      <c r="L87" s="3047">
        <f>IFERROR(INDEX('Upper Hot Cell Logistics'!$I$35:$O$41,MATCH($J87,'Upper Hot Cell Logistics'!$H$35:$H$41,0),MATCH($K87,'Upper Hot Cell Logistics'!$H$35:$H$41,0)),"N/A")</f>
        <v>20</v>
      </c>
      <c r="M87" s="3047">
        <f>IFERROR(VLOOKUP($I87,'Upper Hot Cell Logistics'!$H$4:$I$9,2,FALSE),"N/A")</f>
        <v>0.2</v>
      </c>
      <c r="N87" s="3059">
        <f t="shared" si="2"/>
        <v>2.7777777777777776E-2</v>
      </c>
      <c r="O87" s="3051"/>
      <c r="P87" s="3046" t="str">
        <f>IF($D87="Logistics",VLOOKUP($O87,'Upper Hot Cell Logistics'!$C$4:$D$44,2,FALSE),"N/A")</f>
        <v>N/A</v>
      </c>
    </row>
    <row r="88" spans="1:17" outlineLevel="1" x14ac:dyDescent="0.4">
      <c r="A88" s="3041"/>
      <c r="B88" s="4062"/>
      <c r="C88" s="3049" t="s">
        <v>975</v>
      </c>
      <c r="D88" s="3049" t="s">
        <v>3</v>
      </c>
      <c r="E88" s="3047">
        <f t="shared" si="3"/>
        <v>0.78</v>
      </c>
      <c r="F88" s="3046">
        <f>IF($D88="Trigger",VLOOKUP($C88,'Upper Hot Cell Welding failures'!$E$30:$I$123,5,FALSE),E88+F87)</f>
        <v>108.84611111111106</v>
      </c>
      <c r="G88" s="3050"/>
      <c r="H88" s="3046" t="str">
        <f>IF(D88="operation",VLOOKUP(G88,'Generic Vertical Port Tasks'!$C$6:$D$558,2,FALSE),"N/A")</f>
        <v>N/A</v>
      </c>
      <c r="I88" s="3049"/>
      <c r="J88" s="3049"/>
      <c r="K88" s="3049"/>
      <c r="L88" s="3047" t="str">
        <f>IFERROR(INDEX('Upper Hot Cell Logistics'!$I$35:$O$41,MATCH($J88,'Upper Hot Cell Logistics'!$H$35:$H$41,0),MATCH($K88,'Upper Hot Cell Logistics'!$H$35:$H$41,0)),"N/A")</f>
        <v>N/A</v>
      </c>
      <c r="M88" s="3047" t="str">
        <f>IFERROR(VLOOKUP($I88,'Upper Hot Cell Logistics'!$H$4:$I$9,2,FALSE),"N/A")</f>
        <v>N/A</v>
      </c>
      <c r="N88" s="3059" t="str">
        <f t="shared" si="2"/>
        <v>N/A</v>
      </c>
      <c r="O88" s="3051" t="s">
        <v>1175</v>
      </c>
      <c r="P88" s="3046">
        <f>IF($D88="Logistics",VLOOKUP($O88,'Upper Hot Cell Logistics'!$C$4:$D$44,2,FALSE),"N/A")</f>
        <v>0.78</v>
      </c>
    </row>
    <row r="89" spans="1:17" ht="26.15" outlineLevel="1" thickBot="1" x14ac:dyDescent="0.45">
      <c r="A89" s="3041"/>
      <c r="B89" s="4063"/>
      <c r="C89" s="3053" t="str">
        <f>B82</f>
        <v>Blanket Transporter stored &amp; Pipe Module interface hardware Collected &amp; RIB Pipe Module Exported</v>
      </c>
      <c r="D89" s="3053" t="s">
        <v>11</v>
      </c>
      <c r="E89" s="3054">
        <f t="shared" si="3"/>
        <v>0</v>
      </c>
      <c r="F89" s="3055">
        <f>IF($D89="Trigger",VLOOKUP($C89,'Upper Hot Cell Welding failures'!$E$30:$I$123,5,FALSE),E89+F88)</f>
        <v>108.84611111111106</v>
      </c>
      <c r="G89" s="3056"/>
      <c r="H89" s="3055" t="str">
        <f>IF(D89="operation",VLOOKUP(G89,'Generic Vertical Port Tasks'!$C$6:$D$558,2,FALSE),"N/A")</f>
        <v>N/A</v>
      </c>
      <c r="I89" s="3053"/>
      <c r="J89" s="3053"/>
      <c r="K89" s="3053"/>
      <c r="L89" s="3054" t="str">
        <f>IFERROR(INDEX('Upper Hot Cell Logistics'!$I$35:$O$41,MATCH($J89,'Upper Hot Cell Logistics'!$H$35:$H$41,0),MATCH($K89,'Upper Hot Cell Logistics'!$H$35:$H$41,0)),"N/A")</f>
        <v>N/A</v>
      </c>
      <c r="M89" s="3054" t="str">
        <f>IFERROR(VLOOKUP($I89,'Upper Hot Cell Logistics'!$H$4:$I$9,2,FALSE),"N/A")</f>
        <v>N/A</v>
      </c>
      <c r="N89" s="3060" t="str">
        <f t="shared" si="2"/>
        <v>N/A</v>
      </c>
      <c r="O89" s="3057"/>
      <c r="P89" s="3055" t="str">
        <f>IF($D89="Logistics",VLOOKUP($O89,'Upper Hot Cell Logistics'!$C$4:$D$44,2,FALSE),"N/A")</f>
        <v>N/A</v>
      </c>
    </row>
    <row r="90" spans="1:17" ht="12.75" customHeight="1" outlineLevel="1" x14ac:dyDescent="0.4">
      <c r="A90" s="3041"/>
      <c r="B90" s="4054" t="s">
        <v>1176</v>
      </c>
      <c r="C90" s="3042" t="str">
        <f>'Upper Hot Cell Welding failures'!E93</f>
        <v>Install COB Blanket Segment</v>
      </c>
      <c r="D90" s="3042" t="s">
        <v>907</v>
      </c>
      <c r="E90" s="3043">
        <f t="shared" si="3"/>
        <v>0</v>
      </c>
      <c r="F90" s="3044">
        <f>IF($D90="Trigger",VLOOKUP($C90,'Upper Hot Cell Welding failures'!$E$30:$I$123,5,FALSE),E90+F89)</f>
        <v>111.87944444444439</v>
      </c>
      <c r="G90" s="3045"/>
      <c r="H90" s="3044" t="str">
        <f>IF(D90="operation",VLOOKUP(G90,'Generic Vertical Port Tasks'!$C$6:$D$558,2,FALSE),"N/A")</f>
        <v>N/A</v>
      </c>
      <c r="I90" s="3042"/>
      <c r="J90" s="3042"/>
      <c r="K90" s="3042"/>
      <c r="L90" s="3043" t="str">
        <f>IFERROR(INDEX('Upper Hot Cell Logistics'!$I$35:$O$41,MATCH($J90,'Upper Hot Cell Logistics'!$H$35:$H$41,0),MATCH($K90,'Upper Hot Cell Logistics'!$H$35:$H$41,0)),"N/A")</f>
        <v>N/A</v>
      </c>
      <c r="M90" s="3043" t="str">
        <f>IFERROR(VLOOKUP($I90,'Upper Hot Cell Logistics'!$H$4:$I$9,2,FALSE),"N/A")</f>
        <v>N/A</v>
      </c>
      <c r="N90" s="3061" t="str">
        <f t="shared" si="2"/>
        <v>N/A</v>
      </c>
      <c r="O90" s="3048"/>
      <c r="P90" s="3044" t="str">
        <f>IF($D90="Logistics",VLOOKUP($O90,'Upper Hot Cell Logistics'!$C$4:$D$44,2,FALSE),"N/A")</f>
        <v>N/A</v>
      </c>
    </row>
    <row r="91" spans="1:17" outlineLevel="1" x14ac:dyDescent="0.4">
      <c r="A91" s="3041"/>
      <c r="B91" s="4055"/>
      <c r="C91" s="3049" t="s">
        <v>1177</v>
      </c>
      <c r="D91" s="3049" t="s">
        <v>778</v>
      </c>
      <c r="E91" s="3047">
        <f t="shared" si="3"/>
        <v>0.69444444444444442</v>
      </c>
      <c r="F91" s="3046">
        <f>IF($D91="Trigger",VLOOKUP($C91,'Upper Hot Cell Welding failures'!$E$30:$I$123,5,FALSE),E91+F90)</f>
        <v>112.57388888888883</v>
      </c>
      <c r="G91" s="3050"/>
      <c r="H91" s="3046" t="str">
        <f>IF(D91="operation",VLOOKUP(G91,'Generic Vertical Port Tasks'!$C$6:$D$558,2,FALSE),"N/A")</f>
        <v>N/A</v>
      </c>
      <c r="I91" s="3049" t="s">
        <v>857</v>
      </c>
      <c r="J91" s="3049" t="s">
        <v>452</v>
      </c>
      <c r="K91" s="3049" t="s">
        <v>914</v>
      </c>
      <c r="L91" s="3047">
        <f>IFERROR(INDEX('Upper Hot Cell Logistics'!$I$35:$O$41,MATCH($J91,'Upper Hot Cell Logistics'!$H$35:$H$41,0),MATCH($K91,'Upper Hot Cell Logistics'!$H$35:$H$41,0)),"N/A")</f>
        <v>50</v>
      </c>
      <c r="M91" s="3047">
        <f>IFERROR(VLOOKUP($I91,'Upper Hot Cell Logistics'!$H$4:$I$9,2,FALSE),"N/A")</f>
        <v>0.02</v>
      </c>
      <c r="N91" s="3059">
        <f t="shared" si="2"/>
        <v>0.69444444444444442</v>
      </c>
      <c r="O91" s="3051"/>
      <c r="P91" s="3046" t="str">
        <f>IF($D91="Logistics",VLOOKUP($O91,'Upper Hot Cell Logistics'!$C$4:$D$44,2,FALSE),"N/A")</f>
        <v>N/A</v>
      </c>
    </row>
    <row r="92" spans="1:17" outlineLevel="1" x14ac:dyDescent="0.4">
      <c r="A92" s="3041"/>
      <c r="B92" s="4055"/>
      <c r="C92" s="3049" t="s">
        <v>973</v>
      </c>
      <c r="D92" s="3049" t="s">
        <v>3</v>
      </c>
      <c r="E92" s="3047">
        <f t="shared" si="3"/>
        <v>0.68</v>
      </c>
      <c r="F92" s="3046">
        <f>IF($D92="Trigger",VLOOKUP($C92,'Upper Hot Cell Welding failures'!$E$30:$I$123,5,FALSE),E92+F91)</f>
        <v>113.25388888888884</v>
      </c>
      <c r="G92" s="3050"/>
      <c r="H92" s="3046" t="str">
        <f>IF(D92="operation",VLOOKUP(G92,'Generic Vertical Port Tasks'!$C$6:$D$558,2,FALSE),"N/A")</f>
        <v>N/A</v>
      </c>
      <c r="I92" s="3049"/>
      <c r="J92" s="3049"/>
      <c r="K92" s="3049"/>
      <c r="L92" s="3047" t="str">
        <f>IFERROR(INDEX('Upper Hot Cell Logistics'!$I$35:$O$41,MATCH($J92,'Upper Hot Cell Logistics'!$H$35:$H$41,0),MATCH($K92,'Upper Hot Cell Logistics'!$H$35:$H$41,0)),"N/A")</f>
        <v>N/A</v>
      </c>
      <c r="M92" s="3047" t="str">
        <f>IFERROR(VLOOKUP($I92,'Upper Hot Cell Logistics'!$H$4:$I$9,2,FALSE),"N/A")</f>
        <v>N/A</v>
      </c>
      <c r="N92" s="3059" t="str">
        <f t="shared" si="2"/>
        <v>N/A</v>
      </c>
      <c r="O92" s="3051" t="s">
        <v>916</v>
      </c>
      <c r="P92" s="3046">
        <f>IF($D92="Logistics",VLOOKUP($O92,'Upper Hot Cell Logistics'!$C$4:$D$44,2,FALSE),"N/A")</f>
        <v>0.68</v>
      </c>
    </row>
    <row r="93" spans="1:17" outlineLevel="1" x14ac:dyDescent="0.4">
      <c r="A93" s="3041"/>
      <c r="B93" s="4055"/>
      <c r="C93" s="3049" t="s">
        <v>1178</v>
      </c>
      <c r="D93" s="3049" t="s">
        <v>778</v>
      </c>
      <c r="E93" s="3047">
        <f t="shared" si="3"/>
        <v>1.3888888888888888E-2</v>
      </c>
      <c r="F93" s="3046">
        <f>IF($D93="Trigger",VLOOKUP($C93,'Upper Hot Cell Welding failures'!$E$30:$I$123,5,FALSE),E93+F92)</f>
        <v>113.26777777777772</v>
      </c>
      <c r="G93" s="3050"/>
      <c r="H93" s="3046" t="str">
        <f>IF(D93="operation",VLOOKUP(G93,'Generic Vertical Port Tasks'!$C$6:$D$558,2,FALSE),"N/A")</f>
        <v>N/A</v>
      </c>
      <c r="I93" s="3049" t="s">
        <v>798</v>
      </c>
      <c r="J93" s="3049" t="s">
        <v>831</v>
      </c>
      <c r="K93" s="3049" t="s">
        <v>858</v>
      </c>
      <c r="L93" s="3047">
        <f>IFERROR(INDEX('Upper Hot Cell Logistics'!$I$35:$O$41,MATCH($J93,'Upper Hot Cell Logistics'!$H$35:$H$41,0),MATCH($K93,'Upper Hot Cell Logistics'!$H$35:$H$41,0)),"N/A")</f>
        <v>10</v>
      </c>
      <c r="M93" s="3047">
        <f>IFERROR(VLOOKUP($I93,'Upper Hot Cell Logistics'!$H$4:$I$9,2,FALSE),"N/A")</f>
        <v>0.2</v>
      </c>
      <c r="N93" s="3059">
        <f t="shared" si="2"/>
        <v>1.3888888888888888E-2</v>
      </c>
      <c r="O93" s="3051"/>
      <c r="P93" s="3046" t="str">
        <f>IF($D93="Logistics",VLOOKUP($O93,'Upper Hot Cell Logistics'!$C$4:$D$44,2,FALSE),"N/A")</f>
        <v>N/A</v>
      </c>
    </row>
    <row r="94" spans="1:17" outlineLevel="1" x14ac:dyDescent="0.4">
      <c r="A94" s="3041"/>
      <c r="B94" s="4055"/>
      <c r="C94" s="3049" t="s">
        <v>933</v>
      </c>
      <c r="D94" s="3049" t="s">
        <v>3</v>
      </c>
      <c r="E94" s="3047">
        <f t="shared" si="3"/>
        <v>1.08</v>
      </c>
      <c r="F94" s="3046">
        <f>IF($D94="Trigger",VLOOKUP($C94,'Upper Hot Cell Welding failures'!$E$30:$I$123,5,FALSE),E94+F93)</f>
        <v>114.34777777777772</v>
      </c>
      <c r="G94" s="3050"/>
      <c r="H94" s="3046" t="str">
        <f>IF(D94="operation",VLOOKUP(G94,'Generic Vertical Port Tasks'!$C$6:$D$558,2,FALSE),"N/A")</f>
        <v>N/A</v>
      </c>
      <c r="I94" s="3049"/>
      <c r="J94" s="3049"/>
      <c r="K94" s="3049"/>
      <c r="L94" s="3047" t="str">
        <f>IFERROR(INDEX('Upper Hot Cell Logistics'!$I$35:$O$41,MATCH($J94,'Upper Hot Cell Logistics'!$H$35:$H$41,0),MATCH($K94,'Upper Hot Cell Logistics'!$H$35:$H$41,0)),"N/A")</f>
        <v>N/A</v>
      </c>
      <c r="M94" s="3047" t="str">
        <f>IFERROR(VLOOKUP($I94,'Upper Hot Cell Logistics'!$H$4:$I$9,2,FALSE),"N/A")</f>
        <v>N/A</v>
      </c>
      <c r="N94" s="3059" t="str">
        <f t="shared" si="2"/>
        <v>N/A</v>
      </c>
      <c r="O94" s="3051" t="s">
        <v>1179</v>
      </c>
      <c r="P94" s="3046">
        <f>IF($D94="Logistics",VLOOKUP($O94,'Upper Hot Cell Logistics'!$C$4:$D$44,2,FALSE),"N/A")</f>
        <v>1.08</v>
      </c>
    </row>
    <row r="95" spans="1:17" ht="13.3" outlineLevel="1" thickBot="1" x14ac:dyDescent="0.45">
      <c r="A95" s="3041"/>
      <c r="B95" s="4057"/>
      <c r="C95" s="3053" t="str">
        <f>B90</f>
        <v>Blanket Tranporter stored &amp; Service Joint System Collected</v>
      </c>
      <c r="D95" s="3053" t="s">
        <v>11</v>
      </c>
      <c r="E95" s="3054">
        <f t="shared" si="3"/>
        <v>0</v>
      </c>
      <c r="F95" s="3046">
        <f>IF($D95="Trigger",VLOOKUP($C95,'Upper Hot Cell Welding failures'!$E$30:$I$123,5,FALSE),E95+F94)</f>
        <v>114.34777777777772</v>
      </c>
      <c r="G95" s="3056"/>
      <c r="H95" s="3055" t="str">
        <f>IF(D95="operation",VLOOKUP(G95,'Generic Vertical Port Tasks'!$C$6:$D$558,2,FALSE),"N/A")</f>
        <v>N/A</v>
      </c>
      <c r="I95" s="3053"/>
      <c r="J95" s="3053"/>
      <c r="K95" s="3053"/>
      <c r="L95" s="3054" t="str">
        <f>IFERROR(INDEX('Upper Hot Cell Logistics'!$I$35:$O$41,MATCH($J95,'Upper Hot Cell Logistics'!$H$35:$H$41,0),MATCH($K95,'Upper Hot Cell Logistics'!$H$35:$H$41,0)),"N/A")</f>
        <v>N/A</v>
      </c>
      <c r="M95" s="3054" t="str">
        <f>IFERROR(VLOOKUP($I95,'Upper Hot Cell Logistics'!$H$4:$I$9,2,FALSE),"N/A")</f>
        <v>N/A</v>
      </c>
      <c r="N95" s="3060" t="str">
        <f t="shared" si="2"/>
        <v>N/A</v>
      </c>
      <c r="O95" s="3057"/>
      <c r="P95" s="3055" t="str">
        <f>IF($D95="Logistics",VLOOKUP($O95,'Upper Hot Cell Logistics'!$C$4:$D$44,2,FALSE),"N/A")</f>
        <v>N/A</v>
      </c>
    </row>
    <row r="96" spans="1:17" ht="12.75" customHeight="1" outlineLevel="1" x14ac:dyDescent="0.4">
      <c r="A96" s="3041"/>
      <c r="B96" s="4054" t="s">
        <v>874</v>
      </c>
      <c r="C96" s="3042" t="str">
        <f>'Upper Hot Cell Welding failures'!E95</f>
        <v>Insert RIB Pipe Module</v>
      </c>
      <c r="D96" s="3042" t="s">
        <v>907</v>
      </c>
      <c r="E96" s="3043">
        <f t="shared" si="3"/>
        <v>0</v>
      </c>
      <c r="F96" s="3044">
        <f>IF($D96="Trigger",VLOOKUP($C96,'Upper Hot Cell Welding failures'!$E$30:$I$123,5,FALSE),E96+F95)</f>
        <v>116.66888888888883</v>
      </c>
      <c r="G96" s="3045"/>
      <c r="H96" s="3044" t="str">
        <f>IF(D96="operation",VLOOKUP(G96,'Generic Vertical Port Tasks'!$C$6:$D$558,2,FALSE),"N/A")</f>
        <v>N/A</v>
      </c>
      <c r="I96" s="3042"/>
      <c r="J96" s="3042"/>
      <c r="K96" s="3042"/>
      <c r="L96" s="3043" t="str">
        <f>IFERROR(INDEX('Upper Hot Cell Logistics'!$I$35:$O$41,MATCH($J96,'Upper Hot Cell Logistics'!$H$35:$H$41,0),MATCH($K96,'Upper Hot Cell Logistics'!$H$35:$H$41,0)),"N/A")</f>
        <v>N/A</v>
      </c>
      <c r="M96" s="3043" t="str">
        <f>IFERROR(VLOOKUP($I96,'Upper Hot Cell Logistics'!$H$4:$I$9,2,FALSE),"N/A")</f>
        <v>N/A</v>
      </c>
      <c r="N96" s="3061" t="str">
        <f t="shared" si="2"/>
        <v>N/A</v>
      </c>
      <c r="O96" s="3048"/>
      <c r="P96" s="3044" t="str">
        <f>IF($D96="Logistics",VLOOKUP($O96,'Upper Hot Cell Logistics'!$C$4:$D$44,2,FALSE),"N/A")</f>
        <v>N/A</v>
      </c>
    </row>
    <row r="97" spans="1:16" outlineLevel="1" x14ac:dyDescent="0.4">
      <c r="A97" s="3041"/>
      <c r="B97" s="4055"/>
      <c r="C97" s="3049" t="s">
        <v>1180</v>
      </c>
      <c r="D97" s="3049" t="s">
        <v>778</v>
      </c>
      <c r="E97" s="3047">
        <f t="shared" si="3"/>
        <v>6.9444444444444448E-2</v>
      </c>
      <c r="F97" s="3046">
        <f>IF($D97="Trigger",VLOOKUP($C97,'Upper Hot Cell Welding failures'!$E$30:$I$123,5,FALSE),E97+F96)</f>
        <v>116.73833333333327</v>
      </c>
      <c r="G97" s="3050"/>
      <c r="H97" s="3046" t="str">
        <f>IF(D97="operation",VLOOKUP(G97,'Generic Vertical Port Tasks'!$C$6:$D$558,2,FALSE),"N/A")</f>
        <v>N/A</v>
      </c>
      <c r="I97" s="3049" t="s">
        <v>798</v>
      </c>
      <c r="J97" s="3049" t="s">
        <v>452</v>
      </c>
      <c r="K97" s="3049" t="s">
        <v>858</v>
      </c>
      <c r="L97" s="3047">
        <f>IFERROR(INDEX('Upper Hot Cell Logistics'!$I$35:$O$41,MATCH($J97,'Upper Hot Cell Logistics'!$H$35:$H$41,0),MATCH($K97,'Upper Hot Cell Logistics'!$H$35:$H$41,0)),"N/A")</f>
        <v>50</v>
      </c>
      <c r="M97" s="3047">
        <f>IFERROR(VLOOKUP($I97,'Upper Hot Cell Logistics'!$H$4:$I$9,2,FALSE),"N/A")</f>
        <v>0.2</v>
      </c>
      <c r="N97" s="3059">
        <f t="shared" si="2"/>
        <v>6.9444444444444448E-2</v>
      </c>
      <c r="O97" s="3051"/>
      <c r="P97" s="3046" t="str">
        <f>IF($D97="Logistics",VLOOKUP($O97,'Upper Hot Cell Logistics'!$C$4:$D$44,2,FALSE),"N/A")</f>
        <v>N/A</v>
      </c>
    </row>
    <row r="98" spans="1:16" outlineLevel="1" x14ac:dyDescent="0.4">
      <c r="A98" s="3041"/>
      <c r="B98" s="4055"/>
      <c r="C98" s="3049" t="s">
        <v>978</v>
      </c>
      <c r="D98" s="3049" t="s">
        <v>3</v>
      </c>
      <c r="E98" s="3047">
        <f t="shared" si="3"/>
        <v>0.78</v>
      </c>
      <c r="F98" s="3046">
        <f>IF($D98="Trigger",VLOOKUP($C98,'Upper Hot Cell Welding failures'!$E$30:$I$123,5,FALSE),E98+F97)</f>
        <v>117.51833333333327</v>
      </c>
      <c r="G98" s="3050"/>
      <c r="H98" s="3046" t="str">
        <f>IF(D98="operation",VLOOKUP(G98,'Generic Vertical Port Tasks'!$C$6:$D$558,2,FALSE),"N/A")</f>
        <v>N/A</v>
      </c>
      <c r="I98" s="3049"/>
      <c r="J98" s="3049"/>
      <c r="K98" s="3049"/>
      <c r="L98" s="3047" t="str">
        <f>IFERROR(INDEX('Upper Hot Cell Logistics'!$I$35:$O$41,MATCH($J98,'Upper Hot Cell Logistics'!$H$35:$H$41,0),MATCH($K98,'Upper Hot Cell Logistics'!$H$35:$H$41,0)),"N/A")</f>
        <v>N/A</v>
      </c>
      <c r="M98" s="3047" t="str">
        <f>IFERROR(VLOOKUP($I98,'Upper Hot Cell Logistics'!$H$4:$I$9,2,FALSE),"N/A")</f>
        <v>N/A</v>
      </c>
      <c r="N98" s="3059" t="str">
        <f t="shared" si="2"/>
        <v>N/A</v>
      </c>
      <c r="O98" s="3051" t="s">
        <v>1175</v>
      </c>
      <c r="P98" s="3046">
        <f>IF($D98="Logistics",VLOOKUP($O98,'Upper Hot Cell Logistics'!$C$4:$D$44,2,FALSE),"N/A")</f>
        <v>0.78</v>
      </c>
    </row>
    <row r="99" spans="1:16" ht="13.3" outlineLevel="1" thickBot="1" x14ac:dyDescent="0.45">
      <c r="A99" s="3041"/>
      <c r="B99" s="4057"/>
      <c r="C99" s="3053" t="str">
        <f>B96</f>
        <v>LIB Pipe Module Exported</v>
      </c>
      <c r="D99" s="3053" t="s">
        <v>11</v>
      </c>
      <c r="E99" s="3054">
        <f t="shared" si="3"/>
        <v>0</v>
      </c>
      <c r="F99" s="3055">
        <f>IF($D99="Trigger",VLOOKUP($C99,'Upper Hot Cell Welding failures'!$E$30:$I$123,5,FALSE),E99+F98)</f>
        <v>117.51833333333327</v>
      </c>
      <c r="G99" s="3056"/>
      <c r="H99" s="3055" t="str">
        <f>IF(D99="operation",VLOOKUP(G99,'Generic Vertical Port Tasks'!$C$6:$D$558,2,FALSE),"N/A")</f>
        <v>N/A</v>
      </c>
      <c r="I99" s="3053"/>
      <c r="J99" s="3053"/>
      <c r="K99" s="3053"/>
      <c r="L99" s="3054" t="str">
        <f>IFERROR(INDEX('Upper Hot Cell Logistics'!$I$35:$O$41,MATCH($J99,'Upper Hot Cell Logistics'!$H$35:$H$41,0),MATCH($K99,'Upper Hot Cell Logistics'!$H$35:$H$41,0)),"N/A")</f>
        <v>N/A</v>
      </c>
      <c r="M99" s="3054" t="str">
        <f>IFERROR(VLOOKUP($I99,'Upper Hot Cell Logistics'!$H$4:$I$9,2,FALSE),"N/A")</f>
        <v>N/A</v>
      </c>
      <c r="N99" s="3060" t="str">
        <f t="shared" si="2"/>
        <v>N/A</v>
      </c>
      <c r="O99" s="3057"/>
      <c r="P99" s="3055" t="str">
        <f>IF($D99="Logistics",VLOOKUP($O99,'Upper Hot Cell Logistics'!$C$4:$D$44,2,FALSE),"N/A")</f>
        <v>N/A</v>
      </c>
    </row>
    <row r="100" spans="1:16" outlineLevel="1" x14ac:dyDescent="0.4">
      <c r="A100" s="3041"/>
      <c r="B100" s="4054" t="s">
        <v>879</v>
      </c>
      <c r="C100" s="3042" t="str">
        <f>'Upper Hot Cell Welding failures'!E101</f>
        <v>Insert LIB Pipe Module</v>
      </c>
      <c r="D100" s="3042" t="s">
        <v>907</v>
      </c>
      <c r="E100" s="3043">
        <f t="shared" si="3"/>
        <v>0</v>
      </c>
      <c r="F100" s="3044">
        <f>IF($D100="Trigger",VLOOKUP($C100,'Upper Hot Cell Welding failures'!$E$30:$I$123,5,FALSE),E100+F99)</f>
        <v>168.51503249723754</v>
      </c>
      <c r="G100" s="3045"/>
      <c r="H100" s="3044" t="str">
        <f>IF(D100="operation",VLOOKUP(G100,'Generic Vertical Port Tasks'!$C$6:$D$558,2,FALSE),"N/A")</f>
        <v>N/A</v>
      </c>
      <c r="I100" s="3042"/>
      <c r="J100" s="3042"/>
      <c r="K100" s="3042"/>
      <c r="L100" s="3043" t="str">
        <f>IFERROR(INDEX('Upper Hot Cell Logistics'!$I$35:$O$41,MATCH($J100,'Upper Hot Cell Logistics'!$H$35:$H$41,0),MATCH($K100,'Upper Hot Cell Logistics'!$H$35:$H$41,0)),"N/A")</f>
        <v>N/A</v>
      </c>
      <c r="M100" s="3043" t="str">
        <f>IFERROR(VLOOKUP($I100,'Upper Hot Cell Logistics'!$H$4:$I$9,2,FALSE),"N/A")</f>
        <v>N/A</v>
      </c>
      <c r="N100" s="3061" t="str">
        <f t="shared" si="2"/>
        <v>N/A</v>
      </c>
      <c r="O100" s="3048"/>
      <c r="P100" s="3044" t="str">
        <f>IF($D100="Logistics",VLOOKUP($O100,'Upper Hot Cell Logistics'!$C$4:$D$44,2,FALSE),"N/A")</f>
        <v>N/A</v>
      </c>
    </row>
    <row r="101" spans="1:16" outlineLevel="1" x14ac:dyDescent="0.4">
      <c r="A101" s="3041"/>
      <c r="B101" s="4055"/>
      <c r="C101" s="3049" t="s">
        <v>1180</v>
      </c>
      <c r="D101" s="3049" t="s">
        <v>778</v>
      </c>
      <c r="E101" s="3047">
        <f t="shared" si="3"/>
        <v>6.9444444444444448E-2</v>
      </c>
      <c r="F101" s="3046">
        <f>IF($D101="Trigger",VLOOKUP($C101,'Upper Hot Cell Welding failures'!$E$30:$I$123,5,FALSE),E101+F100)</f>
        <v>168.584476941682</v>
      </c>
      <c r="G101" s="3050"/>
      <c r="H101" s="3046" t="str">
        <f>IF(D101="operation",VLOOKUP(G101,'Generic Vertical Port Tasks'!$C$6:$D$558,2,FALSE),"N/A")</f>
        <v>N/A</v>
      </c>
      <c r="I101" s="3049" t="s">
        <v>798</v>
      </c>
      <c r="J101" s="3049" t="s">
        <v>452</v>
      </c>
      <c r="K101" s="3049" t="s">
        <v>858</v>
      </c>
      <c r="L101" s="3047">
        <f>IFERROR(INDEX('Upper Hot Cell Logistics'!$I$35:$O$41,MATCH($J101,'Upper Hot Cell Logistics'!$H$35:$H$41,0),MATCH($K101,'Upper Hot Cell Logistics'!$H$35:$H$41,0)),"N/A")</f>
        <v>50</v>
      </c>
      <c r="M101" s="3047">
        <f>IFERROR(VLOOKUP($I101,'Upper Hot Cell Logistics'!$H$4:$I$9,2,FALSE),"N/A")</f>
        <v>0.2</v>
      </c>
      <c r="N101" s="3059">
        <f t="shared" si="2"/>
        <v>6.9444444444444448E-2</v>
      </c>
      <c r="O101" s="3051"/>
      <c r="P101" s="3046" t="str">
        <f>IF($D101="Logistics",VLOOKUP($O101,'Upper Hot Cell Logistics'!$C$4:$D$44,2,FALSE),"N/A")</f>
        <v>N/A</v>
      </c>
    </row>
    <row r="102" spans="1:16" outlineLevel="1" x14ac:dyDescent="0.4">
      <c r="A102" s="3041"/>
      <c r="B102" s="4055"/>
      <c r="C102" s="3049" t="s">
        <v>940</v>
      </c>
      <c r="D102" s="3049" t="s">
        <v>3</v>
      </c>
      <c r="E102" s="3047">
        <f t="shared" si="3"/>
        <v>0.58000000000000007</v>
      </c>
      <c r="F102" s="3046">
        <f>IF($D102="Trigger",VLOOKUP($C102,'Upper Hot Cell Welding failures'!$E$30:$I$123,5,FALSE),E102+F101)</f>
        <v>169.16447694168201</v>
      </c>
      <c r="G102" s="3050"/>
      <c r="H102" s="3046" t="str">
        <f>IF(D102="operation",VLOOKUP(G102,'Generic Vertical Port Tasks'!$C$6:$D$558,2,FALSE),"N/A")</f>
        <v>N/A</v>
      </c>
      <c r="I102" s="3049"/>
      <c r="J102" s="3049"/>
      <c r="K102" s="3049"/>
      <c r="L102" s="3047" t="str">
        <f>IFERROR(INDEX('Upper Hot Cell Logistics'!$I$35:$O$41,MATCH($J102,'Upper Hot Cell Logistics'!$H$35:$H$41,0),MATCH($K102,'Upper Hot Cell Logistics'!$H$35:$H$41,0)),"N/A")</f>
        <v>N/A</v>
      </c>
      <c r="M102" s="3047" t="str">
        <f>IFERROR(VLOOKUP($I102,'Upper Hot Cell Logistics'!$H$4:$I$9,2,FALSE),"N/A")</f>
        <v>N/A</v>
      </c>
      <c r="N102" s="3059" t="str">
        <f t="shared" si="2"/>
        <v>N/A</v>
      </c>
      <c r="O102" s="3051" t="s">
        <v>904</v>
      </c>
      <c r="P102" s="3046">
        <f>IF($D102="Logistics",VLOOKUP($O102,'Upper Hot Cell Logistics'!$C$4:$D$44,2,FALSE),"N/A")</f>
        <v>0.58000000000000007</v>
      </c>
    </row>
    <row r="103" spans="1:16" ht="13.3" outlineLevel="1" thickBot="1" x14ac:dyDescent="0.45">
      <c r="A103" s="3041"/>
      <c r="B103" s="4057"/>
      <c r="C103" s="3053" t="str">
        <f>B100</f>
        <v>ROB Pipe Module Exported</v>
      </c>
      <c r="D103" s="3053" t="s">
        <v>11</v>
      </c>
      <c r="E103" s="3054">
        <f t="shared" si="3"/>
        <v>0</v>
      </c>
      <c r="F103" s="3055">
        <f>IF($D103="Trigger",VLOOKUP($C103,'Upper Hot Cell Welding failures'!$E$30:$I$123,5,FALSE),E103+F102)</f>
        <v>169.16447694168201</v>
      </c>
      <c r="G103" s="3056"/>
      <c r="H103" s="3055" t="str">
        <f>IF(D103="operation",VLOOKUP(G103,'Generic Vertical Port Tasks'!$C$6:$D$558,2,FALSE),"N/A")</f>
        <v>N/A</v>
      </c>
      <c r="I103" s="3053"/>
      <c r="J103" s="3053"/>
      <c r="K103" s="3053"/>
      <c r="L103" s="3054" t="str">
        <f>IFERROR(INDEX('Upper Hot Cell Logistics'!$I$35:$O$41,MATCH($J103,'Upper Hot Cell Logistics'!$H$35:$H$41,0),MATCH($K103,'Upper Hot Cell Logistics'!$H$35:$H$41,0)),"N/A")</f>
        <v>N/A</v>
      </c>
      <c r="M103" s="3054" t="str">
        <f>IFERROR(VLOOKUP($I103,'Upper Hot Cell Logistics'!$H$4:$I$9,2,FALSE),"N/A")</f>
        <v>N/A</v>
      </c>
      <c r="N103" s="3060" t="str">
        <f t="shared" si="2"/>
        <v>N/A</v>
      </c>
      <c r="O103" s="3057"/>
      <c r="P103" s="3055" t="str">
        <f>IF($D103="Logistics",VLOOKUP($O103,'Upper Hot Cell Logistics'!$C$4:$D$44,2,FALSE),"N/A")</f>
        <v>N/A</v>
      </c>
    </row>
    <row r="104" spans="1:16" ht="12.75" customHeight="1" outlineLevel="1" x14ac:dyDescent="0.4">
      <c r="A104" s="3041"/>
      <c r="B104" s="4054" t="s">
        <v>884</v>
      </c>
      <c r="C104" s="3042" t="str">
        <f>'Upper Hot Cell Welding failures'!E107</f>
        <v>Insert ROB Pipe Module</v>
      </c>
      <c r="D104" s="3042" t="s">
        <v>907</v>
      </c>
      <c r="E104" s="3043">
        <f t="shared" si="3"/>
        <v>0</v>
      </c>
      <c r="F104" s="3044">
        <f>IF($D104="Trigger",VLOOKUP($C104,'Upper Hot Cell Welding failures'!$E$30:$I$123,5,FALSE),E104+F103)</f>
        <v>240.47332060466661</v>
      </c>
      <c r="G104" s="3045"/>
      <c r="H104" s="3044" t="str">
        <f>IF(D104="operation",VLOOKUP(G104,'Generic Vertical Port Tasks'!$C$6:$D$558,2,FALSE),"N/A")</f>
        <v>N/A</v>
      </c>
      <c r="I104" s="3042"/>
      <c r="J104" s="3042"/>
      <c r="K104" s="3042"/>
      <c r="L104" s="3043" t="str">
        <f>IFERROR(INDEX('Upper Hot Cell Logistics'!$I$35:$O$41,MATCH($J104,'Upper Hot Cell Logistics'!$H$35:$H$41,0),MATCH($K104,'Upper Hot Cell Logistics'!$H$35:$H$41,0)),"N/A")</f>
        <v>N/A</v>
      </c>
      <c r="M104" s="3043" t="str">
        <f>IFERROR(VLOOKUP($I104,'Upper Hot Cell Logistics'!$H$4:$I$9,2,FALSE),"N/A")</f>
        <v>N/A</v>
      </c>
      <c r="N104" s="3061" t="str">
        <f t="shared" si="2"/>
        <v>N/A</v>
      </c>
      <c r="O104" s="3048"/>
      <c r="P104" s="3044" t="str">
        <f>IF($D104="Logistics",VLOOKUP($O104,'Upper Hot Cell Logistics'!$C$4:$D$44,2,FALSE),"N/A")</f>
        <v>N/A</v>
      </c>
    </row>
    <row r="105" spans="1:16" outlineLevel="1" x14ac:dyDescent="0.4">
      <c r="A105" s="3041"/>
      <c r="B105" s="4055"/>
      <c r="C105" s="3049" t="s">
        <v>1180</v>
      </c>
      <c r="D105" s="3049" t="s">
        <v>778</v>
      </c>
      <c r="E105" s="3047">
        <f t="shared" si="3"/>
        <v>6.9444444444444448E-2</v>
      </c>
      <c r="F105" s="3046">
        <f>IF($D105="Trigger",VLOOKUP($C105,'Upper Hot Cell Welding failures'!$E$30:$I$123,5,FALSE),E105+F104)</f>
        <v>240.54276504911107</v>
      </c>
      <c r="G105" s="3050"/>
      <c r="H105" s="3046" t="str">
        <f>IF(D105="operation",VLOOKUP(G105,'Generic Vertical Port Tasks'!$C$6:$D$558,2,FALSE),"N/A")</f>
        <v>N/A</v>
      </c>
      <c r="I105" s="3049" t="s">
        <v>798</v>
      </c>
      <c r="J105" s="3049" t="s">
        <v>452</v>
      </c>
      <c r="K105" s="3049" t="s">
        <v>858</v>
      </c>
      <c r="L105" s="3047">
        <f>IFERROR(INDEX('Upper Hot Cell Logistics'!$I$35:$O$41,MATCH($J105,'Upper Hot Cell Logistics'!$H$35:$H$41,0),MATCH($K105,'Upper Hot Cell Logistics'!$H$35:$H$41,0)),"N/A")</f>
        <v>50</v>
      </c>
      <c r="M105" s="3047">
        <f>IFERROR(VLOOKUP($I105,'Upper Hot Cell Logistics'!$H$4:$I$9,2,FALSE),"N/A")</f>
        <v>0.2</v>
      </c>
      <c r="N105" s="3059">
        <f t="shared" si="2"/>
        <v>6.9444444444444448E-2</v>
      </c>
      <c r="O105" s="3051"/>
      <c r="P105" s="3046" t="str">
        <f>IF($D105="Logistics",VLOOKUP($O105,'Upper Hot Cell Logistics'!$C$4:$D$44,2,FALSE),"N/A")</f>
        <v>N/A</v>
      </c>
    </row>
    <row r="106" spans="1:16" outlineLevel="1" x14ac:dyDescent="0.4">
      <c r="A106" s="3041"/>
      <c r="B106" s="4055"/>
      <c r="C106" s="3049" t="s">
        <v>940</v>
      </c>
      <c r="D106" s="3049" t="s">
        <v>3</v>
      </c>
      <c r="E106" s="3047">
        <f t="shared" si="3"/>
        <v>0.58000000000000007</v>
      </c>
      <c r="F106" s="3046">
        <f>IF($D106="Trigger",VLOOKUP($C106,'Upper Hot Cell Welding failures'!$E$30:$I$123,5,FALSE),E106+F105)</f>
        <v>241.12276504911108</v>
      </c>
      <c r="G106" s="3050"/>
      <c r="H106" s="3046" t="str">
        <f>IF(D106="operation",VLOOKUP(G106,'Generic Vertical Port Tasks'!$C$6:$D$558,2,FALSE),"N/A")</f>
        <v>N/A</v>
      </c>
      <c r="I106" s="3049"/>
      <c r="J106" s="3049"/>
      <c r="K106" s="3049"/>
      <c r="L106" s="3047" t="str">
        <f>IFERROR(INDEX('Upper Hot Cell Logistics'!$I$35:$O$41,MATCH($J106,'Upper Hot Cell Logistics'!$H$35:$H$41,0),MATCH($K106,'Upper Hot Cell Logistics'!$H$35:$H$41,0)),"N/A")</f>
        <v>N/A</v>
      </c>
      <c r="M106" s="3047" t="str">
        <f>IFERROR(VLOOKUP($I106,'Upper Hot Cell Logistics'!$H$4:$I$9,2,FALSE),"N/A")</f>
        <v>N/A</v>
      </c>
      <c r="N106" s="3059" t="str">
        <f t="shared" si="2"/>
        <v>N/A</v>
      </c>
      <c r="O106" s="3051" t="s">
        <v>904</v>
      </c>
      <c r="P106" s="3046">
        <f>IF($D106="Logistics",VLOOKUP($O106,'Upper Hot Cell Logistics'!$C$4:$D$44,2,FALSE),"N/A")</f>
        <v>0.58000000000000007</v>
      </c>
    </row>
    <row r="107" spans="1:16" ht="13.3" outlineLevel="1" thickBot="1" x14ac:dyDescent="0.45">
      <c r="A107" s="3041"/>
      <c r="B107" s="4057"/>
      <c r="C107" s="3053" t="str">
        <f>B104</f>
        <v>LOB Pipe Module Exported</v>
      </c>
      <c r="D107" s="3053" t="s">
        <v>11</v>
      </c>
      <c r="E107" s="3054">
        <f t="shared" si="3"/>
        <v>0</v>
      </c>
      <c r="F107" s="3055">
        <f>IF($D107="Trigger",VLOOKUP($C107,'Upper Hot Cell Welding failures'!$E$30:$I$123,5,FALSE),E107+F106)</f>
        <v>241.12276504911108</v>
      </c>
      <c r="G107" s="3056"/>
      <c r="H107" s="3055" t="str">
        <f>IF(D107="operation",VLOOKUP(G107,'Generic Vertical Port Tasks'!$C$6:$D$558,2,FALSE),"N/A")</f>
        <v>N/A</v>
      </c>
      <c r="I107" s="3053"/>
      <c r="J107" s="3053"/>
      <c r="K107" s="3053"/>
      <c r="L107" s="3054" t="str">
        <f>IFERROR(INDEX('Upper Hot Cell Logistics'!$I$35:$O$41,MATCH($J107,'Upper Hot Cell Logistics'!$H$35:$H$41,0),MATCH($K107,'Upper Hot Cell Logistics'!$H$35:$H$41,0)),"N/A")</f>
        <v>N/A</v>
      </c>
      <c r="M107" s="3054" t="str">
        <f>IFERROR(VLOOKUP($I107,'Upper Hot Cell Logistics'!$H$4:$I$9,2,FALSE),"N/A")</f>
        <v>N/A</v>
      </c>
      <c r="N107" s="3060" t="str">
        <f t="shared" si="2"/>
        <v>N/A</v>
      </c>
      <c r="O107" s="3057"/>
      <c r="P107" s="3055" t="str">
        <f>IF($D107="Logistics",VLOOKUP($O107,'Upper Hot Cell Logistics'!$C$4:$D$44,2,FALSE),"N/A")</f>
        <v>N/A</v>
      </c>
    </row>
    <row r="108" spans="1:16" outlineLevel="1" x14ac:dyDescent="0.4">
      <c r="A108" s="3041"/>
      <c r="B108" s="4054" t="s">
        <v>889</v>
      </c>
      <c r="C108" s="3042" t="str">
        <f>'Upper Hot Cell Welding failures'!E113</f>
        <v>Insert LOB Pipe Module</v>
      </c>
      <c r="D108" s="3042" t="s">
        <v>907</v>
      </c>
      <c r="E108" s="3043">
        <f t="shared" si="3"/>
        <v>0</v>
      </c>
      <c r="F108" s="3044">
        <f>IF($D108="Trigger",VLOOKUP($C108,'Upper Hot Cell Welding failures'!$E$30:$I$123,5,FALSE),E108+F107)</f>
        <v>277.39327537876244</v>
      </c>
      <c r="G108" s="3045"/>
      <c r="H108" s="3044" t="str">
        <f>IF(D108="operation",VLOOKUP(G108,'Generic Vertical Port Tasks'!$C$6:$D$558,2,FALSE),"N/A")</f>
        <v>N/A</v>
      </c>
      <c r="I108" s="3042"/>
      <c r="J108" s="3042"/>
      <c r="K108" s="3042"/>
      <c r="L108" s="3043" t="str">
        <f>IFERROR(INDEX('Upper Hot Cell Logistics'!$I$35:$O$41,MATCH($J108,'Upper Hot Cell Logistics'!$H$35:$H$41,0),MATCH($K108,'Upper Hot Cell Logistics'!$H$35:$H$41,0)),"N/A")</f>
        <v>N/A</v>
      </c>
      <c r="M108" s="3043" t="str">
        <f>IFERROR(VLOOKUP($I108,'Upper Hot Cell Logistics'!$H$4:$I$9,2,FALSE),"N/A")</f>
        <v>N/A</v>
      </c>
      <c r="N108" s="3061" t="str">
        <f t="shared" si="2"/>
        <v>N/A</v>
      </c>
      <c r="O108" s="3048"/>
      <c r="P108" s="3044" t="str">
        <f>IF($D108="Logistics",VLOOKUP($O108,'Upper Hot Cell Logistics'!$C$4:$D$44,2,FALSE),"N/A")</f>
        <v>N/A</v>
      </c>
    </row>
    <row r="109" spans="1:16" outlineLevel="1" x14ac:dyDescent="0.4">
      <c r="A109" s="3041"/>
      <c r="B109" s="4055"/>
      <c r="C109" s="3049" t="s">
        <v>1180</v>
      </c>
      <c r="D109" s="3049" t="s">
        <v>778</v>
      </c>
      <c r="E109" s="3047">
        <f t="shared" si="3"/>
        <v>6.9444444444444448E-2</v>
      </c>
      <c r="F109" s="3046">
        <f>IF($D109="Trigger",VLOOKUP($C109,'Upper Hot Cell Welding failures'!$E$30:$I$123,5,FALSE),E109+F108)</f>
        <v>277.4627198232069</v>
      </c>
      <c r="G109" s="3050"/>
      <c r="H109" s="3046" t="str">
        <f>IF(D109="operation",VLOOKUP(G109,'Generic Vertical Port Tasks'!$C$6:$D$558,2,FALSE),"N/A")</f>
        <v>N/A</v>
      </c>
      <c r="I109" s="3049" t="s">
        <v>798</v>
      </c>
      <c r="J109" s="3049" t="s">
        <v>452</v>
      </c>
      <c r="K109" s="3049" t="s">
        <v>858</v>
      </c>
      <c r="L109" s="3047">
        <f>IFERROR(INDEX('Upper Hot Cell Logistics'!$I$35:$O$41,MATCH($J109,'Upper Hot Cell Logistics'!$H$35:$H$41,0),MATCH($K109,'Upper Hot Cell Logistics'!$H$35:$H$41,0)),"N/A")</f>
        <v>50</v>
      </c>
      <c r="M109" s="3047">
        <f>IFERROR(VLOOKUP($I109,'Upper Hot Cell Logistics'!$H$4:$I$9,2,FALSE),"N/A")</f>
        <v>0.2</v>
      </c>
      <c r="N109" s="3059">
        <f t="shared" si="2"/>
        <v>6.9444444444444448E-2</v>
      </c>
      <c r="O109" s="3051"/>
      <c r="P109" s="3046" t="str">
        <f>IF($D109="Logistics",VLOOKUP($O109,'Upper Hot Cell Logistics'!$C$4:$D$44,2,FALSE),"N/A")</f>
        <v>N/A</v>
      </c>
    </row>
    <row r="110" spans="1:16" outlineLevel="1" x14ac:dyDescent="0.4">
      <c r="A110" s="3041"/>
      <c r="B110" s="4055"/>
      <c r="C110" s="3049" t="s">
        <v>940</v>
      </c>
      <c r="D110" s="3049" t="s">
        <v>3</v>
      </c>
      <c r="E110" s="3047">
        <f t="shared" si="3"/>
        <v>0.58000000000000007</v>
      </c>
      <c r="F110" s="3046">
        <f>IF($D110="Trigger",VLOOKUP($C110,'Upper Hot Cell Welding failures'!$E$30:$I$123,5,FALSE),E110+F109)</f>
        <v>278.04271982320688</v>
      </c>
      <c r="G110" s="3050"/>
      <c r="H110" s="3046" t="str">
        <f>IF(D110="operation",VLOOKUP(G110,'Generic Vertical Port Tasks'!$C$6:$D$558,2,FALSE),"N/A")</f>
        <v>N/A</v>
      </c>
      <c r="I110" s="3049"/>
      <c r="J110" s="3049"/>
      <c r="K110" s="3049"/>
      <c r="L110" s="3047" t="str">
        <f>IFERROR(INDEX('Upper Hot Cell Logistics'!$I$35:$O$41,MATCH($J110,'Upper Hot Cell Logistics'!$H$35:$H$41,0),MATCH($K110,'Upper Hot Cell Logistics'!$H$35:$H$41,0)),"N/A")</f>
        <v>N/A</v>
      </c>
      <c r="M110" s="3047" t="str">
        <f>IFERROR(VLOOKUP($I110,'Upper Hot Cell Logistics'!$H$4:$I$9,2,FALSE),"N/A")</f>
        <v>N/A</v>
      </c>
      <c r="N110" s="3059" t="str">
        <f t="shared" si="2"/>
        <v>N/A</v>
      </c>
      <c r="O110" s="3051" t="s">
        <v>904</v>
      </c>
      <c r="P110" s="3046">
        <f>IF($D110="Logistics",VLOOKUP($O110,'Upper Hot Cell Logistics'!$C$4:$D$44,2,FALSE),"N/A")</f>
        <v>0.58000000000000007</v>
      </c>
    </row>
    <row r="111" spans="1:16" ht="13.3" outlineLevel="1" thickBot="1" x14ac:dyDescent="0.45">
      <c r="A111" s="3041"/>
      <c r="B111" s="4057"/>
      <c r="C111" s="3053" t="str">
        <f>B108</f>
        <v>COB Pipe Module Exported</v>
      </c>
      <c r="D111" s="3053" t="s">
        <v>11</v>
      </c>
      <c r="E111" s="3054">
        <f t="shared" si="3"/>
        <v>0</v>
      </c>
      <c r="F111" s="3055">
        <f>IF($D111="Trigger",VLOOKUP($C111,'Upper Hot Cell Welding failures'!$E$30:$I$123,5,FALSE),E111+F110)</f>
        <v>278.04271982320688</v>
      </c>
      <c r="G111" s="3056"/>
      <c r="H111" s="3055" t="str">
        <f>IF(D111="operation",VLOOKUP(G111,'Generic Vertical Port Tasks'!$C$6:$D$558,2,FALSE),"N/A")</f>
        <v>N/A</v>
      </c>
      <c r="I111" s="3053"/>
      <c r="J111" s="3053"/>
      <c r="K111" s="3053"/>
      <c r="L111" s="3054" t="str">
        <f>IFERROR(INDEX('Upper Hot Cell Logistics'!$I$35:$O$41,MATCH($J111,'Upper Hot Cell Logistics'!$H$35:$H$41,0),MATCH($K111,'Upper Hot Cell Logistics'!$H$35:$H$41,0)),"N/A")</f>
        <v>N/A</v>
      </c>
      <c r="M111" s="3054" t="str">
        <f>IFERROR(VLOOKUP($I111,'Upper Hot Cell Logistics'!$H$4:$I$9,2,FALSE),"N/A")</f>
        <v>N/A</v>
      </c>
      <c r="N111" s="3060" t="str">
        <f t="shared" si="2"/>
        <v>N/A</v>
      </c>
      <c r="O111" s="3057"/>
      <c r="P111" s="3055" t="str">
        <f>IF($D111="Logistics",VLOOKUP($O111,'Upper Hot Cell Logistics'!$C$4:$D$44,2,FALSE),"N/A")</f>
        <v>N/A</v>
      </c>
    </row>
    <row r="112" spans="1:16" ht="12.75" customHeight="1" outlineLevel="1" x14ac:dyDescent="0.4">
      <c r="A112" s="3041"/>
      <c r="B112" s="4061" t="s">
        <v>1087</v>
      </c>
      <c r="C112" s="3042" t="str">
        <f>'Upper Hot Cell Welding failures'!E152</f>
        <v>Move Crane A to Upper Port</v>
      </c>
      <c r="D112" s="3042" t="s">
        <v>907</v>
      </c>
      <c r="E112" s="3043">
        <f t="shared" si="3"/>
        <v>0</v>
      </c>
      <c r="F112" s="3044">
        <f>IF($D112="Trigger",VLOOKUP($C112,'Upper Hot Cell Welding failures'!$E$30:$I$123,5,FALSE),E112+F111)</f>
        <v>3.6500000000000004</v>
      </c>
      <c r="G112" s="3045"/>
      <c r="H112" s="3067" t="str">
        <f>IF(D112="operation",VLOOKUP(G112,#REF!,4,FALSE), "N/A")</f>
        <v>N/A</v>
      </c>
      <c r="I112" s="3042"/>
      <c r="J112" s="3042"/>
      <c r="K112" s="3042"/>
      <c r="L112" s="3043" t="str">
        <f>IFERROR(INDEX(#REF!,MATCH($J112,#REF!,0),MATCH($K112,#REF!,0)),"N/A")</f>
        <v>N/A</v>
      </c>
      <c r="M112" s="3043" t="str">
        <f>IFERROR(VLOOKUP($I112,#REF!,2,FALSE),"N/A")</f>
        <v>N/A</v>
      </c>
      <c r="N112" s="3043" t="str">
        <f t="shared" ref="N112:N126" si="4">IF(D112="Movement",IFERROR((L112/M112)/(60*60),"Error"),"N/A")</f>
        <v>N/A</v>
      </c>
      <c r="O112" s="3048"/>
      <c r="P112" s="3044" t="str">
        <f>IF($D112="Logistics",VLOOKUP($O112,#REF!,2,FALSE),"N/A")</f>
        <v>N/A</v>
      </c>
    </row>
    <row r="113" spans="1:16" ht="12.75" customHeight="1" outlineLevel="1" x14ac:dyDescent="0.4">
      <c r="A113" s="3041"/>
      <c r="B113" s="4062"/>
      <c r="C113" s="3049" t="s">
        <v>1182</v>
      </c>
      <c r="D113" s="3049" t="s">
        <v>251</v>
      </c>
      <c r="E113" s="3047">
        <f t="shared" si="3"/>
        <v>152.66225471945972</v>
      </c>
      <c r="F113" s="3046">
        <f>IF($D113="Trigger",VLOOKUP($C113,'Upper Hot Cell Welding failures'!$E$30:$I$123,5,FALSE),E113+F112)</f>
        <v>156.31225471945973</v>
      </c>
      <c r="G113" s="3050" t="s">
        <v>117</v>
      </c>
      <c r="H113" s="3046">
        <f>IF(D113="operation",VLOOKUP(G113,'Upper Cask Welding failures'!$E$46:$H$171,4,FALSE), "N/A")</f>
        <v>152.66225471945972</v>
      </c>
      <c r="I113" s="3049"/>
      <c r="J113" s="3049"/>
      <c r="K113" s="3049"/>
      <c r="L113" s="3047" t="str">
        <f>IFERROR(INDEX(#REF!,MATCH($J113,#REF!,0),MATCH($K113,#REF!,0)),"N/A")</f>
        <v>N/A</v>
      </c>
      <c r="M113" s="3047" t="str">
        <f>IFERROR(VLOOKUP($I113,#REF!,2,FALSE),"N/A")</f>
        <v>N/A</v>
      </c>
      <c r="N113" s="3047" t="str">
        <f t="shared" si="4"/>
        <v>N/A</v>
      </c>
      <c r="O113" s="3051"/>
      <c r="P113" s="3046" t="str">
        <f>IF($D113="Logistics",VLOOKUP($O113,#REF!,2,FALSE),"N/A")</f>
        <v>N/A</v>
      </c>
    </row>
    <row r="114" spans="1:16" ht="13.5" customHeight="1" outlineLevel="1" thickBot="1" x14ac:dyDescent="0.45">
      <c r="A114" s="3041"/>
      <c r="B114" s="4063"/>
      <c r="C114" s="3053" t="str">
        <f>B112</f>
        <v>RIB Lower Port Pipe Module installed</v>
      </c>
      <c r="D114" s="3053" t="s">
        <v>11</v>
      </c>
      <c r="E114" s="3054">
        <f t="shared" si="3"/>
        <v>0</v>
      </c>
      <c r="F114" s="3055">
        <f>IF($D114="Trigger",VLOOKUP($C114,'Upper Hot Cell Welding failures'!$E$30:$I$123,5,FALSE),E114+F113)</f>
        <v>156.31225471945973</v>
      </c>
      <c r="G114" s="3056"/>
      <c r="H114" s="3055" t="str">
        <f>IF(D114="operation",VLOOKUP(G114,#REF!,4,FALSE), "N/A")</f>
        <v>N/A</v>
      </c>
      <c r="I114" s="3053"/>
      <c r="J114" s="3053"/>
      <c r="K114" s="3053"/>
      <c r="L114" s="3054" t="str">
        <f>IFERROR(INDEX(#REF!,MATCH($J114,#REF!,0),MATCH($K114,#REF!,0)),"N/A")</f>
        <v>N/A</v>
      </c>
      <c r="M114" s="3054" t="str">
        <f>IFERROR(VLOOKUP($I114,#REF!,2,FALSE),"N/A")</f>
        <v>N/A</v>
      </c>
      <c r="N114" s="3054" t="str">
        <f t="shared" si="4"/>
        <v>N/A</v>
      </c>
      <c r="O114" s="3057"/>
      <c r="P114" s="3055" t="str">
        <f>IF($D114="Logistics",VLOOKUP($O114,#REF!,2,FALSE),"N/A")</f>
        <v>N/A</v>
      </c>
    </row>
    <row r="115" spans="1:16" ht="12.75" customHeight="1" outlineLevel="1" x14ac:dyDescent="0.4">
      <c r="A115" s="3041"/>
      <c r="B115" s="4061" t="s">
        <v>1090</v>
      </c>
      <c r="C115" s="3042" t="str">
        <f>'Upper Hot Cell Welding failures'!E155</f>
        <v>Disconnect Multipipe Flange 4</v>
      </c>
      <c r="D115" s="3042" t="s">
        <v>907</v>
      </c>
      <c r="E115" s="3043">
        <f t="shared" si="3"/>
        <v>0</v>
      </c>
      <c r="F115" s="3044">
        <f>IF($D115="Trigger",VLOOKUP($C115,'Upper Hot Cell Welding failures'!$E$30:$I$123,5,FALSE),E115+F114)</f>
        <v>36.780555555555551</v>
      </c>
      <c r="G115" s="3045"/>
      <c r="H115" s="3067" t="str">
        <f>IF(D115="operation",VLOOKUP(G115,#REF!,4,FALSE), "N/A")</f>
        <v>N/A</v>
      </c>
      <c r="I115" s="3042"/>
      <c r="J115" s="3042"/>
      <c r="K115" s="3042"/>
      <c r="L115" s="3043" t="str">
        <f>IFERROR(INDEX(#REF!,MATCH($J115,#REF!,0),MATCH($K115,#REF!,0)),"N/A")</f>
        <v>N/A</v>
      </c>
      <c r="M115" s="3043" t="str">
        <f>IFERROR(VLOOKUP($I115,#REF!,2,FALSE),"N/A")</f>
        <v>N/A</v>
      </c>
      <c r="N115" s="3043" t="str">
        <f t="shared" si="4"/>
        <v>N/A</v>
      </c>
      <c r="O115" s="3048"/>
      <c r="P115" s="3044" t="str">
        <f>IF($D115="Logistics",VLOOKUP($O115,#REF!,2,FALSE),"N/A")</f>
        <v>N/A</v>
      </c>
    </row>
    <row r="116" spans="1:16" ht="12.75" customHeight="1" outlineLevel="1" x14ac:dyDescent="0.4">
      <c r="A116" s="3041"/>
      <c r="B116" s="4062"/>
      <c r="C116" s="3049" t="s">
        <v>1182</v>
      </c>
      <c r="D116" s="3049" t="s">
        <v>251</v>
      </c>
      <c r="E116" s="3047">
        <f t="shared" si="3"/>
        <v>191.48998727133326</v>
      </c>
      <c r="F116" s="3046">
        <f>IF($D116="Trigger",VLOOKUP($C116,'Upper Hot Cell Welding failures'!$E$30:$I$123,5,FALSE),E116+F115)</f>
        <v>228.2705428268888</v>
      </c>
      <c r="G116" s="3050" t="s">
        <v>118</v>
      </c>
      <c r="H116" s="3046">
        <f>IF(D116="operation",VLOOKUP(G116,'Upper Cask Welding failures'!$E$46:$H$171,4,FALSE), "N/A")</f>
        <v>191.48998727133326</v>
      </c>
      <c r="I116" s="3049"/>
      <c r="J116" s="3049"/>
      <c r="K116" s="3049"/>
      <c r="L116" s="3047" t="str">
        <f>IFERROR(INDEX(#REF!,MATCH($J116,#REF!,0),MATCH($K116,#REF!,0)),"N/A")</f>
        <v>N/A</v>
      </c>
      <c r="M116" s="3047" t="str">
        <f>IFERROR(VLOOKUP($I116,#REF!,2,FALSE),"N/A")</f>
        <v>N/A</v>
      </c>
      <c r="N116" s="3047" t="str">
        <f t="shared" si="4"/>
        <v>N/A</v>
      </c>
      <c r="O116" s="3051"/>
      <c r="P116" s="3046" t="str">
        <f>IF($D116="Logistics",VLOOKUP($O116,#REF!,2,FALSE),"N/A")</f>
        <v>N/A</v>
      </c>
    </row>
    <row r="117" spans="1:16" ht="13.5" customHeight="1" outlineLevel="1" thickBot="1" x14ac:dyDescent="0.45">
      <c r="A117" s="3041"/>
      <c r="B117" s="4063"/>
      <c r="C117" s="3053" t="str">
        <f>B115</f>
        <v>LIB Lower Port Pipe Module installed</v>
      </c>
      <c r="D117" s="3053" t="s">
        <v>11</v>
      </c>
      <c r="E117" s="3054">
        <f t="shared" si="3"/>
        <v>0</v>
      </c>
      <c r="F117" s="3055">
        <f>IF($D117="Trigger",VLOOKUP($C117,'Upper Hot Cell Welding failures'!$E$30:$I$123,5,FALSE),E117+F116)</f>
        <v>228.2705428268888</v>
      </c>
      <c r="G117" s="3056"/>
      <c r="H117" s="3055" t="str">
        <f>IF(D117="operation",VLOOKUP(G117,#REF!,4,FALSE), "N/A")</f>
        <v>N/A</v>
      </c>
      <c r="I117" s="3053"/>
      <c r="J117" s="3053"/>
      <c r="K117" s="3053"/>
      <c r="L117" s="3054" t="str">
        <f>IFERROR(INDEX(#REF!,MATCH($J117,#REF!,0),MATCH($K117,#REF!,0)),"N/A")</f>
        <v>N/A</v>
      </c>
      <c r="M117" s="3054" t="str">
        <f>IFERROR(VLOOKUP($I117,#REF!,2,FALSE),"N/A")</f>
        <v>N/A</v>
      </c>
      <c r="N117" s="3054" t="str">
        <f t="shared" si="4"/>
        <v>N/A</v>
      </c>
      <c r="O117" s="3057"/>
      <c r="P117" s="3055" t="str">
        <f>IF($D117="Logistics",VLOOKUP($O117,#REF!,2,FALSE),"N/A")</f>
        <v>N/A</v>
      </c>
    </row>
    <row r="118" spans="1:16" ht="12.75" customHeight="1" outlineLevel="1" x14ac:dyDescent="0.4">
      <c r="A118" s="3041"/>
      <c r="B118" s="4061" t="s">
        <v>1093</v>
      </c>
      <c r="C118" s="3042" t="str">
        <f>'Upper Hot Cell Welding failures'!E158</f>
        <v>Move Crane A to Upper Port</v>
      </c>
      <c r="D118" s="3042" t="s">
        <v>907</v>
      </c>
      <c r="E118" s="3043">
        <f t="shared" si="3"/>
        <v>0</v>
      </c>
      <c r="F118" s="3044">
        <f>IF($D118="Trigger",VLOOKUP($C118,'Upper Hot Cell Welding failures'!$E$30:$I$123,5,FALSE),E118+F117)</f>
        <v>3.6500000000000004</v>
      </c>
      <c r="G118" s="3045"/>
      <c r="H118" s="3067" t="str">
        <f>IF(D118="operation",VLOOKUP(G118,#REF!,4,FALSE), "N/A")</f>
        <v>N/A</v>
      </c>
      <c r="I118" s="3042"/>
      <c r="J118" s="3042"/>
      <c r="K118" s="3042"/>
      <c r="L118" s="3043" t="str">
        <f>IFERROR(INDEX(#REF!,MATCH($J118,#REF!,0),MATCH($K118,#REF!,0)),"N/A")</f>
        <v>N/A</v>
      </c>
      <c r="M118" s="3043" t="str">
        <f>IFERROR(VLOOKUP($I118,#REF!,2,FALSE),"N/A")</f>
        <v>N/A</v>
      </c>
      <c r="N118" s="3043" t="str">
        <f t="shared" si="4"/>
        <v>N/A</v>
      </c>
      <c r="O118" s="3048"/>
      <c r="P118" s="3044" t="str">
        <f>IF($D118="Logistics",VLOOKUP($O118,#REF!,2,FALSE),"N/A")</f>
        <v>N/A</v>
      </c>
    </row>
    <row r="119" spans="1:16" ht="12.75" customHeight="1" outlineLevel="1" x14ac:dyDescent="0.4">
      <c r="A119" s="3041"/>
      <c r="B119" s="4062"/>
      <c r="C119" s="3049" t="s">
        <v>1182</v>
      </c>
      <c r="D119" s="3049" t="s">
        <v>251</v>
      </c>
      <c r="E119" s="3047">
        <f t="shared" si="3"/>
        <v>230.3177198232068</v>
      </c>
      <c r="F119" s="3046">
        <f>IF($D119="Trigger",VLOOKUP($C119,'Upper Hot Cell Welding failures'!$E$30:$I$123,5,FALSE),E119+F118)</f>
        <v>233.96771982320681</v>
      </c>
      <c r="G119" s="3050" t="s">
        <v>119</v>
      </c>
      <c r="H119" s="3046">
        <f>IF(D119="operation",VLOOKUP(G119,'Upper Cask Welding failures'!$E$46:$H$171,4,FALSE), "N/A")</f>
        <v>230.3177198232068</v>
      </c>
      <c r="I119" s="3049"/>
      <c r="J119" s="3049"/>
      <c r="K119" s="3049"/>
      <c r="L119" s="3047" t="str">
        <f>IFERROR(INDEX(#REF!,MATCH($J119,#REF!,0),MATCH($K119,#REF!,0)),"N/A")</f>
        <v>N/A</v>
      </c>
      <c r="M119" s="3047" t="str">
        <f>IFERROR(VLOOKUP($I119,#REF!,2,FALSE),"N/A")</f>
        <v>N/A</v>
      </c>
      <c r="N119" s="3047" t="str">
        <f t="shared" si="4"/>
        <v>N/A</v>
      </c>
      <c r="O119" s="3051"/>
      <c r="P119" s="3046" t="str">
        <f>IF($D119="Logistics",VLOOKUP($O119,#REF!,2,FALSE),"N/A")</f>
        <v>N/A</v>
      </c>
    </row>
    <row r="120" spans="1:16" ht="13.5" customHeight="1" outlineLevel="1" thickBot="1" x14ac:dyDescent="0.45">
      <c r="A120" s="3041"/>
      <c r="B120" s="4063"/>
      <c r="C120" s="3053" t="str">
        <f>B118</f>
        <v>ROB Lower Port Pipe Module installed</v>
      </c>
      <c r="D120" s="3053" t="s">
        <v>11</v>
      </c>
      <c r="E120" s="3054">
        <f t="shared" si="3"/>
        <v>0</v>
      </c>
      <c r="F120" s="3055">
        <f>IF($D120="Trigger",VLOOKUP($C120,'Upper Hot Cell Welding failures'!$E$30:$I$123,5,FALSE),E120+F119)</f>
        <v>233.96771982320681</v>
      </c>
      <c r="G120" s="3056"/>
      <c r="H120" s="3055" t="str">
        <f>IF(D120="operation",VLOOKUP(G120,#REF!,4,FALSE), "N/A")</f>
        <v>N/A</v>
      </c>
      <c r="I120" s="3053"/>
      <c r="J120" s="3053"/>
      <c r="K120" s="3053"/>
      <c r="L120" s="3054" t="str">
        <f>IFERROR(INDEX(#REF!,MATCH($J120,#REF!,0),MATCH($K120,#REF!,0)),"N/A")</f>
        <v>N/A</v>
      </c>
      <c r="M120" s="3054" t="str">
        <f>IFERROR(VLOOKUP($I120,#REF!,2,FALSE),"N/A")</f>
        <v>N/A</v>
      </c>
      <c r="N120" s="3054" t="str">
        <f t="shared" si="4"/>
        <v>N/A</v>
      </c>
      <c r="O120" s="3057"/>
      <c r="P120" s="3055" t="str">
        <f>IF($D120="Logistics",VLOOKUP($O120,#REF!,2,FALSE),"N/A")</f>
        <v>N/A</v>
      </c>
    </row>
    <row r="121" spans="1:16" ht="12.75" customHeight="1" outlineLevel="1" x14ac:dyDescent="0.4">
      <c r="A121" s="3041"/>
      <c r="B121" s="4061" t="s">
        <v>1096</v>
      </c>
      <c r="C121" s="3042" t="str">
        <f>'Upper Hot Cell Welding failures'!E161</f>
        <v>Disconnect Multipipe Flange 5</v>
      </c>
      <c r="D121" s="3042" t="s">
        <v>907</v>
      </c>
      <c r="E121" s="3043">
        <f t="shared" si="3"/>
        <v>0</v>
      </c>
      <c r="F121" s="3044">
        <f>IF($D121="Trigger",VLOOKUP($C121,'Upper Hot Cell Welding failures'!$E$30:$I$123,5,FALSE),E121+F120)</f>
        <v>49.911666666666662</v>
      </c>
      <c r="G121" s="3045"/>
      <c r="H121" s="3067" t="str">
        <f>IF(D121="operation",VLOOKUP(G121,#REF!,4,FALSE), "N/A")</f>
        <v>N/A</v>
      </c>
      <c r="I121" s="3042"/>
      <c r="J121" s="3042"/>
      <c r="K121" s="3042"/>
      <c r="L121" s="3043" t="str">
        <f>IFERROR(INDEX(#REF!,MATCH($J121,#REF!,0),MATCH($K121,#REF!,0)),"N/A")</f>
        <v>N/A</v>
      </c>
      <c r="M121" s="3043" t="str">
        <f>IFERROR(VLOOKUP($I121,#REF!,2,FALSE),"N/A")</f>
        <v>N/A</v>
      </c>
      <c r="N121" s="3043" t="str">
        <f t="shared" si="4"/>
        <v>N/A</v>
      </c>
      <c r="O121" s="3048"/>
      <c r="P121" s="3044" t="str">
        <f>IF($D121="Logistics",VLOOKUP($O121,#REF!,2,FALSE),"N/A")</f>
        <v>N/A</v>
      </c>
    </row>
    <row r="122" spans="1:16" ht="12.75" customHeight="1" outlineLevel="1" x14ac:dyDescent="0.4">
      <c r="A122" s="3041"/>
      <c r="B122" s="4062"/>
      <c r="C122" s="3049" t="s">
        <v>1182</v>
      </c>
      <c r="D122" s="3049" t="s">
        <v>251</v>
      </c>
      <c r="E122" s="3047">
        <f t="shared" si="3"/>
        <v>269.14545237508037</v>
      </c>
      <c r="F122" s="3046">
        <f>IF($D122="Trigger",VLOOKUP($C122,'Upper Hot Cell Welding failures'!$E$30:$I$123,5,FALSE),E122+F121)</f>
        <v>319.057119041747</v>
      </c>
      <c r="G122" s="3050" t="s">
        <v>120</v>
      </c>
      <c r="H122" s="3046">
        <f>IF(D122="operation",VLOOKUP(G122,'Upper Cask Welding failures'!$E$46:$H$171,4,FALSE), "N/A")</f>
        <v>269.14545237508037</v>
      </c>
      <c r="I122" s="3049"/>
      <c r="J122" s="3049"/>
      <c r="K122" s="3049"/>
      <c r="L122" s="3047" t="str">
        <f>IFERROR(INDEX(#REF!,MATCH($J122,#REF!,0),MATCH($K122,#REF!,0)),"N/A")</f>
        <v>N/A</v>
      </c>
      <c r="M122" s="3047" t="str">
        <f>IFERROR(VLOOKUP($I122,#REF!,2,FALSE),"N/A")</f>
        <v>N/A</v>
      </c>
      <c r="N122" s="3047" t="str">
        <f t="shared" si="4"/>
        <v>N/A</v>
      </c>
      <c r="O122" s="3051"/>
      <c r="P122" s="3046" t="str">
        <f>IF($D122="Logistics",VLOOKUP($O122,#REF!,2,FALSE),"N/A")</f>
        <v>N/A</v>
      </c>
    </row>
    <row r="123" spans="1:16" ht="13.5" customHeight="1" outlineLevel="1" thickBot="1" x14ac:dyDescent="0.45">
      <c r="A123" s="3041"/>
      <c r="B123" s="4063"/>
      <c r="C123" s="3053" t="str">
        <f>B121</f>
        <v>LOB Lower Port Pipe Module installed</v>
      </c>
      <c r="D123" s="3053" t="s">
        <v>11</v>
      </c>
      <c r="E123" s="3054">
        <f t="shared" si="3"/>
        <v>0</v>
      </c>
      <c r="F123" s="3055">
        <f>IF($D123="Trigger",VLOOKUP($C123,'Upper Hot Cell Welding failures'!$E$30:$I$123,5,FALSE),E123+F122)</f>
        <v>319.057119041747</v>
      </c>
      <c r="G123" s="3056"/>
      <c r="H123" s="3055" t="str">
        <f>IF(D123="operation",VLOOKUP(G123,#REF!,4,FALSE), "N/A")</f>
        <v>N/A</v>
      </c>
      <c r="I123" s="3053"/>
      <c r="J123" s="3053"/>
      <c r="K123" s="3053"/>
      <c r="L123" s="3054" t="str">
        <f>IFERROR(INDEX(#REF!,MATCH($J123,#REF!,0),MATCH($K123,#REF!,0)),"N/A")</f>
        <v>N/A</v>
      </c>
      <c r="M123" s="3054" t="str">
        <f>IFERROR(VLOOKUP($I123,#REF!,2,FALSE),"N/A")</f>
        <v>N/A</v>
      </c>
      <c r="N123" s="3054" t="str">
        <f t="shared" si="4"/>
        <v>N/A</v>
      </c>
      <c r="O123" s="3057"/>
      <c r="P123" s="3055" t="str">
        <f>IF($D123="Logistics",VLOOKUP($O123,#REF!,2,FALSE),"N/A")</f>
        <v>N/A</v>
      </c>
    </row>
    <row r="124" spans="1:16" ht="12.75" customHeight="1" outlineLevel="1" x14ac:dyDescent="0.4">
      <c r="A124" s="3041"/>
      <c r="B124" s="4061" t="s">
        <v>1099</v>
      </c>
      <c r="C124" s="3042" t="str">
        <f>'Upper Hot Cell Welding failures'!E164</f>
        <v>Move Crane A to Upper Port</v>
      </c>
      <c r="D124" s="3042" t="s">
        <v>907</v>
      </c>
      <c r="E124" s="3043">
        <f t="shared" si="3"/>
        <v>0</v>
      </c>
      <c r="F124" s="3044">
        <f>IF($D124="Trigger",VLOOKUP($C124,'Upper Hot Cell Welding failures'!$E$30:$I$123,5,FALSE),E124+F123)</f>
        <v>3.6500000000000004</v>
      </c>
      <c r="G124" s="3045"/>
      <c r="H124" s="3067" t="str">
        <f>IF(D124="operation",VLOOKUP(G124,#REF!,4,FALSE), "N/A")</f>
        <v>N/A</v>
      </c>
      <c r="I124" s="3042"/>
      <c r="J124" s="3042"/>
      <c r="K124" s="3042"/>
      <c r="L124" s="3043" t="str">
        <f>IFERROR(INDEX(#REF!,MATCH($J124,#REF!,0),MATCH($K124,#REF!,0)),"N/A")</f>
        <v>N/A</v>
      </c>
      <c r="M124" s="3043" t="str">
        <f>IFERROR(VLOOKUP($I124,#REF!,2,FALSE),"N/A")</f>
        <v>N/A</v>
      </c>
      <c r="N124" s="3043" t="str">
        <f t="shared" si="4"/>
        <v>N/A</v>
      </c>
      <c r="O124" s="3048"/>
      <c r="P124" s="3044" t="str">
        <f>IF($D124="Logistics",VLOOKUP($O124,#REF!,2,FALSE),"N/A")</f>
        <v>N/A</v>
      </c>
    </row>
    <row r="125" spans="1:16" ht="12.75" customHeight="1" outlineLevel="1" x14ac:dyDescent="0.4">
      <c r="A125" s="3041"/>
      <c r="B125" s="4062"/>
      <c r="C125" s="3049" t="s">
        <v>1182</v>
      </c>
      <c r="D125" s="3049" t="s">
        <v>251</v>
      </c>
      <c r="E125" s="3047">
        <f t="shared" si="3"/>
        <v>307.97318492695393</v>
      </c>
      <c r="F125" s="3046">
        <f>IF($D125="Trigger",VLOOKUP($C125,'Upper Hot Cell Welding failures'!$E$30:$I$123,5,FALSE),E125+F124)</f>
        <v>311.62318492695391</v>
      </c>
      <c r="G125" s="3050" t="s">
        <v>121</v>
      </c>
      <c r="H125" s="3046">
        <f>IF(D125="operation",VLOOKUP(G125,'Upper Cask Welding failures'!$E$46:$H$171,4,FALSE), "N/A")</f>
        <v>307.97318492695393</v>
      </c>
      <c r="I125" s="3049"/>
      <c r="J125" s="3049"/>
      <c r="K125" s="3049"/>
      <c r="L125" s="3047" t="str">
        <f>IFERROR(INDEX(#REF!,MATCH($J125,#REF!,0),MATCH($K125,#REF!,0)),"N/A")</f>
        <v>N/A</v>
      </c>
      <c r="M125" s="3047" t="str">
        <f>IFERROR(VLOOKUP($I125,#REF!,2,FALSE),"N/A")</f>
        <v>N/A</v>
      </c>
      <c r="N125" s="3047" t="str">
        <f t="shared" si="4"/>
        <v>N/A</v>
      </c>
      <c r="O125" s="3051"/>
      <c r="P125" s="3046" t="str">
        <f>IF($D125="Logistics",VLOOKUP($O125,#REF!,2,FALSE),"N/A")</f>
        <v>N/A</v>
      </c>
    </row>
    <row r="126" spans="1:16" ht="13.5" customHeight="1" outlineLevel="1" thickBot="1" x14ac:dyDescent="0.45">
      <c r="A126" s="3041"/>
      <c r="B126" s="4063"/>
      <c r="C126" s="3053" t="str">
        <f>B124</f>
        <v>COB Lower Port Pipe Module installed</v>
      </c>
      <c r="D126" s="3053" t="s">
        <v>11</v>
      </c>
      <c r="E126" s="3054">
        <f t="shared" si="3"/>
        <v>0</v>
      </c>
      <c r="F126" s="3055">
        <f>IF($D126="Trigger",VLOOKUP($C126,'Upper Hot Cell Welding failures'!$E$30:$I$123,5,FALSE),E126+F125)</f>
        <v>311.62318492695391</v>
      </c>
      <c r="G126" s="3056"/>
      <c r="H126" s="3055" t="str">
        <f>IF(D126="operation",VLOOKUP(G126,#REF!,4,FALSE), "N/A")</f>
        <v>N/A</v>
      </c>
      <c r="I126" s="3053"/>
      <c r="J126" s="3053"/>
      <c r="K126" s="3053"/>
      <c r="L126" s="3054" t="str">
        <f>IFERROR(INDEX(#REF!,MATCH($J126,#REF!,0),MATCH($K126,#REF!,0)),"N/A")</f>
        <v>N/A</v>
      </c>
      <c r="M126" s="3054" t="str">
        <f>IFERROR(VLOOKUP($I126,#REF!,2,FALSE),"N/A")</f>
        <v>N/A</v>
      </c>
      <c r="N126" s="3054" t="str">
        <f t="shared" si="4"/>
        <v>N/A</v>
      </c>
      <c r="O126" s="3057"/>
      <c r="P126" s="3055" t="str">
        <f>IF($D126="Logistics",VLOOKUP($O126,#REF!,2,FALSE),"N/A")</f>
        <v>N/A</v>
      </c>
    </row>
    <row r="127" spans="1:16" ht="13.3" thickBot="1" x14ac:dyDescent="0.45">
      <c r="A127" s="3068"/>
      <c r="B127" s="3069"/>
      <c r="C127" s="3070"/>
      <c r="D127" s="3070"/>
      <c r="E127" s="3070"/>
      <c r="F127" s="3070"/>
      <c r="G127" s="3070"/>
      <c r="H127" s="3071"/>
      <c r="I127" s="3070"/>
      <c r="J127" s="3070"/>
      <c r="K127" s="3070"/>
      <c r="L127" s="3072"/>
      <c r="M127" s="3072"/>
      <c r="N127" s="3072"/>
      <c r="O127" s="3070"/>
      <c r="P127" s="3073"/>
    </row>
    <row r="128" spans="1:16" x14ac:dyDescent="0.4">
      <c r="A128" s="3074"/>
      <c r="B128" s="3075" t="s">
        <v>1188</v>
      </c>
      <c r="C128" s="3075"/>
      <c r="D128" s="3075"/>
      <c r="E128" s="3075"/>
      <c r="F128" s="3075"/>
      <c r="G128" s="3075"/>
      <c r="H128" s="3076"/>
      <c r="I128" s="3075"/>
      <c r="J128" s="3075"/>
      <c r="K128" s="3075"/>
      <c r="L128" s="3075"/>
      <c r="M128" s="3075"/>
      <c r="N128" s="3075"/>
      <c r="O128" s="3075"/>
      <c r="P128" s="3077"/>
    </row>
    <row r="129" spans="1:16" ht="13.3" thickBot="1" x14ac:dyDescent="0.45">
      <c r="A129" s="3078"/>
      <c r="B129" s="3079"/>
      <c r="C129" s="3079"/>
      <c r="D129" s="3079"/>
      <c r="E129" s="3079"/>
      <c r="F129" s="3079"/>
      <c r="G129" s="3079"/>
      <c r="H129" s="3080"/>
      <c r="I129" s="3079"/>
      <c r="J129" s="3079"/>
      <c r="K129" s="3079"/>
      <c r="L129" s="3081"/>
      <c r="M129" s="3081"/>
      <c r="N129" s="3081"/>
      <c r="O129" s="3079"/>
      <c r="P129" s="3082"/>
    </row>
    <row r="130" spans="1:16" x14ac:dyDescent="0.4">
      <c r="A130" s="3083"/>
      <c r="B130" s="4054" t="s">
        <v>1066</v>
      </c>
      <c r="C130" s="3042" t="str">
        <f>'Upper Hot Cell Welding failures'!E144</f>
        <v>Weld Failure identified at LOB/Pipe Module joint</v>
      </c>
      <c r="D130" s="3042" t="s">
        <v>907</v>
      </c>
      <c r="E130" s="3043">
        <f t="shared" ref="E130:E193" si="5">MAX($P130,$N130,$H130)</f>
        <v>0</v>
      </c>
      <c r="F130" s="3044">
        <f>IF($D130="Trigger",VLOOKUP($C130,'Upper Hot Cell Welding failures'!$E$144:$I$209,5,FALSE),E130+F129)</f>
        <v>0</v>
      </c>
      <c r="G130" s="3045"/>
      <c r="H130" s="3044" t="str">
        <f>IF(D130="operation",VLOOKUP(G130,'Generic Vertical Port Tasks'!$C$6:$D$558,2,FALSE),"N/A")</f>
        <v>N/A</v>
      </c>
      <c r="I130" s="3042"/>
      <c r="J130" s="3042"/>
      <c r="K130" s="3042"/>
      <c r="L130" s="3043" t="str">
        <f>IFERROR(INDEX('Upper Hot Cell Logistics'!$I$35:$O$41,MATCH($J130,'Upper Hot Cell Logistics'!$H$35:$H$41,0),MATCH($K130,'Upper Hot Cell Logistics'!$H$35:$H$41,0)),"N/A")</f>
        <v>N/A</v>
      </c>
      <c r="M130" s="3043" t="str">
        <f>IFERROR(VLOOKUP($I130,'Upper Hot Cell Logistics'!$H$4:$I$9,2,FALSE),"N/A")</f>
        <v>N/A</v>
      </c>
      <c r="N130" s="3061" t="str">
        <f t="shared" ref="N130:N226" si="6">IF(D130="Movement",IFERROR((L130/M130)/(60*60),"Error"),"N/A")</f>
        <v>N/A</v>
      </c>
      <c r="O130" s="3048"/>
      <c r="P130" s="3044" t="str">
        <f>IF($D130="Logistics",VLOOKUP($O130,'Upper Hot Cell Logistics'!$C$4:$D$44,2,FALSE),"N/A")</f>
        <v>N/A</v>
      </c>
    </row>
    <row r="131" spans="1:16" x14ac:dyDescent="0.4">
      <c r="A131" s="3083"/>
      <c r="B131" s="4055"/>
      <c r="C131" s="3049" t="s">
        <v>1189</v>
      </c>
      <c r="D131" s="3049" t="s">
        <v>778</v>
      </c>
      <c r="E131" s="3047">
        <f t="shared" si="5"/>
        <v>6.9444444444444448E-2</v>
      </c>
      <c r="F131" s="3046">
        <f>IF($D131="Trigger",VLOOKUP($C131,'Upper Hot Cell Welding failures'!$E$144:$I$209,5,FALSE),E131+F130)</f>
        <v>6.9444444444444448E-2</v>
      </c>
      <c r="G131" s="3050"/>
      <c r="H131" s="3046" t="str">
        <f>IF(D131="operation",VLOOKUP(G131,'Generic Vertical Port Tasks'!$C$6:$D$558,2,FALSE),"N/A")</f>
        <v>N/A</v>
      </c>
      <c r="I131" s="3049" t="s">
        <v>798</v>
      </c>
      <c r="J131" s="3049" t="s">
        <v>452</v>
      </c>
      <c r="K131" s="3049" t="s">
        <v>914</v>
      </c>
      <c r="L131" s="3047">
        <f>IFERROR(INDEX('Upper Hot Cell Logistics'!$I$35:$O$41,MATCH($J131,'Upper Hot Cell Logistics'!$H$35:$H$41,0),MATCH($K131,'Upper Hot Cell Logistics'!$H$35:$H$41,0)),"N/A")</f>
        <v>50</v>
      </c>
      <c r="M131" s="3047">
        <f>IFERROR(VLOOKUP($I131,'Upper Hot Cell Logistics'!$H$4:$I$9,2,FALSE),"N/A")</f>
        <v>0.2</v>
      </c>
      <c r="N131" s="3059">
        <f t="shared" si="6"/>
        <v>6.9444444444444448E-2</v>
      </c>
      <c r="O131" s="3051"/>
      <c r="P131" s="3046" t="str">
        <f>IF($D131="Logistics",VLOOKUP($O131,'Upper Hot Cell Logistics'!$C$4:$D$44,2,FALSE),"N/A")</f>
        <v>N/A</v>
      </c>
    </row>
    <row r="132" spans="1:16" x14ac:dyDescent="0.4">
      <c r="A132" s="3083"/>
      <c r="B132" s="4055"/>
      <c r="C132" s="3049" t="s">
        <v>987</v>
      </c>
      <c r="D132" s="3049" t="s">
        <v>3</v>
      </c>
      <c r="E132" s="3047">
        <f t="shared" si="5"/>
        <v>0.68</v>
      </c>
      <c r="F132" s="3046">
        <f>IF($D132="Trigger",VLOOKUP($C132,'Upper Hot Cell Welding failures'!$E$144:$I$209,5,FALSE),E132+F131)</f>
        <v>0.74944444444444447</v>
      </c>
      <c r="G132" s="3050"/>
      <c r="H132" s="3046" t="str">
        <f>IF(D132="operation",VLOOKUP(G132,'Generic Vertical Port Tasks'!$C$6:$D$558,2,FALSE),"N/A")</f>
        <v>N/A</v>
      </c>
      <c r="I132" s="3049"/>
      <c r="J132" s="3049"/>
      <c r="K132" s="3049"/>
      <c r="L132" s="3047" t="str">
        <f>IFERROR(INDEX('Upper Hot Cell Logistics'!$I$35:$O$41,MATCH($J132,'Upper Hot Cell Logistics'!$H$35:$H$41,0),MATCH($K132,'Upper Hot Cell Logistics'!$H$35:$H$41,0)),"N/A")</f>
        <v>N/A</v>
      </c>
      <c r="M132" s="3047" t="str">
        <f>IFERROR(VLOOKUP($I132,'Upper Hot Cell Logistics'!$H$4:$I$9,2,FALSE),"N/A")</f>
        <v>N/A</v>
      </c>
      <c r="N132" s="3059" t="str">
        <f t="shared" si="6"/>
        <v>N/A</v>
      </c>
      <c r="O132" s="3051" t="s">
        <v>1190</v>
      </c>
      <c r="P132" s="3046">
        <f>IF($D132="Logistics",VLOOKUP($O132,'Upper Hot Cell Logistics'!$C$4:$D$44,2,FALSE),"N/A")</f>
        <v>0.68</v>
      </c>
    </row>
    <row r="133" spans="1:16" x14ac:dyDescent="0.4">
      <c r="A133" s="3083"/>
      <c r="B133" s="4055"/>
      <c r="C133" s="3049" t="s">
        <v>1191</v>
      </c>
      <c r="D133" s="3049" t="s">
        <v>778</v>
      </c>
      <c r="E133" s="3047">
        <f t="shared" si="5"/>
        <v>2.7777777777777776E-2</v>
      </c>
      <c r="F133" s="3046">
        <f>IF($D133="Trigger",VLOOKUP($C133,'Upper Hot Cell Welding failures'!$E$144:$I$209,5,FALSE),E133+F132)</f>
        <v>0.77722222222222226</v>
      </c>
      <c r="G133" s="3050"/>
      <c r="H133" s="3046" t="str">
        <f>IF(D133="operation",VLOOKUP(G133,'Generic Vertical Port Tasks'!$C$6:$D$558,2,FALSE),"N/A")</f>
        <v>N/A</v>
      </c>
      <c r="I133" s="3049" t="s">
        <v>798</v>
      </c>
      <c r="J133" s="3049" t="s">
        <v>914</v>
      </c>
      <c r="K133" s="3049" t="s">
        <v>799</v>
      </c>
      <c r="L133" s="3047">
        <f>IFERROR(INDEX('Upper Hot Cell Logistics'!$I$35:$O$41,MATCH($J133,'Upper Hot Cell Logistics'!$H$35:$H$41,0),MATCH($K133,'Upper Hot Cell Logistics'!$H$35:$H$41,0)),"N/A")</f>
        <v>20</v>
      </c>
      <c r="M133" s="3047">
        <f>IFERROR(VLOOKUP($I133,'Upper Hot Cell Logistics'!$H$4:$I$9,2,FALSE),"N/A")</f>
        <v>0.2</v>
      </c>
      <c r="N133" s="3059">
        <f t="shared" si="6"/>
        <v>2.7777777777777776E-2</v>
      </c>
      <c r="O133" s="3051"/>
      <c r="P133" s="3046" t="str">
        <f>IF($D133="Logistics",VLOOKUP($O133,'Upper Hot Cell Logistics'!$C$4:$D$44,2,FALSE),"N/A")</f>
        <v>N/A</v>
      </c>
    </row>
    <row r="134" spans="1:16" x14ac:dyDescent="0.4">
      <c r="A134" s="3083"/>
      <c r="B134" s="4055"/>
      <c r="C134" s="3049" t="s">
        <v>1166</v>
      </c>
      <c r="D134" s="3049" t="s">
        <v>3</v>
      </c>
      <c r="E134" s="3047">
        <f t="shared" si="5"/>
        <v>0.58000000000000007</v>
      </c>
      <c r="F134" s="3046">
        <f>IF($D134="Trigger",VLOOKUP($C134,'Upper Hot Cell Welding failures'!$E$144:$I$209,5,FALSE),E134+F133)</f>
        <v>1.3572222222222223</v>
      </c>
      <c r="G134" s="3050"/>
      <c r="H134" s="3046" t="str">
        <f>IF(D134="operation",VLOOKUP(G134,'Generic Vertical Port Tasks'!$C$6:$D$558,2,FALSE),"N/A")</f>
        <v>N/A</v>
      </c>
      <c r="I134" s="3049"/>
      <c r="J134" s="3049"/>
      <c r="K134" s="3049"/>
      <c r="L134" s="3047" t="str">
        <f>IFERROR(INDEX('Upper Hot Cell Logistics'!$I$35:$O$41,MATCH($J134,'Upper Hot Cell Logistics'!$H$35:$H$41,0),MATCH($K134,'Upper Hot Cell Logistics'!$H$35:$H$41,0)),"N/A")</f>
        <v>N/A</v>
      </c>
      <c r="M134" s="3047" t="str">
        <f>IFERROR(VLOOKUP($I134,'Upper Hot Cell Logistics'!$H$4:$I$9,2,FALSE),"N/A")</f>
        <v>N/A</v>
      </c>
      <c r="N134" s="3059" t="str">
        <f t="shared" si="6"/>
        <v>N/A</v>
      </c>
      <c r="O134" s="3051" t="s">
        <v>796</v>
      </c>
      <c r="P134" s="3046">
        <f>IF($D134="Logistics",VLOOKUP($O134,'Upper Hot Cell Logistics'!$C$4:$D$44,2,FALSE),"N/A")</f>
        <v>0.58000000000000007</v>
      </c>
    </row>
    <row r="135" spans="1:16" x14ac:dyDescent="0.4">
      <c r="A135" s="3083"/>
      <c r="B135" s="4056"/>
      <c r="C135" s="3052" t="s">
        <v>2671</v>
      </c>
      <c r="D135" s="3052" t="s">
        <v>778</v>
      </c>
      <c r="E135" s="3047">
        <f t="shared" si="5"/>
        <v>6.9444444444444448E-2</v>
      </c>
      <c r="F135" s="3046">
        <f>IF($D135="Trigger",VLOOKUP($C135,'Upper Hot Cell Welding failures'!$E$144:$I$209,5,FALSE),E135+F134)</f>
        <v>1.4266666666666667</v>
      </c>
      <c r="G135" s="3050"/>
      <c r="H135" s="3046" t="str">
        <f>IF(D135="operation",VLOOKUP(G135,'Generic Vertical Port Tasks'!$C$6:$D$558,2,FALSE),"N/A")</f>
        <v>N/A</v>
      </c>
      <c r="I135" s="3049" t="s">
        <v>798</v>
      </c>
      <c r="J135" s="3049" t="s">
        <v>799</v>
      </c>
      <c r="K135" s="3049" t="s">
        <v>452</v>
      </c>
      <c r="L135" s="3047">
        <f>IFERROR(INDEX('Upper Hot Cell Logistics'!$I$35:$O$41,MATCH($J135,'Upper Hot Cell Logistics'!$H$35:$H$41,0),MATCH($K135,'Upper Hot Cell Logistics'!$H$35:$H$41,0)),"N/A")</f>
        <v>50</v>
      </c>
      <c r="M135" s="3047">
        <f>IFERROR(VLOOKUP($I135,'Upper Hot Cell Logistics'!$H$4:$I$9,2,FALSE),"N/A")</f>
        <v>0.2</v>
      </c>
      <c r="N135" s="3059">
        <f t="shared" si="6"/>
        <v>6.9444444444444448E-2</v>
      </c>
      <c r="O135" s="3051"/>
      <c r="P135" s="3046" t="str">
        <f>IF($D135="Logistics",VLOOKUP($O135,'Upper Hot Cell Logistics'!$C$4:$D$44,2,FALSE),"N/A")</f>
        <v>N/A</v>
      </c>
    </row>
    <row r="136" spans="1:16" ht="26.15" thickBot="1" x14ac:dyDescent="0.45">
      <c r="A136" s="3083"/>
      <c r="B136" s="4057"/>
      <c r="C136" s="3053" t="str">
        <f>B130</f>
        <v>Shield Plug &amp; Fixations Equipment Stored, Pipe Module interface hardware Collected and moved to port</v>
      </c>
      <c r="D136" s="3053" t="s">
        <v>11</v>
      </c>
      <c r="E136" s="3054">
        <f t="shared" si="5"/>
        <v>0</v>
      </c>
      <c r="F136" s="3055">
        <f>IF($D136="Trigger",VLOOKUP($C136,'Upper Hot Cell Welding failures'!$E$144:$I$209,5,FALSE),E136+F135)</f>
        <v>1.4266666666666667</v>
      </c>
      <c r="G136" s="3056"/>
      <c r="H136" s="3055" t="str">
        <f>IF(D136="operation",VLOOKUP(G136,'Generic Vertical Port Tasks'!$C$6:$D$558,2,FALSE),"N/A")</f>
        <v>N/A</v>
      </c>
      <c r="I136" s="3053"/>
      <c r="J136" s="3053"/>
      <c r="K136" s="3053"/>
      <c r="L136" s="3054" t="str">
        <f>IFERROR(INDEX('Upper Hot Cell Logistics'!$I$35:$O$41,MATCH($J136,'Upper Hot Cell Logistics'!$H$35:$H$41,0),MATCH($K136,'Upper Hot Cell Logistics'!$H$35:$H$41,0)),"N/A")</f>
        <v>N/A</v>
      </c>
      <c r="M136" s="3054" t="str">
        <f>IFERROR(VLOOKUP($I136,'Upper Hot Cell Logistics'!$H$4:$I$9,2,FALSE),"N/A")</f>
        <v>N/A</v>
      </c>
      <c r="N136" s="3060" t="str">
        <f t="shared" si="6"/>
        <v>N/A</v>
      </c>
      <c r="O136" s="3057"/>
      <c r="P136" s="3055" t="str">
        <f>IF($D136="Logistics",VLOOKUP($O136,'Upper Hot Cell Logistics'!$C$4:$D$44,2,FALSE),"N/A")</f>
        <v>N/A</v>
      </c>
    </row>
    <row r="137" spans="1:16" x14ac:dyDescent="0.4">
      <c r="A137" s="3083"/>
      <c r="B137" s="4054" t="s">
        <v>2673</v>
      </c>
      <c r="C137" s="3042" t="str">
        <f>'Upper Hot Cell Welding failures'!E147</f>
        <v>Extract LOB Pipe Module</v>
      </c>
      <c r="D137" s="3042" t="s">
        <v>907</v>
      </c>
      <c r="E137" s="3043">
        <f t="shared" si="5"/>
        <v>0</v>
      </c>
      <c r="F137" s="3043">
        <f>IF($D137="Trigger",VLOOKUP($C137,'Upper Hot Cell Welding failures'!$E$144:$I$209,5,FALSE),E137+F136)</f>
        <v>2.221111111111111</v>
      </c>
      <c r="G137" s="3045"/>
      <c r="H137" s="3044" t="str">
        <f>IF(D137="operation",VLOOKUP(G137,'Generic Vertical Port Tasks'!$C$6:$D$558,2,FALSE),"N/A")</f>
        <v>N/A</v>
      </c>
      <c r="I137" s="3042"/>
      <c r="J137" s="3042"/>
      <c r="K137" s="3042"/>
      <c r="L137" s="3043" t="str">
        <f>IFERROR(INDEX('Upper Hot Cell Logistics'!$I$35:$O$41,MATCH($J137,'Upper Hot Cell Logistics'!$H$35:$H$41,0),MATCH($K137,'Upper Hot Cell Logistics'!$H$35:$H$41,0)),"N/A")</f>
        <v>N/A</v>
      </c>
      <c r="M137" s="3043" t="str">
        <f>IFERROR(VLOOKUP($I137,'Upper Hot Cell Logistics'!$H$4:$I$9,2,FALSE),"N/A")</f>
        <v>N/A</v>
      </c>
      <c r="N137" s="3061" t="str">
        <f t="shared" si="6"/>
        <v>N/A</v>
      </c>
      <c r="O137" s="3048"/>
      <c r="P137" s="3044" t="str">
        <f>IF($D137="Logistics",VLOOKUP($O137,'Upper Hot Cell Logistics'!$C$4:$D$44,2,FALSE),"N/A")</f>
        <v>N/A</v>
      </c>
    </row>
    <row r="138" spans="1:16" x14ac:dyDescent="0.4">
      <c r="A138" s="3083"/>
      <c r="B138" s="4055"/>
      <c r="C138" s="3049" t="s">
        <v>1192</v>
      </c>
      <c r="D138" s="3049" t="s">
        <v>778</v>
      </c>
      <c r="E138" s="3047">
        <f t="shared" si="5"/>
        <v>0.69444444444444442</v>
      </c>
      <c r="F138" s="3047">
        <f>IF($D138="Trigger",VLOOKUP($C138,'Upper Hot Cell Welding failures'!$E$144:$I$209,5,FALSE),E138+F137)</f>
        <v>2.9155555555555557</v>
      </c>
      <c r="G138" s="3050"/>
      <c r="H138" s="3046" t="str">
        <f>IF(D138="operation",VLOOKUP(G138,'Generic Vertical Port Tasks'!$C$6:$D$558,2,FALSE),"N/A")</f>
        <v>N/A</v>
      </c>
      <c r="I138" s="3049" t="s">
        <v>857</v>
      </c>
      <c r="J138" s="3049" t="s">
        <v>452</v>
      </c>
      <c r="K138" s="3049" t="s">
        <v>831</v>
      </c>
      <c r="L138" s="3047">
        <f>IFERROR(INDEX('Upper Hot Cell Logistics'!$I$35:$O$41,MATCH($J138,'Upper Hot Cell Logistics'!$H$35:$H$41,0),MATCH($K138,'Upper Hot Cell Logistics'!$H$35:$H$41,0)),"N/A")</f>
        <v>50</v>
      </c>
      <c r="M138" s="3047">
        <f>IFERROR(VLOOKUP($I138,'Upper Hot Cell Logistics'!$H$4:$I$9,2,FALSE),"N/A")</f>
        <v>0.02</v>
      </c>
      <c r="N138" s="3059">
        <f t="shared" si="6"/>
        <v>0.69444444444444442</v>
      </c>
      <c r="O138" s="3051"/>
      <c r="P138" s="3046" t="str">
        <f>IF($D138="Logistics",VLOOKUP($O138,'Upper Hot Cell Logistics'!$C$4:$D$44,2,FALSE),"N/A")</f>
        <v>N/A</v>
      </c>
    </row>
    <row r="139" spans="1:16" x14ac:dyDescent="0.4">
      <c r="A139" s="3083"/>
      <c r="B139" s="4055"/>
      <c r="C139" s="3049" t="s">
        <v>940</v>
      </c>
      <c r="D139" s="3049" t="s">
        <v>3</v>
      </c>
      <c r="E139" s="3047">
        <f t="shared" si="5"/>
        <v>0.58000000000000007</v>
      </c>
      <c r="F139" s="3047">
        <f>IF($D139="Trigger",VLOOKUP($C139,'Upper Hot Cell Welding failures'!$E$144:$I$209,5,FALSE),E139+F138)</f>
        <v>3.4955555555555557</v>
      </c>
      <c r="G139" s="3050"/>
      <c r="H139" s="3046" t="str">
        <f>IF(D139="operation",VLOOKUP(G139,'Generic Vertical Port Tasks'!$C$6:$D$558,2,FALSE),"N/A")</f>
        <v>N/A</v>
      </c>
      <c r="I139" s="3049"/>
      <c r="J139" s="3049"/>
      <c r="K139" s="3049"/>
      <c r="L139" s="3047" t="str">
        <f>IFERROR(INDEX('Upper Hot Cell Logistics'!$I$35:$O$41,MATCH($J139,'Upper Hot Cell Logistics'!$H$35:$H$41,0),MATCH($K139,'Upper Hot Cell Logistics'!$H$35:$H$41,0)),"N/A")</f>
        <v>N/A</v>
      </c>
      <c r="M139" s="3047" t="str">
        <f>IFERROR(VLOOKUP($I139,'Upper Hot Cell Logistics'!$H$4:$I$9,2,FALSE),"N/A")</f>
        <v>N/A</v>
      </c>
      <c r="N139" s="3059" t="str">
        <f t="shared" si="6"/>
        <v>N/A</v>
      </c>
      <c r="O139" s="3051" t="s">
        <v>904</v>
      </c>
      <c r="P139" s="3046">
        <f>IF($D139="Logistics",VLOOKUP($O139,'Upper Hot Cell Logistics'!$C$4:$D$44,2,FALSE),"N/A")</f>
        <v>0.58000000000000007</v>
      </c>
    </row>
    <row r="140" spans="1:16" x14ac:dyDescent="0.4">
      <c r="A140" s="3083"/>
      <c r="B140" s="4056"/>
      <c r="C140" s="3052" t="s">
        <v>807</v>
      </c>
      <c r="D140" s="3049" t="s">
        <v>778</v>
      </c>
      <c r="E140" s="3047">
        <f t="shared" si="5"/>
        <v>6.9444444444444448E-2</v>
      </c>
      <c r="F140" s="3047">
        <f>IF($D140="Trigger",VLOOKUP($C140,'Upper Hot Cell Welding failures'!$E$144:$I$209,5,FALSE),E140+F139)</f>
        <v>3.5650000000000004</v>
      </c>
      <c r="G140" s="3050"/>
      <c r="H140" s="3046" t="str">
        <f>IF(D140="operation",VLOOKUP(G140,'Generic Vertical Port Tasks'!$C$6:$D$558,2,FALSE),"N/A")</f>
        <v>N/A</v>
      </c>
      <c r="I140" s="3049" t="s">
        <v>798</v>
      </c>
      <c r="J140" s="3049" t="s">
        <v>831</v>
      </c>
      <c r="K140" s="3049" t="s">
        <v>452</v>
      </c>
      <c r="L140" s="3047">
        <f>IFERROR(INDEX('Upper Hot Cell Logistics'!$I$35:$O$41,MATCH($J140,'Upper Hot Cell Logistics'!$H$35:$H$41,0),MATCH($K140,'Upper Hot Cell Logistics'!$H$35:$H$41,0)),"N/A")</f>
        <v>50</v>
      </c>
      <c r="M140" s="3047">
        <f>IFERROR(VLOOKUP($I140,'Upper Hot Cell Logistics'!$H$4:$I$9,2,FALSE),"N/A")</f>
        <v>0.2</v>
      </c>
      <c r="N140" s="3059">
        <f t="shared" si="6"/>
        <v>6.9444444444444448E-2</v>
      </c>
      <c r="O140" s="3051"/>
      <c r="P140" s="3046" t="str">
        <f>IF($D140="Logistics",VLOOKUP($O140,'Upper Hot Cell Logistics'!$C$4:$D$44,2,FALSE),"N/A")</f>
        <v>N/A</v>
      </c>
    </row>
    <row r="141" spans="1:16" ht="26.15" thickBot="1" x14ac:dyDescent="0.45">
      <c r="A141" s="3083"/>
      <c r="B141" s="4057"/>
      <c r="C141" s="3053" t="str">
        <f>B137</f>
        <v>LOB Pipe Module Stored and Transporter Returned to Vertical Port</v>
      </c>
      <c r="D141" s="3053" t="s">
        <v>11</v>
      </c>
      <c r="E141" s="3054">
        <f t="shared" si="5"/>
        <v>0</v>
      </c>
      <c r="F141" s="3054">
        <f>IF($D141="Trigger",VLOOKUP($C141,'Upper Hot Cell Welding failures'!$E$144:$I$209,5,FALSE),E141+F140)</f>
        <v>3.5650000000000004</v>
      </c>
      <c r="G141" s="3056"/>
      <c r="H141" s="3055" t="str">
        <f>IF(D141="operation",VLOOKUP(G141,'Generic Vertical Port Tasks'!$C$6:$D$558,2,FALSE),"N/A")</f>
        <v>N/A</v>
      </c>
      <c r="I141" s="3053"/>
      <c r="J141" s="3053"/>
      <c r="K141" s="3053"/>
      <c r="L141" s="3054" t="str">
        <f>IFERROR(INDEX('Upper Hot Cell Logistics'!$I$35:$O$41,MATCH($J141,'Upper Hot Cell Logistics'!$H$35:$H$41,0),MATCH($K141,'Upper Hot Cell Logistics'!$H$35:$H$41,0)),"N/A")</f>
        <v>N/A</v>
      </c>
      <c r="M141" s="3054" t="str">
        <f>IFERROR(VLOOKUP($I141,'Upper Hot Cell Logistics'!$H$4:$I$9,2,FALSE),"N/A")</f>
        <v>N/A</v>
      </c>
      <c r="N141" s="3060" t="str">
        <f t="shared" si="6"/>
        <v>N/A</v>
      </c>
      <c r="O141" s="3057"/>
      <c r="P141" s="3055" t="str">
        <f>IF($D141="Logistics",VLOOKUP($O141,'Upper Hot Cell Logistics'!$C$4:$D$44,2,FALSE),"N/A")</f>
        <v>N/A</v>
      </c>
    </row>
    <row r="142" spans="1:16" x14ac:dyDescent="0.4">
      <c r="A142" s="3083"/>
      <c r="B142" s="4054" t="s">
        <v>2674</v>
      </c>
      <c r="C142" s="3042" t="str">
        <f>'Upper Hot Cell Welding failures'!E153</f>
        <v>Extract ROB Pipe Module</v>
      </c>
      <c r="D142" s="3042" t="s">
        <v>907</v>
      </c>
      <c r="E142" s="3043">
        <f t="shared" si="5"/>
        <v>0</v>
      </c>
      <c r="F142" s="3043">
        <f>IF($D142="Trigger",VLOOKUP($C142,'Upper Hot Cell Welding failures'!$E$144:$I$209,5,FALSE),E142+F141)</f>
        <v>11.124637753938991</v>
      </c>
      <c r="G142" s="3045"/>
      <c r="H142" s="3044" t="str">
        <f>IF(D142="operation",VLOOKUP(G142,'Generic Vertical Port Tasks'!$C$6:$D$558,2,FALSE),"N/A")</f>
        <v>N/A</v>
      </c>
      <c r="I142" s="3042"/>
      <c r="J142" s="3042"/>
      <c r="K142" s="3042"/>
      <c r="L142" s="3043" t="str">
        <f>IFERROR(INDEX('Upper Hot Cell Logistics'!$I$35:$O$41,MATCH($J142,'Upper Hot Cell Logistics'!$H$35:$H$41,0),MATCH($K142,'Upper Hot Cell Logistics'!$H$35:$H$41,0)),"N/A")</f>
        <v>N/A</v>
      </c>
      <c r="M142" s="3043" t="str">
        <f>IFERROR(VLOOKUP($I142,'Upper Hot Cell Logistics'!$H$4:$I$9,2,FALSE),"N/A")</f>
        <v>N/A</v>
      </c>
      <c r="N142" s="3061" t="str">
        <f t="shared" si="6"/>
        <v>N/A</v>
      </c>
      <c r="O142" s="3048"/>
      <c r="P142" s="3044" t="str">
        <f>IF($D142="Logistics",VLOOKUP($O142,'Upper Hot Cell Logistics'!$C$4:$D$44,2,FALSE),"N/A")</f>
        <v>N/A</v>
      </c>
    </row>
    <row r="143" spans="1:16" x14ac:dyDescent="0.4">
      <c r="A143" s="3083"/>
      <c r="B143" s="4055"/>
      <c r="C143" s="3049" t="s">
        <v>1192</v>
      </c>
      <c r="D143" s="3049" t="s">
        <v>778</v>
      </c>
      <c r="E143" s="3047">
        <f t="shared" si="5"/>
        <v>0.69444444444444442</v>
      </c>
      <c r="F143" s="3047">
        <f>IF($D143="Trigger",VLOOKUP($C143,'Upper Hot Cell Welding failures'!$E$144:$I$209,5,FALSE),E143+F142)</f>
        <v>11.819082198383436</v>
      </c>
      <c r="G143" s="3050"/>
      <c r="H143" s="3046" t="str">
        <f>IF(D143="operation",VLOOKUP(G143,'Generic Vertical Port Tasks'!$C$6:$D$558,2,FALSE),"N/A")</f>
        <v>N/A</v>
      </c>
      <c r="I143" s="3049" t="s">
        <v>857</v>
      </c>
      <c r="J143" s="3049" t="s">
        <v>452</v>
      </c>
      <c r="K143" s="3049" t="s">
        <v>831</v>
      </c>
      <c r="L143" s="3047">
        <f>IFERROR(INDEX('Upper Hot Cell Logistics'!$I$35:$O$41,MATCH($J143,'Upper Hot Cell Logistics'!$H$35:$H$41,0),MATCH($K143,'Upper Hot Cell Logistics'!$H$35:$H$41,0)),"N/A")</f>
        <v>50</v>
      </c>
      <c r="M143" s="3047">
        <f>IFERROR(VLOOKUP($I143,'Upper Hot Cell Logistics'!$H$4:$I$9,2,FALSE),"N/A")</f>
        <v>0.02</v>
      </c>
      <c r="N143" s="3059">
        <f t="shared" si="6"/>
        <v>0.69444444444444442</v>
      </c>
      <c r="O143" s="3051"/>
      <c r="P143" s="3046" t="str">
        <f>IF($D143="Logistics",VLOOKUP($O143,'Upper Hot Cell Logistics'!$C$4:$D$44,2,FALSE),"N/A")</f>
        <v>N/A</v>
      </c>
    </row>
    <row r="144" spans="1:16" x14ac:dyDescent="0.4">
      <c r="A144" s="3083"/>
      <c r="B144" s="4055"/>
      <c r="C144" s="3049" t="s">
        <v>940</v>
      </c>
      <c r="D144" s="3049" t="s">
        <v>3</v>
      </c>
      <c r="E144" s="3047">
        <f t="shared" si="5"/>
        <v>0.58000000000000007</v>
      </c>
      <c r="F144" s="3047">
        <f>IF($D144="Trigger",VLOOKUP($C144,'Upper Hot Cell Welding failures'!$E$144:$I$209,5,FALSE),E144+F143)</f>
        <v>12.399082198383436</v>
      </c>
      <c r="G144" s="3050"/>
      <c r="H144" s="3046" t="str">
        <f>IF(D144="operation",VLOOKUP(G144,'Generic Vertical Port Tasks'!$C$6:$D$558,2,FALSE),"N/A")</f>
        <v>N/A</v>
      </c>
      <c r="I144" s="3049"/>
      <c r="J144" s="3049"/>
      <c r="K144" s="3049"/>
      <c r="L144" s="3047" t="str">
        <f>IFERROR(INDEX('Upper Hot Cell Logistics'!$I$35:$O$41,MATCH($J144,'Upper Hot Cell Logistics'!$H$35:$H$41,0),MATCH($K144,'Upper Hot Cell Logistics'!$H$35:$H$41,0)),"N/A")</f>
        <v>N/A</v>
      </c>
      <c r="M144" s="3047" t="str">
        <f>IFERROR(VLOOKUP($I144,'Upper Hot Cell Logistics'!$H$4:$I$9,2,FALSE),"N/A")</f>
        <v>N/A</v>
      </c>
      <c r="N144" s="3059" t="str">
        <f t="shared" si="6"/>
        <v>N/A</v>
      </c>
      <c r="O144" s="3051" t="s">
        <v>904</v>
      </c>
      <c r="P144" s="3046">
        <f>IF($D144="Logistics",VLOOKUP($O144,'Upper Hot Cell Logistics'!$C$4:$D$44,2,FALSE),"N/A")</f>
        <v>0.58000000000000007</v>
      </c>
    </row>
    <row r="145" spans="1:16" x14ac:dyDescent="0.4">
      <c r="A145" s="3083"/>
      <c r="B145" s="4056"/>
      <c r="C145" s="3052" t="s">
        <v>807</v>
      </c>
      <c r="D145" s="3049" t="s">
        <v>778</v>
      </c>
      <c r="E145" s="3047">
        <f t="shared" si="5"/>
        <v>6.9444444444444448E-2</v>
      </c>
      <c r="F145" s="3047">
        <f>IF($D145="Trigger",VLOOKUP($C145,'Upper Hot Cell Welding failures'!$E$144:$I$209,5,FALSE),E145+F144)</f>
        <v>12.46852664282788</v>
      </c>
      <c r="G145" s="3050"/>
      <c r="H145" s="3046" t="str">
        <f>IF(D145="operation",VLOOKUP(G145,'Generic Vertical Port Tasks'!$C$6:$D$558,2,FALSE),"N/A")</f>
        <v>N/A</v>
      </c>
      <c r="I145" s="3049" t="s">
        <v>798</v>
      </c>
      <c r="J145" s="3049" t="s">
        <v>831</v>
      </c>
      <c r="K145" s="3049" t="s">
        <v>452</v>
      </c>
      <c r="L145" s="3047">
        <f>IFERROR(INDEX('Upper Hot Cell Logistics'!$I$35:$O$41,MATCH($J145,'Upper Hot Cell Logistics'!$H$35:$H$41,0),MATCH($K145,'Upper Hot Cell Logistics'!$H$35:$H$41,0)),"N/A")</f>
        <v>50</v>
      </c>
      <c r="M145" s="3047">
        <f>IFERROR(VLOOKUP($I145,'Upper Hot Cell Logistics'!$H$4:$I$9,2,FALSE),"N/A")</f>
        <v>0.2</v>
      </c>
      <c r="N145" s="3059">
        <f t="shared" si="6"/>
        <v>6.9444444444444448E-2</v>
      </c>
      <c r="O145" s="3051"/>
      <c r="P145" s="3046" t="str">
        <f>IF($D145="Logistics",VLOOKUP($O145,'Upper Hot Cell Logistics'!$C$4:$D$44,2,FALSE),"N/A")</f>
        <v>N/A</v>
      </c>
    </row>
    <row r="146" spans="1:16" ht="26.15" thickBot="1" x14ac:dyDescent="0.45">
      <c r="A146" s="3083"/>
      <c r="B146" s="4057"/>
      <c r="C146" s="3053" t="str">
        <f>B142</f>
        <v>ROB Pipe Module Stored and Transporter Returned to Vertical Port</v>
      </c>
      <c r="D146" s="3053" t="s">
        <v>11</v>
      </c>
      <c r="E146" s="3054">
        <f t="shared" si="5"/>
        <v>0</v>
      </c>
      <c r="F146" s="3054">
        <f>IF($D146="Trigger",VLOOKUP($C146,'Upper Hot Cell Welding failures'!$E$144:$I$209,5,FALSE),E146+F145)</f>
        <v>12.46852664282788</v>
      </c>
      <c r="G146" s="3056"/>
      <c r="H146" s="3055" t="str">
        <f>IF(D146="operation",VLOOKUP(G146,'Generic Vertical Port Tasks'!$C$6:$D$558,2,FALSE),"N/A")</f>
        <v>N/A</v>
      </c>
      <c r="I146" s="3053"/>
      <c r="J146" s="3053"/>
      <c r="K146" s="3053"/>
      <c r="L146" s="3054" t="str">
        <f>IFERROR(INDEX('Upper Hot Cell Logistics'!$I$35:$O$41,MATCH($J146,'Upper Hot Cell Logistics'!$H$35:$H$41,0),MATCH($K146,'Upper Hot Cell Logistics'!$H$35:$H$41,0)),"N/A")</f>
        <v>N/A</v>
      </c>
      <c r="M146" s="3054" t="str">
        <f>IFERROR(VLOOKUP($I146,'Upper Hot Cell Logistics'!$H$4:$I$9,2,FALSE),"N/A")</f>
        <v>N/A</v>
      </c>
      <c r="N146" s="3060" t="str">
        <f t="shared" si="6"/>
        <v>N/A</v>
      </c>
      <c r="O146" s="3057"/>
      <c r="P146" s="3055" t="str">
        <f>IF($D146="Logistics",VLOOKUP($O146,'Upper Hot Cell Logistics'!$C$4:$D$44,2,FALSE),"N/A")</f>
        <v>N/A</v>
      </c>
    </row>
    <row r="147" spans="1:16" x14ac:dyDescent="0.4">
      <c r="A147" s="3083"/>
      <c r="B147" s="4054" t="s">
        <v>2675</v>
      </c>
      <c r="C147" s="3042" t="str">
        <f>'Upper Hot Cell Welding failures'!E159</f>
        <v>Extract LIB Pipe Module</v>
      </c>
      <c r="D147" s="3042" t="s">
        <v>907</v>
      </c>
      <c r="E147" s="3043">
        <f t="shared" si="5"/>
        <v>0</v>
      </c>
      <c r="F147" s="3043">
        <f>IF($D147="Trigger",VLOOKUP($C147,'Upper Hot Cell Welding failures'!$E$144:$I$209,5,FALSE),E147+F146)</f>
        <v>20.028164396766872</v>
      </c>
      <c r="G147" s="3045"/>
      <c r="H147" s="3044" t="str">
        <f>IF(D147="operation",VLOOKUP(G147,'Generic Vertical Port Tasks'!$C$6:$D$558,2,FALSE),"N/A")</f>
        <v>N/A</v>
      </c>
      <c r="I147" s="3042"/>
      <c r="J147" s="3042"/>
      <c r="K147" s="3042"/>
      <c r="L147" s="3043" t="str">
        <f>IFERROR(INDEX('Upper Hot Cell Logistics'!$I$35:$O$41,MATCH($J147,'Upper Hot Cell Logistics'!$H$35:$H$41,0),MATCH($K147,'Upper Hot Cell Logistics'!$H$35:$H$41,0)),"N/A")</f>
        <v>N/A</v>
      </c>
      <c r="M147" s="3043" t="str">
        <f>IFERROR(VLOOKUP($I147,'Upper Hot Cell Logistics'!$H$4:$I$9,2,FALSE),"N/A")</f>
        <v>N/A</v>
      </c>
      <c r="N147" s="3061" t="str">
        <f t="shared" si="6"/>
        <v>N/A</v>
      </c>
      <c r="O147" s="3048"/>
      <c r="P147" s="3044" t="str">
        <f>IF($D147="Logistics",VLOOKUP($O147,'Upper Hot Cell Logistics'!$C$4:$D$44,2,FALSE),"N/A")</f>
        <v>N/A</v>
      </c>
    </row>
    <row r="148" spans="1:16" x14ac:dyDescent="0.4">
      <c r="A148" s="3083"/>
      <c r="B148" s="4055"/>
      <c r="C148" s="3049" t="s">
        <v>1192</v>
      </c>
      <c r="D148" s="3049" t="s">
        <v>778</v>
      </c>
      <c r="E148" s="3047">
        <f t="shared" si="5"/>
        <v>0.69444444444444442</v>
      </c>
      <c r="F148" s="3047">
        <f>IF($D148="Trigger",VLOOKUP($C148,'Upper Hot Cell Welding failures'!$E$144:$I$209,5,FALSE),E148+F147)</f>
        <v>20.722608841211315</v>
      </c>
      <c r="G148" s="3050"/>
      <c r="H148" s="3046" t="str">
        <f>IF(D148="operation",VLOOKUP(G148,'Generic Vertical Port Tasks'!$C$6:$D$558,2,FALSE),"N/A")</f>
        <v>N/A</v>
      </c>
      <c r="I148" s="3049" t="s">
        <v>857</v>
      </c>
      <c r="J148" s="3049" t="s">
        <v>452</v>
      </c>
      <c r="K148" s="3049" t="s">
        <v>831</v>
      </c>
      <c r="L148" s="3047">
        <f>IFERROR(INDEX('Upper Hot Cell Logistics'!$I$35:$O$41,MATCH($J148,'Upper Hot Cell Logistics'!$H$35:$H$41,0),MATCH($K148,'Upper Hot Cell Logistics'!$H$35:$H$41,0)),"N/A")</f>
        <v>50</v>
      </c>
      <c r="M148" s="3047">
        <f>IFERROR(VLOOKUP($I148,'Upper Hot Cell Logistics'!$H$4:$I$9,2,FALSE),"N/A")</f>
        <v>0.02</v>
      </c>
      <c r="N148" s="3059">
        <f t="shared" si="6"/>
        <v>0.69444444444444442</v>
      </c>
      <c r="O148" s="3051"/>
      <c r="P148" s="3046" t="str">
        <f>IF($D148="Logistics",VLOOKUP($O148,'Upper Hot Cell Logistics'!$C$4:$D$44,2,FALSE),"N/A")</f>
        <v>N/A</v>
      </c>
    </row>
    <row r="149" spans="1:16" x14ac:dyDescent="0.4">
      <c r="A149" s="3083"/>
      <c r="B149" s="4055"/>
      <c r="C149" s="3049" t="s">
        <v>940</v>
      </c>
      <c r="D149" s="3049" t="s">
        <v>3</v>
      </c>
      <c r="E149" s="3047">
        <f t="shared" si="5"/>
        <v>0.58000000000000007</v>
      </c>
      <c r="F149" s="3047">
        <f>IF($D149="Trigger",VLOOKUP($C149,'Upper Hot Cell Welding failures'!$E$144:$I$209,5,FALSE),E149+F148)</f>
        <v>21.302608841211317</v>
      </c>
      <c r="G149" s="3050"/>
      <c r="H149" s="3046" t="str">
        <f>IF(D149="operation",VLOOKUP(G149,'Generic Vertical Port Tasks'!$C$6:$D$558,2,FALSE),"N/A")</f>
        <v>N/A</v>
      </c>
      <c r="I149" s="3049"/>
      <c r="J149" s="3049"/>
      <c r="K149" s="3049"/>
      <c r="L149" s="3047" t="str">
        <f>IFERROR(INDEX('Upper Hot Cell Logistics'!$I$35:$O$41,MATCH($J149,'Upper Hot Cell Logistics'!$H$35:$H$41,0),MATCH($K149,'Upper Hot Cell Logistics'!$H$35:$H$41,0)),"N/A")</f>
        <v>N/A</v>
      </c>
      <c r="M149" s="3047" t="str">
        <f>IFERROR(VLOOKUP($I149,'Upper Hot Cell Logistics'!$H$4:$I$9,2,FALSE),"N/A")</f>
        <v>N/A</v>
      </c>
      <c r="N149" s="3059" t="str">
        <f t="shared" si="6"/>
        <v>N/A</v>
      </c>
      <c r="O149" s="3051" t="s">
        <v>904</v>
      </c>
      <c r="P149" s="3046">
        <f>IF($D149="Logistics",VLOOKUP($O149,'Upper Hot Cell Logistics'!$C$4:$D$44,2,FALSE),"N/A")</f>
        <v>0.58000000000000007</v>
      </c>
    </row>
    <row r="150" spans="1:16" x14ac:dyDescent="0.4">
      <c r="A150" s="3083"/>
      <c r="B150" s="4056"/>
      <c r="C150" s="3052" t="s">
        <v>807</v>
      </c>
      <c r="D150" s="3049" t="s">
        <v>778</v>
      </c>
      <c r="E150" s="3047">
        <f t="shared" si="5"/>
        <v>6.9444444444444448E-2</v>
      </c>
      <c r="F150" s="3047">
        <f>IF($D150="Trigger",VLOOKUP($C150,'Upper Hot Cell Welding failures'!$E$144:$I$209,5,FALSE),E150+F149)</f>
        <v>21.37205328565576</v>
      </c>
      <c r="G150" s="3050"/>
      <c r="H150" s="3046" t="str">
        <f>IF(D150="operation",VLOOKUP(G150,'Generic Vertical Port Tasks'!$C$6:$D$558,2,FALSE),"N/A")</f>
        <v>N/A</v>
      </c>
      <c r="I150" s="3049" t="s">
        <v>798</v>
      </c>
      <c r="J150" s="3049" t="s">
        <v>831</v>
      </c>
      <c r="K150" s="3049" t="s">
        <v>452</v>
      </c>
      <c r="L150" s="3047">
        <f>IFERROR(INDEX('Upper Hot Cell Logistics'!$I$35:$O$41,MATCH($J150,'Upper Hot Cell Logistics'!$H$35:$H$41,0),MATCH($K150,'Upper Hot Cell Logistics'!$H$35:$H$41,0)),"N/A")</f>
        <v>50</v>
      </c>
      <c r="M150" s="3047">
        <f>IFERROR(VLOOKUP($I150,'Upper Hot Cell Logistics'!$H$4:$I$9,2,FALSE),"N/A")</f>
        <v>0.2</v>
      </c>
      <c r="N150" s="3059">
        <f t="shared" si="6"/>
        <v>6.9444444444444448E-2</v>
      </c>
      <c r="O150" s="3051"/>
      <c r="P150" s="3046" t="str">
        <f>IF($D150="Logistics",VLOOKUP($O150,'Upper Hot Cell Logistics'!$C$4:$D$44,2,FALSE),"N/A")</f>
        <v>N/A</v>
      </c>
    </row>
    <row r="151" spans="1:16" ht="26.15" thickBot="1" x14ac:dyDescent="0.45">
      <c r="A151" s="3083"/>
      <c r="B151" s="4057"/>
      <c r="C151" s="3053" t="str">
        <f>B147</f>
        <v>LIB Pipe Module Stored and Transporter Returned to Vertical Port</v>
      </c>
      <c r="D151" s="3053" t="s">
        <v>11</v>
      </c>
      <c r="E151" s="3054">
        <f t="shared" si="5"/>
        <v>0</v>
      </c>
      <c r="F151" s="3054">
        <f>IF($D151="Trigger",VLOOKUP($C151,'Upper Hot Cell Welding failures'!$E$144:$I$209,5,FALSE),E151+F150)</f>
        <v>21.37205328565576</v>
      </c>
      <c r="G151" s="3056"/>
      <c r="H151" s="3055" t="str">
        <f>IF(D151="operation",VLOOKUP(G151,'Generic Vertical Port Tasks'!$C$6:$D$558,2,FALSE),"N/A")</f>
        <v>N/A</v>
      </c>
      <c r="I151" s="3053"/>
      <c r="J151" s="3053"/>
      <c r="K151" s="3053"/>
      <c r="L151" s="3054" t="str">
        <f>IFERROR(INDEX('Upper Hot Cell Logistics'!$I$35:$O$41,MATCH($J151,'Upper Hot Cell Logistics'!$H$35:$H$41,0),MATCH($K151,'Upper Hot Cell Logistics'!$H$35:$H$41,0)),"N/A")</f>
        <v>N/A</v>
      </c>
      <c r="M151" s="3054" t="str">
        <f>IFERROR(VLOOKUP($I151,'Upper Hot Cell Logistics'!$H$4:$I$9,2,FALSE),"N/A")</f>
        <v>N/A</v>
      </c>
      <c r="N151" s="3060" t="str">
        <f t="shared" si="6"/>
        <v>N/A</v>
      </c>
      <c r="O151" s="3057"/>
      <c r="P151" s="3055" t="str">
        <f>IF($D151="Logistics",VLOOKUP($O151,'Upper Hot Cell Logistics'!$C$4:$D$44,2,FALSE),"N/A")</f>
        <v>N/A</v>
      </c>
    </row>
    <row r="152" spans="1:16" x14ac:dyDescent="0.4">
      <c r="A152" s="3083"/>
      <c r="B152" s="4054" t="s">
        <v>1077</v>
      </c>
      <c r="C152" s="3042" t="str">
        <f>'Upper Hot Cell Welding failures'!E163</f>
        <v>Cut Pipes 5</v>
      </c>
      <c r="D152" s="3042" t="s">
        <v>907</v>
      </c>
      <c r="E152" s="3043">
        <f t="shared" si="5"/>
        <v>0</v>
      </c>
      <c r="F152" s="3044">
        <f>IF($D152="Trigger",VLOOKUP($C152,'Upper Hot Cell Welding failures'!$E$144:$I$209,5,FALSE),E152+F151)</f>
        <v>28.137246595150305</v>
      </c>
      <c r="G152" s="3045"/>
      <c r="H152" s="3044" t="str">
        <f>IF(D152="operation",VLOOKUP(G152,'Generic Vertical Port Tasks'!$C$6:$D$558,2,FALSE),"N/A")</f>
        <v>N/A</v>
      </c>
      <c r="I152" s="3042"/>
      <c r="J152" s="3042"/>
      <c r="K152" s="3042"/>
      <c r="L152" s="3043" t="str">
        <f>IFERROR(INDEX('Upper Hot Cell Logistics'!$I$35:$O$41,MATCH($J152,'Upper Hot Cell Logistics'!$H$35:$H$41,0),MATCH($K152,'Upper Hot Cell Logistics'!$H$35:$H$41,0)),"N/A")</f>
        <v>N/A</v>
      </c>
      <c r="M152" s="3043" t="str">
        <f>IFERROR(VLOOKUP($I152,'Upper Hot Cell Logistics'!$H$4:$I$9,2,FALSE),"N/A")</f>
        <v>N/A</v>
      </c>
      <c r="N152" s="3061" t="str">
        <f t="shared" si="6"/>
        <v>N/A</v>
      </c>
      <c r="O152" s="3048"/>
      <c r="P152" s="3044" t="str">
        <f>IF($D152="Logistics",VLOOKUP($O152,'Upper Hot Cell Logistics'!$C$4:$D$44,2,FALSE),"N/A")</f>
        <v>N/A</v>
      </c>
    </row>
    <row r="153" spans="1:16" x14ac:dyDescent="0.4">
      <c r="A153" s="3083"/>
      <c r="B153" s="4055"/>
      <c r="C153" s="3049" t="s">
        <v>1177</v>
      </c>
      <c r="D153" s="3049" t="s">
        <v>778</v>
      </c>
      <c r="E153" s="3047">
        <f t="shared" si="5"/>
        <v>0.69444444444444442</v>
      </c>
      <c r="F153" s="3046">
        <f>IF($D153="Trigger",VLOOKUP($C153,'Upper Hot Cell Welding failures'!$E$144:$I$209,5,FALSE),E153+F152)</f>
        <v>28.831691039594748</v>
      </c>
      <c r="G153" s="3050"/>
      <c r="H153" s="3046" t="str">
        <f>IF(D153="operation",VLOOKUP(G153,'Generic Vertical Port Tasks'!$C$6:$D$558,2,FALSE),"N/A")</f>
        <v>N/A</v>
      </c>
      <c r="I153" s="3049" t="s">
        <v>857</v>
      </c>
      <c r="J153" s="3049" t="s">
        <v>452</v>
      </c>
      <c r="K153" s="3049" t="s">
        <v>914</v>
      </c>
      <c r="L153" s="3047">
        <f>IFERROR(INDEX('Upper Hot Cell Logistics'!$I$35:$O$41,MATCH($J153,'Upper Hot Cell Logistics'!$H$35:$H$41,0),MATCH($K153,'Upper Hot Cell Logistics'!$H$35:$H$41,0)),"N/A")</f>
        <v>50</v>
      </c>
      <c r="M153" s="3047">
        <f>IFERROR(VLOOKUP($I153,'Upper Hot Cell Logistics'!$H$4:$I$9,2,FALSE),"N/A")</f>
        <v>0.02</v>
      </c>
      <c r="N153" s="3059">
        <f t="shared" si="6"/>
        <v>0.69444444444444442</v>
      </c>
      <c r="O153" s="3051"/>
      <c r="P153" s="3046" t="str">
        <f>IF($D153="Logistics",VLOOKUP($O153,'Upper Hot Cell Logistics'!$C$4:$D$44,2,FALSE),"N/A")</f>
        <v>N/A</v>
      </c>
    </row>
    <row r="154" spans="1:16" x14ac:dyDescent="0.4">
      <c r="A154" s="3083"/>
      <c r="B154" s="4055"/>
      <c r="C154" s="3049" t="s">
        <v>955</v>
      </c>
      <c r="D154" s="3049" t="s">
        <v>3</v>
      </c>
      <c r="E154" s="3047">
        <f t="shared" si="5"/>
        <v>0.78</v>
      </c>
      <c r="F154" s="3046">
        <f>IF($D154="Trigger",VLOOKUP($C154,'Upper Hot Cell Welding failures'!$E$144:$I$209,5,FALSE),E154+F153)</f>
        <v>29.611691039594749</v>
      </c>
      <c r="G154" s="3050"/>
      <c r="H154" s="3046" t="str">
        <f>IF(D154="operation",VLOOKUP(G154,'Generic Vertical Port Tasks'!$C$6:$D$558,2,FALSE),"N/A")</f>
        <v>N/A</v>
      </c>
      <c r="I154" s="3049"/>
      <c r="J154" s="3049"/>
      <c r="K154" s="3049"/>
      <c r="L154" s="3047" t="str">
        <f>IFERROR(INDEX('Upper Hot Cell Logistics'!$I$35:$O$41,MATCH($J154,'Upper Hot Cell Logistics'!$H$35:$H$41,0),MATCH($K154,'Upper Hot Cell Logistics'!$H$35:$H$41,0)),"N/A")</f>
        <v>N/A</v>
      </c>
      <c r="M154" s="3047" t="str">
        <f>IFERROR(VLOOKUP($I154,'Upper Hot Cell Logistics'!$H$4:$I$9,2,FALSE),"N/A")</f>
        <v>N/A</v>
      </c>
      <c r="N154" s="3059" t="str">
        <f t="shared" si="6"/>
        <v>N/A</v>
      </c>
      <c r="O154" s="3051" t="s">
        <v>1193</v>
      </c>
      <c r="P154" s="3046">
        <f>IF($D154="Logistics",VLOOKUP($O154,'Upper Hot Cell Logistics'!$C$4:$D$44,2,FALSE),"N/A")</f>
        <v>0.78</v>
      </c>
    </row>
    <row r="155" spans="1:16" x14ac:dyDescent="0.4">
      <c r="A155" s="3083"/>
      <c r="B155" s="4055"/>
      <c r="C155" s="3049" t="s">
        <v>1178</v>
      </c>
      <c r="D155" s="3049" t="s">
        <v>778</v>
      </c>
      <c r="E155" s="3047">
        <f t="shared" si="5"/>
        <v>1.3888888888888888E-2</v>
      </c>
      <c r="F155" s="3046">
        <f>IF($D155="Trigger",VLOOKUP($C155,'Upper Hot Cell Welding failures'!$E$144:$I$209,5,FALSE),E155+F154)</f>
        <v>29.625579928483639</v>
      </c>
      <c r="G155" s="3050"/>
      <c r="H155" s="3046" t="str">
        <f>IF(D155="operation",VLOOKUP(G155,'Generic Vertical Port Tasks'!$C$6:$D$558,2,FALSE),"N/A")</f>
        <v>N/A</v>
      </c>
      <c r="I155" s="3049" t="s">
        <v>798</v>
      </c>
      <c r="J155" s="3049" t="s">
        <v>831</v>
      </c>
      <c r="K155" s="3049" t="s">
        <v>858</v>
      </c>
      <c r="L155" s="3047">
        <f>IFERROR(INDEX('Upper Hot Cell Logistics'!$I$35:$O$41,MATCH($J155,'Upper Hot Cell Logistics'!$H$35:$H$41,0),MATCH($K155,'Upper Hot Cell Logistics'!$H$35:$H$41,0)),"N/A")</f>
        <v>10</v>
      </c>
      <c r="M155" s="3047">
        <f>IFERROR(VLOOKUP($I155,'Upper Hot Cell Logistics'!$H$4:$I$9,2,FALSE),"N/A")</f>
        <v>0.2</v>
      </c>
      <c r="N155" s="3059">
        <f t="shared" si="6"/>
        <v>1.3888888888888888E-2</v>
      </c>
      <c r="O155" s="3051"/>
      <c r="P155" s="3046" t="str">
        <f>IF($D155="Logistics",VLOOKUP($O155,'Upper Hot Cell Logistics'!$C$4:$D$44,2,FALSE),"N/A")</f>
        <v>N/A</v>
      </c>
    </row>
    <row r="156" spans="1:16" x14ac:dyDescent="0.4">
      <c r="A156" s="3083"/>
      <c r="B156" s="4055"/>
      <c r="C156" s="3049" t="s">
        <v>956</v>
      </c>
      <c r="D156" s="3049" t="s">
        <v>3</v>
      </c>
      <c r="E156" s="3047">
        <f t="shared" si="5"/>
        <v>0.58000000000000007</v>
      </c>
      <c r="F156" s="3046">
        <f>IF($D156="Trigger",VLOOKUP($C156,'Upper Hot Cell Welding failures'!$E$144:$I$209,5,FALSE),E156+F155)</f>
        <v>30.205579928483637</v>
      </c>
      <c r="G156" s="3050"/>
      <c r="H156" s="3046" t="str">
        <f>IF(D156="operation",VLOOKUP(G156,'Generic Vertical Port Tasks'!$C$6:$D$558,2,FALSE),"N/A")</f>
        <v>N/A</v>
      </c>
      <c r="I156" s="3049"/>
      <c r="J156" s="3049"/>
      <c r="K156" s="3049"/>
      <c r="L156" s="3047" t="str">
        <f>IFERROR(INDEX('Upper Hot Cell Logistics'!$I$35:$O$41,MATCH($J156,'Upper Hot Cell Logistics'!$H$35:$H$41,0),MATCH($K156,'Upper Hot Cell Logistics'!$H$35:$H$41,0)),"N/A")</f>
        <v>N/A</v>
      </c>
      <c r="M156" s="3047" t="str">
        <f>IFERROR(VLOOKUP($I156,'Upper Hot Cell Logistics'!$H$4:$I$9,2,FALSE),"N/A")</f>
        <v>N/A</v>
      </c>
      <c r="N156" s="3059" t="str">
        <f t="shared" si="6"/>
        <v>N/A</v>
      </c>
      <c r="O156" s="3051" t="s">
        <v>796</v>
      </c>
      <c r="P156" s="3046">
        <f>IF($D156="Logistics",VLOOKUP($O156,'Upper Hot Cell Logistics'!$C$4:$D$44,2,FALSE),"N/A")</f>
        <v>0.58000000000000007</v>
      </c>
    </row>
    <row r="157" spans="1:16" ht="13.3" thickBot="1" x14ac:dyDescent="0.45">
      <c r="A157" s="3083"/>
      <c r="B157" s="4057"/>
      <c r="C157" s="3053" t="str">
        <f>B152</f>
        <v xml:space="preserve"> Service Joint System Stored &amp; Blanket Transporter Collected</v>
      </c>
      <c r="D157" s="3053" t="s">
        <v>11</v>
      </c>
      <c r="E157" s="3054">
        <f t="shared" si="5"/>
        <v>0</v>
      </c>
      <c r="F157" s="3046">
        <f>IF($D157="Trigger",VLOOKUP($C157,'Upper Hot Cell Welding failures'!$E$144:$I$209,5,FALSE),E157+F156)</f>
        <v>30.205579928483637</v>
      </c>
      <c r="G157" s="3056"/>
      <c r="H157" s="3055" t="str">
        <f>IF(D157="operation",VLOOKUP(G157,'Generic Vertical Port Tasks'!$C$6:$D$558,2,FALSE),"N/A")</f>
        <v>N/A</v>
      </c>
      <c r="I157" s="3053"/>
      <c r="J157" s="3053"/>
      <c r="K157" s="3053"/>
      <c r="L157" s="3054" t="str">
        <f>IFERROR(INDEX('Upper Hot Cell Logistics'!$I$35:$O$41,MATCH($J157,'Upper Hot Cell Logistics'!$H$35:$H$41,0),MATCH($K157,'Upper Hot Cell Logistics'!$H$35:$H$41,0)),"N/A")</f>
        <v>N/A</v>
      </c>
      <c r="M157" s="3054" t="str">
        <f>IFERROR(VLOOKUP($I157,'Upper Hot Cell Logistics'!$H$4:$I$9,2,FALSE),"N/A")</f>
        <v>N/A</v>
      </c>
      <c r="N157" s="3060" t="str">
        <f t="shared" si="6"/>
        <v>N/A</v>
      </c>
      <c r="O157" s="3057"/>
      <c r="P157" s="3055" t="str">
        <f>IF($D157="Logistics",VLOOKUP($O157,'Upper Hot Cell Logistics'!$C$4:$D$44,2,FALSE),"N/A")</f>
        <v>N/A</v>
      </c>
    </row>
    <row r="158" spans="1:16" x14ac:dyDescent="0.4">
      <c r="A158" s="3083"/>
      <c r="B158" s="4054" t="s">
        <v>1079</v>
      </c>
      <c r="C158" s="3042" t="str">
        <f>'Upper Hot Cell Welding failures'!E165</f>
        <v>Extract RIB Pipe Module</v>
      </c>
      <c r="D158" s="3042" t="s">
        <v>907</v>
      </c>
      <c r="E158" s="3043">
        <f t="shared" si="5"/>
        <v>0</v>
      </c>
      <c r="F158" s="3043">
        <f>IF($D158="Trigger",VLOOKUP($C158,'Upper Hot Cell Welding failures'!$E$144:$I$209,5,FALSE),E158+F157)</f>
        <v>28.93169103959475</v>
      </c>
      <c r="G158" s="3045"/>
      <c r="H158" s="3044" t="str">
        <f>IF(D158="operation",VLOOKUP(G158,'Generic Vertical Port Tasks'!$C$6:$D$558,2,FALSE),"N/A")</f>
        <v>N/A</v>
      </c>
      <c r="I158" s="3042"/>
      <c r="J158" s="3042"/>
      <c r="K158" s="3042"/>
      <c r="L158" s="3043" t="str">
        <f>IFERROR(INDEX('Upper Hot Cell Logistics'!$I$35:$O$41,MATCH($J158,'Upper Hot Cell Logistics'!$H$35:$H$41,0),MATCH($K158,'Upper Hot Cell Logistics'!$H$35:$H$41,0)),"N/A")</f>
        <v>N/A</v>
      </c>
      <c r="M158" s="3043" t="str">
        <f>IFERROR(VLOOKUP($I158,'Upper Hot Cell Logistics'!$H$4:$I$9,2,FALSE),"N/A")</f>
        <v>N/A</v>
      </c>
      <c r="N158" s="3061" t="str">
        <f t="shared" si="6"/>
        <v>N/A</v>
      </c>
      <c r="O158" s="3048"/>
      <c r="P158" s="3044" t="str">
        <f>IF($D158="Logistics",VLOOKUP($O158,'Upper Hot Cell Logistics'!$C$4:$D$44,2,FALSE),"N/A")</f>
        <v>N/A</v>
      </c>
    </row>
    <row r="159" spans="1:16" x14ac:dyDescent="0.4">
      <c r="A159" s="3083"/>
      <c r="B159" s="4055"/>
      <c r="C159" s="3049" t="s">
        <v>1192</v>
      </c>
      <c r="D159" s="3049" t="s">
        <v>778</v>
      </c>
      <c r="E159" s="3047">
        <f t="shared" si="5"/>
        <v>0.69444444444444442</v>
      </c>
      <c r="F159" s="3047">
        <f>IF($D159="Trigger",VLOOKUP($C159,'Upper Hot Cell Welding failures'!$E$144:$I$209,5,FALSE),E159+F158)</f>
        <v>29.626135484039192</v>
      </c>
      <c r="G159" s="3050"/>
      <c r="H159" s="3046" t="str">
        <f>IF(D159="operation",VLOOKUP(G159,'Generic Vertical Port Tasks'!$C$6:$D$558,2,FALSE),"N/A")</f>
        <v>N/A</v>
      </c>
      <c r="I159" s="3049" t="s">
        <v>857</v>
      </c>
      <c r="J159" s="3049" t="s">
        <v>452</v>
      </c>
      <c r="K159" s="3049" t="s">
        <v>831</v>
      </c>
      <c r="L159" s="3047">
        <f>IFERROR(INDEX('Upper Hot Cell Logistics'!$I$35:$O$41,MATCH($J159,'Upper Hot Cell Logistics'!$H$35:$H$41,0),MATCH($K159,'Upper Hot Cell Logistics'!$H$35:$H$41,0)),"N/A")</f>
        <v>50</v>
      </c>
      <c r="M159" s="3047">
        <f>IFERROR(VLOOKUP($I159,'Upper Hot Cell Logistics'!$H$4:$I$9,2,FALSE),"N/A")</f>
        <v>0.02</v>
      </c>
      <c r="N159" s="3059">
        <f t="shared" si="6"/>
        <v>0.69444444444444442</v>
      </c>
      <c r="O159" s="3051"/>
      <c r="P159" s="3046" t="str">
        <f>IF($D159="Logistics",VLOOKUP($O159,'Upper Hot Cell Logistics'!$C$4:$D$44,2,FALSE),"N/A")</f>
        <v>N/A</v>
      </c>
    </row>
    <row r="160" spans="1:16" x14ac:dyDescent="0.4">
      <c r="A160" s="3083"/>
      <c r="B160" s="4055"/>
      <c r="C160" s="3049" t="s">
        <v>940</v>
      </c>
      <c r="D160" s="3049" t="s">
        <v>3</v>
      </c>
      <c r="E160" s="3047">
        <f t="shared" si="5"/>
        <v>0.58000000000000007</v>
      </c>
      <c r="F160" s="3047">
        <f>IF($D160="Trigger",VLOOKUP($C160,'Upper Hot Cell Welding failures'!$E$144:$I$209,5,FALSE),E160+F159)</f>
        <v>30.206135484039194</v>
      </c>
      <c r="G160" s="3050"/>
      <c r="H160" s="3046" t="str">
        <f>IF(D160="operation",VLOOKUP(G160,'Generic Vertical Port Tasks'!$C$6:$D$558,2,FALSE),"N/A")</f>
        <v>N/A</v>
      </c>
      <c r="I160" s="3049"/>
      <c r="J160" s="3049"/>
      <c r="K160" s="3049"/>
      <c r="L160" s="3047" t="str">
        <f>IFERROR(INDEX('Upper Hot Cell Logistics'!$I$35:$O$41,MATCH($J160,'Upper Hot Cell Logistics'!$H$35:$H$41,0),MATCH($K160,'Upper Hot Cell Logistics'!$H$35:$H$41,0)),"N/A")</f>
        <v>N/A</v>
      </c>
      <c r="M160" s="3047" t="str">
        <f>IFERROR(VLOOKUP($I160,'Upper Hot Cell Logistics'!$H$4:$I$9,2,FALSE),"N/A")</f>
        <v>N/A</v>
      </c>
      <c r="N160" s="3059" t="str">
        <f t="shared" si="6"/>
        <v>N/A</v>
      </c>
      <c r="O160" s="3051" t="s">
        <v>904</v>
      </c>
      <c r="P160" s="3046">
        <f>IF($D160="Logistics",VLOOKUP($O160,'Upper Hot Cell Logistics'!$C$4:$D$44,2,FALSE),"N/A")</f>
        <v>0.58000000000000007</v>
      </c>
    </row>
    <row r="161" spans="1:16" x14ac:dyDescent="0.4">
      <c r="A161" s="3083"/>
      <c r="B161" s="4056"/>
      <c r="C161" s="3049" t="s">
        <v>1170</v>
      </c>
      <c r="D161" s="3049" t="s">
        <v>778</v>
      </c>
      <c r="E161" s="3047">
        <f t="shared" si="5"/>
        <v>2.7777777777777776E-2</v>
      </c>
      <c r="F161" s="3047">
        <f>IF($D161="Trigger",VLOOKUP($C161,'Upper Hot Cell Welding failures'!$E$144:$I$209,5,FALSE),E161+F160)</f>
        <v>30.233913261816973</v>
      </c>
      <c r="G161" s="3050"/>
      <c r="H161" s="3046" t="str">
        <f>IF(D161="operation",VLOOKUP(G161,'Generic Vertical Port Tasks'!$C$6:$D$558,2,FALSE),"N/A")</f>
        <v>N/A</v>
      </c>
      <c r="I161" s="3049" t="s">
        <v>798</v>
      </c>
      <c r="J161" s="3049" t="s">
        <v>831</v>
      </c>
      <c r="K161" s="3049" t="s">
        <v>914</v>
      </c>
      <c r="L161" s="3047">
        <f>IFERROR(INDEX('Upper Hot Cell Logistics'!$I$35:$O$41,MATCH($J161,'Upper Hot Cell Logistics'!$H$35:$H$41,0),MATCH($K161,'Upper Hot Cell Logistics'!$H$35:$H$41,0)),"N/A")</f>
        <v>20</v>
      </c>
      <c r="M161" s="3047">
        <f>IFERROR(VLOOKUP($I161,'Upper Hot Cell Logistics'!$H$4:$I$9,2,FALSE),"N/A")</f>
        <v>0.2</v>
      </c>
      <c r="N161" s="3059">
        <f t="shared" si="6"/>
        <v>2.7777777777777776E-2</v>
      </c>
      <c r="O161" s="3051"/>
      <c r="P161" s="3046" t="str">
        <f>IF($D161="Logistics",VLOOKUP($O161,'Upper Hot Cell Logistics'!$C$4:$D$44,2,FALSE),"N/A")</f>
        <v>N/A</v>
      </c>
    </row>
    <row r="162" spans="1:16" x14ac:dyDescent="0.4">
      <c r="A162" s="3083"/>
      <c r="B162" s="4056"/>
      <c r="C162" s="3052" t="s">
        <v>983</v>
      </c>
      <c r="D162" s="3049" t="s">
        <v>3</v>
      </c>
      <c r="E162" s="3047">
        <f t="shared" si="5"/>
        <v>0.68</v>
      </c>
      <c r="F162" s="3047">
        <f>IF($D162="Trigger",VLOOKUP($C162,'Upper Hot Cell Welding failures'!$E$144:$I$209,5,FALSE),E162+F161)</f>
        <v>30.913913261816973</v>
      </c>
      <c r="G162" s="3050"/>
      <c r="H162" s="3046" t="str">
        <f>IF(D162="operation",VLOOKUP(G162,'Generic Vertical Port Tasks'!$C$6:$D$558,2,FALSE),"N/A")</f>
        <v>N/A</v>
      </c>
      <c r="I162" s="3049"/>
      <c r="J162" s="3049"/>
      <c r="K162" s="3049"/>
      <c r="L162" s="3047" t="str">
        <f>IFERROR(INDEX('Upper Hot Cell Logistics'!$I$35:$O$41,MATCH($J162,'Upper Hot Cell Logistics'!$H$35:$H$41,0),MATCH($K162,'Upper Hot Cell Logistics'!$H$35:$H$41,0)),"N/A")</f>
        <v>N/A</v>
      </c>
      <c r="M162" s="3047" t="str">
        <f>IFERROR(VLOOKUP($I162,'Upper Hot Cell Logistics'!$H$4:$I$9,2,FALSE),"N/A")</f>
        <v>N/A</v>
      </c>
      <c r="N162" s="3059" t="str">
        <f t="shared" si="6"/>
        <v>N/A</v>
      </c>
      <c r="O162" s="3051" t="s">
        <v>1190</v>
      </c>
      <c r="P162" s="3046">
        <f>IF($D162="Logistics",VLOOKUP($O162,'Upper Hot Cell Logistics'!$C$4:$D$44,2,FALSE),"N/A")</f>
        <v>0.68</v>
      </c>
    </row>
    <row r="163" spans="1:16" x14ac:dyDescent="0.4">
      <c r="A163" s="3083"/>
      <c r="B163" s="4056"/>
      <c r="C163" s="3052" t="s">
        <v>1171</v>
      </c>
      <c r="D163" s="3049" t="s">
        <v>778</v>
      </c>
      <c r="E163" s="3047">
        <f t="shared" si="5"/>
        <v>2.7777777777777776E-2</v>
      </c>
      <c r="F163" s="3047">
        <f>IF($D163="Trigger",VLOOKUP($C163,'Upper Hot Cell Welding failures'!$E$144:$I$209,5,FALSE),E163+F162)</f>
        <v>30.941691039594751</v>
      </c>
      <c r="G163" s="3050"/>
      <c r="H163" s="3046" t="str">
        <f>IF(D163="operation",VLOOKUP(G163,'Generic Vertical Port Tasks'!$C$6:$D$558,2,FALSE),"N/A")</f>
        <v>N/A</v>
      </c>
      <c r="I163" s="3049" t="s">
        <v>798</v>
      </c>
      <c r="J163" s="3049" t="s">
        <v>914</v>
      </c>
      <c r="K163" s="3049" t="s">
        <v>799</v>
      </c>
      <c r="L163" s="3047">
        <f>IFERROR(INDEX('Upper Hot Cell Logistics'!$I$35:$O$41,MATCH($J163,'Upper Hot Cell Logistics'!$H$35:$H$41,0),MATCH($K163,'Upper Hot Cell Logistics'!$H$35:$H$41,0)),"N/A")</f>
        <v>20</v>
      </c>
      <c r="M163" s="3047">
        <f>IFERROR(VLOOKUP($I163,'Upper Hot Cell Logistics'!$H$4:$I$9,2,FALSE),"N/A")</f>
        <v>0.2</v>
      </c>
      <c r="N163" s="3059">
        <f t="shared" si="6"/>
        <v>2.7777777777777776E-2</v>
      </c>
      <c r="O163" s="3051"/>
      <c r="P163" s="3046" t="str">
        <f>IF($D163="Logistics",VLOOKUP($O163,'Upper Hot Cell Logistics'!$C$4:$D$44,2,FALSE),"N/A")</f>
        <v>N/A</v>
      </c>
    </row>
    <row r="164" spans="1:16" x14ac:dyDescent="0.4">
      <c r="A164" s="3083"/>
      <c r="B164" s="4056"/>
      <c r="C164" s="3052" t="s">
        <v>956</v>
      </c>
      <c r="D164" s="3049" t="s">
        <v>3</v>
      </c>
      <c r="E164" s="3047">
        <f t="shared" si="5"/>
        <v>0.58000000000000007</v>
      </c>
      <c r="F164" s="3047">
        <f>IF($D164="Trigger",VLOOKUP($C164,'Upper Hot Cell Welding failures'!$E$144:$I$209,5,FALSE),E164+F163)</f>
        <v>31.521691039594749</v>
      </c>
      <c r="G164" s="3050"/>
      <c r="H164" s="3046" t="str">
        <f>IF(D164="operation",VLOOKUP(G164,'Generic Vertical Port Tasks'!$C$6:$D$558,2,FALSE),"N/A")</f>
        <v>N/A</v>
      </c>
      <c r="I164" s="3049"/>
      <c r="J164" s="3049"/>
      <c r="K164" s="3049"/>
      <c r="L164" s="3047" t="str">
        <f>IFERROR(INDEX('Upper Hot Cell Logistics'!$I$35:$O$41,MATCH($J164,'Upper Hot Cell Logistics'!$H$35:$H$41,0),MATCH($K164,'Upper Hot Cell Logistics'!$H$35:$H$41,0)),"N/A")</f>
        <v>N/A</v>
      </c>
      <c r="M164" s="3047" t="str">
        <f>IFERROR(VLOOKUP($I164,'Upper Hot Cell Logistics'!$H$4:$I$9,2,FALSE),"N/A")</f>
        <v>N/A</v>
      </c>
      <c r="N164" s="3059" t="str">
        <f t="shared" si="6"/>
        <v>N/A</v>
      </c>
      <c r="O164" s="3051" t="s">
        <v>796</v>
      </c>
      <c r="P164" s="3046">
        <f>IF($D164="Logistics",VLOOKUP($O164,'Upper Hot Cell Logistics'!$C$4:$D$44,2,FALSE),"N/A")</f>
        <v>0.58000000000000007</v>
      </c>
    </row>
    <row r="165" spans="1:16" x14ac:dyDescent="0.4">
      <c r="A165" s="3083"/>
      <c r="B165" s="4056"/>
      <c r="C165" s="3052" t="s">
        <v>2676</v>
      </c>
      <c r="D165" s="3049" t="s">
        <v>778</v>
      </c>
      <c r="E165" s="3047">
        <f t="shared" si="5"/>
        <v>6.9444444444444448E-2</v>
      </c>
      <c r="F165" s="3047">
        <f>IF($D165="Trigger",VLOOKUP($C165,'Upper Hot Cell Welding failures'!$E$144:$I$209,5,FALSE),E165+F164)</f>
        <v>31.591135484039192</v>
      </c>
      <c r="G165" s="3050"/>
      <c r="H165" s="3046" t="str">
        <f>IF(D165="operation",VLOOKUP(G165,'Generic Vertical Port Tasks'!$C$6:$D$558,2,FALSE),"N/A")</f>
        <v>N/A</v>
      </c>
      <c r="I165" s="3049" t="s">
        <v>798</v>
      </c>
      <c r="J165" s="3049" t="s">
        <v>799</v>
      </c>
      <c r="K165" s="3049" t="s">
        <v>452</v>
      </c>
      <c r="L165" s="3047">
        <f>IFERROR(INDEX('Upper Hot Cell Logistics'!$I$35:$O$41,MATCH($J165,'Upper Hot Cell Logistics'!$H$35:$H$41,0),MATCH($K165,'Upper Hot Cell Logistics'!$H$35:$H$41,0)),"N/A")</f>
        <v>50</v>
      </c>
      <c r="M165" s="3047">
        <f>IFERROR(VLOOKUP($I165,'Upper Hot Cell Logistics'!$H$4:$I$9,2,FALSE),"N/A")</f>
        <v>0.2</v>
      </c>
      <c r="N165" s="3059">
        <f t="shared" si="6"/>
        <v>6.9444444444444448E-2</v>
      </c>
      <c r="O165" s="3051"/>
      <c r="P165" s="3046" t="str">
        <f>IF($D165="Logistics",VLOOKUP($O165,'Upper Hot Cell Logistics'!$C$4:$D$44,2,FALSE),"N/A")</f>
        <v>N/A</v>
      </c>
    </row>
    <row r="166" spans="1:16" ht="26.15" thickBot="1" x14ac:dyDescent="0.45">
      <c r="A166" s="3083"/>
      <c r="B166" s="4057"/>
      <c r="C166" s="3053" t="str">
        <f>B158</f>
        <v>RIB Pipe Module Stored; Pipe Module interface hardware Stored; Blanket Transporter Collected</v>
      </c>
      <c r="D166" s="3053" t="s">
        <v>11</v>
      </c>
      <c r="E166" s="3054">
        <f t="shared" si="5"/>
        <v>0</v>
      </c>
      <c r="F166" s="3054">
        <f>IF($D166="Trigger",VLOOKUP($C166,'Upper Hot Cell Welding failures'!$E$144:$I$209,5,FALSE),E166+F165)</f>
        <v>31.591135484039192</v>
      </c>
      <c r="G166" s="3056"/>
      <c r="H166" s="3055" t="str">
        <f>IF(D166="operation",VLOOKUP(G166,'Generic Vertical Port Tasks'!$C$6:$D$558,2,FALSE),"N/A")</f>
        <v>N/A</v>
      </c>
      <c r="I166" s="3053"/>
      <c r="J166" s="3053"/>
      <c r="K166" s="3053"/>
      <c r="L166" s="3054" t="str">
        <f>IFERROR(INDEX('Upper Hot Cell Logistics'!$I$35:$O$41,MATCH($J166,'Upper Hot Cell Logistics'!$H$35:$H$41,0),MATCH($K166,'Upper Hot Cell Logistics'!$H$35:$H$41,0)),"N/A")</f>
        <v>N/A</v>
      </c>
      <c r="M166" s="3054" t="str">
        <f>IFERROR(VLOOKUP($I166,'Upper Hot Cell Logistics'!$H$4:$I$9,2,FALSE),"N/A")</f>
        <v>N/A</v>
      </c>
      <c r="N166" s="3060" t="str">
        <f t="shared" si="6"/>
        <v>N/A</v>
      </c>
      <c r="O166" s="3057"/>
      <c r="P166" s="3055" t="str">
        <f>IF($D166="Logistics",VLOOKUP($O166,'Upper Hot Cell Logistics'!$C$4:$D$44,2,FALSE),"N/A")</f>
        <v>N/A</v>
      </c>
    </row>
    <row r="167" spans="1:16" x14ac:dyDescent="0.4">
      <c r="A167" s="3083"/>
      <c r="B167" s="4054" t="s">
        <v>959</v>
      </c>
      <c r="C167" s="3042" t="str">
        <f>'Upper Hot Cell Welding failures'!E167</f>
        <v>Extract COB Blanket Segment</v>
      </c>
      <c r="D167" s="3042" t="s">
        <v>907</v>
      </c>
      <c r="E167" s="3043">
        <f t="shared" si="5"/>
        <v>0</v>
      </c>
      <c r="F167" s="3043">
        <f>IF($D167="Trigger",VLOOKUP($C167,'Upper Hot Cell Welding failures'!$E$144:$I$209,5,FALSE),E167+F166)</f>
        <v>36.015024372928082</v>
      </c>
      <c r="G167" s="3045"/>
      <c r="H167" s="3044" t="str">
        <f>IF(D167="operation",VLOOKUP(G167,'Generic Vertical Port Tasks'!C190:D194,2,FALSE),"N/A")</f>
        <v>N/A</v>
      </c>
      <c r="I167" s="3042"/>
      <c r="J167" s="3042"/>
      <c r="K167" s="3042"/>
      <c r="L167" s="3043" t="str">
        <f>IFERROR(INDEX('Upper Hot Cell Logistics'!$I$35:$O$41,MATCH($J167,'Upper Hot Cell Logistics'!$H$35:$H$41,0),MATCH($K167,'Upper Hot Cell Logistics'!$H$35:$H$41,0)),"N/A")</f>
        <v>N/A</v>
      </c>
      <c r="M167" s="3043" t="str">
        <f>IFERROR(VLOOKUP($I167,'Upper Hot Cell Logistics'!$H$4:$I$9,2,FALSE),"N/A")</f>
        <v>N/A</v>
      </c>
      <c r="N167" s="3061" t="str">
        <f t="shared" si="6"/>
        <v>N/A</v>
      </c>
      <c r="O167" s="3048"/>
      <c r="P167" s="3044" t="str">
        <f>IF($D167="Logistics",VLOOKUP($O167,'Upper Hot Cell Logistics'!$C$4:$D$44,2,FALSE),"N/A")</f>
        <v>N/A</v>
      </c>
    </row>
    <row r="168" spans="1:16" x14ac:dyDescent="0.4">
      <c r="A168" s="3083"/>
      <c r="B168" s="4055"/>
      <c r="C168" s="3049" t="s">
        <v>1194</v>
      </c>
      <c r="D168" s="3049" t="s">
        <v>778</v>
      </c>
      <c r="E168" s="3047">
        <f t="shared" si="5"/>
        <v>0.69444444444444442</v>
      </c>
      <c r="F168" s="3047">
        <f>IF($D168="Trigger",VLOOKUP($C168,'Upper Hot Cell Welding failures'!$E$144:$I$209,5,FALSE),E168+F167)</f>
        <v>36.709468817372525</v>
      </c>
      <c r="G168" s="3050"/>
      <c r="H168" s="3046" t="str">
        <f>IF(D168="operation",VLOOKUP(G168,'Generic Vertical Port Tasks'!C190:D194,2,FALSE),"N/A")</f>
        <v>N/A</v>
      </c>
      <c r="I168" s="3049" t="s">
        <v>857</v>
      </c>
      <c r="J168" s="3049" t="s">
        <v>452</v>
      </c>
      <c r="K168" s="3049" t="s">
        <v>831</v>
      </c>
      <c r="L168" s="3047">
        <f>IFERROR(INDEX('Upper Hot Cell Logistics'!$I$35:$O$41,MATCH($J168,'Upper Hot Cell Logistics'!$H$35:$H$41,0),MATCH($K168,'Upper Hot Cell Logistics'!$H$35:$H$41,0)),"N/A")</f>
        <v>50</v>
      </c>
      <c r="M168" s="3047">
        <f>IFERROR(VLOOKUP($I168,'Upper Hot Cell Logistics'!$H$4:$I$9,2,FALSE),"N/A")</f>
        <v>0.02</v>
      </c>
      <c r="N168" s="3059">
        <f t="shared" si="6"/>
        <v>0.69444444444444442</v>
      </c>
      <c r="O168" s="3051"/>
      <c r="P168" s="3046" t="str">
        <f>IF($D168="Logistics",VLOOKUP($O168,'Upper Hot Cell Logistics'!$C$4:$D$44,2,FALSE),"N/A")</f>
        <v>N/A</v>
      </c>
    </row>
    <row r="169" spans="1:16" x14ac:dyDescent="0.4">
      <c r="A169" s="3083"/>
      <c r="B169" s="4055"/>
      <c r="C169" s="3049" t="s">
        <v>960</v>
      </c>
      <c r="D169" s="3049" t="s">
        <v>3</v>
      </c>
      <c r="E169" s="3047">
        <f t="shared" si="5"/>
        <v>0.58000000000000007</v>
      </c>
      <c r="F169" s="3047">
        <f>IF($D169="Trigger",VLOOKUP($C169,'Upper Hot Cell Welding failures'!$E$144:$I$209,5,FALSE),E169+F168)</f>
        <v>37.289468817372523</v>
      </c>
      <c r="G169" s="3050"/>
      <c r="H169" s="3046" t="str">
        <f>IF(D169="operation",VLOOKUP(G169,'Generic Vertical Port Tasks'!C190:D194,2,FALSE),"N/A")</f>
        <v>N/A</v>
      </c>
      <c r="I169" s="3049"/>
      <c r="J169" s="3049"/>
      <c r="K169" s="3049"/>
      <c r="L169" s="3047" t="str">
        <f>IFERROR(INDEX('Upper Hot Cell Logistics'!$I$35:$O$41,MATCH($J169,'Upper Hot Cell Logistics'!$H$35:$H$41,0),MATCH($K169,'Upper Hot Cell Logistics'!$H$35:$H$41,0)),"N/A")</f>
        <v>N/A</v>
      </c>
      <c r="M169" s="3047" t="str">
        <f>IFERROR(VLOOKUP($I169,'Upper Hot Cell Logistics'!$H$4:$I$9,2,FALSE),"N/A")</f>
        <v>N/A</v>
      </c>
      <c r="N169" s="3059" t="str">
        <f t="shared" si="6"/>
        <v>N/A</v>
      </c>
      <c r="O169" s="3051" t="s">
        <v>904</v>
      </c>
      <c r="P169" s="3046">
        <f>IF($D169="Logistics",VLOOKUP($O169,'Upper Hot Cell Logistics'!$C$4:$D$44,2,FALSE),"N/A")</f>
        <v>0.58000000000000007</v>
      </c>
    </row>
    <row r="170" spans="1:16" ht="13.3" thickBot="1" x14ac:dyDescent="0.45">
      <c r="A170" s="3083"/>
      <c r="B170" s="4057"/>
      <c r="C170" s="3053" t="str">
        <f>B167</f>
        <v>COB Blanket Segment Stored</v>
      </c>
      <c r="D170" s="3053" t="s">
        <v>11</v>
      </c>
      <c r="E170" s="3054">
        <f t="shared" si="5"/>
        <v>0</v>
      </c>
      <c r="F170" s="3054">
        <f>IF($D170="Trigger",VLOOKUP($C170,'Upper Hot Cell Welding failures'!$E$144:$I$209,5,FALSE),E170+F169)</f>
        <v>37.289468817372523</v>
      </c>
      <c r="G170" s="3056"/>
      <c r="H170" s="3055" t="str">
        <f>IF(D170="operation",VLOOKUP(G170,'Generic Vertical Port Tasks'!C190:D194,2,FALSE),"N/A")</f>
        <v>N/A</v>
      </c>
      <c r="I170" s="3053"/>
      <c r="J170" s="3053"/>
      <c r="K170" s="3053"/>
      <c r="L170" s="3054" t="str">
        <f>IFERROR(INDEX('Upper Hot Cell Logistics'!$I$35:$O$41,MATCH($J170,'Upper Hot Cell Logistics'!$H$35:$H$41,0),MATCH($K170,'Upper Hot Cell Logistics'!$H$35:$H$41,0)),"N/A")</f>
        <v>N/A</v>
      </c>
      <c r="M170" s="3054" t="str">
        <f>IFERROR(VLOOKUP($I170,'Upper Hot Cell Logistics'!$H$4:$I$9,2,FALSE),"N/A")</f>
        <v>N/A</v>
      </c>
      <c r="N170" s="3060" t="str">
        <f t="shared" si="6"/>
        <v>N/A</v>
      </c>
      <c r="O170" s="3057"/>
      <c r="P170" s="3055" t="str">
        <f>IF($D170="Logistics",VLOOKUP($O170,'Upper Hot Cell Logistics'!$C$4:$D$44,2,FALSE),"N/A")</f>
        <v>N/A</v>
      </c>
    </row>
    <row r="171" spans="1:16" x14ac:dyDescent="0.4">
      <c r="A171" s="3083"/>
      <c r="B171" s="4054" t="s">
        <v>961</v>
      </c>
      <c r="C171" s="3042" t="str">
        <f>'Upper Hot Cell Welding failures'!E169</f>
        <v>Extract LOB Blanket Segment</v>
      </c>
      <c r="D171" s="3042" t="s">
        <v>907</v>
      </c>
      <c r="E171" s="3043">
        <f t="shared" si="5"/>
        <v>0</v>
      </c>
      <c r="F171" s="3043">
        <f>IF($D171="Trigger",VLOOKUP($C171,'Upper Hot Cell Welding failures'!$E$144:$I$209,5,FALSE),E171+F170)</f>
        <v>41.824468817372527</v>
      </c>
      <c r="G171" s="3045"/>
      <c r="H171" s="3044" t="str">
        <f>IF(D171="operation",VLOOKUP(G171,'Generic Vertical Port Tasks'!C190:D194,2,FALSE),"N/A")</f>
        <v>N/A</v>
      </c>
      <c r="I171" s="3042"/>
      <c r="J171" s="3042"/>
      <c r="K171" s="3042"/>
      <c r="L171" s="3043" t="str">
        <f>IFERROR(INDEX('Upper Hot Cell Logistics'!$I$35:$O$41,MATCH($J171,'Upper Hot Cell Logistics'!$H$35:$H$41,0),MATCH($K171,'Upper Hot Cell Logistics'!$H$35:$H$41,0)),"N/A")</f>
        <v>N/A</v>
      </c>
      <c r="M171" s="3043" t="str">
        <f>IFERROR(VLOOKUP($I171,'Upper Hot Cell Logistics'!$H$4:$I$9,2,FALSE),"N/A")</f>
        <v>N/A</v>
      </c>
      <c r="N171" s="3061" t="str">
        <f t="shared" si="6"/>
        <v>N/A</v>
      </c>
      <c r="O171" s="3048"/>
      <c r="P171" s="3044" t="str">
        <f>IF($D171="Logistics",VLOOKUP($O171,'Upper Hot Cell Logistics'!$C$4:$D$44,2,FALSE),"N/A")</f>
        <v>N/A</v>
      </c>
    </row>
    <row r="172" spans="1:16" x14ac:dyDescent="0.4">
      <c r="A172" s="3083"/>
      <c r="B172" s="4055"/>
      <c r="C172" s="3049" t="s">
        <v>1192</v>
      </c>
      <c r="D172" s="3049" t="s">
        <v>778</v>
      </c>
      <c r="E172" s="3047">
        <f t="shared" si="5"/>
        <v>0.69444444444444442</v>
      </c>
      <c r="F172" s="3047">
        <f>IF($D172="Trigger",VLOOKUP($C172,'Upper Hot Cell Welding failures'!$E$144:$I$209,5,FALSE),E172+F171)</f>
        <v>42.518913261816969</v>
      </c>
      <c r="G172" s="3050"/>
      <c r="H172" s="3046" t="str">
        <f>IF(D172="operation",VLOOKUP(G172,'Generic Vertical Port Tasks'!C190:D194,2,FALSE),"N/A")</f>
        <v>N/A</v>
      </c>
      <c r="I172" s="3049" t="s">
        <v>857</v>
      </c>
      <c r="J172" s="3049" t="s">
        <v>452</v>
      </c>
      <c r="K172" s="3049" t="s">
        <v>831</v>
      </c>
      <c r="L172" s="3047">
        <f>IFERROR(INDEX('Upper Hot Cell Logistics'!$I$35:$O$41,MATCH($J172,'Upper Hot Cell Logistics'!$H$35:$H$41,0),MATCH($K172,'Upper Hot Cell Logistics'!$H$35:$H$41,0)),"N/A")</f>
        <v>50</v>
      </c>
      <c r="M172" s="3047">
        <f>IFERROR(VLOOKUP($I172,'Upper Hot Cell Logistics'!$H$4:$I$9,2,FALSE),"N/A")</f>
        <v>0.02</v>
      </c>
      <c r="N172" s="3059">
        <f t="shared" si="6"/>
        <v>0.69444444444444442</v>
      </c>
      <c r="O172" s="3051"/>
      <c r="P172" s="3046" t="str">
        <f>IF($D172="Logistics",VLOOKUP($O172,'Upper Hot Cell Logistics'!$C$4:$D$44,2,FALSE),"N/A")</f>
        <v>N/A</v>
      </c>
    </row>
    <row r="173" spans="1:16" x14ac:dyDescent="0.4">
      <c r="A173" s="3083"/>
      <c r="B173" s="4055"/>
      <c r="C173" s="3049" t="s">
        <v>960</v>
      </c>
      <c r="D173" s="3049" t="s">
        <v>3</v>
      </c>
      <c r="E173" s="3047">
        <f t="shared" si="5"/>
        <v>0.58000000000000007</v>
      </c>
      <c r="F173" s="3047">
        <f>IF($D173="Trigger",VLOOKUP($C173,'Upper Hot Cell Welding failures'!$E$144:$I$209,5,FALSE),E173+F172)</f>
        <v>43.098913261816968</v>
      </c>
      <c r="G173" s="3050"/>
      <c r="H173" s="3046" t="str">
        <f>IF(D173="operation",VLOOKUP(G173,'Generic Vertical Port Tasks'!C190:D194,2,FALSE),"N/A")</f>
        <v>N/A</v>
      </c>
      <c r="I173" s="3049"/>
      <c r="J173" s="3049"/>
      <c r="K173" s="3049"/>
      <c r="L173" s="3047" t="str">
        <f>IFERROR(INDEX('Upper Hot Cell Logistics'!$I$35:$O$41,MATCH($J173,'Upper Hot Cell Logistics'!$H$35:$H$41,0),MATCH($K173,'Upper Hot Cell Logistics'!$H$35:$H$41,0)),"N/A")</f>
        <v>N/A</v>
      </c>
      <c r="M173" s="3047" t="str">
        <f>IFERROR(VLOOKUP($I173,'Upper Hot Cell Logistics'!$H$4:$I$9,2,FALSE),"N/A")</f>
        <v>N/A</v>
      </c>
      <c r="N173" s="3059" t="str">
        <f t="shared" si="6"/>
        <v>N/A</v>
      </c>
      <c r="O173" s="3051" t="s">
        <v>904</v>
      </c>
      <c r="P173" s="3046">
        <f>IF($D173="Logistics",VLOOKUP($O173,'Upper Hot Cell Logistics'!$C$4:$D$44,2,FALSE),"N/A")</f>
        <v>0.58000000000000007</v>
      </c>
    </row>
    <row r="174" spans="1:16" ht="13.3" thickBot="1" x14ac:dyDescent="0.45">
      <c r="A174" s="3083"/>
      <c r="B174" s="4057"/>
      <c r="C174" s="3053" t="str">
        <f>B171</f>
        <v>LOB Blanket Segment Stored</v>
      </c>
      <c r="D174" s="3053" t="s">
        <v>11</v>
      </c>
      <c r="E174" s="3054">
        <f t="shared" si="5"/>
        <v>0</v>
      </c>
      <c r="F174" s="3054">
        <f>IF($D174="Trigger",VLOOKUP($C174,'Upper Hot Cell Welding failures'!$E$144:$I$209,5,FALSE),E174+F173)</f>
        <v>43.098913261816968</v>
      </c>
      <c r="G174" s="3056"/>
      <c r="H174" s="3055" t="str">
        <f>IF(D174="operation",VLOOKUP(G174,'Generic Vertical Port Tasks'!C190:D194,2,FALSE),"N/A")</f>
        <v>N/A</v>
      </c>
      <c r="I174" s="3053"/>
      <c r="J174" s="3053"/>
      <c r="K174" s="3053"/>
      <c r="L174" s="3054" t="str">
        <f>IFERROR(INDEX('Upper Hot Cell Logistics'!$I$35:$O$41,MATCH($J174,'Upper Hot Cell Logistics'!$H$35:$H$41,0),MATCH($K174,'Upper Hot Cell Logistics'!$H$35:$H$41,0)),"N/A")</f>
        <v>N/A</v>
      </c>
      <c r="M174" s="3054" t="str">
        <f>IFERROR(VLOOKUP($I174,'Upper Hot Cell Logistics'!$H$4:$I$9,2,FALSE),"N/A")</f>
        <v>N/A</v>
      </c>
      <c r="N174" s="3060" t="str">
        <f t="shared" si="6"/>
        <v>N/A</v>
      </c>
      <c r="O174" s="3057"/>
      <c r="P174" s="3055" t="str">
        <f>IF($D174="Logistics",VLOOKUP($O174,'Upper Hot Cell Logistics'!$C$4:$D$44,2,FALSE),"N/A")</f>
        <v>N/A</v>
      </c>
    </row>
    <row r="175" spans="1:16" x14ac:dyDescent="0.4">
      <c r="A175" s="3083"/>
      <c r="B175" s="4054" t="s">
        <v>962</v>
      </c>
      <c r="C175" s="3042" t="str">
        <f>'Upper Hot Cell Welding failures'!E171</f>
        <v>Extract ROB Blanket Segment</v>
      </c>
      <c r="D175" s="3042" t="s">
        <v>907</v>
      </c>
      <c r="E175" s="3043">
        <f t="shared" si="5"/>
        <v>0</v>
      </c>
      <c r="F175" s="3043">
        <f>IF($D175="Trigger",VLOOKUP($C175,'Upper Hot Cell Welding failures'!$E$144:$I$209,5,FALSE),E175+F174)</f>
        <v>47.633913261816971</v>
      </c>
      <c r="G175" s="3045"/>
      <c r="H175" s="3044" t="str">
        <f>IF(D175="operation",VLOOKUP(G175,'Generic Vertical Port Tasks'!C190:D194,2,FALSE),"N/A")</f>
        <v>N/A</v>
      </c>
      <c r="I175" s="3042"/>
      <c r="J175" s="3042"/>
      <c r="K175" s="3042"/>
      <c r="L175" s="3043" t="str">
        <f>IFERROR(INDEX('Upper Hot Cell Logistics'!$I$35:$O$41,MATCH($J175,'Upper Hot Cell Logistics'!$H$35:$H$41,0),MATCH($K175,'Upper Hot Cell Logistics'!$H$35:$H$41,0)),"N/A")</f>
        <v>N/A</v>
      </c>
      <c r="M175" s="3043" t="str">
        <f>IFERROR(VLOOKUP($I175,'Upper Hot Cell Logistics'!$H$4:$I$9,2,FALSE),"N/A")</f>
        <v>N/A</v>
      </c>
      <c r="N175" s="3061" t="str">
        <f t="shared" si="6"/>
        <v>N/A</v>
      </c>
      <c r="O175" s="3048"/>
      <c r="P175" s="3044" t="str">
        <f>IF($D175="Logistics",VLOOKUP($O175,'Upper Hot Cell Logistics'!$C$4:$D$44,2,FALSE),"N/A")</f>
        <v>N/A</v>
      </c>
    </row>
    <row r="176" spans="1:16" x14ac:dyDescent="0.4">
      <c r="A176" s="3083"/>
      <c r="B176" s="4055"/>
      <c r="C176" s="3049" t="s">
        <v>930</v>
      </c>
      <c r="D176" s="3049" t="s">
        <v>778</v>
      </c>
      <c r="E176" s="3047">
        <f t="shared" si="5"/>
        <v>0.69444444444444442</v>
      </c>
      <c r="F176" s="3047">
        <f>IF($D176="Trigger",VLOOKUP($C176,'Upper Hot Cell Welding failures'!$E$144:$I$209,5,FALSE),E176+F175)</f>
        <v>48.328357706261414</v>
      </c>
      <c r="G176" s="3050"/>
      <c r="H176" s="3046" t="str">
        <f>IF(D176="operation",VLOOKUP(G176,'Generic Vertical Port Tasks'!C190:D194,2,FALSE),"N/A")</f>
        <v>N/A</v>
      </c>
      <c r="I176" s="3049" t="s">
        <v>857</v>
      </c>
      <c r="J176" s="3049" t="s">
        <v>452</v>
      </c>
      <c r="K176" s="3049" t="s">
        <v>831</v>
      </c>
      <c r="L176" s="3047">
        <f>IFERROR(INDEX('Upper Hot Cell Logistics'!$I$35:$O$41,MATCH($J176,'Upper Hot Cell Logistics'!$H$35:$H$41,0),MATCH($K176,'Upper Hot Cell Logistics'!$H$35:$H$41,0)),"N/A")</f>
        <v>50</v>
      </c>
      <c r="M176" s="3047">
        <f>IFERROR(VLOOKUP($I176,'Upper Hot Cell Logistics'!$H$4:$I$9,2,FALSE),"N/A")</f>
        <v>0.02</v>
      </c>
      <c r="N176" s="3059">
        <f t="shared" si="6"/>
        <v>0.69444444444444442</v>
      </c>
      <c r="O176" s="3051"/>
      <c r="P176" s="3046" t="str">
        <f>IF($D176="Logistics",VLOOKUP($O176,'Upper Hot Cell Logistics'!$C$4:$D$44,2,FALSE),"N/A")</f>
        <v>N/A</v>
      </c>
    </row>
    <row r="177" spans="1:17" x14ac:dyDescent="0.4">
      <c r="A177" s="3083"/>
      <c r="B177" s="4055"/>
      <c r="C177" s="3049" t="s">
        <v>960</v>
      </c>
      <c r="D177" s="3049" t="s">
        <v>3</v>
      </c>
      <c r="E177" s="3047">
        <f t="shared" si="5"/>
        <v>0.58000000000000007</v>
      </c>
      <c r="F177" s="3047">
        <f>IF($D177="Trigger",VLOOKUP($C177,'Upper Hot Cell Welding failures'!$E$144:$I$209,5,FALSE),E177+F176)</f>
        <v>48.908357706261413</v>
      </c>
      <c r="G177" s="3050"/>
      <c r="H177" s="3046" t="str">
        <f>IF(D177="operation",VLOOKUP(G177,'Generic Vertical Port Tasks'!C190:D194,2,FALSE),"N/A")</f>
        <v>N/A</v>
      </c>
      <c r="I177" s="3049"/>
      <c r="J177" s="3049"/>
      <c r="K177" s="3049"/>
      <c r="L177" s="3047" t="str">
        <f>IFERROR(INDEX('Upper Hot Cell Logistics'!$I$35:$O$41,MATCH($J177,'Upper Hot Cell Logistics'!$H$35:$H$41,0),MATCH($K177,'Upper Hot Cell Logistics'!$H$35:$H$41,0)),"N/A")</f>
        <v>N/A</v>
      </c>
      <c r="M177" s="3047" t="str">
        <f>IFERROR(VLOOKUP($I177,'Upper Hot Cell Logistics'!$H$4:$I$9,2,FALSE),"N/A")</f>
        <v>N/A</v>
      </c>
      <c r="N177" s="3059" t="str">
        <f t="shared" si="6"/>
        <v>N/A</v>
      </c>
      <c r="O177" s="3051" t="s">
        <v>904</v>
      </c>
      <c r="P177" s="3046">
        <f>IF($D177="Logistics",VLOOKUP($O177,'Upper Hot Cell Logistics'!$C$4:$D$44,2,FALSE),"N/A")</f>
        <v>0.58000000000000007</v>
      </c>
    </row>
    <row r="178" spans="1:17" ht="13.3" thickBot="1" x14ac:dyDescent="0.45">
      <c r="A178" s="3083"/>
      <c r="B178" s="4057"/>
      <c r="C178" s="3053" t="str">
        <f>B175</f>
        <v>ROB Blanket Segment Stored</v>
      </c>
      <c r="D178" s="3053" t="s">
        <v>11</v>
      </c>
      <c r="E178" s="3054">
        <f t="shared" si="5"/>
        <v>0</v>
      </c>
      <c r="F178" s="3054">
        <f>IF($D178="Trigger",VLOOKUP($C178,'Upper Hot Cell Welding failures'!$E$144:$I$209,5,FALSE),E178+F177)</f>
        <v>48.908357706261413</v>
      </c>
      <c r="G178" s="3056"/>
      <c r="H178" s="3055" t="str">
        <f>IF(D178="operation",VLOOKUP(G178,'Generic Vertical Port Tasks'!C190:D194,2,FALSE),"N/A")</f>
        <v>N/A</v>
      </c>
      <c r="I178" s="3053"/>
      <c r="J178" s="3053"/>
      <c r="K178" s="3053"/>
      <c r="L178" s="3054" t="str">
        <f>IFERROR(INDEX('Upper Hot Cell Logistics'!$I$35:$O$41,MATCH($J178,'Upper Hot Cell Logistics'!$H$35:$H$41,0),MATCH($K178,'Upper Hot Cell Logistics'!$H$35:$H$41,0)),"N/A")</f>
        <v>N/A</v>
      </c>
      <c r="M178" s="3054" t="str">
        <f>IFERROR(VLOOKUP($I178,'Upper Hot Cell Logistics'!$H$4:$I$9,2,FALSE),"N/A")</f>
        <v>N/A</v>
      </c>
      <c r="N178" s="3060" t="str">
        <f t="shared" si="6"/>
        <v>N/A</v>
      </c>
      <c r="O178" s="3057"/>
      <c r="P178" s="3055" t="str">
        <f>IF($D178="Logistics",VLOOKUP($O178,'Upper Hot Cell Logistics'!$C$4:$D$44,2,FALSE),"N/A")</f>
        <v>N/A</v>
      </c>
    </row>
    <row r="179" spans="1:17" x14ac:dyDescent="0.4">
      <c r="A179" s="3083"/>
      <c r="B179" s="4054" t="s">
        <v>1081</v>
      </c>
      <c r="C179" s="3042" t="str">
        <f>'Upper Hot Cell Welding failures'!E173</f>
        <v>Extract LIB Blanket Segment</v>
      </c>
      <c r="D179" s="3042" t="s">
        <v>907</v>
      </c>
      <c r="E179" s="3043">
        <f t="shared" si="5"/>
        <v>0</v>
      </c>
      <c r="F179" s="3043">
        <f>IF($D179="Trigger",VLOOKUP($C179,'Upper Hot Cell Welding failures'!$E$144:$I$209,5,FALSE),E179+F178)</f>
        <v>53.443357706261416</v>
      </c>
      <c r="G179" s="3045"/>
      <c r="H179" s="3044" t="str">
        <f>IF(D179="operation",VLOOKUP(G179,'Generic Vertical Port Tasks'!C190:D196,2,FALSE),"N/A")</f>
        <v>N/A</v>
      </c>
      <c r="I179" s="3042"/>
      <c r="J179" s="3042"/>
      <c r="K179" s="3042"/>
      <c r="L179" s="3043" t="str">
        <f>IFERROR(INDEX('Upper Hot Cell Logistics'!$I$35:$O$41,MATCH($J179,'Upper Hot Cell Logistics'!$H$35:$H$41,0),MATCH($K179,'Upper Hot Cell Logistics'!$H$35:$H$41,0)),"N/A")</f>
        <v>N/A</v>
      </c>
      <c r="M179" s="3043" t="str">
        <f>IFERROR(VLOOKUP($I179,'Upper Hot Cell Logistics'!$H$4:$I$9,2,FALSE),"N/A")</f>
        <v>N/A</v>
      </c>
      <c r="N179" s="3061" t="str">
        <f t="shared" si="6"/>
        <v>N/A</v>
      </c>
      <c r="O179" s="3048"/>
      <c r="P179" s="3044" t="str">
        <f>IF($D179="Logistics",VLOOKUP($O179,'Upper Hot Cell Logistics'!$C$4:$D$44,2,FALSE),"N/A")</f>
        <v>N/A</v>
      </c>
    </row>
    <row r="180" spans="1:17" x14ac:dyDescent="0.4">
      <c r="A180" s="3083"/>
      <c r="B180" s="4055"/>
      <c r="C180" s="3049" t="s">
        <v>930</v>
      </c>
      <c r="D180" s="3049" t="s">
        <v>778</v>
      </c>
      <c r="E180" s="3047">
        <f t="shared" si="5"/>
        <v>0.69444444444444442</v>
      </c>
      <c r="F180" s="3047">
        <f>IF($D180="Trigger",VLOOKUP($C180,'Upper Hot Cell Welding failures'!$E$144:$I$209,5,FALSE),E180+F179)</f>
        <v>54.137802150705859</v>
      </c>
      <c r="G180" s="3050"/>
      <c r="H180" s="3046" t="str">
        <f>IF(D180="operation",VLOOKUP(G180,'Generic Vertical Port Tasks'!C190:D196,2,FALSE),"N/A")</f>
        <v>N/A</v>
      </c>
      <c r="I180" s="3049" t="s">
        <v>857</v>
      </c>
      <c r="J180" s="3049" t="s">
        <v>452</v>
      </c>
      <c r="K180" s="3049" t="s">
        <v>831</v>
      </c>
      <c r="L180" s="3047">
        <f>IFERROR(INDEX('Upper Hot Cell Logistics'!$I$35:$O$41,MATCH($J180,'Upper Hot Cell Logistics'!$H$35:$H$41,0),MATCH($K180,'Upper Hot Cell Logistics'!$H$35:$H$41,0)),"N/A")</f>
        <v>50</v>
      </c>
      <c r="M180" s="3047">
        <f>IFERROR(VLOOKUP($I180,'Upper Hot Cell Logistics'!$H$4:$I$9,2,FALSE),"N/A")</f>
        <v>0.02</v>
      </c>
      <c r="N180" s="3059">
        <f t="shared" si="6"/>
        <v>0.69444444444444442</v>
      </c>
      <c r="O180" s="3051"/>
      <c r="P180" s="3046" t="str">
        <f>IF($D180="Logistics",VLOOKUP($O180,'Upper Hot Cell Logistics'!$C$4:$D$44,2,FALSE),"N/A")</f>
        <v>N/A</v>
      </c>
    </row>
    <row r="181" spans="1:17" x14ac:dyDescent="0.4">
      <c r="A181" s="3083"/>
      <c r="B181" s="4055"/>
      <c r="C181" s="3049" t="s">
        <v>960</v>
      </c>
      <c r="D181" s="3049" t="s">
        <v>3</v>
      </c>
      <c r="E181" s="3047">
        <f t="shared" si="5"/>
        <v>0.58000000000000007</v>
      </c>
      <c r="F181" s="3047">
        <f>IF($D181="Trigger",VLOOKUP($C181,'Upper Hot Cell Welding failures'!$E$144:$I$209,5,FALSE),E181+F180)</f>
        <v>54.717802150705857</v>
      </c>
      <c r="G181" s="3050"/>
      <c r="H181" s="3046" t="str">
        <f>IF(D181="operation",VLOOKUP(G181,'Generic Vertical Port Tasks'!C190:D196,2,FALSE),"N/A")</f>
        <v>N/A</v>
      </c>
      <c r="I181" s="3049"/>
      <c r="J181" s="3049"/>
      <c r="K181" s="3049"/>
      <c r="L181" s="3047" t="str">
        <f>IFERROR(INDEX('Upper Hot Cell Logistics'!$I$35:$O$41,MATCH($J181,'Upper Hot Cell Logistics'!$H$35:$H$41,0),MATCH($K181,'Upper Hot Cell Logistics'!$H$35:$H$41,0)),"N/A")</f>
        <v>N/A</v>
      </c>
      <c r="M181" s="3047" t="str">
        <f>IFERROR(VLOOKUP($I181,'Upper Hot Cell Logistics'!$H$4:$I$9,2,FALSE),"N/A")</f>
        <v>N/A</v>
      </c>
      <c r="N181" s="3059" t="str">
        <f t="shared" si="6"/>
        <v>N/A</v>
      </c>
      <c r="O181" s="3051" t="s">
        <v>904</v>
      </c>
      <c r="P181" s="3046">
        <f>IF($D181="Logistics",VLOOKUP($O181,'Upper Hot Cell Logistics'!$C$4:$D$44,2,FALSE),"N/A")</f>
        <v>0.58000000000000007</v>
      </c>
    </row>
    <row r="182" spans="1:17" ht="26.15" thickBot="1" x14ac:dyDescent="0.45">
      <c r="A182" s="3083"/>
      <c r="B182" s="4057"/>
      <c r="C182" s="3053" t="str">
        <f>B179</f>
        <v>LIB Blanket Segment Stored; Replacement RIB Blanket Segment collected</v>
      </c>
      <c r="D182" s="3053" t="s">
        <v>11</v>
      </c>
      <c r="E182" s="3054">
        <f t="shared" si="5"/>
        <v>0</v>
      </c>
      <c r="F182" s="3054">
        <f>IF($D182="Trigger",VLOOKUP($C182,'Upper Hot Cell Welding failures'!$E$144:$I$209,5,FALSE),E182+F181)</f>
        <v>54.717802150705857</v>
      </c>
      <c r="G182" s="3056"/>
      <c r="H182" s="3055" t="str">
        <f>IF(D182="operation",VLOOKUP(G182,'Generic Vertical Port Tasks'!C190:D196,2,FALSE),"N/A")</f>
        <v>N/A</v>
      </c>
      <c r="I182" s="3053"/>
      <c r="J182" s="3053"/>
      <c r="K182" s="3053"/>
      <c r="L182" s="3054" t="str">
        <f>IFERROR(INDEX('Upper Hot Cell Logistics'!$I$35:$O$41,MATCH($J182,'Upper Hot Cell Logistics'!$H$35:$H$41,0),MATCH($K182,'Upper Hot Cell Logistics'!$H$35:$H$41,0)),"N/A")</f>
        <v>N/A</v>
      </c>
      <c r="M182" s="3054" t="str">
        <f>IFERROR(VLOOKUP($I182,'Upper Hot Cell Logistics'!$H$4:$I$9,2,FALSE),"N/A")</f>
        <v>N/A</v>
      </c>
      <c r="N182" s="3060" t="str">
        <f t="shared" si="6"/>
        <v>N/A</v>
      </c>
      <c r="O182" s="3057"/>
      <c r="P182" s="3055" t="str">
        <f>IF($D182="Logistics",VLOOKUP($O182,'Upper Hot Cell Logistics'!$C$4:$D$44,2,FALSE),"N/A")</f>
        <v>N/A</v>
      </c>
    </row>
    <row r="183" spans="1:17" x14ac:dyDescent="0.4">
      <c r="A183" s="3083"/>
      <c r="B183" s="4054" t="s">
        <v>1082</v>
      </c>
      <c r="C183" s="3042" t="str">
        <f>'Upper Hot Cell Welding failures'!E175</f>
        <v>Extract RIB Blanket Segment</v>
      </c>
      <c r="D183" s="3042" t="s">
        <v>907</v>
      </c>
      <c r="E183" s="3043">
        <f t="shared" si="5"/>
        <v>0</v>
      </c>
      <c r="F183" s="3043">
        <f>IF($D183="Trigger",VLOOKUP($C183,'Upper Hot Cell Welding failures'!$E$144:$I$209,5,FALSE),E183+F182)</f>
        <v>59.252802150705861</v>
      </c>
      <c r="G183" s="3045"/>
      <c r="H183" s="3044" t="str">
        <f>IF(D183="operation",VLOOKUP(G183,'Generic Vertical Port Tasks'!C190:D199,2,FALSE),"N/A")</f>
        <v>N/A</v>
      </c>
      <c r="I183" s="3042"/>
      <c r="J183" s="3042"/>
      <c r="K183" s="3042"/>
      <c r="L183" s="3043" t="str">
        <f>IFERROR(INDEX('Upper Hot Cell Logistics'!$I$35:$O$41,MATCH($J183,'Upper Hot Cell Logistics'!$H$35:$H$41,0),MATCH($K183,'Upper Hot Cell Logistics'!$H$35:$H$41,0)),"N/A")</f>
        <v>N/A</v>
      </c>
      <c r="M183" s="3043" t="str">
        <f>IFERROR(VLOOKUP($I183,'Upper Hot Cell Logistics'!$H$4:$I$9,2,FALSE),"N/A")</f>
        <v>N/A</v>
      </c>
      <c r="N183" s="3061" t="str">
        <f t="shared" si="6"/>
        <v>N/A</v>
      </c>
      <c r="O183" s="3048"/>
      <c r="P183" s="3044" t="str">
        <f>IF($D183="Logistics",VLOOKUP($O183,'Upper Hot Cell Logistics'!$C$4:$D$44,2,FALSE),"N/A")</f>
        <v>N/A</v>
      </c>
    </row>
    <row r="184" spans="1:17" x14ac:dyDescent="0.4">
      <c r="A184" s="3083"/>
      <c r="B184" s="4055"/>
      <c r="C184" s="3049" t="s">
        <v>930</v>
      </c>
      <c r="D184" s="3049" t="s">
        <v>778</v>
      </c>
      <c r="E184" s="3047">
        <f t="shared" si="5"/>
        <v>0.69444444444444442</v>
      </c>
      <c r="F184" s="3047">
        <f>IF($D184="Trigger",VLOOKUP($C184,'Upper Hot Cell Welding failures'!$E$144:$I$209,5,FALSE),E184+F183)</f>
        <v>59.947246595150304</v>
      </c>
      <c r="G184" s="3050"/>
      <c r="H184" s="3046" t="str">
        <f>IF(D184="operation",VLOOKUP(G184,'Generic Vertical Port Tasks'!C190:D199,2,FALSE),"N/A")</f>
        <v>N/A</v>
      </c>
      <c r="I184" s="3049" t="s">
        <v>857</v>
      </c>
      <c r="J184" s="3049" t="s">
        <v>452</v>
      </c>
      <c r="K184" s="3049" t="s">
        <v>831</v>
      </c>
      <c r="L184" s="3047">
        <f>IFERROR(INDEX('Upper Hot Cell Logistics'!$I$35:$O$41,MATCH($J184,'Upper Hot Cell Logistics'!$H$35:$H$41,0),MATCH($K184,'Upper Hot Cell Logistics'!$H$35:$H$41,0)),"N/A")</f>
        <v>50</v>
      </c>
      <c r="M184" s="3047">
        <f>IFERROR(VLOOKUP($I184,'Upper Hot Cell Logistics'!$H$4:$I$9,2,FALSE),"N/A")</f>
        <v>0.02</v>
      </c>
      <c r="N184" s="3059">
        <f t="shared" si="6"/>
        <v>0.69444444444444442</v>
      </c>
      <c r="O184" s="3051"/>
      <c r="P184" s="3046" t="str">
        <f>IF($D184="Logistics",VLOOKUP($O184,'Upper Hot Cell Logistics'!$C$4:$D$44,2,FALSE),"N/A")</f>
        <v>N/A</v>
      </c>
    </row>
    <row r="185" spans="1:17" x14ac:dyDescent="0.4">
      <c r="A185" s="3083"/>
      <c r="B185" s="4055"/>
      <c r="C185" s="3049" t="s">
        <v>960</v>
      </c>
      <c r="D185" s="3049" t="s">
        <v>3</v>
      </c>
      <c r="E185" s="3047">
        <f t="shared" si="5"/>
        <v>0.58000000000000007</v>
      </c>
      <c r="F185" s="3047">
        <f>IF($D185="Trigger",VLOOKUP($C185,'Upper Hot Cell Welding failures'!$E$144:$I$209,5,FALSE),E185+F184)</f>
        <v>60.527246595150302</v>
      </c>
      <c r="G185" s="3050"/>
      <c r="H185" s="3046" t="str">
        <f>IF(D185="operation",VLOOKUP(G185,'Generic Vertical Port Tasks'!C190:D199,2,FALSE),"N/A")</f>
        <v>N/A</v>
      </c>
      <c r="I185" s="3049"/>
      <c r="J185" s="3049"/>
      <c r="K185" s="3049"/>
      <c r="L185" s="3047" t="str">
        <f>IFERROR(INDEX('Upper Hot Cell Logistics'!$I$35:$O$41,MATCH($J185,'Upper Hot Cell Logistics'!$H$35:$H$41,0),MATCH($K185,'Upper Hot Cell Logistics'!$H$35:$H$41,0)),"N/A")</f>
        <v>N/A</v>
      </c>
      <c r="M185" s="3047" t="str">
        <f>IFERROR(VLOOKUP($I185,'Upper Hot Cell Logistics'!$H$4:$I$9,2,FALSE),"N/A")</f>
        <v>N/A</v>
      </c>
      <c r="N185" s="3059" t="str">
        <f t="shared" si="6"/>
        <v>N/A</v>
      </c>
      <c r="O185" s="3051" t="s">
        <v>904</v>
      </c>
      <c r="P185" s="3046">
        <f>IF($D185="Logistics",VLOOKUP($O185,'Upper Hot Cell Logistics'!$C$4:$D$44,2,FALSE),"N/A")</f>
        <v>0.58000000000000007</v>
      </c>
    </row>
    <row r="186" spans="1:17" x14ac:dyDescent="0.4">
      <c r="A186" s="3083"/>
      <c r="B186" s="4056"/>
      <c r="C186" s="3052" t="s">
        <v>1173</v>
      </c>
      <c r="D186" s="3052" t="s">
        <v>778</v>
      </c>
      <c r="E186" s="3047">
        <f t="shared" si="5"/>
        <v>1.3888888888888888E-2</v>
      </c>
      <c r="F186" s="3047">
        <f>IF($D186="Trigger",VLOOKUP($C186,'Upper Hot Cell Welding failures'!$E$144:$I$209,5,FALSE),E186+F185)</f>
        <v>60.541135484039188</v>
      </c>
      <c r="G186" s="3050"/>
      <c r="H186" s="3046" t="str">
        <f>IF(D186="operation",VLOOKUP(G186,'Generic Vertical Port Tasks'!C190:D200,2,FALSE),"N/A")</f>
        <v>N/A</v>
      </c>
      <c r="I186" s="3049" t="s">
        <v>798</v>
      </c>
      <c r="J186" s="3049" t="s">
        <v>831</v>
      </c>
      <c r="K186" s="3049" t="s">
        <v>858</v>
      </c>
      <c r="L186" s="3047">
        <f>IFERROR(INDEX('Upper Hot Cell Logistics'!$I$35:$O$41,MATCH($J186,'Upper Hot Cell Logistics'!$H$35:$H$41,0),MATCH($K186,'Upper Hot Cell Logistics'!$H$35:$H$41,0)),"N/A")</f>
        <v>10</v>
      </c>
      <c r="M186" s="3047">
        <f>IFERROR(VLOOKUP($I186,'Upper Hot Cell Logistics'!$H$4:$I$9,2,FALSE),"N/A")</f>
        <v>0.2</v>
      </c>
      <c r="N186" s="3059">
        <f t="shared" si="6"/>
        <v>1.3888888888888888E-2</v>
      </c>
      <c r="O186" s="3051"/>
      <c r="P186" s="3046" t="str">
        <f>IF($D186="Logistics",VLOOKUP($O186,'Upper Hot Cell Logistics'!$C$4:$D$44,2,FALSE),"N/A")</f>
        <v>N/A</v>
      </c>
    </row>
    <row r="187" spans="1:17" x14ac:dyDescent="0.4">
      <c r="A187" s="3083"/>
      <c r="B187" s="4056"/>
      <c r="C187" s="3052" t="s">
        <v>1174</v>
      </c>
      <c r="D187" s="3052" t="s">
        <v>3</v>
      </c>
      <c r="E187" s="3047">
        <f t="shared" si="5"/>
        <v>0.78</v>
      </c>
      <c r="F187" s="3047">
        <f>IF($D187="Trigger",VLOOKUP($C187,'Upper Hot Cell Welding failures'!$E$144:$I$209,5,FALSE),E187+F186)</f>
        <v>61.321135484039189</v>
      </c>
      <c r="G187" s="3050"/>
      <c r="H187" s="3046" t="str">
        <f>IF(D187="operation",VLOOKUP(G187,'Generic Vertical Port Tasks'!C190:D201,2,FALSE),"N/A")</f>
        <v>N/A</v>
      </c>
      <c r="I187" s="3049"/>
      <c r="J187" s="3049"/>
      <c r="K187" s="3049"/>
      <c r="L187" s="3047" t="str">
        <f>IFERROR(INDEX('Upper Hot Cell Logistics'!$I$35:$O$41,MATCH($J187,'Upper Hot Cell Logistics'!$H$35:$H$41,0),MATCH($K187,'Upper Hot Cell Logistics'!$H$35:$H$41,0)),"N/A")</f>
        <v>N/A</v>
      </c>
      <c r="M187" s="3047" t="str">
        <f>IFERROR(VLOOKUP($I187,'Upper Hot Cell Logistics'!$H$4:$I$9,2,FALSE),"N/A")</f>
        <v>N/A</v>
      </c>
      <c r="N187" s="3059" t="str">
        <f t="shared" si="6"/>
        <v>N/A</v>
      </c>
      <c r="O187" s="3051" t="s">
        <v>1175</v>
      </c>
      <c r="P187" s="3046">
        <f>IF($D187="Logistics",VLOOKUP($O187,'Upper Hot Cell Logistics'!$C$4:$D$44,2,FALSE),"N/A")</f>
        <v>0.78</v>
      </c>
    </row>
    <row r="188" spans="1:17" ht="26.15" thickBot="1" x14ac:dyDescent="0.45">
      <c r="A188" s="3083"/>
      <c r="B188" s="4056"/>
      <c r="C188" s="3052" t="str">
        <f>B183</f>
        <v>RIB Blanket Segment Stored; Replacement LIB Blanket Segment collected</v>
      </c>
      <c r="D188" s="3052" t="s">
        <v>11</v>
      </c>
      <c r="E188" s="3062">
        <f t="shared" si="5"/>
        <v>0</v>
      </c>
      <c r="F188" s="3062">
        <f>IF($D188="Trigger",VLOOKUP($C188,'Upper Hot Cell Welding failures'!$E$144:$I$209,5,FALSE),E188+F187)</f>
        <v>61.321135484039189</v>
      </c>
      <c r="G188" s="3063"/>
      <c r="H188" s="3064" t="str">
        <f>IF(D188="operation",VLOOKUP(G188,'Generic Vertical Port Tasks'!C190:D199,2,FALSE),"N/A")</f>
        <v>N/A</v>
      </c>
      <c r="I188" s="3052"/>
      <c r="J188" s="3052"/>
      <c r="K188" s="3052"/>
      <c r="L188" s="3062" t="str">
        <f>IFERROR(INDEX('Upper Hot Cell Logistics'!$I$35:$O$41,MATCH($J188,'Upper Hot Cell Logistics'!$H$35:$H$41,0),MATCH($K188,'Upper Hot Cell Logistics'!$H$35:$H$41,0)),"N/A")</f>
        <v>N/A</v>
      </c>
      <c r="M188" s="3062" t="str">
        <f>IFERROR(VLOOKUP($I188,'Upper Hot Cell Logistics'!$H$4:$I$9,2,FALSE),"N/A")</f>
        <v>N/A</v>
      </c>
      <c r="N188" s="3065" t="str">
        <f t="shared" si="6"/>
        <v>N/A</v>
      </c>
      <c r="O188" s="3066"/>
      <c r="P188" s="3064" t="str">
        <f>IF($D188="Logistics",VLOOKUP($O188,'Upper Hot Cell Logistics'!$C$4:$D$44,2,FALSE),"N/A")</f>
        <v>N/A</v>
      </c>
    </row>
    <row r="189" spans="1:17" s="3058" customFormat="1" ht="14.6" collapsed="1" x14ac:dyDescent="0.4">
      <c r="A189" s="3083"/>
      <c r="B189" s="4054" t="s">
        <v>863</v>
      </c>
      <c r="C189" s="3042" t="str">
        <f>'Upper Hot Cell Welding failures'!E177</f>
        <v>Install RIB Blanket Segment</v>
      </c>
      <c r="D189" s="3042" t="s">
        <v>907</v>
      </c>
      <c r="E189" s="3043">
        <f t="shared" si="5"/>
        <v>0</v>
      </c>
      <c r="F189" s="3044">
        <f>IF($D189="Trigger",VLOOKUP($C189,'Upper Hot Cell Welding failures'!$E$144:$I$209,5,FALSE),E189+F188)</f>
        <v>63.652246595150302</v>
      </c>
      <c r="G189" s="3045"/>
      <c r="H189" s="3044" t="str">
        <f>IF(D189="operation",VLOOKUP(G189,'Generic Vertical Port Tasks'!C190:D202,2,FALSE),"N/A")</f>
        <v>N/A</v>
      </c>
      <c r="I189" s="3042"/>
      <c r="J189" s="3042"/>
      <c r="K189" s="3042"/>
      <c r="L189" s="3043" t="str">
        <f>IFERROR(INDEX('Upper Hot Cell Logistics'!$I$35:$O$41,MATCH($J189,'Upper Hot Cell Logistics'!$H$35:$H$41,0),MATCH($K189,'Upper Hot Cell Logistics'!$H$35:$H$41,0)),"N/A")</f>
        <v>N/A</v>
      </c>
      <c r="M189" s="3043" t="str">
        <f>IFERROR(VLOOKUP($I189,'Upper Hot Cell Logistics'!$H$4:$I$9,2,FALSE),"N/A")</f>
        <v>N/A</v>
      </c>
      <c r="N189" s="3061" t="str">
        <f t="shared" si="6"/>
        <v>N/A</v>
      </c>
      <c r="O189" s="3048"/>
      <c r="P189" s="3044" t="str">
        <f>IF($D189="Logistics",VLOOKUP($O189,'Upper Hot Cell Logistics'!$C$4:$D$44,2,FALSE),"N/A")</f>
        <v>N/A</v>
      </c>
      <c r="Q189" s="3023"/>
    </row>
    <row r="190" spans="1:17" s="3058" customFormat="1" ht="14.6" x14ac:dyDescent="0.4">
      <c r="A190" s="3083"/>
      <c r="B190" s="4055"/>
      <c r="C190" s="3049" t="s">
        <v>926</v>
      </c>
      <c r="D190" s="3049" t="s">
        <v>778</v>
      </c>
      <c r="E190" s="3047">
        <f t="shared" si="5"/>
        <v>0.69444444444444442</v>
      </c>
      <c r="F190" s="3046">
        <f>IF($D190="Trigger",VLOOKUP($C190,'Upper Hot Cell Welding failures'!$E$144:$I$209,5,FALSE),E190+F189)</f>
        <v>64.346691039594745</v>
      </c>
      <c r="G190" s="3050"/>
      <c r="H190" s="3046" t="str">
        <f>IF(D190="operation",VLOOKUP(G190,'Generic Vertical Port Tasks'!C190:D202,2,FALSE),"N/A")</f>
        <v>N/A</v>
      </c>
      <c r="I190" s="3049" t="s">
        <v>857</v>
      </c>
      <c r="J190" s="3049" t="s">
        <v>452</v>
      </c>
      <c r="K190" s="3049" t="s">
        <v>858</v>
      </c>
      <c r="L190" s="3047">
        <f>IFERROR(INDEX('Upper Hot Cell Logistics'!$I$35:$O$41,MATCH($J190,'Upper Hot Cell Logistics'!$H$35:$H$41,0),MATCH($K190,'Upper Hot Cell Logistics'!$H$35:$H$41,0)),"N/A")</f>
        <v>50</v>
      </c>
      <c r="M190" s="3047">
        <f>IFERROR(VLOOKUP($I190,'Upper Hot Cell Logistics'!$H$4:$I$9,2,FALSE),"N/A")</f>
        <v>0.02</v>
      </c>
      <c r="N190" s="3059">
        <f t="shared" si="6"/>
        <v>0.69444444444444442</v>
      </c>
      <c r="O190" s="3051"/>
      <c r="P190" s="3046" t="str">
        <f>IF($D190="Logistics",VLOOKUP($O190,'Upper Hot Cell Logistics'!$C$4:$D$44,2,FALSE),"N/A")</f>
        <v>N/A</v>
      </c>
      <c r="Q190" s="3023"/>
    </row>
    <row r="191" spans="1:17" s="3058" customFormat="1" ht="14.6" x14ac:dyDescent="0.4">
      <c r="A191" s="3083"/>
      <c r="B191" s="4055"/>
      <c r="C191" s="3049" t="s">
        <v>970</v>
      </c>
      <c r="D191" s="3049" t="s">
        <v>3</v>
      </c>
      <c r="E191" s="3047">
        <f t="shared" si="5"/>
        <v>0.58000000000000007</v>
      </c>
      <c r="F191" s="3046">
        <f>IF($D191="Trigger",VLOOKUP($C191,'Upper Hot Cell Welding failures'!$E$144:$I$209,5,FALSE),E191+F190)</f>
        <v>64.926691039594743</v>
      </c>
      <c r="G191" s="3050"/>
      <c r="H191" s="3046" t="str">
        <f>IF(D191="operation",VLOOKUP(G191,'Generic Vertical Port Tasks'!C190:D202,2,FALSE),"N/A")</f>
        <v>N/A</v>
      </c>
      <c r="I191" s="3049"/>
      <c r="J191" s="3049"/>
      <c r="K191" s="3049"/>
      <c r="L191" s="3047" t="str">
        <f>IFERROR(INDEX('Upper Hot Cell Logistics'!$I$35:$O$41,MATCH($J191,'Upper Hot Cell Logistics'!$H$35:$H$41,0),MATCH($K191,'Upper Hot Cell Logistics'!$H$35:$H$41,0)),"N/A")</f>
        <v>N/A</v>
      </c>
      <c r="M191" s="3047" t="str">
        <f>IFERROR(VLOOKUP($I191,'Upper Hot Cell Logistics'!$H$4:$I$9,2,FALSE),"N/A")</f>
        <v>N/A</v>
      </c>
      <c r="N191" s="3059" t="str">
        <f t="shared" si="6"/>
        <v>N/A</v>
      </c>
      <c r="O191" s="3051" t="s">
        <v>904</v>
      </c>
      <c r="P191" s="3046">
        <f>IF($D191="Logistics",VLOOKUP($O191,'Upper Hot Cell Logistics'!$C$4:$D$44,2,FALSE),"N/A")</f>
        <v>0.58000000000000007</v>
      </c>
      <c r="Q191" s="3023"/>
    </row>
    <row r="192" spans="1:17" s="3058" customFormat="1" ht="15" thickBot="1" x14ac:dyDescent="0.45">
      <c r="A192" s="3083"/>
      <c r="B192" s="4057"/>
      <c r="C192" s="3053" t="str">
        <f>B189</f>
        <v>ROB Blanket Segment Exported</v>
      </c>
      <c r="D192" s="3053" t="s">
        <v>11</v>
      </c>
      <c r="E192" s="3054">
        <f t="shared" si="5"/>
        <v>0</v>
      </c>
      <c r="F192" s="3055">
        <f>IF($D192="Trigger",VLOOKUP($C192,'Upper Hot Cell Welding failures'!$E$144:$I$209,5,FALSE),E192+F191)</f>
        <v>64.926691039594743</v>
      </c>
      <c r="G192" s="3056"/>
      <c r="H192" s="3055" t="str">
        <f>IF(D192="operation",VLOOKUP(G192,'Generic Vertical Port Tasks'!C190:D202,2,FALSE),"N/A")</f>
        <v>N/A</v>
      </c>
      <c r="I192" s="3053"/>
      <c r="J192" s="3053"/>
      <c r="K192" s="3053"/>
      <c r="L192" s="3054" t="str">
        <f>IFERROR(INDEX('Upper Hot Cell Logistics'!$I$35:$O$41,MATCH($J192,'Upper Hot Cell Logistics'!$H$35:$H$41,0),MATCH($K192,'Upper Hot Cell Logistics'!$H$35:$H$41,0)),"N/A")</f>
        <v>N/A</v>
      </c>
      <c r="M192" s="3054" t="str">
        <f>IFERROR(VLOOKUP($I192,'Upper Hot Cell Logistics'!$H$4:$I$9,2,FALSE),"N/A")</f>
        <v>N/A</v>
      </c>
      <c r="N192" s="3060" t="str">
        <f t="shared" si="6"/>
        <v>N/A</v>
      </c>
      <c r="O192" s="3057"/>
      <c r="P192" s="3055" t="str">
        <f>IF($D192="Logistics",VLOOKUP($O192,'Upper Hot Cell Logistics'!$C$4:$D$44,2,FALSE),"N/A")</f>
        <v>N/A</v>
      </c>
      <c r="Q192" s="3023"/>
    </row>
    <row r="193" spans="1:17" s="3058" customFormat="1" ht="14.6" x14ac:dyDescent="0.4">
      <c r="A193" s="3083"/>
      <c r="B193" s="4054" t="s">
        <v>865</v>
      </c>
      <c r="C193" s="3042" t="str">
        <f>'Upper Hot Cell Welding failures'!E179</f>
        <v>Install LIB Blanket Segment</v>
      </c>
      <c r="D193" s="3042" t="s">
        <v>907</v>
      </c>
      <c r="E193" s="3043">
        <f t="shared" si="5"/>
        <v>0</v>
      </c>
      <c r="F193" s="3044">
        <f>IF($D193="Trigger",VLOOKUP($C193,'Upper Hot Cell Welding failures'!$E$144:$I$209,5,FALSE),E193+F192)</f>
        <v>68.051691039594743</v>
      </c>
      <c r="G193" s="3045"/>
      <c r="H193" s="3044" t="str">
        <f>IF(D193="operation",VLOOKUP(G193,'Generic Vertical Port Tasks'!C190:D215,2,FALSE),"N/A")</f>
        <v>N/A</v>
      </c>
      <c r="I193" s="3042"/>
      <c r="J193" s="3042"/>
      <c r="K193" s="3042"/>
      <c r="L193" s="3043" t="str">
        <f>IFERROR(INDEX('Upper Hot Cell Logistics'!$I$35:$O$41,MATCH($J193,'Upper Hot Cell Logistics'!$H$35:$H$41,0),MATCH($K193,'Upper Hot Cell Logistics'!$H$35:$H$41,0)),"N/A")</f>
        <v>N/A</v>
      </c>
      <c r="M193" s="3043" t="str">
        <f>IFERROR(VLOOKUP($I193,'Upper Hot Cell Logistics'!$H$4:$I$9,2,FALSE),"N/A")</f>
        <v>N/A</v>
      </c>
      <c r="N193" s="3061" t="str">
        <f t="shared" si="6"/>
        <v>N/A</v>
      </c>
      <c r="O193" s="3048"/>
      <c r="P193" s="3044" t="str">
        <f>IF($D193="Logistics",VLOOKUP($O193,'Upper Hot Cell Logistics'!$C$4:$D$44,2,FALSE),"N/A")</f>
        <v>N/A</v>
      </c>
      <c r="Q193" s="3023"/>
    </row>
    <row r="194" spans="1:17" s="3058" customFormat="1" ht="14.6" x14ac:dyDescent="0.4">
      <c r="A194" s="3083"/>
      <c r="B194" s="4055"/>
      <c r="C194" s="3049" t="s">
        <v>930</v>
      </c>
      <c r="D194" s="3049" t="s">
        <v>778</v>
      </c>
      <c r="E194" s="3047">
        <f t="shared" ref="E194:E238" si="7">MAX($P194,$N194,$H194)</f>
        <v>0.69444444444444442</v>
      </c>
      <c r="F194" s="3046">
        <f>IF($D194="Trigger",VLOOKUP($C194,'Upper Hot Cell Welding failures'!$E$144:$I$209,5,FALSE),E194+F193)</f>
        <v>68.746135484039186</v>
      </c>
      <c r="G194" s="3050"/>
      <c r="H194" s="3046" t="str">
        <f>IF(D194="operation",VLOOKUP(G194,'Generic Vertical Port Tasks'!C190:D215,2,FALSE),"N/A")</f>
        <v>N/A</v>
      </c>
      <c r="I194" s="3049" t="s">
        <v>857</v>
      </c>
      <c r="J194" s="3049" t="s">
        <v>452</v>
      </c>
      <c r="K194" s="3049" t="s">
        <v>858</v>
      </c>
      <c r="L194" s="3047">
        <f>IFERROR(INDEX('Upper Hot Cell Logistics'!$I$35:$O$41,MATCH($J194,'Upper Hot Cell Logistics'!$H$35:$H$41,0),MATCH($K194,'Upper Hot Cell Logistics'!$H$35:$H$41,0)),"N/A")</f>
        <v>50</v>
      </c>
      <c r="M194" s="3047">
        <f>IFERROR(VLOOKUP($I194,'Upper Hot Cell Logistics'!$H$4:$I$9,2,FALSE),"N/A")</f>
        <v>0.02</v>
      </c>
      <c r="N194" s="3059">
        <f t="shared" si="6"/>
        <v>0.69444444444444442</v>
      </c>
      <c r="O194" s="3051"/>
      <c r="P194" s="3046" t="str">
        <f>IF($D194="Logistics",VLOOKUP($O194,'Upper Hot Cell Logistics'!$C$4:$D$44,2,FALSE),"N/A")</f>
        <v>N/A</v>
      </c>
      <c r="Q194" s="3023"/>
    </row>
    <row r="195" spans="1:17" s="3058" customFormat="1" ht="13.5" customHeight="1" x14ac:dyDescent="0.4">
      <c r="A195" s="3083"/>
      <c r="B195" s="4055"/>
      <c r="C195" s="3049" t="s">
        <v>970</v>
      </c>
      <c r="D195" s="3049" t="s">
        <v>3</v>
      </c>
      <c r="E195" s="3047">
        <f t="shared" si="7"/>
        <v>0.78</v>
      </c>
      <c r="F195" s="3046">
        <f>IF($D195="Trigger",VLOOKUP($C195,'Upper Hot Cell Welding failures'!$E$144:$I$209,5,FALSE),E195+F194)</f>
        <v>69.526135484039187</v>
      </c>
      <c r="G195" s="3050"/>
      <c r="H195" s="3046" t="str">
        <f>IF(D195="operation",VLOOKUP(G195,'Generic Vertical Port Tasks'!C190:D215,2,FALSE),"N/A")</f>
        <v>N/A</v>
      </c>
      <c r="I195" s="3049"/>
      <c r="J195" s="3049"/>
      <c r="K195" s="3049"/>
      <c r="L195" s="3047" t="str">
        <f>IFERROR(INDEX('Upper Hot Cell Logistics'!$I$35:$O$41,MATCH($J195,'Upper Hot Cell Logistics'!$H$35:$H$41,0),MATCH($K195,'Upper Hot Cell Logistics'!$H$35:$H$41,0)),"N/A")</f>
        <v>N/A</v>
      </c>
      <c r="M195" s="3047" t="str">
        <f>IFERROR(VLOOKUP($I195,'Upper Hot Cell Logistics'!$H$4:$I$9,2,FALSE),"N/A")</f>
        <v>N/A</v>
      </c>
      <c r="N195" s="3059" t="str">
        <f t="shared" si="6"/>
        <v>N/A</v>
      </c>
      <c r="O195" s="3051" t="s">
        <v>1175</v>
      </c>
      <c r="P195" s="3046">
        <f>IF($D195="Logistics",VLOOKUP($O195,'Upper Hot Cell Logistics'!$C$4:$D$44,2,FALSE),"N/A")</f>
        <v>0.78</v>
      </c>
      <c r="Q195" s="3023"/>
    </row>
    <row r="196" spans="1:17" s="3058" customFormat="1" ht="15" thickBot="1" x14ac:dyDescent="0.45">
      <c r="A196" s="3083"/>
      <c r="B196" s="4057"/>
      <c r="C196" s="3053" t="str">
        <f>B193</f>
        <v>LOB Blanket Segment Exported</v>
      </c>
      <c r="D196" s="3053" t="s">
        <v>11</v>
      </c>
      <c r="E196" s="3054">
        <f t="shared" si="7"/>
        <v>0</v>
      </c>
      <c r="F196" s="3055">
        <f>IF($D196="Trigger",VLOOKUP($C196,'Upper Hot Cell Welding failures'!$E$144:$I$209,5,FALSE),E196+F195)</f>
        <v>69.526135484039187</v>
      </c>
      <c r="G196" s="3056"/>
      <c r="H196" s="3055" t="str">
        <f>IF(D196="operation",VLOOKUP(G196,'Generic Vertical Port Tasks'!C190:D215,2,FALSE),"N/A")</f>
        <v>N/A</v>
      </c>
      <c r="I196" s="3053"/>
      <c r="J196" s="3053"/>
      <c r="K196" s="3053"/>
      <c r="L196" s="3054" t="str">
        <f>IFERROR(INDEX('Upper Hot Cell Logistics'!$I$35:$O$41,MATCH($J196,'Upper Hot Cell Logistics'!$H$35:$H$41,0),MATCH($K196,'Upper Hot Cell Logistics'!$H$35:$H$41,0)),"N/A")</f>
        <v>N/A</v>
      </c>
      <c r="M196" s="3054" t="str">
        <f>IFERROR(VLOOKUP($I196,'Upper Hot Cell Logistics'!$H$4:$I$9,2,FALSE),"N/A")</f>
        <v>N/A</v>
      </c>
      <c r="N196" s="3060" t="str">
        <f t="shared" si="6"/>
        <v>N/A</v>
      </c>
      <c r="O196" s="3057"/>
      <c r="P196" s="3055" t="str">
        <f>IF($D196="Logistics",VLOOKUP($O196,'Upper Hot Cell Logistics'!$C$4:$D$44,2,FALSE),"N/A")</f>
        <v>N/A</v>
      </c>
      <c r="Q196" s="3023"/>
    </row>
    <row r="197" spans="1:17" s="3058" customFormat="1" ht="14.6" x14ac:dyDescent="0.4">
      <c r="A197" s="3083"/>
      <c r="B197" s="4054" t="s">
        <v>867</v>
      </c>
      <c r="C197" s="3042" t="str">
        <f>'Upper Hot Cell Welding failures'!E181</f>
        <v>Install ROB Blanket Segment</v>
      </c>
      <c r="D197" s="3042" t="s">
        <v>907</v>
      </c>
      <c r="E197" s="3043">
        <f t="shared" si="7"/>
        <v>0</v>
      </c>
      <c r="F197" s="3044">
        <f>IF($D197="Trigger",VLOOKUP($C197,'Upper Hot Cell Welding failures'!$E$144:$I$209,5,FALSE),E197+F196)</f>
        <v>72.451135484039185</v>
      </c>
      <c r="G197" s="3045"/>
      <c r="H197" s="3044" t="str">
        <f>IF(D197="operation",VLOOKUP(G197,'Generic Vertical Port Tasks'!C190:D217,2,FALSE),"N/A")</f>
        <v>N/A</v>
      </c>
      <c r="I197" s="3042"/>
      <c r="J197" s="3042"/>
      <c r="K197" s="3042"/>
      <c r="L197" s="3043" t="str">
        <f>IFERROR(INDEX('Upper Hot Cell Logistics'!$I$35:$O$41,MATCH($J197,'Upper Hot Cell Logistics'!$H$35:$H$41,0),MATCH($K197,'Upper Hot Cell Logistics'!$H$35:$H$41,0)),"N/A")</f>
        <v>N/A</v>
      </c>
      <c r="M197" s="3043" t="str">
        <f>IFERROR(VLOOKUP($I197,'Upper Hot Cell Logistics'!$H$4:$I$9,2,FALSE),"N/A")</f>
        <v>N/A</v>
      </c>
      <c r="N197" s="3061" t="str">
        <f t="shared" si="6"/>
        <v>N/A</v>
      </c>
      <c r="O197" s="3048"/>
      <c r="P197" s="3044" t="str">
        <f>IF($D197="Logistics",VLOOKUP($O197,'Upper Hot Cell Logistics'!$C$4:$D$44,2,FALSE),"N/A")</f>
        <v>N/A</v>
      </c>
      <c r="Q197" s="3023"/>
    </row>
    <row r="198" spans="1:17" s="3058" customFormat="1" ht="14.6" x14ac:dyDescent="0.4">
      <c r="A198" s="3083"/>
      <c r="B198" s="4055"/>
      <c r="C198" s="3049" t="s">
        <v>926</v>
      </c>
      <c r="D198" s="3049" t="s">
        <v>778</v>
      </c>
      <c r="E198" s="3047">
        <f t="shared" si="7"/>
        <v>0.69444444444444442</v>
      </c>
      <c r="F198" s="3046">
        <f>IF($D198="Trigger",VLOOKUP($C198,'Upper Hot Cell Welding failures'!$E$144:$I$209,5,FALSE),E198+F197)</f>
        <v>73.145579928483627</v>
      </c>
      <c r="G198" s="3050"/>
      <c r="H198" s="3046" t="str">
        <f>IF(D198="operation",VLOOKUP(G198,'Generic Vertical Port Tasks'!C190:D217,2,FALSE),"N/A")</f>
        <v>N/A</v>
      </c>
      <c r="I198" s="3049" t="s">
        <v>857</v>
      </c>
      <c r="J198" s="3049" t="s">
        <v>452</v>
      </c>
      <c r="K198" s="3049" t="s">
        <v>858</v>
      </c>
      <c r="L198" s="3047">
        <f>IFERROR(INDEX('Upper Hot Cell Logistics'!$I$35:$O$41,MATCH($J198,'Upper Hot Cell Logistics'!$H$35:$H$41,0),MATCH($K198,'Upper Hot Cell Logistics'!$H$35:$H$41,0)),"N/A")</f>
        <v>50</v>
      </c>
      <c r="M198" s="3047">
        <f>IFERROR(VLOOKUP($I198,'Upper Hot Cell Logistics'!$H$4:$I$9,2,FALSE),"N/A")</f>
        <v>0.02</v>
      </c>
      <c r="N198" s="3059">
        <f t="shared" si="6"/>
        <v>0.69444444444444442</v>
      </c>
      <c r="O198" s="3051"/>
      <c r="P198" s="3046" t="str">
        <f>IF($D198="Logistics",VLOOKUP($O198,'Upper Hot Cell Logistics'!$C$4:$D$44,2,FALSE),"N/A")</f>
        <v>N/A</v>
      </c>
      <c r="Q198" s="3023"/>
    </row>
    <row r="199" spans="1:17" s="3058" customFormat="1" ht="14.6" x14ac:dyDescent="0.4">
      <c r="A199" s="3083"/>
      <c r="B199" s="4055"/>
      <c r="C199" s="3049" t="s">
        <v>970</v>
      </c>
      <c r="D199" s="3049" t="s">
        <v>3</v>
      </c>
      <c r="E199" s="3047">
        <f t="shared" si="7"/>
        <v>0.58000000000000007</v>
      </c>
      <c r="F199" s="3046">
        <f>IF($D199="Trigger",VLOOKUP($C199,'Upper Hot Cell Welding failures'!$E$144:$I$209,5,FALSE),E199+F198)</f>
        <v>73.725579928483626</v>
      </c>
      <c r="G199" s="3050"/>
      <c r="H199" s="3046" t="str">
        <f>IF(D199="operation",VLOOKUP(G199,'Generic Vertical Port Tasks'!C190:D217,2,FALSE),"N/A")</f>
        <v>N/A</v>
      </c>
      <c r="I199" s="3049"/>
      <c r="J199" s="3049"/>
      <c r="K199" s="3049"/>
      <c r="L199" s="3047" t="str">
        <f>IFERROR(INDEX('Upper Hot Cell Logistics'!$I$35:$O$41,MATCH($J199,'Upper Hot Cell Logistics'!$H$35:$H$41,0),MATCH($K199,'Upper Hot Cell Logistics'!$H$35:$H$41,0)),"N/A")</f>
        <v>N/A</v>
      </c>
      <c r="M199" s="3047" t="str">
        <f>IFERROR(VLOOKUP($I199,'Upper Hot Cell Logistics'!$H$4:$I$9,2,FALSE),"N/A")</f>
        <v>N/A</v>
      </c>
      <c r="N199" s="3059" t="str">
        <f t="shared" si="6"/>
        <v>N/A</v>
      </c>
      <c r="O199" s="3051" t="s">
        <v>904</v>
      </c>
      <c r="P199" s="3046">
        <f>IF($D199="Logistics",VLOOKUP($O199,'Upper Hot Cell Logistics'!$C$4:$D$44,2,FALSE),"N/A")</f>
        <v>0.58000000000000007</v>
      </c>
      <c r="Q199" s="3023"/>
    </row>
    <row r="200" spans="1:17" s="3058" customFormat="1" ht="15" thickBot="1" x14ac:dyDescent="0.45">
      <c r="A200" s="3083"/>
      <c r="B200" s="4057"/>
      <c r="C200" s="3053" t="str">
        <f>B197</f>
        <v>COB Blanket Segment Exported</v>
      </c>
      <c r="D200" s="3053" t="s">
        <v>11</v>
      </c>
      <c r="E200" s="3054">
        <f t="shared" si="7"/>
        <v>0</v>
      </c>
      <c r="F200" s="3055">
        <f>IF($D200="Trigger",VLOOKUP($C200,'Upper Hot Cell Welding failures'!$E$144:$I$209,5,FALSE),E200+F199)</f>
        <v>73.725579928483626</v>
      </c>
      <c r="G200" s="3056"/>
      <c r="H200" s="3055" t="str">
        <f>IF(D200="operation",VLOOKUP(G200,'Generic Vertical Port Tasks'!C190:D217,2,FALSE),"N/A")</f>
        <v>N/A</v>
      </c>
      <c r="I200" s="3053"/>
      <c r="J200" s="3053"/>
      <c r="K200" s="3053"/>
      <c r="L200" s="3054" t="str">
        <f>IFERROR(INDEX('Upper Hot Cell Logistics'!$I$35:$O$41,MATCH($J200,'Upper Hot Cell Logistics'!$H$35:$H$41,0),MATCH($K200,'Upper Hot Cell Logistics'!$H$35:$H$41,0)),"N/A")</f>
        <v>N/A</v>
      </c>
      <c r="M200" s="3054" t="str">
        <f>IFERROR(VLOOKUP($I200,'Upper Hot Cell Logistics'!$H$4:$I$9,2,FALSE),"N/A")</f>
        <v>N/A</v>
      </c>
      <c r="N200" s="3060" t="str">
        <f t="shared" si="6"/>
        <v>N/A</v>
      </c>
      <c r="O200" s="3057"/>
      <c r="P200" s="3055" t="str">
        <f>IF($D200="Logistics",VLOOKUP($O200,'Upper Hot Cell Logistics'!$C$4:$D$44,2,FALSE),"N/A")</f>
        <v>N/A</v>
      </c>
      <c r="Q200" s="3023"/>
    </row>
    <row r="201" spans="1:17" ht="13.5" customHeight="1" x14ac:dyDescent="0.4">
      <c r="A201" s="3083"/>
      <c r="B201" s="4061" t="s">
        <v>1084</v>
      </c>
      <c r="C201" s="3042" t="str">
        <f>'Upper Hot Cell Welding failures'!E183</f>
        <v>Install LOB Blanket Segment</v>
      </c>
      <c r="D201" s="3042" t="s">
        <v>907</v>
      </c>
      <c r="E201" s="3043">
        <f t="shared" si="7"/>
        <v>0</v>
      </c>
      <c r="F201" s="3044">
        <f>IF($D201="Trigger",VLOOKUP($C201,'Upper Hot Cell Welding failures'!$E$144:$I$209,5,FALSE),E201+F200)</f>
        <v>78.260579928483622</v>
      </c>
      <c r="G201" s="3045"/>
      <c r="H201" s="3044" t="str">
        <f>IF(D201="operation",VLOOKUP(G201,'Generic Vertical Port Tasks'!C190:D215,2,FALSE),"N/A")</f>
        <v>N/A</v>
      </c>
      <c r="I201" s="3042"/>
      <c r="J201" s="3042"/>
      <c r="K201" s="3042"/>
      <c r="L201" s="3043" t="str">
        <f>IFERROR(INDEX('Upper Hot Cell Logistics'!$I$35:$O$41,MATCH($J201,'Upper Hot Cell Logistics'!$H$35:$H$41,0),MATCH($K201,'Upper Hot Cell Logistics'!$H$35:$H$41,0)),"N/A")</f>
        <v>N/A</v>
      </c>
      <c r="M201" s="3043" t="str">
        <f>IFERROR(VLOOKUP($I201,'Upper Hot Cell Logistics'!$H$4:$I$9,2,FALSE),"N/A")</f>
        <v>N/A</v>
      </c>
      <c r="N201" s="3061" t="str">
        <f t="shared" si="6"/>
        <v>N/A</v>
      </c>
      <c r="O201" s="3048"/>
      <c r="P201" s="3044" t="str">
        <f>IF($D201="Logistics",VLOOKUP($O201,'Upper Hot Cell Logistics'!$C$4:$D$44,2,FALSE),"N/A")</f>
        <v>N/A</v>
      </c>
    </row>
    <row r="202" spans="1:17" x14ac:dyDescent="0.4">
      <c r="A202" s="3083"/>
      <c r="B202" s="4062"/>
      <c r="C202" s="3049" t="s">
        <v>921</v>
      </c>
      <c r="D202" s="3049" t="s">
        <v>778</v>
      </c>
      <c r="E202" s="3047">
        <f t="shared" si="7"/>
        <v>0.69444444444444442</v>
      </c>
      <c r="F202" s="3046">
        <f>IF($D202="Trigger",VLOOKUP($C202,'Upper Hot Cell Welding failures'!$E$144:$I$209,5,FALSE),E202+F201)</f>
        <v>78.955024372928065</v>
      </c>
      <c r="G202" s="3050"/>
      <c r="H202" s="3046" t="str">
        <f>IF(D202="operation",VLOOKUP(G202,'Generic Vertical Port Tasks'!C190:D215,2,FALSE),"N/A")</f>
        <v>N/A</v>
      </c>
      <c r="I202" s="3049" t="s">
        <v>857</v>
      </c>
      <c r="J202" s="3049" t="s">
        <v>452</v>
      </c>
      <c r="K202" s="3049" t="s">
        <v>914</v>
      </c>
      <c r="L202" s="3047">
        <f>IFERROR(INDEX('Upper Hot Cell Logistics'!$I$35:$O$41,MATCH($J202,'Upper Hot Cell Logistics'!$H$35:$H$41,0),MATCH($K202,'Upper Hot Cell Logistics'!$H$35:$H$41,0)),"N/A")</f>
        <v>50</v>
      </c>
      <c r="M202" s="3047">
        <f>IFERROR(VLOOKUP($I202,'Upper Hot Cell Logistics'!$H$4:$I$9,2,FALSE),"N/A")</f>
        <v>0.02</v>
      </c>
      <c r="N202" s="3059">
        <f t="shared" si="6"/>
        <v>0.69444444444444442</v>
      </c>
      <c r="O202" s="3051"/>
      <c r="P202" s="3046" t="str">
        <f>IF($D202="Logistics",VLOOKUP($O202,'Upper Hot Cell Logistics'!$C$4:$D$44,2,FALSE),"N/A")</f>
        <v>N/A</v>
      </c>
    </row>
    <row r="203" spans="1:17" x14ac:dyDescent="0.4">
      <c r="A203" s="3083"/>
      <c r="B203" s="4062"/>
      <c r="C203" s="3049" t="s">
        <v>973</v>
      </c>
      <c r="D203" s="3049" t="s">
        <v>3</v>
      </c>
      <c r="E203" s="3047">
        <f t="shared" si="7"/>
        <v>0.68</v>
      </c>
      <c r="F203" s="3046">
        <f>IF($D203="Trigger",VLOOKUP($C203,'Upper Hot Cell Welding failures'!$E$144:$I$209,5,FALSE),E203+F202)</f>
        <v>79.635024372928072</v>
      </c>
      <c r="G203" s="3050"/>
      <c r="H203" s="3046" t="str">
        <f>IF(D203="operation",VLOOKUP(G203,'Generic Vertical Port Tasks'!C190:D215,2,FALSE),"N/A")</f>
        <v>N/A</v>
      </c>
      <c r="I203" s="3049"/>
      <c r="J203" s="3049"/>
      <c r="K203" s="3049"/>
      <c r="L203" s="3047" t="str">
        <f>IFERROR(INDEX('Upper Hot Cell Logistics'!$I$35:$O$41,MATCH($J203,'Upper Hot Cell Logistics'!$H$35:$H$41,0),MATCH($K203,'Upper Hot Cell Logistics'!$H$35:$H$41,0)),"N/A")</f>
        <v>N/A</v>
      </c>
      <c r="M203" s="3047" t="str">
        <f>IFERROR(VLOOKUP($I203,'Upper Hot Cell Logistics'!$H$4:$I$9,2,FALSE),"N/A")</f>
        <v>N/A</v>
      </c>
      <c r="N203" s="3059" t="str">
        <f t="shared" si="6"/>
        <v>N/A</v>
      </c>
      <c r="O203" s="3051" t="s">
        <v>1190</v>
      </c>
      <c r="P203" s="3046">
        <f>IF($D203="Logistics",VLOOKUP($O203,'Upper Hot Cell Logistics'!$C$4:$D$44,2,FALSE),"N/A")</f>
        <v>0.68</v>
      </c>
    </row>
    <row r="204" spans="1:17" x14ac:dyDescent="0.4">
      <c r="A204" s="3083"/>
      <c r="B204" s="4062"/>
      <c r="C204" s="3049" t="s">
        <v>968</v>
      </c>
      <c r="D204" s="3049" t="s">
        <v>778</v>
      </c>
      <c r="E204" s="3047">
        <f t="shared" si="7"/>
        <v>1.3888888888888888E-2</v>
      </c>
      <c r="F204" s="3046">
        <f>IF($D204="Trigger",VLOOKUP($C204,'Upper Hot Cell Welding failures'!$E$144:$I$209,5,FALSE),E204+F203)</f>
        <v>79.648913261816958</v>
      </c>
      <c r="G204" s="3050"/>
      <c r="H204" s="3046" t="str">
        <f>IF(D204="operation",VLOOKUP(G204,'Generic Vertical Port Tasks'!C190:D215,2,FALSE),"N/A")</f>
        <v>N/A</v>
      </c>
      <c r="I204" s="3049" t="s">
        <v>798</v>
      </c>
      <c r="J204" s="3049" t="s">
        <v>831</v>
      </c>
      <c r="K204" s="3049" t="s">
        <v>858</v>
      </c>
      <c r="L204" s="3047">
        <f>IFERROR(INDEX('Upper Hot Cell Logistics'!$I$35:$O$41,MATCH($J204,'Upper Hot Cell Logistics'!$H$35:$H$41,0),MATCH($K204,'Upper Hot Cell Logistics'!$H$35:$H$41,0)),"N/A")</f>
        <v>10</v>
      </c>
      <c r="M204" s="3047">
        <f>IFERROR(VLOOKUP($I204,'Upper Hot Cell Logistics'!$H$4:$I$9,2,FALSE),"N/A")</f>
        <v>0.2</v>
      </c>
      <c r="N204" s="3059">
        <f t="shared" si="6"/>
        <v>1.3888888888888888E-2</v>
      </c>
      <c r="O204" s="3051"/>
      <c r="P204" s="3046" t="str">
        <f>IF($D204="Logistics",VLOOKUP($O204,'Upper Hot Cell Logistics'!$C$4:$D$44,2,FALSE),"N/A")</f>
        <v>N/A</v>
      </c>
    </row>
    <row r="205" spans="1:17" x14ac:dyDescent="0.4">
      <c r="A205" s="3083"/>
      <c r="B205" s="4062"/>
      <c r="C205" s="3049" t="s">
        <v>974</v>
      </c>
      <c r="D205" s="3049" t="s">
        <v>3</v>
      </c>
      <c r="E205" s="3047">
        <f t="shared" si="7"/>
        <v>0.58000000000000007</v>
      </c>
      <c r="F205" s="3046">
        <f>IF($D205="Trigger",VLOOKUP($C205,'Upper Hot Cell Welding failures'!$E$144:$I$209,5,FALSE),E205+F204)</f>
        <v>80.228913261816956</v>
      </c>
      <c r="G205" s="3050"/>
      <c r="H205" s="3046" t="str">
        <f>IF(D205="operation",VLOOKUP(G205,'Generic Vertical Port Tasks'!C190:D215,2,FALSE),"N/A")</f>
        <v>N/A</v>
      </c>
      <c r="I205" s="3049"/>
      <c r="J205" s="3049"/>
      <c r="K205" s="3049"/>
      <c r="L205" s="3047" t="str">
        <f>IFERROR(INDEX('Upper Hot Cell Logistics'!$I$35:$O$41,MATCH($J205,'Upper Hot Cell Logistics'!$H$35:$H$41,0),MATCH($K205,'Upper Hot Cell Logistics'!$H$35:$H$41,0)),"N/A")</f>
        <v>N/A</v>
      </c>
      <c r="M205" s="3047" t="str">
        <f>IFERROR(VLOOKUP($I205,'Upper Hot Cell Logistics'!$H$4:$I$9,2,FALSE),"N/A")</f>
        <v>N/A</v>
      </c>
      <c r="N205" s="3059" t="str">
        <f t="shared" si="6"/>
        <v>N/A</v>
      </c>
      <c r="O205" s="3051" t="s">
        <v>796</v>
      </c>
      <c r="P205" s="3046">
        <f>IF($D205="Logistics",VLOOKUP($O205,'Upper Hot Cell Logistics'!$C$4:$D$44,2,FALSE),"N/A")</f>
        <v>0.58000000000000007</v>
      </c>
    </row>
    <row r="206" spans="1:17" x14ac:dyDescent="0.4">
      <c r="A206" s="3083"/>
      <c r="B206" s="4062"/>
      <c r="C206" s="3049" t="s">
        <v>968</v>
      </c>
      <c r="D206" s="3049" t="s">
        <v>778</v>
      </c>
      <c r="E206" s="3047">
        <f t="shared" si="7"/>
        <v>2.7777777777777776E-2</v>
      </c>
      <c r="F206" s="3046">
        <f>IF($D206="Trigger",VLOOKUP($C206,'Upper Hot Cell Welding failures'!$E$144:$I$209,5,FALSE),E206+F205)</f>
        <v>80.256691039594727</v>
      </c>
      <c r="G206" s="3050"/>
      <c r="H206" s="3046" t="str">
        <f>IF(D206="operation",VLOOKUP(G206,'Generic Vertical Port Tasks'!C190:D215,2,FALSE),"N/A")</f>
        <v>N/A</v>
      </c>
      <c r="I206" s="3049" t="s">
        <v>798</v>
      </c>
      <c r="J206" s="3049" t="s">
        <v>799</v>
      </c>
      <c r="K206" s="3049" t="s">
        <v>858</v>
      </c>
      <c r="L206" s="3047">
        <f>IFERROR(INDEX('Upper Hot Cell Logistics'!$I$35:$O$41,MATCH($J206,'Upper Hot Cell Logistics'!$H$35:$H$41,0),MATCH($K206,'Upper Hot Cell Logistics'!$H$35:$H$41,0)),"N/A")</f>
        <v>20</v>
      </c>
      <c r="M206" s="3047">
        <f>IFERROR(VLOOKUP($I206,'Upper Hot Cell Logistics'!$H$4:$I$9,2,FALSE),"N/A")</f>
        <v>0.2</v>
      </c>
      <c r="N206" s="3059">
        <f t="shared" si="6"/>
        <v>2.7777777777777776E-2</v>
      </c>
      <c r="O206" s="3051"/>
      <c r="P206" s="3046" t="str">
        <f>IF($D206="Logistics",VLOOKUP($O206,'Upper Hot Cell Logistics'!$C$4:$D$44,2,FALSE),"N/A")</f>
        <v>N/A</v>
      </c>
    </row>
    <row r="207" spans="1:17" x14ac:dyDescent="0.4">
      <c r="A207" s="3083"/>
      <c r="B207" s="4062"/>
      <c r="C207" s="3049" t="s">
        <v>975</v>
      </c>
      <c r="D207" s="3049" t="s">
        <v>3</v>
      </c>
      <c r="E207" s="3047">
        <f t="shared" si="7"/>
        <v>0.78</v>
      </c>
      <c r="F207" s="3046">
        <f>IF($D207="Trigger",VLOOKUP($C207,'Upper Hot Cell Welding failures'!$E$144:$I$209,5,FALSE),E207+F206)</f>
        <v>81.036691039594729</v>
      </c>
      <c r="G207" s="3050"/>
      <c r="H207" s="3046" t="str">
        <f>IF(D207="operation",VLOOKUP(G207,'Generic Vertical Port Tasks'!C190:D215,2,FALSE),"N/A")</f>
        <v>N/A</v>
      </c>
      <c r="I207" s="3049"/>
      <c r="J207" s="3049"/>
      <c r="K207" s="3049"/>
      <c r="L207" s="3047" t="str">
        <f>IFERROR(INDEX('Upper Hot Cell Logistics'!$I$35:$O$41,MATCH($J207,'Upper Hot Cell Logistics'!$H$35:$H$41,0),MATCH($K207,'Upper Hot Cell Logistics'!$H$35:$H$41,0)),"N/A")</f>
        <v>N/A</v>
      </c>
      <c r="M207" s="3047" t="str">
        <f>IFERROR(VLOOKUP($I207,'Upper Hot Cell Logistics'!$H$4:$I$9,2,FALSE),"N/A")</f>
        <v>N/A</v>
      </c>
      <c r="N207" s="3059" t="str">
        <f t="shared" si="6"/>
        <v>N/A</v>
      </c>
      <c r="O207" s="3051" t="s">
        <v>1175</v>
      </c>
      <c r="P207" s="3046">
        <f>IF($D207="Logistics",VLOOKUP($O207,'Upper Hot Cell Logistics'!$C$4:$D$44,2,FALSE),"N/A")</f>
        <v>0.78</v>
      </c>
    </row>
    <row r="208" spans="1:17" ht="26.15" thickBot="1" x14ac:dyDescent="0.45">
      <c r="A208" s="3083"/>
      <c r="B208" s="4063"/>
      <c r="C208" s="3053" t="str">
        <f>B201</f>
        <v>Blanket Transporter stored &amp; Pipe Module interface hardware Collected &amp; RIB Pipe Module Exported</v>
      </c>
      <c r="D208" s="3053" t="s">
        <v>11</v>
      </c>
      <c r="E208" s="3054">
        <f t="shared" si="7"/>
        <v>0</v>
      </c>
      <c r="F208" s="3055">
        <f>IF($D208="Trigger",VLOOKUP($C208,'Upper Hot Cell Welding failures'!$E$144:$I$209,5,FALSE),E208+F207)</f>
        <v>81.036691039594729</v>
      </c>
      <c r="G208" s="3056"/>
      <c r="H208" s="3055" t="str">
        <f>IF(D208="operation",VLOOKUP(G208,'Generic Vertical Port Tasks'!C190:D215,2,FALSE),"N/A")</f>
        <v>N/A</v>
      </c>
      <c r="I208" s="3053"/>
      <c r="J208" s="3053"/>
      <c r="K208" s="3053"/>
      <c r="L208" s="3054" t="str">
        <f>IFERROR(INDEX('Upper Hot Cell Logistics'!$I$35:$O$41,MATCH($J208,'Upper Hot Cell Logistics'!$H$35:$H$41,0),MATCH($K208,'Upper Hot Cell Logistics'!$H$35:$H$41,0)),"N/A")</f>
        <v>N/A</v>
      </c>
      <c r="M208" s="3054" t="str">
        <f>IFERROR(VLOOKUP($I208,'Upper Hot Cell Logistics'!$H$4:$I$9,2,FALSE),"N/A")</f>
        <v>N/A</v>
      </c>
      <c r="N208" s="3060" t="str">
        <f t="shared" si="6"/>
        <v>N/A</v>
      </c>
      <c r="O208" s="3057"/>
      <c r="P208" s="3055" t="str">
        <f>IF($D208="Logistics",VLOOKUP($O208,'Upper Hot Cell Logistics'!$C$4:$D$44,2,FALSE),"N/A")</f>
        <v>N/A</v>
      </c>
    </row>
    <row r="209" spans="1:16" ht="13.5" customHeight="1" x14ac:dyDescent="0.4">
      <c r="A209" s="3083"/>
      <c r="B209" s="4054" t="s">
        <v>871</v>
      </c>
      <c r="C209" s="3042" t="str">
        <f>'Upper Hot Cell Welding failures'!E185</f>
        <v>Install COB Blanket Segment</v>
      </c>
      <c r="D209" s="3042" t="s">
        <v>907</v>
      </c>
      <c r="E209" s="3043">
        <f t="shared" si="7"/>
        <v>0</v>
      </c>
      <c r="F209" s="3044">
        <f>IF($D209="Trigger",VLOOKUP($C209,'Upper Hot Cell Welding failures'!$E$144:$I$209,5,FALSE),E209+F208)</f>
        <v>84.07002437292806</v>
      </c>
      <c r="G209" s="3045"/>
      <c r="H209" s="3044" t="str">
        <f>IF(D209="operation",VLOOKUP(G209,'Generic Vertical Port Tasks'!C190:D224,2,FALSE),"N/A")</f>
        <v>N/A</v>
      </c>
      <c r="I209" s="3042"/>
      <c r="J209" s="3042"/>
      <c r="K209" s="3042"/>
      <c r="L209" s="3043" t="str">
        <f>IFERROR(INDEX('Upper Hot Cell Logistics'!$I$35:$O$41,MATCH($J209,'Upper Hot Cell Logistics'!$H$35:$H$41,0),MATCH($K209,'Upper Hot Cell Logistics'!$H$35:$H$41,0)),"N/A")</f>
        <v>N/A</v>
      </c>
      <c r="M209" s="3043" t="str">
        <f>IFERROR(VLOOKUP($I209,'Upper Hot Cell Logistics'!$H$4:$I$9,2,FALSE),"N/A")</f>
        <v>N/A</v>
      </c>
      <c r="N209" s="3061" t="str">
        <f t="shared" si="6"/>
        <v>N/A</v>
      </c>
      <c r="O209" s="3048"/>
      <c r="P209" s="3044" t="str">
        <f>IF($D209="Logistics",VLOOKUP($O209,'Upper Hot Cell Logistics'!$C$4:$D$44,2,FALSE),"N/A")</f>
        <v>N/A</v>
      </c>
    </row>
    <row r="210" spans="1:16" x14ac:dyDescent="0.4">
      <c r="A210" s="3083"/>
      <c r="B210" s="4055"/>
      <c r="C210" s="3049" t="s">
        <v>913</v>
      </c>
      <c r="D210" s="3049" t="s">
        <v>778</v>
      </c>
      <c r="E210" s="3047">
        <f t="shared" si="7"/>
        <v>0.69444444444444442</v>
      </c>
      <c r="F210" s="3046">
        <f>IF($D210="Trigger",VLOOKUP($C210,'Upper Hot Cell Welding failures'!$E$144:$I$209,5,FALSE),E210+F209)</f>
        <v>84.764468817372503</v>
      </c>
      <c r="G210" s="3050"/>
      <c r="H210" s="3046" t="str">
        <f>IF(D210="operation",VLOOKUP(G210,'Generic Vertical Port Tasks'!C190:D224,2,FALSE),"N/A")</f>
        <v>N/A</v>
      </c>
      <c r="I210" s="3049" t="s">
        <v>857</v>
      </c>
      <c r="J210" s="3049" t="s">
        <v>452</v>
      </c>
      <c r="K210" s="3049" t="s">
        <v>914</v>
      </c>
      <c r="L210" s="3047">
        <f>IFERROR(INDEX('Upper Hot Cell Logistics'!$I$35:$O$41,MATCH($J210,'Upper Hot Cell Logistics'!$H$35:$H$41,0),MATCH($K210,'Upper Hot Cell Logistics'!$H$35:$H$41,0)),"N/A")</f>
        <v>50</v>
      </c>
      <c r="M210" s="3047">
        <f>IFERROR(VLOOKUP($I210,'Upper Hot Cell Logistics'!$H$4:$I$9,2,FALSE),"N/A")</f>
        <v>0.02</v>
      </c>
      <c r="N210" s="3059">
        <f t="shared" si="6"/>
        <v>0.69444444444444442</v>
      </c>
      <c r="O210" s="3051"/>
      <c r="P210" s="3046" t="str">
        <f>IF($D210="Logistics",VLOOKUP($O210,'Upper Hot Cell Logistics'!$C$4:$D$44,2,FALSE),"N/A")</f>
        <v>N/A</v>
      </c>
    </row>
    <row r="211" spans="1:16" x14ac:dyDescent="0.4">
      <c r="A211" s="3083"/>
      <c r="B211" s="4055"/>
      <c r="C211" s="3049" t="s">
        <v>973</v>
      </c>
      <c r="D211" s="3049" t="s">
        <v>3</v>
      </c>
      <c r="E211" s="3047">
        <f t="shared" si="7"/>
        <v>0.68</v>
      </c>
      <c r="F211" s="3046">
        <f>IF($D211="Trigger",VLOOKUP($C211,'Upper Hot Cell Welding failures'!$E$144:$I$209,5,FALSE),E211+F210)</f>
        <v>85.44446881737251</v>
      </c>
      <c r="G211" s="3050"/>
      <c r="H211" s="3046" t="str">
        <f>IF(D211="operation",VLOOKUP(G211,'Generic Vertical Port Tasks'!C190:D224,2,FALSE),"N/A")</f>
        <v>N/A</v>
      </c>
      <c r="I211" s="3049"/>
      <c r="J211" s="3049"/>
      <c r="K211" s="3049"/>
      <c r="L211" s="3047" t="str">
        <f>IFERROR(INDEX('Upper Hot Cell Logistics'!$I$35:$O$41,MATCH($J211,'Upper Hot Cell Logistics'!$H$35:$H$41,0),MATCH($K211,'Upper Hot Cell Logistics'!$H$35:$H$41,0)),"N/A")</f>
        <v>N/A</v>
      </c>
      <c r="M211" s="3047" t="str">
        <f>IFERROR(VLOOKUP($I211,'Upper Hot Cell Logistics'!$H$4:$I$9,2,FALSE),"N/A")</f>
        <v>N/A</v>
      </c>
      <c r="N211" s="3059" t="str">
        <f t="shared" si="6"/>
        <v>N/A</v>
      </c>
      <c r="O211" s="3051" t="s">
        <v>1190</v>
      </c>
      <c r="P211" s="3046">
        <f>IF($D211="Logistics",VLOOKUP($O211,'Upper Hot Cell Logistics'!$C$4:$D$44,2,FALSE),"N/A")</f>
        <v>0.68</v>
      </c>
    </row>
    <row r="212" spans="1:16" x14ac:dyDescent="0.4">
      <c r="A212" s="3083"/>
      <c r="B212" s="4055"/>
      <c r="C212" s="3049" t="s">
        <v>976</v>
      </c>
      <c r="D212" s="3049" t="s">
        <v>778</v>
      </c>
      <c r="E212" s="3047">
        <f t="shared" si="7"/>
        <v>1.3888888888888888E-2</v>
      </c>
      <c r="F212" s="3046">
        <f>IF($D212="Trigger",VLOOKUP($C212,'Upper Hot Cell Welding failures'!$E$144:$I$209,5,FALSE),E212+F211)</f>
        <v>85.458357706261395</v>
      </c>
      <c r="G212" s="3050"/>
      <c r="H212" s="3046" t="str">
        <f>IF(D212="operation",VLOOKUP(G212,'Generic Vertical Port Tasks'!C190:D224,2,FALSE),"N/A")</f>
        <v>N/A</v>
      </c>
      <c r="I212" s="3049" t="s">
        <v>798</v>
      </c>
      <c r="J212" s="3049" t="s">
        <v>831</v>
      </c>
      <c r="K212" s="3049" t="s">
        <v>858</v>
      </c>
      <c r="L212" s="3047">
        <f>IFERROR(INDEX('Upper Hot Cell Logistics'!$I$35:$O$41,MATCH($J212,'Upper Hot Cell Logistics'!$H$35:$H$41,0),MATCH($K212,'Upper Hot Cell Logistics'!$H$35:$H$41,0)),"N/A")</f>
        <v>10</v>
      </c>
      <c r="M212" s="3047">
        <f>IFERROR(VLOOKUP($I212,'Upper Hot Cell Logistics'!$H$4:$I$9,2,FALSE),"N/A")</f>
        <v>0.2</v>
      </c>
      <c r="N212" s="3059">
        <f t="shared" si="6"/>
        <v>1.3888888888888888E-2</v>
      </c>
      <c r="O212" s="3051"/>
      <c r="P212" s="3046" t="str">
        <f>IF($D212="Logistics",VLOOKUP($O212,'Upper Hot Cell Logistics'!$C$4:$D$44,2,FALSE),"N/A")</f>
        <v>N/A</v>
      </c>
    </row>
    <row r="213" spans="1:16" x14ac:dyDescent="0.4">
      <c r="A213" s="3083"/>
      <c r="B213" s="4055"/>
      <c r="C213" s="3049" t="s">
        <v>933</v>
      </c>
      <c r="D213" s="3049" t="s">
        <v>3</v>
      </c>
      <c r="E213" s="3047">
        <f t="shared" si="7"/>
        <v>1.08</v>
      </c>
      <c r="F213" s="3046">
        <f>IF($D213="Trigger",VLOOKUP($C213,'Upper Hot Cell Welding failures'!$E$144:$I$209,5,FALSE),E213+F212)</f>
        <v>86.538357706261394</v>
      </c>
      <c r="G213" s="3050"/>
      <c r="H213" s="3046" t="str">
        <f>IF(D213="operation",VLOOKUP(G213,'Generic Vertical Port Tasks'!C190:D224,2,FALSE),"N/A")</f>
        <v>N/A</v>
      </c>
      <c r="I213" s="3049"/>
      <c r="J213" s="3049"/>
      <c r="K213" s="3049"/>
      <c r="L213" s="3047" t="str">
        <f>IFERROR(INDEX('Upper Hot Cell Logistics'!$I$35:$O$41,MATCH($J213,'Upper Hot Cell Logistics'!$H$35:$H$41,0),MATCH($K213,'Upper Hot Cell Logistics'!$H$35:$H$41,0)),"N/A")</f>
        <v>N/A</v>
      </c>
      <c r="M213" s="3047" t="str">
        <f>IFERROR(VLOOKUP($I213,'Upper Hot Cell Logistics'!$H$4:$I$9,2,FALSE),"N/A")</f>
        <v>N/A</v>
      </c>
      <c r="N213" s="3059" t="str">
        <f t="shared" si="6"/>
        <v>N/A</v>
      </c>
      <c r="O213" s="3051" t="s">
        <v>1179</v>
      </c>
      <c r="P213" s="3046">
        <f>IF($D213="Logistics",VLOOKUP($O213,'Upper Hot Cell Logistics'!$C$4:$D$44,2,FALSE),"N/A")</f>
        <v>1.08</v>
      </c>
    </row>
    <row r="214" spans="1:16" ht="13.3" thickBot="1" x14ac:dyDescent="0.45">
      <c r="A214" s="3083"/>
      <c r="B214" s="4057"/>
      <c r="C214" s="3053" t="str">
        <f>B209</f>
        <v>Blanket Transporter stored &amp; Service Joint System Collected</v>
      </c>
      <c r="D214" s="3053" t="s">
        <v>11</v>
      </c>
      <c r="E214" s="3054">
        <f t="shared" si="7"/>
        <v>0</v>
      </c>
      <c r="F214" s="3046">
        <f>IF($D214="Trigger",VLOOKUP($C214,'Upper Hot Cell Welding failures'!$E$144:$I$209,5,FALSE),E214+F213)</f>
        <v>86.538357706261394</v>
      </c>
      <c r="G214" s="3056"/>
      <c r="H214" s="3055" t="str">
        <f>IF(D214="operation",VLOOKUP(G214,'Generic Vertical Port Tasks'!C190:D224,2,FALSE),"N/A")</f>
        <v>N/A</v>
      </c>
      <c r="I214" s="3053"/>
      <c r="J214" s="3053"/>
      <c r="K214" s="3053"/>
      <c r="L214" s="3054" t="str">
        <f>IFERROR(INDEX('Upper Hot Cell Logistics'!$I$35:$O$41,MATCH($J214,'Upper Hot Cell Logistics'!$H$35:$H$41,0),MATCH($K214,'Upper Hot Cell Logistics'!$H$35:$H$41,0)),"N/A")</f>
        <v>N/A</v>
      </c>
      <c r="M214" s="3054" t="str">
        <f>IFERROR(VLOOKUP($I214,'Upper Hot Cell Logistics'!$H$4:$I$9,2,FALSE),"N/A")</f>
        <v>N/A</v>
      </c>
      <c r="N214" s="3060" t="str">
        <f t="shared" si="6"/>
        <v>N/A</v>
      </c>
      <c r="O214" s="3057"/>
      <c r="P214" s="3055" t="str">
        <f>IF($D214="Logistics",VLOOKUP($O214,'Upper Hot Cell Logistics'!$C$4:$D$44,2,FALSE),"N/A")</f>
        <v>N/A</v>
      </c>
    </row>
    <row r="215" spans="1:16" ht="13.5" customHeight="1" x14ac:dyDescent="0.4">
      <c r="A215" s="3083"/>
      <c r="B215" s="4054" t="s">
        <v>874</v>
      </c>
      <c r="C215" s="3042" t="str">
        <f>'Upper Hot Cell Welding failures'!E187</f>
        <v>Insert RIB Pipe Module</v>
      </c>
      <c r="D215" s="3042" t="s">
        <v>907</v>
      </c>
      <c r="E215" s="3043">
        <f t="shared" si="7"/>
        <v>0</v>
      </c>
      <c r="F215" s="3044">
        <f>IF($D215="Trigger",VLOOKUP($C215,'Upper Hot Cell Welding failures'!$E$144:$I$209,5,FALSE),E215+F214)</f>
        <v>88.859468817372502</v>
      </c>
      <c r="G215" s="3045"/>
      <c r="H215" s="3044" t="str">
        <f>IF(D215="operation",VLOOKUP(G215,'Generic Vertical Port Tasks'!C190:D240,2,FALSE),"N/A")</f>
        <v>N/A</v>
      </c>
      <c r="I215" s="3042"/>
      <c r="J215" s="3042"/>
      <c r="K215" s="3042"/>
      <c r="L215" s="3043" t="str">
        <f>IFERROR(INDEX('Upper Hot Cell Logistics'!$I$35:$O$41,MATCH($J215,'Upper Hot Cell Logistics'!$H$35:$H$41,0),MATCH($K215,'Upper Hot Cell Logistics'!$H$35:$H$41,0)),"N/A")</f>
        <v>N/A</v>
      </c>
      <c r="M215" s="3043" t="str">
        <f>IFERROR(VLOOKUP($I215,'Upper Hot Cell Logistics'!$H$4:$I$9,2,FALSE),"N/A")</f>
        <v>N/A</v>
      </c>
      <c r="N215" s="3061" t="str">
        <f t="shared" si="6"/>
        <v>N/A</v>
      </c>
      <c r="O215" s="3048"/>
      <c r="P215" s="3044" t="str">
        <f>IF($D215="Logistics",VLOOKUP($O215,'Upper Hot Cell Logistics'!$C$4:$D$44,2,FALSE),"N/A")</f>
        <v>N/A</v>
      </c>
    </row>
    <row r="216" spans="1:16" x14ac:dyDescent="0.4">
      <c r="A216" s="3083"/>
      <c r="B216" s="4055"/>
      <c r="C216" s="3049" t="s">
        <v>968</v>
      </c>
      <c r="D216" s="3049" t="s">
        <v>778</v>
      </c>
      <c r="E216" s="3047">
        <f t="shared" si="7"/>
        <v>6.9444444444444448E-2</v>
      </c>
      <c r="F216" s="3046">
        <f>IF($D216="Trigger",VLOOKUP($C216,'Upper Hot Cell Welding failures'!$E$144:$I$209,5,FALSE),E216+F215)</f>
        <v>88.928913261816945</v>
      </c>
      <c r="G216" s="3050"/>
      <c r="H216" s="3046" t="str">
        <f>IF(D216="operation",VLOOKUP(G216,'Generic Vertical Port Tasks'!C190:D241,2,FALSE),"N/A")</f>
        <v>N/A</v>
      </c>
      <c r="I216" s="3049" t="s">
        <v>798</v>
      </c>
      <c r="J216" s="3049" t="s">
        <v>452</v>
      </c>
      <c r="K216" s="3049" t="s">
        <v>858</v>
      </c>
      <c r="L216" s="3047">
        <f>IFERROR(INDEX('Upper Hot Cell Logistics'!$I$35:$O$41,MATCH($J216,'Upper Hot Cell Logistics'!$H$35:$H$41,0),MATCH($K216,'Upper Hot Cell Logistics'!$H$35:$H$41,0)),"N/A")</f>
        <v>50</v>
      </c>
      <c r="M216" s="3047">
        <f>IFERROR(VLOOKUP($I216,'Upper Hot Cell Logistics'!$H$4:$I$9,2,FALSE),"N/A")</f>
        <v>0.2</v>
      </c>
      <c r="N216" s="3059">
        <f t="shared" si="6"/>
        <v>6.9444444444444448E-2</v>
      </c>
      <c r="O216" s="3051"/>
      <c r="P216" s="3046" t="str">
        <f>IF($D216="Logistics",VLOOKUP($O216,'Upper Hot Cell Logistics'!$C$4:$D$44,2,FALSE),"N/A")</f>
        <v>N/A</v>
      </c>
    </row>
    <row r="217" spans="1:16" x14ac:dyDescent="0.4">
      <c r="A217" s="3083"/>
      <c r="B217" s="4055"/>
      <c r="C217" s="3049" t="s">
        <v>978</v>
      </c>
      <c r="D217" s="3049" t="s">
        <v>3</v>
      </c>
      <c r="E217" s="3047">
        <f t="shared" si="7"/>
        <v>0.78</v>
      </c>
      <c r="F217" s="3046">
        <f>IF($D217="Trigger",VLOOKUP($C217,'Upper Hot Cell Welding failures'!$E$144:$I$209,5,FALSE),E217+F216)</f>
        <v>89.708913261816946</v>
      </c>
      <c r="G217" s="3050"/>
      <c r="H217" s="3046" t="str">
        <f>IF(D217="operation",VLOOKUP(G217,'Generic Vertical Port Tasks'!C190:D242,2,FALSE),"N/A")</f>
        <v>N/A</v>
      </c>
      <c r="I217" s="3049"/>
      <c r="J217" s="3049"/>
      <c r="K217" s="3049"/>
      <c r="L217" s="3047" t="str">
        <f>IFERROR(INDEX('Upper Hot Cell Logistics'!$I$35:$O$41,MATCH($J217,'Upper Hot Cell Logistics'!$H$35:$H$41,0),MATCH($K217,'Upper Hot Cell Logistics'!$H$35:$H$41,0)),"N/A")</f>
        <v>N/A</v>
      </c>
      <c r="M217" s="3047" t="str">
        <f>IFERROR(VLOOKUP($I217,'Upper Hot Cell Logistics'!$H$4:$I$9,2,FALSE),"N/A")</f>
        <v>N/A</v>
      </c>
      <c r="N217" s="3059" t="str">
        <f t="shared" si="6"/>
        <v>N/A</v>
      </c>
      <c r="O217" s="3051" t="s">
        <v>1175</v>
      </c>
      <c r="P217" s="3046">
        <f>IF($D217="Logistics",VLOOKUP($O217,'Upper Hot Cell Logistics'!$C$4:$D$44,2,FALSE),"N/A")</f>
        <v>0.78</v>
      </c>
    </row>
    <row r="218" spans="1:16" ht="13.3" thickBot="1" x14ac:dyDescent="0.45">
      <c r="A218" s="3083"/>
      <c r="B218" s="4057"/>
      <c r="C218" s="3053" t="str">
        <f>B215</f>
        <v>LIB Pipe Module Exported</v>
      </c>
      <c r="D218" s="3053" t="s">
        <v>11</v>
      </c>
      <c r="E218" s="3054">
        <f t="shared" si="7"/>
        <v>0</v>
      </c>
      <c r="F218" s="3055">
        <f>IF($D218="Trigger",VLOOKUP($C218,'Upper Hot Cell Welding failures'!$E$144:$I$209,5,FALSE),E218+F217)</f>
        <v>89.708913261816946</v>
      </c>
      <c r="G218" s="3056"/>
      <c r="H218" s="3055" t="str">
        <f>IF(D218="operation",VLOOKUP(G218,'Generic Vertical Port Tasks'!C190:D243,2,FALSE),"N/A")</f>
        <v>N/A</v>
      </c>
      <c r="I218" s="3053"/>
      <c r="J218" s="3053"/>
      <c r="K218" s="3053"/>
      <c r="L218" s="3054" t="str">
        <f>IFERROR(INDEX('Upper Hot Cell Logistics'!$I$35:$O$41,MATCH($J218,'Upper Hot Cell Logistics'!$H$35:$H$41,0),MATCH($K218,'Upper Hot Cell Logistics'!$H$35:$H$41,0)),"N/A")</f>
        <v>N/A</v>
      </c>
      <c r="M218" s="3054" t="str">
        <f>IFERROR(VLOOKUP($I218,'Upper Hot Cell Logistics'!$H$4:$I$9,2,FALSE),"N/A")</f>
        <v>N/A</v>
      </c>
      <c r="N218" s="3060" t="str">
        <f t="shared" si="6"/>
        <v>N/A</v>
      </c>
      <c r="O218" s="3057"/>
      <c r="P218" s="3055" t="str">
        <f>IF($D218="Logistics",VLOOKUP($O218,'Upper Hot Cell Logistics'!$C$4:$D$44,2,FALSE),"N/A")</f>
        <v>N/A</v>
      </c>
    </row>
    <row r="219" spans="1:16" x14ac:dyDescent="0.4">
      <c r="A219" s="3083"/>
      <c r="B219" s="4054" t="s">
        <v>879</v>
      </c>
      <c r="C219" s="3042" t="str">
        <f>'Upper Hot Cell Welding failures'!E193</f>
        <v>Insert LIB Pipe Module</v>
      </c>
      <c r="D219" s="3042" t="s">
        <v>907</v>
      </c>
      <c r="E219" s="3043">
        <f t="shared" si="7"/>
        <v>0</v>
      </c>
      <c r="F219" s="3044">
        <f>IF($D219="Trigger",VLOOKUP($C219,'Upper Hot Cell Welding failures'!$E$144:$I$209,5,FALSE),E219+F218)</f>
        <v>192.40720949355546</v>
      </c>
      <c r="G219" s="3045"/>
      <c r="H219" s="3044" t="str">
        <f>IF(D219="operation",VLOOKUP(G219,'Generic Vertical Port Tasks'!C190:D244,2,FALSE),"N/A")</f>
        <v>N/A</v>
      </c>
      <c r="I219" s="3042"/>
      <c r="J219" s="3042"/>
      <c r="K219" s="3042"/>
      <c r="L219" s="3043" t="str">
        <f>IFERROR(INDEX('Upper Hot Cell Logistics'!$I$35:$O$41,MATCH($J219,'Upper Hot Cell Logistics'!$H$35:$H$41,0),MATCH($K219,'Upper Hot Cell Logistics'!$H$35:$H$41,0)),"N/A")</f>
        <v>N/A</v>
      </c>
      <c r="M219" s="3043" t="str">
        <f>IFERROR(VLOOKUP($I219,'Upper Hot Cell Logistics'!$H$4:$I$9,2,FALSE),"N/A")</f>
        <v>N/A</v>
      </c>
      <c r="N219" s="3061" t="str">
        <f t="shared" si="6"/>
        <v>N/A</v>
      </c>
      <c r="O219" s="3048"/>
      <c r="P219" s="3044" t="str">
        <f>IF($D219="Logistics",VLOOKUP($O219,'Upper Hot Cell Logistics'!$C$4:$D$44,2,FALSE),"N/A")</f>
        <v>N/A</v>
      </c>
    </row>
    <row r="220" spans="1:16" x14ac:dyDescent="0.4">
      <c r="A220" s="3083"/>
      <c r="B220" s="4055"/>
      <c r="C220" s="3049" t="s">
        <v>968</v>
      </c>
      <c r="D220" s="3049" t="s">
        <v>778</v>
      </c>
      <c r="E220" s="3047">
        <f t="shared" si="7"/>
        <v>6.9444444444444448E-2</v>
      </c>
      <c r="F220" s="3046">
        <f>IF($D220="Trigger",VLOOKUP($C220,'Upper Hot Cell Welding failures'!$E$144:$I$209,5,FALSE),E220+F219)</f>
        <v>192.47665393799991</v>
      </c>
      <c r="G220" s="3050"/>
      <c r="H220" s="3046" t="str">
        <f>IF(D220="operation",VLOOKUP(G220,'Generic Vertical Port Tasks'!C190:D245,2,FALSE),"N/A")</f>
        <v>N/A</v>
      </c>
      <c r="I220" s="3049" t="s">
        <v>798</v>
      </c>
      <c r="J220" s="3049" t="s">
        <v>452</v>
      </c>
      <c r="K220" s="3049" t="s">
        <v>858</v>
      </c>
      <c r="L220" s="3047">
        <f>IFERROR(INDEX('Upper Hot Cell Logistics'!$I$35:$O$41,MATCH($J220,'Upper Hot Cell Logistics'!$H$35:$H$41,0),MATCH($K220,'Upper Hot Cell Logistics'!$H$35:$H$41,0)),"N/A")</f>
        <v>50</v>
      </c>
      <c r="M220" s="3047">
        <f>IFERROR(VLOOKUP($I220,'Upper Hot Cell Logistics'!$H$4:$I$9,2,FALSE),"N/A")</f>
        <v>0.2</v>
      </c>
      <c r="N220" s="3059">
        <f t="shared" si="6"/>
        <v>6.9444444444444448E-2</v>
      </c>
      <c r="O220" s="3051"/>
      <c r="P220" s="3046" t="str">
        <f>IF($D220="Logistics",VLOOKUP($O220,'Upper Hot Cell Logistics'!$C$4:$D$44,2,FALSE),"N/A")</f>
        <v>N/A</v>
      </c>
    </row>
    <row r="221" spans="1:16" x14ac:dyDescent="0.4">
      <c r="A221" s="3083"/>
      <c r="B221" s="4055"/>
      <c r="C221" s="3049" t="s">
        <v>940</v>
      </c>
      <c r="D221" s="3049" t="s">
        <v>3</v>
      </c>
      <c r="E221" s="3047">
        <f t="shared" si="7"/>
        <v>0.78</v>
      </c>
      <c r="F221" s="3046">
        <f>IF($D221="Trigger",VLOOKUP($C221,'Upper Hot Cell Welding failures'!$E$144:$I$209,5,FALSE),E221+F220)</f>
        <v>193.25665393799991</v>
      </c>
      <c r="G221" s="3050"/>
      <c r="H221" s="3046" t="str">
        <f>IF(D221="operation",VLOOKUP(G221,'Generic Vertical Port Tasks'!C190:D245,2,FALSE),"N/A")</f>
        <v>N/A</v>
      </c>
      <c r="I221" s="3049"/>
      <c r="J221" s="3049"/>
      <c r="K221" s="3049"/>
      <c r="L221" s="3047" t="str">
        <f>IFERROR(INDEX('Upper Hot Cell Logistics'!$I$35:$O$41,MATCH($J221,'Upper Hot Cell Logistics'!$H$35:$H$41,0),MATCH($K221,'Upper Hot Cell Logistics'!$H$35:$H$41,0)),"N/A")</f>
        <v>N/A</v>
      </c>
      <c r="M221" s="3047" t="str">
        <f>IFERROR(VLOOKUP($I221,'Upper Hot Cell Logistics'!$H$4:$I$9,2,FALSE),"N/A")</f>
        <v>N/A</v>
      </c>
      <c r="N221" s="3059" t="str">
        <f t="shared" si="6"/>
        <v>N/A</v>
      </c>
      <c r="O221" s="3051" t="s">
        <v>1175</v>
      </c>
      <c r="P221" s="3046">
        <f>IF($D221="Logistics",VLOOKUP($O221,'Upper Hot Cell Logistics'!$C$4:$D$44,2,FALSE),"N/A")</f>
        <v>0.78</v>
      </c>
    </row>
    <row r="222" spans="1:16" ht="13.3" thickBot="1" x14ac:dyDescent="0.45">
      <c r="A222" s="3083"/>
      <c r="B222" s="4057"/>
      <c r="C222" s="3053" t="str">
        <f>B219</f>
        <v>ROB Pipe Module Exported</v>
      </c>
      <c r="D222" s="3053" t="s">
        <v>11</v>
      </c>
      <c r="E222" s="3054">
        <f t="shared" si="7"/>
        <v>0</v>
      </c>
      <c r="F222" s="3055">
        <f>IF($D222="Trigger",VLOOKUP($C222,'Upper Hot Cell Welding failures'!$E$144:$I$209,5,FALSE),E222+F221)</f>
        <v>193.25665393799991</v>
      </c>
      <c r="G222" s="3056"/>
      <c r="H222" s="3055" t="str">
        <f>IF(D222="operation",VLOOKUP(G222,'Generic Vertical Port Tasks'!#REF!,2,FALSE),"N/A")</f>
        <v>N/A</v>
      </c>
      <c r="I222" s="3053"/>
      <c r="J222" s="3053"/>
      <c r="K222" s="3053"/>
      <c r="L222" s="3054" t="str">
        <f>IFERROR(INDEX('Upper Hot Cell Logistics'!$I$35:$O$41,MATCH($J222,'Upper Hot Cell Logistics'!$H$35:$H$41,0),MATCH($K222,'Upper Hot Cell Logistics'!$H$35:$H$41,0)),"N/A")</f>
        <v>N/A</v>
      </c>
      <c r="M222" s="3054" t="str">
        <f>IFERROR(VLOOKUP($I222,'Upper Hot Cell Logistics'!$H$4:$I$9,2,FALSE),"N/A")</f>
        <v>N/A</v>
      </c>
      <c r="N222" s="3060" t="str">
        <f t="shared" si="6"/>
        <v>N/A</v>
      </c>
      <c r="O222" s="3057"/>
      <c r="P222" s="3055" t="str">
        <f>IF($D222="Logistics",VLOOKUP($O222,'Upper Hot Cell Logistics'!$C$4:$D$44,2,FALSE),"N/A")</f>
        <v>N/A</v>
      </c>
    </row>
    <row r="223" spans="1:16" ht="13.5" customHeight="1" x14ac:dyDescent="0.4">
      <c r="A223" s="3083"/>
      <c r="B223" s="4054" t="s">
        <v>884</v>
      </c>
      <c r="C223" s="3042" t="str">
        <f>'Upper Hot Cell Welding failures'!E199</f>
        <v>Insert ROB Pipe Module</v>
      </c>
      <c r="D223" s="3042" t="s">
        <v>907</v>
      </c>
      <c r="E223" s="3043">
        <f t="shared" si="7"/>
        <v>0</v>
      </c>
      <c r="F223" s="3044">
        <f>IF($D223="Trigger",VLOOKUP($C223,'Upper Hot Cell Welding failures'!$E$144:$I$209,5,FALSE),E223+F222)</f>
        <v>229.32716426765128</v>
      </c>
      <c r="G223" s="3045"/>
      <c r="H223" s="3044" t="str">
        <f>IF(D223="operation",VLOOKUP(G223,'Generic Vertical Port Tasks'!#REF!,2,FALSE),"N/A")</f>
        <v>N/A</v>
      </c>
      <c r="I223" s="3042"/>
      <c r="J223" s="3042"/>
      <c r="K223" s="3042"/>
      <c r="L223" s="3043" t="str">
        <f>IFERROR(INDEX('Upper Hot Cell Logistics'!$I$35:$O$41,MATCH($J223,'Upper Hot Cell Logistics'!$H$35:$H$41,0),MATCH($K223,'Upper Hot Cell Logistics'!$H$35:$H$41,0)),"N/A")</f>
        <v>N/A</v>
      </c>
      <c r="M223" s="3043" t="str">
        <f>IFERROR(VLOOKUP($I223,'Upper Hot Cell Logistics'!$H$4:$I$9,2,FALSE),"N/A")</f>
        <v>N/A</v>
      </c>
      <c r="N223" s="3061" t="str">
        <f t="shared" si="6"/>
        <v>N/A</v>
      </c>
      <c r="O223" s="3048"/>
      <c r="P223" s="3044" t="str">
        <f>IF($D223="Logistics",VLOOKUP($O223,'Upper Hot Cell Logistics'!$C$4:$D$44,2,FALSE),"N/A")</f>
        <v>N/A</v>
      </c>
    </row>
    <row r="224" spans="1:16" x14ac:dyDescent="0.4">
      <c r="A224" s="3083"/>
      <c r="B224" s="4055"/>
      <c r="C224" s="3049" t="s">
        <v>968</v>
      </c>
      <c r="D224" s="3049" t="s">
        <v>778</v>
      </c>
      <c r="E224" s="3047">
        <f t="shared" si="7"/>
        <v>6.9444444444444448E-2</v>
      </c>
      <c r="F224" s="3046">
        <f>IF($D224="Trigger",VLOOKUP($C224,'Upper Hot Cell Welding failures'!$E$144:$I$209,5,FALSE),E224+F223)</f>
        <v>229.39660871209574</v>
      </c>
      <c r="G224" s="3050"/>
      <c r="H224" s="3046" t="str">
        <f>IF(D224="operation",VLOOKUP(G224,'Generic Vertical Port Tasks'!#REF!,2,FALSE),"N/A")</f>
        <v>N/A</v>
      </c>
      <c r="I224" s="3049" t="s">
        <v>798</v>
      </c>
      <c r="J224" s="3049" t="s">
        <v>452</v>
      </c>
      <c r="K224" s="3049" t="s">
        <v>858</v>
      </c>
      <c r="L224" s="3047">
        <f>IFERROR(INDEX('Upper Hot Cell Logistics'!$I$35:$O$41,MATCH($J224,'Upper Hot Cell Logistics'!$H$35:$H$41,0),MATCH($K224,'Upper Hot Cell Logistics'!$H$35:$H$41,0)),"N/A")</f>
        <v>50</v>
      </c>
      <c r="M224" s="3047">
        <f>IFERROR(VLOOKUP($I224,'Upper Hot Cell Logistics'!$H$4:$I$9,2,FALSE),"N/A")</f>
        <v>0.2</v>
      </c>
      <c r="N224" s="3059">
        <f t="shared" si="6"/>
        <v>6.9444444444444448E-2</v>
      </c>
      <c r="O224" s="3051"/>
      <c r="P224" s="3046" t="str">
        <f>IF($D224="Logistics",VLOOKUP($O224,'Upper Hot Cell Logistics'!$C$4:$D$44,2,FALSE),"N/A")</f>
        <v>N/A</v>
      </c>
    </row>
    <row r="225" spans="1:16" x14ac:dyDescent="0.4">
      <c r="A225" s="3083"/>
      <c r="B225" s="4055"/>
      <c r="C225" s="3049" t="s">
        <v>940</v>
      </c>
      <c r="D225" s="3049" t="s">
        <v>3</v>
      </c>
      <c r="E225" s="3047">
        <f t="shared" si="7"/>
        <v>0.78</v>
      </c>
      <c r="F225" s="3046">
        <f>IF($D225="Trigger",VLOOKUP($C225,'Upper Hot Cell Welding failures'!$E$144:$I$209,5,FALSE),E225+F224)</f>
        <v>230.17660871209574</v>
      </c>
      <c r="G225" s="3050"/>
      <c r="H225" s="3046" t="str">
        <f>IF(D225="operation",VLOOKUP(G225,'Generic Vertical Port Tasks'!#REF!,2,FALSE),"N/A")</f>
        <v>N/A</v>
      </c>
      <c r="I225" s="3049"/>
      <c r="J225" s="3049"/>
      <c r="K225" s="3049"/>
      <c r="L225" s="3047" t="str">
        <f>IFERROR(INDEX('Upper Hot Cell Logistics'!$I$35:$O$41,MATCH($J225,'Upper Hot Cell Logistics'!$H$35:$H$41,0),MATCH($K225,'Upper Hot Cell Logistics'!$H$35:$H$41,0)),"N/A")</f>
        <v>N/A</v>
      </c>
      <c r="M225" s="3047" t="str">
        <f>IFERROR(VLOOKUP($I225,'Upper Hot Cell Logistics'!$H$4:$I$9,2,FALSE),"N/A")</f>
        <v>N/A</v>
      </c>
      <c r="N225" s="3059" t="str">
        <f t="shared" si="6"/>
        <v>N/A</v>
      </c>
      <c r="O225" s="3051" t="s">
        <v>1175</v>
      </c>
      <c r="P225" s="3046">
        <f>IF($D225="Logistics",VLOOKUP($O225,'Upper Hot Cell Logistics'!$C$4:$D$44,2,FALSE),"N/A")</f>
        <v>0.78</v>
      </c>
    </row>
    <row r="226" spans="1:16" ht="13.3" thickBot="1" x14ac:dyDescent="0.45">
      <c r="A226" s="3083"/>
      <c r="B226" s="4057"/>
      <c r="C226" s="3053" t="str">
        <f>B223</f>
        <v>LOB Pipe Module Exported</v>
      </c>
      <c r="D226" s="3053" t="s">
        <v>11</v>
      </c>
      <c r="E226" s="3054">
        <f t="shared" si="7"/>
        <v>0</v>
      </c>
      <c r="F226" s="3055">
        <f>IF($D226="Trigger",VLOOKUP($C226,'Upper Hot Cell Welding failures'!$E$144:$I$209,5,FALSE),E226+F225)</f>
        <v>230.17660871209574</v>
      </c>
      <c r="G226" s="3056"/>
      <c r="H226" s="3055" t="str">
        <f>IF(D226="operation",VLOOKUP(G226,'Generic Vertical Port Tasks'!#REF!,2,FALSE),"N/A")</f>
        <v>N/A</v>
      </c>
      <c r="I226" s="3053"/>
      <c r="J226" s="3053"/>
      <c r="K226" s="3053"/>
      <c r="L226" s="3054" t="str">
        <f>IFERROR(INDEX('Upper Hot Cell Logistics'!$I$35:$O$41,MATCH($J226,'Upper Hot Cell Logistics'!$H$35:$H$41,0),MATCH($K226,'Upper Hot Cell Logistics'!$H$35:$H$41,0)),"N/A")</f>
        <v>N/A</v>
      </c>
      <c r="M226" s="3054" t="str">
        <f>IFERROR(VLOOKUP($I226,'Upper Hot Cell Logistics'!$H$4:$I$9,2,FALSE),"N/A")</f>
        <v>N/A</v>
      </c>
      <c r="N226" s="3060" t="str">
        <f t="shared" si="6"/>
        <v>N/A</v>
      </c>
      <c r="O226" s="3057"/>
      <c r="P226" s="3055" t="str">
        <f>IF($D226="Logistics",VLOOKUP($O226,'Upper Hot Cell Logistics'!$C$4:$D$44,2,FALSE),"N/A")</f>
        <v>N/A</v>
      </c>
    </row>
    <row r="227" spans="1:16" ht="12.75" customHeight="1" x14ac:dyDescent="0.4">
      <c r="A227" s="3083"/>
      <c r="B227" s="4061" t="s">
        <v>1093</v>
      </c>
      <c r="C227" s="3042" t="s">
        <v>1102</v>
      </c>
      <c r="D227" s="3042" t="s">
        <v>907</v>
      </c>
      <c r="E227" s="3043">
        <f t="shared" si="7"/>
        <v>0</v>
      </c>
      <c r="F227" s="3044">
        <f>IF($D227="Trigger",VLOOKUP($C227,'Upper Hot Cell Welding failures'!$E$144:$I$209,5,FALSE),E227+F226)</f>
        <v>0</v>
      </c>
      <c r="G227" s="3045"/>
      <c r="H227" s="3044" t="str">
        <f>IF(D227="operation",VLOOKUP(G227,'Upper Hot Cell Welding failures'!E234:I311,5,FALSE), "N/A")</f>
        <v>N/A</v>
      </c>
      <c r="I227" s="3042"/>
      <c r="J227" s="3042"/>
      <c r="K227" s="3042"/>
      <c r="L227" s="3043" t="str">
        <f>IFERROR(INDEX(#REF!,MATCH($J227,#REF!,0),MATCH($K227,#REF!,0)),"N/A")</f>
        <v>N/A</v>
      </c>
      <c r="M227" s="3043" t="str">
        <f>IFERROR(VLOOKUP($I227,#REF!,2,FALSE),"N/A")</f>
        <v>N/A</v>
      </c>
      <c r="N227" s="3043" t="str">
        <f t="shared" ref="N227:N238" si="8">IF(D227="Movement",IFERROR((L227/M227)/(60*60),"Error"),"N/A")</f>
        <v>N/A</v>
      </c>
      <c r="O227" s="3048"/>
      <c r="P227" s="3044" t="str">
        <f>IF($D227="Logistics",VLOOKUP($O227,#REF!,2,FALSE),"N/A")</f>
        <v>N/A</v>
      </c>
    </row>
    <row r="228" spans="1:16" ht="12.75" customHeight="1" x14ac:dyDescent="0.4">
      <c r="A228" s="3083"/>
      <c r="B228" s="4062"/>
      <c r="C228" s="3049" t="s">
        <v>1182</v>
      </c>
      <c r="D228" s="3049" t="s">
        <v>251</v>
      </c>
      <c r="E228" s="3047">
        <f t="shared" si="7"/>
        <v>219.03216426765121</v>
      </c>
      <c r="F228" s="3046">
        <f>IF($D228="Trigger",VLOOKUP($C228,'Upper Hot Cell Welding failures'!$E$144:$I$209,5,FALSE),E228+F227)</f>
        <v>219.03216426765121</v>
      </c>
      <c r="G228" s="3050" t="s">
        <v>119</v>
      </c>
      <c r="H228" s="3046">
        <f>IF(D228="operation",VLOOKUP(G228,'Upper Cask Welding failures'!$E$192:$H$297,4,FALSE), "N/A")</f>
        <v>219.03216426765121</v>
      </c>
      <c r="I228" s="3049"/>
      <c r="J228" s="3049"/>
      <c r="K228" s="3049"/>
      <c r="L228" s="3047" t="str">
        <f>IFERROR(INDEX(#REF!,MATCH($J228,#REF!,0),MATCH($K228,#REF!,0)),"N/A")</f>
        <v>N/A</v>
      </c>
      <c r="M228" s="3047" t="str">
        <f>IFERROR(VLOOKUP($I228,#REF!,2,FALSE),"N/A")</f>
        <v>N/A</v>
      </c>
      <c r="N228" s="3047" t="str">
        <f t="shared" si="8"/>
        <v>N/A</v>
      </c>
      <c r="O228" s="3051"/>
      <c r="P228" s="3046" t="str">
        <f>IF($D228="Logistics",VLOOKUP($O228,#REF!,2,FALSE),"N/A")</f>
        <v>N/A</v>
      </c>
    </row>
    <row r="229" spans="1:16" ht="13.5" customHeight="1" thickBot="1" x14ac:dyDescent="0.45">
      <c r="A229" s="3083"/>
      <c r="B229" s="4063"/>
      <c r="C229" s="3053" t="str">
        <f>B227</f>
        <v>ROB Lower Port Pipe Module installed</v>
      </c>
      <c r="D229" s="3053" t="s">
        <v>11</v>
      </c>
      <c r="E229" s="3054">
        <f t="shared" si="7"/>
        <v>0</v>
      </c>
      <c r="F229" s="3055">
        <f>IF($D229="Trigger",VLOOKUP($C229,'Upper Hot Cell Welding failures'!$E$144:$I$209,5,FALSE),E229+F228)</f>
        <v>219.03216426765121</v>
      </c>
      <c r="G229" s="3056"/>
      <c r="H229" s="3055" t="str">
        <f>IF(D229="operation",VLOOKUP(G229,#REF!,5,FALSE), "N/A")</f>
        <v>N/A</v>
      </c>
      <c r="I229" s="3053"/>
      <c r="J229" s="3053"/>
      <c r="K229" s="3053"/>
      <c r="L229" s="3054" t="str">
        <f>IFERROR(INDEX(#REF!,MATCH($J229,#REF!,0),MATCH($K229,#REF!,0)),"N/A")</f>
        <v>N/A</v>
      </c>
      <c r="M229" s="3054" t="str">
        <f>IFERROR(VLOOKUP($I229,#REF!,2,FALSE),"N/A")</f>
        <v>N/A</v>
      </c>
      <c r="N229" s="3054" t="str">
        <f t="shared" si="8"/>
        <v>N/A</v>
      </c>
      <c r="O229" s="3057"/>
      <c r="P229" s="3055" t="str">
        <f>IF($D229="Logistics",VLOOKUP($O229,#REF!,2,FALSE),"N/A")</f>
        <v>N/A</v>
      </c>
    </row>
    <row r="230" spans="1:16" ht="12.75" customHeight="1" x14ac:dyDescent="0.4">
      <c r="A230" s="3083"/>
      <c r="B230" s="4061" t="s">
        <v>1090</v>
      </c>
      <c r="C230" s="3042" t="s">
        <v>1102</v>
      </c>
      <c r="D230" s="3042" t="s">
        <v>907</v>
      </c>
      <c r="E230" s="3043">
        <f t="shared" si="7"/>
        <v>0</v>
      </c>
      <c r="F230" s="3044">
        <f>IF($D230="Trigger",VLOOKUP($C230,'Upper Hot Cell Welding failures'!$E$144:$I$209,5,FALSE),E230+F229)</f>
        <v>0</v>
      </c>
      <c r="G230" s="3045"/>
      <c r="H230" s="3044" t="str">
        <f>IF(D230="operation",VLOOKUP(G230,'Upper Hot Cell Welding failures'!E237:I314,5,FALSE), "N/A")</f>
        <v>N/A</v>
      </c>
      <c r="I230" s="3042"/>
      <c r="J230" s="3042"/>
      <c r="K230" s="3042"/>
      <c r="L230" s="3043" t="str">
        <f>IFERROR(INDEX(#REF!,MATCH($J230,#REF!,0),MATCH($K230,#REF!,0)),"N/A")</f>
        <v>N/A</v>
      </c>
      <c r="M230" s="3043" t="str">
        <f>IFERROR(VLOOKUP($I230,#REF!,2,FALSE),"N/A")</f>
        <v>N/A</v>
      </c>
      <c r="N230" s="3043" t="str">
        <f t="shared" si="8"/>
        <v>N/A</v>
      </c>
      <c r="O230" s="3048"/>
      <c r="P230" s="3044" t="str">
        <f>IF($D230="Logistics",VLOOKUP($O230,#REF!,2,FALSE),"N/A")</f>
        <v>N/A</v>
      </c>
    </row>
    <row r="231" spans="1:16" ht="12.75" customHeight="1" x14ac:dyDescent="0.4">
      <c r="A231" s="3083"/>
      <c r="B231" s="4062"/>
      <c r="C231" s="3049" t="s">
        <v>1182</v>
      </c>
      <c r="D231" s="3049" t="s">
        <v>251</v>
      </c>
      <c r="E231" s="3047">
        <f t="shared" si="7"/>
        <v>180.20443171577767</v>
      </c>
      <c r="F231" s="3046">
        <f>IF($D231="Trigger",VLOOKUP($C231,'Upper Hot Cell Welding failures'!$E$144:$I$209,5,FALSE),E231+F230)</f>
        <v>180.20443171577767</v>
      </c>
      <c r="G231" s="3050" t="s">
        <v>118</v>
      </c>
      <c r="H231" s="3046">
        <f>IF(D231="operation",VLOOKUP(G231,'Upper Cask Welding failures'!$E$192:$H$297,4,FALSE), "N/A")</f>
        <v>180.20443171577767</v>
      </c>
      <c r="I231" s="3049"/>
      <c r="J231" s="3049"/>
      <c r="K231" s="3049"/>
      <c r="L231" s="3047" t="str">
        <f>IFERROR(INDEX(#REF!,MATCH($J231,#REF!,0),MATCH($K231,#REF!,0)),"N/A")</f>
        <v>N/A</v>
      </c>
      <c r="M231" s="3047" t="str">
        <f>IFERROR(VLOOKUP($I231,#REF!,2,FALSE),"N/A")</f>
        <v>N/A</v>
      </c>
      <c r="N231" s="3047" t="str">
        <f t="shared" si="8"/>
        <v>N/A</v>
      </c>
      <c r="O231" s="3051"/>
      <c r="P231" s="3046" t="str">
        <f>IF($D231="Logistics",VLOOKUP($O231,#REF!,2,FALSE),"N/A")</f>
        <v>N/A</v>
      </c>
    </row>
    <row r="232" spans="1:16" ht="13.5" customHeight="1" thickBot="1" x14ac:dyDescent="0.45">
      <c r="A232" s="3083"/>
      <c r="B232" s="4063"/>
      <c r="C232" s="3053" t="str">
        <f>B230</f>
        <v>LIB Lower Port Pipe Module installed</v>
      </c>
      <c r="D232" s="3053" t="s">
        <v>11</v>
      </c>
      <c r="E232" s="3054">
        <f t="shared" si="7"/>
        <v>0</v>
      </c>
      <c r="F232" s="3055">
        <f>IF($D232="Trigger",VLOOKUP($C232,'Upper Hot Cell Welding failures'!$E$144:$I$209,5,FALSE),E232+F231)</f>
        <v>180.20443171577767</v>
      </c>
      <c r="G232" s="3056"/>
      <c r="H232" s="3055" t="str">
        <f>IF(D232="operation",VLOOKUP(G232,#REF!,5,FALSE), "N/A")</f>
        <v>N/A</v>
      </c>
      <c r="I232" s="3053"/>
      <c r="J232" s="3053"/>
      <c r="K232" s="3053"/>
      <c r="L232" s="3054" t="str">
        <f>IFERROR(INDEX(#REF!,MATCH($J232,#REF!,0),MATCH($K232,#REF!,0)),"N/A")</f>
        <v>N/A</v>
      </c>
      <c r="M232" s="3054" t="str">
        <f>IFERROR(VLOOKUP($I232,#REF!,2,FALSE),"N/A")</f>
        <v>N/A</v>
      </c>
      <c r="N232" s="3054" t="str">
        <f t="shared" si="8"/>
        <v>N/A</v>
      </c>
      <c r="O232" s="3057"/>
      <c r="P232" s="3055" t="str">
        <f>IF($D232="Logistics",VLOOKUP($O232,#REF!,2,FALSE),"N/A")</f>
        <v>N/A</v>
      </c>
    </row>
    <row r="233" spans="1:16" ht="12.75" customHeight="1" x14ac:dyDescent="0.4">
      <c r="A233" s="3083"/>
      <c r="B233" s="4061" t="s">
        <v>1087</v>
      </c>
      <c r="C233" s="3042" t="s">
        <v>1102</v>
      </c>
      <c r="D233" s="3042" t="s">
        <v>907</v>
      </c>
      <c r="E233" s="3043">
        <f t="shared" si="7"/>
        <v>0</v>
      </c>
      <c r="F233" s="3044">
        <f>IF($D233="Trigger",VLOOKUP($C233,'Upper Hot Cell Welding failures'!$E$144:$I$209,5,FALSE),E233+F232)</f>
        <v>0</v>
      </c>
      <c r="G233" s="3045"/>
      <c r="H233" s="3044" t="str">
        <f>IF(D233="operation",VLOOKUP(G233,'Upper Hot Cell Welding failures'!E240:I317,5,FALSE), "N/A")</f>
        <v>N/A</v>
      </c>
      <c r="I233" s="3042"/>
      <c r="J233" s="3042"/>
      <c r="K233" s="3042"/>
      <c r="L233" s="3043" t="str">
        <f>IFERROR(INDEX(#REF!,MATCH($J233,#REF!,0),MATCH($K233,#REF!,0)),"N/A")</f>
        <v>N/A</v>
      </c>
      <c r="M233" s="3043" t="str">
        <f>IFERROR(VLOOKUP($I233,#REF!,2,FALSE),"N/A")</f>
        <v>N/A</v>
      </c>
      <c r="N233" s="3043" t="str">
        <f t="shared" si="8"/>
        <v>N/A</v>
      </c>
      <c r="O233" s="3048"/>
      <c r="P233" s="3044" t="str">
        <f>IF($D233="Logistics",VLOOKUP($O233,#REF!,2,FALSE),"N/A")</f>
        <v>N/A</v>
      </c>
    </row>
    <row r="234" spans="1:16" ht="12.75" customHeight="1" x14ac:dyDescent="0.4">
      <c r="A234" s="3083"/>
      <c r="B234" s="4062"/>
      <c r="C234" s="3049" t="s">
        <v>1182</v>
      </c>
      <c r="D234" s="3049" t="s">
        <v>251</v>
      </c>
      <c r="E234" s="3047">
        <f t="shared" si="7"/>
        <v>141.37669916390414</v>
      </c>
      <c r="F234" s="3046">
        <f>IF($D234="Trigger",VLOOKUP($C234,'Upper Hot Cell Welding failures'!$E$144:$I$209,5,FALSE),E234+F233)</f>
        <v>141.37669916390414</v>
      </c>
      <c r="G234" s="3050" t="s">
        <v>117</v>
      </c>
      <c r="H234" s="3046">
        <f>IF(D234="operation",VLOOKUP(G234,'Upper Cask Welding failures'!$E$192:$H$297,4,FALSE), "N/A")</f>
        <v>141.37669916390414</v>
      </c>
      <c r="I234" s="3049"/>
      <c r="J234" s="3049"/>
      <c r="K234" s="3049"/>
      <c r="L234" s="3047" t="str">
        <f>IFERROR(INDEX(#REF!,MATCH($J234,#REF!,0),MATCH($K234,#REF!,0)),"N/A")</f>
        <v>N/A</v>
      </c>
      <c r="M234" s="3047" t="str">
        <f>IFERROR(VLOOKUP($I234,#REF!,2,FALSE),"N/A")</f>
        <v>N/A</v>
      </c>
      <c r="N234" s="3047" t="str">
        <f t="shared" si="8"/>
        <v>N/A</v>
      </c>
      <c r="O234" s="3051"/>
      <c r="P234" s="3046" t="str">
        <f>IF($D234="Logistics",VLOOKUP($O234,#REF!,2,FALSE),"N/A")</f>
        <v>N/A</v>
      </c>
    </row>
    <row r="235" spans="1:16" ht="13.5" customHeight="1" thickBot="1" x14ac:dyDescent="0.45">
      <c r="A235" s="3083"/>
      <c r="B235" s="4063"/>
      <c r="C235" s="3053" t="str">
        <f>B233</f>
        <v>RIB Lower Port Pipe Module installed</v>
      </c>
      <c r="D235" s="3053" t="s">
        <v>11</v>
      </c>
      <c r="E235" s="3054">
        <f t="shared" si="7"/>
        <v>0</v>
      </c>
      <c r="F235" s="3055">
        <f>IF($D235="Trigger",VLOOKUP($C235,'Upper Hot Cell Welding failures'!$E$144:$I$209,5,FALSE),E235+F234)</f>
        <v>141.37669916390414</v>
      </c>
      <c r="G235" s="3056"/>
      <c r="H235" s="3055" t="str">
        <f>IF(D235="operation",VLOOKUP(G235,#REF!,5,FALSE), "N/A")</f>
        <v>N/A</v>
      </c>
      <c r="I235" s="3053"/>
      <c r="J235" s="3053"/>
      <c r="K235" s="3053"/>
      <c r="L235" s="3054" t="str">
        <f>IFERROR(INDEX(#REF!,MATCH($J235,#REF!,0),MATCH($K235,#REF!,0)),"N/A")</f>
        <v>N/A</v>
      </c>
      <c r="M235" s="3054" t="str">
        <f>IFERROR(VLOOKUP($I235,#REF!,2,FALSE),"N/A")</f>
        <v>N/A</v>
      </c>
      <c r="N235" s="3054" t="str">
        <f t="shared" si="8"/>
        <v>N/A</v>
      </c>
      <c r="O235" s="3057"/>
      <c r="P235" s="3055" t="str">
        <f>IF($D235="Logistics",VLOOKUP($O235,#REF!,2,FALSE),"N/A")</f>
        <v>N/A</v>
      </c>
    </row>
    <row r="236" spans="1:16" ht="12.75" customHeight="1" x14ac:dyDescent="0.4">
      <c r="A236" s="3083"/>
      <c r="B236" s="4061" t="s">
        <v>1096</v>
      </c>
      <c r="C236" s="3042" t="s">
        <v>1102</v>
      </c>
      <c r="D236" s="3042" t="s">
        <v>907</v>
      </c>
      <c r="E236" s="3043">
        <f t="shared" si="7"/>
        <v>0</v>
      </c>
      <c r="F236" s="3044">
        <f>IF($D236="Trigger",VLOOKUP($C236,'Upper Hot Cell Welding failures'!$E$144:$I$209,5,FALSE),E236+F235)</f>
        <v>0</v>
      </c>
      <c r="G236" s="3045"/>
      <c r="H236" s="3044" t="str">
        <f>IF(D236="operation",VLOOKUP(G236,'Upper Hot Cell Welding failures'!E243:I320,5,FALSE), "N/A")</f>
        <v>N/A</v>
      </c>
      <c r="I236" s="3042"/>
      <c r="J236" s="3042"/>
      <c r="K236" s="3042"/>
      <c r="L236" s="3043" t="str">
        <f>IFERROR(INDEX(#REF!,MATCH($J236,#REF!,0),MATCH($K236,#REF!,0)),"N/A")</f>
        <v>N/A</v>
      </c>
      <c r="M236" s="3043" t="str">
        <f>IFERROR(VLOOKUP($I236,#REF!,2,FALSE),"N/A")</f>
        <v>N/A</v>
      </c>
      <c r="N236" s="3043" t="str">
        <f t="shared" si="8"/>
        <v>N/A</v>
      </c>
      <c r="O236" s="3048"/>
      <c r="P236" s="3044" t="str">
        <f>IF($D236="Logistics",VLOOKUP($O236,#REF!,2,FALSE),"N/A")</f>
        <v>N/A</v>
      </c>
    </row>
    <row r="237" spans="1:16" ht="12.75" customHeight="1" x14ac:dyDescent="0.4">
      <c r="A237" s="3083"/>
      <c r="B237" s="4062"/>
      <c r="C237" s="3049" t="s">
        <v>1182</v>
      </c>
      <c r="D237" s="3049" t="s">
        <v>251</v>
      </c>
      <c r="E237" s="3047">
        <f t="shared" si="7"/>
        <v>257.85989681952475</v>
      </c>
      <c r="F237" s="3046">
        <f>IF($D237="Trigger",VLOOKUP($C237,'Upper Hot Cell Welding failures'!$E$144:$I$209,5,FALSE),E237+F236)</f>
        <v>257.85989681952475</v>
      </c>
      <c r="G237" s="3050" t="s">
        <v>120</v>
      </c>
      <c r="H237" s="3046">
        <f>IF(D237="operation",VLOOKUP(G237,'Upper Cask Welding failures'!$E$192:$H$297,4,FALSE), "N/A")</f>
        <v>257.85989681952475</v>
      </c>
      <c r="I237" s="3049"/>
      <c r="J237" s="3049"/>
      <c r="K237" s="3049"/>
      <c r="L237" s="3047" t="str">
        <f>IFERROR(INDEX(#REF!,MATCH($J237,#REF!,0),MATCH($K237,#REF!,0)),"N/A")</f>
        <v>N/A</v>
      </c>
      <c r="M237" s="3047" t="str">
        <f>IFERROR(VLOOKUP($I237,#REF!,2,FALSE),"N/A")</f>
        <v>N/A</v>
      </c>
      <c r="N237" s="3047" t="str">
        <f t="shared" si="8"/>
        <v>N/A</v>
      </c>
      <c r="O237" s="3051"/>
      <c r="P237" s="3046" t="str">
        <f>IF($D237="Logistics",VLOOKUP($O237,#REF!,2,FALSE),"N/A")</f>
        <v>N/A</v>
      </c>
    </row>
    <row r="238" spans="1:16" ht="13.5" customHeight="1" thickBot="1" x14ac:dyDescent="0.45">
      <c r="A238" s="3083"/>
      <c r="B238" s="4063"/>
      <c r="C238" s="3053" t="str">
        <f>B236</f>
        <v>LOB Lower Port Pipe Module installed</v>
      </c>
      <c r="D238" s="3053" t="s">
        <v>11</v>
      </c>
      <c r="E238" s="3054">
        <f t="shared" si="7"/>
        <v>0</v>
      </c>
      <c r="F238" s="3055">
        <f>IF($D238="Trigger",VLOOKUP($C238,'Upper Hot Cell Welding failures'!$E$144:$I$209,5,FALSE),E238+F237)</f>
        <v>257.85989681952475</v>
      </c>
      <c r="G238" s="3056"/>
      <c r="H238" s="3055" t="str">
        <f>IF(D238="operation",VLOOKUP(G238,#REF!,5,FALSE), "N/A")</f>
        <v>N/A</v>
      </c>
      <c r="I238" s="3053"/>
      <c r="J238" s="3053"/>
      <c r="K238" s="3053"/>
      <c r="L238" s="3054" t="str">
        <f>IFERROR(INDEX(#REF!,MATCH($J238,#REF!,0),MATCH($K238,#REF!,0)),"N/A")</f>
        <v>N/A</v>
      </c>
      <c r="M238" s="3054" t="str">
        <f>IFERROR(VLOOKUP($I238,#REF!,2,FALSE),"N/A")</f>
        <v>N/A</v>
      </c>
      <c r="N238" s="3054" t="str">
        <f t="shared" si="8"/>
        <v>N/A</v>
      </c>
      <c r="O238" s="3057"/>
      <c r="P238" s="3055" t="str">
        <f>IF($D238="Logistics",VLOOKUP($O238,#REF!,2,FALSE),"N/A")</f>
        <v>N/A</v>
      </c>
    </row>
    <row r="239" spans="1:16" ht="13.3" thickBot="1" x14ac:dyDescent="0.45">
      <c r="A239" s="3083"/>
      <c r="B239" s="3084"/>
      <c r="C239" s="3085"/>
      <c r="D239" s="3085"/>
      <c r="E239" s="3085"/>
      <c r="F239" s="3085"/>
      <c r="G239" s="3085"/>
      <c r="H239" s="3086"/>
      <c r="I239" s="3085"/>
      <c r="J239" s="3085"/>
      <c r="K239" s="3085"/>
      <c r="L239" s="3087"/>
      <c r="M239" s="3087"/>
      <c r="N239" s="3087"/>
      <c r="O239" s="3085"/>
      <c r="P239" s="3088"/>
    </row>
    <row r="240" spans="1:16" x14ac:dyDescent="0.4">
      <c r="A240" s="3089"/>
      <c r="B240" s="3090" t="s">
        <v>1195</v>
      </c>
      <c r="C240" s="3090"/>
      <c r="D240" s="3090"/>
      <c r="E240" s="3090"/>
      <c r="F240" s="3090"/>
      <c r="G240" s="3090"/>
      <c r="H240" s="3091"/>
      <c r="I240" s="3090"/>
      <c r="J240" s="3090"/>
      <c r="K240" s="3090"/>
      <c r="L240" s="3090"/>
      <c r="M240" s="3090"/>
      <c r="N240" s="3090"/>
      <c r="O240" s="3090"/>
      <c r="P240" s="3092"/>
    </row>
    <row r="241" spans="1:16" ht="13.3" thickBot="1" x14ac:dyDescent="0.45">
      <c r="A241" s="3093"/>
      <c r="B241" s="3094"/>
      <c r="C241" s="3094"/>
      <c r="D241" s="3094"/>
      <c r="E241" s="3094"/>
      <c r="F241" s="3094"/>
      <c r="G241" s="3094"/>
      <c r="H241" s="3095"/>
      <c r="I241" s="3094"/>
      <c r="J241" s="3094"/>
      <c r="K241" s="3094"/>
      <c r="L241" s="3096"/>
      <c r="M241" s="3096"/>
      <c r="N241" s="3096"/>
      <c r="O241" s="3094"/>
      <c r="P241" s="3097"/>
    </row>
    <row r="242" spans="1:16" x14ac:dyDescent="0.4">
      <c r="A242" s="3098"/>
      <c r="B242" s="4054" t="s">
        <v>1066</v>
      </c>
      <c r="C242" s="3042" t="str">
        <f>'Upper Hot Cell Welding failures'!E230</f>
        <v>Weld Failure identified at ROB/Pipe Module joint</v>
      </c>
      <c r="D242" s="3042" t="s">
        <v>907</v>
      </c>
      <c r="E242" s="3043">
        <f t="shared" ref="E242:E305" si="9">MAX($P242,$N242,$H242)</f>
        <v>0</v>
      </c>
      <c r="F242" s="3044">
        <f>IF($D242="Trigger",VLOOKUP($C242,'Upper Hot Cell Welding failures'!$E$229:$I$283,5,FALSE),E242+F241)</f>
        <v>0</v>
      </c>
      <c r="G242" s="3045"/>
      <c r="H242" s="3044" t="str">
        <f>IF(D242="operation",VLOOKUP(G242,'Generic Vertical Port Tasks'!$C$6:$D$558,2,FALSE),"N/A")</f>
        <v>N/A</v>
      </c>
      <c r="I242" s="3042"/>
      <c r="J242" s="3042"/>
      <c r="K242" s="3042"/>
      <c r="L242" s="3043" t="str">
        <f>IFERROR(INDEX('Upper Hot Cell Logistics'!$I$35:$O$41,MATCH($J242,'Upper Hot Cell Logistics'!$H$35:$H$41,0),MATCH($K242,'Upper Hot Cell Logistics'!$H$35:$H$41,0)),"N/A")</f>
        <v>N/A</v>
      </c>
      <c r="M242" s="3043" t="str">
        <f>IFERROR(VLOOKUP($I242,'Upper Hot Cell Logistics'!$H$4:$I$9,2,FALSE),"N/A")</f>
        <v>N/A</v>
      </c>
      <c r="N242" s="3061" t="str">
        <f t="shared" ref="N242:N333" si="10">IF(D242="Movement",IFERROR((L242/M242)/(60*60),"Error"),"N/A")</f>
        <v>N/A</v>
      </c>
      <c r="O242" s="3048"/>
      <c r="P242" s="3044" t="str">
        <f>IF($D242="Logistics",VLOOKUP($O242,'Upper Hot Cell Logistics'!$C$4:$D$44,2,FALSE),"N/A")</f>
        <v>N/A</v>
      </c>
    </row>
    <row r="243" spans="1:16" x14ac:dyDescent="0.4">
      <c r="A243" s="3098"/>
      <c r="B243" s="4055"/>
      <c r="C243" s="3049" t="s">
        <v>921</v>
      </c>
      <c r="D243" s="3049" t="s">
        <v>778</v>
      </c>
      <c r="E243" s="3047">
        <f t="shared" si="9"/>
        <v>6.9444444444444448E-2</v>
      </c>
      <c r="F243" s="3046">
        <f>IF($D243="Trigger",VLOOKUP($C243,'Upper Hot Cell Welding failures'!$E$229:$I$283,5,FALSE),E243+F242)</f>
        <v>6.9444444444444448E-2</v>
      </c>
      <c r="G243" s="3050"/>
      <c r="H243" s="3046" t="str">
        <f>IF(D243="operation",VLOOKUP(G243,'Generic Vertical Port Tasks'!$C$6:$D$558,2,FALSE),"N/A")</f>
        <v>N/A</v>
      </c>
      <c r="I243" s="3049" t="s">
        <v>798</v>
      </c>
      <c r="J243" s="3049" t="s">
        <v>452</v>
      </c>
      <c r="K243" s="3049" t="s">
        <v>914</v>
      </c>
      <c r="L243" s="3047">
        <f>IFERROR(INDEX('Upper Hot Cell Logistics'!$I$35:$O$41,MATCH($J243,'Upper Hot Cell Logistics'!$H$35:$H$41,0),MATCH($K243,'Upper Hot Cell Logistics'!$H$35:$H$41,0)),"N/A")</f>
        <v>50</v>
      </c>
      <c r="M243" s="3047">
        <f>IFERROR(VLOOKUP($I243,'Upper Hot Cell Logistics'!$H$4:$I$9,2,FALSE),"N/A")</f>
        <v>0.2</v>
      </c>
      <c r="N243" s="3059">
        <f t="shared" si="10"/>
        <v>6.9444444444444448E-2</v>
      </c>
      <c r="O243" s="3051"/>
      <c r="P243" s="3046" t="str">
        <f>IF($D243="Logistics",VLOOKUP($O243,'Upper Hot Cell Logistics'!$C$4:$D$44,2,FALSE),"N/A")</f>
        <v>N/A</v>
      </c>
    </row>
    <row r="244" spans="1:16" x14ac:dyDescent="0.4">
      <c r="A244" s="3098"/>
      <c r="B244" s="4055"/>
      <c r="C244" s="3049" t="s">
        <v>987</v>
      </c>
      <c r="D244" s="3049" t="s">
        <v>3</v>
      </c>
      <c r="E244" s="3047">
        <f t="shared" si="9"/>
        <v>0.68</v>
      </c>
      <c r="F244" s="3046">
        <f>IF($D244="Trigger",VLOOKUP($C244,'Upper Hot Cell Welding failures'!$E$229:$I$283,5,FALSE),E244+F243)</f>
        <v>0.74944444444444447</v>
      </c>
      <c r="G244" s="3050"/>
      <c r="H244" s="3046" t="str">
        <f>IF(D244="operation",VLOOKUP(G244,'Generic Vertical Port Tasks'!$C$6:$D$558,2,FALSE),"N/A")</f>
        <v>N/A</v>
      </c>
      <c r="I244" s="3049"/>
      <c r="J244" s="3049"/>
      <c r="K244" s="3049"/>
      <c r="L244" s="3047" t="str">
        <f>IFERROR(INDEX('Upper Hot Cell Logistics'!$I$35:$O$41,MATCH($J244,'Upper Hot Cell Logistics'!$H$35:$H$41,0),MATCH($K244,'Upper Hot Cell Logistics'!$H$35:$H$41,0)),"N/A")</f>
        <v>N/A</v>
      </c>
      <c r="M244" s="3047" t="str">
        <f>IFERROR(VLOOKUP($I244,'Upper Hot Cell Logistics'!$H$4:$I$9,2,FALSE),"N/A")</f>
        <v>N/A</v>
      </c>
      <c r="N244" s="3059" t="str">
        <f t="shared" si="10"/>
        <v>N/A</v>
      </c>
      <c r="O244" s="3051" t="s">
        <v>1190</v>
      </c>
      <c r="P244" s="3046">
        <f>IF($D244="Logistics",VLOOKUP($O244,'Upper Hot Cell Logistics'!$C$4:$D$44,2,FALSE),"N/A")</f>
        <v>0.68</v>
      </c>
    </row>
    <row r="245" spans="1:16" x14ac:dyDescent="0.4">
      <c r="A245" s="3098"/>
      <c r="B245" s="4055"/>
      <c r="C245" s="3049" t="s">
        <v>923</v>
      </c>
      <c r="D245" s="3049" t="s">
        <v>778</v>
      </c>
      <c r="E245" s="3047">
        <f t="shared" si="9"/>
        <v>2.7777777777777776E-2</v>
      </c>
      <c r="F245" s="3046">
        <f>IF($D245="Trigger",VLOOKUP($C245,'Upper Hot Cell Welding failures'!$E$229:$I$283,5,FALSE),E245+F244)</f>
        <v>0.77722222222222226</v>
      </c>
      <c r="G245" s="3050"/>
      <c r="H245" s="3046" t="str">
        <f>IF(D245="operation",VLOOKUP(G245,'Generic Vertical Port Tasks'!$C$6:$D$558,2,FALSE),"N/A")</f>
        <v>N/A</v>
      </c>
      <c r="I245" s="3049" t="s">
        <v>798</v>
      </c>
      <c r="J245" s="3049" t="s">
        <v>914</v>
      </c>
      <c r="K245" s="3049" t="s">
        <v>799</v>
      </c>
      <c r="L245" s="3047">
        <f>IFERROR(INDEX('Upper Hot Cell Logistics'!$I$35:$O$41,MATCH($J245,'Upper Hot Cell Logistics'!$H$35:$H$41,0),MATCH($K245,'Upper Hot Cell Logistics'!$H$35:$H$41,0)),"N/A")</f>
        <v>20</v>
      </c>
      <c r="M245" s="3047">
        <f>IFERROR(VLOOKUP($I245,'Upper Hot Cell Logistics'!$H$4:$I$9,2,FALSE),"N/A")</f>
        <v>0.2</v>
      </c>
      <c r="N245" s="3059">
        <f t="shared" si="10"/>
        <v>2.7777777777777776E-2</v>
      </c>
      <c r="O245" s="3051"/>
      <c r="P245" s="3046" t="str">
        <f>IF($D245="Logistics",VLOOKUP($O245,'Upper Hot Cell Logistics'!$C$4:$D$44,2,FALSE),"N/A")</f>
        <v>N/A</v>
      </c>
    </row>
    <row r="246" spans="1:16" x14ac:dyDescent="0.4">
      <c r="A246" s="3098"/>
      <c r="B246" s="4055"/>
      <c r="C246" s="3049" t="s">
        <v>1166</v>
      </c>
      <c r="D246" s="3049" t="s">
        <v>3</v>
      </c>
      <c r="E246" s="3047">
        <f t="shared" si="9"/>
        <v>0.58000000000000007</v>
      </c>
      <c r="F246" s="3046">
        <f>IF($D246="Trigger",VLOOKUP($C246,'Upper Hot Cell Welding failures'!$E$229:$I$283,5,FALSE),E246+F245)</f>
        <v>1.3572222222222223</v>
      </c>
      <c r="G246" s="3050"/>
      <c r="H246" s="3046" t="str">
        <f>IF(D246="operation",VLOOKUP(G246,'Generic Vertical Port Tasks'!$C$6:$D$558,2,FALSE),"N/A")</f>
        <v>N/A</v>
      </c>
      <c r="I246" s="3049"/>
      <c r="J246" s="3049"/>
      <c r="K246" s="3049"/>
      <c r="L246" s="3047" t="str">
        <f>IFERROR(INDEX('Upper Hot Cell Logistics'!$I$35:$O$41,MATCH($J246,'Upper Hot Cell Logistics'!$H$35:$H$41,0),MATCH($K246,'Upper Hot Cell Logistics'!$H$35:$H$41,0)),"N/A")</f>
        <v>N/A</v>
      </c>
      <c r="M246" s="3047" t="str">
        <f>IFERROR(VLOOKUP($I246,'Upper Hot Cell Logistics'!$H$4:$I$9,2,FALSE),"N/A")</f>
        <v>N/A</v>
      </c>
      <c r="N246" s="3059" t="str">
        <f t="shared" si="10"/>
        <v>N/A</v>
      </c>
      <c r="O246" s="3051" t="s">
        <v>796</v>
      </c>
      <c r="P246" s="3046">
        <f>IF($D246="Logistics",VLOOKUP($O246,'Upper Hot Cell Logistics'!$C$4:$D$44,2,FALSE),"N/A")</f>
        <v>0.58000000000000007</v>
      </c>
    </row>
    <row r="247" spans="1:16" x14ac:dyDescent="0.4">
      <c r="A247" s="3098"/>
      <c r="B247" s="4056"/>
      <c r="C247" s="3052" t="s">
        <v>2671</v>
      </c>
      <c r="D247" s="3052" t="s">
        <v>778</v>
      </c>
      <c r="E247" s="3047">
        <f t="shared" si="9"/>
        <v>6.9444444444444448E-2</v>
      </c>
      <c r="F247" s="3046">
        <f>IF($D247="Trigger",VLOOKUP($C247,'Upper Hot Cell Welding failures'!$E$229:$I$283,5,FALSE),E247+F246)</f>
        <v>1.4266666666666667</v>
      </c>
      <c r="G247" s="3050"/>
      <c r="H247" s="3046" t="str">
        <f>IF(D247="operation",VLOOKUP(G247,'Generic Vertical Port Tasks'!$C$6:$D$558,2,FALSE),"N/A")</f>
        <v>N/A</v>
      </c>
      <c r="I247" s="3049" t="s">
        <v>798</v>
      </c>
      <c r="J247" s="3049" t="s">
        <v>799</v>
      </c>
      <c r="K247" s="3049" t="s">
        <v>452</v>
      </c>
      <c r="L247" s="3047">
        <f>IFERROR(INDEX('Upper Hot Cell Logistics'!$I$35:$O$41,MATCH($J247,'Upper Hot Cell Logistics'!$H$35:$H$41,0),MATCH($K247,'Upper Hot Cell Logistics'!$H$35:$H$41,0)),"N/A")</f>
        <v>50</v>
      </c>
      <c r="M247" s="3047">
        <f>IFERROR(VLOOKUP($I247,'Upper Hot Cell Logistics'!$H$4:$I$9,2,FALSE),"N/A")</f>
        <v>0.2</v>
      </c>
      <c r="N247" s="3059">
        <f t="shared" si="10"/>
        <v>6.9444444444444448E-2</v>
      </c>
      <c r="O247" s="3051"/>
      <c r="P247" s="3046" t="str">
        <f>IF($D247="Logistics",VLOOKUP($O247,'Upper Hot Cell Logistics'!$C$4:$D$44,2,FALSE),"N/A")</f>
        <v>N/A</v>
      </c>
    </row>
    <row r="248" spans="1:16" ht="26.15" thickBot="1" x14ac:dyDescent="0.45">
      <c r="A248" s="3098"/>
      <c r="B248" s="4057"/>
      <c r="C248" s="3053" t="str">
        <f>B242</f>
        <v>Shield Plug &amp; Fixations Equipment Stored, Pipe Module interface hardware Collected and moved to port</v>
      </c>
      <c r="D248" s="3053" t="s">
        <v>11</v>
      </c>
      <c r="E248" s="3054">
        <f t="shared" si="9"/>
        <v>0</v>
      </c>
      <c r="F248" s="3055">
        <f>IF($D248="Trigger",VLOOKUP($C248,'Upper Hot Cell Welding failures'!$E$229:$I$283,5,FALSE),E248+F247)</f>
        <v>1.4266666666666667</v>
      </c>
      <c r="G248" s="3056"/>
      <c r="H248" s="3055" t="str">
        <f>IF(D248="operation",VLOOKUP(G248,'Generic Vertical Port Tasks'!$C$6:$D$558,2,FALSE),"N/A")</f>
        <v>N/A</v>
      </c>
      <c r="I248" s="3053"/>
      <c r="J248" s="3053"/>
      <c r="K248" s="3053"/>
      <c r="L248" s="3054" t="str">
        <f>IFERROR(INDEX('Upper Hot Cell Logistics'!$I$35:$O$41,MATCH($J248,'Upper Hot Cell Logistics'!$H$35:$H$41,0),MATCH($K248,'Upper Hot Cell Logistics'!$H$35:$H$41,0)),"N/A")</f>
        <v>N/A</v>
      </c>
      <c r="M248" s="3054" t="str">
        <f>IFERROR(VLOOKUP($I248,'Upper Hot Cell Logistics'!$H$4:$I$9,2,FALSE),"N/A")</f>
        <v>N/A</v>
      </c>
      <c r="N248" s="3060" t="str">
        <f t="shared" si="10"/>
        <v>N/A</v>
      </c>
      <c r="O248" s="3057"/>
      <c r="P248" s="3055" t="str">
        <f>IF($D248="Logistics",VLOOKUP($O248,'Upper Hot Cell Logistics'!$C$4:$D$44,2,FALSE),"N/A")</f>
        <v>N/A</v>
      </c>
    </row>
    <row r="249" spans="1:16" x14ac:dyDescent="0.4">
      <c r="A249" s="3098"/>
      <c r="B249" s="4054" t="s">
        <v>2674</v>
      </c>
      <c r="C249" s="3042" t="str">
        <f>'Upper Hot Cell Welding failures'!E233</f>
        <v>Extract ROB Pipe Module</v>
      </c>
      <c r="D249" s="3042" t="s">
        <v>907</v>
      </c>
      <c r="E249" s="3043">
        <f t="shared" si="9"/>
        <v>0</v>
      </c>
      <c r="F249" s="3043">
        <f>IF($D249="Trigger",VLOOKUP($C249,'Upper Hot Cell Welding failures'!$E$229:$I$283,5,FALSE),E249+F248)</f>
        <v>2.221111111111111</v>
      </c>
      <c r="G249" s="3045"/>
      <c r="H249" s="3044" t="str">
        <f>IF(D249="operation",VLOOKUP(G249,'Generic Vertical Port Tasks'!$C$6:$D$558,2,FALSE),"N/A")</f>
        <v>N/A</v>
      </c>
      <c r="I249" s="3042"/>
      <c r="J249" s="3042"/>
      <c r="K249" s="3042"/>
      <c r="L249" s="3043" t="str">
        <f>IFERROR(INDEX('Upper Hot Cell Logistics'!$I$35:$O$41,MATCH($J249,'Upper Hot Cell Logistics'!$H$35:$H$41,0),MATCH($K249,'Upper Hot Cell Logistics'!$H$35:$H$41,0)),"N/A")</f>
        <v>N/A</v>
      </c>
      <c r="M249" s="3043" t="str">
        <f>IFERROR(VLOOKUP($I249,'Upper Hot Cell Logistics'!$H$4:$I$9,2,FALSE),"N/A")</f>
        <v>N/A</v>
      </c>
      <c r="N249" s="3061" t="str">
        <f t="shared" si="10"/>
        <v>N/A</v>
      </c>
      <c r="O249" s="3048"/>
      <c r="P249" s="3044" t="str">
        <f>IF($D249="Logistics",VLOOKUP($O249,'Upper Hot Cell Logistics'!$C$4:$D$44,2,FALSE),"N/A")</f>
        <v>N/A</v>
      </c>
    </row>
    <row r="250" spans="1:16" x14ac:dyDescent="0.4">
      <c r="A250" s="3098"/>
      <c r="B250" s="4055"/>
      <c r="C250" s="3049" t="s">
        <v>926</v>
      </c>
      <c r="D250" s="3049" t="s">
        <v>778</v>
      </c>
      <c r="E250" s="3047">
        <f t="shared" si="9"/>
        <v>0.69444444444444442</v>
      </c>
      <c r="F250" s="3047">
        <f>IF($D250="Trigger",VLOOKUP($C250,'Upper Hot Cell Welding failures'!$E$229:$I$283,5,FALSE),E250+F249)</f>
        <v>2.9155555555555557</v>
      </c>
      <c r="G250" s="3050"/>
      <c r="H250" s="3046" t="str">
        <f>IF(D250="operation",VLOOKUP(G250,'Generic Vertical Port Tasks'!$C$6:$D$558,2,FALSE),"N/A")</f>
        <v>N/A</v>
      </c>
      <c r="I250" s="3049" t="s">
        <v>857</v>
      </c>
      <c r="J250" s="3049" t="s">
        <v>452</v>
      </c>
      <c r="K250" s="3049" t="s">
        <v>831</v>
      </c>
      <c r="L250" s="3047">
        <f>IFERROR(INDEX('Upper Hot Cell Logistics'!$I$35:$O$41,MATCH($J250,'Upper Hot Cell Logistics'!$H$35:$H$41,0),MATCH($K250,'Upper Hot Cell Logistics'!$H$35:$H$41,0)),"N/A")</f>
        <v>50</v>
      </c>
      <c r="M250" s="3047">
        <f>IFERROR(VLOOKUP($I250,'Upper Hot Cell Logistics'!$H$4:$I$9,2,FALSE),"N/A")</f>
        <v>0.02</v>
      </c>
      <c r="N250" s="3059">
        <f t="shared" si="10"/>
        <v>0.69444444444444442</v>
      </c>
      <c r="O250" s="3051"/>
      <c r="P250" s="3046" t="str">
        <f>IF($D250="Logistics",VLOOKUP($O250,'Upper Hot Cell Logistics'!$C$4:$D$44,2,FALSE),"N/A")</f>
        <v>N/A</v>
      </c>
    </row>
    <row r="251" spans="1:16" x14ac:dyDescent="0.4">
      <c r="A251" s="3098"/>
      <c r="B251" s="4055"/>
      <c r="C251" s="3049" t="s">
        <v>940</v>
      </c>
      <c r="D251" s="3049" t="s">
        <v>3</v>
      </c>
      <c r="E251" s="3047">
        <f t="shared" si="9"/>
        <v>0.58000000000000007</v>
      </c>
      <c r="F251" s="3047">
        <f>IF($D251="Trigger",VLOOKUP($C251,'Upper Hot Cell Welding failures'!$E$229:$I$283,5,FALSE),E251+F250)</f>
        <v>3.4955555555555557</v>
      </c>
      <c r="G251" s="3050"/>
      <c r="H251" s="3046" t="str">
        <f>IF(D251="operation",VLOOKUP(G251,'Generic Vertical Port Tasks'!$C$6:$D$558,2,FALSE),"N/A")</f>
        <v>N/A</v>
      </c>
      <c r="I251" s="3049"/>
      <c r="J251" s="3049"/>
      <c r="K251" s="3049"/>
      <c r="L251" s="3047" t="str">
        <f>IFERROR(INDEX('Upper Hot Cell Logistics'!$I$35:$O$41,MATCH($J251,'Upper Hot Cell Logistics'!$H$35:$H$41,0),MATCH($K251,'Upper Hot Cell Logistics'!$H$35:$H$41,0)),"N/A")</f>
        <v>N/A</v>
      </c>
      <c r="M251" s="3047" t="str">
        <f>IFERROR(VLOOKUP($I251,'Upper Hot Cell Logistics'!$H$4:$I$9,2,FALSE),"N/A")</f>
        <v>N/A</v>
      </c>
      <c r="N251" s="3059" t="str">
        <f t="shared" si="10"/>
        <v>N/A</v>
      </c>
      <c r="O251" s="3051" t="s">
        <v>904</v>
      </c>
      <c r="P251" s="3046">
        <f>IF($D251="Logistics",VLOOKUP($O251,'Upper Hot Cell Logistics'!$C$4:$D$44,2,FALSE),"N/A")</f>
        <v>0.58000000000000007</v>
      </c>
    </row>
    <row r="252" spans="1:16" x14ac:dyDescent="0.4">
      <c r="A252" s="3098"/>
      <c r="B252" s="4056"/>
      <c r="C252" s="3052" t="s">
        <v>807</v>
      </c>
      <c r="D252" s="3049" t="s">
        <v>778</v>
      </c>
      <c r="E252" s="3047">
        <f t="shared" si="9"/>
        <v>6.9444444444444448E-2</v>
      </c>
      <c r="F252" s="3047">
        <f>IF($D252="Trigger",VLOOKUP($C252,'Upper Hot Cell Welding failures'!$E$229:$I$283,5,FALSE),E252+F251)</f>
        <v>3.5650000000000004</v>
      </c>
      <c r="G252" s="3050"/>
      <c r="H252" s="3046" t="str">
        <f>IF(D252="operation",VLOOKUP(G252,'Generic Vertical Port Tasks'!$C$6:$D$558,2,FALSE),"N/A")</f>
        <v>N/A</v>
      </c>
      <c r="I252" s="3049" t="s">
        <v>798</v>
      </c>
      <c r="J252" s="3049" t="s">
        <v>831</v>
      </c>
      <c r="K252" s="3049" t="s">
        <v>452</v>
      </c>
      <c r="L252" s="3047">
        <f>IFERROR(INDEX('Upper Hot Cell Logistics'!$I$35:$O$41,MATCH($J252,'Upper Hot Cell Logistics'!$H$35:$H$41,0),MATCH($K252,'Upper Hot Cell Logistics'!$H$35:$H$41,0)),"N/A")</f>
        <v>50</v>
      </c>
      <c r="M252" s="3047">
        <f>IFERROR(VLOOKUP($I252,'Upper Hot Cell Logistics'!$H$4:$I$9,2,FALSE),"N/A")</f>
        <v>0.2</v>
      </c>
      <c r="N252" s="3059">
        <f t="shared" si="10"/>
        <v>6.9444444444444448E-2</v>
      </c>
      <c r="O252" s="3051"/>
      <c r="P252" s="3046" t="str">
        <f>IF($D252="Logistics",VLOOKUP($O252,'Upper Hot Cell Logistics'!$C$4:$D$44,2,FALSE),"N/A")</f>
        <v>N/A</v>
      </c>
    </row>
    <row r="253" spans="1:16" ht="26.15" thickBot="1" x14ac:dyDescent="0.45">
      <c r="A253" s="3098"/>
      <c r="B253" s="4057"/>
      <c r="C253" s="3053" t="str">
        <f>B249</f>
        <v>ROB Pipe Module Stored and Transporter Returned to Vertical Port</v>
      </c>
      <c r="D253" s="3053" t="s">
        <v>11</v>
      </c>
      <c r="E253" s="3054">
        <f t="shared" si="9"/>
        <v>0</v>
      </c>
      <c r="F253" s="3054">
        <f>IF($D253="Trigger",VLOOKUP($C253,'Upper Hot Cell Welding failures'!$E$229:$I$283,5,FALSE),E253+F252)</f>
        <v>3.5650000000000004</v>
      </c>
      <c r="G253" s="3056"/>
      <c r="H253" s="3055" t="str">
        <f>IF(D253="operation",VLOOKUP(G253,'Generic Vertical Port Tasks'!$C$6:$D$558,2,FALSE),"N/A")</f>
        <v>N/A</v>
      </c>
      <c r="I253" s="3053"/>
      <c r="J253" s="3053"/>
      <c r="K253" s="3053"/>
      <c r="L253" s="3054" t="str">
        <f>IFERROR(INDEX('Upper Hot Cell Logistics'!$I$35:$O$41,MATCH($J253,'Upper Hot Cell Logistics'!$H$35:$H$41,0),MATCH($K253,'Upper Hot Cell Logistics'!$H$35:$H$41,0)),"N/A")</f>
        <v>N/A</v>
      </c>
      <c r="M253" s="3054" t="str">
        <f>IFERROR(VLOOKUP($I253,'Upper Hot Cell Logistics'!$H$4:$I$9,2,FALSE),"N/A")</f>
        <v>N/A</v>
      </c>
      <c r="N253" s="3060" t="str">
        <f t="shared" si="10"/>
        <v>N/A</v>
      </c>
      <c r="O253" s="3057"/>
      <c r="P253" s="3055" t="str">
        <f>IF($D253="Logistics",VLOOKUP($O253,'Upper Hot Cell Logistics'!$C$4:$D$44,2,FALSE),"N/A")</f>
        <v>N/A</v>
      </c>
    </row>
    <row r="254" spans="1:16" x14ac:dyDescent="0.4">
      <c r="A254" s="3098"/>
      <c r="B254" s="4054" t="s">
        <v>2675</v>
      </c>
      <c r="C254" s="3042" t="str">
        <f>'Upper Hot Cell Welding failures'!E239</f>
        <v>Extract LIB Pipe Module</v>
      </c>
      <c r="D254" s="3042" t="s">
        <v>907</v>
      </c>
      <c r="E254" s="3043">
        <f t="shared" si="9"/>
        <v>0</v>
      </c>
      <c r="F254" s="3043">
        <f>IF($D254="Trigger",VLOOKUP($C254,'Upper Hot Cell Welding failures'!$E$229:$I$283,5,FALSE),E254+F253)</f>
        <v>11.124637753938991</v>
      </c>
      <c r="G254" s="3045"/>
      <c r="H254" s="3044" t="str">
        <f>IF(D254="operation",VLOOKUP(G254,'Generic Vertical Port Tasks'!$C$6:$D$558,2,FALSE),"N/A")</f>
        <v>N/A</v>
      </c>
      <c r="I254" s="3042"/>
      <c r="J254" s="3042"/>
      <c r="K254" s="3042"/>
      <c r="L254" s="3043" t="str">
        <f>IFERROR(INDEX('Upper Hot Cell Logistics'!$I$35:$O$41,MATCH($J254,'Upper Hot Cell Logistics'!$H$35:$H$41,0),MATCH($K254,'Upper Hot Cell Logistics'!$H$35:$H$41,0)),"N/A")</f>
        <v>N/A</v>
      </c>
      <c r="M254" s="3043" t="str">
        <f>IFERROR(VLOOKUP($I254,'Upper Hot Cell Logistics'!$H$4:$I$9,2,FALSE),"N/A")</f>
        <v>N/A</v>
      </c>
      <c r="N254" s="3061" t="str">
        <f t="shared" si="10"/>
        <v>N/A</v>
      </c>
      <c r="O254" s="3048"/>
      <c r="P254" s="3044" t="str">
        <f>IF($D254="Logistics",VLOOKUP($O254,'Upper Hot Cell Logistics'!$C$4:$D$44,2,FALSE),"N/A")</f>
        <v>N/A</v>
      </c>
    </row>
    <row r="255" spans="1:16" x14ac:dyDescent="0.4">
      <c r="A255" s="3098"/>
      <c r="B255" s="4055"/>
      <c r="C255" s="3049" t="s">
        <v>926</v>
      </c>
      <c r="D255" s="3049" t="s">
        <v>778</v>
      </c>
      <c r="E255" s="3047">
        <f t="shared" si="9"/>
        <v>0.69444444444444442</v>
      </c>
      <c r="F255" s="3047">
        <f>IF($D255="Trigger",VLOOKUP($C255,'Upper Hot Cell Welding failures'!$E$229:$I$283,5,FALSE),E255+F254)</f>
        <v>11.819082198383436</v>
      </c>
      <c r="G255" s="3050"/>
      <c r="H255" s="3046" t="str">
        <f>IF(D255="operation",VLOOKUP(G255,'Generic Vertical Port Tasks'!$C$6:$D$558,2,FALSE),"N/A")</f>
        <v>N/A</v>
      </c>
      <c r="I255" s="3049" t="s">
        <v>857</v>
      </c>
      <c r="J255" s="3049" t="s">
        <v>452</v>
      </c>
      <c r="K255" s="3049" t="s">
        <v>831</v>
      </c>
      <c r="L255" s="3047">
        <f>IFERROR(INDEX('Upper Hot Cell Logistics'!$I$35:$O$41,MATCH($J255,'Upper Hot Cell Logistics'!$H$35:$H$41,0),MATCH($K255,'Upper Hot Cell Logistics'!$H$35:$H$41,0)),"N/A")</f>
        <v>50</v>
      </c>
      <c r="M255" s="3047">
        <f>IFERROR(VLOOKUP($I255,'Upper Hot Cell Logistics'!$H$4:$I$9,2,FALSE),"N/A")</f>
        <v>0.02</v>
      </c>
      <c r="N255" s="3059">
        <f t="shared" si="10"/>
        <v>0.69444444444444442</v>
      </c>
      <c r="O255" s="3051"/>
      <c r="P255" s="3046" t="str">
        <f>IF($D255="Logistics",VLOOKUP($O255,'Upper Hot Cell Logistics'!$C$4:$D$44,2,FALSE),"N/A")</f>
        <v>N/A</v>
      </c>
    </row>
    <row r="256" spans="1:16" x14ac:dyDescent="0.4">
      <c r="A256" s="3098"/>
      <c r="B256" s="4055"/>
      <c r="C256" s="3049" t="s">
        <v>940</v>
      </c>
      <c r="D256" s="3049" t="s">
        <v>3</v>
      </c>
      <c r="E256" s="3047">
        <f t="shared" si="9"/>
        <v>0.58000000000000007</v>
      </c>
      <c r="F256" s="3047">
        <f>IF($D256="Trigger",VLOOKUP($C256,'Upper Hot Cell Welding failures'!$E$229:$I$283,5,FALSE),E256+F255)</f>
        <v>12.399082198383436</v>
      </c>
      <c r="G256" s="3050"/>
      <c r="H256" s="3046" t="str">
        <f>IF(D256="operation",VLOOKUP(G256,'Generic Vertical Port Tasks'!$C$6:$D$558,2,FALSE),"N/A")</f>
        <v>N/A</v>
      </c>
      <c r="I256" s="3049"/>
      <c r="J256" s="3049"/>
      <c r="K256" s="3049"/>
      <c r="L256" s="3047" t="str">
        <f>IFERROR(INDEX('Upper Hot Cell Logistics'!$I$35:$O$41,MATCH($J256,'Upper Hot Cell Logistics'!$H$35:$H$41,0),MATCH($K256,'Upper Hot Cell Logistics'!$H$35:$H$41,0)),"N/A")</f>
        <v>N/A</v>
      </c>
      <c r="M256" s="3047" t="str">
        <f>IFERROR(VLOOKUP($I256,'Upper Hot Cell Logistics'!$H$4:$I$9,2,FALSE),"N/A")</f>
        <v>N/A</v>
      </c>
      <c r="N256" s="3059" t="str">
        <f t="shared" si="10"/>
        <v>N/A</v>
      </c>
      <c r="O256" s="3051" t="s">
        <v>904</v>
      </c>
      <c r="P256" s="3046">
        <f>IF($D256="Logistics",VLOOKUP($O256,'Upper Hot Cell Logistics'!$C$4:$D$44,2,FALSE),"N/A")</f>
        <v>0.58000000000000007</v>
      </c>
    </row>
    <row r="257" spans="1:16" x14ac:dyDescent="0.4">
      <c r="A257" s="3098"/>
      <c r="B257" s="4056"/>
      <c r="C257" s="3052" t="s">
        <v>807</v>
      </c>
      <c r="D257" s="3049" t="s">
        <v>778</v>
      </c>
      <c r="E257" s="3047">
        <f t="shared" si="9"/>
        <v>6.9444444444444448E-2</v>
      </c>
      <c r="F257" s="3047">
        <f>IF($D257="Trigger",VLOOKUP($C257,'Upper Hot Cell Welding failures'!$E$229:$I$283,5,FALSE),E257+F256)</f>
        <v>12.46852664282788</v>
      </c>
      <c r="G257" s="3050"/>
      <c r="H257" s="3046" t="str">
        <f>IF(D257="operation",VLOOKUP(G257,'Generic Vertical Port Tasks'!$C$6:$D$558,2,FALSE),"N/A")</f>
        <v>N/A</v>
      </c>
      <c r="I257" s="3049" t="s">
        <v>798</v>
      </c>
      <c r="J257" s="3049" t="s">
        <v>831</v>
      </c>
      <c r="K257" s="3049" t="s">
        <v>452</v>
      </c>
      <c r="L257" s="3047">
        <f>IFERROR(INDEX('Upper Hot Cell Logistics'!$I$35:$O$41,MATCH($J257,'Upper Hot Cell Logistics'!$H$35:$H$41,0),MATCH($K257,'Upper Hot Cell Logistics'!$H$35:$H$41,0)),"N/A")</f>
        <v>50</v>
      </c>
      <c r="M257" s="3047">
        <f>IFERROR(VLOOKUP($I257,'Upper Hot Cell Logistics'!$H$4:$I$9,2,FALSE),"N/A")</f>
        <v>0.2</v>
      </c>
      <c r="N257" s="3059">
        <f t="shared" si="10"/>
        <v>6.9444444444444448E-2</v>
      </c>
      <c r="O257" s="3051"/>
      <c r="P257" s="3046" t="str">
        <f>IF($D257="Logistics",VLOOKUP($O257,'Upper Hot Cell Logistics'!$C$4:$D$44,2,FALSE),"N/A")</f>
        <v>N/A</v>
      </c>
    </row>
    <row r="258" spans="1:16" ht="26.15" thickBot="1" x14ac:dyDescent="0.45">
      <c r="A258" s="3098"/>
      <c r="B258" s="4057"/>
      <c r="C258" s="3053" t="str">
        <f>B254</f>
        <v>LIB Pipe Module Stored and Transporter Returned to Vertical Port</v>
      </c>
      <c r="D258" s="3053" t="s">
        <v>11</v>
      </c>
      <c r="E258" s="3054">
        <f t="shared" si="9"/>
        <v>0</v>
      </c>
      <c r="F258" s="3054">
        <f>IF($D258="Trigger",VLOOKUP($C258,'Upper Hot Cell Welding failures'!$E$229:$I$283,5,FALSE),E258+F257)</f>
        <v>12.46852664282788</v>
      </c>
      <c r="G258" s="3056"/>
      <c r="H258" s="3055" t="str">
        <f>IF(D258="operation",VLOOKUP(G258,'Generic Vertical Port Tasks'!$C$6:$D$558,2,FALSE),"N/A")</f>
        <v>N/A</v>
      </c>
      <c r="I258" s="3053"/>
      <c r="J258" s="3053"/>
      <c r="K258" s="3053"/>
      <c r="L258" s="3054" t="str">
        <f>IFERROR(INDEX('Upper Hot Cell Logistics'!$I$35:$O$41,MATCH($J258,'Upper Hot Cell Logistics'!$H$35:$H$41,0),MATCH($K258,'Upper Hot Cell Logistics'!$H$35:$H$41,0)),"N/A")</f>
        <v>N/A</v>
      </c>
      <c r="M258" s="3054" t="str">
        <f>IFERROR(VLOOKUP($I258,'Upper Hot Cell Logistics'!$H$4:$I$9,2,FALSE),"N/A")</f>
        <v>N/A</v>
      </c>
      <c r="N258" s="3060" t="str">
        <f t="shared" si="10"/>
        <v>N/A</v>
      </c>
      <c r="O258" s="3057"/>
      <c r="P258" s="3055" t="str">
        <f>IF($D258="Logistics",VLOOKUP($O258,'Upper Hot Cell Logistics'!$C$4:$D$44,2,FALSE),"N/A")</f>
        <v>N/A</v>
      </c>
    </row>
    <row r="259" spans="1:16" x14ac:dyDescent="0.4">
      <c r="A259" s="3098"/>
      <c r="B259" s="4054" t="s">
        <v>1077</v>
      </c>
      <c r="C259" s="3042" t="str">
        <f>'Upper Hot Cell Welding failures'!E243</f>
        <v>Cut Pipes 5</v>
      </c>
      <c r="D259" s="3042" t="s">
        <v>907</v>
      </c>
      <c r="E259" s="3043">
        <f t="shared" si="9"/>
        <v>0</v>
      </c>
      <c r="F259" s="3044">
        <f>IF($D259="Trigger",VLOOKUP($C259,'Upper Hot Cell Welding failures'!$E$229:$I$283,5,FALSE),E259+F258)</f>
        <v>19.233719952322428</v>
      </c>
      <c r="G259" s="3045"/>
      <c r="H259" s="3044" t="str">
        <f>IF(D259="operation",VLOOKUP(G259,'Generic Vertical Port Tasks'!$C$6:$D$558,2,FALSE),"N/A")</f>
        <v>N/A</v>
      </c>
      <c r="I259" s="3042"/>
      <c r="J259" s="3042"/>
      <c r="K259" s="3042"/>
      <c r="L259" s="3043" t="str">
        <f>IFERROR(INDEX('Upper Hot Cell Logistics'!$I$35:$O$41,MATCH($J259,'Upper Hot Cell Logistics'!$H$35:$H$41,0),MATCH($K259,'Upper Hot Cell Logistics'!$H$35:$H$41,0)),"N/A")</f>
        <v>N/A</v>
      </c>
      <c r="M259" s="3043" t="str">
        <f>IFERROR(VLOOKUP($I259,'Upper Hot Cell Logistics'!$H$4:$I$9,2,FALSE),"N/A")</f>
        <v>N/A</v>
      </c>
      <c r="N259" s="3061" t="str">
        <f t="shared" si="10"/>
        <v>N/A</v>
      </c>
      <c r="O259" s="3048"/>
      <c r="P259" s="3044" t="str">
        <f>IF($D259="Logistics",VLOOKUP($O259,'Upper Hot Cell Logistics'!$C$4:$D$44,2,FALSE),"N/A")</f>
        <v>N/A</v>
      </c>
    </row>
    <row r="260" spans="1:16" x14ac:dyDescent="0.4">
      <c r="A260" s="3098"/>
      <c r="B260" s="4055"/>
      <c r="C260" s="3049" t="s">
        <v>913</v>
      </c>
      <c r="D260" s="3049" t="s">
        <v>778</v>
      </c>
      <c r="E260" s="3047">
        <f t="shared" si="9"/>
        <v>0.69444444444444442</v>
      </c>
      <c r="F260" s="3046">
        <f>IF($D260="Trigger",VLOOKUP($C260,'Upper Hot Cell Welding failures'!$E$229:$I$283,5,FALSE),E260+F259)</f>
        <v>19.928164396766871</v>
      </c>
      <c r="G260" s="3050"/>
      <c r="H260" s="3046" t="str">
        <f>IF(D260="operation",VLOOKUP(G260,'Generic Vertical Port Tasks'!$C$6:$D$558,2,FALSE),"N/A")</f>
        <v>N/A</v>
      </c>
      <c r="I260" s="3049" t="s">
        <v>857</v>
      </c>
      <c r="J260" s="3049" t="s">
        <v>452</v>
      </c>
      <c r="K260" s="3049" t="s">
        <v>914</v>
      </c>
      <c r="L260" s="3047">
        <f>IFERROR(INDEX('Upper Hot Cell Logistics'!$I$35:$O$41,MATCH($J260,'Upper Hot Cell Logistics'!$H$35:$H$41,0),MATCH($K260,'Upper Hot Cell Logistics'!$H$35:$H$41,0)),"N/A")</f>
        <v>50</v>
      </c>
      <c r="M260" s="3047">
        <f>IFERROR(VLOOKUP($I260,'Upper Hot Cell Logistics'!$H$4:$I$9,2,FALSE),"N/A")</f>
        <v>0.02</v>
      </c>
      <c r="N260" s="3059">
        <f t="shared" si="10"/>
        <v>0.69444444444444442</v>
      </c>
      <c r="O260" s="3051"/>
      <c r="P260" s="3046" t="str">
        <f>IF($D260="Logistics",VLOOKUP($O260,'Upper Hot Cell Logistics'!$C$4:$D$44,2,FALSE),"N/A")</f>
        <v>N/A</v>
      </c>
    </row>
    <row r="261" spans="1:16" x14ac:dyDescent="0.4">
      <c r="A261" s="3098"/>
      <c r="B261" s="4055"/>
      <c r="C261" s="3049" t="s">
        <v>955</v>
      </c>
      <c r="D261" s="3049" t="s">
        <v>3</v>
      </c>
      <c r="E261" s="3047">
        <f t="shared" si="9"/>
        <v>0.78</v>
      </c>
      <c r="F261" s="3046">
        <f>IF($D261="Trigger",VLOOKUP($C261,'Upper Hot Cell Welding failures'!$E$229:$I$283,5,FALSE),E261+F260)</f>
        <v>20.708164396766872</v>
      </c>
      <c r="G261" s="3050"/>
      <c r="H261" s="3046" t="str">
        <f>IF(D261="operation",VLOOKUP(G261,'Generic Vertical Port Tasks'!$C$6:$D$558,2,FALSE),"N/A")</f>
        <v>N/A</v>
      </c>
      <c r="I261" s="3049"/>
      <c r="J261" s="3049"/>
      <c r="K261" s="3049"/>
      <c r="L261" s="3047" t="str">
        <f>IFERROR(INDEX('Upper Hot Cell Logistics'!$I$35:$O$41,MATCH($J261,'Upper Hot Cell Logistics'!$H$35:$H$41,0),MATCH($K261,'Upper Hot Cell Logistics'!$H$35:$H$41,0)),"N/A")</f>
        <v>N/A</v>
      </c>
      <c r="M261" s="3047" t="str">
        <f>IFERROR(VLOOKUP($I261,'Upper Hot Cell Logistics'!$H$4:$I$9,2,FALSE),"N/A")</f>
        <v>N/A</v>
      </c>
      <c r="N261" s="3059" t="str">
        <f t="shared" si="10"/>
        <v>N/A</v>
      </c>
      <c r="O261" s="3051" t="s">
        <v>1193</v>
      </c>
      <c r="P261" s="3046">
        <f>IF($D261="Logistics",VLOOKUP($O261,'Upper Hot Cell Logistics'!$C$4:$D$44,2,FALSE),"N/A")</f>
        <v>0.78</v>
      </c>
    </row>
    <row r="262" spans="1:16" x14ac:dyDescent="0.4">
      <c r="A262" s="3098"/>
      <c r="B262" s="4055"/>
      <c r="C262" s="3049" t="s">
        <v>976</v>
      </c>
      <c r="D262" s="3049" t="s">
        <v>778</v>
      </c>
      <c r="E262" s="3047">
        <f t="shared" si="9"/>
        <v>1.3888888888888888E-2</v>
      </c>
      <c r="F262" s="3046">
        <f>IF($D262="Trigger",VLOOKUP($C262,'Upper Hot Cell Welding failures'!$E$229:$I$283,5,FALSE),E262+F261)</f>
        <v>20.722053285655761</v>
      </c>
      <c r="G262" s="3050"/>
      <c r="H262" s="3046" t="str">
        <f>IF(D262="operation",VLOOKUP(G262,'Generic Vertical Port Tasks'!$C$6:$D$558,2,FALSE),"N/A")</f>
        <v>N/A</v>
      </c>
      <c r="I262" s="3049" t="s">
        <v>798</v>
      </c>
      <c r="J262" s="3049" t="s">
        <v>831</v>
      </c>
      <c r="K262" s="3049" t="s">
        <v>858</v>
      </c>
      <c r="L262" s="3047">
        <f>IFERROR(INDEX('Upper Hot Cell Logistics'!$I$35:$O$41,MATCH($J262,'Upper Hot Cell Logistics'!$H$35:$H$41,0),MATCH($K262,'Upper Hot Cell Logistics'!$H$35:$H$41,0)),"N/A")</f>
        <v>10</v>
      </c>
      <c r="M262" s="3047">
        <f>IFERROR(VLOOKUP($I262,'Upper Hot Cell Logistics'!$H$4:$I$9,2,FALSE),"N/A")</f>
        <v>0.2</v>
      </c>
      <c r="N262" s="3059">
        <f t="shared" si="10"/>
        <v>1.3888888888888888E-2</v>
      </c>
      <c r="O262" s="3051"/>
      <c r="P262" s="3046" t="str">
        <f>IF($D262="Logistics",VLOOKUP($O262,'Upper Hot Cell Logistics'!$C$4:$D$44,2,FALSE),"N/A")</f>
        <v>N/A</v>
      </c>
    </row>
    <row r="263" spans="1:16" x14ac:dyDescent="0.4">
      <c r="A263" s="3098"/>
      <c r="B263" s="4055"/>
      <c r="C263" s="3049" t="s">
        <v>956</v>
      </c>
      <c r="D263" s="3049" t="s">
        <v>3</v>
      </c>
      <c r="E263" s="3047">
        <f t="shared" si="9"/>
        <v>0.58000000000000007</v>
      </c>
      <c r="F263" s="3046">
        <f>IF($D263="Trigger",VLOOKUP($C263,'Upper Hot Cell Welding failures'!$E$229:$I$283,5,FALSE),E263+F262)</f>
        <v>21.302053285655759</v>
      </c>
      <c r="G263" s="3050"/>
      <c r="H263" s="3046" t="str">
        <f>IF(D263="operation",VLOOKUP(G263,'Generic Vertical Port Tasks'!$C$6:$D$558,2,FALSE),"N/A")</f>
        <v>N/A</v>
      </c>
      <c r="I263" s="3049"/>
      <c r="J263" s="3049"/>
      <c r="K263" s="3049"/>
      <c r="L263" s="3047" t="str">
        <f>IFERROR(INDEX('Upper Hot Cell Logistics'!$I$35:$O$41,MATCH($J263,'Upper Hot Cell Logistics'!$H$35:$H$41,0),MATCH($K263,'Upper Hot Cell Logistics'!$H$35:$H$41,0)),"N/A")</f>
        <v>N/A</v>
      </c>
      <c r="M263" s="3047" t="str">
        <f>IFERROR(VLOOKUP($I263,'Upper Hot Cell Logistics'!$H$4:$I$9,2,FALSE),"N/A")</f>
        <v>N/A</v>
      </c>
      <c r="N263" s="3059" t="str">
        <f t="shared" si="10"/>
        <v>N/A</v>
      </c>
      <c r="O263" s="3051" t="s">
        <v>796</v>
      </c>
      <c r="P263" s="3046">
        <f>IF($D263="Logistics",VLOOKUP($O263,'Upper Hot Cell Logistics'!$C$4:$D$44,2,FALSE),"N/A")</f>
        <v>0.58000000000000007</v>
      </c>
    </row>
    <row r="264" spans="1:16" ht="13.3" thickBot="1" x14ac:dyDescent="0.45">
      <c r="A264" s="3098"/>
      <c r="B264" s="4057"/>
      <c r="C264" s="3053" t="str">
        <f>B259</f>
        <v xml:space="preserve"> Service Joint System Stored &amp; Blanket Transporter Collected</v>
      </c>
      <c r="D264" s="3053" t="s">
        <v>11</v>
      </c>
      <c r="E264" s="3054">
        <f t="shared" si="9"/>
        <v>0</v>
      </c>
      <c r="F264" s="3046">
        <f>IF($D264="Trigger",VLOOKUP($C264,'Upper Hot Cell Welding failures'!$E$229:$I$283,5,FALSE),E264+F263)</f>
        <v>21.302053285655759</v>
      </c>
      <c r="G264" s="3056"/>
      <c r="H264" s="3055" t="str">
        <f>IF(D264="operation",VLOOKUP(G264,'Generic Vertical Port Tasks'!$C$6:$D$558,2,FALSE),"N/A")</f>
        <v>N/A</v>
      </c>
      <c r="I264" s="3053"/>
      <c r="J264" s="3053"/>
      <c r="K264" s="3053"/>
      <c r="L264" s="3054" t="str">
        <f>IFERROR(INDEX('Upper Hot Cell Logistics'!$I$35:$O$41,MATCH($J264,'Upper Hot Cell Logistics'!$H$35:$H$41,0),MATCH($K264,'Upper Hot Cell Logistics'!$H$35:$H$41,0)),"N/A")</f>
        <v>N/A</v>
      </c>
      <c r="M264" s="3054" t="str">
        <f>IFERROR(VLOOKUP($I264,'Upper Hot Cell Logistics'!$H$4:$I$9,2,FALSE),"N/A")</f>
        <v>N/A</v>
      </c>
      <c r="N264" s="3060" t="str">
        <f t="shared" si="10"/>
        <v>N/A</v>
      </c>
      <c r="O264" s="3057"/>
      <c r="P264" s="3055" t="str">
        <f>IF($D264="Logistics",VLOOKUP($O264,'Upper Hot Cell Logistics'!$C$4:$D$44,2,FALSE),"N/A")</f>
        <v>N/A</v>
      </c>
    </row>
    <row r="265" spans="1:16" x14ac:dyDescent="0.4">
      <c r="A265" s="3098"/>
      <c r="B265" s="4054" t="s">
        <v>1079</v>
      </c>
      <c r="C265" s="3042" t="str">
        <f>'Upper Hot Cell Welding failures'!E245</f>
        <v>Extract RIB Pipe Module</v>
      </c>
      <c r="D265" s="3042" t="s">
        <v>907</v>
      </c>
      <c r="E265" s="3043">
        <f t="shared" si="9"/>
        <v>0</v>
      </c>
      <c r="F265" s="3043">
        <f>IF($D265="Trigger",VLOOKUP($C265,'Upper Hot Cell Welding failures'!$E$229:$I$283,5,FALSE),E265+F264)</f>
        <v>20.028164396766872</v>
      </c>
      <c r="G265" s="3045"/>
      <c r="H265" s="3044" t="str">
        <f>IF(D265="operation",VLOOKUP(G265,'Generic Vertical Port Tasks'!$C$6:$D$558,2,FALSE),"N/A")</f>
        <v>N/A</v>
      </c>
      <c r="I265" s="3042"/>
      <c r="J265" s="3042"/>
      <c r="K265" s="3042"/>
      <c r="L265" s="3043" t="str">
        <f>IFERROR(INDEX('Upper Hot Cell Logistics'!$I$35:$O$41,MATCH($J265,'Upper Hot Cell Logistics'!$H$35:$H$41,0),MATCH($K265,'Upper Hot Cell Logistics'!$H$35:$H$41,0)),"N/A")</f>
        <v>N/A</v>
      </c>
      <c r="M265" s="3043" t="str">
        <f>IFERROR(VLOOKUP($I265,'Upper Hot Cell Logistics'!$H$4:$I$9,2,FALSE),"N/A")</f>
        <v>N/A</v>
      </c>
      <c r="N265" s="3061" t="str">
        <f t="shared" si="10"/>
        <v>N/A</v>
      </c>
      <c r="O265" s="3048"/>
      <c r="P265" s="3044" t="str">
        <f>IF($D265="Logistics",VLOOKUP($O265,'Upper Hot Cell Logistics'!$C$4:$D$44,2,FALSE),"N/A")</f>
        <v>N/A</v>
      </c>
    </row>
    <row r="266" spans="1:16" x14ac:dyDescent="0.4">
      <c r="A266" s="3098"/>
      <c r="B266" s="4055"/>
      <c r="C266" s="3049" t="s">
        <v>926</v>
      </c>
      <c r="D266" s="3049" t="s">
        <v>778</v>
      </c>
      <c r="E266" s="3047">
        <f t="shared" si="9"/>
        <v>0.69444444444444442</v>
      </c>
      <c r="F266" s="3047">
        <f>IF($D266="Trigger",VLOOKUP($C266,'Upper Hot Cell Welding failures'!$E$229:$I$283,5,FALSE),E266+F265)</f>
        <v>20.722608841211315</v>
      </c>
      <c r="G266" s="3050"/>
      <c r="H266" s="3046" t="str">
        <f>IF(D266="operation",VLOOKUP(G266,'Generic Vertical Port Tasks'!$C$6:$D$558,2,FALSE),"N/A")</f>
        <v>N/A</v>
      </c>
      <c r="I266" s="3049" t="s">
        <v>857</v>
      </c>
      <c r="J266" s="3049" t="s">
        <v>452</v>
      </c>
      <c r="K266" s="3049" t="s">
        <v>831</v>
      </c>
      <c r="L266" s="3047">
        <f>IFERROR(INDEX('Upper Hot Cell Logistics'!$I$35:$O$41,MATCH($J266,'Upper Hot Cell Logistics'!$H$35:$H$41,0),MATCH($K266,'Upper Hot Cell Logistics'!$H$35:$H$41,0)),"N/A")</f>
        <v>50</v>
      </c>
      <c r="M266" s="3047">
        <f>IFERROR(VLOOKUP($I266,'Upper Hot Cell Logistics'!$H$4:$I$9,2,FALSE),"N/A")</f>
        <v>0.02</v>
      </c>
      <c r="N266" s="3059">
        <f t="shared" si="10"/>
        <v>0.69444444444444442</v>
      </c>
      <c r="O266" s="3051"/>
      <c r="P266" s="3046" t="str">
        <f>IF($D266="Logistics",VLOOKUP($O266,'Upper Hot Cell Logistics'!$C$4:$D$44,2,FALSE),"N/A")</f>
        <v>N/A</v>
      </c>
    </row>
    <row r="267" spans="1:16" x14ac:dyDescent="0.4">
      <c r="A267" s="3098"/>
      <c r="B267" s="4055"/>
      <c r="C267" s="3049" t="s">
        <v>940</v>
      </c>
      <c r="D267" s="3049" t="s">
        <v>3</v>
      </c>
      <c r="E267" s="3047">
        <f t="shared" si="9"/>
        <v>0.58000000000000007</v>
      </c>
      <c r="F267" s="3047">
        <f>IF($D267="Trigger",VLOOKUP($C267,'Upper Hot Cell Welding failures'!$E$229:$I$283,5,FALSE),E267+F266)</f>
        <v>21.302608841211317</v>
      </c>
      <c r="G267" s="3050"/>
      <c r="H267" s="3046" t="str">
        <f>IF(D267="operation",VLOOKUP(G267,'Generic Vertical Port Tasks'!$C$6:$D$558,2,FALSE),"N/A")</f>
        <v>N/A</v>
      </c>
      <c r="I267" s="3049"/>
      <c r="J267" s="3049"/>
      <c r="K267" s="3049"/>
      <c r="L267" s="3047" t="str">
        <f>IFERROR(INDEX('Upper Hot Cell Logistics'!$I$35:$O$41,MATCH($J267,'Upper Hot Cell Logistics'!$H$35:$H$41,0),MATCH($K267,'Upper Hot Cell Logistics'!$H$35:$H$41,0)),"N/A")</f>
        <v>N/A</v>
      </c>
      <c r="M267" s="3047" t="str">
        <f>IFERROR(VLOOKUP($I267,'Upper Hot Cell Logistics'!$H$4:$I$9,2,FALSE),"N/A")</f>
        <v>N/A</v>
      </c>
      <c r="N267" s="3059" t="str">
        <f t="shared" si="10"/>
        <v>N/A</v>
      </c>
      <c r="O267" s="3051" t="s">
        <v>904</v>
      </c>
      <c r="P267" s="3046">
        <f>IF($D267="Logistics",VLOOKUP($O267,'Upper Hot Cell Logistics'!$C$4:$D$44,2,FALSE),"N/A")</f>
        <v>0.58000000000000007</v>
      </c>
    </row>
    <row r="268" spans="1:16" x14ac:dyDescent="0.4">
      <c r="A268" s="3098"/>
      <c r="B268" s="4056"/>
      <c r="C268" s="3049" t="s">
        <v>1170</v>
      </c>
      <c r="D268" s="3049" t="s">
        <v>778</v>
      </c>
      <c r="E268" s="3047">
        <f t="shared" si="9"/>
        <v>2.7777777777777776E-2</v>
      </c>
      <c r="F268" s="3047">
        <f>IF($D268="Trigger",VLOOKUP($C268,'Upper Hot Cell Welding failures'!$E$229:$I$283,5,FALSE),E268+F267)</f>
        <v>21.330386618989095</v>
      </c>
      <c r="G268" s="3050"/>
      <c r="H268" s="3046" t="str">
        <f>IF(D268="operation",VLOOKUP(G268,'Generic Vertical Port Tasks'!$C$6:$D$558,2,FALSE),"N/A")</f>
        <v>N/A</v>
      </c>
      <c r="I268" s="3049" t="s">
        <v>798</v>
      </c>
      <c r="J268" s="3049" t="s">
        <v>831</v>
      </c>
      <c r="K268" s="3049" t="s">
        <v>914</v>
      </c>
      <c r="L268" s="3047">
        <f>IFERROR(INDEX('Upper Hot Cell Logistics'!$I$35:$O$41,MATCH($J268,'Upper Hot Cell Logistics'!$H$35:$H$41,0),MATCH($K268,'Upper Hot Cell Logistics'!$H$35:$H$41,0)),"N/A")</f>
        <v>20</v>
      </c>
      <c r="M268" s="3047">
        <f>IFERROR(VLOOKUP($I268,'Upper Hot Cell Logistics'!$H$4:$I$9,2,FALSE),"N/A")</f>
        <v>0.2</v>
      </c>
      <c r="N268" s="3059">
        <f t="shared" si="10"/>
        <v>2.7777777777777776E-2</v>
      </c>
      <c r="O268" s="3051"/>
      <c r="P268" s="3046" t="str">
        <f>IF($D268="Logistics",VLOOKUP($O268,'Upper Hot Cell Logistics'!$C$4:$D$44,2,FALSE),"N/A")</f>
        <v>N/A</v>
      </c>
    </row>
    <row r="269" spans="1:16" x14ac:dyDescent="0.4">
      <c r="A269" s="3098"/>
      <c r="B269" s="4056"/>
      <c r="C269" s="3052" t="s">
        <v>983</v>
      </c>
      <c r="D269" s="3049" t="s">
        <v>3</v>
      </c>
      <c r="E269" s="3047">
        <f t="shared" si="9"/>
        <v>0.68</v>
      </c>
      <c r="F269" s="3047">
        <f>IF($D269="Trigger",VLOOKUP($C269,'Upper Hot Cell Welding failures'!$E$229:$I$283,5,FALSE),E269+F268)</f>
        <v>22.010386618989095</v>
      </c>
      <c r="G269" s="3050"/>
      <c r="H269" s="3046" t="str">
        <f>IF(D269="operation",VLOOKUP(G269,'Generic Vertical Port Tasks'!$C$6:$D$558,2,FALSE),"N/A")</f>
        <v>N/A</v>
      </c>
      <c r="I269" s="3049"/>
      <c r="J269" s="3049"/>
      <c r="K269" s="3049"/>
      <c r="L269" s="3047" t="str">
        <f>IFERROR(INDEX('Upper Hot Cell Logistics'!$I$35:$O$41,MATCH($J269,'Upper Hot Cell Logistics'!$H$35:$H$41,0),MATCH($K269,'Upper Hot Cell Logistics'!$H$35:$H$41,0)),"N/A")</f>
        <v>N/A</v>
      </c>
      <c r="M269" s="3047" t="str">
        <f>IFERROR(VLOOKUP($I269,'Upper Hot Cell Logistics'!$H$4:$I$9,2,FALSE),"N/A")</f>
        <v>N/A</v>
      </c>
      <c r="N269" s="3059" t="str">
        <f t="shared" si="10"/>
        <v>N/A</v>
      </c>
      <c r="O269" s="3051" t="s">
        <v>1190</v>
      </c>
      <c r="P269" s="3046">
        <f>IF($D269="Logistics",VLOOKUP($O269,'Upper Hot Cell Logistics'!$C$4:$D$44,2,FALSE),"N/A")</f>
        <v>0.68</v>
      </c>
    </row>
    <row r="270" spans="1:16" x14ac:dyDescent="0.4">
      <c r="A270" s="3098"/>
      <c r="B270" s="4056"/>
      <c r="C270" s="3052" t="s">
        <v>1171</v>
      </c>
      <c r="D270" s="3049" t="s">
        <v>778</v>
      </c>
      <c r="E270" s="3047">
        <f t="shared" si="9"/>
        <v>2.7777777777777776E-2</v>
      </c>
      <c r="F270" s="3047">
        <f>IF($D270="Trigger",VLOOKUP($C270,'Upper Hot Cell Welding failures'!$E$229:$I$283,5,FALSE),E270+F269)</f>
        <v>22.038164396766874</v>
      </c>
      <c r="G270" s="3050"/>
      <c r="H270" s="3046" t="str">
        <f>IF(D270="operation",VLOOKUP(G270,'Generic Vertical Port Tasks'!$C$6:$D$558,2,FALSE),"N/A")</f>
        <v>N/A</v>
      </c>
      <c r="I270" s="3049" t="s">
        <v>798</v>
      </c>
      <c r="J270" s="3049" t="s">
        <v>914</v>
      </c>
      <c r="K270" s="3049" t="s">
        <v>799</v>
      </c>
      <c r="L270" s="3047">
        <f>IFERROR(INDEX('Upper Hot Cell Logistics'!$I$35:$O$41,MATCH($J270,'Upper Hot Cell Logistics'!$H$35:$H$41,0),MATCH($K270,'Upper Hot Cell Logistics'!$H$35:$H$41,0)),"N/A")</f>
        <v>20</v>
      </c>
      <c r="M270" s="3047">
        <f>IFERROR(VLOOKUP($I270,'Upper Hot Cell Logistics'!$H$4:$I$9,2,FALSE),"N/A")</f>
        <v>0.2</v>
      </c>
      <c r="N270" s="3059">
        <f t="shared" si="10"/>
        <v>2.7777777777777776E-2</v>
      </c>
      <c r="O270" s="3051"/>
      <c r="P270" s="3046" t="str">
        <f>IF($D270="Logistics",VLOOKUP($O270,'Upper Hot Cell Logistics'!$C$4:$D$44,2,FALSE),"N/A")</f>
        <v>N/A</v>
      </c>
    </row>
    <row r="271" spans="1:16" x14ac:dyDescent="0.4">
      <c r="A271" s="3098"/>
      <c r="B271" s="4056"/>
      <c r="C271" s="3052" t="s">
        <v>956</v>
      </c>
      <c r="D271" s="3049" t="s">
        <v>3</v>
      </c>
      <c r="E271" s="3047">
        <f t="shared" si="9"/>
        <v>0.58000000000000007</v>
      </c>
      <c r="F271" s="3047">
        <f>IF($D271="Trigger",VLOOKUP($C271,'Upper Hot Cell Welding failures'!$E$229:$I$283,5,FALSE),E271+F270)</f>
        <v>22.618164396766872</v>
      </c>
      <c r="G271" s="3050"/>
      <c r="H271" s="3046" t="str">
        <f>IF(D271="operation",VLOOKUP(G271,'Generic Vertical Port Tasks'!$C$6:$D$558,2,FALSE),"N/A")</f>
        <v>N/A</v>
      </c>
      <c r="I271" s="3049"/>
      <c r="J271" s="3049"/>
      <c r="K271" s="3049"/>
      <c r="L271" s="3047" t="str">
        <f>IFERROR(INDEX('Upper Hot Cell Logistics'!$I$35:$O$41,MATCH($J271,'Upper Hot Cell Logistics'!$H$35:$H$41,0),MATCH($K271,'Upper Hot Cell Logistics'!$H$35:$H$41,0)),"N/A")</f>
        <v>N/A</v>
      </c>
      <c r="M271" s="3047" t="str">
        <f>IFERROR(VLOOKUP($I271,'Upper Hot Cell Logistics'!$H$4:$I$9,2,FALSE),"N/A")</f>
        <v>N/A</v>
      </c>
      <c r="N271" s="3059" t="str">
        <f t="shared" si="10"/>
        <v>N/A</v>
      </c>
      <c r="O271" s="3051" t="s">
        <v>796</v>
      </c>
      <c r="P271" s="3046">
        <f>IF($D271="Logistics",VLOOKUP($O271,'Upper Hot Cell Logistics'!$C$4:$D$44,2,FALSE),"N/A")</f>
        <v>0.58000000000000007</v>
      </c>
    </row>
    <row r="272" spans="1:16" x14ac:dyDescent="0.4">
      <c r="A272" s="3098"/>
      <c r="B272" s="4056"/>
      <c r="C272" s="3052" t="s">
        <v>2676</v>
      </c>
      <c r="D272" s="3049" t="s">
        <v>778</v>
      </c>
      <c r="E272" s="3047">
        <f t="shared" si="9"/>
        <v>6.9444444444444448E-2</v>
      </c>
      <c r="F272" s="3047">
        <f>IF($D272="Trigger",VLOOKUP($C272,'Upper Hot Cell Welding failures'!$E$229:$I$283,5,FALSE),E272+F271)</f>
        <v>22.687608841211315</v>
      </c>
      <c r="G272" s="3050"/>
      <c r="H272" s="3046" t="str">
        <f>IF(D272="operation",VLOOKUP(G272,'Generic Vertical Port Tasks'!$C$6:$D$558,2,FALSE),"N/A")</f>
        <v>N/A</v>
      </c>
      <c r="I272" s="3049" t="s">
        <v>798</v>
      </c>
      <c r="J272" s="3049" t="s">
        <v>799</v>
      </c>
      <c r="K272" s="3049" t="s">
        <v>452</v>
      </c>
      <c r="L272" s="3047">
        <f>IFERROR(INDEX('Upper Hot Cell Logistics'!$I$35:$O$41,MATCH($J272,'Upper Hot Cell Logistics'!$H$35:$H$41,0),MATCH($K272,'Upper Hot Cell Logistics'!$H$35:$H$41,0)),"N/A")</f>
        <v>50</v>
      </c>
      <c r="M272" s="3047">
        <f>IFERROR(VLOOKUP($I272,'Upper Hot Cell Logistics'!$H$4:$I$9,2,FALSE),"N/A")</f>
        <v>0.2</v>
      </c>
      <c r="N272" s="3059">
        <f t="shared" si="10"/>
        <v>6.9444444444444448E-2</v>
      </c>
      <c r="O272" s="3051"/>
      <c r="P272" s="3046" t="str">
        <f>IF($D272="Logistics",VLOOKUP($O272,'Upper Hot Cell Logistics'!$C$4:$D$44,2,FALSE),"N/A")</f>
        <v>N/A</v>
      </c>
    </row>
    <row r="273" spans="1:16" ht="26.15" thickBot="1" x14ac:dyDescent="0.45">
      <c r="A273" s="3098"/>
      <c r="B273" s="4057"/>
      <c r="C273" s="3053" t="str">
        <f>B265</f>
        <v>RIB Pipe Module Stored; Pipe Module interface hardware Stored; Blanket Transporter Collected</v>
      </c>
      <c r="D273" s="3053" t="s">
        <v>11</v>
      </c>
      <c r="E273" s="3054">
        <f t="shared" si="9"/>
        <v>0</v>
      </c>
      <c r="F273" s="3054">
        <f>IF($D273="Trigger",VLOOKUP($C273,'Upper Hot Cell Welding failures'!$E$229:$I$283,5,FALSE),E273+F272)</f>
        <v>22.687608841211315</v>
      </c>
      <c r="G273" s="3056"/>
      <c r="H273" s="3055" t="str">
        <f>IF(D273="operation",VLOOKUP(G273,'Generic Vertical Port Tasks'!$C$6:$D$558,2,FALSE),"N/A")</f>
        <v>N/A</v>
      </c>
      <c r="I273" s="3053"/>
      <c r="J273" s="3053"/>
      <c r="K273" s="3053"/>
      <c r="L273" s="3054" t="str">
        <f>IFERROR(INDEX('Upper Hot Cell Logistics'!$I$35:$O$41,MATCH($J273,'Upper Hot Cell Logistics'!$H$35:$H$41,0),MATCH($K273,'Upper Hot Cell Logistics'!$H$35:$H$41,0)),"N/A")</f>
        <v>N/A</v>
      </c>
      <c r="M273" s="3054" t="str">
        <f>IFERROR(VLOOKUP($I273,'Upper Hot Cell Logistics'!$H$4:$I$9,2,FALSE),"N/A")</f>
        <v>N/A</v>
      </c>
      <c r="N273" s="3060" t="str">
        <f t="shared" si="10"/>
        <v>N/A</v>
      </c>
      <c r="O273" s="3057"/>
      <c r="P273" s="3055" t="str">
        <f>IF($D273="Logistics",VLOOKUP($O273,'Upper Hot Cell Logistics'!$C$4:$D$44,2,FALSE),"N/A")</f>
        <v>N/A</v>
      </c>
    </row>
    <row r="274" spans="1:16" hidden="1" x14ac:dyDescent="0.4">
      <c r="A274" s="3098"/>
      <c r="B274" s="4054" t="s">
        <v>959</v>
      </c>
      <c r="C274" s="3042" t="str">
        <f>'Upper Hot Cell Welding failures'!E247</f>
        <v>Extract COB Blanket Segment</v>
      </c>
      <c r="D274" s="3042" t="s">
        <v>907</v>
      </c>
      <c r="E274" s="3043">
        <f t="shared" si="9"/>
        <v>0</v>
      </c>
      <c r="F274" s="3043">
        <f>IF($D274="Trigger",VLOOKUP($C274,'Upper Hot Cell Welding failures'!$E$229:$I$283,5,FALSE),E274+F273)</f>
        <v>27.111497730100204</v>
      </c>
      <c r="G274" s="3045"/>
      <c r="H274" s="3044" t="str">
        <f>IF(D274="operation",VLOOKUP(G274,'Generic Vertical Port Tasks'!C247:D261,2,FALSE),"N/A")</f>
        <v>N/A</v>
      </c>
      <c r="I274" s="3042"/>
      <c r="J274" s="3042"/>
      <c r="K274" s="3042"/>
      <c r="L274" s="3043" t="str">
        <f>IFERROR(INDEX('Upper Hot Cell Logistics'!$I$35:$O$41,MATCH($J274,'Upper Hot Cell Logistics'!$H$35:$H$41,0),MATCH($K274,'Upper Hot Cell Logistics'!$H$35:$H$41,0)),"N/A")</f>
        <v>N/A</v>
      </c>
      <c r="M274" s="3043" t="str">
        <f>IFERROR(VLOOKUP($I274,'Upper Hot Cell Logistics'!$H$4:$I$9,2,FALSE),"N/A")</f>
        <v>N/A</v>
      </c>
      <c r="N274" s="3061" t="str">
        <f t="shared" si="10"/>
        <v>N/A</v>
      </c>
      <c r="O274" s="3048"/>
      <c r="P274" s="3044" t="str">
        <f>IF($D274="Logistics",VLOOKUP($O274,'Upper Hot Cell Logistics'!$C$4:$D$44,2,FALSE),"N/A")</f>
        <v>N/A</v>
      </c>
    </row>
    <row r="275" spans="1:16" hidden="1" x14ac:dyDescent="0.4">
      <c r="A275" s="3098"/>
      <c r="B275" s="4055"/>
      <c r="C275" s="3049" t="s">
        <v>930</v>
      </c>
      <c r="D275" s="3049" t="s">
        <v>778</v>
      </c>
      <c r="E275" s="3047">
        <f t="shared" si="9"/>
        <v>0.69444444444444442</v>
      </c>
      <c r="F275" s="3047">
        <f>IF($D275="Trigger",VLOOKUP($C275,'Upper Hot Cell Welding failures'!$E$229:$I$283,5,FALSE),E275+F274)</f>
        <v>27.805942174544647</v>
      </c>
      <c r="G275" s="3050"/>
      <c r="H275" s="3046" t="str">
        <f>IF(D275="operation",VLOOKUP(G275,'Generic Vertical Port Tasks'!C247:D261,2,FALSE),"N/A")</f>
        <v>N/A</v>
      </c>
      <c r="I275" s="3049" t="s">
        <v>857</v>
      </c>
      <c r="J275" s="3049" t="s">
        <v>452</v>
      </c>
      <c r="K275" s="3049" t="s">
        <v>831</v>
      </c>
      <c r="L275" s="3047">
        <f>IFERROR(INDEX('Upper Hot Cell Logistics'!$I$35:$O$41,MATCH($J275,'Upper Hot Cell Logistics'!$H$35:$H$41,0),MATCH($K275,'Upper Hot Cell Logistics'!$H$35:$H$41,0)),"N/A")</f>
        <v>50</v>
      </c>
      <c r="M275" s="3047">
        <f>IFERROR(VLOOKUP($I275,'Upper Hot Cell Logistics'!$H$4:$I$9,2,FALSE),"N/A")</f>
        <v>0.02</v>
      </c>
      <c r="N275" s="3059">
        <f t="shared" si="10"/>
        <v>0.69444444444444442</v>
      </c>
      <c r="O275" s="3051"/>
      <c r="P275" s="3046" t="str">
        <f>IF($D275="Logistics",VLOOKUP($O275,'Upper Hot Cell Logistics'!$C$4:$D$44,2,FALSE),"N/A")</f>
        <v>N/A</v>
      </c>
    </row>
    <row r="276" spans="1:16" hidden="1" x14ac:dyDescent="0.4">
      <c r="A276" s="3098"/>
      <c r="B276" s="4055"/>
      <c r="C276" s="3049" t="s">
        <v>960</v>
      </c>
      <c r="D276" s="3049" t="s">
        <v>3</v>
      </c>
      <c r="E276" s="3047">
        <f t="shared" si="9"/>
        <v>0.58000000000000007</v>
      </c>
      <c r="F276" s="3047">
        <f>IF($D276="Trigger",VLOOKUP($C276,'Upper Hot Cell Welding failures'!$E$229:$I$283,5,FALSE),E276+F275)</f>
        <v>28.385942174544645</v>
      </c>
      <c r="G276" s="3050"/>
      <c r="H276" s="3046" t="str">
        <f>IF(D276="operation",VLOOKUP(G276,'Generic Vertical Port Tasks'!C247:D261,2,FALSE),"N/A")</f>
        <v>N/A</v>
      </c>
      <c r="I276" s="3049"/>
      <c r="J276" s="3049"/>
      <c r="K276" s="3049"/>
      <c r="L276" s="3047" t="str">
        <f>IFERROR(INDEX('Upper Hot Cell Logistics'!$I$35:$O$41,MATCH($J276,'Upper Hot Cell Logistics'!$H$35:$H$41,0),MATCH($K276,'Upper Hot Cell Logistics'!$H$35:$H$41,0)),"N/A")</f>
        <v>N/A</v>
      </c>
      <c r="M276" s="3047" t="str">
        <f>IFERROR(VLOOKUP($I276,'Upper Hot Cell Logistics'!$H$4:$I$9,2,FALSE),"N/A")</f>
        <v>N/A</v>
      </c>
      <c r="N276" s="3059" t="str">
        <f t="shared" si="10"/>
        <v>N/A</v>
      </c>
      <c r="O276" s="3051" t="s">
        <v>904</v>
      </c>
      <c r="P276" s="3046">
        <f>IF($D276="Logistics",VLOOKUP($O276,'Upper Hot Cell Logistics'!$C$4:$D$44,2,FALSE),"N/A")</f>
        <v>0.58000000000000007</v>
      </c>
    </row>
    <row r="277" spans="1:16" ht="13.3" hidden="1" thickBot="1" x14ac:dyDescent="0.45">
      <c r="A277" s="3098"/>
      <c r="B277" s="4057"/>
      <c r="C277" s="3053" t="str">
        <f>B274</f>
        <v>COB Blanket Segment Stored</v>
      </c>
      <c r="D277" s="3053" t="s">
        <v>11</v>
      </c>
      <c r="E277" s="3054">
        <f t="shared" si="9"/>
        <v>0</v>
      </c>
      <c r="F277" s="3054">
        <f>IF($D277="Trigger",VLOOKUP($C277,'Upper Hot Cell Welding failures'!$E$229:$I$283,5,FALSE),E277+F276)</f>
        <v>28.385942174544645</v>
      </c>
      <c r="G277" s="3056"/>
      <c r="H277" s="3055" t="str">
        <f>IF(D277="operation",VLOOKUP(G277,'Generic Vertical Port Tasks'!C247:D261,2,FALSE),"N/A")</f>
        <v>N/A</v>
      </c>
      <c r="I277" s="3053"/>
      <c r="J277" s="3053"/>
      <c r="K277" s="3053"/>
      <c r="L277" s="3054" t="str">
        <f>IFERROR(INDEX('Upper Hot Cell Logistics'!$I$35:$O$41,MATCH($J277,'Upper Hot Cell Logistics'!$H$35:$H$41,0),MATCH($K277,'Upper Hot Cell Logistics'!$H$35:$H$41,0)),"N/A")</f>
        <v>N/A</v>
      </c>
      <c r="M277" s="3054" t="str">
        <f>IFERROR(VLOOKUP($I277,'Upper Hot Cell Logistics'!$H$4:$I$9,2,FALSE),"N/A")</f>
        <v>N/A</v>
      </c>
      <c r="N277" s="3060" t="str">
        <f t="shared" si="10"/>
        <v>N/A</v>
      </c>
      <c r="O277" s="3057"/>
      <c r="P277" s="3055" t="str">
        <f>IF($D277="Logistics",VLOOKUP($O277,'Upper Hot Cell Logistics'!$C$4:$D$44,2,FALSE),"N/A")</f>
        <v>N/A</v>
      </c>
    </row>
    <row r="278" spans="1:16" hidden="1" x14ac:dyDescent="0.4">
      <c r="A278" s="3098"/>
      <c r="B278" s="4054" t="s">
        <v>961</v>
      </c>
      <c r="C278" s="3042" t="str">
        <f>'Upper Hot Cell Welding failures'!E249</f>
        <v>Extract LOB Blanket Segment</v>
      </c>
      <c r="D278" s="3042" t="s">
        <v>907</v>
      </c>
      <c r="E278" s="3043">
        <f t="shared" si="9"/>
        <v>0</v>
      </c>
      <c r="F278" s="3043">
        <f>IF($D278="Trigger",VLOOKUP($C278,'Upper Hot Cell Welding failures'!$E$229:$I$283,5,FALSE),E278+F277)</f>
        <v>32.920942174544649</v>
      </c>
      <c r="G278" s="3045"/>
      <c r="H278" s="3044" t="str">
        <f>IF(D278="operation",VLOOKUP(G278,'Generic Vertical Port Tasks'!C247:D261,2,FALSE),"N/A")</f>
        <v>N/A</v>
      </c>
      <c r="I278" s="3042"/>
      <c r="J278" s="3042"/>
      <c r="K278" s="3042"/>
      <c r="L278" s="3043" t="str">
        <f>IFERROR(INDEX('Upper Hot Cell Logistics'!$I$35:$O$41,MATCH($J278,'Upper Hot Cell Logistics'!$H$35:$H$41,0),MATCH($K278,'Upper Hot Cell Logistics'!$H$35:$H$41,0)),"N/A")</f>
        <v>N/A</v>
      </c>
      <c r="M278" s="3043" t="str">
        <f>IFERROR(VLOOKUP($I278,'Upper Hot Cell Logistics'!$H$4:$I$9,2,FALSE),"N/A")</f>
        <v>N/A</v>
      </c>
      <c r="N278" s="3061" t="str">
        <f t="shared" si="10"/>
        <v>N/A</v>
      </c>
      <c r="O278" s="3048"/>
      <c r="P278" s="3044" t="str">
        <f>IF($D278="Logistics",VLOOKUP($O278,'Upper Hot Cell Logistics'!$C$4:$D$44,2,FALSE),"N/A")</f>
        <v>N/A</v>
      </c>
    </row>
    <row r="279" spans="1:16" hidden="1" x14ac:dyDescent="0.4">
      <c r="A279" s="3098"/>
      <c r="B279" s="4055"/>
      <c r="C279" s="3049" t="s">
        <v>926</v>
      </c>
      <c r="D279" s="3049" t="s">
        <v>778</v>
      </c>
      <c r="E279" s="3047">
        <f t="shared" si="9"/>
        <v>0.69444444444444442</v>
      </c>
      <c r="F279" s="3047">
        <f>IF($D279="Trigger",VLOOKUP($C279,'Upper Hot Cell Welding failures'!$E$229:$I$283,5,FALSE),E279+F278)</f>
        <v>33.615386618989092</v>
      </c>
      <c r="G279" s="3050"/>
      <c r="H279" s="3046" t="str">
        <f>IF(D279="operation",VLOOKUP(G279,'Generic Vertical Port Tasks'!C247:D261,2,FALSE),"N/A")</f>
        <v>N/A</v>
      </c>
      <c r="I279" s="3049" t="s">
        <v>857</v>
      </c>
      <c r="J279" s="3049" t="s">
        <v>452</v>
      </c>
      <c r="K279" s="3049" t="s">
        <v>831</v>
      </c>
      <c r="L279" s="3047">
        <f>IFERROR(INDEX('Upper Hot Cell Logistics'!$I$35:$O$41,MATCH($J279,'Upper Hot Cell Logistics'!$H$35:$H$41,0),MATCH($K279,'Upper Hot Cell Logistics'!$H$35:$H$41,0)),"N/A")</f>
        <v>50</v>
      </c>
      <c r="M279" s="3047">
        <f>IFERROR(VLOOKUP($I279,'Upper Hot Cell Logistics'!$H$4:$I$9,2,FALSE),"N/A")</f>
        <v>0.02</v>
      </c>
      <c r="N279" s="3059">
        <f t="shared" si="10"/>
        <v>0.69444444444444442</v>
      </c>
      <c r="O279" s="3051"/>
      <c r="P279" s="3046" t="str">
        <f>IF($D279="Logistics",VLOOKUP($O279,'Upper Hot Cell Logistics'!$C$4:$D$44,2,FALSE),"N/A")</f>
        <v>N/A</v>
      </c>
    </row>
    <row r="280" spans="1:16" hidden="1" x14ac:dyDescent="0.4">
      <c r="A280" s="3098"/>
      <c r="B280" s="4055"/>
      <c r="C280" s="3049" t="s">
        <v>960</v>
      </c>
      <c r="D280" s="3049" t="s">
        <v>3</v>
      </c>
      <c r="E280" s="3047">
        <f t="shared" si="9"/>
        <v>0.58000000000000007</v>
      </c>
      <c r="F280" s="3047">
        <f>IF($D280="Trigger",VLOOKUP($C280,'Upper Hot Cell Welding failures'!$E$229:$I$283,5,FALSE),E280+F279)</f>
        <v>34.19538661898909</v>
      </c>
      <c r="G280" s="3050"/>
      <c r="H280" s="3046" t="str">
        <f>IF(D280="operation",VLOOKUP(G280,'Generic Vertical Port Tasks'!C247:D261,2,FALSE),"N/A")</f>
        <v>N/A</v>
      </c>
      <c r="I280" s="3049"/>
      <c r="J280" s="3049"/>
      <c r="K280" s="3049"/>
      <c r="L280" s="3047" t="str">
        <f>IFERROR(INDEX('Upper Hot Cell Logistics'!$I$35:$O$41,MATCH($J280,'Upper Hot Cell Logistics'!$H$35:$H$41,0),MATCH($K280,'Upper Hot Cell Logistics'!$H$35:$H$41,0)),"N/A")</f>
        <v>N/A</v>
      </c>
      <c r="M280" s="3047" t="str">
        <f>IFERROR(VLOOKUP($I280,'Upper Hot Cell Logistics'!$H$4:$I$9,2,FALSE),"N/A")</f>
        <v>N/A</v>
      </c>
      <c r="N280" s="3059" t="str">
        <f t="shared" si="10"/>
        <v>N/A</v>
      </c>
      <c r="O280" s="3051" t="s">
        <v>904</v>
      </c>
      <c r="P280" s="3046">
        <f>IF($D280="Logistics",VLOOKUP($O280,'Upper Hot Cell Logistics'!$C$4:$D$44,2,FALSE),"N/A")</f>
        <v>0.58000000000000007</v>
      </c>
    </row>
    <row r="281" spans="1:16" ht="13.3" hidden="1" thickBot="1" x14ac:dyDescent="0.45">
      <c r="A281" s="3098"/>
      <c r="B281" s="4057"/>
      <c r="C281" s="3053" t="str">
        <f>B278</f>
        <v>LOB Blanket Segment Stored</v>
      </c>
      <c r="D281" s="3053" t="s">
        <v>11</v>
      </c>
      <c r="E281" s="3054">
        <f t="shared" si="9"/>
        <v>0</v>
      </c>
      <c r="F281" s="3054">
        <f>IF($D281="Trigger",VLOOKUP($C281,'Upper Hot Cell Welding failures'!$E$229:$I$283,5,FALSE),E281+F280)</f>
        <v>34.19538661898909</v>
      </c>
      <c r="G281" s="3056"/>
      <c r="H281" s="3055" t="str">
        <f>IF(D281="operation",VLOOKUP(G281,'Generic Vertical Port Tasks'!C247:D261,2,FALSE),"N/A")</f>
        <v>N/A</v>
      </c>
      <c r="I281" s="3053"/>
      <c r="J281" s="3053"/>
      <c r="K281" s="3053"/>
      <c r="L281" s="3054" t="str">
        <f>IFERROR(INDEX('Upper Hot Cell Logistics'!$I$35:$O$41,MATCH($J281,'Upper Hot Cell Logistics'!$H$35:$H$41,0),MATCH($K281,'Upper Hot Cell Logistics'!$H$35:$H$41,0)),"N/A")</f>
        <v>N/A</v>
      </c>
      <c r="M281" s="3054" t="str">
        <f>IFERROR(VLOOKUP($I281,'Upper Hot Cell Logistics'!$H$4:$I$9,2,FALSE),"N/A")</f>
        <v>N/A</v>
      </c>
      <c r="N281" s="3060" t="str">
        <f t="shared" si="10"/>
        <v>N/A</v>
      </c>
      <c r="O281" s="3057"/>
      <c r="P281" s="3055" t="str">
        <f>IF($D281="Logistics",VLOOKUP($O281,'Upper Hot Cell Logistics'!$C$4:$D$44,2,FALSE),"N/A")</f>
        <v>N/A</v>
      </c>
    </row>
    <row r="282" spans="1:16" hidden="1" x14ac:dyDescent="0.4">
      <c r="A282" s="3098"/>
      <c r="B282" s="4054" t="s">
        <v>962</v>
      </c>
      <c r="C282" s="3042" t="str">
        <f>'Upper Hot Cell Welding failures'!E251</f>
        <v>Extract ROB Blanket Segment</v>
      </c>
      <c r="D282" s="3042" t="s">
        <v>907</v>
      </c>
      <c r="E282" s="3043">
        <f t="shared" si="9"/>
        <v>0</v>
      </c>
      <c r="F282" s="3043">
        <f>IF($D282="Trigger",VLOOKUP($C282,'Upper Hot Cell Welding failures'!$E$229:$I$283,5,FALSE),E282+F281)</f>
        <v>38.730386618989094</v>
      </c>
      <c r="G282" s="3045"/>
      <c r="H282" s="3044" t="str">
        <f>IF(D282="operation",VLOOKUP(G282,'Generic Vertical Port Tasks'!C247:D261,2,FALSE),"N/A")</f>
        <v>N/A</v>
      </c>
      <c r="I282" s="3042"/>
      <c r="J282" s="3042"/>
      <c r="K282" s="3042"/>
      <c r="L282" s="3043" t="str">
        <f>IFERROR(INDEX('Upper Hot Cell Logistics'!$I$35:$O$41,MATCH($J282,'Upper Hot Cell Logistics'!$H$35:$H$41,0),MATCH($K282,'Upper Hot Cell Logistics'!$H$35:$H$41,0)),"N/A")</f>
        <v>N/A</v>
      </c>
      <c r="M282" s="3043" t="str">
        <f>IFERROR(VLOOKUP($I282,'Upper Hot Cell Logistics'!$H$4:$I$9,2,FALSE),"N/A")</f>
        <v>N/A</v>
      </c>
      <c r="N282" s="3061" t="str">
        <f t="shared" si="10"/>
        <v>N/A</v>
      </c>
      <c r="O282" s="3048"/>
      <c r="P282" s="3044" t="str">
        <f>IF($D282="Logistics",VLOOKUP($O282,'Upper Hot Cell Logistics'!$C$4:$D$44,2,FALSE),"N/A")</f>
        <v>N/A</v>
      </c>
    </row>
    <row r="283" spans="1:16" hidden="1" x14ac:dyDescent="0.4">
      <c r="A283" s="3098"/>
      <c r="B283" s="4055"/>
      <c r="C283" s="3049" t="s">
        <v>930</v>
      </c>
      <c r="D283" s="3049" t="s">
        <v>778</v>
      </c>
      <c r="E283" s="3047">
        <f t="shared" si="9"/>
        <v>0.69444444444444442</v>
      </c>
      <c r="F283" s="3047">
        <f>IF($D283="Trigger",VLOOKUP($C283,'Upper Hot Cell Welding failures'!$E$229:$I$283,5,FALSE),E283+F282)</f>
        <v>39.424831063433537</v>
      </c>
      <c r="G283" s="3050"/>
      <c r="H283" s="3046" t="str">
        <f>IF(D283="operation",VLOOKUP(G283,'Generic Vertical Port Tasks'!C247:D261,2,FALSE),"N/A")</f>
        <v>N/A</v>
      </c>
      <c r="I283" s="3049" t="s">
        <v>857</v>
      </c>
      <c r="J283" s="3049" t="s">
        <v>452</v>
      </c>
      <c r="K283" s="3049" t="s">
        <v>831</v>
      </c>
      <c r="L283" s="3047">
        <f>IFERROR(INDEX('Upper Hot Cell Logistics'!$I$35:$O$41,MATCH($J283,'Upper Hot Cell Logistics'!$H$35:$H$41,0),MATCH($K283,'Upper Hot Cell Logistics'!$H$35:$H$41,0)),"N/A")</f>
        <v>50</v>
      </c>
      <c r="M283" s="3047">
        <f>IFERROR(VLOOKUP($I283,'Upper Hot Cell Logistics'!$H$4:$I$9,2,FALSE),"N/A")</f>
        <v>0.02</v>
      </c>
      <c r="N283" s="3059">
        <f t="shared" si="10"/>
        <v>0.69444444444444442</v>
      </c>
      <c r="O283" s="3051"/>
      <c r="P283" s="3046" t="str">
        <f>IF($D283="Logistics",VLOOKUP($O283,'Upper Hot Cell Logistics'!$C$4:$D$44,2,FALSE),"N/A")</f>
        <v>N/A</v>
      </c>
    </row>
    <row r="284" spans="1:16" hidden="1" x14ac:dyDescent="0.4">
      <c r="A284" s="3098"/>
      <c r="B284" s="4055"/>
      <c r="C284" s="3049" t="s">
        <v>960</v>
      </c>
      <c r="D284" s="3049" t="s">
        <v>3</v>
      </c>
      <c r="E284" s="3047">
        <f t="shared" si="9"/>
        <v>0.58000000000000007</v>
      </c>
      <c r="F284" s="3047">
        <f>IF($D284="Trigger",VLOOKUP($C284,'Upper Hot Cell Welding failures'!$E$229:$I$283,5,FALSE),E284+F283)</f>
        <v>40.004831063433535</v>
      </c>
      <c r="G284" s="3050"/>
      <c r="H284" s="3046" t="str">
        <f>IF(D284="operation",VLOOKUP(G284,'Generic Vertical Port Tasks'!C247:D261,2,FALSE),"N/A")</f>
        <v>N/A</v>
      </c>
      <c r="I284" s="3049"/>
      <c r="J284" s="3049"/>
      <c r="K284" s="3049"/>
      <c r="L284" s="3047" t="str">
        <f>IFERROR(INDEX('Upper Hot Cell Logistics'!$I$35:$O$41,MATCH($J284,'Upper Hot Cell Logistics'!$H$35:$H$41,0),MATCH($K284,'Upper Hot Cell Logistics'!$H$35:$H$41,0)),"N/A")</f>
        <v>N/A</v>
      </c>
      <c r="M284" s="3047" t="str">
        <f>IFERROR(VLOOKUP($I284,'Upper Hot Cell Logistics'!$H$4:$I$9,2,FALSE),"N/A")</f>
        <v>N/A</v>
      </c>
      <c r="N284" s="3059" t="str">
        <f t="shared" si="10"/>
        <v>N/A</v>
      </c>
      <c r="O284" s="3051" t="s">
        <v>904</v>
      </c>
      <c r="P284" s="3046">
        <f>IF($D284="Logistics",VLOOKUP($O284,'Upper Hot Cell Logistics'!$C$4:$D$44,2,FALSE),"N/A")</f>
        <v>0.58000000000000007</v>
      </c>
    </row>
    <row r="285" spans="1:16" ht="13.3" hidden="1" thickBot="1" x14ac:dyDescent="0.45">
      <c r="A285" s="3098"/>
      <c r="B285" s="4057"/>
      <c r="C285" s="3053" t="str">
        <f>B282</f>
        <v>ROB Blanket Segment Stored</v>
      </c>
      <c r="D285" s="3053" t="s">
        <v>11</v>
      </c>
      <c r="E285" s="3054">
        <f t="shared" si="9"/>
        <v>0</v>
      </c>
      <c r="F285" s="3054">
        <f>IF($D285="Trigger",VLOOKUP($C285,'Upper Hot Cell Welding failures'!$E$229:$I$283,5,FALSE),E285+F284)</f>
        <v>40.004831063433535</v>
      </c>
      <c r="G285" s="3056"/>
      <c r="H285" s="3055" t="str">
        <f>IF(D285="operation",VLOOKUP(G285,'Generic Vertical Port Tasks'!C247:D261,2,FALSE),"N/A")</f>
        <v>N/A</v>
      </c>
      <c r="I285" s="3053"/>
      <c r="J285" s="3053"/>
      <c r="K285" s="3053"/>
      <c r="L285" s="3054" t="str">
        <f>IFERROR(INDEX('Upper Hot Cell Logistics'!$I$35:$O$41,MATCH($J285,'Upper Hot Cell Logistics'!$H$35:$H$41,0),MATCH($K285,'Upper Hot Cell Logistics'!$H$35:$H$41,0)),"N/A")</f>
        <v>N/A</v>
      </c>
      <c r="M285" s="3054" t="str">
        <f>IFERROR(VLOOKUP($I285,'Upper Hot Cell Logistics'!$H$4:$I$9,2,FALSE),"N/A")</f>
        <v>N/A</v>
      </c>
      <c r="N285" s="3060" t="str">
        <f t="shared" si="10"/>
        <v>N/A</v>
      </c>
      <c r="O285" s="3057"/>
      <c r="P285" s="3055" t="str">
        <f>IF($D285="Logistics",VLOOKUP($O285,'Upper Hot Cell Logistics'!$C$4:$D$44,2,FALSE),"N/A")</f>
        <v>N/A</v>
      </c>
    </row>
    <row r="286" spans="1:16" hidden="1" x14ac:dyDescent="0.4">
      <c r="A286" s="3098"/>
      <c r="B286" s="4054" t="s">
        <v>1081</v>
      </c>
      <c r="C286" s="3042" t="str">
        <f>'Upper Hot Cell Welding failures'!E253</f>
        <v>Extract LIB Blanket Segment</v>
      </c>
      <c r="D286" s="3042" t="s">
        <v>907</v>
      </c>
      <c r="E286" s="3043">
        <f t="shared" si="9"/>
        <v>0</v>
      </c>
      <c r="F286" s="3043">
        <f>IF($D286="Trigger",VLOOKUP($C286,'Upper Hot Cell Welding failures'!$E$229:$I$283,5,FALSE),E286+F285)</f>
        <v>44.539831063433539</v>
      </c>
      <c r="G286" s="3045"/>
      <c r="H286" s="3044" t="str">
        <f>IF(D286="operation",VLOOKUP(G286,'Generic Vertical Port Tasks'!C248:D263,2,FALSE),"N/A")</f>
        <v>N/A</v>
      </c>
      <c r="I286" s="3042"/>
      <c r="J286" s="3042"/>
      <c r="K286" s="3042"/>
      <c r="L286" s="3043" t="str">
        <f>IFERROR(INDEX('Upper Hot Cell Logistics'!$I$35:$O$41,MATCH($J286,'Upper Hot Cell Logistics'!$H$35:$H$41,0),MATCH($K286,'Upper Hot Cell Logistics'!$H$35:$H$41,0)),"N/A")</f>
        <v>N/A</v>
      </c>
      <c r="M286" s="3043" t="str">
        <f>IFERROR(VLOOKUP($I286,'Upper Hot Cell Logistics'!$H$4:$I$9,2,FALSE),"N/A")</f>
        <v>N/A</v>
      </c>
      <c r="N286" s="3061" t="str">
        <f t="shared" si="10"/>
        <v>N/A</v>
      </c>
      <c r="O286" s="3048"/>
      <c r="P286" s="3044" t="str">
        <f>IF($D286="Logistics",VLOOKUP($O286,'Upper Hot Cell Logistics'!$C$4:$D$44,2,FALSE),"N/A")</f>
        <v>N/A</v>
      </c>
    </row>
    <row r="287" spans="1:16" hidden="1" x14ac:dyDescent="0.4">
      <c r="A287" s="3098"/>
      <c r="B287" s="4055"/>
      <c r="C287" s="3049" t="s">
        <v>930</v>
      </c>
      <c r="D287" s="3049" t="s">
        <v>778</v>
      </c>
      <c r="E287" s="3047">
        <f t="shared" si="9"/>
        <v>0.69444444444444442</v>
      </c>
      <c r="F287" s="3047">
        <f>IF($D287="Trigger",VLOOKUP($C287,'Upper Hot Cell Welding failures'!$E$229:$I$283,5,FALSE),E287+F286)</f>
        <v>45.234275507877982</v>
      </c>
      <c r="G287" s="3050"/>
      <c r="H287" s="3046" t="str">
        <f>IF(D287="operation",VLOOKUP(G287,'Generic Vertical Port Tasks'!C248:D263,2,FALSE),"N/A")</f>
        <v>N/A</v>
      </c>
      <c r="I287" s="3049" t="s">
        <v>857</v>
      </c>
      <c r="J287" s="3049" t="s">
        <v>452</v>
      </c>
      <c r="K287" s="3049" t="s">
        <v>831</v>
      </c>
      <c r="L287" s="3047">
        <f>IFERROR(INDEX('Upper Hot Cell Logistics'!$I$35:$O$41,MATCH($J287,'Upper Hot Cell Logistics'!$H$35:$H$41,0),MATCH($K287,'Upper Hot Cell Logistics'!$H$35:$H$41,0)),"N/A")</f>
        <v>50</v>
      </c>
      <c r="M287" s="3047">
        <f>IFERROR(VLOOKUP($I287,'Upper Hot Cell Logistics'!$H$4:$I$9,2,FALSE),"N/A")</f>
        <v>0.02</v>
      </c>
      <c r="N287" s="3059">
        <f t="shared" si="10"/>
        <v>0.69444444444444442</v>
      </c>
      <c r="O287" s="3051"/>
      <c r="P287" s="3046" t="str">
        <f>IF($D287="Logistics",VLOOKUP($O287,'Upper Hot Cell Logistics'!$C$4:$D$44,2,FALSE),"N/A")</f>
        <v>N/A</v>
      </c>
    </row>
    <row r="288" spans="1:16" hidden="1" x14ac:dyDescent="0.4">
      <c r="A288" s="3098"/>
      <c r="B288" s="4055"/>
      <c r="C288" s="3049" t="s">
        <v>960</v>
      </c>
      <c r="D288" s="3049" t="s">
        <v>3</v>
      </c>
      <c r="E288" s="3047">
        <f t="shared" si="9"/>
        <v>0.58000000000000007</v>
      </c>
      <c r="F288" s="3047">
        <f>IF($D288="Trigger",VLOOKUP($C288,'Upper Hot Cell Welding failures'!$E$229:$I$283,5,FALSE),E288+F287)</f>
        <v>45.81427550787798</v>
      </c>
      <c r="G288" s="3050"/>
      <c r="H288" s="3046" t="str">
        <f>IF(D288="operation",VLOOKUP(G288,'Generic Vertical Port Tasks'!C248:D263,2,FALSE),"N/A")</f>
        <v>N/A</v>
      </c>
      <c r="I288" s="3049"/>
      <c r="J288" s="3049"/>
      <c r="K288" s="3049"/>
      <c r="L288" s="3047" t="str">
        <f>IFERROR(INDEX('Upper Hot Cell Logistics'!$I$35:$O$41,MATCH($J288,'Upper Hot Cell Logistics'!$H$35:$H$41,0),MATCH($K288,'Upper Hot Cell Logistics'!$H$35:$H$41,0)),"N/A")</f>
        <v>N/A</v>
      </c>
      <c r="M288" s="3047" t="str">
        <f>IFERROR(VLOOKUP($I288,'Upper Hot Cell Logistics'!$H$4:$I$9,2,FALSE),"N/A")</f>
        <v>N/A</v>
      </c>
      <c r="N288" s="3059" t="str">
        <f t="shared" si="10"/>
        <v>N/A</v>
      </c>
      <c r="O288" s="3051" t="s">
        <v>904</v>
      </c>
      <c r="P288" s="3046">
        <f>IF($D288="Logistics",VLOOKUP($O288,'Upper Hot Cell Logistics'!$C$4:$D$44,2,FALSE),"N/A")</f>
        <v>0.58000000000000007</v>
      </c>
    </row>
    <row r="289" spans="1:17" ht="26.15" hidden="1" thickBot="1" x14ac:dyDescent="0.45">
      <c r="A289" s="3098"/>
      <c r="B289" s="4057"/>
      <c r="C289" s="3053" t="str">
        <f>B286</f>
        <v>LIB Blanket Segment Stored; Replacement RIB Blanket Segment collected</v>
      </c>
      <c r="D289" s="3053" t="s">
        <v>11</v>
      </c>
      <c r="E289" s="3054">
        <f t="shared" si="9"/>
        <v>0</v>
      </c>
      <c r="F289" s="3054">
        <f>IF($D289="Trigger",VLOOKUP($C289,'Upper Hot Cell Welding failures'!$E$229:$I$283,5,FALSE),E289+F288)</f>
        <v>45.81427550787798</v>
      </c>
      <c r="G289" s="3056"/>
      <c r="H289" s="3055" t="str">
        <f>IF(D289="operation",VLOOKUP(G289,'Generic Vertical Port Tasks'!C248:D263,2,FALSE),"N/A")</f>
        <v>N/A</v>
      </c>
      <c r="I289" s="3053"/>
      <c r="J289" s="3053"/>
      <c r="K289" s="3053"/>
      <c r="L289" s="3054" t="str">
        <f>IFERROR(INDEX('Upper Hot Cell Logistics'!$I$35:$O$41,MATCH($J289,'Upper Hot Cell Logistics'!$H$35:$H$41,0),MATCH($K289,'Upper Hot Cell Logistics'!$H$35:$H$41,0)),"N/A")</f>
        <v>N/A</v>
      </c>
      <c r="M289" s="3054" t="str">
        <f>IFERROR(VLOOKUP($I289,'Upper Hot Cell Logistics'!$H$4:$I$9,2,FALSE),"N/A")</f>
        <v>N/A</v>
      </c>
      <c r="N289" s="3060" t="str">
        <f t="shared" si="10"/>
        <v>N/A</v>
      </c>
      <c r="O289" s="3057"/>
      <c r="P289" s="3055" t="str">
        <f>IF($D289="Logistics",VLOOKUP($O289,'Upper Hot Cell Logistics'!$C$4:$D$44,2,FALSE),"N/A")</f>
        <v>N/A</v>
      </c>
    </row>
    <row r="290" spans="1:17" hidden="1" x14ac:dyDescent="0.4">
      <c r="A290" s="3098"/>
      <c r="B290" s="4054" t="s">
        <v>1082</v>
      </c>
      <c r="C290" s="3042" t="str">
        <f>'Upper Hot Cell Welding failures'!E255</f>
        <v>Extract RIB Blanket Segment</v>
      </c>
      <c r="D290" s="3042" t="s">
        <v>907</v>
      </c>
      <c r="E290" s="3043">
        <f t="shared" si="9"/>
        <v>0</v>
      </c>
      <c r="F290" s="3043">
        <f>IF($D290="Trigger",VLOOKUP($C290,'Upper Hot Cell Welding failures'!$E$229:$I$283,5,FALSE),E290+F289)</f>
        <v>50.349275507877984</v>
      </c>
      <c r="G290" s="3045"/>
      <c r="H290" s="3044" t="str">
        <f>IF(D290="operation",VLOOKUP(G290,'Generic Vertical Port Tasks'!C249:D266,2,FALSE),"N/A")</f>
        <v>N/A</v>
      </c>
      <c r="I290" s="3042"/>
      <c r="J290" s="3042"/>
      <c r="K290" s="3042"/>
      <c r="L290" s="3043" t="str">
        <f>IFERROR(INDEX('Upper Hot Cell Logistics'!$I$35:$O$41,MATCH($J290,'Upper Hot Cell Logistics'!$H$35:$H$41,0),MATCH($K290,'Upper Hot Cell Logistics'!$H$35:$H$41,0)),"N/A")</f>
        <v>N/A</v>
      </c>
      <c r="M290" s="3043" t="str">
        <f>IFERROR(VLOOKUP($I290,'Upper Hot Cell Logistics'!$H$4:$I$9,2,FALSE),"N/A")</f>
        <v>N/A</v>
      </c>
      <c r="N290" s="3061" t="str">
        <f t="shared" si="10"/>
        <v>N/A</v>
      </c>
      <c r="O290" s="3048"/>
      <c r="P290" s="3044" t="str">
        <f>IF($D290="Logistics",VLOOKUP($O290,'Upper Hot Cell Logistics'!$C$4:$D$44,2,FALSE),"N/A")</f>
        <v>N/A</v>
      </c>
    </row>
    <row r="291" spans="1:17" hidden="1" x14ac:dyDescent="0.4">
      <c r="A291" s="3098"/>
      <c r="B291" s="4055"/>
      <c r="C291" s="3049" t="s">
        <v>930</v>
      </c>
      <c r="D291" s="3049" t="s">
        <v>778</v>
      </c>
      <c r="E291" s="3047">
        <f t="shared" si="9"/>
        <v>0.69444444444444442</v>
      </c>
      <c r="F291" s="3047">
        <f>IF($D291="Trigger",VLOOKUP($C291,'Upper Hot Cell Welding failures'!$E$229:$I$283,5,FALSE),E291+F290)</f>
        <v>51.043719952322427</v>
      </c>
      <c r="G291" s="3050"/>
      <c r="H291" s="3046" t="str">
        <f>IF(D291="operation",VLOOKUP(G291,'Generic Vertical Port Tasks'!C249:D266,2,FALSE),"N/A")</f>
        <v>N/A</v>
      </c>
      <c r="I291" s="3049" t="s">
        <v>857</v>
      </c>
      <c r="J291" s="3049" t="s">
        <v>452</v>
      </c>
      <c r="K291" s="3049" t="s">
        <v>831</v>
      </c>
      <c r="L291" s="3047">
        <f>IFERROR(INDEX('Upper Hot Cell Logistics'!$I$35:$O$41,MATCH($J291,'Upper Hot Cell Logistics'!$H$35:$H$41,0),MATCH($K291,'Upper Hot Cell Logistics'!$H$35:$H$41,0)),"N/A")</f>
        <v>50</v>
      </c>
      <c r="M291" s="3047">
        <f>IFERROR(VLOOKUP($I291,'Upper Hot Cell Logistics'!$H$4:$I$9,2,FALSE),"N/A")</f>
        <v>0.02</v>
      </c>
      <c r="N291" s="3059">
        <f t="shared" si="10"/>
        <v>0.69444444444444442</v>
      </c>
      <c r="O291" s="3051"/>
      <c r="P291" s="3046" t="str">
        <f>IF($D291="Logistics",VLOOKUP($O291,'Upper Hot Cell Logistics'!$C$4:$D$44,2,FALSE),"N/A")</f>
        <v>N/A</v>
      </c>
    </row>
    <row r="292" spans="1:17" hidden="1" x14ac:dyDescent="0.4">
      <c r="A292" s="3098"/>
      <c r="B292" s="4055"/>
      <c r="C292" s="3049" t="s">
        <v>960</v>
      </c>
      <c r="D292" s="3049" t="s">
        <v>3</v>
      </c>
      <c r="E292" s="3047">
        <f t="shared" si="9"/>
        <v>0.58000000000000007</v>
      </c>
      <c r="F292" s="3047">
        <f>IF($D292="Trigger",VLOOKUP($C292,'Upper Hot Cell Welding failures'!$E$229:$I$283,5,FALSE),E292+F291)</f>
        <v>51.623719952322425</v>
      </c>
      <c r="G292" s="3050"/>
      <c r="H292" s="3046" t="str">
        <f>IF(D292="operation",VLOOKUP(G292,'Generic Vertical Port Tasks'!C249:D266,2,FALSE),"N/A")</f>
        <v>N/A</v>
      </c>
      <c r="I292" s="3049"/>
      <c r="J292" s="3049"/>
      <c r="K292" s="3049"/>
      <c r="L292" s="3047" t="str">
        <f>IFERROR(INDEX('Upper Hot Cell Logistics'!$I$35:$O$41,MATCH($J292,'Upper Hot Cell Logistics'!$H$35:$H$41,0),MATCH($K292,'Upper Hot Cell Logistics'!$H$35:$H$41,0)),"N/A")</f>
        <v>N/A</v>
      </c>
      <c r="M292" s="3047" t="str">
        <f>IFERROR(VLOOKUP($I292,'Upper Hot Cell Logistics'!$H$4:$I$9,2,FALSE),"N/A")</f>
        <v>N/A</v>
      </c>
      <c r="N292" s="3059" t="str">
        <f t="shared" si="10"/>
        <v>N/A</v>
      </c>
      <c r="O292" s="3051" t="s">
        <v>904</v>
      </c>
      <c r="P292" s="3046">
        <f>IF($D292="Logistics",VLOOKUP($O292,'Upper Hot Cell Logistics'!$C$4:$D$44,2,FALSE),"N/A")</f>
        <v>0.58000000000000007</v>
      </c>
    </row>
    <row r="293" spans="1:17" hidden="1" x14ac:dyDescent="0.4">
      <c r="A293" s="3098"/>
      <c r="B293" s="4056"/>
      <c r="C293" s="3052" t="s">
        <v>1173</v>
      </c>
      <c r="D293" s="3052" t="s">
        <v>778</v>
      </c>
      <c r="E293" s="3047">
        <f t="shared" si="9"/>
        <v>1.3888888888888888E-2</v>
      </c>
      <c r="F293" s="3047">
        <f>IF($D293="Trigger",VLOOKUP($C293,'Upper Hot Cell Welding failures'!$E$229:$I$283,5,FALSE),E293+F292)</f>
        <v>51.637608841211311</v>
      </c>
      <c r="G293" s="3050"/>
      <c r="H293" s="3046" t="str">
        <f>IF(D293="operation",VLOOKUP(G293,'Generic Vertical Port Tasks'!C249:D267,2,FALSE),"N/A")</f>
        <v>N/A</v>
      </c>
      <c r="I293" s="3049" t="s">
        <v>798</v>
      </c>
      <c r="J293" s="3049" t="s">
        <v>831</v>
      </c>
      <c r="K293" s="3049" t="s">
        <v>858</v>
      </c>
      <c r="L293" s="3047">
        <f>IFERROR(INDEX('Upper Hot Cell Logistics'!$I$35:$O$41,MATCH($J293,'Upper Hot Cell Logistics'!$H$35:$H$41,0),MATCH($K293,'Upper Hot Cell Logistics'!$H$35:$H$41,0)),"N/A")</f>
        <v>10</v>
      </c>
      <c r="M293" s="3047">
        <f>IFERROR(VLOOKUP($I293,'Upper Hot Cell Logistics'!$H$4:$I$9,2,FALSE),"N/A")</f>
        <v>0.2</v>
      </c>
      <c r="N293" s="3059">
        <f t="shared" si="10"/>
        <v>1.3888888888888888E-2</v>
      </c>
      <c r="O293" s="3051"/>
      <c r="P293" s="3046" t="str">
        <f>IF($D293="Logistics",VLOOKUP($O293,'Upper Hot Cell Logistics'!$C$4:$D$44,2,FALSE),"N/A")</f>
        <v>N/A</v>
      </c>
    </row>
    <row r="294" spans="1:17" hidden="1" x14ac:dyDescent="0.4">
      <c r="A294" s="3098"/>
      <c r="B294" s="4056"/>
      <c r="C294" s="3052" t="s">
        <v>1174</v>
      </c>
      <c r="D294" s="3052" t="s">
        <v>3</v>
      </c>
      <c r="E294" s="3047">
        <f t="shared" si="9"/>
        <v>0.78</v>
      </c>
      <c r="F294" s="3047">
        <f>IF($D294="Trigger",VLOOKUP($C294,'Upper Hot Cell Welding failures'!$E$229:$I$283,5,FALSE),E294+F293)</f>
        <v>52.417608841211312</v>
      </c>
      <c r="G294" s="3050"/>
      <c r="H294" s="3046" t="str">
        <f>IF(D294="operation",VLOOKUP(G294,'Generic Vertical Port Tasks'!C249:D268,2,FALSE),"N/A")</f>
        <v>N/A</v>
      </c>
      <c r="I294" s="3049"/>
      <c r="J294" s="3049"/>
      <c r="K294" s="3049"/>
      <c r="L294" s="3047" t="str">
        <f>IFERROR(INDEX('Upper Hot Cell Logistics'!$I$35:$O$41,MATCH($J294,'Upper Hot Cell Logistics'!$H$35:$H$41,0),MATCH($K294,'Upper Hot Cell Logistics'!$H$35:$H$41,0)),"N/A")</f>
        <v>N/A</v>
      </c>
      <c r="M294" s="3047" t="str">
        <f>IFERROR(VLOOKUP($I294,'Upper Hot Cell Logistics'!$H$4:$I$9,2,FALSE),"N/A")</f>
        <v>N/A</v>
      </c>
      <c r="N294" s="3059" t="str">
        <f t="shared" si="10"/>
        <v>N/A</v>
      </c>
      <c r="O294" s="3051" t="s">
        <v>1175</v>
      </c>
      <c r="P294" s="3046">
        <f>IF($D294="Logistics",VLOOKUP($O294,'Upper Hot Cell Logistics'!$C$4:$D$44,2,FALSE),"N/A")</f>
        <v>0.78</v>
      </c>
    </row>
    <row r="295" spans="1:17" ht="26.15" hidden="1" thickBot="1" x14ac:dyDescent="0.45">
      <c r="A295" s="3098"/>
      <c r="B295" s="4056"/>
      <c r="C295" s="3052" t="str">
        <f>B290</f>
        <v>RIB Blanket Segment Stored; Replacement LIB Blanket Segment collected</v>
      </c>
      <c r="D295" s="3052" t="s">
        <v>11</v>
      </c>
      <c r="E295" s="3062">
        <f t="shared" si="9"/>
        <v>0</v>
      </c>
      <c r="F295" s="3062">
        <f>IF($D295="Trigger",VLOOKUP($C295,'Upper Hot Cell Welding failures'!$E$229:$I$283,5,FALSE),E295+F294)</f>
        <v>52.417608841211312</v>
      </c>
      <c r="G295" s="3063"/>
      <c r="H295" s="3064" t="str">
        <f>IF(D295="operation",VLOOKUP(G295,'Generic Vertical Port Tasks'!C249:D266,2,FALSE),"N/A")</f>
        <v>N/A</v>
      </c>
      <c r="I295" s="3052"/>
      <c r="J295" s="3052"/>
      <c r="K295" s="3052"/>
      <c r="L295" s="3062" t="str">
        <f>IFERROR(INDEX('Upper Hot Cell Logistics'!$I$35:$O$41,MATCH($J295,'Upper Hot Cell Logistics'!$H$35:$H$41,0),MATCH($K295,'Upper Hot Cell Logistics'!$H$35:$H$41,0)),"N/A")</f>
        <v>N/A</v>
      </c>
      <c r="M295" s="3062" t="str">
        <f>IFERROR(VLOOKUP($I295,'Upper Hot Cell Logistics'!$H$4:$I$9,2,FALSE),"N/A")</f>
        <v>N/A</v>
      </c>
      <c r="N295" s="3065" t="str">
        <f t="shared" si="10"/>
        <v>N/A</v>
      </c>
      <c r="O295" s="3066"/>
      <c r="P295" s="3064" t="str">
        <f>IF($D295="Logistics",VLOOKUP($O295,'Upper Hot Cell Logistics'!$C$4:$D$44,2,FALSE),"N/A")</f>
        <v>N/A</v>
      </c>
    </row>
    <row r="296" spans="1:17" s="3058" customFormat="1" ht="14.6" hidden="1" collapsed="1" x14ac:dyDescent="0.4">
      <c r="A296" s="3098"/>
      <c r="B296" s="4054" t="s">
        <v>863</v>
      </c>
      <c r="C296" s="3042" t="str">
        <f>'Upper Hot Cell Welding failures'!E257</f>
        <v>Install RIB Blanket Segment</v>
      </c>
      <c r="D296" s="3042" t="s">
        <v>907</v>
      </c>
      <c r="E296" s="3043">
        <f t="shared" si="9"/>
        <v>0</v>
      </c>
      <c r="F296" s="3044">
        <f>IF($D296="Trigger",VLOOKUP($C296,'Upper Hot Cell Welding failures'!$E$229:$I$283,5,FALSE),E296+F295)</f>
        <v>54.748719952322425</v>
      </c>
      <c r="G296" s="3045"/>
      <c r="H296" s="3044" t="str">
        <f>IF(D296="operation",VLOOKUP(G296,'Generic Vertical Port Tasks'!C249:D269,2,FALSE),"N/A")</f>
        <v>N/A</v>
      </c>
      <c r="I296" s="3042"/>
      <c r="J296" s="3042"/>
      <c r="K296" s="3042"/>
      <c r="L296" s="3043" t="str">
        <f>IFERROR(INDEX('Upper Hot Cell Logistics'!$I$35:$O$41,MATCH($J296,'Upper Hot Cell Logistics'!$H$35:$H$41,0),MATCH($K296,'Upper Hot Cell Logistics'!$H$35:$H$41,0)),"N/A")</f>
        <v>N/A</v>
      </c>
      <c r="M296" s="3043" t="str">
        <f>IFERROR(VLOOKUP($I296,'Upper Hot Cell Logistics'!$H$4:$I$9,2,FALSE),"N/A")</f>
        <v>N/A</v>
      </c>
      <c r="N296" s="3061" t="str">
        <f t="shared" si="10"/>
        <v>N/A</v>
      </c>
      <c r="O296" s="3048"/>
      <c r="P296" s="3044" t="str">
        <f>IF($D296="Logistics",VLOOKUP($O296,'Upper Hot Cell Logistics'!$C$4:$D$44,2,FALSE),"N/A")</f>
        <v>N/A</v>
      </c>
      <c r="Q296" s="3023"/>
    </row>
    <row r="297" spans="1:17" s="3058" customFormat="1" ht="14.6" hidden="1" x14ac:dyDescent="0.4">
      <c r="A297" s="3098"/>
      <c r="B297" s="4055"/>
      <c r="C297" s="3049" t="s">
        <v>926</v>
      </c>
      <c r="D297" s="3049" t="s">
        <v>778</v>
      </c>
      <c r="E297" s="3047">
        <f t="shared" si="9"/>
        <v>0.69444444444444442</v>
      </c>
      <c r="F297" s="3046">
        <f>IF($D297="Trigger",VLOOKUP($C297,'Upper Hot Cell Welding failures'!$E$229:$I$283,5,FALSE),E297+F296)</f>
        <v>55.443164396766868</v>
      </c>
      <c r="G297" s="3050"/>
      <c r="H297" s="3046" t="str">
        <f>IF(D297="operation",VLOOKUP(G297,'Generic Vertical Port Tasks'!C249:D269,2,FALSE),"N/A")</f>
        <v>N/A</v>
      </c>
      <c r="I297" s="3049" t="s">
        <v>857</v>
      </c>
      <c r="J297" s="3049" t="s">
        <v>452</v>
      </c>
      <c r="K297" s="3049" t="s">
        <v>858</v>
      </c>
      <c r="L297" s="3047">
        <f>IFERROR(INDEX('Upper Hot Cell Logistics'!$I$35:$O$41,MATCH($J297,'Upper Hot Cell Logistics'!$H$35:$H$41,0),MATCH($K297,'Upper Hot Cell Logistics'!$H$35:$H$41,0)),"N/A")</f>
        <v>50</v>
      </c>
      <c r="M297" s="3047">
        <f>IFERROR(VLOOKUP($I297,'Upper Hot Cell Logistics'!$H$4:$I$9,2,FALSE),"N/A")</f>
        <v>0.02</v>
      </c>
      <c r="N297" s="3059">
        <f t="shared" si="10"/>
        <v>0.69444444444444442</v>
      </c>
      <c r="O297" s="3051"/>
      <c r="P297" s="3046" t="str">
        <f>IF($D297="Logistics",VLOOKUP($O297,'Upper Hot Cell Logistics'!$C$4:$D$44,2,FALSE),"N/A")</f>
        <v>N/A</v>
      </c>
      <c r="Q297" s="3023"/>
    </row>
    <row r="298" spans="1:17" s="3058" customFormat="1" ht="14.6" hidden="1" x14ac:dyDescent="0.4">
      <c r="A298" s="3098"/>
      <c r="B298" s="4055"/>
      <c r="C298" s="3049" t="s">
        <v>970</v>
      </c>
      <c r="D298" s="3049" t="s">
        <v>3</v>
      </c>
      <c r="E298" s="3047">
        <f t="shared" si="9"/>
        <v>0.58000000000000007</v>
      </c>
      <c r="F298" s="3046">
        <f>IF($D298="Trigger",VLOOKUP($C298,'Upper Hot Cell Welding failures'!$E$229:$I$283,5,FALSE),E298+F297)</f>
        <v>56.023164396766866</v>
      </c>
      <c r="G298" s="3050"/>
      <c r="H298" s="3046" t="str">
        <f>IF(D298="operation",VLOOKUP(G298,'Generic Vertical Port Tasks'!C249:D269,2,FALSE),"N/A")</f>
        <v>N/A</v>
      </c>
      <c r="I298" s="3049"/>
      <c r="J298" s="3049"/>
      <c r="K298" s="3049"/>
      <c r="L298" s="3047" t="str">
        <f>IFERROR(INDEX('Upper Hot Cell Logistics'!$I$35:$O$41,MATCH($J298,'Upper Hot Cell Logistics'!$H$35:$H$41,0),MATCH($K298,'Upper Hot Cell Logistics'!$H$35:$H$41,0)),"N/A")</f>
        <v>N/A</v>
      </c>
      <c r="M298" s="3047" t="str">
        <f>IFERROR(VLOOKUP($I298,'Upper Hot Cell Logistics'!$H$4:$I$9,2,FALSE),"N/A")</f>
        <v>N/A</v>
      </c>
      <c r="N298" s="3059" t="str">
        <f t="shared" si="10"/>
        <v>N/A</v>
      </c>
      <c r="O298" s="3051" t="s">
        <v>904</v>
      </c>
      <c r="P298" s="3046">
        <f>IF($D298="Logistics",VLOOKUP($O298,'Upper Hot Cell Logistics'!$C$4:$D$44,2,FALSE),"N/A")</f>
        <v>0.58000000000000007</v>
      </c>
      <c r="Q298" s="3023"/>
    </row>
    <row r="299" spans="1:17" s="3058" customFormat="1" ht="15" hidden="1" thickBot="1" x14ac:dyDescent="0.45">
      <c r="A299" s="3098"/>
      <c r="B299" s="4057"/>
      <c r="C299" s="3053" t="str">
        <f>B296</f>
        <v>ROB Blanket Segment Exported</v>
      </c>
      <c r="D299" s="3053" t="s">
        <v>11</v>
      </c>
      <c r="E299" s="3054">
        <f t="shared" si="9"/>
        <v>0</v>
      </c>
      <c r="F299" s="3055">
        <f>IF($D299="Trigger",VLOOKUP($C299,'Upper Hot Cell Welding failures'!$E$229:$I$283,5,FALSE),E299+F298)</f>
        <v>56.023164396766866</v>
      </c>
      <c r="G299" s="3056"/>
      <c r="H299" s="3055" t="str">
        <f>IF(D299="operation",VLOOKUP(G299,'Generic Vertical Port Tasks'!C249:D269,2,FALSE),"N/A")</f>
        <v>N/A</v>
      </c>
      <c r="I299" s="3053"/>
      <c r="J299" s="3053"/>
      <c r="K299" s="3053"/>
      <c r="L299" s="3054" t="str">
        <f>IFERROR(INDEX('Upper Hot Cell Logistics'!$I$35:$O$41,MATCH($J299,'Upper Hot Cell Logistics'!$H$35:$H$41,0),MATCH($K299,'Upper Hot Cell Logistics'!$H$35:$H$41,0)),"N/A")</f>
        <v>N/A</v>
      </c>
      <c r="M299" s="3054" t="str">
        <f>IFERROR(VLOOKUP($I299,'Upper Hot Cell Logistics'!$H$4:$I$9,2,FALSE),"N/A")</f>
        <v>N/A</v>
      </c>
      <c r="N299" s="3060" t="str">
        <f t="shared" si="10"/>
        <v>N/A</v>
      </c>
      <c r="O299" s="3057"/>
      <c r="P299" s="3055" t="str">
        <f>IF($D299="Logistics",VLOOKUP($O299,'Upper Hot Cell Logistics'!$C$4:$D$44,2,FALSE),"N/A")</f>
        <v>N/A</v>
      </c>
      <c r="Q299" s="3023"/>
    </row>
    <row r="300" spans="1:17" s="3058" customFormat="1" ht="14.6" hidden="1" x14ac:dyDescent="0.4">
      <c r="A300" s="3098"/>
      <c r="B300" s="4054" t="s">
        <v>865</v>
      </c>
      <c r="C300" s="3042" t="str">
        <f>'Upper Hot Cell Welding failures'!E259</f>
        <v>Install LIB Blanket Segment</v>
      </c>
      <c r="D300" s="3042" t="s">
        <v>907</v>
      </c>
      <c r="E300" s="3043">
        <f t="shared" si="9"/>
        <v>0</v>
      </c>
      <c r="F300" s="3044">
        <f>IF($D300="Trigger",VLOOKUP($C300,'Upper Hot Cell Welding failures'!$E$229:$I$283,5,FALSE),E300+F299)</f>
        <v>59.148164396766866</v>
      </c>
      <c r="G300" s="3045"/>
      <c r="H300" s="3044" t="str">
        <f>IF(D300="operation",VLOOKUP(G300,'Generic Vertical Port Tasks'!C249:D282,2,FALSE),"N/A")</f>
        <v>N/A</v>
      </c>
      <c r="I300" s="3042"/>
      <c r="J300" s="3042"/>
      <c r="K300" s="3042"/>
      <c r="L300" s="3043" t="str">
        <f>IFERROR(INDEX('Upper Hot Cell Logistics'!$I$35:$O$41,MATCH($J300,'Upper Hot Cell Logistics'!$H$35:$H$41,0),MATCH($K300,'Upper Hot Cell Logistics'!$H$35:$H$41,0)),"N/A")</f>
        <v>N/A</v>
      </c>
      <c r="M300" s="3043" t="str">
        <f>IFERROR(VLOOKUP($I300,'Upper Hot Cell Logistics'!$H$4:$I$9,2,FALSE),"N/A")</f>
        <v>N/A</v>
      </c>
      <c r="N300" s="3061" t="str">
        <f t="shared" si="10"/>
        <v>N/A</v>
      </c>
      <c r="O300" s="3048"/>
      <c r="P300" s="3044" t="str">
        <f>IF($D300="Logistics",VLOOKUP($O300,'Upper Hot Cell Logistics'!$C$4:$D$44,2,FALSE),"N/A")</f>
        <v>N/A</v>
      </c>
      <c r="Q300" s="3023"/>
    </row>
    <row r="301" spans="1:17" s="3058" customFormat="1" ht="14.6" hidden="1" x14ac:dyDescent="0.4">
      <c r="A301" s="3098"/>
      <c r="B301" s="4055"/>
      <c r="C301" s="3049" t="s">
        <v>930</v>
      </c>
      <c r="D301" s="3049" t="s">
        <v>778</v>
      </c>
      <c r="E301" s="3047">
        <f t="shared" si="9"/>
        <v>0.69444444444444442</v>
      </c>
      <c r="F301" s="3046">
        <f>IF($D301="Trigger",VLOOKUP($C301,'Upper Hot Cell Welding failures'!$E$229:$I$283,5,FALSE),E301+F300)</f>
        <v>59.842608841211309</v>
      </c>
      <c r="G301" s="3050"/>
      <c r="H301" s="3046" t="str">
        <f>IF(D301="operation",VLOOKUP(G301,'Generic Vertical Port Tasks'!C249:D282,2,FALSE),"N/A")</f>
        <v>N/A</v>
      </c>
      <c r="I301" s="3049" t="s">
        <v>857</v>
      </c>
      <c r="J301" s="3049" t="s">
        <v>452</v>
      </c>
      <c r="K301" s="3049" t="s">
        <v>858</v>
      </c>
      <c r="L301" s="3047">
        <f>IFERROR(INDEX('Upper Hot Cell Logistics'!$I$35:$O$41,MATCH($J301,'Upper Hot Cell Logistics'!$H$35:$H$41,0),MATCH($K301,'Upper Hot Cell Logistics'!$H$35:$H$41,0)),"N/A")</f>
        <v>50</v>
      </c>
      <c r="M301" s="3047">
        <f>IFERROR(VLOOKUP($I301,'Upper Hot Cell Logistics'!$H$4:$I$9,2,FALSE),"N/A")</f>
        <v>0.02</v>
      </c>
      <c r="N301" s="3059">
        <f t="shared" si="10"/>
        <v>0.69444444444444442</v>
      </c>
      <c r="O301" s="3051"/>
      <c r="P301" s="3046" t="str">
        <f>IF($D301="Logistics",VLOOKUP($O301,'Upper Hot Cell Logistics'!$C$4:$D$44,2,FALSE),"N/A")</f>
        <v>N/A</v>
      </c>
      <c r="Q301" s="3023"/>
    </row>
    <row r="302" spans="1:17" s="3058" customFormat="1" ht="13.5" hidden="1" customHeight="1" x14ac:dyDescent="0.4">
      <c r="A302" s="3098"/>
      <c r="B302" s="4055"/>
      <c r="C302" s="3049" t="s">
        <v>970</v>
      </c>
      <c r="D302" s="3049" t="s">
        <v>3</v>
      </c>
      <c r="E302" s="3047">
        <f t="shared" si="9"/>
        <v>0.78</v>
      </c>
      <c r="F302" s="3046">
        <f>IF($D302="Trigger",VLOOKUP($C302,'Upper Hot Cell Welding failures'!$E$229:$I$283,5,FALSE),E302+F301)</f>
        <v>60.62260884121131</v>
      </c>
      <c r="G302" s="3050"/>
      <c r="H302" s="3046" t="str">
        <f>IF(D302="operation",VLOOKUP(G302,'Generic Vertical Port Tasks'!C249:D282,2,FALSE),"N/A")</f>
        <v>N/A</v>
      </c>
      <c r="I302" s="3049"/>
      <c r="J302" s="3049"/>
      <c r="K302" s="3049"/>
      <c r="L302" s="3047" t="str">
        <f>IFERROR(INDEX('Upper Hot Cell Logistics'!$I$35:$O$41,MATCH($J302,'Upper Hot Cell Logistics'!$H$35:$H$41,0),MATCH($K302,'Upper Hot Cell Logistics'!$H$35:$H$41,0)),"N/A")</f>
        <v>N/A</v>
      </c>
      <c r="M302" s="3047" t="str">
        <f>IFERROR(VLOOKUP($I302,'Upper Hot Cell Logistics'!$H$4:$I$9,2,FALSE),"N/A")</f>
        <v>N/A</v>
      </c>
      <c r="N302" s="3059" t="str">
        <f t="shared" si="10"/>
        <v>N/A</v>
      </c>
      <c r="O302" s="3051" t="s">
        <v>1175</v>
      </c>
      <c r="P302" s="3046">
        <f>IF($D302="Logistics",VLOOKUP($O302,'Upper Hot Cell Logistics'!$C$4:$D$44,2,FALSE),"N/A")</f>
        <v>0.78</v>
      </c>
      <c r="Q302" s="3023"/>
    </row>
    <row r="303" spans="1:17" s="3058" customFormat="1" ht="15" hidden="1" thickBot="1" x14ac:dyDescent="0.45">
      <c r="A303" s="3098"/>
      <c r="B303" s="4057"/>
      <c r="C303" s="3053" t="str">
        <f>B300</f>
        <v>LOB Blanket Segment Exported</v>
      </c>
      <c r="D303" s="3053" t="s">
        <v>11</v>
      </c>
      <c r="E303" s="3054">
        <f t="shared" si="9"/>
        <v>0</v>
      </c>
      <c r="F303" s="3055">
        <f>IF($D303="Trigger",VLOOKUP($C303,'Upper Hot Cell Welding failures'!$E$229:$I$283,5,FALSE),E303+F302)</f>
        <v>60.62260884121131</v>
      </c>
      <c r="G303" s="3056"/>
      <c r="H303" s="3055" t="str">
        <f>IF(D303="operation",VLOOKUP(G303,'Generic Vertical Port Tasks'!C249:D282,2,FALSE),"N/A")</f>
        <v>N/A</v>
      </c>
      <c r="I303" s="3053"/>
      <c r="J303" s="3053"/>
      <c r="K303" s="3053"/>
      <c r="L303" s="3054" t="str">
        <f>IFERROR(INDEX('Upper Hot Cell Logistics'!$I$35:$O$41,MATCH($J303,'Upper Hot Cell Logistics'!$H$35:$H$41,0),MATCH($K303,'Upper Hot Cell Logistics'!$H$35:$H$41,0)),"N/A")</f>
        <v>N/A</v>
      </c>
      <c r="M303" s="3054" t="str">
        <f>IFERROR(VLOOKUP($I303,'Upper Hot Cell Logistics'!$H$4:$I$9,2,FALSE),"N/A")</f>
        <v>N/A</v>
      </c>
      <c r="N303" s="3060" t="str">
        <f t="shared" si="10"/>
        <v>N/A</v>
      </c>
      <c r="O303" s="3057"/>
      <c r="P303" s="3055" t="str">
        <f>IF($D303="Logistics",VLOOKUP($O303,'Upper Hot Cell Logistics'!$C$4:$D$44,2,FALSE),"N/A")</f>
        <v>N/A</v>
      </c>
      <c r="Q303" s="3023"/>
    </row>
    <row r="304" spans="1:17" s="3058" customFormat="1" ht="14.6" hidden="1" x14ac:dyDescent="0.4">
      <c r="A304" s="3098"/>
      <c r="B304" s="4054" t="s">
        <v>867</v>
      </c>
      <c r="C304" s="3042" t="str">
        <f>'Upper Hot Cell Welding failures'!E261</f>
        <v>Install ROB Blanket Segment</v>
      </c>
      <c r="D304" s="3042" t="s">
        <v>907</v>
      </c>
      <c r="E304" s="3043">
        <f t="shared" si="9"/>
        <v>0</v>
      </c>
      <c r="F304" s="3044">
        <f>IF($D304="Trigger",VLOOKUP($C304,'Upper Hot Cell Welding failures'!$E$229:$I$283,5,FALSE),E304+F303)</f>
        <v>63.547608841211307</v>
      </c>
      <c r="G304" s="3045"/>
      <c r="H304" s="3044" t="str">
        <f>IF(D304="operation",VLOOKUP(G304,'Generic Vertical Port Tasks'!C249:D284,2,FALSE),"N/A")</f>
        <v>N/A</v>
      </c>
      <c r="I304" s="3042"/>
      <c r="J304" s="3042"/>
      <c r="K304" s="3042"/>
      <c r="L304" s="3043" t="str">
        <f>IFERROR(INDEX('Upper Hot Cell Logistics'!$I$35:$O$41,MATCH($J304,'Upper Hot Cell Logistics'!$H$35:$H$41,0),MATCH($K304,'Upper Hot Cell Logistics'!$H$35:$H$41,0)),"N/A")</f>
        <v>N/A</v>
      </c>
      <c r="M304" s="3043" t="str">
        <f>IFERROR(VLOOKUP($I304,'Upper Hot Cell Logistics'!$H$4:$I$9,2,FALSE),"N/A")</f>
        <v>N/A</v>
      </c>
      <c r="N304" s="3061" t="str">
        <f t="shared" si="10"/>
        <v>N/A</v>
      </c>
      <c r="O304" s="3048"/>
      <c r="P304" s="3044" t="str">
        <f>IF($D304="Logistics",VLOOKUP($O304,'Upper Hot Cell Logistics'!$C$4:$D$44,2,FALSE),"N/A")</f>
        <v>N/A</v>
      </c>
      <c r="Q304" s="3023"/>
    </row>
    <row r="305" spans="1:17" s="3058" customFormat="1" ht="14.6" hidden="1" x14ac:dyDescent="0.4">
      <c r="A305" s="3098"/>
      <c r="B305" s="4055"/>
      <c r="C305" s="3049" t="s">
        <v>926</v>
      </c>
      <c r="D305" s="3049" t="s">
        <v>778</v>
      </c>
      <c r="E305" s="3047">
        <f t="shared" si="9"/>
        <v>0.69444444444444442</v>
      </c>
      <c r="F305" s="3046">
        <f>IF($D305="Trigger",VLOOKUP($C305,'Upper Hot Cell Welding failures'!$E$229:$I$283,5,FALSE),E305+F304)</f>
        <v>64.242053285655757</v>
      </c>
      <c r="G305" s="3050"/>
      <c r="H305" s="3046" t="str">
        <f>IF(D305="operation",VLOOKUP(G305,'Generic Vertical Port Tasks'!C249:D284,2,FALSE),"N/A")</f>
        <v>N/A</v>
      </c>
      <c r="I305" s="3049" t="s">
        <v>857</v>
      </c>
      <c r="J305" s="3049" t="s">
        <v>452</v>
      </c>
      <c r="K305" s="3049" t="s">
        <v>858</v>
      </c>
      <c r="L305" s="3047">
        <f>IFERROR(INDEX('Upper Hot Cell Logistics'!$I$35:$O$41,MATCH($J305,'Upper Hot Cell Logistics'!$H$35:$H$41,0),MATCH($K305,'Upper Hot Cell Logistics'!$H$35:$H$41,0)),"N/A")</f>
        <v>50</v>
      </c>
      <c r="M305" s="3047">
        <f>IFERROR(VLOOKUP($I305,'Upper Hot Cell Logistics'!$H$4:$I$9,2,FALSE),"N/A")</f>
        <v>0.02</v>
      </c>
      <c r="N305" s="3059">
        <f t="shared" si="10"/>
        <v>0.69444444444444442</v>
      </c>
      <c r="O305" s="3051"/>
      <c r="P305" s="3046" t="str">
        <f>IF($D305="Logistics",VLOOKUP($O305,'Upper Hot Cell Logistics'!$C$4:$D$44,2,FALSE),"N/A")</f>
        <v>N/A</v>
      </c>
      <c r="Q305" s="3023"/>
    </row>
    <row r="306" spans="1:17" s="3058" customFormat="1" ht="14.6" hidden="1" x14ac:dyDescent="0.4">
      <c r="A306" s="3098"/>
      <c r="B306" s="4055"/>
      <c r="C306" s="3049" t="s">
        <v>970</v>
      </c>
      <c r="D306" s="3049" t="s">
        <v>3</v>
      </c>
      <c r="E306" s="3047">
        <f t="shared" ref="E306:E336" si="11">MAX($P306,$N306,$H306)</f>
        <v>0.58000000000000007</v>
      </c>
      <c r="F306" s="3046">
        <f>IF($D306="Trigger",VLOOKUP($C306,'Upper Hot Cell Welding failures'!$E$229:$I$283,5,FALSE),E306+F305)</f>
        <v>64.822053285655755</v>
      </c>
      <c r="G306" s="3050"/>
      <c r="H306" s="3046" t="str">
        <f>IF(D306="operation",VLOOKUP(G306,'Generic Vertical Port Tasks'!C249:D284,2,FALSE),"N/A")</f>
        <v>N/A</v>
      </c>
      <c r="I306" s="3049"/>
      <c r="J306" s="3049"/>
      <c r="K306" s="3049"/>
      <c r="L306" s="3047" t="str">
        <f>IFERROR(INDEX('Upper Hot Cell Logistics'!$I$35:$O$41,MATCH($J306,'Upper Hot Cell Logistics'!$H$35:$H$41,0),MATCH($K306,'Upper Hot Cell Logistics'!$H$35:$H$41,0)),"N/A")</f>
        <v>N/A</v>
      </c>
      <c r="M306" s="3047" t="str">
        <f>IFERROR(VLOOKUP($I306,'Upper Hot Cell Logistics'!$H$4:$I$9,2,FALSE),"N/A")</f>
        <v>N/A</v>
      </c>
      <c r="N306" s="3059" t="str">
        <f t="shared" si="10"/>
        <v>N/A</v>
      </c>
      <c r="O306" s="3051" t="s">
        <v>904</v>
      </c>
      <c r="P306" s="3046">
        <f>IF($D306="Logistics",VLOOKUP($O306,'Upper Hot Cell Logistics'!$C$4:$D$44,2,FALSE),"N/A")</f>
        <v>0.58000000000000007</v>
      </c>
      <c r="Q306" s="3023"/>
    </row>
    <row r="307" spans="1:17" s="3058" customFormat="1" ht="15" hidden="1" thickBot="1" x14ac:dyDescent="0.45">
      <c r="A307" s="3098"/>
      <c r="B307" s="4057"/>
      <c r="C307" s="3053" t="str">
        <f>B304</f>
        <v>COB Blanket Segment Exported</v>
      </c>
      <c r="D307" s="3053" t="s">
        <v>11</v>
      </c>
      <c r="E307" s="3054">
        <f t="shared" si="11"/>
        <v>0</v>
      </c>
      <c r="F307" s="3055">
        <f>IF($D307="Trigger",VLOOKUP($C307,'Upper Hot Cell Welding failures'!$E$229:$I$283,5,FALSE),E307+F306)</f>
        <v>64.822053285655755</v>
      </c>
      <c r="G307" s="3056"/>
      <c r="H307" s="3055" t="str">
        <f>IF(D307="operation",VLOOKUP(G307,'Generic Vertical Port Tasks'!C249:D284,2,FALSE),"N/A")</f>
        <v>N/A</v>
      </c>
      <c r="I307" s="3053"/>
      <c r="J307" s="3053"/>
      <c r="K307" s="3053"/>
      <c r="L307" s="3054" t="str">
        <f>IFERROR(INDEX('Upper Hot Cell Logistics'!$I$35:$O$41,MATCH($J307,'Upper Hot Cell Logistics'!$H$35:$H$41,0),MATCH($K307,'Upper Hot Cell Logistics'!$H$35:$H$41,0)),"N/A")</f>
        <v>N/A</v>
      </c>
      <c r="M307" s="3054" t="str">
        <f>IFERROR(VLOOKUP($I307,'Upper Hot Cell Logistics'!$H$4:$I$9,2,FALSE),"N/A")</f>
        <v>N/A</v>
      </c>
      <c r="N307" s="3060" t="str">
        <f t="shared" si="10"/>
        <v>N/A</v>
      </c>
      <c r="O307" s="3057"/>
      <c r="P307" s="3055" t="str">
        <f>IF($D307="Logistics",VLOOKUP($O307,'Upper Hot Cell Logistics'!$C$4:$D$44,2,FALSE),"N/A")</f>
        <v>N/A</v>
      </c>
      <c r="Q307" s="3023"/>
    </row>
    <row r="308" spans="1:17" ht="13.5" hidden="1" customHeight="1" x14ac:dyDescent="0.4">
      <c r="A308" s="3098"/>
      <c r="B308" s="4061" t="s">
        <v>1084</v>
      </c>
      <c r="C308" s="3042" t="str">
        <f>'Upper Hot Cell Welding failures'!E263</f>
        <v>Install LOB Blanket Segment</v>
      </c>
      <c r="D308" s="3042" t="s">
        <v>907</v>
      </c>
      <c r="E308" s="3043">
        <f t="shared" si="11"/>
        <v>0</v>
      </c>
      <c r="F308" s="3044">
        <f>IF($D308="Trigger",VLOOKUP($C308,'Upper Hot Cell Welding failures'!$E$229:$I$283,5,FALSE),E308+F307)</f>
        <v>69.357053285655752</v>
      </c>
      <c r="G308" s="3045"/>
      <c r="H308" s="3044" t="str">
        <f>IF(D308="operation",VLOOKUP(G308,'Generic Vertical Port Tasks'!C243:D282,2,FALSE),"N/A")</f>
        <v>N/A</v>
      </c>
      <c r="I308" s="3042"/>
      <c r="J308" s="3042"/>
      <c r="K308" s="3042"/>
      <c r="L308" s="3043" t="str">
        <f>IFERROR(INDEX('Upper Hot Cell Logistics'!$I$35:$O$41,MATCH($J308,'Upper Hot Cell Logistics'!$H$35:$H$41,0),MATCH($K308,'Upper Hot Cell Logistics'!$H$35:$H$41,0)),"N/A")</f>
        <v>N/A</v>
      </c>
      <c r="M308" s="3043" t="str">
        <f>IFERROR(VLOOKUP($I308,'Upper Hot Cell Logistics'!$H$4:$I$9,2,FALSE),"N/A")</f>
        <v>N/A</v>
      </c>
      <c r="N308" s="3061" t="str">
        <f t="shared" si="10"/>
        <v>N/A</v>
      </c>
      <c r="O308" s="3048"/>
      <c r="P308" s="3044" t="str">
        <f>IF($D308="Logistics",VLOOKUP($O308,'Upper Hot Cell Logistics'!$C$4:$D$44,2,FALSE),"N/A")</f>
        <v>N/A</v>
      </c>
    </row>
    <row r="309" spans="1:17" hidden="1" x14ac:dyDescent="0.4">
      <c r="A309" s="3098"/>
      <c r="B309" s="4062"/>
      <c r="C309" s="3049" t="s">
        <v>921</v>
      </c>
      <c r="D309" s="3049" t="s">
        <v>778</v>
      </c>
      <c r="E309" s="3047">
        <f t="shared" si="11"/>
        <v>0.69444444444444442</v>
      </c>
      <c r="F309" s="3046">
        <f>IF($D309="Trigger",VLOOKUP($C309,'Upper Hot Cell Welding failures'!$E$229:$I$283,5,FALSE),E309+F308)</f>
        <v>70.051497730100195</v>
      </c>
      <c r="G309" s="3050"/>
      <c r="H309" s="3046" t="str">
        <f>IF(D309="operation",VLOOKUP(G309,'Generic Vertical Port Tasks'!C243:D282,2,FALSE),"N/A")</f>
        <v>N/A</v>
      </c>
      <c r="I309" s="3049" t="s">
        <v>857</v>
      </c>
      <c r="J309" s="3049" t="s">
        <v>452</v>
      </c>
      <c r="K309" s="3049" t="s">
        <v>914</v>
      </c>
      <c r="L309" s="3047">
        <f>IFERROR(INDEX('Upper Hot Cell Logistics'!$I$35:$O$41,MATCH($J309,'Upper Hot Cell Logistics'!$H$35:$H$41,0),MATCH($K309,'Upper Hot Cell Logistics'!$H$35:$H$41,0)),"N/A")</f>
        <v>50</v>
      </c>
      <c r="M309" s="3047">
        <f>IFERROR(VLOOKUP($I309,'Upper Hot Cell Logistics'!$H$4:$I$9,2,FALSE),"N/A")</f>
        <v>0.02</v>
      </c>
      <c r="N309" s="3059">
        <f t="shared" si="10"/>
        <v>0.69444444444444442</v>
      </c>
      <c r="O309" s="3051"/>
      <c r="P309" s="3046" t="str">
        <f>IF($D309="Logistics",VLOOKUP($O309,'Upper Hot Cell Logistics'!$C$4:$D$44,2,FALSE),"N/A")</f>
        <v>N/A</v>
      </c>
    </row>
    <row r="310" spans="1:17" hidden="1" x14ac:dyDescent="0.4">
      <c r="A310" s="3098"/>
      <c r="B310" s="4062"/>
      <c r="C310" s="3049" t="s">
        <v>973</v>
      </c>
      <c r="D310" s="3049" t="s">
        <v>3</v>
      </c>
      <c r="E310" s="3047">
        <f t="shared" si="11"/>
        <v>0.68</v>
      </c>
      <c r="F310" s="3046">
        <f>IF($D310="Trigger",VLOOKUP($C310,'Upper Hot Cell Welding failures'!$E$229:$I$283,5,FALSE),E310+F309)</f>
        <v>70.731497730100202</v>
      </c>
      <c r="G310" s="3050"/>
      <c r="H310" s="3046" t="str">
        <f>IF(D310="operation",VLOOKUP(G310,'Generic Vertical Port Tasks'!C243:D282,2,FALSE),"N/A")</f>
        <v>N/A</v>
      </c>
      <c r="I310" s="3049"/>
      <c r="J310" s="3049"/>
      <c r="K310" s="3049"/>
      <c r="L310" s="3047" t="str">
        <f>IFERROR(INDEX('Upper Hot Cell Logistics'!$I$35:$O$41,MATCH($J310,'Upper Hot Cell Logistics'!$H$35:$H$41,0),MATCH($K310,'Upper Hot Cell Logistics'!$H$35:$H$41,0)),"N/A")</f>
        <v>N/A</v>
      </c>
      <c r="M310" s="3047" t="str">
        <f>IFERROR(VLOOKUP($I310,'Upper Hot Cell Logistics'!$H$4:$I$9,2,FALSE),"N/A")</f>
        <v>N/A</v>
      </c>
      <c r="N310" s="3059" t="str">
        <f t="shared" si="10"/>
        <v>N/A</v>
      </c>
      <c r="O310" s="3051" t="s">
        <v>1190</v>
      </c>
      <c r="P310" s="3046">
        <f>IF($D310="Logistics",VLOOKUP($O310,'Upper Hot Cell Logistics'!$C$4:$D$44,2,FALSE),"N/A")</f>
        <v>0.68</v>
      </c>
    </row>
    <row r="311" spans="1:17" hidden="1" x14ac:dyDescent="0.4">
      <c r="A311" s="3098"/>
      <c r="B311" s="4062"/>
      <c r="C311" s="3049" t="s">
        <v>968</v>
      </c>
      <c r="D311" s="3049" t="s">
        <v>778</v>
      </c>
      <c r="E311" s="3047">
        <f t="shared" si="11"/>
        <v>1.3888888888888888E-2</v>
      </c>
      <c r="F311" s="3046">
        <f>IF($D311="Trigger",VLOOKUP($C311,'Upper Hot Cell Welding failures'!$E$229:$I$283,5,FALSE),E311+F310)</f>
        <v>70.745386618989087</v>
      </c>
      <c r="G311" s="3050"/>
      <c r="H311" s="3046" t="str">
        <f>IF(D311="operation",VLOOKUP(G311,'Generic Vertical Port Tasks'!C243:D282,2,FALSE),"N/A")</f>
        <v>N/A</v>
      </c>
      <c r="I311" s="3049" t="s">
        <v>798</v>
      </c>
      <c r="J311" s="3049" t="s">
        <v>831</v>
      </c>
      <c r="K311" s="3049" t="s">
        <v>858</v>
      </c>
      <c r="L311" s="3047">
        <f>IFERROR(INDEX('Upper Hot Cell Logistics'!$I$35:$O$41,MATCH($J311,'Upper Hot Cell Logistics'!$H$35:$H$41,0),MATCH($K311,'Upper Hot Cell Logistics'!$H$35:$H$41,0)),"N/A")</f>
        <v>10</v>
      </c>
      <c r="M311" s="3047">
        <f>IFERROR(VLOOKUP($I311,'Upper Hot Cell Logistics'!$H$4:$I$9,2,FALSE),"N/A")</f>
        <v>0.2</v>
      </c>
      <c r="N311" s="3059">
        <f t="shared" si="10"/>
        <v>1.3888888888888888E-2</v>
      </c>
      <c r="O311" s="3051"/>
      <c r="P311" s="3046" t="str">
        <f>IF($D311="Logistics",VLOOKUP($O311,'Upper Hot Cell Logistics'!$C$4:$D$44,2,FALSE),"N/A")</f>
        <v>N/A</v>
      </c>
    </row>
    <row r="312" spans="1:17" hidden="1" x14ac:dyDescent="0.4">
      <c r="A312" s="3098"/>
      <c r="B312" s="4062"/>
      <c r="C312" s="3049" t="s">
        <v>974</v>
      </c>
      <c r="D312" s="3049" t="s">
        <v>3</v>
      </c>
      <c r="E312" s="3047">
        <f t="shared" si="11"/>
        <v>0.58000000000000007</v>
      </c>
      <c r="F312" s="3046">
        <f>IF($D312="Trigger",VLOOKUP($C312,'Upper Hot Cell Welding failures'!$E$229:$I$283,5,FALSE),E312+F311)</f>
        <v>71.325386618989086</v>
      </c>
      <c r="G312" s="3050"/>
      <c r="H312" s="3046" t="str">
        <f>IF(D312="operation",VLOOKUP(G312,'Generic Vertical Port Tasks'!C243:D282,2,FALSE),"N/A")</f>
        <v>N/A</v>
      </c>
      <c r="I312" s="3049"/>
      <c r="J312" s="3049"/>
      <c r="K312" s="3049"/>
      <c r="L312" s="3047" t="str">
        <f>IFERROR(INDEX('Upper Hot Cell Logistics'!$I$35:$O$41,MATCH($J312,'Upper Hot Cell Logistics'!$H$35:$H$41,0),MATCH($K312,'Upper Hot Cell Logistics'!$H$35:$H$41,0)),"N/A")</f>
        <v>N/A</v>
      </c>
      <c r="M312" s="3047" t="str">
        <f>IFERROR(VLOOKUP($I312,'Upper Hot Cell Logistics'!$H$4:$I$9,2,FALSE),"N/A")</f>
        <v>N/A</v>
      </c>
      <c r="N312" s="3059" t="str">
        <f t="shared" si="10"/>
        <v>N/A</v>
      </c>
      <c r="O312" s="3051" t="s">
        <v>796</v>
      </c>
      <c r="P312" s="3046">
        <f>IF($D312="Logistics",VLOOKUP($O312,'Upper Hot Cell Logistics'!$C$4:$D$44,2,FALSE),"N/A")</f>
        <v>0.58000000000000007</v>
      </c>
    </row>
    <row r="313" spans="1:17" hidden="1" x14ac:dyDescent="0.4">
      <c r="A313" s="3098"/>
      <c r="B313" s="4062"/>
      <c r="C313" s="3049" t="s">
        <v>968</v>
      </c>
      <c r="D313" s="3049" t="s">
        <v>778</v>
      </c>
      <c r="E313" s="3047">
        <f t="shared" si="11"/>
        <v>2.7777777777777776E-2</v>
      </c>
      <c r="F313" s="3046">
        <f>IF($D313="Trigger",VLOOKUP($C313,'Upper Hot Cell Welding failures'!$E$229:$I$283,5,FALSE),E313+F312)</f>
        <v>71.353164396766857</v>
      </c>
      <c r="G313" s="3050"/>
      <c r="H313" s="3046" t="str">
        <f>IF(D313="operation",VLOOKUP(G313,'Generic Vertical Port Tasks'!C243:D282,2,FALSE),"N/A")</f>
        <v>N/A</v>
      </c>
      <c r="I313" s="3049" t="s">
        <v>798</v>
      </c>
      <c r="J313" s="3049" t="s">
        <v>799</v>
      </c>
      <c r="K313" s="3049" t="s">
        <v>858</v>
      </c>
      <c r="L313" s="3047">
        <f>IFERROR(INDEX('Upper Hot Cell Logistics'!$I$35:$O$41,MATCH($J313,'Upper Hot Cell Logistics'!$H$35:$H$41,0),MATCH($K313,'Upper Hot Cell Logistics'!$H$35:$H$41,0)),"N/A")</f>
        <v>20</v>
      </c>
      <c r="M313" s="3047">
        <f>IFERROR(VLOOKUP($I313,'Upper Hot Cell Logistics'!$H$4:$I$9,2,FALSE),"N/A")</f>
        <v>0.2</v>
      </c>
      <c r="N313" s="3059">
        <f t="shared" si="10"/>
        <v>2.7777777777777776E-2</v>
      </c>
      <c r="O313" s="3051"/>
      <c r="P313" s="3046" t="str">
        <f>IF($D313="Logistics",VLOOKUP($O313,'Upper Hot Cell Logistics'!$C$4:$D$44,2,FALSE),"N/A")</f>
        <v>N/A</v>
      </c>
    </row>
    <row r="314" spans="1:17" hidden="1" x14ac:dyDescent="0.4">
      <c r="A314" s="3098"/>
      <c r="B314" s="4062"/>
      <c r="C314" s="3049" t="s">
        <v>975</v>
      </c>
      <c r="D314" s="3049" t="s">
        <v>3</v>
      </c>
      <c r="E314" s="3047">
        <f t="shared" si="11"/>
        <v>0.78</v>
      </c>
      <c r="F314" s="3046">
        <f>IF($D314="Trigger",VLOOKUP($C314,'Upper Hot Cell Welding failures'!$E$229:$I$283,5,FALSE),E314+F313)</f>
        <v>72.133164396766858</v>
      </c>
      <c r="G314" s="3050"/>
      <c r="H314" s="3046" t="str">
        <f>IF(D314="operation",VLOOKUP(G314,'Generic Vertical Port Tasks'!C243:D282,2,FALSE),"N/A")</f>
        <v>N/A</v>
      </c>
      <c r="I314" s="3049"/>
      <c r="J314" s="3049"/>
      <c r="K314" s="3049"/>
      <c r="L314" s="3047" t="str">
        <f>IFERROR(INDEX('Upper Hot Cell Logistics'!$I$35:$O$41,MATCH($J314,'Upper Hot Cell Logistics'!$H$35:$H$41,0),MATCH($K314,'Upper Hot Cell Logistics'!$H$35:$H$41,0)),"N/A")</f>
        <v>N/A</v>
      </c>
      <c r="M314" s="3047" t="str">
        <f>IFERROR(VLOOKUP($I314,'Upper Hot Cell Logistics'!$H$4:$I$9,2,FALSE),"N/A")</f>
        <v>N/A</v>
      </c>
      <c r="N314" s="3059" t="str">
        <f t="shared" si="10"/>
        <v>N/A</v>
      </c>
      <c r="O314" s="3051" t="s">
        <v>1175</v>
      </c>
      <c r="P314" s="3046">
        <f>IF($D314="Logistics",VLOOKUP($O314,'Upper Hot Cell Logistics'!$C$4:$D$44,2,FALSE),"N/A")</f>
        <v>0.78</v>
      </c>
    </row>
    <row r="315" spans="1:17" ht="26.15" hidden="1" thickBot="1" x14ac:dyDescent="0.45">
      <c r="A315" s="3098"/>
      <c r="B315" s="4063"/>
      <c r="C315" s="3053" t="str">
        <f>B308</f>
        <v>Blanket Transporter stored &amp; Pipe Module interface hardware Collected &amp; RIB Pipe Module Exported</v>
      </c>
      <c r="D315" s="3053" t="s">
        <v>11</v>
      </c>
      <c r="E315" s="3054">
        <f t="shared" si="11"/>
        <v>0</v>
      </c>
      <c r="F315" s="3055">
        <f>IF($D315="Trigger",VLOOKUP($C315,'Upper Hot Cell Welding failures'!$E$229:$I$283,5,FALSE),E315+F314)</f>
        <v>72.133164396766858</v>
      </c>
      <c r="G315" s="3056"/>
      <c r="H315" s="3055" t="str">
        <f>IF(D315="operation",VLOOKUP(G315,'Generic Vertical Port Tasks'!C243:D282,2,FALSE),"N/A")</f>
        <v>N/A</v>
      </c>
      <c r="I315" s="3053"/>
      <c r="J315" s="3053"/>
      <c r="K315" s="3053"/>
      <c r="L315" s="3054" t="str">
        <f>IFERROR(INDEX('Upper Hot Cell Logistics'!$I$35:$O$41,MATCH($J315,'Upper Hot Cell Logistics'!$H$35:$H$41,0),MATCH($K315,'Upper Hot Cell Logistics'!$H$35:$H$41,0)),"N/A")</f>
        <v>N/A</v>
      </c>
      <c r="M315" s="3054" t="str">
        <f>IFERROR(VLOOKUP($I315,'Upper Hot Cell Logistics'!$H$4:$I$9,2,FALSE),"N/A")</f>
        <v>N/A</v>
      </c>
      <c r="N315" s="3060" t="str">
        <f t="shared" si="10"/>
        <v>N/A</v>
      </c>
      <c r="O315" s="3057"/>
      <c r="P315" s="3055" t="str">
        <f>IF($D315="Logistics",VLOOKUP($O315,'Upper Hot Cell Logistics'!$C$4:$D$44,2,FALSE),"N/A")</f>
        <v>N/A</v>
      </c>
    </row>
    <row r="316" spans="1:17" ht="13.5" hidden="1" customHeight="1" x14ac:dyDescent="0.4">
      <c r="A316" s="3098"/>
      <c r="B316" s="4054" t="s">
        <v>871</v>
      </c>
      <c r="C316" s="3042" t="str">
        <f>'Upper Hot Cell Welding failures'!E265</f>
        <v>Install COB Blanket Segment</v>
      </c>
      <c r="D316" s="3042" t="s">
        <v>907</v>
      </c>
      <c r="E316" s="3043">
        <f t="shared" si="11"/>
        <v>0</v>
      </c>
      <c r="F316" s="3044">
        <f>IF($D316="Trigger",VLOOKUP($C316,'Upper Hot Cell Welding failures'!$E$229:$I$283,5,FALSE),E316+F315)</f>
        <v>75.16649773010019</v>
      </c>
      <c r="G316" s="3045"/>
      <c r="H316" s="3044" t="str">
        <f>IF(D316="operation",VLOOKUP(G316,'Generic Vertical Port Tasks'!C246:D291,2,FALSE),"N/A")</f>
        <v>N/A</v>
      </c>
      <c r="I316" s="3042"/>
      <c r="J316" s="3042"/>
      <c r="K316" s="3042"/>
      <c r="L316" s="3043" t="str">
        <f>IFERROR(INDEX('Upper Hot Cell Logistics'!$I$35:$O$41,MATCH($J316,'Upper Hot Cell Logistics'!$H$35:$H$41,0),MATCH($K316,'Upper Hot Cell Logistics'!$H$35:$H$41,0)),"N/A")</f>
        <v>N/A</v>
      </c>
      <c r="M316" s="3043" t="str">
        <f>IFERROR(VLOOKUP($I316,'Upper Hot Cell Logistics'!$H$4:$I$9,2,FALSE),"N/A")</f>
        <v>N/A</v>
      </c>
      <c r="N316" s="3061" t="str">
        <f t="shared" si="10"/>
        <v>N/A</v>
      </c>
      <c r="O316" s="3048"/>
      <c r="P316" s="3044" t="str">
        <f>IF($D316="Logistics",VLOOKUP($O316,'Upper Hot Cell Logistics'!$C$4:$D$44,2,FALSE),"N/A")</f>
        <v>N/A</v>
      </c>
    </row>
    <row r="317" spans="1:17" hidden="1" x14ac:dyDescent="0.4">
      <c r="A317" s="3098"/>
      <c r="B317" s="4055"/>
      <c r="C317" s="3049" t="s">
        <v>913</v>
      </c>
      <c r="D317" s="3049" t="s">
        <v>778</v>
      </c>
      <c r="E317" s="3047">
        <f t="shared" si="11"/>
        <v>0.69444444444444442</v>
      </c>
      <c r="F317" s="3046">
        <f>IF($D317="Trigger",VLOOKUP($C317,'Upper Hot Cell Welding failures'!$E$229:$I$283,5,FALSE),E317+F316)</f>
        <v>75.860942174544633</v>
      </c>
      <c r="G317" s="3050"/>
      <c r="H317" s="3046" t="str">
        <f>IF(D317="operation",VLOOKUP(G317,'Generic Vertical Port Tasks'!C246:D291,2,FALSE),"N/A")</f>
        <v>N/A</v>
      </c>
      <c r="I317" s="3049" t="s">
        <v>857</v>
      </c>
      <c r="J317" s="3049" t="s">
        <v>452</v>
      </c>
      <c r="K317" s="3049" t="s">
        <v>914</v>
      </c>
      <c r="L317" s="3047">
        <f>IFERROR(INDEX('Upper Hot Cell Logistics'!$I$35:$O$41,MATCH($J317,'Upper Hot Cell Logistics'!$H$35:$H$41,0),MATCH($K317,'Upper Hot Cell Logistics'!$H$35:$H$41,0)),"N/A")</f>
        <v>50</v>
      </c>
      <c r="M317" s="3047">
        <f>IFERROR(VLOOKUP($I317,'Upper Hot Cell Logistics'!$H$4:$I$9,2,FALSE),"N/A")</f>
        <v>0.02</v>
      </c>
      <c r="N317" s="3059">
        <f t="shared" si="10"/>
        <v>0.69444444444444442</v>
      </c>
      <c r="O317" s="3051"/>
      <c r="P317" s="3046" t="str">
        <f>IF($D317="Logistics",VLOOKUP($O317,'Upper Hot Cell Logistics'!$C$4:$D$44,2,FALSE),"N/A")</f>
        <v>N/A</v>
      </c>
    </row>
    <row r="318" spans="1:17" hidden="1" x14ac:dyDescent="0.4">
      <c r="A318" s="3098"/>
      <c r="B318" s="4055"/>
      <c r="C318" s="3049" t="s">
        <v>973</v>
      </c>
      <c r="D318" s="3049" t="s">
        <v>3</v>
      </c>
      <c r="E318" s="3047">
        <f t="shared" si="11"/>
        <v>0.68</v>
      </c>
      <c r="F318" s="3046">
        <f>IF($D318="Trigger",VLOOKUP($C318,'Upper Hot Cell Welding failures'!$E$229:$I$283,5,FALSE),E318+F317)</f>
        <v>76.540942174544639</v>
      </c>
      <c r="G318" s="3050"/>
      <c r="H318" s="3046" t="str">
        <f>IF(D318="operation",VLOOKUP(G318,'Generic Vertical Port Tasks'!C246:D291,2,FALSE),"N/A")</f>
        <v>N/A</v>
      </c>
      <c r="I318" s="3049"/>
      <c r="J318" s="3049"/>
      <c r="K318" s="3049"/>
      <c r="L318" s="3047" t="str">
        <f>IFERROR(INDEX('Upper Hot Cell Logistics'!$I$35:$O$41,MATCH($J318,'Upper Hot Cell Logistics'!$H$35:$H$41,0),MATCH($K318,'Upper Hot Cell Logistics'!$H$35:$H$41,0)),"N/A")</f>
        <v>N/A</v>
      </c>
      <c r="M318" s="3047" t="str">
        <f>IFERROR(VLOOKUP($I318,'Upper Hot Cell Logistics'!$H$4:$I$9,2,FALSE),"N/A")</f>
        <v>N/A</v>
      </c>
      <c r="N318" s="3059" t="str">
        <f t="shared" si="10"/>
        <v>N/A</v>
      </c>
      <c r="O318" s="3051" t="s">
        <v>1190</v>
      </c>
      <c r="P318" s="3046">
        <f>IF($D318="Logistics",VLOOKUP($O318,'Upper Hot Cell Logistics'!$C$4:$D$44,2,FALSE),"N/A")</f>
        <v>0.68</v>
      </c>
    </row>
    <row r="319" spans="1:17" hidden="1" x14ac:dyDescent="0.4">
      <c r="A319" s="3098"/>
      <c r="B319" s="4055"/>
      <c r="C319" s="3049" t="s">
        <v>976</v>
      </c>
      <c r="D319" s="3049" t="s">
        <v>778</v>
      </c>
      <c r="E319" s="3047">
        <f t="shared" si="11"/>
        <v>1.3888888888888888E-2</v>
      </c>
      <c r="F319" s="3046">
        <f>IF($D319="Trigger",VLOOKUP($C319,'Upper Hot Cell Welding failures'!$E$229:$I$283,5,FALSE),E319+F318)</f>
        <v>76.554831063433525</v>
      </c>
      <c r="G319" s="3050"/>
      <c r="H319" s="3046" t="str">
        <f>IF(D319="operation",VLOOKUP(G319,'Generic Vertical Port Tasks'!C246:D291,2,FALSE),"N/A")</f>
        <v>N/A</v>
      </c>
      <c r="I319" s="3049" t="s">
        <v>798</v>
      </c>
      <c r="J319" s="3049" t="s">
        <v>831</v>
      </c>
      <c r="K319" s="3049" t="s">
        <v>858</v>
      </c>
      <c r="L319" s="3047">
        <f>IFERROR(INDEX('Upper Hot Cell Logistics'!$I$35:$O$41,MATCH($J319,'Upper Hot Cell Logistics'!$H$35:$H$41,0),MATCH($K319,'Upper Hot Cell Logistics'!$H$35:$H$41,0)),"N/A")</f>
        <v>10</v>
      </c>
      <c r="M319" s="3047">
        <f>IFERROR(VLOOKUP($I319,'Upper Hot Cell Logistics'!$H$4:$I$9,2,FALSE),"N/A")</f>
        <v>0.2</v>
      </c>
      <c r="N319" s="3059">
        <f t="shared" si="10"/>
        <v>1.3888888888888888E-2</v>
      </c>
      <c r="O319" s="3051"/>
      <c r="P319" s="3046" t="str">
        <f>IF($D319="Logistics",VLOOKUP($O319,'Upper Hot Cell Logistics'!$C$4:$D$44,2,FALSE),"N/A")</f>
        <v>N/A</v>
      </c>
    </row>
    <row r="320" spans="1:17" hidden="1" x14ac:dyDescent="0.4">
      <c r="A320" s="3098"/>
      <c r="B320" s="4055"/>
      <c r="C320" s="3049" t="s">
        <v>933</v>
      </c>
      <c r="D320" s="3049" t="s">
        <v>3</v>
      </c>
      <c r="E320" s="3047">
        <f t="shared" si="11"/>
        <v>1.08</v>
      </c>
      <c r="F320" s="3046">
        <f>IF($D320="Trigger",VLOOKUP($C320,'Upper Hot Cell Welding failures'!$E$229:$I$283,5,FALSE),E320+F319)</f>
        <v>77.634831063433523</v>
      </c>
      <c r="G320" s="3050"/>
      <c r="H320" s="3046" t="str">
        <f>IF(D320="operation",VLOOKUP(G320,'Generic Vertical Port Tasks'!C246:D291,2,FALSE),"N/A")</f>
        <v>N/A</v>
      </c>
      <c r="I320" s="3049"/>
      <c r="J320" s="3049"/>
      <c r="K320" s="3049"/>
      <c r="L320" s="3047" t="str">
        <f>IFERROR(INDEX('Upper Hot Cell Logistics'!$I$35:$O$41,MATCH($J320,'Upper Hot Cell Logistics'!$H$35:$H$41,0),MATCH($K320,'Upper Hot Cell Logistics'!$H$35:$H$41,0)),"N/A")</f>
        <v>N/A</v>
      </c>
      <c r="M320" s="3047" t="str">
        <f>IFERROR(VLOOKUP($I320,'Upper Hot Cell Logistics'!$H$4:$I$9,2,FALSE),"N/A")</f>
        <v>N/A</v>
      </c>
      <c r="N320" s="3059" t="str">
        <f t="shared" si="10"/>
        <v>N/A</v>
      </c>
      <c r="O320" s="3051" t="s">
        <v>1179</v>
      </c>
      <c r="P320" s="3046">
        <f>IF($D320="Logistics",VLOOKUP($O320,'Upper Hot Cell Logistics'!$C$4:$D$44,2,FALSE),"N/A")</f>
        <v>1.08</v>
      </c>
    </row>
    <row r="321" spans="1:16" ht="13.3" hidden="1" thickBot="1" x14ac:dyDescent="0.45">
      <c r="A321" s="3098"/>
      <c r="B321" s="4057"/>
      <c r="C321" s="3053" t="str">
        <f>B316</f>
        <v>Blanket Transporter stored &amp; Service Joint System Collected</v>
      </c>
      <c r="D321" s="3053" t="s">
        <v>11</v>
      </c>
      <c r="E321" s="3054">
        <f t="shared" si="11"/>
        <v>0</v>
      </c>
      <c r="F321" s="3046">
        <f>IF($D321="Trigger",VLOOKUP($C321,'Upper Hot Cell Welding failures'!$E$229:$I$283,5,FALSE),E321+F320)</f>
        <v>77.634831063433523</v>
      </c>
      <c r="G321" s="3056"/>
      <c r="H321" s="3055" t="str">
        <f>IF(D321="operation",VLOOKUP(G321,'Generic Vertical Port Tasks'!C246:D291,2,FALSE),"N/A")</f>
        <v>N/A</v>
      </c>
      <c r="I321" s="3053"/>
      <c r="J321" s="3053"/>
      <c r="K321" s="3053"/>
      <c r="L321" s="3054" t="str">
        <f>IFERROR(INDEX('Upper Hot Cell Logistics'!$I$35:$O$41,MATCH($J321,'Upper Hot Cell Logistics'!$H$35:$H$41,0),MATCH($K321,'Upper Hot Cell Logistics'!$H$35:$H$41,0)),"N/A")</f>
        <v>N/A</v>
      </c>
      <c r="M321" s="3054" t="str">
        <f>IFERROR(VLOOKUP($I321,'Upper Hot Cell Logistics'!$H$4:$I$9,2,FALSE),"N/A")</f>
        <v>N/A</v>
      </c>
      <c r="N321" s="3060" t="str">
        <f t="shared" si="10"/>
        <v>N/A</v>
      </c>
      <c r="O321" s="3057"/>
      <c r="P321" s="3055" t="str">
        <f>IF($D321="Logistics",VLOOKUP($O321,'Upper Hot Cell Logistics'!$C$4:$D$44,2,FALSE),"N/A")</f>
        <v>N/A</v>
      </c>
    </row>
    <row r="322" spans="1:16" ht="13.5" hidden="1" customHeight="1" x14ac:dyDescent="0.4">
      <c r="A322" s="3098"/>
      <c r="B322" s="4054" t="s">
        <v>874</v>
      </c>
      <c r="C322" s="3042" t="str">
        <f>'Upper Hot Cell Welding failures'!E267</f>
        <v>Insert RIB Pipe Module</v>
      </c>
      <c r="D322" s="3042" t="s">
        <v>907</v>
      </c>
      <c r="E322" s="3043">
        <f t="shared" si="11"/>
        <v>0</v>
      </c>
      <c r="F322" s="3044">
        <f>IF($D322="Trigger",VLOOKUP($C322,'Upper Hot Cell Welding failures'!$E$229:$I$283,5,FALSE),E322+F321)</f>
        <v>79.955942174544631</v>
      </c>
      <c r="G322" s="3045"/>
      <c r="H322" s="3044" t="str">
        <f>IF(D322="operation",VLOOKUP(G322,'Generic Vertical Port Tasks'!C251:D307,2,FALSE),"N/A")</f>
        <v>N/A</v>
      </c>
      <c r="I322" s="3042"/>
      <c r="J322" s="3042"/>
      <c r="K322" s="3042"/>
      <c r="L322" s="3043" t="str">
        <f>IFERROR(INDEX('Upper Hot Cell Logistics'!$I$35:$O$41,MATCH($J322,'Upper Hot Cell Logistics'!$H$35:$H$41,0),MATCH($K322,'Upper Hot Cell Logistics'!$H$35:$H$41,0)),"N/A")</f>
        <v>N/A</v>
      </c>
      <c r="M322" s="3043" t="str">
        <f>IFERROR(VLOOKUP($I322,'Upper Hot Cell Logistics'!$H$4:$I$9,2,FALSE),"N/A")</f>
        <v>N/A</v>
      </c>
      <c r="N322" s="3061" t="str">
        <f t="shared" si="10"/>
        <v>N/A</v>
      </c>
      <c r="O322" s="3048"/>
      <c r="P322" s="3044" t="str">
        <f>IF($D322="Logistics",VLOOKUP($O322,'Upper Hot Cell Logistics'!$C$4:$D$44,2,FALSE),"N/A")</f>
        <v>N/A</v>
      </c>
    </row>
    <row r="323" spans="1:16" hidden="1" x14ac:dyDescent="0.4">
      <c r="A323" s="3098"/>
      <c r="B323" s="4055"/>
      <c r="C323" s="3049" t="s">
        <v>968</v>
      </c>
      <c r="D323" s="3049" t="s">
        <v>778</v>
      </c>
      <c r="E323" s="3047">
        <f t="shared" si="11"/>
        <v>6.9444444444444448E-2</v>
      </c>
      <c r="F323" s="3046">
        <f>IF($D323="Trigger",VLOOKUP($C323,'Upper Hot Cell Welding failures'!$E$229:$I$283,5,FALSE),E323+F322)</f>
        <v>80.025386618989074</v>
      </c>
      <c r="G323" s="3050"/>
      <c r="H323" s="3046" t="str">
        <f>IF(D323="operation",VLOOKUP(G323,'Generic Vertical Port Tasks'!C251:D308,2,FALSE),"N/A")</f>
        <v>N/A</v>
      </c>
      <c r="I323" s="3049" t="s">
        <v>798</v>
      </c>
      <c r="J323" s="3049" t="s">
        <v>452</v>
      </c>
      <c r="K323" s="3049" t="s">
        <v>858</v>
      </c>
      <c r="L323" s="3047">
        <f>IFERROR(INDEX('Upper Hot Cell Logistics'!$I$35:$O$41,MATCH($J323,'Upper Hot Cell Logistics'!$H$35:$H$41,0),MATCH($K323,'Upper Hot Cell Logistics'!$H$35:$H$41,0)),"N/A")</f>
        <v>50</v>
      </c>
      <c r="M323" s="3047">
        <f>IFERROR(VLOOKUP($I323,'Upper Hot Cell Logistics'!$H$4:$I$9,2,FALSE),"N/A")</f>
        <v>0.2</v>
      </c>
      <c r="N323" s="3059">
        <f t="shared" si="10"/>
        <v>6.9444444444444448E-2</v>
      </c>
      <c r="O323" s="3051"/>
      <c r="P323" s="3046" t="str">
        <f>IF($D323="Logistics",VLOOKUP($O323,'Upper Hot Cell Logistics'!$C$4:$D$44,2,FALSE),"N/A")</f>
        <v>N/A</v>
      </c>
    </row>
    <row r="324" spans="1:16" hidden="1" x14ac:dyDescent="0.4">
      <c r="A324" s="3098"/>
      <c r="B324" s="4055"/>
      <c r="C324" s="3049" t="s">
        <v>978</v>
      </c>
      <c r="D324" s="3049" t="s">
        <v>3</v>
      </c>
      <c r="E324" s="3047">
        <f t="shared" si="11"/>
        <v>0.78</v>
      </c>
      <c r="F324" s="3046">
        <f>IF($D324="Trigger",VLOOKUP($C324,'Upper Hot Cell Welding failures'!$E$229:$I$283,5,FALSE),E324+F323)</f>
        <v>80.805386618989075</v>
      </c>
      <c r="G324" s="3050"/>
      <c r="H324" s="3046" t="str">
        <f>IF(D324="operation",VLOOKUP(G324,'Generic Vertical Port Tasks'!C251:D309,2,FALSE),"N/A")</f>
        <v>N/A</v>
      </c>
      <c r="I324" s="3049"/>
      <c r="J324" s="3049"/>
      <c r="K324" s="3049"/>
      <c r="L324" s="3047" t="str">
        <f>IFERROR(INDEX('Upper Hot Cell Logistics'!$I$35:$O$41,MATCH($J324,'Upper Hot Cell Logistics'!$H$35:$H$41,0),MATCH($K324,'Upper Hot Cell Logistics'!$H$35:$H$41,0)),"N/A")</f>
        <v>N/A</v>
      </c>
      <c r="M324" s="3047" t="str">
        <f>IFERROR(VLOOKUP($I324,'Upper Hot Cell Logistics'!$H$4:$I$9,2,FALSE),"N/A")</f>
        <v>N/A</v>
      </c>
      <c r="N324" s="3059" t="str">
        <f t="shared" si="10"/>
        <v>N/A</v>
      </c>
      <c r="O324" s="3051" t="s">
        <v>1175</v>
      </c>
      <c r="P324" s="3046">
        <f>IF($D324="Logistics",VLOOKUP($O324,'Upper Hot Cell Logistics'!$C$4:$D$44,2,FALSE),"N/A")</f>
        <v>0.78</v>
      </c>
    </row>
    <row r="325" spans="1:16" ht="13.3" hidden="1" thickBot="1" x14ac:dyDescent="0.45">
      <c r="A325" s="3098"/>
      <c r="B325" s="4057"/>
      <c r="C325" s="3053" t="str">
        <f>B322</f>
        <v>LIB Pipe Module Exported</v>
      </c>
      <c r="D325" s="3053" t="s">
        <v>11</v>
      </c>
      <c r="E325" s="3054">
        <f t="shared" si="11"/>
        <v>0</v>
      </c>
      <c r="F325" s="3055">
        <f>IF($D325="Trigger",VLOOKUP($C325,'Upper Hot Cell Welding failures'!$E$229:$I$283,5,FALSE),E325+F324)</f>
        <v>80.805386618989075</v>
      </c>
      <c r="G325" s="3056"/>
      <c r="H325" s="3055" t="str">
        <f>IF(D325="operation",VLOOKUP(G325,'Generic Vertical Port Tasks'!C251:D310,2,FALSE),"N/A")</f>
        <v>N/A</v>
      </c>
      <c r="I325" s="3053"/>
      <c r="J325" s="3053"/>
      <c r="K325" s="3053"/>
      <c r="L325" s="3054" t="str">
        <f>IFERROR(INDEX('Upper Hot Cell Logistics'!$I$35:$O$41,MATCH($J325,'Upper Hot Cell Logistics'!$H$35:$H$41,0),MATCH($K325,'Upper Hot Cell Logistics'!$H$35:$H$41,0)),"N/A")</f>
        <v>N/A</v>
      </c>
      <c r="M325" s="3054" t="str">
        <f>IFERROR(VLOOKUP($I325,'Upper Hot Cell Logistics'!$H$4:$I$9,2,FALSE),"N/A")</f>
        <v>N/A</v>
      </c>
      <c r="N325" s="3060" t="str">
        <f t="shared" si="10"/>
        <v>N/A</v>
      </c>
      <c r="O325" s="3057"/>
      <c r="P325" s="3055" t="str">
        <f>IF($D325="Logistics",VLOOKUP($O325,'Upper Hot Cell Logistics'!$C$4:$D$44,2,FALSE),"N/A")</f>
        <v>N/A</v>
      </c>
    </row>
    <row r="326" spans="1:16" hidden="1" x14ac:dyDescent="0.4">
      <c r="A326" s="3098"/>
      <c r="B326" s="4054" t="s">
        <v>879</v>
      </c>
      <c r="C326" s="3042" t="str">
        <f>'Upper Hot Cell Welding failures'!E273</f>
        <v>Insert LIB Pipe Module</v>
      </c>
      <c r="D326" s="3042" t="s">
        <v>907</v>
      </c>
      <c r="E326" s="3043">
        <f t="shared" si="11"/>
        <v>0</v>
      </c>
      <c r="F326" s="3044">
        <f>IF($D326="Trigger",VLOOKUP($C326,'Upper Hot Cell Welding failures'!$E$229:$I$283,5,FALSE),E326+F325)</f>
        <v>153.57947694168195</v>
      </c>
      <c r="G326" s="3045"/>
      <c r="H326" s="3044" t="str">
        <f>IF(D326="operation",VLOOKUP(G326,'Generic Vertical Port Tasks'!C251:D311,2,FALSE),"N/A")</f>
        <v>N/A</v>
      </c>
      <c r="I326" s="3042"/>
      <c r="J326" s="3042"/>
      <c r="K326" s="3042"/>
      <c r="L326" s="3043" t="str">
        <f>IFERROR(INDEX('Upper Hot Cell Logistics'!$I$35:$O$41,MATCH($J326,'Upper Hot Cell Logistics'!$H$35:$H$41,0),MATCH($K326,'Upper Hot Cell Logistics'!$H$35:$H$41,0)),"N/A")</f>
        <v>N/A</v>
      </c>
      <c r="M326" s="3043" t="str">
        <f>IFERROR(VLOOKUP($I326,'Upper Hot Cell Logistics'!$H$4:$I$9,2,FALSE),"N/A")</f>
        <v>N/A</v>
      </c>
      <c r="N326" s="3061" t="str">
        <f t="shared" si="10"/>
        <v>N/A</v>
      </c>
      <c r="O326" s="3048"/>
      <c r="P326" s="3044" t="str">
        <f>IF($D326="Logistics",VLOOKUP($O326,'Upper Hot Cell Logistics'!$C$4:$D$44,2,FALSE),"N/A")</f>
        <v>N/A</v>
      </c>
    </row>
    <row r="327" spans="1:16" hidden="1" x14ac:dyDescent="0.4">
      <c r="A327" s="3098"/>
      <c r="B327" s="4055"/>
      <c r="C327" s="3049" t="s">
        <v>968</v>
      </c>
      <c r="D327" s="3049" t="s">
        <v>778</v>
      </c>
      <c r="E327" s="3047">
        <f t="shared" si="11"/>
        <v>6.9444444444444448E-2</v>
      </c>
      <c r="F327" s="3046">
        <f>IF($D327="Trigger",VLOOKUP($C327,'Upper Hot Cell Welding failures'!$E$229:$I$283,5,FALSE),E327+F326)</f>
        <v>153.6489213861264</v>
      </c>
      <c r="G327" s="3050"/>
      <c r="H327" s="3046" t="str">
        <f>IF(D327="operation",VLOOKUP(G327,'Generic Vertical Port Tasks'!C251:D312,2,FALSE),"N/A")</f>
        <v>N/A</v>
      </c>
      <c r="I327" s="3049" t="s">
        <v>798</v>
      </c>
      <c r="J327" s="3049" t="s">
        <v>452</v>
      </c>
      <c r="K327" s="3049" t="s">
        <v>858</v>
      </c>
      <c r="L327" s="3047">
        <f>IFERROR(INDEX('Upper Hot Cell Logistics'!$I$35:$O$41,MATCH($J327,'Upper Hot Cell Logistics'!$H$35:$H$41,0),MATCH($K327,'Upper Hot Cell Logistics'!$H$35:$H$41,0)),"N/A")</f>
        <v>50</v>
      </c>
      <c r="M327" s="3047">
        <f>IFERROR(VLOOKUP($I327,'Upper Hot Cell Logistics'!$H$4:$I$9,2,FALSE),"N/A")</f>
        <v>0.2</v>
      </c>
      <c r="N327" s="3059">
        <f t="shared" si="10"/>
        <v>6.9444444444444448E-2</v>
      </c>
      <c r="O327" s="3051"/>
      <c r="P327" s="3046" t="str">
        <f>IF($D327="Logistics",VLOOKUP($O327,'Upper Hot Cell Logistics'!$C$4:$D$44,2,FALSE),"N/A")</f>
        <v>N/A</v>
      </c>
    </row>
    <row r="328" spans="1:16" hidden="1" x14ac:dyDescent="0.4">
      <c r="A328" s="3098"/>
      <c r="B328" s="4055"/>
      <c r="C328" s="3049" t="s">
        <v>978</v>
      </c>
      <c r="D328" s="3049" t="s">
        <v>3</v>
      </c>
      <c r="E328" s="3047">
        <f t="shared" si="11"/>
        <v>0.78</v>
      </c>
      <c r="F328" s="3046">
        <f>IF($D328="Trigger",VLOOKUP($C328,'Upper Hot Cell Welding failures'!$E$229:$I$283,5,FALSE),E328+F327)</f>
        <v>154.4289213861264</v>
      </c>
      <c r="G328" s="3050"/>
      <c r="H328" s="3046" t="str">
        <f>IF(D328="operation",VLOOKUP(G328,'Generic Vertical Port Tasks'!C251:D313,2,FALSE),"N/A")</f>
        <v>N/A</v>
      </c>
      <c r="I328" s="3049"/>
      <c r="J328" s="3049"/>
      <c r="K328" s="3049"/>
      <c r="L328" s="3047" t="str">
        <f>IFERROR(INDEX('Upper Hot Cell Logistics'!$I$35:$O$41,MATCH($J328,'Upper Hot Cell Logistics'!$H$35:$H$41,0),MATCH($K328,'Upper Hot Cell Logistics'!$H$35:$H$41,0)),"N/A")</f>
        <v>N/A</v>
      </c>
      <c r="M328" s="3047" t="str">
        <f>IFERROR(VLOOKUP($I328,'Upper Hot Cell Logistics'!$H$4:$I$9,2,FALSE),"N/A")</f>
        <v>N/A</v>
      </c>
      <c r="N328" s="3059" t="str">
        <f t="shared" si="10"/>
        <v>N/A</v>
      </c>
      <c r="O328" s="3051" t="s">
        <v>1175</v>
      </c>
      <c r="P328" s="3046">
        <f>IF($D328="Logistics",VLOOKUP($O328,'Upper Hot Cell Logistics'!$C$4:$D$44,2,FALSE),"N/A")</f>
        <v>0.78</v>
      </c>
    </row>
    <row r="329" spans="1:16" ht="13.3" hidden="1" thickBot="1" x14ac:dyDescent="0.45">
      <c r="A329" s="3098"/>
      <c r="B329" s="4057"/>
      <c r="C329" s="3053" t="str">
        <f>B326</f>
        <v>ROB Pipe Module Exported</v>
      </c>
      <c r="D329" s="3053" t="s">
        <v>11</v>
      </c>
      <c r="E329" s="3054">
        <f t="shared" si="11"/>
        <v>0</v>
      </c>
      <c r="F329" s="3055">
        <f>IF($D329="Trigger",VLOOKUP($C329,'Upper Hot Cell Welding failures'!$E$229:$I$283,5,FALSE),E329+F328)</f>
        <v>154.4289213861264</v>
      </c>
      <c r="G329" s="3056"/>
      <c r="H329" s="3055" t="str">
        <f>IF(D329="operation",VLOOKUP(G329,'Generic Vertical Port Tasks'!C223:D248,2,FALSE),"N/A")</f>
        <v>N/A</v>
      </c>
      <c r="I329" s="3053"/>
      <c r="J329" s="3053"/>
      <c r="K329" s="3053"/>
      <c r="L329" s="3054" t="str">
        <f>IFERROR(INDEX('Upper Hot Cell Logistics'!$I$35:$O$41,MATCH($J329,'Upper Hot Cell Logistics'!$H$35:$H$41,0),MATCH($K329,'Upper Hot Cell Logistics'!$H$35:$H$41,0)),"N/A")</f>
        <v>N/A</v>
      </c>
      <c r="M329" s="3054" t="str">
        <f>IFERROR(VLOOKUP($I329,'Upper Hot Cell Logistics'!$H$4:$I$9,2,FALSE),"N/A")</f>
        <v>N/A</v>
      </c>
      <c r="N329" s="3060" t="str">
        <f t="shared" si="10"/>
        <v>N/A</v>
      </c>
      <c r="O329" s="3057"/>
      <c r="P329" s="3055" t="str">
        <f>IF($D329="Logistics",VLOOKUP($O329,'Upper Hot Cell Logistics'!$C$4:$D$44,2,FALSE),"N/A")</f>
        <v>N/A</v>
      </c>
    </row>
    <row r="330" spans="1:16" ht="13.5" hidden="1" customHeight="1" x14ac:dyDescent="0.4">
      <c r="A330" s="3098"/>
      <c r="B330" s="4054" t="s">
        <v>884</v>
      </c>
      <c r="C330" s="3042" t="str">
        <f>'Upper Hot Cell Welding failures'!E279</f>
        <v>Insert ROB Pipe Module</v>
      </c>
      <c r="D330" s="3042" t="s">
        <v>907</v>
      </c>
      <c r="E330" s="3043">
        <f t="shared" si="11"/>
        <v>0</v>
      </c>
      <c r="F330" s="3044">
        <f>IF($D330="Trigger",VLOOKUP($C330,'Upper Hot Cell Welding failures'!$E$229:$I$283,5,FALSE),E330+F329)</f>
        <v>192.40720949355548</v>
      </c>
      <c r="G330" s="3045"/>
      <c r="H330" s="3044" t="str">
        <f>IF(D330="operation",VLOOKUP(G330,'Generic Vertical Port Tasks'!C223:D248,2,FALSE),"N/A")</f>
        <v>N/A</v>
      </c>
      <c r="I330" s="3042"/>
      <c r="J330" s="3042"/>
      <c r="K330" s="3042"/>
      <c r="L330" s="3043" t="str">
        <f>IFERROR(INDEX('Upper Hot Cell Logistics'!$I$35:$O$41,MATCH($J330,'Upper Hot Cell Logistics'!$H$35:$H$41,0),MATCH($K330,'Upper Hot Cell Logistics'!$H$35:$H$41,0)),"N/A")</f>
        <v>N/A</v>
      </c>
      <c r="M330" s="3043" t="str">
        <f>IFERROR(VLOOKUP($I330,'Upper Hot Cell Logistics'!$H$4:$I$9,2,FALSE),"N/A")</f>
        <v>N/A</v>
      </c>
      <c r="N330" s="3061" t="str">
        <f t="shared" si="10"/>
        <v>N/A</v>
      </c>
      <c r="O330" s="3048"/>
      <c r="P330" s="3044" t="str">
        <f>IF($D330="Logistics",VLOOKUP($O330,'Upper Hot Cell Logistics'!$C$4:$D$44,2,FALSE),"N/A")</f>
        <v>N/A</v>
      </c>
    </row>
    <row r="331" spans="1:16" hidden="1" x14ac:dyDescent="0.4">
      <c r="A331" s="3098"/>
      <c r="B331" s="4055"/>
      <c r="C331" s="3049" t="s">
        <v>968</v>
      </c>
      <c r="D331" s="3049" t="s">
        <v>778</v>
      </c>
      <c r="E331" s="3047">
        <f t="shared" si="11"/>
        <v>6.9444444444444448E-2</v>
      </c>
      <c r="F331" s="3046">
        <f>IF($D331="Trigger",VLOOKUP($C331,'Upper Hot Cell Welding failures'!$E$229:$I$283,5,FALSE),E331+F330)</f>
        <v>192.47665393799994</v>
      </c>
      <c r="G331" s="3050"/>
      <c r="H331" s="3046" t="str">
        <f>IF(D331="operation",VLOOKUP(G331,'Generic Vertical Port Tasks'!C223:D248,2,FALSE),"N/A")</f>
        <v>N/A</v>
      </c>
      <c r="I331" s="3049" t="s">
        <v>798</v>
      </c>
      <c r="J331" s="3049" t="s">
        <v>452</v>
      </c>
      <c r="K331" s="3049" t="s">
        <v>858</v>
      </c>
      <c r="L331" s="3047">
        <f>IFERROR(INDEX('Upper Hot Cell Logistics'!$I$35:$O$41,MATCH($J331,'Upper Hot Cell Logistics'!$H$35:$H$41,0),MATCH($K331,'Upper Hot Cell Logistics'!$H$35:$H$41,0)),"N/A")</f>
        <v>50</v>
      </c>
      <c r="M331" s="3047">
        <f>IFERROR(VLOOKUP($I331,'Upper Hot Cell Logistics'!$H$4:$I$9,2,FALSE),"N/A")</f>
        <v>0.2</v>
      </c>
      <c r="N331" s="3059">
        <f t="shared" si="10"/>
        <v>6.9444444444444448E-2</v>
      </c>
      <c r="O331" s="3051"/>
      <c r="P331" s="3046" t="str">
        <f>IF($D331="Logistics",VLOOKUP($O331,'Upper Hot Cell Logistics'!$C$4:$D$44,2,FALSE),"N/A")</f>
        <v>N/A</v>
      </c>
    </row>
    <row r="332" spans="1:16" hidden="1" x14ac:dyDescent="0.4">
      <c r="A332" s="3098"/>
      <c r="B332" s="4055"/>
      <c r="C332" s="3049" t="s">
        <v>978</v>
      </c>
      <c r="D332" s="3049" t="s">
        <v>3</v>
      </c>
      <c r="E332" s="3047">
        <f t="shared" si="11"/>
        <v>0.78</v>
      </c>
      <c r="F332" s="3046">
        <f>IF($D332="Trigger",VLOOKUP($C332,'Upper Hot Cell Welding failures'!$E$229:$I$283,5,FALSE),E332+F331)</f>
        <v>193.25665393799994</v>
      </c>
      <c r="G332" s="3050"/>
      <c r="H332" s="3046" t="str">
        <f>IF(D332="operation",VLOOKUP(G332,'Generic Vertical Port Tasks'!C223:D250,2,FALSE),"N/A")</f>
        <v>N/A</v>
      </c>
      <c r="I332" s="3049"/>
      <c r="J332" s="3049"/>
      <c r="K332" s="3049"/>
      <c r="L332" s="3047" t="str">
        <f>IFERROR(INDEX('Upper Hot Cell Logistics'!$I$35:$O$41,MATCH($J332,'Upper Hot Cell Logistics'!$H$35:$H$41,0),MATCH($K332,'Upper Hot Cell Logistics'!$H$35:$H$41,0)),"N/A")</f>
        <v>N/A</v>
      </c>
      <c r="M332" s="3047" t="str">
        <f>IFERROR(VLOOKUP($I332,'Upper Hot Cell Logistics'!$H$4:$I$9,2,FALSE),"N/A")</f>
        <v>N/A</v>
      </c>
      <c r="N332" s="3059" t="str">
        <f t="shared" si="10"/>
        <v>N/A</v>
      </c>
      <c r="O332" s="3051" t="s">
        <v>1175</v>
      </c>
      <c r="P332" s="3046">
        <f>IF($D332="Logistics",VLOOKUP($O332,'Upper Hot Cell Logistics'!$C$4:$D$44,2,FALSE),"N/A")</f>
        <v>0.78</v>
      </c>
    </row>
    <row r="333" spans="1:16" ht="13.3" hidden="1" thickBot="1" x14ac:dyDescent="0.45">
      <c r="A333" s="3098"/>
      <c r="B333" s="4057"/>
      <c r="C333" s="3053" t="str">
        <f>B330</f>
        <v>LOB Pipe Module Exported</v>
      </c>
      <c r="D333" s="3053" t="s">
        <v>11</v>
      </c>
      <c r="E333" s="3054">
        <f t="shared" si="11"/>
        <v>0</v>
      </c>
      <c r="F333" s="3055">
        <f>IF($D333="Trigger",VLOOKUP($C333,'Upper Hot Cell Welding failures'!$E$229:$I$283,5,FALSE),E333+F332)</f>
        <v>193.25665393799994</v>
      </c>
      <c r="G333" s="3056"/>
      <c r="H333" s="3055" t="str">
        <f>IF(D333="operation",VLOOKUP(G333,'Generic Vertical Port Tasks'!C223:D250,2,FALSE),"N/A")</f>
        <v>N/A</v>
      </c>
      <c r="I333" s="3053"/>
      <c r="J333" s="3053"/>
      <c r="K333" s="3053"/>
      <c r="L333" s="3054" t="str">
        <f>IFERROR(INDEX('Upper Hot Cell Logistics'!$I$35:$O$41,MATCH($J333,'Upper Hot Cell Logistics'!$H$35:$H$41,0),MATCH($K333,'Upper Hot Cell Logistics'!$H$35:$H$41,0)),"N/A")</f>
        <v>N/A</v>
      </c>
      <c r="M333" s="3054" t="str">
        <f>IFERROR(VLOOKUP($I333,'Upper Hot Cell Logistics'!$H$4:$I$9,2,FALSE),"N/A")</f>
        <v>N/A</v>
      </c>
      <c r="N333" s="3060" t="str">
        <f t="shared" si="10"/>
        <v>N/A</v>
      </c>
      <c r="O333" s="3057"/>
      <c r="P333" s="3055" t="str">
        <f>IF($D333="Logistics",VLOOKUP($O333,'Upper Hot Cell Logistics'!$C$4:$D$44,2,FALSE),"N/A")</f>
        <v>N/A</v>
      </c>
    </row>
    <row r="334" spans="1:16" ht="12.75" customHeight="1" collapsed="1" x14ac:dyDescent="0.4">
      <c r="A334" s="3098"/>
      <c r="B334" s="4061" t="s">
        <v>1093</v>
      </c>
      <c r="C334" s="3042" t="s">
        <v>1181</v>
      </c>
      <c r="D334" s="3042" t="s">
        <v>907</v>
      </c>
      <c r="E334" s="3043">
        <f t="shared" si="11"/>
        <v>0</v>
      </c>
      <c r="F334" s="3044" t="e">
        <f>IF($D334="Trigger",VLOOKUP("*"&amp;$C334&amp;"*",#REF!,4,FALSE),E334+F333)</f>
        <v>#REF!</v>
      </c>
      <c r="G334" s="3045"/>
      <c r="H334" s="3067" t="str">
        <f>IF(D334="operation",VLOOKUP(G334,'Upper Hot Cell Welding failures'!E341:I418,5,FALSE), "N/A")</f>
        <v>N/A</v>
      </c>
      <c r="I334" s="3042"/>
      <c r="J334" s="3042"/>
      <c r="K334" s="3042"/>
      <c r="L334" s="3043" t="str">
        <f>IFERROR(INDEX(#REF!,MATCH($J334,#REF!,0),MATCH($K334,#REF!,0)),"N/A")</f>
        <v>N/A</v>
      </c>
      <c r="M334" s="3043" t="str">
        <f>IFERROR(VLOOKUP($I334,#REF!,2,FALSE),"N/A")</f>
        <v>N/A</v>
      </c>
      <c r="N334" s="3043" t="str">
        <f>IF(D334="Movement",IFERROR((L334/M334)/(60*60),"Error"),"N/A")</f>
        <v>N/A</v>
      </c>
      <c r="O334" s="3048"/>
      <c r="P334" s="3044" t="str">
        <f>IF($D334="Logistics",VLOOKUP($O334,#REF!,2,FALSE),"N/A")</f>
        <v>N/A</v>
      </c>
    </row>
    <row r="335" spans="1:16" ht="12.75" customHeight="1" x14ac:dyDescent="0.4">
      <c r="A335" s="3098"/>
      <c r="B335" s="4062"/>
      <c r="C335" s="3049" t="s">
        <v>1182</v>
      </c>
      <c r="D335" s="3049" t="s">
        <v>251</v>
      </c>
      <c r="E335" s="3047" t="e">
        <f t="shared" si="11"/>
        <v>#REF!</v>
      </c>
      <c r="F335" s="3046" t="e">
        <f>IF($D335="Trigger",VLOOKUP("*"&amp;$C335&amp;"*",#REF!,4,FALSE),E335+F334)</f>
        <v>#REF!</v>
      </c>
      <c r="G335" s="3050" t="s">
        <v>1185</v>
      </c>
      <c r="H335" s="3046" t="e">
        <f>IF(D335="operation",VLOOKUP(G335,#REF!,4,FALSE), "N/A")</f>
        <v>#REF!</v>
      </c>
      <c r="I335" s="3049"/>
      <c r="J335" s="3049"/>
      <c r="K335" s="3049"/>
      <c r="L335" s="3047" t="str">
        <f>IFERROR(INDEX(#REF!,MATCH($J335,#REF!,0),MATCH($K335,#REF!,0)),"N/A")</f>
        <v>N/A</v>
      </c>
      <c r="M335" s="3047" t="str">
        <f>IFERROR(VLOOKUP($I335,#REF!,2,FALSE),"N/A")</f>
        <v>N/A</v>
      </c>
      <c r="N335" s="3047" t="str">
        <f>IF(D335="Movement",IFERROR((L335/M335)/(60*60),"Error"),"N/A")</f>
        <v>N/A</v>
      </c>
      <c r="O335" s="3051"/>
      <c r="P335" s="3046" t="str">
        <f>IF($D335="Logistics",VLOOKUP($O335,#REF!,2,FALSE),"N/A")</f>
        <v>N/A</v>
      </c>
    </row>
    <row r="336" spans="1:16" ht="13.5" customHeight="1" thickBot="1" x14ac:dyDescent="0.45">
      <c r="A336" s="3098"/>
      <c r="B336" s="4063"/>
      <c r="C336" s="3053" t="str">
        <f>B334</f>
        <v>ROB Lower Port Pipe Module installed</v>
      </c>
      <c r="D336" s="3053" t="s">
        <v>11</v>
      </c>
      <c r="E336" s="3054">
        <f t="shared" si="11"/>
        <v>0</v>
      </c>
      <c r="F336" s="3055" t="e">
        <f>IF($D336="Trigger",VLOOKUP("*"&amp;$C336&amp;"*",#REF!,4,FALSE),E336+F335)</f>
        <v>#REF!</v>
      </c>
      <c r="G336" s="3056"/>
      <c r="H336" s="3055" t="str">
        <f>IF(D336="operation",VLOOKUP(G336,#REF!,5,FALSE), "N/A")</f>
        <v>N/A</v>
      </c>
      <c r="I336" s="3053"/>
      <c r="J336" s="3053"/>
      <c r="K336" s="3053"/>
      <c r="L336" s="3054" t="str">
        <f>IFERROR(INDEX(#REF!,MATCH($J336,#REF!,0),MATCH($K336,#REF!,0)),"N/A")</f>
        <v>N/A</v>
      </c>
      <c r="M336" s="3054" t="str">
        <f>IFERROR(VLOOKUP($I336,#REF!,2,FALSE),"N/A")</f>
        <v>N/A</v>
      </c>
      <c r="N336" s="3054" t="str">
        <f>IF(D336="Movement",IFERROR((L336/M336)/(60*60),"Error"),"N/A")</f>
        <v>N/A</v>
      </c>
      <c r="O336" s="3057"/>
      <c r="P336" s="3055" t="str">
        <f>IF($D336="Logistics",VLOOKUP($O336,#REF!,2,FALSE),"N/A")</f>
        <v>N/A</v>
      </c>
    </row>
    <row r="337" spans="1:16" ht="13.3" thickBot="1" x14ac:dyDescent="0.45">
      <c r="A337" s="3098"/>
      <c r="B337" s="3099"/>
      <c r="C337" s="3100"/>
      <c r="D337" s="3100"/>
      <c r="E337" s="3100"/>
      <c r="F337" s="3100"/>
      <c r="G337" s="3100"/>
      <c r="H337" s="3101"/>
      <c r="I337" s="3100"/>
      <c r="J337" s="3100"/>
      <c r="K337" s="3100"/>
      <c r="L337" s="3102"/>
      <c r="M337" s="3102"/>
      <c r="N337" s="3102"/>
      <c r="O337" s="3100"/>
      <c r="P337" s="3103"/>
    </row>
    <row r="338" spans="1:16" x14ac:dyDescent="0.4">
      <c r="A338" s="3104"/>
      <c r="B338" s="3105" t="s">
        <v>1196</v>
      </c>
      <c r="C338" s="3105"/>
      <c r="D338" s="3105"/>
      <c r="E338" s="3105"/>
      <c r="F338" s="3105"/>
      <c r="G338" s="3105"/>
      <c r="H338" s="3106"/>
      <c r="I338" s="3105"/>
      <c r="J338" s="3105"/>
      <c r="K338" s="3105"/>
      <c r="L338" s="3105"/>
      <c r="M338" s="3105"/>
      <c r="N338" s="3105"/>
      <c r="O338" s="3105"/>
      <c r="P338" s="3107"/>
    </row>
    <row r="339" spans="1:16" ht="13.3" thickBot="1" x14ac:dyDescent="0.45">
      <c r="A339" s="3108"/>
      <c r="B339" s="3109"/>
      <c r="C339" s="3109"/>
      <c r="D339" s="3109"/>
      <c r="E339" s="3109"/>
      <c r="F339" s="3109"/>
      <c r="G339" s="3109"/>
      <c r="H339" s="3110"/>
      <c r="I339" s="3109"/>
      <c r="J339" s="3109"/>
      <c r="K339" s="3109"/>
      <c r="L339" s="3111"/>
      <c r="M339" s="3111"/>
      <c r="N339" s="3111"/>
      <c r="O339" s="3109"/>
      <c r="P339" s="3112"/>
    </row>
    <row r="340" spans="1:16" x14ac:dyDescent="0.4">
      <c r="A340" s="3113"/>
      <c r="B340" s="4054" t="s">
        <v>2675</v>
      </c>
      <c r="C340" s="3042" t="str">
        <f>'Upper Hot Cell Welding failures'!E307</f>
        <v>Extract LIB Pipe Module</v>
      </c>
      <c r="D340" s="3042" t="s">
        <v>907</v>
      </c>
      <c r="E340" s="3043">
        <f t="shared" ref="E340:E403" si="12">MAX($P340,$N340,$H340)</f>
        <v>0</v>
      </c>
      <c r="F340" s="3043">
        <f>IF($D340="Trigger",VLOOKUP($C340,'Upper Hot Cell Welding failures'!$E$283:$I$345,5,FALSE),E340+#REF!)</f>
        <v>1.8443599761612135</v>
      </c>
      <c r="G340" s="3045"/>
      <c r="H340" s="3044" t="str">
        <f>IF(D340="operation",VLOOKUP(G340,'Generic Vertical Port Tasks'!$C$6:$D$558,2,FALSE),"N/A")</f>
        <v>N/A</v>
      </c>
      <c r="I340" s="3042"/>
      <c r="J340" s="3042"/>
      <c r="K340" s="3042"/>
      <c r="L340" s="3043" t="str">
        <f>IFERROR(INDEX('Upper Hot Cell Logistics'!$I$35:$O$41,MATCH($J340,'Upper Hot Cell Logistics'!$H$35:$H$41,0),MATCH($K340,'Upper Hot Cell Logistics'!$H$35:$H$41,0)),"N/A")</f>
        <v>N/A</v>
      </c>
      <c r="M340" s="3043" t="str">
        <f>IFERROR(VLOOKUP($I340,'Upper Hot Cell Logistics'!$H$4:$I$9,2,FALSE),"N/A")</f>
        <v>N/A</v>
      </c>
      <c r="N340" s="3061" t="str">
        <f t="shared" ref="N340:N411" si="13">IF(D340="Movement",IFERROR((L340/M340)/(60*60),"Error"),"N/A")</f>
        <v>N/A</v>
      </c>
      <c r="O340" s="3048"/>
      <c r="P340" s="3044" t="str">
        <f>IF($D340="Logistics",VLOOKUP($O340,'Upper Hot Cell Logistics'!$C$4:$D$44,2,FALSE),"N/A")</f>
        <v>N/A</v>
      </c>
    </row>
    <row r="341" spans="1:16" x14ac:dyDescent="0.4">
      <c r="A341" s="3113"/>
      <c r="B341" s="4055"/>
      <c r="C341" s="3049" t="s">
        <v>926</v>
      </c>
      <c r="D341" s="3049" t="s">
        <v>778</v>
      </c>
      <c r="E341" s="3047">
        <f t="shared" si="12"/>
        <v>0.69444444444444442</v>
      </c>
      <c r="F341" s="3047">
        <f>IF($D341="Trigger",VLOOKUP($C341,'Upper Hot Cell Welding failures'!$E$283:$I$345,5,FALSE),E341+F340)</f>
        <v>2.5388044206056577</v>
      </c>
      <c r="G341" s="3050"/>
      <c r="H341" s="3046" t="str">
        <f>IF(D341="operation",VLOOKUP(G341,'Generic Vertical Port Tasks'!$C$6:$D$558,2,FALSE),"N/A")</f>
        <v>N/A</v>
      </c>
      <c r="I341" s="3049" t="s">
        <v>857</v>
      </c>
      <c r="J341" s="3049" t="s">
        <v>452</v>
      </c>
      <c r="K341" s="3049" t="s">
        <v>831</v>
      </c>
      <c r="L341" s="3047">
        <f>IFERROR(INDEX('Upper Hot Cell Logistics'!$I$35:$O$41,MATCH($J341,'Upper Hot Cell Logistics'!$H$35:$H$41,0),MATCH($K341,'Upper Hot Cell Logistics'!$H$35:$H$41,0)),"N/A")</f>
        <v>50</v>
      </c>
      <c r="M341" s="3047">
        <f>IFERROR(VLOOKUP($I341,'Upper Hot Cell Logistics'!$H$4:$I$9,2,FALSE),"N/A")</f>
        <v>0.02</v>
      </c>
      <c r="N341" s="3059">
        <f t="shared" si="13"/>
        <v>0.69444444444444442</v>
      </c>
      <c r="O341" s="3051"/>
      <c r="P341" s="3046" t="str">
        <f>IF($D341="Logistics",VLOOKUP($O341,'Upper Hot Cell Logistics'!$C$4:$D$44,2,FALSE),"N/A")</f>
        <v>N/A</v>
      </c>
    </row>
    <row r="342" spans="1:16" x14ac:dyDescent="0.4">
      <c r="A342" s="3113"/>
      <c r="B342" s="4055"/>
      <c r="C342" s="3049" t="s">
        <v>940</v>
      </c>
      <c r="D342" s="3049" t="s">
        <v>3</v>
      </c>
      <c r="E342" s="3047">
        <f t="shared" si="12"/>
        <v>0.58000000000000007</v>
      </c>
      <c r="F342" s="3047">
        <f>IF($D342="Trigger",VLOOKUP($C342,'Upper Hot Cell Welding failures'!$E$283:$I$345,5,FALSE),E342+F341)</f>
        <v>3.1188044206056578</v>
      </c>
      <c r="G342" s="3050"/>
      <c r="H342" s="3046" t="str">
        <f>IF(D342="operation",VLOOKUP(G342,'Generic Vertical Port Tasks'!$C$6:$D$558,2,FALSE),"N/A")</f>
        <v>N/A</v>
      </c>
      <c r="I342" s="3049"/>
      <c r="J342" s="3049"/>
      <c r="K342" s="3049"/>
      <c r="L342" s="3047" t="str">
        <f>IFERROR(INDEX('Upper Hot Cell Logistics'!$I$35:$O$41,MATCH($J342,'Upper Hot Cell Logistics'!$H$35:$H$41,0),MATCH($K342,'Upper Hot Cell Logistics'!$H$35:$H$41,0)),"N/A")</f>
        <v>N/A</v>
      </c>
      <c r="M342" s="3047" t="str">
        <f>IFERROR(VLOOKUP($I342,'Upper Hot Cell Logistics'!$H$4:$I$9,2,FALSE),"N/A")</f>
        <v>N/A</v>
      </c>
      <c r="N342" s="3059" t="str">
        <f t="shared" si="13"/>
        <v>N/A</v>
      </c>
      <c r="O342" s="3051" t="s">
        <v>904</v>
      </c>
      <c r="P342" s="3046">
        <f>IF($D342="Logistics",VLOOKUP($O342,'Upper Hot Cell Logistics'!$C$4:$D$44,2,FALSE),"N/A")</f>
        <v>0.58000000000000007</v>
      </c>
    </row>
    <row r="343" spans="1:16" x14ac:dyDescent="0.4">
      <c r="A343" s="3113"/>
      <c r="B343" s="4056"/>
      <c r="C343" s="3052" t="s">
        <v>807</v>
      </c>
      <c r="D343" s="3049" t="s">
        <v>778</v>
      </c>
      <c r="E343" s="3047">
        <f t="shared" si="12"/>
        <v>6.9444444444444448E-2</v>
      </c>
      <c r="F343" s="3047">
        <f>IF($D343="Trigger",VLOOKUP($C343,'Upper Hot Cell Welding failures'!$E$283:$I$345,5,FALSE),E343+F342)</f>
        <v>3.1882488650501024</v>
      </c>
      <c r="G343" s="3050"/>
      <c r="H343" s="3046" t="str">
        <f>IF(D343="operation",VLOOKUP(G343,'Generic Vertical Port Tasks'!$C$6:$D$558,2,FALSE),"N/A")</f>
        <v>N/A</v>
      </c>
      <c r="I343" s="3049" t="s">
        <v>798</v>
      </c>
      <c r="J343" s="3049" t="s">
        <v>831</v>
      </c>
      <c r="K343" s="3049" t="s">
        <v>452</v>
      </c>
      <c r="L343" s="3047">
        <f>IFERROR(INDEX('Upper Hot Cell Logistics'!$I$35:$O$41,MATCH($J343,'Upper Hot Cell Logistics'!$H$35:$H$41,0),MATCH($K343,'Upper Hot Cell Logistics'!$H$35:$H$41,0)),"N/A")</f>
        <v>50</v>
      </c>
      <c r="M343" s="3047">
        <f>IFERROR(VLOOKUP($I343,'Upper Hot Cell Logistics'!$H$4:$I$9,2,FALSE),"N/A")</f>
        <v>0.2</v>
      </c>
      <c r="N343" s="3059">
        <f t="shared" si="13"/>
        <v>6.9444444444444448E-2</v>
      </c>
      <c r="O343" s="3051"/>
      <c r="P343" s="3046" t="str">
        <f>IF($D343="Logistics",VLOOKUP($O343,'Upper Hot Cell Logistics'!$C$4:$D$44,2,FALSE),"N/A")</f>
        <v>N/A</v>
      </c>
    </row>
    <row r="344" spans="1:16" ht="26.15" thickBot="1" x14ac:dyDescent="0.45">
      <c r="A344" s="3113"/>
      <c r="B344" s="4057"/>
      <c r="C344" s="3053" t="str">
        <f>B340</f>
        <v>LIB Pipe Module Stored and Transporter Returned to Vertical Port</v>
      </c>
      <c r="D344" s="3053" t="s">
        <v>11</v>
      </c>
      <c r="E344" s="3054">
        <f t="shared" si="12"/>
        <v>0</v>
      </c>
      <c r="F344" s="3054">
        <f>IF($D344="Trigger",VLOOKUP($C344,'Upper Hot Cell Welding failures'!$E$283:$I$345,5,FALSE),E344+F343)</f>
        <v>3.1882488650501024</v>
      </c>
      <c r="G344" s="3056"/>
      <c r="H344" s="3055" t="str">
        <f>IF(D344="operation",VLOOKUP(G344,'Generic Vertical Port Tasks'!$C$6:$D$558,2,FALSE),"N/A")</f>
        <v>N/A</v>
      </c>
      <c r="I344" s="3053"/>
      <c r="J344" s="3053"/>
      <c r="K344" s="3053"/>
      <c r="L344" s="3054" t="str">
        <f>IFERROR(INDEX('Upper Hot Cell Logistics'!$I$35:$O$41,MATCH($J344,'Upper Hot Cell Logistics'!$H$35:$H$41,0),MATCH($K344,'Upper Hot Cell Logistics'!$H$35:$H$41,0)),"N/A")</f>
        <v>N/A</v>
      </c>
      <c r="M344" s="3054" t="str">
        <f>IFERROR(VLOOKUP($I344,'Upper Hot Cell Logistics'!$H$4:$I$9,2,FALSE),"N/A")</f>
        <v>N/A</v>
      </c>
      <c r="N344" s="3060" t="str">
        <f t="shared" si="13"/>
        <v>N/A</v>
      </c>
      <c r="O344" s="3057"/>
      <c r="P344" s="3055" t="str">
        <f>IF($D344="Logistics",VLOOKUP($O344,'Upper Hot Cell Logistics'!$C$4:$D$44,2,FALSE),"N/A")</f>
        <v>N/A</v>
      </c>
    </row>
    <row r="345" spans="1:16" x14ac:dyDescent="0.4">
      <c r="A345" s="3113"/>
      <c r="B345" s="4054" t="s">
        <v>1077</v>
      </c>
      <c r="C345" s="3042" t="str">
        <f>'Upper Hot Cell Welding failures'!E311</f>
        <v>Cut Pipes 5</v>
      </c>
      <c r="D345" s="3042" t="s">
        <v>907</v>
      </c>
      <c r="E345" s="3043">
        <f t="shared" si="12"/>
        <v>0</v>
      </c>
      <c r="F345" s="3044">
        <f>IF($D345="Trigger",VLOOKUP($C345,'Upper Hot Cell Welding failures'!$E$283:$I$345,5,FALSE),E345+F344)</f>
        <v>9.9534421745446497</v>
      </c>
      <c r="G345" s="3045"/>
      <c r="H345" s="3044" t="str">
        <f>IF(D345="operation",VLOOKUP(G345,'Generic Vertical Port Tasks'!$C$6:$D$558,2,FALSE),"N/A")</f>
        <v>N/A</v>
      </c>
      <c r="I345" s="3042"/>
      <c r="J345" s="3042"/>
      <c r="K345" s="3042"/>
      <c r="L345" s="3043" t="str">
        <f>IFERROR(INDEX('Upper Hot Cell Logistics'!$I$35:$O$41,MATCH($J345,'Upper Hot Cell Logistics'!$H$35:$H$41,0),MATCH($K345,'Upper Hot Cell Logistics'!$H$35:$H$41,0)),"N/A")</f>
        <v>N/A</v>
      </c>
      <c r="M345" s="3043" t="str">
        <f>IFERROR(VLOOKUP($I345,'Upper Hot Cell Logistics'!$H$4:$I$9,2,FALSE),"N/A")</f>
        <v>N/A</v>
      </c>
      <c r="N345" s="3061" t="str">
        <f t="shared" si="13"/>
        <v>N/A</v>
      </c>
      <c r="O345" s="3048"/>
      <c r="P345" s="3044" t="str">
        <f>IF($D345="Logistics",VLOOKUP($O345,'Upper Hot Cell Logistics'!$C$4:$D$44,2,FALSE),"N/A")</f>
        <v>N/A</v>
      </c>
    </row>
    <row r="346" spans="1:16" x14ac:dyDescent="0.4">
      <c r="A346" s="3113"/>
      <c r="B346" s="4055"/>
      <c r="C346" s="3049" t="s">
        <v>913</v>
      </c>
      <c r="D346" s="3049" t="s">
        <v>778</v>
      </c>
      <c r="E346" s="3047">
        <f t="shared" si="12"/>
        <v>0.69444444444444442</v>
      </c>
      <c r="F346" s="3046">
        <f>IF($D346="Trigger",VLOOKUP($C346,'Upper Hot Cell Welding failures'!$E$283:$I$345,5,FALSE),E346+F345)</f>
        <v>10.647886618989094</v>
      </c>
      <c r="G346" s="3050"/>
      <c r="H346" s="3046" t="str">
        <f>IF(D346="operation",VLOOKUP(G346,'Generic Vertical Port Tasks'!$C$6:$D$558,2,FALSE),"N/A")</f>
        <v>N/A</v>
      </c>
      <c r="I346" s="3049" t="s">
        <v>857</v>
      </c>
      <c r="J346" s="3049" t="s">
        <v>452</v>
      </c>
      <c r="K346" s="3049" t="s">
        <v>914</v>
      </c>
      <c r="L346" s="3047">
        <f>IFERROR(INDEX('Upper Hot Cell Logistics'!$I$35:$O$41,MATCH($J346,'Upper Hot Cell Logistics'!$H$35:$H$41,0),MATCH($K346,'Upper Hot Cell Logistics'!$H$35:$H$41,0)),"N/A")</f>
        <v>50</v>
      </c>
      <c r="M346" s="3047">
        <f>IFERROR(VLOOKUP($I346,'Upper Hot Cell Logistics'!$H$4:$I$9,2,FALSE),"N/A")</f>
        <v>0.02</v>
      </c>
      <c r="N346" s="3059">
        <f t="shared" si="13"/>
        <v>0.69444444444444442</v>
      </c>
      <c r="O346" s="3051"/>
      <c r="P346" s="3046" t="str">
        <f>IF($D346="Logistics",VLOOKUP($O346,'Upper Hot Cell Logistics'!$C$4:$D$44,2,FALSE),"N/A")</f>
        <v>N/A</v>
      </c>
    </row>
    <row r="347" spans="1:16" x14ac:dyDescent="0.4">
      <c r="A347" s="3113"/>
      <c r="B347" s="4055"/>
      <c r="C347" s="3049" t="s">
        <v>955</v>
      </c>
      <c r="D347" s="3049" t="s">
        <v>3</v>
      </c>
      <c r="E347" s="3047">
        <f t="shared" si="12"/>
        <v>0.78</v>
      </c>
      <c r="F347" s="3046">
        <f>IF($D347="Trigger",VLOOKUP($C347,'Upper Hot Cell Welding failures'!$E$283:$I$345,5,FALSE),E347+F346)</f>
        <v>11.427886618989094</v>
      </c>
      <c r="G347" s="3050"/>
      <c r="H347" s="3046" t="str">
        <f>IF(D347="operation",VLOOKUP(G347,'Generic Vertical Port Tasks'!$C$6:$D$558,2,FALSE),"N/A")</f>
        <v>N/A</v>
      </c>
      <c r="I347" s="3049"/>
      <c r="J347" s="3049"/>
      <c r="K347" s="3049"/>
      <c r="L347" s="3047" t="str">
        <f>IFERROR(INDEX('Upper Hot Cell Logistics'!$I$35:$O$41,MATCH($J347,'Upper Hot Cell Logistics'!$H$35:$H$41,0),MATCH($K347,'Upper Hot Cell Logistics'!$H$35:$H$41,0)),"N/A")</f>
        <v>N/A</v>
      </c>
      <c r="M347" s="3047" t="str">
        <f>IFERROR(VLOOKUP($I347,'Upper Hot Cell Logistics'!$H$4:$I$9,2,FALSE),"N/A")</f>
        <v>N/A</v>
      </c>
      <c r="N347" s="3059" t="str">
        <f t="shared" si="13"/>
        <v>N/A</v>
      </c>
      <c r="O347" s="3051" t="s">
        <v>1193</v>
      </c>
      <c r="P347" s="3046">
        <f>IF($D347="Logistics",VLOOKUP($O347,'Upper Hot Cell Logistics'!$C$4:$D$44,2,FALSE),"N/A")</f>
        <v>0.78</v>
      </c>
    </row>
    <row r="348" spans="1:16" x14ac:dyDescent="0.4">
      <c r="A348" s="3113"/>
      <c r="B348" s="4055"/>
      <c r="C348" s="3049" t="s">
        <v>976</v>
      </c>
      <c r="D348" s="3049" t="s">
        <v>778</v>
      </c>
      <c r="E348" s="3047">
        <f t="shared" si="12"/>
        <v>1.3888888888888888E-2</v>
      </c>
      <c r="F348" s="3046">
        <f>IF($D348="Trigger",VLOOKUP($C348,'Upper Hot Cell Welding failures'!$E$283:$I$345,5,FALSE),E348+F347)</f>
        <v>11.441775507877983</v>
      </c>
      <c r="G348" s="3050"/>
      <c r="H348" s="3046" t="str">
        <f>IF(D348="operation",VLOOKUP(G348,'Generic Vertical Port Tasks'!$C$6:$D$558,2,FALSE),"N/A")</f>
        <v>N/A</v>
      </c>
      <c r="I348" s="3049" t="s">
        <v>798</v>
      </c>
      <c r="J348" s="3049" t="s">
        <v>831</v>
      </c>
      <c r="K348" s="3049" t="s">
        <v>858</v>
      </c>
      <c r="L348" s="3047">
        <f>IFERROR(INDEX('Upper Hot Cell Logistics'!$I$35:$O$41,MATCH($J348,'Upper Hot Cell Logistics'!$H$35:$H$41,0),MATCH($K348,'Upper Hot Cell Logistics'!$H$35:$H$41,0)),"N/A")</f>
        <v>10</v>
      </c>
      <c r="M348" s="3047">
        <f>IFERROR(VLOOKUP($I348,'Upper Hot Cell Logistics'!$H$4:$I$9,2,FALSE),"N/A")</f>
        <v>0.2</v>
      </c>
      <c r="N348" s="3059">
        <f t="shared" si="13"/>
        <v>1.3888888888888888E-2</v>
      </c>
      <c r="O348" s="3051"/>
      <c r="P348" s="3046" t="str">
        <f>IF($D348="Logistics",VLOOKUP($O348,'Upper Hot Cell Logistics'!$C$4:$D$44,2,FALSE),"N/A")</f>
        <v>N/A</v>
      </c>
    </row>
    <row r="349" spans="1:16" x14ac:dyDescent="0.4">
      <c r="A349" s="3113"/>
      <c r="B349" s="4055"/>
      <c r="C349" s="3049" t="s">
        <v>956</v>
      </c>
      <c r="D349" s="3049" t="s">
        <v>3</v>
      </c>
      <c r="E349" s="3047">
        <f t="shared" si="12"/>
        <v>0.58000000000000007</v>
      </c>
      <c r="F349" s="3046">
        <f>IF($D349="Trigger",VLOOKUP($C349,'Upper Hot Cell Welding failures'!$E$283:$I$345,5,FALSE),E349+F348)</f>
        <v>12.021775507877983</v>
      </c>
      <c r="G349" s="3050"/>
      <c r="H349" s="3046" t="str">
        <f>IF(D349="operation",VLOOKUP(G349,'Generic Vertical Port Tasks'!$C$6:$D$558,2,FALSE),"N/A")</f>
        <v>N/A</v>
      </c>
      <c r="I349" s="3049"/>
      <c r="J349" s="3049"/>
      <c r="K349" s="3049"/>
      <c r="L349" s="3047" t="str">
        <f>IFERROR(INDEX('Upper Hot Cell Logistics'!$I$35:$O$41,MATCH($J349,'Upper Hot Cell Logistics'!$H$35:$H$41,0),MATCH($K349,'Upper Hot Cell Logistics'!$H$35:$H$41,0)),"N/A")</f>
        <v>N/A</v>
      </c>
      <c r="M349" s="3047" t="str">
        <f>IFERROR(VLOOKUP($I349,'Upper Hot Cell Logistics'!$H$4:$I$9,2,FALSE),"N/A")</f>
        <v>N/A</v>
      </c>
      <c r="N349" s="3059" t="str">
        <f t="shared" si="13"/>
        <v>N/A</v>
      </c>
      <c r="O349" s="3051" t="s">
        <v>1172</v>
      </c>
      <c r="P349" s="3046">
        <f>IF($D349="Logistics",VLOOKUP($O349,'Upper Hot Cell Logistics'!$C$4:$D$44,2,FALSE),"N/A")</f>
        <v>0.58000000000000007</v>
      </c>
    </row>
    <row r="350" spans="1:16" ht="13.3" thickBot="1" x14ac:dyDescent="0.45">
      <c r="A350" s="3113"/>
      <c r="B350" s="4057"/>
      <c r="C350" s="3053" t="str">
        <f>B345</f>
        <v xml:space="preserve"> Service Joint System Stored &amp; Blanket Transporter Collected</v>
      </c>
      <c r="D350" s="3053" t="s">
        <v>11</v>
      </c>
      <c r="E350" s="3054">
        <f t="shared" si="12"/>
        <v>0</v>
      </c>
      <c r="F350" s="3046">
        <f>IF($D350="Trigger",VLOOKUP($C350,'Upper Hot Cell Welding failures'!$E$283:$I$345,5,FALSE),E350+F349)</f>
        <v>12.021775507877983</v>
      </c>
      <c r="G350" s="3056"/>
      <c r="H350" s="3055" t="str">
        <f>IF(D350="operation",VLOOKUP(G350,'Generic Vertical Port Tasks'!$C$6:$D$558,2,FALSE),"N/A")</f>
        <v>N/A</v>
      </c>
      <c r="I350" s="3053"/>
      <c r="J350" s="3053"/>
      <c r="K350" s="3053"/>
      <c r="L350" s="3054" t="str">
        <f>IFERROR(INDEX('Upper Hot Cell Logistics'!$I$35:$O$41,MATCH($J350,'Upper Hot Cell Logistics'!$H$35:$H$41,0),MATCH($K350,'Upper Hot Cell Logistics'!$H$35:$H$41,0)),"N/A")</f>
        <v>N/A</v>
      </c>
      <c r="M350" s="3054" t="str">
        <f>IFERROR(VLOOKUP($I350,'Upper Hot Cell Logistics'!$H$4:$I$9,2,FALSE),"N/A")</f>
        <v>N/A</v>
      </c>
      <c r="N350" s="3060" t="str">
        <f t="shared" si="13"/>
        <v>N/A</v>
      </c>
      <c r="O350" s="3057"/>
      <c r="P350" s="3055" t="str">
        <f>IF($D350="Logistics",VLOOKUP($O350,'Upper Hot Cell Logistics'!$C$4:$D$44,2,FALSE),"N/A")</f>
        <v>N/A</v>
      </c>
    </row>
    <row r="351" spans="1:16" x14ac:dyDescent="0.4">
      <c r="A351" s="3113"/>
      <c r="B351" s="4054" t="s">
        <v>1079</v>
      </c>
      <c r="C351" s="3042" t="str">
        <f>'Upper Hot Cell Welding failures'!E313</f>
        <v>Extract RIB Pipe Module</v>
      </c>
      <c r="D351" s="3042" t="s">
        <v>907</v>
      </c>
      <c r="E351" s="3043">
        <f t="shared" si="12"/>
        <v>0</v>
      </c>
      <c r="F351" s="3043">
        <f>IF($D351="Trigger",VLOOKUP($C351,'Upper Hot Cell Welding failures'!$E$283:$I$345,5,FALSE),E351+F350)</f>
        <v>10.747886618989094</v>
      </c>
      <c r="G351" s="3045"/>
      <c r="H351" s="3044" t="str">
        <f>IF(D351="operation",VLOOKUP(G351,'Generic Vertical Port Tasks'!$C$6:$D$558,2,FALSE),"N/A")</f>
        <v>N/A</v>
      </c>
      <c r="I351" s="3042"/>
      <c r="J351" s="3042"/>
      <c r="K351" s="3042"/>
      <c r="L351" s="3043" t="str">
        <f>IFERROR(INDEX('Upper Hot Cell Logistics'!$I$35:$O$41,MATCH($J351,'Upper Hot Cell Logistics'!$H$35:$H$41,0),MATCH($K351,'Upper Hot Cell Logistics'!$H$35:$H$41,0)),"N/A")</f>
        <v>N/A</v>
      </c>
      <c r="M351" s="3043" t="str">
        <f>IFERROR(VLOOKUP($I351,'Upper Hot Cell Logistics'!$H$4:$I$9,2,FALSE),"N/A")</f>
        <v>N/A</v>
      </c>
      <c r="N351" s="3061" t="str">
        <f t="shared" si="13"/>
        <v>N/A</v>
      </c>
      <c r="O351" s="3048"/>
      <c r="P351" s="3044" t="str">
        <f>IF($D351="Logistics",VLOOKUP($O351,'Upper Hot Cell Logistics'!$C$4:$D$44,2,FALSE),"N/A")</f>
        <v>N/A</v>
      </c>
    </row>
    <row r="352" spans="1:16" x14ac:dyDescent="0.4">
      <c r="A352" s="3113"/>
      <c r="B352" s="4055"/>
      <c r="C352" s="3049" t="s">
        <v>926</v>
      </c>
      <c r="D352" s="3049" t="s">
        <v>778</v>
      </c>
      <c r="E352" s="3047">
        <f t="shared" si="12"/>
        <v>0.69444444444444442</v>
      </c>
      <c r="F352" s="3047">
        <f>IF($D352="Trigger",VLOOKUP($C352,'Upper Hot Cell Welding failures'!$E$283:$I$345,5,FALSE),E352+F351)</f>
        <v>11.442331063433539</v>
      </c>
      <c r="G352" s="3050"/>
      <c r="H352" s="3046" t="str">
        <f>IF(D352="operation",VLOOKUP(G352,'Generic Vertical Port Tasks'!$C$6:$D$558,2,FALSE),"N/A")</f>
        <v>N/A</v>
      </c>
      <c r="I352" s="3049" t="s">
        <v>857</v>
      </c>
      <c r="J352" s="3049" t="s">
        <v>452</v>
      </c>
      <c r="K352" s="3049" t="s">
        <v>831</v>
      </c>
      <c r="L352" s="3047">
        <f>IFERROR(INDEX('Upper Hot Cell Logistics'!$I$35:$O$41,MATCH($J352,'Upper Hot Cell Logistics'!$H$35:$H$41,0),MATCH($K352,'Upper Hot Cell Logistics'!$H$35:$H$41,0)),"N/A")</f>
        <v>50</v>
      </c>
      <c r="M352" s="3047">
        <f>IFERROR(VLOOKUP($I352,'Upper Hot Cell Logistics'!$H$4:$I$9,2,FALSE),"N/A")</f>
        <v>0.02</v>
      </c>
      <c r="N352" s="3059">
        <f t="shared" si="13"/>
        <v>0.69444444444444442</v>
      </c>
      <c r="O352" s="3051"/>
      <c r="P352" s="3046" t="str">
        <f>IF($D352="Logistics",VLOOKUP($O352,'Upper Hot Cell Logistics'!$C$4:$D$44,2,FALSE),"N/A")</f>
        <v>N/A</v>
      </c>
    </row>
    <row r="353" spans="1:16" x14ac:dyDescent="0.4">
      <c r="A353" s="3113"/>
      <c r="B353" s="4055"/>
      <c r="C353" s="3049" t="s">
        <v>940</v>
      </c>
      <c r="D353" s="3049" t="s">
        <v>3</v>
      </c>
      <c r="E353" s="3047">
        <f t="shared" si="12"/>
        <v>0.58000000000000007</v>
      </c>
      <c r="F353" s="3047">
        <f>IF($D353="Trigger",VLOOKUP($C353,'Upper Hot Cell Welding failures'!$E$283:$I$345,5,FALSE),E353+F352)</f>
        <v>12.022331063433539</v>
      </c>
      <c r="G353" s="3050"/>
      <c r="H353" s="3046" t="str">
        <f>IF(D353="operation",VLOOKUP(G353,'Generic Vertical Port Tasks'!$C$6:$D$558,2,FALSE),"N/A")</f>
        <v>N/A</v>
      </c>
      <c r="I353" s="3049"/>
      <c r="J353" s="3049"/>
      <c r="K353" s="3049"/>
      <c r="L353" s="3047" t="str">
        <f>IFERROR(INDEX('Upper Hot Cell Logistics'!$I$35:$O$41,MATCH($J353,'Upper Hot Cell Logistics'!$H$35:$H$41,0),MATCH($K353,'Upper Hot Cell Logistics'!$H$35:$H$41,0)),"N/A")</f>
        <v>N/A</v>
      </c>
      <c r="M353" s="3047" t="str">
        <f>IFERROR(VLOOKUP($I353,'Upper Hot Cell Logistics'!$H$4:$I$9,2,FALSE),"N/A")</f>
        <v>N/A</v>
      </c>
      <c r="N353" s="3059" t="str">
        <f t="shared" si="13"/>
        <v>N/A</v>
      </c>
      <c r="O353" s="3051" t="s">
        <v>904</v>
      </c>
      <c r="P353" s="3046">
        <f>IF($D353="Logistics",VLOOKUP($O353,'Upper Hot Cell Logistics'!$C$4:$D$44,2,FALSE),"N/A")</f>
        <v>0.58000000000000007</v>
      </c>
    </row>
    <row r="354" spans="1:16" x14ac:dyDescent="0.4">
      <c r="A354" s="3113"/>
      <c r="B354" s="4056"/>
      <c r="C354" s="3049" t="s">
        <v>1170</v>
      </c>
      <c r="D354" s="3049" t="s">
        <v>778</v>
      </c>
      <c r="E354" s="3047">
        <f t="shared" si="12"/>
        <v>2.7777777777777776E-2</v>
      </c>
      <c r="F354" s="3047">
        <f>IF($D354="Trigger",VLOOKUP($C354,'Upper Hot Cell Welding failures'!$E$283:$I$345,5,FALSE),E354+F353)</f>
        <v>12.050108841211317</v>
      </c>
      <c r="G354" s="3050"/>
      <c r="H354" s="3046" t="str">
        <f>IF(D354="operation",VLOOKUP(G354,'Generic Vertical Port Tasks'!$C$6:$D$558,2,FALSE),"N/A")</f>
        <v>N/A</v>
      </c>
      <c r="I354" s="3049" t="s">
        <v>798</v>
      </c>
      <c r="J354" s="3049" t="s">
        <v>831</v>
      </c>
      <c r="K354" s="3049" t="s">
        <v>914</v>
      </c>
      <c r="L354" s="3047">
        <f>IFERROR(INDEX('Upper Hot Cell Logistics'!$I$35:$O$41,MATCH($J354,'Upper Hot Cell Logistics'!$H$35:$H$41,0),MATCH($K354,'Upper Hot Cell Logistics'!$H$35:$H$41,0)),"N/A")</f>
        <v>20</v>
      </c>
      <c r="M354" s="3047">
        <f>IFERROR(VLOOKUP($I354,'Upper Hot Cell Logistics'!$H$4:$I$9,2,FALSE),"N/A")</f>
        <v>0.2</v>
      </c>
      <c r="N354" s="3059">
        <f t="shared" si="13"/>
        <v>2.7777777777777776E-2</v>
      </c>
      <c r="O354" s="3051"/>
      <c r="P354" s="3046" t="str">
        <f>IF($D354="Logistics",VLOOKUP($O354,'Upper Hot Cell Logistics'!$C$4:$D$44,2,FALSE),"N/A")</f>
        <v>N/A</v>
      </c>
    </row>
    <row r="355" spans="1:16" x14ac:dyDescent="0.4">
      <c r="A355" s="3113"/>
      <c r="B355" s="4056"/>
      <c r="C355" s="3052" t="s">
        <v>983</v>
      </c>
      <c r="D355" s="3049" t="s">
        <v>3</v>
      </c>
      <c r="E355" s="3047">
        <f t="shared" si="12"/>
        <v>0.68</v>
      </c>
      <c r="F355" s="3047">
        <f>IF($D355="Trigger",VLOOKUP($C355,'Upper Hot Cell Welding failures'!$E$283:$I$345,5,FALSE),E355+F354)</f>
        <v>12.730108841211317</v>
      </c>
      <c r="G355" s="3050"/>
      <c r="H355" s="3046" t="str">
        <f>IF(D355="operation",VLOOKUP(G355,'Generic Vertical Port Tasks'!$C$6:$D$558,2,FALSE),"N/A")</f>
        <v>N/A</v>
      </c>
      <c r="I355" s="3049"/>
      <c r="J355" s="3049"/>
      <c r="K355" s="3049"/>
      <c r="L355" s="3047" t="str">
        <f>IFERROR(INDEX('Upper Hot Cell Logistics'!$I$35:$O$41,MATCH($J355,'Upper Hot Cell Logistics'!$H$35:$H$41,0),MATCH($K355,'Upper Hot Cell Logistics'!$H$35:$H$41,0)),"N/A")</f>
        <v>N/A</v>
      </c>
      <c r="M355" s="3047" t="str">
        <f>IFERROR(VLOOKUP($I355,'Upper Hot Cell Logistics'!$H$4:$I$9,2,FALSE),"N/A")</f>
        <v>N/A</v>
      </c>
      <c r="N355" s="3059" t="str">
        <f t="shared" si="13"/>
        <v>N/A</v>
      </c>
      <c r="O355" s="3051" t="s">
        <v>916</v>
      </c>
      <c r="P355" s="3046">
        <f>IF($D355="Logistics",VLOOKUP($O355,'Upper Hot Cell Logistics'!$C$4:$D$44,2,FALSE),"N/A")</f>
        <v>0.68</v>
      </c>
    </row>
    <row r="356" spans="1:16" x14ac:dyDescent="0.4">
      <c r="A356" s="3113"/>
      <c r="B356" s="4056"/>
      <c r="C356" s="3052" t="s">
        <v>1171</v>
      </c>
      <c r="D356" s="3049" t="s">
        <v>778</v>
      </c>
      <c r="E356" s="3047">
        <f t="shared" si="12"/>
        <v>2.7777777777777776E-2</v>
      </c>
      <c r="F356" s="3047">
        <f>IF($D356="Trigger",VLOOKUP($C356,'Upper Hot Cell Welding failures'!$E$283:$I$345,5,FALSE),E356+F355)</f>
        <v>12.757886618989096</v>
      </c>
      <c r="G356" s="3050"/>
      <c r="H356" s="3046" t="str">
        <f>IF(D356="operation",VLOOKUP(G356,'Generic Vertical Port Tasks'!$C$6:$D$558,2,FALSE),"N/A")</f>
        <v>N/A</v>
      </c>
      <c r="I356" s="3049" t="s">
        <v>798</v>
      </c>
      <c r="J356" s="3049" t="s">
        <v>914</v>
      </c>
      <c r="K356" s="3049" t="s">
        <v>799</v>
      </c>
      <c r="L356" s="3047">
        <f>IFERROR(INDEX('Upper Hot Cell Logistics'!$I$35:$O$41,MATCH($J356,'Upper Hot Cell Logistics'!$H$35:$H$41,0),MATCH($K356,'Upper Hot Cell Logistics'!$H$35:$H$41,0)),"N/A")</f>
        <v>20</v>
      </c>
      <c r="M356" s="3047">
        <f>IFERROR(VLOOKUP($I356,'Upper Hot Cell Logistics'!$H$4:$I$9,2,FALSE),"N/A")</f>
        <v>0.2</v>
      </c>
      <c r="N356" s="3059">
        <f t="shared" si="13"/>
        <v>2.7777777777777776E-2</v>
      </c>
      <c r="O356" s="3051"/>
      <c r="P356" s="3046" t="str">
        <f>IF($D356="Logistics",VLOOKUP($O356,'Upper Hot Cell Logistics'!$C$4:$D$44,2,FALSE),"N/A")</f>
        <v>N/A</v>
      </c>
    </row>
    <row r="357" spans="1:16" x14ac:dyDescent="0.4">
      <c r="A357" s="3113"/>
      <c r="B357" s="4056"/>
      <c r="C357" s="3052" t="s">
        <v>956</v>
      </c>
      <c r="D357" s="3049" t="s">
        <v>3</v>
      </c>
      <c r="E357" s="3047">
        <f t="shared" si="12"/>
        <v>0.58000000000000007</v>
      </c>
      <c r="F357" s="3047">
        <f>IF($D357="Trigger",VLOOKUP($C357,'Upper Hot Cell Welding failures'!$E$283:$I$345,5,FALSE),E357+F356)</f>
        <v>13.337886618989096</v>
      </c>
      <c r="G357" s="3050"/>
      <c r="H357" s="3046" t="str">
        <f>IF(D357="operation",VLOOKUP(G357,'Generic Vertical Port Tasks'!$C$6:$D$558,2,FALSE),"N/A")</f>
        <v>N/A</v>
      </c>
      <c r="I357" s="3049"/>
      <c r="J357" s="3049"/>
      <c r="K357" s="3049"/>
      <c r="L357" s="3047" t="str">
        <f>IFERROR(INDEX('Upper Hot Cell Logistics'!$I$35:$O$41,MATCH($J357,'Upper Hot Cell Logistics'!$H$35:$H$41,0),MATCH($K357,'Upper Hot Cell Logistics'!$H$35:$H$41,0)),"N/A")</f>
        <v>N/A</v>
      </c>
      <c r="M357" s="3047" t="str">
        <f>IFERROR(VLOOKUP($I357,'Upper Hot Cell Logistics'!$H$4:$I$9,2,FALSE),"N/A")</f>
        <v>N/A</v>
      </c>
      <c r="N357" s="3059" t="str">
        <f t="shared" si="13"/>
        <v>N/A</v>
      </c>
      <c r="O357" s="3051" t="s">
        <v>1172</v>
      </c>
      <c r="P357" s="3046">
        <f>IF($D357="Logistics",VLOOKUP($O357,'Upper Hot Cell Logistics'!$C$4:$D$44,2,FALSE),"N/A")</f>
        <v>0.58000000000000007</v>
      </c>
    </row>
    <row r="358" spans="1:16" x14ac:dyDescent="0.4">
      <c r="A358" s="3113"/>
      <c r="B358" s="4056"/>
      <c r="C358" s="3052" t="s">
        <v>2676</v>
      </c>
      <c r="D358" s="3049" t="s">
        <v>778</v>
      </c>
      <c r="E358" s="3047">
        <f t="shared" si="12"/>
        <v>6.9444444444444448E-2</v>
      </c>
      <c r="F358" s="3047">
        <f>IF($D358="Trigger",VLOOKUP($C358,'Upper Hot Cell Welding failures'!$E$283:$I$345,5,FALSE),E358+F357)</f>
        <v>13.40733106343354</v>
      </c>
      <c r="G358" s="3050"/>
      <c r="H358" s="3046" t="str">
        <f>IF(D358="operation",VLOOKUP(G358,'Generic Vertical Port Tasks'!$C$6:$D$558,2,FALSE),"N/A")</f>
        <v>N/A</v>
      </c>
      <c r="I358" s="3049" t="s">
        <v>798</v>
      </c>
      <c r="J358" s="3049" t="s">
        <v>799</v>
      </c>
      <c r="K358" s="3049" t="s">
        <v>452</v>
      </c>
      <c r="L358" s="3047">
        <f>IFERROR(INDEX('Upper Hot Cell Logistics'!$I$35:$O$41,MATCH($J358,'Upper Hot Cell Logistics'!$H$35:$H$41,0),MATCH($K358,'Upper Hot Cell Logistics'!$H$35:$H$41,0)),"N/A")</f>
        <v>50</v>
      </c>
      <c r="M358" s="3047">
        <f>IFERROR(VLOOKUP($I358,'Upper Hot Cell Logistics'!$H$4:$I$9,2,FALSE),"N/A")</f>
        <v>0.2</v>
      </c>
      <c r="N358" s="3059">
        <f t="shared" si="13"/>
        <v>6.9444444444444448E-2</v>
      </c>
      <c r="O358" s="3051"/>
      <c r="P358" s="3046" t="str">
        <f>IF($D358="Logistics",VLOOKUP($O358,'Upper Hot Cell Logistics'!$C$4:$D$44,2,FALSE),"N/A")</f>
        <v>N/A</v>
      </c>
    </row>
    <row r="359" spans="1:16" ht="26.15" thickBot="1" x14ac:dyDescent="0.45">
      <c r="A359" s="3113"/>
      <c r="B359" s="4057"/>
      <c r="C359" s="3053" t="str">
        <f>B351</f>
        <v>RIB Pipe Module Stored; Pipe Module interface hardware Stored; Blanket Transporter Collected</v>
      </c>
      <c r="D359" s="3053" t="s">
        <v>11</v>
      </c>
      <c r="E359" s="3054">
        <f t="shared" si="12"/>
        <v>0</v>
      </c>
      <c r="F359" s="3054">
        <f>IF($D359="Trigger",VLOOKUP($C359,'Upper Hot Cell Welding failures'!$E$283:$I$345,5,FALSE),E359+F358)</f>
        <v>13.40733106343354</v>
      </c>
      <c r="G359" s="3056"/>
      <c r="H359" s="3055" t="str">
        <f>IF(D359="operation",VLOOKUP(G359,'Generic Vertical Port Tasks'!$C$6:$D$558,2,FALSE),"N/A")</f>
        <v>N/A</v>
      </c>
      <c r="I359" s="3053"/>
      <c r="J359" s="3053"/>
      <c r="K359" s="3053"/>
      <c r="L359" s="3054" t="str">
        <f>IFERROR(INDEX('Upper Hot Cell Logistics'!$I$35:$O$41,MATCH($J359,'Upper Hot Cell Logistics'!$H$35:$H$41,0),MATCH($K359,'Upper Hot Cell Logistics'!$H$35:$H$41,0)),"N/A")</f>
        <v>N/A</v>
      </c>
      <c r="M359" s="3054" t="str">
        <f>IFERROR(VLOOKUP($I359,'Upper Hot Cell Logistics'!$H$4:$I$9,2,FALSE),"N/A")</f>
        <v>N/A</v>
      </c>
      <c r="N359" s="3060" t="str">
        <f t="shared" si="13"/>
        <v>N/A</v>
      </c>
      <c r="O359" s="3057"/>
      <c r="P359" s="3055" t="str">
        <f>IF($D359="Logistics",VLOOKUP($O359,'Upper Hot Cell Logistics'!$C$4:$D$44,2,FALSE),"N/A")</f>
        <v>N/A</v>
      </c>
    </row>
    <row r="360" spans="1:16" x14ac:dyDescent="0.4">
      <c r="A360" s="3113"/>
      <c r="B360" s="4054" t="s">
        <v>959</v>
      </c>
      <c r="C360" s="3042" t="str">
        <f>'Upper Hot Cell Welding failures'!E315</f>
        <v>Extract COB Blanket Segment</v>
      </c>
      <c r="D360" s="3042" t="s">
        <v>907</v>
      </c>
      <c r="E360" s="3043">
        <f t="shared" si="12"/>
        <v>0</v>
      </c>
      <c r="F360" s="3043">
        <f>IF($D360="Trigger",VLOOKUP($C360,'Upper Hot Cell Welding failures'!$E$283:$I$345,5,FALSE),E360+F359)</f>
        <v>17.831219952322428</v>
      </c>
      <c r="G360" s="3045"/>
      <c r="H360" s="3044" t="str">
        <f>IF(D360="operation",VLOOKUP(G360,'Generic Vertical Port Tasks'!C314:D356,2,FALSE),"N/A")</f>
        <v>N/A</v>
      </c>
      <c r="I360" s="3042"/>
      <c r="J360" s="3042"/>
      <c r="K360" s="3042"/>
      <c r="L360" s="3043" t="str">
        <f>IFERROR(INDEX('Upper Hot Cell Logistics'!$I$35:$O$41,MATCH($J360,'Upper Hot Cell Logistics'!$H$35:$H$41,0),MATCH($K360,'Upper Hot Cell Logistics'!$H$35:$H$41,0)),"N/A")</f>
        <v>N/A</v>
      </c>
      <c r="M360" s="3043" t="str">
        <f>IFERROR(VLOOKUP($I360,'Upper Hot Cell Logistics'!$H$4:$I$9,2,FALSE),"N/A")</f>
        <v>N/A</v>
      </c>
      <c r="N360" s="3061" t="str">
        <f t="shared" si="13"/>
        <v>N/A</v>
      </c>
      <c r="O360" s="3048"/>
      <c r="P360" s="3044" t="str">
        <f>IF($D360="Logistics",VLOOKUP($O360,'Upper Hot Cell Logistics'!$C$4:$D$44,2,FALSE),"N/A")</f>
        <v>N/A</v>
      </c>
    </row>
    <row r="361" spans="1:16" x14ac:dyDescent="0.4">
      <c r="A361" s="3113"/>
      <c r="B361" s="4055"/>
      <c r="C361" s="3049" t="s">
        <v>930</v>
      </c>
      <c r="D361" s="3049" t="s">
        <v>778</v>
      </c>
      <c r="E361" s="3047">
        <f t="shared" si="12"/>
        <v>0.69444444444444442</v>
      </c>
      <c r="F361" s="3047">
        <f>IF($D361="Trigger",VLOOKUP($C361,'Upper Hot Cell Welding failures'!$E$283:$I$345,5,FALSE),E361+F360)</f>
        <v>18.525664396766871</v>
      </c>
      <c r="G361" s="3050"/>
      <c r="H361" s="3046" t="str">
        <f>IF(D361="operation",VLOOKUP(G361,'Generic Vertical Port Tasks'!C314:D356,2,FALSE),"N/A")</f>
        <v>N/A</v>
      </c>
      <c r="I361" s="3049" t="s">
        <v>857</v>
      </c>
      <c r="J361" s="3049" t="s">
        <v>452</v>
      </c>
      <c r="K361" s="3049" t="s">
        <v>831</v>
      </c>
      <c r="L361" s="3047">
        <f>IFERROR(INDEX('Upper Hot Cell Logistics'!$I$35:$O$41,MATCH($J361,'Upper Hot Cell Logistics'!$H$35:$H$41,0),MATCH($K361,'Upper Hot Cell Logistics'!$H$35:$H$41,0)),"N/A")</f>
        <v>50</v>
      </c>
      <c r="M361" s="3047">
        <f>IFERROR(VLOOKUP($I361,'Upper Hot Cell Logistics'!$H$4:$I$9,2,FALSE),"N/A")</f>
        <v>0.02</v>
      </c>
      <c r="N361" s="3059">
        <f t="shared" si="13"/>
        <v>0.69444444444444442</v>
      </c>
      <c r="O361" s="3051"/>
      <c r="P361" s="3046" t="str">
        <f>IF($D361="Logistics",VLOOKUP($O361,'Upper Hot Cell Logistics'!$C$4:$D$44,2,FALSE),"N/A")</f>
        <v>N/A</v>
      </c>
    </row>
    <row r="362" spans="1:16" x14ac:dyDescent="0.4">
      <c r="A362" s="3113"/>
      <c r="B362" s="4055"/>
      <c r="C362" s="3049" t="s">
        <v>960</v>
      </c>
      <c r="D362" s="3049" t="s">
        <v>3</v>
      </c>
      <c r="E362" s="3047">
        <f t="shared" si="12"/>
        <v>0.58000000000000007</v>
      </c>
      <c r="F362" s="3047">
        <f>IF($D362="Trigger",VLOOKUP($C362,'Upper Hot Cell Welding failures'!$E$283:$I$345,5,FALSE),E362+F361)</f>
        <v>19.105664396766869</v>
      </c>
      <c r="G362" s="3050"/>
      <c r="H362" s="3046" t="str">
        <f>IF(D362="operation",VLOOKUP(G362,'Generic Vertical Port Tasks'!C314:D356,2,FALSE),"N/A")</f>
        <v>N/A</v>
      </c>
      <c r="I362" s="3049"/>
      <c r="J362" s="3049"/>
      <c r="K362" s="3049"/>
      <c r="L362" s="3047" t="str">
        <f>IFERROR(INDEX('Upper Hot Cell Logistics'!$I$35:$O$41,MATCH($J362,'Upper Hot Cell Logistics'!$H$35:$H$41,0),MATCH($K362,'Upper Hot Cell Logistics'!$H$35:$H$41,0)),"N/A")</f>
        <v>N/A</v>
      </c>
      <c r="M362" s="3047" t="str">
        <f>IFERROR(VLOOKUP($I362,'Upper Hot Cell Logistics'!$H$4:$I$9,2,FALSE),"N/A")</f>
        <v>N/A</v>
      </c>
      <c r="N362" s="3059" t="str">
        <f t="shared" si="13"/>
        <v>N/A</v>
      </c>
      <c r="O362" s="3051" t="s">
        <v>904</v>
      </c>
      <c r="P362" s="3046">
        <f>IF($D362="Logistics",VLOOKUP($O362,'Upper Hot Cell Logistics'!$C$4:$D$44,2,FALSE),"N/A")</f>
        <v>0.58000000000000007</v>
      </c>
    </row>
    <row r="363" spans="1:16" ht="13.3" thickBot="1" x14ac:dyDescent="0.45">
      <c r="A363" s="3113"/>
      <c r="B363" s="4057"/>
      <c r="C363" s="3053" t="str">
        <f>B360</f>
        <v>COB Blanket Segment Stored</v>
      </c>
      <c r="D363" s="3053" t="s">
        <v>11</v>
      </c>
      <c r="E363" s="3054">
        <f t="shared" si="12"/>
        <v>0</v>
      </c>
      <c r="F363" s="3054">
        <f>IF($D363="Trigger",VLOOKUP($C363,'Upper Hot Cell Welding failures'!$E$283:$I$345,5,FALSE),E363+F362)</f>
        <v>19.105664396766869</v>
      </c>
      <c r="G363" s="3056"/>
      <c r="H363" s="3055" t="str">
        <f>IF(D363="operation",VLOOKUP(G363,'Generic Vertical Port Tasks'!C314:D356,2,FALSE),"N/A")</f>
        <v>N/A</v>
      </c>
      <c r="I363" s="3053"/>
      <c r="J363" s="3053"/>
      <c r="K363" s="3053"/>
      <c r="L363" s="3054" t="str">
        <f>IFERROR(INDEX('Upper Hot Cell Logistics'!$I$35:$O$41,MATCH($J363,'Upper Hot Cell Logistics'!$H$35:$H$41,0),MATCH($K363,'Upper Hot Cell Logistics'!$H$35:$H$41,0)),"N/A")</f>
        <v>N/A</v>
      </c>
      <c r="M363" s="3054" t="str">
        <f>IFERROR(VLOOKUP($I363,'Upper Hot Cell Logistics'!$H$4:$I$9,2,FALSE),"N/A")</f>
        <v>N/A</v>
      </c>
      <c r="N363" s="3060" t="str">
        <f t="shared" si="13"/>
        <v>N/A</v>
      </c>
      <c r="O363" s="3057"/>
      <c r="P363" s="3055" t="str">
        <f>IF($D363="Logistics",VLOOKUP($O363,'Upper Hot Cell Logistics'!$C$4:$D$44,2,FALSE),"N/A")</f>
        <v>N/A</v>
      </c>
    </row>
    <row r="364" spans="1:16" x14ac:dyDescent="0.4">
      <c r="A364" s="3113"/>
      <c r="B364" s="4054" t="s">
        <v>961</v>
      </c>
      <c r="C364" s="3042" t="str">
        <f>'Upper Hot Cell Welding failures'!E317</f>
        <v>Extract LOB Blanket Segment</v>
      </c>
      <c r="D364" s="3042" t="s">
        <v>907</v>
      </c>
      <c r="E364" s="3043">
        <f t="shared" si="12"/>
        <v>0</v>
      </c>
      <c r="F364" s="3043">
        <f>IF($D364="Trigger",VLOOKUP($C364,'Upper Hot Cell Welding failures'!$E$283:$I$345,5,FALSE),E364+F363)</f>
        <v>23.640664396766873</v>
      </c>
      <c r="G364" s="3045"/>
      <c r="H364" s="3044" t="str">
        <f>IF(D364="operation",VLOOKUP(G364,'Generic Vertical Port Tasks'!C314:D356,2,FALSE),"N/A")</f>
        <v>N/A</v>
      </c>
      <c r="I364" s="3042"/>
      <c r="J364" s="3042"/>
      <c r="K364" s="3042"/>
      <c r="L364" s="3043" t="str">
        <f>IFERROR(INDEX('Upper Hot Cell Logistics'!$I$35:$O$41,MATCH($J364,'Upper Hot Cell Logistics'!$H$35:$H$41,0),MATCH($K364,'Upper Hot Cell Logistics'!$H$35:$H$41,0)),"N/A")</f>
        <v>N/A</v>
      </c>
      <c r="M364" s="3043" t="str">
        <f>IFERROR(VLOOKUP($I364,'Upper Hot Cell Logistics'!$H$4:$I$9,2,FALSE),"N/A")</f>
        <v>N/A</v>
      </c>
      <c r="N364" s="3061" t="str">
        <f t="shared" si="13"/>
        <v>N/A</v>
      </c>
      <c r="O364" s="3048"/>
      <c r="P364" s="3044" t="str">
        <f>IF($D364="Logistics",VLOOKUP($O364,'Upper Hot Cell Logistics'!$C$4:$D$44,2,FALSE),"N/A")</f>
        <v>N/A</v>
      </c>
    </row>
    <row r="365" spans="1:16" x14ac:dyDescent="0.4">
      <c r="A365" s="3113"/>
      <c r="B365" s="4055"/>
      <c r="C365" s="3049" t="s">
        <v>926</v>
      </c>
      <c r="D365" s="3049" t="s">
        <v>778</v>
      </c>
      <c r="E365" s="3047">
        <f t="shared" si="12"/>
        <v>0.69444444444444442</v>
      </c>
      <c r="F365" s="3047">
        <f>IF($D365="Trigger",VLOOKUP($C365,'Upper Hot Cell Welding failures'!$E$283:$I$345,5,FALSE),E365+F364)</f>
        <v>24.335108841211316</v>
      </c>
      <c r="G365" s="3050"/>
      <c r="H365" s="3046" t="str">
        <f>IF(D365="operation",VLOOKUP(G365,'Generic Vertical Port Tasks'!C314:D356,2,FALSE),"N/A")</f>
        <v>N/A</v>
      </c>
      <c r="I365" s="3049" t="s">
        <v>857</v>
      </c>
      <c r="J365" s="3049" t="s">
        <v>452</v>
      </c>
      <c r="K365" s="3049" t="s">
        <v>831</v>
      </c>
      <c r="L365" s="3047">
        <f>IFERROR(INDEX('Upper Hot Cell Logistics'!$I$35:$O$41,MATCH($J365,'Upper Hot Cell Logistics'!$H$35:$H$41,0),MATCH($K365,'Upper Hot Cell Logistics'!$H$35:$H$41,0)),"N/A")</f>
        <v>50</v>
      </c>
      <c r="M365" s="3047">
        <f>IFERROR(VLOOKUP($I365,'Upper Hot Cell Logistics'!$H$4:$I$9,2,FALSE),"N/A")</f>
        <v>0.02</v>
      </c>
      <c r="N365" s="3059">
        <f t="shared" si="13"/>
        <v>0.69444444444444442</v>
      </c>
      <c r="O365" s="3051"/>
      <c r="P365" s="3046" t="str">
        <f>IF($D365="Logistics",VLOOKUP($O365,'Upper Hot Cell Logistics'!$C$4:$D$44,2,FALSE),"N/A")</f>
        <v>N/A</v>
      </c>
    </row>
    <row r="366" spans="1:16" x14ac:dyDescent="0.4">
      <c r="A366" s="3113"/>
      <c r="B366" s="4055"/>
      <c r="C366" s="3049" t="s">
        <v>960</v>
      </c>
      <c r="D366" s="3049" t="s">
        <v>3</v>
      </c>
      <c r="E366" s="3047">
        <f t="shared" si="12"/>
        <v>0.58000000000000007</v>
      </c>
      <c r="F366" s="3047">
        <f>IF($D366="Trigger",VLOOKUP($C366,'Upper Hot Cell Welding failures'!$E$283:$I$345,5,FALSE),E366+F365)</f>
        <v>24.915108841211314</v>
      </c>
      <c r="G366" s="3050"/>
      <c r="H366" s="3046" t="str">
        <f>IF(D366="operation",VLOOKUP(G366,'Generic Vertical Port Tasks'!C314:D356,2,FALSE),"N/A")</f>
        <v>N/A</v>
      </c>
      <c r="I366" s="3049"/>
      <c r="J366" s="3049"/>
      <c r="K366" s="3049"/>
      <c r="L366" s="3047" t="str">
        <f>IFERROR(INDEX('Upper Hot Cell Logistics'!$I$35:$O$41,MATCH($J366,'Upper Hot Cell Logistics'!$H$35:$H$41,0),MATCH($K366,'Upper Hot Cell Logistics'!$H$35:$H$41,0)),"N/A")</f>
        <v>N/A</v>
      </c>
      <c r="M366" s="3047" t="str">
        <f>IFERROR(VLOOKUP($I366,'Upper Hot Cell Logistics'!$H$4:$I$9,2,FALSE),"N/A")</f>
        <v>N/A</v>
      </c>
      <c r="N366" s="3059" t="str">
        <f t="shared" si="13"/>
        <v>N/A</v>
      </c>
      <c r="O366" s="3051" t="s">
        <v>904</v>
      </c>
      <c r="P366" s="3046">
        <f>IF($D366="Logistics",VLOOKUP($O366,'Upper Hot Cell Logistics'!$C$4:$D$44,2,FALSE),"N/A")</f>
        <v>0.58000000000000007</v>
      </c>
    </row>
    <row r="367" spans="1:16" ht="13.3" thickBot="1" x14ac:dyDescent="0.45">
      <c r="A367" s="3113"/>
      <c r="B367" s="4057"/>
      <c r="C367" s="3053" t="str">
        <f>B364</f>
        <v>LOB Blanket Segment Stored</v>
      </c>
      <c r="D367" s="3053" t="s">
        <v>11</v>
      </c>
      <c r="E367" s="3054">
        <f t="shared" si="12"/>
        <v>0</v>
      </c>
      <c r="F367" s="3054">
        <f>IF($D367="Trigger",VLOOKUP($C367,'Upper Hot Cell Welding failures'!$E$283:$I$345,5,FALSE),E367+F366)</f>
        <v>24.915108841211314</v>
      </c>
      <c r="G367" s="3056"/>
      <c r="H367" s="3055" t="str">
        <f>IF(D367="operation",VLOOKUP(G367,'Generic Vertical Port Tasks'!C314:D356,2,FALSE),"N/A")</f>
        <v>N/A</v>
      </c>
      <c r="I367" s="3053"/>
      <c r="J367" s="3053"/>
      <c r="K367" s="3053"/>
      <c r="L367" s="3054" t="str">
        <f>IFERROR(INDEX('Upper Hot Cell Logistics'!$I$35:$O$41,MATCH($J367,'Upper Hot Cell Logistics'!$H$35:$H$41,0),MATCH($K367,'Upper Hot Cell Logistics'!$H$35:$H$41,0)),"N/A")</f>
        <v>N/A</v>
      </c>
      <c r="M367" s="3054" t="str">
        <f>IFERROR(VLOOKUP($I367,'Upper Hot Cell Logistics'!$H$4:$I$9,2,FALSE),"N/A")</f>
        <v>N/A</v>
      </c>
      <c r="N367" s="3060" t="str">
        <f t="shared" si="13"/>
        <v>N/A</v>
      </c>
      <c r="O367" s="3057"/>
      <c r="P367" s="3055" t="str">
        <f>IF($D367="Logistics",VLOOKUP($O367,'Upper Hot Cell Logistics'!$C$4:$D$44,2,FALSE),"N/A")</f>
        <v>N/A</v>
      </c>
    </row>
    <row r="368" spans="1:16" x14ac:dyDescent="0.4">
      <c r="A368" s="3113"/>
      <c r="B368" s="4054" t="s">
        <v>962</v>
      </c>
      <c r="C368" s="3042" t="str">
        <f>'Upper Hot Cell Welding failures'!E319</f>
        <v>Extract ROB Blanket Segment</v>
      </c>
      <c r="D368" s="3042" t="s">
        <v>907</v>
      </c>
      <c r="E368" s="3043">
        <f t="shared" si="12"/>
        <v>0</v>
      </c>
      <c r="F368" s="3043">
        <f>IF($D368="Trigger",VLOOKUP($C368,'Upper Hot Cell Welding failures'!$E$283:$I$345,5,FALSE),E368+F367)</f>
        <v>29.450108841211318</v>
      </c>
      <c r="G368" s="3045"/>
      <c r="H368" s="3044" t="str">
        <f>IF(D368="operation",VLOOKUP(G368,'Generic Vertical Port Tasks'!C314:D356,2,FALSE),"N/A")</f>
        <v>N/A</v>
      </c>
      <c r="I368" s="3042"/>
      <c r="J368" s="3042"/>
      <c r="K368" s="3042"/>
      <c r="L368" s="3043" t="str">
        <f>IFERROR(INDEX('Upper Hot Cell Logistics'!$I$35:$O$41,MATCH($J368,'Upper Hot Cell Logistics'!$H$35:$H$41,0),MATCH($K368,'Upper Hot Cell Logistics'!$H$35:$H$41,0)),"N/A")</f>
        <v>N/A</v>
      </c>
      <c r="M368" s="3043" t="str">
        <f>IFERROR(VLOOKUP($I368,'Upper Hot Cell Logistics'!$H$4:$I$9,2,FALSE),"N/A")</f>
        <v>N/A</v>
      </c>
      <c r="N368" s="3061" t="str">
        <f t="shared" si="13"/>
        <v>N/A</v>
      </c>
      <c r="O368" s="3048"/>
      <c r="P368" s="3044" t="str">
        <f>IF($D368="Logistics",VLOOKUP($O368,'Upper Hot Cell Logistics'!$C$4:$D$44,2,FALSE),"N/A")</f>
        <v>N/A</v>
      </c>
    </row>
    <row r="369" spans="1:17" x14ac:dyDescent="0.4">
      <c r="A369" s="3113"/>
      <c r="B369" s="4055"/>
      <c r="C369" s="3049" t="s">
        <v>930</v>
      </c>
      <c r="D369" s="3049" t="s">
        <v>778</v>
      </c>
      <c r="E369" s="3047">
        <f t="shared" si="12"/>
        <v>0.69444444444444442</v>
      </c>
      <c r="F369" s="3047">
        <f>IF($D369="Trigger",VLOOKUP($C369,'Upper Hot Cell Welding failures'!$E$283:$I$345,5,FALSE),E369+F368)</f>
        <v>30.144553285655761</v>
      </c>
      <c r="G369" s="3050"/>
      <c r="H369" s="3046" t="str">
        <f>IF(D369="operation",VLOOKUP(G369,'Generic Vertical Port Tasks'!C314:D356,2,FALSE),"N/A")</f>
        <v>N/A</v>
      </c>
      <c r="I369" s="3049" t="s">
        <v>857</v>
      </c>
      <c r="J369" s="3049" t="s">
        <v>452</v>
      </c>
      <c r="K369" s="3049" t="s">
        <v>831</v>
      </c>
      <c r="L369" s="3047">
        <f>IFERROR(INDEX('Upper Hot Cell Logistics'!$I$35:$O$41,MATCH($J369,'Upper Hot Cell Logistics'!$H$35:$H$41,0),MATCH($K369,'Upper Hot Cell Logistics'!$H$35:$H$41,0)),"N/A")</f>
        <v>50</v>
      </c>
      <c r="M369" s="3047">
        <f>IFERROR(VLOOKUP($I369,'Upper Hot Cell Logistics'!$H$4:$I$9,2,FALSE),"N/A")</f>
        <v>0.02</v>
      </c>
      <c r="N369" s="3059">
        <f t="shared" si="13"/>
        <v>0.69444444444444442</v>
      </c>
      <c r="O369" s="3051"/>
      <c r="P369" s="3046" t="str">
        <f>IF($D369="Logistics",VLOOKUP($O369,'Upper Hot Cell Logistics'!$C$4:$D$44,2,FALSE),"N/A")</f>
        <v>N/A</v>
      </c>
    </row>
    <row r="370" spans="1:17" x14ac:dyDescent="0.4">
      <c r="A370" s="3113"/>
      <c r="B370" s="4055"/>
      <c r="C370" s="3049" t="s">
        <v>960</v>
      </c>
      <c r="D370" s="3049" t="s">
        <v>3</v>
      </c>
      <c r="E370" s="3047">
        <f t="shared" si="12"/>
        <v>0.58000000000000007</v>
      </c>
      <c r="F370" s="3047">
        <f>IF($D370="Trigger",VLOOKUP($C370,'Upper Hot Cell Welding failures'!$E$283:$I$345,5,FALSE),E370+F369)</f>
        <v>30.724553285655759</v>
      </c>
      <c r="G370" s="3050"/>
      <c r="H370" s="3046" t="str">
        <f>IF(D370="operation",VLOOKUP(G370,'Generic Vertical Port Tasks'!C314:D356,2,FALSE),"N/A")</f>
        <v>N/A</v>
      </c>
      <c r="I370" s="3049"/>
      <c r="J370" s="3049"/>
      <c r="K370" s="3049"/>
      <c r="L370" s="3047" t="str">
        <f>IFERROR(INDEX('Upper Hot Cell Logistics'!$I$35:$O$41,MATCH($J370,'Upper Hot Cell Logistics'!$H$35:$H$41,0),MATCH($K370,'Upper Hot Cell Logistics'!$H$35:$H$41,0)),"N/A")</f>
        <v>N/A</v>
      </c>
      <c r="M370" s="3047" t="str">
        <f>IFERROR(VLOOKUP($I370,'Upper Hot Cell Logistics'!$H$4:$I$9,2,FALSE),"N/A")</f>
        <v>N/A</v>
      </c>
      <c r="N370" s="3059" t="str">
        <f t="shared" si="13"/>
        <v>N/A</v>
      </c>
      <c r="O370" s="3051" t="s">
        <v>904</v>
      </c>
      <c r="P370" s="3046">
        <f>IF($D370="Logistics",VLOOKUP($O370,'Upper Hot Cell Logistics'!$C$4:$D$44,2,FALSE),"N/A")</f>
        <v>0.58000000000000007</v>
      </c>
    </row>
    <row r="371" spans="1:17" ht="13.3" thickBot="1" x14ac:dyDescent="0.45">
      <c r="A371" s="3113"/>
      <c r="B371" s="4057"/>
      <c r="C371" s="3053" t="str">
        <f>B368</f>
        <v>ROB Blanket Segment Stored</v>
      </c>
      <c r="D371" s="3053" t="s">
        <v>11</v>
      </c>
      <c r="E371" s="3054">
        <f t="shared" si="12"/>
        <v>0</v>
      </c>
      <c r="F371" s="3054">
        <f>IF($D371="Trigger",VLOOKUP($C371,'Upper Hot Cell Welding failures'!$E$283:$I$345,5,FALSE),E371+F370)</f>
        <v>30.724553285655759</v>
      </c>
      <c r="G371" s="3056"/>
      <c r="H371" s="3055" t="str">
        <f>IF(D371="operation",VLOOKUP(G371,'Generic Vertical Port Tasks'!C314:D356,2,FALSE),"N/A")</f>
        <v>N/A</v>
      </c>
      <c r="I371" s="3053"/>
      <c r="J371" s="3053"/>
      <c r="K371" s="3053"/>
      <c r="L371" s="3054" t="str">
        <f>IFERROR(INDEX('Upper Hot Cell Logistics'!$I$35:$O$41,MATCH($J371,'Upper Hot Cell Logistics'!$H$35:$H$41,0),MATCH($K371,'Upper Hot Cell Logistics'!$H$35:$H$41,0)),"N/A")</f>
        <v>N/A</v>
      </c>
      <c r="M371" s="3054" t="str">
        <f>IFERROR(VLOOKUP($I371,'Upper Hot Cell Logistics'!$H$4:$I$9,2,FALSE),"N/A")</f>
        <v>N/A</v>
      </c>
      <c r="N371" s="3060" t="str">
        <f t="shared" si="13"/>
        <v>N/A</v>
      </c>
      <c r="O371" s="3057"/>
      <c r="P371" s="3055" t="str">
        <f>IF($D371="Logistics",VLOOKUP($O371,'Upper Hot Cell Logistics'!$C$4:$D$44,2,FALSE),"N/A")</f>
        <v>N/A</v>
      </c>
    </row>
    <row r="372" spans="1:17" x14ac:dyDescent="0.4">
      <c r="A372" s="3113"/>
      <c r="B372" s="4054" t="s">
        <v>1081</v>
      </c>
      <c r="C372" s="3042" t="str">
        <f>'Upper Hot Cell Welding failures'!E321</f>
        <v>Extract LIB Blanket Segment</v>
      </c>
      <c r="D372" s="3042" t="s">
        <v>907</v>
      </c>
      <c r="E372" s="3043">
        <f t="shared" si="12"/>
        <v>0</v>
      </c>
      <c r="F372" s="3043">
        <f>IF($D372="Trigger",VLOOKUP($C372,'Upper Hot Cell Welding failures'!$E$283:$I$345,5,FALSE),E372+F371)</f>
        <v>35.259553285655763</v>
      </c>
      <c r="G372" s="3045"/>
      <c r="H372" s="3044" t="str">
        <f>IF(D372="operation",VLOOKUP(G372,'Generic Vertical Port Tasks'!C318:D358,2,FALSE),"N/A")</f>
        <v>N/A</v>
      </c>
      <c r="I372" s="3042"/>
      <c r="J372" s="3042"/>
      <c r="K372" s="3042"/>
      <c r="L372" s="3043" t="str">
        <f>IFERROR(INDEX('Upper Hot Cell Logistics'!$I$35:$O$41,MATCH($J372,'Upper Hot Cell Logistics'!$H$35:$H$41,0),MATCH($K372,'Upper Hot Cell Logistics'!$H$35:$H$41,0)),"N/A")</f>
        <v>N/A</v>
      </c>
      <c r="M372" s="3043" t="str">
        <f>IFERROR(VLOOKUP($I372,'Upper Hot Cell Logistics'!$H$4:$I$9,2,FALSE),"N/A")</f>
        <v>N/A</v>
      </c>
      <c r="N372" s="3061" t="str">
        <f t="shared" si="13"/>
        <v>N/A</v>
      </c>
      <c r="O372" s="3048"/>
      <c r="P372" s="3044" t="str">
        <f>IF($D372="Logistics",VLOOKUP($O372,'Upper Hot Cell Logistics'!$C$4:$D$44,2,FALSE),"N/A")</f>
        <v>N/A</v>
      </c>
    </row>
    <row r="373" spans="1:17" x14ac:dyDescent="0.4">
      <c r="A373" s="3113"/>
      <c r="B373" s="4055"/>
      <c r="C373" s="3049" t="s">
        <v>930</v>
      </c>
      <c r="D373" s="3049" t="s">
        <v>778</v>
      </c>
      <c r="E373" s="3047">
        <f t="shared" si="12"/>
        <v>0.69444444444444442</v>
      </c>
      <c r="F373" s="3047">
        <f>IF($D373="Trigger",VLOOKUP($C373,'Upper Hot Cell Welding failures'!$E$283:$I$345,5,FALSE),E373+F372)</f>
        <v>35.953997730100205</v>
      </c>
      <c r="G373" s="3050"/>
      <c r="H373" s="3046" t="str">
        <f>IF(D373="operation",VLOOKUP(G373,'Generic Vertical Port Tasks'!C318:D358,2,FALSE),"N/A")</f>
        <v>N/A</v>
      </c>
      <c r="I373" s="3049" t="s">
        <v>857</v>
      </c>
      <c r="J373" s="3049" t="s">
        <v>452</v>
      </c>
      <c r="K373" s="3049" t="s">
        <v>831</v>
      </c>
      <c r="L373" s="3047">
        <f>IFERROR(INDEX('Upper Hot Cell Logistics'!$I$35:$O$41,MATCH($J373,'Upper Hot Cell Logistics'!$H$35:$H$41,0),MATCH($K373,'Upper Hot Cell Logistics'!$H$35:$H$41,0)),"N/A")</f>
        <v>50</v>
      </c>
      <c r="M373" s="3047">
        <f>IFERROR(VLOOKUP($I373,'Upper Hot Cell Logistics'!$H$4:$I$9,2,FALSE),"N/A")</f>
        <v>0.02</v>
      </c>
      <c r="N373" s="3059">
        <f t="shared" si="13"/>
        <v>0.69444444444444442</v>
      </c>
      <c r="O373" s="3051"/>
      <c r="P373" s="3046" t="str">
        <f>IF($D373="Logistics",VLOOKUP($O373,'Upper Hot Cell Logistics'!$C$4:$D$44,2,FALSE),"N/A")</f>
        <v>N/A</v>
      </c>
    </row>
    <row r="374" spans="1:17" x14ac:dyDescent="0.4">
      <c r="A374" s="3113"/>
      <c r="B374" s="4055"/>
      <c r="C374" s="3049" t="s">
        <v>960</v>
      </c>
      <c r="D374" s="3049" t="s">
        <v>3</v>
      </c>
      <c r="E374" s="3047">
        <f t="shared" si="12"/>
        <v>0.58000000000000007</v>
      </c>
      <c r="F374" s="3047">
        <f>IF($D374="Trigger",VLOOKUP($C374,'Upper Hot Cell Welding failures'!$E$283:$I$345,5,FALSE),E374+F373)</f>
        <v>36.533997730100204</v>
      </c>
      <c r="G374" s="3050"/>
      <c r="H374" s="3046" t="str">
        <f>IF(D374="operation",VLOOKUP(G374,'Generic Vertical Port Tasks'!C318:D358,2,FALSE),"N/A")</f>
        <v>N/A</v>
      </c>
      <c r="I374" s="3049"/>
      <c r="J374" s="3049"/>
      <c r="K374" s="3049"/>
      <c r="L374" s="3047" t="str">
        <f>IFERROR(INDEX('Upper Hot Cell Logistics'!$I$35:$O$41,MATCH($J374,'Upper Hot Cell Logistics'!$H$35:$H$41,0),MATCH($K374,'Upper Hot Cell Logistics'!$H$35:$H$41,0)),"N/A")</f>
        <v>N/A</v>
      </c>
      <c r="M374" s="3047" t="str">
        <f>IFERROR(VLOOKUP($I374,'Upper Hot Cell Logistics'!$H$4:$I$9,2,FALSE),"N/A")</f>
        <v>N/A</v>
      </c>
      <c r="N374" s="3059" t="str">
        <f t="shared" si="13"/>
        <v>N/A</v>
      </c>
      <c r="O374" s="3051" t="s">
        <v>904</v>
      </c>
      <c r="P374" s="3046">
        <f>IF($D374="Logistics",VLOOKUP($O374,'Upper Hot Cell Logistics'!$C$4:$D$44,2,FALSE),"N/A")</f>
        <v>0.58000000000000007</v>
      </c>
    </row>
    <row r="375" spans="1:17" ht="26.15" thickBot="1" x14ac:dyDescent="0.45">
      <c r="A375" s="3113"/>
      <c r="B375" s="4057"/>
      <c r="C375" s="3053" t="str">
        <f>B372</f>
        <v>LIB Blanket Segment Stored; Replacement RIB Blanket Segment collected</v>
      </c>
      <c r="D375" s="3053" t="s">
        <v>11</v>
      </c>
      <c r="E375" s="3054">
        <f t="shared" si="12"/>
        <v>0</v>
      </c>
      <c r="F375" s="3054">
        <f>IF($D375="Trigger",VLOOKUP($C375,'Upper Hot Cell Welding failures'!$E$283:$I$345,5,FALSE),E375+F374)</f>
        <v>36.533997730100204</v>
      </c>
      <c r="G375" s="3056"/>
      <c r="H375" s="3055" t="str">
        <f>IF(D375="operation",VLOOKUP(G375,'Generic Vertical Port Tasks'!C318:D358,2,FALSE),"N/A")</f>
        <v>N/A</v>
      </c>
      <c r="I375" s="3053"/>
      <c r="J375" s="3053"/>
      <c r="K375" s="3053"/>
      <c r="L375" s="3054" t="str">
        <f>IFERROR(INDEX('Upper Hot Cell Logistics'!$I$35:$O$41,MATCH($J375,'Upper Hot Cell Logistics'!$H$35:$H$41,0),MATCH($K375,'Upper Hot Cell Logistics'!$H$35:$H$41,0)),"N/A")</f>
        <v>N/A</v>
      </c>
      <c r="M375" s="3054" t="str">
        <f>IFERROR(VLOOKUP($I375,'Upper Hot Cell Logistics'!$H$4:$I$9,2,FALSE),"N/A")</f>
        <v>N/A</v>
      </c>
      <c r="N375" s="3060" t="str">
        <f t="shared" si="13"/>
        <v>N/A</v>
      </c>
      <c r="O375" s="3057"/>
      <c r="P375" s="3055" t="str">
        <f>IF($D375="Logistics",VLOOKUP($O375,'Upper Hot Cell Logistics'!$C$4:$D$44,2,FALSE),"N/A")</f>
        <v>N/A</v>
      </c>
    </row>
    <row r="376" spans="1:17" x14ac:dyDescent="0.4">
      <c r="A376" s="3113"/>
      <c r="B376" s="4054" t="s">
        <v>1082</v>
      </c>
      <c r="C376" s="3042" t="str">
        <f>'Upper Hot Cell Welding failures'!E323</f>
        <v>Extract RIB Blanket Segment</v>
      </c>
      <c r="D376" s="3042" t="s">
        <v>907</v>
      </c>
      <c r="E376" s="3043">
        <f t="shared" si="12"/>
        <v>0</v>
      </c>
      <c r="F376" s="3043">
        <f>IF($D376="Trigger",VLOOKUP($C376,'Upper Hot Cell Welding failures'!$E$283:$I$345,5,FALSE),E376+F375)</f>
        <v>41.068997730100207</v>
      </c>
      <c r="G376" s="3045"/>
      <c r="H376" s="3044" t="str">
        <f>IF(D376="operation",VLOOKUP(G376,'Generic Vertical Port Tasks'!C323:D361,2,FALSE),"N/A")</f>
        <v>N/A</v>
      </c>
      <c r="I376" s="3042"/>
      <c r="J376" s="3042"/>
      <c r="K376" s="3042"/>
      <c r="L376" s="3043" t="str">
        <f>IFERROR(INDEX('Upper Hot Cell Logistics'!$I$35:$O$41,MATCH($J376,'Upper Hot Cell Logistics'!$H$35:$H$41,0),MATCH($K376,'Upper Hot Cell Logistics'!$H$35:$H$41,0)),"N/A")</f>
        <v>N/A</v>
      </c>
      <c r="M376" s="3043" t="str">
        <f>IFERROR(VLOOKUP($I376,'Upper Hot Cell Logistics'!$H$4:$I$9,2,FALSE),"N/A")</f>
        <v>N/A</v>
      </c>
      <c r="N376" s="3061" t="str">
        <f t="shared" si="13"/>
        <v>N/A</v>
      </c>
      <c r="O376" s="3048"/>
      <c r="P376" s="3044" t="str">
        <f>IF($D376="Logistics",VLOOKUP($O376,'Upper Hot Cell Logistics'!$C$4:$D$44,2,FALSE),"N/A")</f>
        <v>N/A</v>
      </c>
    </row>
    <row r="377" spans="1:17" x14ac:dyDescent="0.4">
      <c r="A377" s="3113"/>
      <c r="B377" s="4055"/>
      <c r="C377" s="3049" t="s">
        <v>930</v>
      </c>
      <c r="D377" s="3049" t="s">
        <v>778</v>
      </c>
      <c r="E377" s="3047">
        <f t="shared" si="12"/>
        <v>0.69444444444444442</v>
      </c>
      <c r="F377" s="3047">
        <f>IF($D377="Trigger",VLOOKUP($C377,'Upper Hot Cell Welding failures'!$E$283:$I$345,5,FALSE),E377+F376)</f>
        <v>41.76344217454465</v>
      </c>
      <c r="G377" s="3050"/>
      <c r="H377" s="3046" t="str">
        <f>IF(D377="operation",VLOOKUP(G377,'Generic Vertical Port Tasks'!C323:D361,2,FALSE),"N/A")</f>
        <v>N/A</v>
      </c>
      <c r="I377" s="3049" t="s">
        <v>857</v>
      </c>
      <c r="J377" s="3049" t="s">
        <v>452</v>
      </c>
      <c r="K377" s="3049" t="s">
        <v>831</v>
      </c>
      <c r="L377" s="3047">
        <f>IFERROR(INDEX('Upper Hot Cell Logistics'!$I$35:$O$41,MATCH($J377,'Upper Hot Cell Logistics'!$H$35:$H$41,0),MATCH($K377,'Upper Hot Cell Logistics'!$H$35:$H$41,0)),"N/A")</f>
        <v>50</v>
      </c>
      <c r="M377" s="3047">
        <f>IFERROR(VLOOKUP($I377,'Upper Hot Cell Logistics'!$H$4:$I$9,2,FALSE),"N/A")</f>
        <v>0.02</v>
      </c>
      <c r="N377" s="3059">
        <f t="shared" si="13"/>
        <v>0.69444444444444442</v>
      </c>
      <c r="O377" s="3051"/>
      <c r="P377" s="3046" t="str">
        <f>IF($D377="Logistics",VLOOKUP($O377,'Upper Hot Cell Logistics'!$C$4:$D$44,2,FALSE),"N/A")</f>
        <v>N/A</v>
      </c>
    </row>
    <row r="378" spans="1:17" x14ac:dyDescent="0.4">
      <c r="A378" s="3113"/>
      <c r="B378" s="4055"/>
      <c r="C378" s="3049" t="s">
        <v>960</v>
      </c>
      <c r="D378" s="3049" t="s">
        <v>3</v>
      </c>
      <c r="E378" s="3047">
        <f t="shared" si="12"/>
        <v>0.58000000000000007</v>
      </c>
      <c r="F378" s="3047">
        <f>IF($D378="Trigger",VLOOKUP($C378,'Upper Hot Cell Welding failures'!$E$283:$I$345,5,FALSE),E378+F377)</f>
        <v>42.343442174544649</v>
      </c>
      <c r="G378" s="3050"/>
      <c r="H378" s="3046" t="str">
        <f>IF(D378="operation",VLOOKUP(G378,'Generic Vertical Port Tasks'!C323:D361,2,FALSE),"N/A")</f>
        <v>N/A</v>
      </c>
      <c r="I378" s="3049"/>
      <c r="J378" s="3049"/>
      <c r="K378" s="3049"/>
      <c r="L378" s="3047" t="str">
        <f>IFERROR(INDEX('Upper Hot Cell Logistics'!$I$35:$O$41,MATCH($J378,'Upper Hot Cell Logistics'!$H$35:$H$41,0),MATCH($K378,'Upper Hot Cell Logistics'!$H$35:$H$41,0)),"N/A")</f>
        <v>N/A</v>
      </c>
      <c r="M378" s="3047" t="str">
        <f>IFERROR(VLOOKUP($I378,'Upper Hot Cell Logistics'!$H$4:$I$9,2,FALSE),"N/A")</f>
        <v>N/A</v>
      </c>
      <c r="N378" s="3059" t="str">
        <f t="shared" si="13"/>
        <v>N/A</v>
      </c>
      <c r="O378" s="3051" t="s">
        <v>904</v>
      </c>
      <c r="P378" s="3046">
        <f>IF($D378="Logistics",VLOOKUP($O378,'Upper Hot Cell Logistics'!$C$4:$D$44,2,FALSE),"N/A")</f>
        <v>0.58000000000000007</v>
      </c>
    </row>
    <row r="379" spans="1:17" x14ac:dyDescent="0.4">
      <c r="A379" s="3113"/>
      <c r="B379" s="4056"/>
      <c r="C379" s="3052" t="s">
        <v>1173</v>
      </c>
      <c r="D379" s="3052" t="s">
        <v>778</v>
      </c>
      <c r="E379" s="3047">
        <f t="shared" si="12"/>
        <v>1.3888888888888888E-2</v>
      </c>
      <c r="F379" s="3047">
        <f>IF($D379="Trigger",VLOOKUP($C379,'Upper Hot Cell Welding failures'!$E$283:$I$345,5,FALSE),E379+F378)</f>
        <v>42.357331063433534</v>
      </c>
      <c r="G379" s="3050"/>
      <c r="H379" s="3046" t="str">
        <f>IF(D379="operation",VLOOKUP(G379,'Generic Vertical Port Tasks'!C324:D362,2,FALSE),"N/A")</f>
        <v>N/A</v>
      </c>
      <c r="I379" s="3049" t="s">
        <v>798</v>
      </c>
      <c r="J379" s="3049" t="s">
        <v>831</v>
      </c>
      <c r="K379" s="3049" t="s">
        <v>858</v>
      </c>
      <c r="L379" s="3047">
        <f>IFERROR(INDEX('Upper Hot Cell Logistics'!$I$35:$O$41,MATCH($J379,'Upper Hot Cell Logistics'!$H$35:$H$41,0),MATCH($K379,'Upper Hot Cell Logistics'!$H$35:$H$41,0)),"N/A")</f>
        <v>10</v>
      </c>
      <c r="M379" s="3047">
        <f>IFERROR(VLOOKUP($I379,'Upper Hot Cell Logistics'!$H$4:$I$9,2,FALSE),"N/A")</f>
        <v>0.2</v>
      </c>
      <c r="N379" s="3059">
        <f t="shared" si="13"/>
        <v>1.3888888888888888E-2</v>
      </c>
      <c r="O379" s="3051"/>
      <c r="P379" s="3046" t="str">
        <f>IF($D379="Logistics",VLOOKUP($O379,'Upper Hot Cell Logistics'!$C$4:$D$44,2,FALSE),"N/A")</f>
        <v>N/A</v>
      </c>
    </row>
    <row r="380" spans="1:17" x14ac:dyDescent="0.4">
      <c r="A380" s="3113"/>
      <c r="B380" s="4056"/>
      <c r="C380" s="3052" t="s">
        <v>1174</v>
      </c>
      <c r="D380" s="3052" t="s">
        <v>3</v>
      </c>
      <c r="E380" s="3047">
        <f t="shared" si="12"/>
        <v>0.78</v>
      </c>
      <c r="F380" s="3047">
        <f>IF($D380="Trigger",VLOOKUP($C380,'Upper Hot Cell Welding failures'!$E$283:$I$345,5,FALSE),E380+F379)</f>
        <v>43.137331063433535</v>
      </c>
      <c r="G380" s="3050"/>
      <c r="H380" s="3046" t="str">
        <f>IF(D380="operation",VLOOKUP(G380,'Generic Vertical Port Tasks'!C325:D363,2,FALSE),"N/A")</f>
        <v>N/A</v>
      </c>
      <c r="I380" s="3049"/>
      <c r="J380" s="3049"/>
      <c r="K380" s="3049"/>
      <c r="L380" s="3047" t="str">
        <f>IFERROR(INDEX('Upper Hot Cell Logistics'!$I$35:$O$41,MATCH($J380,'Upper Hot Cell Logistics'!$H$35:$H$41,0),MATCH($K380,'Upper Hot Cell Logistics'!$H$35:$H$41,0)),"N/A")</f>
        <v>N/A</v>
      </c>
      <c r="M380" s="3047" t="str">
        <f>IFERROR(VLOOKUP($I380,'Upper Hot Cell Logistics'!$H$4:$I$9,2,FALSE),"N/A")</f>
        <v>N/A</v>
      </c>
      <c r="N380" s="3059" t="str">
        <f t="shared" si="13"/>
        <v>N/A</v>
      </c>
      <c r="O380" s="3051" t="s">
        <v>1175</v>
      </c>
      <c r="P380" s="3046">
        <f>IF($D380="Logistics",VLOOKUP($O380,'Upper Hot Cell Logistics'!$C$4:$D$44,2,FALSE),"N/A")</f>
        <v>0.78</v>
      </c>
    </row>
    <row r="381" spans="1:17" ht="26.15" thickBot="1" x14ac:dyDescent="0.45">
      <c r="A381" s="3113"/>
      <c r="B381" s="4056"/>
      <c r="C381" s="3052" t="str">
        <f>B376</f>
        <v>RIB Blanket Segment Stored; Replacement LIB Blanket Segment collected</v>
      </c>
      <c r="D381" s="3052" t="s">
        <v>11</v>
      </c>
      <c r="E381" s="3062">
        <f t="shared" si="12"/>
        <v>0</v>
      </c>
      <c r="F381" s="3062">
        <f>IF($D381="Trigger",VLOOKUP($C381,'Upper Hot Cell Welding failures'!$E$283:$I$345,5,FALSE),E381+F380)</f>
        <v>43.137331063433535</v>
      </c>
      <c r="G381" s="3063"/>
      <c r="H381" s="3064" t="str">
        <f>IF(D381="operation",VLOOKUP(G381,'Generic Vertical Port Tasks'!C323:D361,2,FALSE),"N/A")</f>
        <v>N/A</v>
      </c>
      <c r="I381" s="3052"/>
      <c r="J381" s="3052"/>
      <c r="K381" s="3052"/>
      <c r="L381" s="3062" t="str">
        <f>IFERROR(INDEX('Upper Hot Cell Logistics'!$I$35:$O$41,MATCH($J381,'Upper Hot Cell Logistics'!$H$35:$H$41,0),MATCH($K381,'Upper Hot Cell Logistics'!$H$35:$H$41,0)),"N/A")</f>
        <v>N/A</v>
      </c>
      <c r="M381" s="3062" t="str">
        <f>IFERROR(VLOOKUP($I381,'Upper Hot Cell Logistics'!$H$4:$I$9,2,FALSE),"N/A")</f>
        <v>N/A</v>
      </c>
      <c r="N381" s="3065" t="str">
        <f t="shared" si="13"/>
        <v>N/A</v>
      </c>
      <c r="O381" s="3066"/>
      <c r="P381" s="3064" t="str">
        <f>IF($D381="Logistics",VLOOKUP($O381,'Upper Hot Cell Logistics'!$C$4:$D$44,2,FALSE),"N/A")</f>
        <v>N/A</v>
      </c>
    </row>
    <row r="382" spans="1:17" s="3058" customFormat="1" ht="14.6" collapsed="1" x14ac:dyDescent="0.4">
      <c r="A382" s="3113"/>
      <c r="B382" s="4054" t="s">
        <v>863</v>
      </c>
      <c r="C382" s="3042" t="str">
        <f>'Upper Hot Cell Welding failures'!E325</f>
        <v>Install RIB Blanket Segment</v>
      </c>
      <c r="D382" s="3042" t="s">
        <v>907</v>
      </c>
      <c r="E382" s="3043">
        <f t="shared" si="12"/>
        <v>0</v>
      </c>
      <c r="F382" s="3044">
        <f>IF($D382="Trigger",VLOOKUP($C382,'Upper Hot Cell Welding failures'!$E$283:$I$345,5,FALSE),E382+F381)</f>
        <v>45.468442174544649</v>
      </c>
      <c r="G382" s="3045"/>
      <c r="H382" s="3044" t="str">
        <f>IF(D382="operation",VLOOKUP(G382,'Generic Vertical Port Tasks'!C328:D364,2,FALSE),"N/A")</f>
        <v>N/A</v>
      </c>
      <c r="I382" s="3042"/>
      <c r="J382" s="3042"/>
      <c r="K382" s="3042"/>
      <c r="L382" s="3043" t="str">
        <f>IFERROR(INDEX('Upper Hot Cell Logistics'!$I$35:$O$41,MATCH($J382,'Upper Hot Cell Logistics'!$H$35:$H$41,0),MATCH($K382,'Upper Hot Cell Logistics'!$H$35:$H$41,0)),"N/A")</f>
        <v>N/A</v>
      </c>
      <c r="M382" s="3043" t="str">
        <f>IFERROR(VLOOKUP($I382,'Upper Hot Cell Logistics'!$H$4:$I$9,2,FALSE),"N/A")</f>
        <v>N/A</v>
      </c>
      <c r="N382" s="3061" t="str">
        <f t="shared" si="13"/>
        <v>N/A</v>
      </c>
      <c r="O382" s="3048"/>
      <c r="P382" s="3044" t="str">
        <f>IF($D382="Logistics",VLOOKUP($O382,'Upper Hot Cell Logistics'!$C$4:$D$44,2,FALSE),"N/A")</f>
        <v>N/A</v>
      </c>
      <c r="Q382" s="3023"/>
    </row>
    <row r="383" spans="1:17" s="3058" customFormat="1" ht="14.6" x14ac:dyDescent="0.4">
      <c r="A383" s="3113"/>
      <c r="B383" s="4055"/>
      <c r="C383" s="3049" t="s">
        <v>926</v>
      </c>
      <c r="D383" s="3049" t="s">
        <v>778</v>
      </c>
      <c r="E383" s="3047">
        <f t="shared" si="12"/>
        <v>0.69444444444444442</v>
      </c>
      <c r="F383" s="3046">
        <f>IF($D383="Trigger",VLOOKUP($C383,'Upper Hot Cell Welding failures'!$E$283:$I$345,5,FALSE),E383+F382)</f>
        <v>46.162886618989091</v>
      </c>
      <c r="G383" s="3050"/>
      <c r="H383" s="3046" t="str">
        <f>IF(D383="operation",VLOOKUP(G383,'Generic Vertical Port Tasks'!C328:D364,2,FALSE),"N/A")</f>
        <v>N/A</v>
      </c>
      <c r="I383" s="3049" t="s">
        <v>857</v>
      </c>
      <c r="J383" s="3049" t="s">
        <v>452</v>
      </c>
      <c r="K383" s="3049" t="s">
        <v>858</v>
      </c>
      <c r="L383" s="3047">
        <f>IFERROR(INDEX('Upper Hot Cell Logistics'!$I$35:$O$41,MATCH($J383,'Upper Hot Cell Logistics'!$H$35:$H$41,0),MATCH($K383,'Upper Hot Cell Logistics'!$H$35:$H$41,0)),"N/A")</f>
        <v>50</v>
      </c>
      <c r="M383" s="3047">
        <f>IFERROR(VLOOKUP($I383,'Upper Hot Cell Logistics'!$H$4:$I$9,2,FALSE),"N/A")</f>
        <v>0.02</v>
      </c>
      <c r="N383" s="3059">
        <f t="shared" si="13"/>
        <v>0.69444444444444442</v>
      </c>
      <c r="O383" s="3051"/>
      <c r="P383" s="3046" t="str">
        <f>IF($D383="Logistics",VLOOKUP($O383,'Upper Hot Cell Logistics'!$C$4:$D$44,2,FALSE),"N/A")</f>
        <v>N/A</v>
      </c>
      <c r="Q383" s="3023"/>
    </row>
    <row r="384" spans="1:17" s="3058" customFormat="1" ht="14.6" x14ac:dyDescent="0.4">
      <c r="A384" s="3113"/>
      <c r="B384" s="4055"/>
      <c r="C384" s="3049" t="s">
        <v>970</v>
      </c>
      <c r="D384" s="3049" t="s">
        <v>3</v>
      </c>
      <c r="E384" s="3047">
        <f t="shared" si="12"/>
        <v>0.58000000000000007</v>
      </c>
      <c r="F384" s="3046">
        <f>IF($D384="Trigger",VLOOKUP($C384,'Upper Hot Cell Welding failures'!$E$283:$I$345,5,FALSE),E384+F383)</f>
        <v>46.74288661898909</v>
      </c>
      <c r="G384" s="3050"/>
      <c r="H384" s="3046" t="str">
        <f>IF(D384="operation",VLOOKUP(G384,'Generic Vertical Port Tasks'!C328:D364,2,FALSE),"N/A")</f>
        <v>N/A</v>
      </c>
      <c r="I384" s="3049"/>
      <c r="J384" s="3049"/>
      <c r="K384" s="3049"/>
      <c r="L384" s="3047" t="str">
        <f>IFERROR(INDEX('Upper Hot Cell Logistics'!$I$35:$O$41,MATCH($J384,'Upper Hot Cell Logistics'!$H$35:$H$41,0),MATCH($K384,'Upper Hot Cell Logistics'!$H$35:$H$41,0)),"N/A")</f>
        <v>N/A</v>
      </c>
      <c r="M384" s="3047" t="str">
        <f>IFERROR(VLOOKUP($I384,'Upper Hot Cell Logistics'!$H$4:$I$9,2,FALSE),"N/A")</f>
        <v>N/A</v>
      </c>
      <c r="N384" s="3059" t="str">
        <f t="shared" si="13"/>
        <v>N/A</v>
      </c>
      <c r="O384" s="3051" t="s">
        <v>904</v>
      </c>
      <c r="P384" s="3046">
        <f>IF($D384="Logistics",VLOOKUP($O384,'Upper Hot Cell Logistics'!$C$4:$D$44,2,FALSE),"N/A")</f>
        <v>0.58000000000000007</v>
      </c>
      <c r="Q384" s="3023"/>
    </row>
    <row r="385" spans="1:17" s="3058" customFormat="1" ht="15" thickBot="1" x14ac:dyDescent="0.45">
      <c r="A385" s="3113"/>
      <c r="B385" s="4057"/>
      <c r="C385" s="3053" t="str">
        <f>B382</f>
        <v>ROB Blanket Segment Exported</v>
      </c>
      <c r="D385" s="3053" t="s">
        <v>11</v>
      </c>
      <c r="E385" s="3054">
        <f t="shared" si="12"/>
        <v>0</v>
      </c>
      <c r="F385" s="3055">
        <f>IF($D385="Trigger",VLOOKUP($C385,'Upper Hot Cell Welding failures'!$E$283:$I$345,5,FALSE),E385+F384)</f>
        <v>46.74288661898909</v>
      </c>
      <c r="G385" s="3056"/>
      <c r="H385" s="3055" t="str">
        <f>IF(D385="operation",VLOOKUP(G385,'Generic Vertical Port Tasks'!C328:D364,2,FALSE),"N/A")</f>
        <v>N/A</v>
      </c>
      <c r="I385" s="3053"/>
      <c r="J385" s="3053"/>
      <c r="K385" s="3053"/>
      <c r="L385" s="3054" t="str">
        <f>IFERROR(INDEX('Upper Hot Cell Logistics'!$I$35:$O$41,MATCH($J385,'Upper Hot Cell Logistics'!$H$35:$H$41,0),MATCH($K385,'Upper Hot Cell Logistics'!$H$35:$H$41,0)),"N/A")</f>
        <v>N/A</v>
      </c>
      <c r="M385" s="3054" t="str">
        <f>IFERROR(VLOOKUP($I385,'Upper Hot Cell Logistics'!$H$4:$I$9,2,FALSE),"N/A")</f>
        <v>N/A</v>
      </c>
      <c r="N385" s="3060" t="str">
        <f t="shared" si="13"/>
        <v>N/A</v>
      </c>
      <c r="O385" s="3057"/>
      <c r="P385" s="3055" t="str">
        <f>IF($D385="Logistics",VLOOKUP($O385,'Upper Hot Cell Logistics'!$C$4:$D$44,2,FALSE),"N/A")</f>
        <v>N/A</v>
      </c>
      <c r="Q385" s="3023"/>
    </row>
    <row r="386" spans="1:17" s="3058" customFormat="1" ht="14.6" x14ac:dyDescent="0.4">
      <c r="A386" s="3113"/>
      <c r="B386" s="4054" t="s">
        <v>865</v>
      </c>
      <c r="C386" s="3042" t="str">
        <f>'Upper Hot Cell Welding failures'!E327</f>
        <v>Install LIB Blanket Segment</v>
      </c>
      <c r="D386" s="3042" t="s">
        <v>907</v>
      </c>
      <c r="E386" s="3043">
        <f t="shared" si="12"/>
        <v>0</v>
      </c>
      <c r="F386" s="3044">
        <f>IF($D386="Trigger",VLOOKUP($C386,'Upper Hot Cell Welding failures'!$E$283:$I$345,5,FALSE),E386+F385)</f>
        <v>49.86788661898909</v>
      </c>
      <c r="G386" s="3045"/>
      <c r="H386" s="3044" t="str">
        <f>IF(D386="operation",VLOOKUP(G386,'Generic Vertical Port Tasks'!C329:D377,2,FALSE),"N/A")</f>
        <v>N/A</v>
      </c>
      <c r="I386" s="3042"/>
      <c r="J386" s="3042"/>
      <c r="K386" s="3042"/>
      <c r="L386" s="3043" t="str">
        <f>IFERROR(INDEX('Upper Hot Cell Logistics'!$I$35:$O$41,MATCH($J386,'Upper Hot Cell Logistics'!$H$35:$H$41,0),MATCH($K386,'Upper Hot Cell Logistics'!$H$35:$H$41,0)),"N/A")</f>
        <v>N/A</v>
      </c>
      <c r="M386" s="3043" t="str">
        <f>IFERROR(VLOOKUP($I386,'Upper Hot Cell Logistics'!$H$4:$I$9,2,FALSE),"N/A")</f>
        <v>N/A</v>
      </c>
      <c r="N386" s="3061" t="str">
        <f t="shared" si="13"/>
        <v>N/A</v>
      </c>
      <c r="O386" s="3048"/>
      <c r="P386" s="3044" t="str">
        <f>IF($D386="Logistics",VLOOKUP($O386,'Upper Hot Cell Logistics'!$C$4:$D$44,2,FALSE),"N/A")</f>
        <v>N/A</v>
      </c>
      <c r="Q386" s="3023"/>
    </row>
    <row r="387" spans="1:17" s="3058" customFormat="1" ht="14.6" x14ac:dyDescent="0.4">
      <c r="A387" s="3113"/>
      <c r="B387" s="4055"/>
      <c r="C387" s="3049" t="s">
        <v>930</v>
      </c>
      <c r="D387" s="3049" t="s">
        <v>778</v>
      </c>
      <c r="E387" s="3047">
        <f t="shared" si="12"/>
        <v>0.69444444444444442</v>
      </c>
      <c r="F387" s="3046">
        <f>IF($D387="Trigger",VLOOKUP($C387,'Upper Hot Cell Welding failures'!$E$283:$I$345,5,FALSE),E387+F386)</f>
        <v>50.562331063433533</v>
      </c>
      <c r="G387" s="3050"/>
      <c r="H387" s="3046" t="str">
        <f>IF(D387="operation",VLOOKUP(G387,'Generic Vertical Port Tasks'!C329:D377,2,FALSE),"N/A")</f>
        <v>N/A</v>
      </c>
      <c r="I387" s="3049" t="s">
        <v>857</v>
      </c>
      <c r="J387" s="3049" t="s">
        <v>452</v>
      </c>
      <c r="K387" s="3049" t="s">
        <v>858</v>
      </c>
      <c r="L387" s="3047">
        <f>IFERROR(INDEX('Upper Hot Cell Logistics'!$I$35:$O$41,MATCH($J387,'Upper Hot Cell Logistics'!$H$35:$H$41,0),MATCH($K387,'Upper Hot Cell Logistics'!$H$35:$H$41,0)),"N/A")</f>
        <v>50</v>
      </c>
      <c r="M387" s="3047">
        <f>IFERROR(VLOOKUP($I387,'Upper Hot Cell Logistics'!$H$4:$I$9,2,FALSE),"N/A")</f>
        <v>0.02</v>
      </c>
      <c r="N387" s="3059">
        <f t="shared" si="13"/>
        <v>0.69444444444444442</v>
      </c>
      <c r="O387" s="3051"/>
      <c r="P387" s="3046" t="str">
        <f>IF($D387="Logistics",VLOOKUP($O387,'Upper Hot Cell Logistics'!$C$4:$D$44,2,FALSE),"N/A")</f>
        <v>N/A</v>
      </c>
      <c r="Q387" s="3023"/>
    </row>
    <row r="388" spans="1:17" s="3058" customFormat="1" ht="13.5" customHeight="1" x14ac:dyDescent="0.4">
      <c r="A388" s="3113"/>
      <c r="B388" s="4055"/>
      <c r="C388" s="3049" t="s">
        <v>970</v>
      </c>
      <c r="D388" s="3049" t="s">
        <v>3</v>
      </c>
      <c r="E388" s="3047">
        <f t="shared" si="12"/>
        <v>0.78</v>
      </c>
      <c r="F388" s="3046">
        <f>IF($D388="Trigger",VLOOKUP($C388,'Upper Hot Cell Welding failures'!$E$283:$I$345,5,FALSE),E388+F387)</f>
        <v>51.342331063433534</v>
      </c>
      <c r="G388" s="3050"/>
      <c r="H388" s="3046" t="str">
        <f>IF(D388="operation",VLOOKUP(G388,'Generic Vertical Port Tasks'!C329:D377,2,FALSE),"N/A")</f>
        <v>N/A</v>
      </c>
      <c r="I388" s="3049"/>
      <c r="J388" s="3049"/>
      <c r="K388" s="3049"/>
      <c r="L388" s="3047" t="str">
        <f>IFERROR(INDEX('Upper Hot Cell Logistics'!$I$35:$O$41,MATCH($J388,'Upper Hot Cell Logistics'!$H$35:$H$41,0),MATCH($K388,'Upper Hot Cell Logistics'!$H$35:$H$41,0)),"N/A")</f>
        <v>N/A</v>
      </c>
      <c r="M388" s="3047" t="str">
        <f>IFERROR(VLOOKUP($I388,'Upper Hot Cell Logistics'!$H$4:$I$9,2,FALSE),"N/A")</f>
        <v>N/A</v>
      </c>
      <c r="N388" s="3059" t="str">
        <f t="shared" si="13"/>
        <v>N/A</v>
      </c>
      <c r="O388" s="3051" t="s">
        <v>1175</v>
      </c>
      <c r="P388" s="3046">
        <f>IF($D388="Logistics",VLOOKUP($O388,'Upper Hot Cell Logistics'!$C$4:$D$44,2,FALSE),"N/A")</f>
        <v>0.78</v>
      </c>
      <c r="Q388" s="3023"/>
    </row>
    <row r="389" spans="1:17" s="3058" customFormat="1" ht="15" thickBot="1" x14ac:dyDescent="0.45">
      <c r="A389" s="3113"/>
      <c r="B389" s="4057"/>
      <c r="C389" s="3053" t="str">
        <f>B386</f>
        <v>LOB Blanket Segment Exported</v>
      </c>
      <c r="D389" s="3053" t="s">
        <v>11</v>
      </c>
      <c r="E389" s="3054">
        <f t="shared" si="12"/>
        <v>0</v>
      </c>
      <c r="F389" s="3055">
        <f>IF($D389="Trigger",VLOOKUP($C389,'Upper Hot Cell Welding failures'!$E$283:$I$345,5,FALSE),E389+F388)</f>
        <v>51.342331063433534</v>
      </c>
      <c r="G389" s="3056"/>
      <c r="H389" s="3055" t="str">
        <f>IF(D389="operation",VLOOKUP(G389,'Generic Vertical Port Tasks'!C329:D377,2,FALSE),"N/A")</f>
        <v>N/A</v>
      </c>
      <c r="I389" s="3053"/>
      <c r="J389" s="3053"/>
      <c r="K389" s="3053"/>
      <c r="L389" s="3054" t="str">
        <f>IFERROR(INDEX('Upper Hot Cell Logistics'!$I$35:$O$41,MATCH($J389,'Upper Hot Cell Logistics'!$H$35:$H$41,0),MATCH($K389,'Upper Hot Cell Logistics'!$H$35:$H$41,0)),"N/A")</f>
        <v>N/A</v>
      </c>
      <c r="M389" s="3054" t="str">
        <f>IFERROR(VLOOKUP($I389,'Upper Hot Cell Logistics'!$H$4:$I$9,2,FALSE),"N/A")</f>
        <v>N/A</v>
      </c>
      <c r="N389" s="3060" t="str">
        <f t="shared" si="13"/>
        <v>N/A</v>
      </c>
      <c r="O389" s="3057"/>
      <c r="P389" s="3055" t="str">
        <f>IF($D389="Logistics",VLOOKUP($O389,'Upper Hot Cell Logistics'!$C$4:$D$44,2,FALSE),"N/A")</f>
        <v>N/A</v>
      </c>
      <c r="Q389" s="3023"/>
    </row>
    <row r="390" spans="1:17" s="3058" customFormat="1" ht="14.6" x14ac:dyDescent="0.4">
      <c r="A390" s="3113"/>
      <c r="B390" s="4054" t="s">
        <v>867</v>
      </c>
      <c r="C390" s="3042" t="str">
        <f>'Upper Hot Cell Welding failures'!E329</f>
        <v>Install ROB Blanket Segment</v>
      </c>
      <c r="D390" s="3042" t="s">
        <v>907</v>
      </c>
      <c r="E390" s="3043">
        <f t="shared" si="12"/>
        <v>0</v>
      </c>
      <c r="F390" s="3044">
        <f>IF($D390="Trigger",VLOOKUP($C390,'Upper Hot Cell Welding failures'!$E$283:$I$345,5,FALSE),E390+F389)</f>
        <v>54.267331063433531</v>
      </c>
      <c r="G390" s="3045"/>
      <c r="H390" s="3044" t="str">
        <f>IF(D390="operation",VLOOKUP(G390,'Generic Vertical Port Tasks'!C329:D379,2,FALSE),"N/A")</f>
        <v>N/A</v>
      </c>
      <c r="I390" s="3042"/>
      <c r="J390" s="3042"/>
      <c r="K390" s="3042"/>
      <c r="L390" s="3043" t="str">
        <f>IFERROR(INDEX('Upper Hot Cell Logistics'!$I$35:$O$41,MATCH($J390,'Upper Hot Cell Logistics'!$H$35:$H$41,0),MATCH($K390,'Upper Hot Cell Logistics'!$H$35:$H$41,0)),"N/A")</f>
        <v>N/A</v>
      </c>
      <c r="M390" s="3043" t="str">
        <f>IFERROR(VLOOKUP($I390,'Upper Hot Cell Logistics'!$H$4:$I$9,2,FALSE),"N/A")</f>
        <v>N/A</v>
      </c>
      <c r="N390" s="3061" t="str">
        <f t="shared" si="13"/>
        <v>N/A</v>
      </c>
      <c r="O390" s="3048"/>
      <c r="P390" s="3044" t="str">
        <f>IF($D390="Logistics",VLOOKUP($O390,'Upper Hot Cell Logistics'!$C$4:$D$44,2,FALSE),"N/A")</f>
        <v>N/A</v>
      </c>
      <c r="Q390" s="3023"/>
    </row>
    <row r="391" spans="1:17" s="3058" customFormat="1" ht="14.6" x14ac:dyDescent="0.4">
      <c r="A391" s="3113"/>
      <c r="B391" s="4055"/>
      <c r="C391" s="3049" t="s">
        <v>926</v>
      </c>
      <c r="D391" s="3049" t="s">
        <v>778</v>
      </c>
      <c r="E391" s="3047">
        <f t="shared" si="12"/>
        <v>0.69444444444444442</v>
      </c>
      <c r="F391" s="3046">
        <f>IF($D391="Trigger",VLOOKUP($C391,'Upper Hot Cell Welding failures'!$E$283:$I$345,5,FALSE),E391+F390)</f>
        <v>54.961775507877974</v>
      </c>
      <c r="G391" s="3050"/>
      <c r="H391" s="3046" t="str">
        <f>IF(D391="operation",VLOOKUP(G391,'Generic Vertical Port Tasks'!C329:D379,2,FALSE),"N/A")</f>
        <v>N/A</v>
      </c>
      <c r="I391" s="3049" t="s">
        <v>857</v>
      </c>
      <c r="J391" s="3049" t="s">
        <v>452</v>
      </c>
      <c r="K391" s="3049" t="s">
        <v>858</v>
      </c>
      <c r="L391" s="3047">
        <f>IFERROR(INDEX('Upper Hot Cell Logistics'!$I$35:$O$41,MATCH($J391,'Upper Hot Cell Logistics'!$H$35:$H$41,0),MATCH($K391,'Upper Hot Cell Logistics'!$H$35:$H$41,0)),"N/A")</f>
        <v>50</v>
      </c>
      <c r="M391" s="3047">
        <f>IFERROR(VLOOKUP($I391,'Upper Hot Cell Logistics'!$H$4:$I$9,2,FALSE),"N/A")</f>
        <v>0.02</v>
      </c>
      <c r="N391" s="3059">
        <f t="shared" si="13"/>
        <v>0.69444444444444442</v>
      </c>
      <c r="O391" s="3051"/>
      <c r="P391" s="3046" t="str">
        <f>IF($D391="Logistics",VLOOKUP($O391,'Upper Hot Cell Logistics'!$C$4:$D$44,2,FALSE),"N/A")</f>
        <v>N/A</v>
      </c>
      <c r="Q391" s="3023"/>
    </row>
    <row r="392" spans="1:17" s="3058" customFormat="1" ht="14.6" x14ac:dyDescent="0.4">
      <c r="A392" s="3113"/>
      <c r="B392" s="4055"/>
      <c r="C392" s="3049" t="s">
        <v>970</v>
      </c>
      <c r="D392" s="3049" t="s">
        <v>3</v>
      </c>
      <c r="E392" s="3047">
        <f t="shared" si="12"/>
        <v>0.78</v>
      </c>
      <c r="F392" s="3046">
        <f>IF($D392="Trigger",VLOOKUP($C392,'Upper Hot Cell Welding failures'!$E$283:$I$345,5,FALSE),E392+F391)</f>
        <v>55.741775507877975</v>
      </c>
      <c r="G392" s="3050"/>
      <c r="H392" s="3046" t="str">
        <f>IF(D392="operation",VLOOKUP(G392,'Generic Vertical Port Tasks'!C329:D379,2,FALSE),"N/A")</f>
        <v>N/A</v>
      </c>
      <c r="I392" s="3049"/>
      <c r="J392" s="3049"/>
      <c r="K392" s="3049"/>
      <c r="L392" s="3047" t="str">
        <f>IFERROR(INDEX('Upper Hot Cell Logistics'!$I$35:$O$41,MATCH($J392,'Upper Hot Cell Logistics'!$H$35:$H$41,0),MATCH($K392,'Upper Hot Cell Logistics'!$H$35:$H$41,0)),"N/A")</f>
        <v>N/A</v>
      </c>
      <c r="M392" s="3047" t="str">
        <f>IFERROR(VLOOKUP($I392,'Upper Hot Cell Logistics'!$H$4:$I$9,2,FALSE),"N/A")</f>
        <v>N/A</v>
      </c>
      <c r="N392" s="3059" t="str">
        <f t="shared" si="13"/>
        <v>N/A</v>
      </c>
      <c r="O392" s="3051" t="s">
        <v>1175</v>
      </c>
      <c r="P392" s="3046">
        <f>IF($D392="Logistics",VLOOKUP($O392,'Upper Hot Cell Logistics'!$C$4:$D$44,2,FALSE),"N/A")</f>
        <v>0.78</v>
      </c>
      <c r="Q392" s="3023"/>
    </row>
    <row r="393" spans="1:17" s="3058" customFormat="1" ht="15" thickBot="1" x14ac:dyDescent="0.45">
      <c r="A393" s="3113"/>
      <c r="B393" s="4057"/>
      <c r="C393" s="3053" t="str">
        <f>B390</f>
        <v>COB Blanket Segment Exported</v>
      </c>
      <c r="D393" s="3053" t="s">
        <v>11</v>
      </c>
      <c r="E393" s="3054">
        <f t="shared" si="12"/>
        <v>0</v>
      </c>
      <c r="F393" s="3055">
        <f>IF($D393="Trigger",VLOOKUP($C393,'Upper Hot Cell Welding failures'!$E$283:$I$345,5,FALSE),E393+F392)</f>
        <v>55.741775507877975</v>
      </c>
      <c r="G393" s="3056"/>
      <c r="H393" s="3055" t="str">
        <f>IF(D393="operation",VLOOKUP(G393,'Generic Vertical Port Tasks'!C329:D379,2,FALSE),"N/A")</f>
        <v>N/A</v>
      </c>
      <c r="I393" s="3053"/>
      <c r="J393" s="3053"/>
      <c r="K393" s="3053"/>
      <c r="L393" s="3054" t="str">
        <f>IFERROR(INDEX('Upper Hot Cell Logistics'!$I$35:$O$41,MATCH($J393,'Upper Hot Cell Logistics'!$H$35:$H$41,0),MATCH($K393,'Upper Hot Cell Logistics'!$H$35:$H$41,0)),"N/A")</f>
        <v>N/A</v>
      </c>
      <c r="M393" s="3054" t="str">
        <f>IFERROR(VLOOKUP($I393,'Upper Hot Cell Logistics'!$H$4:$I$9,2,FALSE),"N/A")</f>
        <v>N/A</v>
      </c>
      <c r="N393" s="3060" t="str">
        <f t="shared" si="13"/>
        <v>N/A</v>
      </c>
      <c r="O393" s="3057"/>
      <c r="P393" s="3055" t="str">
        <f>IF($D393="Logistics",VLOOKUP($O393,'Upper Hot Cell Logistics'!$C$4:$D$44,2,FALSE),"N/A")</f>
        <v>N/A</v>
      </c>
      <c r="Q393" s="3023"/>
    </row>
    <row r="394" spans="1:17" ht="13.5" customHeight="1" x14ac:dyDescent="0.4">
      <c r="A394" s="3113"/>
      <c r="B394" s="4061" t="s">
        <v>1084</v>
      </c>
      <c r="C394" s="3042" t="str">
        <f>'Upper Hot Cell Welding failures'!E331</f>
        <v>Install LOB Blanket Segment</v>
      </c>
      <c r="D394" s="3042" t="s">
        <v>907</v>
      </c>
      <c r="E394" s="3043">
        <f t="shared" si="12"/>
        <v>0</v>
      </c>
      <c r="F394" s="3044">
        <f>IF($D394="Trigger",VLOOKUP($C394,'Upper Hot Cell Welding failures'!$E$283:$I$345,5,FALSE),E394+F393)</f>
        <v>60.076775507877976</v>
      </c>
      <c r="G394" s="3045"/>
      <c r="H394" s="3044" t="str">
        <f>IF(D394="operation",VLOOKUP(G394,'Generic Vertical Port Tasks'!C305:D377,2,FALSE),"N/A")</f>
        <v>N/A</v>
      </c>
      <c r="I394" s="3042"/>
      <c r="J394" s="3042"/>
      <c r="K394" s="3042"/>
      <c r="L394" s="3043" t="str">
        <f>IFERROR(INDEX('Upper Hot Cell Logistics'!$I$35:$O$41,MATCH($J394,'Upper Hot Cell Logistics'!$H$35:$H$41,0),MATCH($K394,'Upper Hot Cell Logistics'!$H$35:$H$41,0)),"N/A")</f>
        <v>N/A</v>
      </c>
      <c r="M394" s="3043" t="str">
        <f>IFERROR(VLOOKUP($I394,'Upper Hot Cell Logistics'!$H$4:$I$9,2,FALSE),"N/A")</f>
        <v>N/A</v>
      </c>
      <c r="N394" s="3061" t="str">
        <f t="shared" si="13"/>
        <v>N/A</v>
      </c>
      <c r="O394" s="3048"/>
      <c r="P394" s="3044" t="str">
        <f>IF($D394="Logistics",VLOOKUP($O394,'Upper Hot Cell Logistics'!$C$4:$D$44,2,FALSE),"N/A")</f>
        <v>N/A</v>
      </c>
    </row>
    <row r="395" spans="1:17" x14ac:dyDescent="0.4">
      <c r="A395" s="3113"/>
      <c r="B395" s="4062"/>
      <c r="C395" s="3049" t="s">
        <v>921</v>
      </c>
      <c r="D395" s="3049" t="s">
        <v>778</v>
      </c>
      <c r="E395" s="3047">
        <f t="shared" si="12"/>
        <v>0.69444444444444442</v>
      </c>
      <c r="F395" s="3046">
        <f>IF($D395="Trigger",VLOOKUP($C395,'Upper Hot Cell Welding failures'!$E$283:$I$345,5,FALSE),E395+F394)</f>
        <v>60.771219952322419</v>
      </c>
      <c r="G395" s="3050"/>
      <c r="H395" s="3046" t="str">
        <f>IF(D395="operation",VLOOKUP(G395,'Generic Vertical Port Tasks'!C305:D377,2,FALSE),"N/A")</f>
        <v>N/A</v>
      </c>
      <c r="I395" s="3049" t="s">
        <v>857</v>
      </c>
      <c r="J395" s="3049" t="s">
        <v>452</v>
      </c>
      <c r="K395" s="3049" t="s">
        <v>914</v>
      </c>
      <c r="L395" s="3047">
        <f>IFERROR(INDEX('Upper Hot Cell Logistics'!$I$35:$O$41,MATCH($J395,'Upper Hot Cell Logistics'!$H$35:$H$41,0),MATCH($K395,'Upper Hot Cell Logistics'!$H$35:$H$41,0)),"N/A")</f>
        <v>50</v>
      </c>
      <c r="M395" s="3047">
        <f>IFERROR(VLOOKUP($I395,'Upper Hot Cell Logistics'!$H$4:$I$9,2,FALSE),"N/A")</f>
        <v>0.02</v>
      </c>
      <c r="N395" s="3059">
        <f t="shared" si="13"/>
        <v>0.69444444444444442</v>
      </c>
      <c r="O395" s="3051"/>
      <c r="P395" s="3046" t="str">
        <f>IF($D395="Logistics",VLOOKUP($O395,'Upper Hot Cell Logistics'!$C$4:$D$44,2,FALSE),"N/A")</f>
        <v>N/A</v>
      </c>
    </row>
    <row r="396" spans="1:17" x14ac:dyDescent="0.4">
      <c r="A396" s="3113"/>
      <c r="B396" s="4062"/>
      <c r="C396" s="3049" t="s">
        <v>973</v>
      </c>
      <c r="D396" s="3049" t="s">
        <v>3</v>
      </c>
      <c r="E396" s="3047">
        <f t="shared" si="12"/>
        <v>0.68</v>
      </c>
      <c r="F396" s="3046">
        <f>IF($D396="Trigger",VLOOKUP($C396,'Upper Hot Cell Welding failures'!$E$283:$I$345,5,FALSE),E396+F395)</f>
        <v>61.451219952322418</v>
      </c>
      <c r="G396" s="3050"/>
      <c r="H396" s="3046" t="str">
        <f>IF(D396="operation",VLOOKUP(G396,'Generic Vertical Port Tasks'!C305:D377,2,FALSE),"N/A")</f>
        <v>N/A</v>
      </c>
      <c r="I396" s="3049"/>
      <c r="J396" s="3049"/>
      <c r="K396" s="3049"/>
      <c r="L396" s="3047" t="str">
        <f>IFERROR(INDEX('Upper Hot Cell Logistics'!$I$35:$O$41,MATCH($J396,'Upper Hot Cell Logistics'!$H$35:$H$41,0),MATCH($K396,'Upper Hot Cell Logistics'!$H$35:$H$41,0)),"N/A")</f>
        <v>N/A</v>
      </c>
      <c r="M396" s="3047" t="str">
        <f>IFERROR(VLOOKUP($I396,'Upper Hot Cell Logistics'!$H$4:$I$9,2,FALSE),"N/A")</f>
        <v>N/A</v>
      </c>
      <c r="N396" s="3059" t="str">
        <f t="shared" si="13"/>
        <v>N/A</v>
      </c>
      <c r="O396" s="3051" t="s">
        <v>916</v>
      </c>
      <c r="P396" s="3046">
        <f>IF($D396="Logistics",VLOOKUP($O396,'Upper Hot Cell Logistics'!$C$4:$D$44,2,FALSE),"N/A")</f>
        <v>0.68</v>
      </c>
    </row>
    <row r="397" spans="1:17" x14ac:dyDescent="0.4">
      <c r="A397" s="3113"/>
      <c r="B397" s="4062"/>
      <c r="C397" s="3049" t="s">
        <v>968</v>
      </c>
      <c r="D397" s="3049" t="s">
        <v>778</v>
      </c>
      <c r="E397" s="3047">
        <f t="shared" si="12"/>
        <v>1.3888888888888888E-2</v>
      </c>
      <c r="F397" s="3046">
        <f>IF($D397="Trigger",VLOOKUP($C397,'Upper Hot Cell Welding failures'!$E$283:$I$345,5,FALSE),E397+F396)</f>
        <v>61.465108841211304</v>
      </c>
      <c r="G397" s="3050"/>
      <c r="H397" s="3046" t="str">
        <f>IF(D397="operation",VLOOKUP(G397,'Generic Vertical Port Tasks'!C305:D377,2,FALSE),"N/A")</f>
        <v>N/A</v>
      </c>
      <c r="I397" s="3049" t="s">
        <v>798</v>
      </c>
      <c r="J397" s="3049" t="s">
        <v>831</v>
      </c>
      <c r="K397" s="3049" t="s">
        <v>858</v>
      </c>
      <c r="L397" s="3047">
        <f>IFERROR(INDEX('Upper Hot Cell Logistics'!$I$35:$O$41,MATCH($J397,'Upper Hot Cell Logistics'!$H$35:$H$41,0),MATCH($K397,'Upper Hot Cell Logistics'!$H$35:$H$41,0)),"N/A")</f>
        <v>10</v>
      </c>
      <c r="M397" s="3047">
        <f>IFERROR(VLOOKUP($I397,'Upper Hot Cell Logistics'!$H$4:$I$9,2,FALSE),"N/A")</f>
        <v>0.2</v>
      </c>
      <c r="N397" s="3059">
        <f t="shared" si="13"/>
        <v>1.3888888888888888E-2</v>
      </c>
      <c r="O397" s="3051"/>
      <c r="P397" s="3046" t="str">
        <f>IF($D397="Logistics",VLOOKUP($O397,'Upper Hot Cell Logistics'!$C$4:$D$44,2,FALSE),"N/A")</f>
        <v>N/A</v>
      </c>
    </row>
    <row r="398" spans="1:17" x14ac:dyDescent="0.4">
      <c r="A398" s="3113"/>
      <c r="B398" s="4062"/>
      <c r="C398" s="3049" t="s">
        <v>974</v>
      </c>
      <c r="D398" s="3049" t="s">
        <v>3</v>
      </c>
      <c r="E398" s="3047">
        <f t="shared" si="12"/>
        <v>0.58000000000000007</v>
      </c>
      <c r="F398" s="3046">
        <f>IF($D398="Trigger",VLOOKUP($C398,'Upper Hot Cell Welding failures'!$E$283:$I$345,5,FALSE),E398+F397)</f>
        <v>62.045108841211302</v>
      </c>
      <c r="G398" s="3050"/>
      <c r="H398" s="3046" t="str">
        <f>IF(D398="operation",VLOOKUP(G398,'Generic Vertical Port Tasks'!C305:D377,2,FALSE),"N/A")</f>
        <v>N/A</v>
      </c>
      <c r="I398" s="3049"/>
      <c r="J398" s="3049"/>
      <c r="K398" s="3049"/>
      <c r="L398" s="3047" t="str">
        <f>IFERROR(INDEX('Upper Hot Cell Logistics'!$I$35:$O$41,MATCH($J398,'Upper Hot Cell Logistics'!$H$35:$H$41,0),MATCH($K398,'Upper Hot Cell Logistics'!$H$35:$H$41,0)),"N/A")</f>
        <v>N/A</v>
      </c>
      <c r="M398" s="3047" t="str">
        <f>IFERROR(VLOOKUP($I398,'Upper Hot Cell Logistics'!$H$4:$I$9,2,FALSE),"N/A")</f>
        <v>N/A</v>
      </c>
      <c r="N398" s="3059" t="str">
        <f t="shared" si="13"/>
        <v>N/A</v>
      </c>
      <c r="O398" s="3051" t="s">
        <v>1172</v>
      </c>
      <c r="P398" s="3046">
        <f>IF($D398="Logistics",VLOOKUP($O398,'Upper Hot Cell Logistics'!$C$4:$D$44,2,FALSE),"N/A")</f>
        <v>0.58000000000000007</v>
      </c>
    </row>
    <row r="399" spans="1:17" x14ac:dyDescent="0.4">
      <c r="A399" s="3113"/>
      <c r="B399" s="4062"/>
      <c r="C399" s="3049" t="s">
        <v>968</v>
      </c>
      <c r="D399" s="3049" t="s">
        <v>778</v>
      </c>
      <c r="E399" s="3047">
        <f t="shared" si="12"/>
        <v>2.7777777777777776E-2</v>
      </c>
      <c r="F399" s="3046">
        <f>IF($D399="Trigger",VLOOKUP($C399,'Upper Hot Cell Welding failures'!$E$283:$I$345,5,FALSE),E399+F398)</f>
        <v>62.072886618989081</v>
      </c>
      <c r="G399" s="3050"/>
      <c r="H399" s="3046" t="str">
        <f>IF(D399="operation",VLOOKUP(G399,'Generic Vertical Port Tasks'!C305:D377,2,FALSE),"N/A")</f>
        <v>N/A</v>
      </c>
      <c r="I399" s="3049" t="s">
        <v>798</v>
      </c>
      <c r="J399" s="3049" t="s">
        <v>799</v>
      </c>
      <c r="K399" s="3049" t="s">
        <v>858</v>
      </c>
      <c r="L399" s="3047">
        <f>IFERROR(INDEX('Upper Hot Cell Logistics'!$I$35:$O$41,MATCH($J399,'Upper Hot Cell Logistics'!$H$35:$H$41,0),MATCH($K399,'Upper Hot Cell Logistics'!$H$35:$H$41,0)),"N/A")</f>
        <v>20</v>
      </c>
      <c r="M399" s="3047">
        <f>IFERROR(VLOOKUP($I399,'Upper Hot Cell Logistics'!$H$4:$I$9,2,FALSE),"N/A")</f>
        <v>0.2</v>
      </c>
      <c r="N399" s="3059">
        <f t="shared" si="13"/>
        <v>2.7777777777777776E-2</v>
      </c>
      <c r="O399" s="3051"/>
      <c r="P399" s="3046" t="str">
        <f>IF($D399="Logistics",VLOOKUP($O399,'Upper Hot Cell Logistics'!$C$4:$D$44,2,FALSE),"N/A")</f>
        <v>N/A</v>
      </c>
    </row>
    <row r="400" spans="1:17" x14ac:dyDescent="0.4">
      <c r="A400" s="3113"/>
      <c r="B400" s="4062"/>
      <c r="C400" s="3049" t="s">
        <v>1197</v>
      </c>
      <c r="D400" s="3049" t="s">
        <v>3</v>
      </c>
      <c r="E400" s="3047">
        <f t="shared" si="12"/>
        <v>0.78</v>
      </c>
      <c r="F400" s="3046">
        <f>IF($D400="Trigger",VLOOKUP($C400,'Upper Hot Cell Welding failures'!$E$283:$I$345,5,FALSE),E400+F399)</f>
        <v>62.852886618989082</v>
      </c>
      <c r="G400" s="3050"/>
      <c r="H400" s="3046" t="str">
        <f>IF(D400="operation",VLOOKUP(G400,'Generic Vertical Port Tasks'!C305:D377,2,FALSE),"N/A")</f>
        <v>N/A</v>
      </c>
      <c r="I400" s="3049"/>
      <c r="J400" s="3049"/>
      <c r="K400" s="3049"/>
      <c r="L400" s="3047" t="str">
        <f>IFERROR(INDEX('Upper Hot Cell Logistics'!$I$35:$O$41,MATCH($J400,'Upper Hot Cell Logistics'!$H$35:$H$41,0),MATCH($K400,'Upper Hot Cell Logistics'!$H$35:$H$41,0)),"N/A")</f>
        <v>N/A</v>
      </c>
      <c r="M400" s="3047" t="str">
        <f>IFERROR(VLOOKUP($I400,'Upper Hot Cell Logistics'!$H$4:$I$9,2,FALSE),"N/A")</f>
        <v>N/A</v>
      </c>
      <c r="N400" s="3059" t="str">
        <f t="shared" si="13"/>
        <v>N/A</v>
      </c>
      <c r="O400" s="3051" t="s">
        <v>1175</v>
      </c>
      <c r="P400" s="3046">
        <f>IF($D400="Logistics",VLOOKUP($O400,'Upper Hot Cell Logistics'!$C$4:$D$44,2,FALSE),"N/A")</f>
        <v>0.78</v>
      </c>
    </row>
    <row r="401" spans="1:16" ht="26.15" thickBot="1" x14ac:dyDescent="0.45">
      <c r="A401" s="3113"/>
      <c r="B401" s="4063"/>
      <c r="C401" s="3053" t="str">
        <f>B394</f>
        <v>Blanket Transporter stored &amp; Pipe Module interface hardware Collected &amp; RIB Pipe Module Exported</v>
      </c>
      <c r="D401" s="3053" t="s">
        <v>11</v>
      </c>
      <c r="E401" s="3054">
        <f t="shared" si="12"/>
        <v>0</v>
      </c>
      <c r="F401" s="3055">
        <f>IF($D401="Trigger",VLOOKUP($C401,'Upper Hot Cell Welding failures'!$E$283:$I$345,5,FALSE),E401+F400)</f>
        <v>62.852886618989082</v>
      </c>
      <c r="G401" s="3056"/>
      <c r="H401" s="3055" t="str">
        <f>IF(D401="operation",VLOOKUP(G401,'Generic Vertical Port Tasks'!C305:D377,2,FALSE),"N/A")</f>
        <v>N/A</v>
      </c>
      <c r="I401" s="3053"/>
      <c r="J401" s="3053"/>
      <c r="K401" s="3053"/>
      <c r="L401" s="3054" t="str">
        <f>IFERROR(INDEX('Upper Hot Cell Logistics'!$I$35:$O$41,MATCH($J401,'Upper Hot Cell Logistics'!$H$35:$H$41,0),MATCH($K401,'Upper Hot Cell Logistics'!$H$35:$H$41,0)),"N/A")</f>
        <v>N/A</v>
      </c>
      <c r="M401" s="3054" t="str">
        <f>IFERROR(VLOOKUP($I401,'Upper Hot Cell Logistics'!$H$4:$I$9,2,FALSE),"N/A")</f>
        <v>N/A</v>
      </c>
      <c r="N401" s="3060" t="str">
        <f t="shared" si="13"/>
        <v>N/A</v>
      </c>
      <c r="O401" s="3057"/>
      <c r="P401" s="3055" t="str">
        <f>IF($D401="Logistics",VLOOKUP($O401,'Upper Hot Cell Logistics'!$C$4:$D$44,2,FALSE),"N/A")</f>
        <v>N/A</v>
      </c>
    </row>
    <row r="402" spans="1:16" ht="13.5" customHeight="1" x14ac:dyDescent="0.4">
      <c r="A402" s="3113"/>
      <c r="B402" s="4054" t="s">
        <v>871</v>
      </c>
      <c r="C402" s="3042" t="str">
        <f>'Upper Hot Cell Welding failures'!E333</f>
        <v>Install COB Blanket Segment</v>
      </c>
      <c r="D402" s="3042" t="s">
        <v>907</v>
      </c>
      <c r="E402" s="3043">
        <f t="shared" si="12"/>
        <v>0</v>
      </c>
      <c r="F402" s="3044">
        <f>IF($D402="Trigger",VLOOKUP($C402,'Upper Hot Cell Welding failures'!$E$283:$I$345,5,FALSE),E402+F401)</f>
        <v>65.886219952322421</v>
      </c>
      <c r="G402" s="3045"/>
      <c r="H402" s="3044" t="str">
        <f>IF(D402="operation",VLOOKUP(G402,'Generic Vertical Port Tasks'!C309:D386,2,FALSE),"N/A")</f>
        <v>N/A</v>
      </c>
      <c r="I402" s="3042"/>
      <c r="J402" s="3042"/>
      <c r="K402" s="3042"/>
      <c r="L402" s="3043" t="str">
        <f>IFERROR(INDEX('Upper Hot Cell Logistics'!$I$35:$O$41,MATCH($J402,'Upper Hot Cell Logistics'!$H$35:$H$41,0),MATCH($K402,'Upper Hot Cell Logistics'!$H$35:$H$41,0)),"N/A")</f>
        <v>N/A</v>
      </c>
      <c r="M402" s="3043" t="str">
        <f>IFERROR(VLOOKUP($I402,'Upper Hot Cell Logistics'!$H$4:$I$9,2,FALSE),"N/A")</f>
        <v>N/A</v>
      </c>
      <c r="N402" s="3061" t="str">
        <f t="shared" si="13"/>
        <v>N/A</v>
      </c>
      <c r="O402" s="3048"/>
      <c r="P402" s="3044" t="str">
        <f>IF($D402="Logistics",VLOOKUP($O402,'Upper Hot Cell Logistics'!$C$4:$D$44,2,FALSE),"N/A")</f>
        <v>N/A</v>
      </c>
    </row>
    <row r="403" spans="1:16" x14ac:dyDescent="0.4">
      <c r="A403" s="3113"/>
      <c r="B403" s="4055"/>
      <c r="C403" s="3049" t="s">
        <v>913</v>
      </c>
      <c r="D403" s="3049" t="s">
        <v>778</v>
      </c>
      <c r="E403" s="3047">
        <f t="shared" si="12"/>
        <v>0.69444444444444442</v>
      </c>
      <c r="F403" s="3046">
        <f>IF($D403="Trigger",VLOOKUP($C403,'Upper Hot Cell Welding failures'!$E$283:$I$345,5,FALSE),E403+F402)</f>
        <v>66.580664396766863</v>
      </c>
      <c r="G403" s="3050"/>
      <c r="H403" s="3046" t="str">
        <f>IF(D403="operation",VLOOKUP(G403,'Generic Vertical Port Tasks'!C309:D386,2,FALSE),"N/A")</f>
        <v>N/A</v>
      </c>
      <c r="I403" s="3049" t="s">
        <v>857</v>
      </c>
      <c r="J403" s="3049" t="s">
        <v>452</v>
      </c>
      <c r="K403" s="3049" t="s">
        <v>914</v>
      </c>
      <c r="L403" s="3047">
        <f>IFERROR(INDEX('Upper Hot Cell Logistics'!$I$35:$O$41,MATCH($J403,'Upper Hot Cell Logistics'!$H$35:$H$41,0),MATCH($K403,'Upper Hot Cell Logistics'!$H$35:$H$41,0)),"N/A")</f>
        <v>50</v>
      </c>
      <c r="M403" s="3047">
        <f>IFERROR(VLOOKUP($I403,'Upper Hot Cell Logistics'!$H$4:$I$9,2,FALSE),"N/A")</f>
        <v>0.02</v>
      </c>
      <c r="N403" s="3059">
        <f t="shared" si="13"/>
        <v>0.69444444444444442</v>
      </c>
      <c r="O403" s="3051"/>
      <c r="P403" s="3046" t="str">
        <f>IF($D403="Logistics",VLOOKUP($O403,'Upper Hot Cell Logistics'!$C$4:$D$44,2,FALSE),"N/A")</f>
        <v>N/A</v>
      </c>
    </row>
    <row r="404" spans="1:16" x14ac:dyDescent="0.4">
      <c r="A404" s="3113"/>
      <c r="B404" s="4055"/>
      <c r="C404" s="3049" t="s">
        <v>973</v>
      </c>
      <c r="D404" s="3049" t="s">
        <v>3</v>
      </c>
      <c r="E404" s="3047">
        <f t="shared" ref="E404:E417" si="14">MAX($P404,$N404,$H404)</f>
        <v>0.68</v>
      </c>
      <c r="F404" s="3046">
        <f>IF($D404="Trigger",VLOOKUP($C404,'Upper Hot Cell Welding failures'!$E$283:$I$345,5,FALSE),E404+F403)</f>
        <v>67.26066439676687</v>
      </c>
      <c r="G404" s="3050"/>
      <c r="H404" s="3046" t="str">
        <f>IF(D404="operation",VLOOKUP(G404,'Generic Vertical Port Tasks'!C309:D386,2,FALSE),"N/A")</f>
        <v>N/A</v>
      </c>
      <c r="I404" s="3049"/>
      <c r="J404" s="3049"/>
      <c r="K404" s="3049"/>
      <c r="L404" s="3047" t="str">
        <f>IFERROR(INDEX('Upper Hot Cell Logistics'!$I$35:$O$41,MATCH($J404,'Upper Hot Cell Logistics'!$H$35:$H$41,0),MATCH($K404,'Upper Hot Cell Logistics'!$H$35:$H$41,0)),"N/A")</f>
        <v>N/A</v>
      </c>
      <c r="M404" s="3047" t="str">
        <f>IFERROR(VLOOKUP($I404,'Upper Hot Cell Logistics'!$H$4:$I$9,2,FALSE),"N/A")</f>
        <v>N/A</v>
      </c>
      <c r="N404" s="3059" t="str">
        <f t="shared" si="13"/>
        <v>N/A</v>
      </c>
      <c r="O404" s="3051" t="s">
        <v>916</v>
      </c>
      <c r="P404" s="3046">
        <f>IF($D404="Logistics",VLOOKUP($O404,'Upper Hot Cell Logistics'!$C$4:$D$44,2,FALSE),"N/A")</f>
        <v>0.68</v>
      </c>
    </row>
    <row r="405" spans="1:16" x14ac:dyDescent="0.4">
      <c r="A405" s="3113"/>
      <c r="B405" s="4055"/>
      <c r="C405" s="3049" t="s">
        <v>976</v>
      </c>
      <c r="D405" s="3049" t="s">
        <v>778</v>
      </c>
      <c r="E405" s="3047">
        <f t="shared" si="14"/>
        <v>1.3888888888888888E-2</v>
      </c>
      <c r="F405" s="3046">
        <f>IF($D405="Trigger",VLOOKUP($C405,'Upper Hot Cell Welding failures'!$E$283:$I$345,5,FALSE),E405+F404)</f>
        <v>67.274553285655756</v>
      </c>
      <c r="G405" s="3050"/>
      <c r="H405" s="3046" t="str">
        <f>IF(D405="operation",VLOOKUP(G405,'Generic Vertical Port Tasks'!C309:D386,2,FALSE),"N/A")</f>
        <v>N/A</v>
      </c>
      <c r="I405" s="3049" t="s">
        <v>798</v>
      </c>
      <c r="J405" s="3049" t="s">
        <v>831</v>
      </c>
      <c r="K405" s="3049" t="s">
        <v>858</v>
      </c>
      <c r="L405" s="3047">
        <f>IFERROR(INDEX('Upper Hot Cell Logistics'!$I$35:$O$41,MATCH($J405,'Upper Hot Cell Logistics'!$H$35:$H$41,0),MATCH($K405,'Upper Hot Cell Logistics'!$H$35:$H$41,0)),"N/A")</f>
        <v>10</v>
      </c>
      <c r="M405" s="3047">
        <f>IFERROR(VLOOKUP($I405,'Upper Hot Cell Logistics'!$H$4:$I$9,2,FALSE),"N/A")</f>
        <v>0.2</v>
      </c>
      <c r="N405" s="3059">
        <f t="shared" si="13"/>
        <v>1.3888888888888888E-2</v>
      </c>
      <c r="O405" s="3051"/>
      <c r="P405" s="3046" t="str">
        <f>IF($D405="Logistics",VLOOKUP($O405,'Upper Hot Cell Logistics'!$C$4:$D$44,2,FALSE),"N/A")</f>
        <v>N/A</v>
      </c>
    </row>
    <row r="406" spans="1:16" x14ac:dyDescent="0.4">
      <c r="A406" s="3113"/>
      <c r="B406" s="4055"/>
      <c r="C406" s="3049" t="s">
        <v>933</v>
      </c>
      <c r="D406" s="3049" t="s">
        <v>3</v>
      </c>
      <c r="E406" s="3047">
        <f t="shared" si="14"/>
        <v>1.08</v>
      </c>
      <c r="F406" s="3046">
        <f>IF($D406="Trigger",VLOOKUP($C406,'Upper Hot Cell Welding failures'!$E$283:$I$345,5,FALSE),E406+F405)</f>
        <v>68.354553285655754</v>
      </c>
      <c r="G406" s="3050"/>
      <c r="H406" s="3046" t="str">
        <f>IF(D406="operation",VLOOKUP(G406,'Generic Vertical Port Tasks'!C309:D386,2,FALSE),"N/A")</f>
        <v>N/A</v>
      </c>
      <c r="I406" s="3049"/>
      <c r="J406" s="3049"/>
      <c r="K406" s="3049"/>
      <c r="L406" s="3047" t="str">
        <f>IFERROR(INDEX('Upper Hot Cell Logistics'!$I$35:$O$41,MATCH($J406,'Upper Hot Cell Logistics'!$H$35:$H$41,0),MATCH($K406,'Upper Hot Cell Logistics'!$H$35:$H$41,0)),"N/A")</f>
        <v>N/A</v>
      </c>
      <c r="M406" s="3047" t="str">
        <f>IFERROR(VLOOKUP($I406,'Upper Hot Cell Logistics'!$H$4:$I$9,2,FALSE),"N/A")</f>
        <v>N/A</v>
      </c>
      <c r="N406" s="3059" t="str">
        <f t="shared" si="13"/>
        <v>N/A</v>
      </c>
      <c r="O406" s="3051" t="s">
        <v>1179</v>
      </c>
      <c r="P406" s="3046">
        <f>IF($D406="Logistics",VLOOKUP($O406,'Upper Hot Cell Logistics'!$C$4:$D$44,2,FALSE),"N/A")</f>
        <v>1.08</v>
      </c>
    </row>
    <row r="407" spans="1:16" ht="13.3" thickBot="1" x14ac:dyDescent="0.45">
      <c r="A407" s="3113"/>
      <c r="B407" s="4057"/>
      <c r="C407" s="3053" t="str">
        <f>B402</f>
        <v>Blanket Transporter stored &amp; Service Joint System Collected</v>
      </c>
      <c r="D407" s="3053" t="s">
        <v>11</v>
      </c>
      <c r="E407" s="3054">
        <f t="shared" si="14"/>
        <v>0</v>
      </c>
      <c r="F407" s="3046">
        <f>IF($D407="Trigger",VLOOKUP($C407,'Upper Hot Cell Welding failures'!$E$283:$I$345,5,FALSE),E407+F406)</f>
        <v>68.354553285655754</v>
      </c>
      <c r="G407" s="3056"/>
      <c r="H407" s="3055" t="str">
        <f>IF(D407="operation",VLOOKUP(G407,'Generic Vertical Port Tasks'!C309:D386,2,FALSE),"N/A")</f>
        <v>N/A</v>
      </c>
      <c r="I407" s="3053"/>
      <c r="J407" s="3053"/>
      <c r="K407" s="3053"/>
      <c r="L407" s="3054" t="str">
        <f>IFERROR(INDEX('Upper Hot Cell Logistics'!$I$35:$O$41,MATCH($J407,'Upper Hot Cell Logistics'!$H$35:$H$41,0),MATCH($K407,'Upper Hot Cell Logistics'!$H$35:$H$41,0)),"N/A")</f>
        <v>N/A</v>
      </c>
      <c r="M407" s="3054" t="str">
        <f>IFERROR(VLOOKUP($I407,'Upper Hot Cell Logistics'!$H$4:$I$9,2,FALSE),"N/A")</f>
        <v>N/A</v>
      </c>
      <c r="N407" s="3060" t="str">
        <f t="shared" si="13"/>
        <v>N/A</v>
      </c>
      <c r="O407" s="3057"/>
      <c r="P407" s="3055" t="str">
        <f>IF($D407="Logistics",VLOOKUP($O407,'Upper Hot Cell Logistics'!$C$4:$D$44,2,FALSE),"N/A")</f>
        <v>N/A</v>
      </c>
    </row>
    <row r="408" spans="1:16" ht="13.5" customHeight="1" x14ac:dyDescent="0.4">
      <c r="A408" s="3113"/>
      <c r="B408" s="4054" t="s">
        <v>874</v>
      </c>
      <c r="C408" s="3042" t="str">
        <f>'Upper Hot Cell Welding failures'!E335</f>
        <v>Insert RIB Pipe Module</v>
      </c>
      <c r="D408" s="3042" t="s">
        <v>907</v>
      </c>
      <c r="E408" s="3043">
        <f t="shared" si="14"/>
        <v>0</v>
      </c>
      <c r="F408" s="3044">
        <f>IF($D408="Trigger",VLOOKUP($C408,'Upper Hot Cell Welding failures'!$E$283:$I$345,5,FALSE),E408+F407)</f>
        <v>70.675664396766862</v>
      </c>
      <c r="G408" s="3045"/>
      <c r="H408" s="3044" t="str">
        <f>IF(D408="operation",VLOOKUP(G408,'Generic Vertical Port Tasks'!C335:D402,2,FALSE),"N/A")</f>
        <v>N/A</v>
      </c>
      <c r="I408" s="3042"/>
      <c r="J408" s="3042"/>
      <c r="K408" s="3042"/>
      <c r="L408" s="3043" t="str">
        <f>IFERROR(INDEX('Upper Hot Cell Logistics'!$I$35:$O$41,MATCH($J408,'Upper Hot Cell Logistics'!$H$35:$H$41,0),MATCH($K408,'Upper Hot Cell Logistics'!$H$35:$H$41,0)),"N/A")</f>
        <v>N/A</v>
      </c>
      <c r="M408" s="3043" t="str">
        <f>IFERROR(VLOOKUP($I408,'Upper Hot Cell Logistics'!$H$4:$I$9,2,FALSE),"N/A")</f>
        <v>N/A</v>
      </c>
      <c r="N408" s="3061" t="str">
        <f t="shared" si="13"/>
        <v>N/A</v>
      </c>
      <c r="O408" s="3048"/>
      <c r="P408" s="3044" t="str">
        <f>IF($D408="Logistics",VLOOKUP($O408,'Upper Hot Cell Logistics'!$C$4:$D$44,2,FALSE),"N/A")</f>
        <v>N/A</v>
      </c>
    </row>
    <row r="409" spans="1:16" x14ac:dyDescent="0.4">
      <c r="A409" s="3113"/>
      <c r="B409" s="4055"/>
      <c r="C409" s="3049" t="s">
        <v>968</v>
      </c>
      <c r="D409" s="3049" t="s">
        <v>778</v>
      </c>
      <c r="E409" s="3047">
        <f t="shared" si="14"/>
        <v>6.9444444444444448E-2</v>
      </c>
      <c r="F409" s="3046">
        <f>IF($D409="Trigger",VLOOKUP($C409,'Upper Hot Cell Welding failures'!$E$283:$I$345,5,FALSE),E409+F408)</f>
        <v>70.745108841211305</v>
      </c>
      <c r="G409" s="3050"/>
      <c r="H409" s="3046" t="str">
        <f>IF(D409="operation",VLOOKUP(G409,'Generic Vertical Port Tasks'!C335:D403,2,FALSE),"N/A")</f>
        <v>N/A</v>
      </c>
      <c r="I409" s="3049" t="s">
        <v>798</v>
      </c>
      <c r="J409" s="3049" t="s">
        <v>452</v>
      </c>
      <c r="K409" s="3049" t="s">
        <v>858</v>
      </c>
      <c r="L409" s="3047">
        <f>IFERROR(INDEX('Upper Hot Cell Logistics'!$I$35:$O$41,MATCH($J409,'Upper Hot Cell Logistics'!$H$35:$H$41,0),MATCH($K409,'Upper Hot Cell Logistics'!$H$35:$H$41,0)),"N/A")</f>
        <v>50</v>
      </c>
      <c r="M409" s="3047">
        <f>IFERROR(VLOOKUP($I409,'Upper Hot Cell Logistics'!$H$4:$I$9,2,FALSE),"N/A")</f>
        <v>0.2</v>
      </c>
      <c r="N409" s="3059">
        <f t="shared" si="13"/>
        <v>6.9444444444444448E-2</v>
      </c>
      <c r="O409" s="3051"/>
      <c r="P409" s="3046" t="str">
        <f>IF($D409="Logistics",VLOOKUP($O409,'Upper Hot Cell Logistics'!$C$4:$D$44,2,FALSE),"N/A")</f>
        <v>N/A</v>
      </c>
    </row>
    <row r="410" spans="1:16" x14ac:dyDescent="0.4">
      <c r="A410" s="3113"/>
      <c r="B410" s="4055"/>
      <c r="C410" s="3049" t="s">
        <v>978</v>
      </c>
      <c r="D410" s="3049" t="s">
        <v>3</v>
      </c>
      <c r="E410" s="3047">
        <f t="shared" si="14"/>
        <v>0.78</v>
      </c>
      <c r="F410" s="3046">
        <f>IF($D410="Trigger",VLOOKUP($C410,'Upper Hot Cell Welding failures'!$E$283:$I$345,5,FALSE),E410+F409)</f>
        <v>71.525108841211306</v>
      </c>
      <c r="G410" s="3050"/>
      <c r="H410" s="3046" t="str">
        <f>IF(D410="operation",VLOOKUP(G410,'Generic Vertical Port Tasks'!C335:D404,2,FALSE),"N/A")</f>
        <v>N/A</v>
      </c>
      <c r="I410" s="3049"/>
      <c r="J410" s="3049"/>
      <c r="K410" s="3049"/>
      <c r="L410" s="3047" t="str">
        <f>IFERROR(INDEX('Upper Hot Cell Logistics'!$I$35:$O$41,MATCH($J410,'Upper Hot Cell Logistics'!$H$35:$H$41,0),MATCH($K410,'Upper Hot Cell Logistics'!$H$35:$H$41,0)),"N/A")</f>
        <v>N/A</v>
      </c>
      <c r="M410" s="3047" t="str">
        <f>IFERROR(VLOOKUP($I410,'Upper Hot Cell Logistics'!$H$4:$I$9,2,FALSE),"N/A")</f>
        <v>N/A</v>
      </c>
      <c r="N410" s="3059" t="str">
        <f t="shared" si="13"/>
        <v>N/A</v>
      </c>
      <c r="O410" s="3051" t="s">
        <v>1175</v>
      </c>
      <c r="P410" s="3046">
        <f>IF($D410="Logistics",VLOOKUP($O410,'Upper Hot Cell Logistics'!$C$4:$D$44,2,FALSE),"N/A")</f>
        <v>0.78</v>
      </c>
    </row>
    <row r="411" spans="1:16" ht="13.3" thickBot="1" x14ac:dyDescent="0.45">
      <c r="A411" s="3113"/>
      <c r="B411" s="4057"/>
      <c r="C411" s="3053" t="str">
        <f>B408</f>
        <v>LIB Pipe Module Exported</v>
      </c>
      <c r="D411" s="3053" t="s">
        <v>11</v>
      </c>
      <c r="E411" s="3054">
        <f t="shared" si="14"/>
        <v>0</v>
      </c>
      <c r="F411" s="3055">
        <f>IF($D411="Trigger",VLOOKUP($C411,'Upper Hot Cell Welding failures'!$E$283:$I$345,5,FALSE),E411+F410)</f>
        <v>71.525108841211306</v>
      </c>
      <c r="G411" s="3056"/>
      <c r="H411" s="3055" t="str">
        <f>IF(D411="operation",VLOOKUP(G411,'Generic Vertical Port Tasks'!C335:D405,2,FALSE),"N/A")</f>
        <v>N/A</v>
      </c>
      <c r="I411" s="3053"/>
      <c r="J411" s="3053"/>
      <c r="K411" s="3053"/>
      <c r="L411" s="3054" t="str">
        <f>IFERROR(INDEX('Upper Hot Cell Logistics'!$I$35:$O$41,MATCH($J411,'Upper Hot Cell Logistics'!$H$35:$H$41,0),MATCH($K411,'Upper Hot Cell Logistics'!$H$35:$H$41,0)),"N/A")</f>
        <v>N/A</v>
      </c>
      <c r="M411" s="3054" t="str">
        <f>IFERROR(VLOOKUP($I411,'Upper Hot Cell Logistics'!$H$4:$I$9,2,FALSE),"N/A")</f>
        <v>N/A</v>
      </c>
      <c r="N411" s="3060" t="str">
        <f t="shared" si="13"/>
        <v>N/A</v>
      </c>
      <c r="O411" s="3057"/>
      <c r="P411" s="3055" t="str">
        <f>IF($D411="Logistics",VLOOKUP($O411,'Upper Hot Cell Logistics'!$C$4:$D$44,2,FALSE),"N/A")</f>
        <v>N/A</v>
      </c>
    </row>
    <row r="412" spans="1:16" ht="12.75" customHeight="1" collapsed="1" x14ac:dyDescent="0.4">
      <c r="A412" s="3113"/>
      <c r="B412" s="4061" t="s">
        <v>1198</v>
      </c>
      <c r="C412" s="3042" t="s">
        <v>1181</v>
      </c>
      <c r="D412" s="3042" t="s">
        <v>907</v>
      </c>
      <c r="E412" s="3043">
        <f t="shared" si="14"/>
        <v>0</v>
      </c>
      <c r="F412" s="3044" t="e">
        <f>IF($D412="Trigger",VLOOKUP("*"&amp;$C412&amp;"*",#REF!,4,FALSE),E412+F411)</f>
        <v>#REF!</v>
      </c>
      <c r="G412" s="3045"/>
      <c r="H412" s="3067" t="str">
        <f>IF(D412="operation",VLOOKUP(G412,'Upper Hot Cell Welding failures'!E416:I493,5,FALSE), "N/A")</f>
        <v>N/A</v>
      </c>
      <c r="I412" s="3042"/>
      <c r="J412" s="3042"/>
      <c r="K412" s="3042"/>
      <c r="L412" s="3043" t="str">
        <f>IFERROR(INDEX(#REF!,MATCH($J412,#REF!,0),MATCH($K412,#REF!,0)),"N/A")</f>
        <v>N/A</v>
      </c>
      <c r="M412" s="3043" t="str">
        <f>IFERROR(VLOOKUP($I412,#REF!,2,FALSE),"N/A")</f>
        <v>N/A</v>
      </c>
      <c r="N412" s="3043" t="str">
        <f t="shared" ref="N412:N417" si="15">IF(D412="Movement",IFERROR((L412/M412)/(60*60),"Error"),"N/A")</f>
        <v>N/A</v>
      </c>
      <c r="O412" s="3048"/>
      <c r="P412" s="3044" t="str">
        <f>IF($D412="Logistics",VLOOKUP($O412,#REF!,2,FALSE),"N/A")</f>
        <v>N/A</v>
      </c>
    </row>
    <row r="413" spans="1:16" ht="12.75" customHeight="1" x14ac:dyDescent="0.4">
      <c r="A413" s="3113"/>
      <c r="B413" s="4062"/>
      <c r="C413" s="3049" t="s">
        <v>1182</v>
      </c>
      <c r="D413" s="3049" t="s">
        <v>251</v>
      </c>
      <c r="E413" s="3047" t="e">
        <f t="shared" si="14"/>
        <v>#REF!</v>
      </c>
      <c r="F413" s="3046" t="e">
        <f>IF($D413="Trigger",VLOOKUP("*"&amp;$C413&amp;"*",#REF!,4,FALSE),E413+F412)</f>
        <v>#REF!</v>
      </c>
      <c r="G413" s="3050" t="s">
        <v>1199</v>
      </c>
      <c r="H413" s="3046" t="e">
        <f>IF(D413="operation",VLOOKUP(G413,#REF!,4,FALSE), "N/A")</f>
        <v>#REF!</v>
      </c>
      <c r="I413" s="3049"/>
      <c r="J413" s="3049"/>
      <c r="K413" s="3049"/>
      <c r="L413" s="3047" t="str">
        <f>IFERROR(INDEX(#REF!,MATCH($J413,#REF!,0),MATCH($K413,#REF!,0)),"N/A")</f>
        <v>N/A</v>
      </c>
      <c r="M413" s="3047" t="str">
        <f>IFERROR(VLOOKUP($I413,#REF!,2,FALSE),"N/A")</f>
        <v>N/A</v>
      </c>
      <c r="N413" s="3047" t="str">
        <f t="shared" si="15"/>
        <v>N/A</v>
      </c>
      <c r="O413" s="3051"/>
      <c r="P413" s="3046" t="str">
        <f>IF($D413="Logistics",VLOOKUP($O413,#REF!,2,FALSE),"N/A")</f>
        <v>N/A</v>
      </c>
    </row>
    <row r="414" spans="1:16" ht="13.5" customHeight="1" thickBot="1" x14ac:dyDescent="0.45">
      <c r="A414" s="3113"/>
      <c r="B414" s="4063"/>
      <c r="C414" s="3053" t="str">
        <f>B412</f>
        <v>LIB Inner Port Pipe Module installed</v>
      </c>
      <c r="D414" s="3053" t="s">
        <v>11</v>
      </c>
      <c r="E414" s="3054">
        <f t="shared" si="14"/>
        <v>0</v>
      </c>
      <c r="F414" s="3055" t="e">
        <f>IF($D414="Trigger",VLOOKUP("*"&amp;$C414&amp;"*",#REF!,4,FALSE),E414+F413)</f>
        <v>#REF!</v>
      </c>
      <c r="G414" s="3056"/>
      <c r="H414" s="3055" t="str">
        <f>IF(D414="operation",VLOOKUP(G414,#REF!,5,FALSE), "N/A")</f>
        <v>N/A</v>
      </c>
      <c r="I414" s="3053"/>
      <c r="J414" s="3053"/>
      <c r="K414" s="3053"/>
      <c r="L414" s="3054" t="str">
        <f>IFERROR(INDEX(#REF!,MATCH($J414,#REF!,0),MATCH($K414,#REF!,0)),"N/A")</f>
        <v>N/A</v>
      </c>
      <c r="M414" s="3054" t="str">
        <f>IFERROR(VLOOKUP($I414,#REF!,2,FALSE),"N/A")</f>
        <v>N/A</v>
      </c>
      <c r="N414" s="3054" t="str">
        <f t="shared" si="15"/>
        <v>N/A</v>
      </c>
      <c r="O414" s="3057"/>
      <c r="P414" s="3055" t="str">
        <f>IF($D414="Logistics",VLOOKUP($O414,#REF!,2,FALSE),"N/A")</f>
        <v>N/A</v>
      </c>
    </row>
    <row r="415" spans="1:16" ht="12.75" customHeight="1" x14ac:dyDescent="0.4">
      <c r="A415" s="3113"/>
      <c r="B415" s="4061" t="s">
        <v>1090</v>
      </c>
      <c r="C415" s="3042" t="s">
        <v>1181</v>
      </c>
      <c r="D415" s="3042" t="s">
        <v>907</v>
      </c>
      <c r="E415" s="3043">
        <f t="shared" si="14"/>
        <v>0</v>
      </c>
      <c r="F415" s="3044" t="e">
        <f>IF($D415="Trigger",VLOOKUP("*"&amp;$C415&amp;"*",#REF!,4,FALSE),E415+F414)</f>
        <v>#REF!</v>
      </c>
      <c r="G415" s="3045"/>
      <c r="H415" s="3067" t="str">
        <f>IF(D415="operation",VLOOKUP(G415,'Upper Hot Cell Welding failures'!E419:I496,5,FALSE), "N/A")</f>
        <v>N/A</v>
      </c>
      <c r="I415" s="3042"/>
      <c r="J415" s="3042"/>
      <c r="K415" s="3042"/>
      <c r="L415" s="3043" t="str">
        <f>IFERROR(INDEX(#REF!,MATCH($J415,#REF!,0),MATCH($K415,#REF!,0)),"N/A")</f>
        <v>N/A</v>
      </c>
      <c r="M415" s="3043" t="str">
        <f>IFERROR(VLOOKUP($I415,#REF!,2,FALSE),"N/A")</f>
        <v>N/A</v>
      </c>
      <c r="N415" s="3043" t="str">
        <f t="shared" si="15"/>
        <v>N/A</v>
      </c>
      <c r="O415" s="3048"/>
      <c r="P415" s="3044" t="str">
        <f>IF($D415="Logistics",VLOOKUP($O415,#REF!,2,FALSE),"N/A")</f>
        <v>N/A</v>
      </c>
    </row>
    <row r="416" spans="1:16" ht="12.75" customHeight="1" x14ac:dyDescent="0.4">
      <c r="A416" s="3113"/>
      <c r="B416" s="4062"/>
      <c r="C416" s="3049" t="s">
        <v>1182</v>
      </c>
      <c r="D416" s="3049" t="s">
        <v>251</v>
      </c>
      <c r="E416" s="3047" t="e">
        <f t="shared" si="14"/>
        <v>#REF!</v>
      </c>
      <c r="F416" s="3046" t="e">
        <f>IF($D416="Trigger",VLOOKUP("*"&amp;$C416&amp;"*",#REF!,4,FALSE),E416+F415)</f>
        <v>#REF!</v>
      </c>
      <c r="G416" s="3050" t="s">
        <v>1184</v>
      </c>
      <c r="H416" s="3046" t="e">
        <f>IF(D416="operation",VLOOKUP(G416,#REF!,4,FALSE), "N/A")</f>
        <v>#REF!</v>
      </c>
      <c r="I416" s="3049"/>
      <c r="J416" s="3049"/>
      <c r="K416" s="3049"/>
      <c r="L416" s="3047" t="str">
        <f>IFERROR(INDEX(#REF!,MATCH($J416,#REF!,0),MATCH($K416,#REF!,0)),"N/A")</f>
        <v>N/A</v>
      </c>
      <c r="M416" s="3047" t="str">
        <f>IFERROR(VLOOKUP($I416,#REF!,2,FALSE),"N/A")</f>
        <v>N/A</v>
      </c>
      <c r="N416" s="3047" t="str">
        <f t="shared" si="15"/>
        <v>N/A</v>
      </c>
      <c r="O416" s="3051"/>
      <c r="P416" s="3046" t="str">
        <f>IF($D416="Logistics",VLOOKUP($O416,#REF!,2,FALSE),"N/A")</f>
        <v>N/A</v>
      </c>
    </row>
    <row r="417" spans="1:16" ht="13.5" customHeight="1" thickBot="1" x14ac:dyDescent="0.45">
      <c r="A417" s="3113"/>
      <c r="B417" s="4063"/>
      <c r="C417" s="3053" t="str">
        <f>B415</f>
        <v>LIB Lower Port Pipe Module installed</v>
      </c>
      <c r="D417" s="3053" t="s">
        <v>11</v>
      </c>
      <c r="E417" s="3054">
        <f t="shared" si="14"/>
        <v>0</v>
      </c>
      <c r="F417" s="3055" t="e">
        <f>IF($D417="Trigger",VLOOKUP("*"&amp;$C417&amp;"*",#REF!,4,FALSE),E417+F416)</f>
        <v>#REF!</v>
      </c>
      <c r="G417" s="3056"/>
      <c r="H417" s="3055" t="str">
        <f>IF(D417="operation",VLOOKUP(G417,#REF!,5,FALSE), "N/A")</f>
        <v>N/A</v>
      </c>
      <c r="I417" s="3053"/>
      <c r="J417" s="3053"/>
      <c r="K417" s="3053"/>
      <c r="L417" s="3054" t="str">
        <f>IFERROR(INDEX(#REF!,MATCH($J417,#REF!,0),MATCH($K417,#REF!,0)),"N/A")</f>
        <v>N/A</v>
      </c>
      <c r="M417" s="3054" t="str">
        <f>IFERROR(VLOOKUP($I417,#REF!,2,FALSE),"N/A")</f>
        <v>N/A</v>
      </c>
      <c r="N417" s="3054" t="str">
        <f t="shared" si="15"/>
        <v>N/A</v>
      </c>
      <c r="O417" s="3057"/>
      <c r="P417" s="3055" t="str">
        <f>IF($D417="Logistics",VLOOKUP($O417,#REF!,2,FALSE),"N/A")</f>
        <v>N/A</v>
      </c>
    </row>
    <row r="418" spans="1:16" ht="13.3" thickBot="1" x14ac:dyDescent="0.45">
      <c r="A418" s="3113"/>
      <c r="B418" s="3114"/>
      <c r="C418" s="3115"/>
      <c r="D418" s="3115"/>
      <c r="E418" s="3115"/>
      <c r="F418" s="3115"/>
      <c r="G418" s="3115"/>
      <c r="H418" s="3116"/>
      <c r="I418" s="3115"/>
      <c r="J418" s="3115"/>
      <c r="K418" s="3115"/>
      <c r="L418" s="3117"/>
      <c r="M418" s="3117"/>
      <c r="N418" s="3117"/>
      <c r="O418" s="3115"/>
      <c r="P418" s="3118"/>
    </row>
    <row r="419" spans="1:16" x14ac:dyDescent="0.4">
      <c r="A419" s="3119"/>
      <c r="B419" s="3120" t="s">
        <v>1196</v>
      </c>
      <c r="C419" s="3120"/>
      <c r="D419" s="3120"/>
      <c r="E419" s="3120"/>
      <c r="F419" s="3120"/>
      <c r="G419" s="3120"/>
      <c r="H419" s="3121"/>
      <c r="I419" s="3120"/>
      <c r="J419" s="3120"/>
      <c r="K419" s="3120"/>
      <c r="L419" s="3120"/>
      <c r="M419" s="3120"/>
      <c r="N419" s="3120"/>
      <c r="O419" s="3120"/>
      <c r="P419" s="3122"/>
    </row>
    <row r="420" spans="1:16" ht="13.3" thickBot="1" x14ac:dyDescent="0.45">
      <c r="A420" s="3123"/>
      <c r="B420" s="3124"/>
      <c r="C420" s="3124"/>
      <c r="D420" s="3124"/>
      <c r="E420" s="3124"/>
      <c r="F420" s="3124"/>
      <c r="G420" s="3124"/>
      <c r="H420" s="3125"/>
      <c r="I420" s="3124"/>
      <c r="J420" s="3124"/>
      <c r="K420" s="3124"/>
      <c r="L420" s="3126"/>
      <c r="M420" s="3126"/>
      <c r="N420" s="3126"/>
      <c r="O420" s="3124"/>
      <c r="P420" s="3127"/>
    </row>
    <row r="421" spans="1:16" x14ac:dyDescent="0.4">
      <c r="A421" s="3128"/>
      <c r="B421" s="4054" t="s">
        <v>1077</v>
      </c>
      <c r="C421" s="3042" t="str">
        <f>'Upper Hot Cell Welding failures'!E367</f>
        <v xml:space="preserve">Cut Failed RIB Pipe Module Weld </v>
      </c>
      <c r="D421" s="3042" t="s">
        <v>907</v>
      </c>
      <c r="E421" s="3043">
        <f t="shared" ref="E421:E484" si="16">MAX($P421,$N421,$H421)</f>
        <v>0</v>
      </c>
      <c r="F421" s="3044">
        <f>IF($D421="Trigger",VLOOKUP($C421,'Upper Hot Cell Welding failures'!$E$366:$I$395,5,FALSE),E421+F420)</f>
        <v>1.0499155317167692</v>
      </c>
      <c r="G421" s="3045"/>
      <c r="H421" s="3044" t="str">
        <f>IF(D421="operation",VLOOKUP(G421,'Generic Vertical Port Tasks'!$C$6:$D$558,2,FALSE),"N/A")</f>
        <v>N/A</v>
      </c>
      <c r="I421" s="3042"/>
      <c r="J421" s="3042"/>
      <c r="K421" s="3042"/>
      <c r="L421" s="3043" t="str">
        <f>IFERROR(INDEX('Upper Hot Cell Logistics'!$I$35:$O$41,MATCH($J421,'Upper Hot Cell Logistics'!$H$35:$H$41,0),MATCH($K421,'Upper Hot Cell Logistics'!$H$35:$H$41,0)),"N/A")</f>
        <v>N/A</v>
      </c>
      <c r="M421" s="3043" t="str">
        <f>IFERROR(VLOOKUP($I421,'Upper Hot Cell Logistics'!$H$4:$I$9,2,FALSE),"N/A")</f>
        <v>N/A</v>
      </c>
      <c r="N421" s="3061" t="str">
        <f t="shared" ref="N421:N487" si="17">IF(D421="Movement",IFERROR((L421/M421)/(60*60),"Error"),"N/A")</f>
        <v>N/A</v>
      </c>
      <c r="O421" s="3048"/>
      <c r="P421" s="3044" t="str">
        <f>IF($D421="Logistics",VLOOKUP($O421,'Upper Hot Cell Logistics'!$C$4:$D$44,2,FALSE),"N/A")</f>
        <v>N/A</v>
      </c>
    </row>
    <row r="422" spans="1:16" x14ac:dyDescent="0.4">
      <c r="A422" s="3128"/>
      <c r="B422" s="4055"/>
      <c r="C422" s="3049" t="s">
        <v>913</v>
      </c>
      <c r="D422" s="3049" t="s">
        <v>778</v>
      </c>
      <c r="E422" s="3047">
        <f t="shared" si="16"/>
        <v>0.69444444444444442</v>
      </c>
      <c r="F422" s="3046">
        <f>IF($D422="Trigger",VLOOKUP($C422,'Upper Hot Cell Welding failures'!$E$366:$I$395,5,FALSE),E422+F421)</f>
        <v>1.7443599761612136</v>
      </c>
      <c r="G422" s="3050"/>
      <c r="H422" s="3046" t="str">
        <f>IF(D422="operation",VLOOKUP(G422,'Generic Vertical Port Tasks'!$C$6:$D$558,2,FALSE),"N/A")</f>
        <v>N/A</v>
      </c>
      <c r="I422" s="3049" t="s">
        <v>857</v>
      </c>
      <c r="J422" s="3049" t="s">
        <v>452</v>
      </c>
      <c r="K422" s="3049" t="s">
        <v>914</v>
      </c>
      <c r="L422" s="3047">
        <f>IFERROR(INDEX('Upper Hot Cell Logistics'!$I$35:$O$41,MATCH($J422,'Upper Hot Cell Logistics'!$H$35:$H$41,0),MATCH($K422,'Upper Hot Cell Logistics'!$H$35:$H$41,0)),"N/A")</f>
        <v>50</v>
      </c>
      <c r="M422" s="3047">
        <f>IFERROR(VLOOKUP($I422,'Upper Hot Cell Logistics'!$H$4:$I$9,2,FALSE),"N/A")</f>
        <v>0.02</v>
      </c>
      <c r="N422" s="3059">
        <f t="shared" si="17"/>
        <v>0.69444444444444442</v>
      </c>
      <c r="O422" s="3051"/>
      <c r="P422" s="3046" t="str">
        <f>IF($D422="Logistics",VLOOKUP($O422,'Upper Hot Cell Logistics'!$C$4:$D$44,2,FALSE),"N/A")</f>
        <v>N/A</v>
      </c>
    </row>
    <row r="423" spans="1:16" x14ac:dyDescent="0.4">
      <c r="A423" s="3128"/>
      <c r="B423" s="4055"/>
      <c r="C423" s="3049" t="s">
        <v>955</v>
      </c>
      <c r="D423" s="3049" t="s">
        <v>3</v>
      </c>
      <c r="E423" s="3047">
        <f t="shared" si="16"/>
        <v>0.78</v>
      </c>
      <c r="F423" s="3046">
        <f>IF($D423="Trigger",VLOOKUP($C423,'Upper Hot Cell Welding failures'!$E$366:$I$395,5,FALSE),E423+F422)</f>
        <v>2.5243599761612137</v>
      </c>
      <c r="G423" s="3050"/>
      <c r="H423" s="3046" t="str">
        <f>IF(D423="operation",VLOOKUP(G423,'Generic Vertical Port Tasks'!$C$6:$D$558,2,FALSE),"N/A")</f>
        <v>N/A</v>
      </c>
      <c r="I423" s="3049"/>
      <c r="J423" s="3049"/>
      <c r="K423" s="3049"/>
      <c r="L423" s="3047" t="str">
        <f>IFERROR(INDEX('Upper Hot Cell Logistics'!$I$35:$O$41,MATCH($J423,'Upper Hot Cell Logistics'!$H$35:$H$41,0),MATCH($K423,'Upper Hot Cell Logistics'!$H$35:$H$41,0)),"N/A")</f>
        <v>N/A</v>
      </c>
      <c r="M423" s="3047" t="str">
        <f>IFERROR(VLOOKUP($I423,'Upper Hot Cell Logistics'!$H$4:$I$9,2,FALSE),"N/A")</f>
        <v>N/A</v>
      </c>
      <c r="N423" s="3059" t="str">
        <f t="shared" si="17"/>
        <v>N/A</v>
      </c>
      <c r="O423" s="3051" t="s">
        <v>1193</v>
      </c>
      <c r="P423" s="3046">
        <f>IF($D423="Logistics",VLOOKUP($O423,'Upper Hot Cell Logistics'!$C$4:$D$44,2,FALSE),"N/A")</f>
        <v>0.78</v>
      </c>
    </row>
    <row r="424" spans="1:16" x14ac:dyDescent="0.4">
      <c r="A424" s="3128"/>
      <c r="B424" s="4055"/>
      <c r="C424" s="3049" t="s">
        <v>976</v>
      </c>
      <c r="D424" s="3049" t="s">
        <v>778</v>
      </c>
      <c r="E424" s="3047">
        <f t="shared" si="16"/>
        <v>1.3888888888888888E-2</v>
      </c>
      <c r="F424" s="3046">
        <f>IF($D424="Trigger",VLOOKUP($C424,'Upper Hot Cell Welding failures'!$E$366:$I$395,5,FALSE),E424+F423)</f>
        <v>2.5382488650501025</v>
      </c>
      <c r="G424" s="3050"/>
      <c r="H424" s="3046" t="str">
        <f>IF(D424="operation",VLOOKUP(G424,'Generic Vertical Port Tasks'!$C$6:$D$558,2,FALSE),"N/A")</f>
        <v>N/A</v>
      </c>
      <c r="I424" s="3049" t="s">
        <v>798</v>
      </c>
      <c r="J424" s="3049" t="s">
        <v>831</v>
      </c>
      <c r="K424" s="3049" t="s">
        <v>858</v>
      </c>
      <c r="L424" s="3047">
        <f>IFERROR(INDEX('Upper Hot Cell Logistics'!$I$35:$O$41,MATCH($J424,'Upper Hot Cell Logistics'!$H$35:$H$41,0),MATCH($K424,'Upper Hot Cell Logistics'!$H$35:$H$41,0)),"N/A")</f>
        <v>10</v>
      </c>
      <c r="M424" s="3047">
        <f>IFERROR(VLOOKUP($I424,'Upper Hot Cell Logistics'!$H$4:$I$9,2,FALSE),"N/A")</f>
        <v>0.2</v>
      </c>
      <c r="N424" s="3059">
        <f t="shared" si="17"/>
        <v>1.3888888888888888E-2</v>
      </c>
      <c r="O424" s="3051"/>
      <c r="P424" s="3046" t="str">
        <f>IF($D424="Logistics",VLOOKUP($O424,'Upper Hot Cell Logistics'!$C$4:$D$44,2,FALSE),"N/A")</f>
        <v>N/A</v>
      </c>
    </row>
    <row r="425" spans="1:16" x14ac:dyDescent="0.4">
      <c r="A425" s="3128"/>
      <c r="B425" s="4055"/>
      <c r="C425" s="3049" t="s">
        <v>956</v>
      </c>
      <c r="D425" s="3049" t="s">
        <v>3</v>
      </c>
      <c r="E425" s="3047">
        <f t="shared" si="16"/>
        <v>0.58000000000000007</v>
      </c>
      <c r="F425" s="3046">
        <f>IF($D425="Trigger",VLOOKUP($C425,'Upper Hot Cell Welding failures'!$E$366:$I$395,5,FALSE),E425+F424)</f>
        <v>3.1182488650501026</v>
      </c>
      <c r="G425" s="3050"/>
      <c r="H425" s="3046" t="str">
        <f>IF(D425="operation",VLOOKUP(G425,'Generic Vertical Port Tasks'!$C$6:$D$558,2,FALSE),"N/A")</f>
        <v>N/A</v>
      </c>
      <c r="I425" s="3049"/>
      <c r="J425" s="3049"/>
      <c r="K425" s="3049"/>
      <c r="L425" s="3047" t="str">
        <f>IFERROR(INDEX('Upper Hot Cell Logistics'!$I$35:$O$41,MATCH($J425,'Upper Hot Cell Logistics'!$H$35:$H$41,0),MATCH($K425,'Upper Hot Cell Logistics'!$H$35:$H$41,0)),"N/A")</f>
        <v>N/A</v>
      </c>
      <c r="M425" s="3047" t="str">
        <f>IFERROR(VLOOKUP($I425,'Upper Hot Cell Logistics'!$H$4:$I$9,2,FALSE),"N/A")</f>
        <v>N/A</v>
      </c>
      <c r="N425" s="3059" t="str">
        <f t="shared" si="17"/>
        <v>N/A</v>
      </c>
      <c r="O425" s="3051" t="s">
        <v>796</v>
      </c>
      <c r="P425" s="3046">
        <f>IF($D425="Logistics",VLOOKUP($O425,'Upper Hot Cell Logistics'!$C$4:$D$44,2,FALSE),"N/A")</f>
        <v>0.58000000000000007</v>
      </c>
    </row>
    <row r="426" spans="1:16" ht="13.3" thickBot="1" x14ac:dyDescent="0.45">
      <c r="A426" s="3128"/>
      <c r="B426" s="4057"/>
      <c r="C426" s="3053" t="str">
        <f>B421</f>
        <v xml:space="preserve"> Service Joint System Stored &amp; Blanket Transporter Collected</v>
      </c>
      <c r="D426" s="3053" t="s">
        <v>11</v>
      </c>
      <c r="E426" s="3054">
        <f t="shared" si="16"/>
        <v>0</v>
      </c>
      <c r="F426" s="3046">
        <f>IF($D426="Trigger",VLOOKUP($C426,'Upper Hot Cell Welding failures'!$E$366:$I$395,5,FALSE),E426+F425)</f>
        <v>3.1182488650501026</v>
      </c>
      <c r="G426" s="3056"/>
      <c r="H426" s="3055" t="str">
        <f>IF(D426="operation",VLOOKUP(G426,'Generic Vertical Port Tasks'!$C$6:$D$558,2,FALSE),"N/A")</f>
        <v>N/A</v>
      </c>
      <c r="I426" s="3053"/>
      <c r="J426" s="3053"/>
      <c r="K426" s="3053"/>
      <c r="L426" s="3054" t="str">
        <f>IFERROR(INDEX('Upper Hot Cell Logistics'!$I$35:$O$41,MATCH($J426,'Upper Hot Cell Logistics'!$H$35:$H$41,0),MATCH($K426,'Upper Hot Cell Logistics'!$H$35:$H$41,0)),"N/A")</f>
        <v>N/A</v>
      </c>
      <c r="M426" s="3054" t="str">
        <f>IFERROR(VLOOKUP($I426,'Upper Hot Cell Logistics'!$H$4:$I$9,2,FALSE),"N/A")</f>
        <v>N/A</v>
      </c>
      <c r="N426" s="3060" t="str">
        <f t="shared" si="17"/>
        <v>N/A</v>
      </c>
      <c r="O426" s="3057"/>
      <c r="P426" s="3055" t="str">
        <f>IF($D426="Logistics",VLOOKUP($O426,'Upper Hot Cell Logistics'!$C$4:$D$44,2,FALSE),"N/A")</f>
        <v>N/A</v>
      </c>
    </row>
    <row r="427" spans="1:16" x14ac:dyDescent="0.4">
      <c r="A427" s="3128"/>
      <c r="B427" s="4054" t="s">
        <v>1079</v>
      </c>
      <c r="C427" s="3042" t="str">
        <f>'Upper Hot Cell Welding failures'!E369</f>
        <v>Extract RIB Pipe Module</v>
      </c>
      <c r="D427" s="3042" t="s">
        <v>907</v>
      </c>
      <c r="E427" s="3043">
        <f t="shared" si="16"/>
        <v>0</v>
      </c>
      <c r="F427" s="3043">
        <f>IF($D427="Trigger",VLOOKUP($C427,'Upper Hot Cell Welding failures'!$E$366:$I$395,5,FALSE),E427+F426)</f>
        <v>1.8443599761612135</v>
      </c>
      <c r="G427" s="3045"/>
      <c r="H427" s="3044" t="str">
        <f>IF(D427="operation",VLOOKUP(G427,'Generic Vertical Port Tasks'!$C$6:$D$558,2,FALSE),"N/A")</f>
        <v>N/A</v>
      </c>
      <c r="I427" s="3042"/>
      <c r="J427" s="3042"/>
      <c r="K427" s="3042"/>
      <c r="L427" s="3043" t="str">
        <f>IFERROR(INDEX('Upper Hot Cell Logistics'!$I$35:$O$41,MATCH($J427,'Upper Hot Cell Logistics'!$H$35:$H$41,0),MATCH($K427,'Upper Hot Cell Logistics'!$H$35:$H$41,0)),"N/A")</f>
        <v>N/A</v>
      </c>
      <c r="M427" s="3043" t="str">
        <f>IFERROR(VLOOKUP($I427,'Upper Hot Cell Logistics'!$H$4:$I$9,2,FALSE),"N/A")</f>
        <v>N/A</v>
      </c>
      <c r="N427" s="3061" t="str">
        <f t="shared" si="17"/>
        <v>N/A</v>
      </c>
      <c r="O427" s="3048"/>
      <c r="P427" s="3044" t="str">
        <f>IF($D427="Logistics",VLOOKUP($O427,'Upper Hot Cell Logistics'!$C$4:$D$44,2,FALSE),"N/A")</f>
        <v>N/A</v>
      </c>
    </row>
    <row r="428" spans="1:16" x14ac:dyDescent="0.4">
      <c r="A428" s="3128"/>
      <c r="B428" s="4055"/>
      <c r="C428" s="3049" t="s">
        <v>926</v>
      </c>
      <c r="D428" s="3049" t="s">
        <v>778</v>
      </c>
      <c r="E428" s="3047">
        <f t="shared" si="16"/>
        <v>0.69444444444444442</v>
      </c>
      <c r="F428" s="3047">
        <f>IF($D428="Trigger",VLOOKUP($C428,'Upper Hot Cell Welding failures'!$E$366:$I$395,5,FALSE),E428+F427)</f>
        <v>2.5388044206056577</v>
      </c>
      <c r="G428" s="3050"/>
      <c r="H428" s="3046" t="str">
        <f>IF(D428="operation",VLOOKUP(G428,'Generic Vertical Port Tasks'!$C$6:$D$558,2,FALSE),"N/A")</f>
        <v>N/A</v>
      </c>
      <c r="I428" s="3049" t="s">
        <v>857</v>
      </c>
      <c r="J428" s="3049" t="s">
        <v>452</v>
      </c>
      <c r="K428" s="3049" t="s">
        <v>831</v>
      </c>
      <c r="L428" s="3047">
        <f>IFERROR(INDEX('Upper Hot Cell Logistics'!$I$35:$O$41,MATCH($J428,'Upper Hot Cell Logistics'!$H$35:$H$41,0),MATCH($K428,'Upper Hot Cell Logistics'!$H$35:$H$41,0)),"N/A")</f>
        <v>50</v>
      </c>
      <c r="M428" s="3047">
        <f>IFERROR(VLOOKUP($I428,'Upper Hot Cell Logistics'!$H$4:$I$9,2,FALSE),"N/A")</f>
        <v>0.02</v>
      </c>
      <c r="N428" s="3059">
        <f t="shared" si="17"/>
        <v>0.69444444444444442</v>
      </c>
      <c r="O428" s="3051"/>
      <c r="P428" s="3046" t="str">
        <f>IF($D428="Logistics",VLOOKUP($O428,'Upper Hot Cell Logistics'!$C$4:$D$44,2,FALSE),"N/A")</f>
        <v>N/A</v>
      </c>
    </row>
    <row r="429" spans="1:16" x14ac:dyDescent="0.4">
      <c r="A429" s="3128"/>
      <c r="B429" s="4055"/>
      <c r="C429" s="3049" t="s">
        <v>940</v>
      </c>
      <c r="D429" s="3049" t="s">
        <v>3</v>
      </c>
      <c r="E429" s="3047">
        <f t="shared" si="16"/>
        <v>0.58000000000000007</v>
      </c>
      <c r="F429" s="3047">
        <f>IF($D429="Trigger",VLOOKUP($C429,'Upper Hot Cell Welding failures'!$E$366:$I$395,5,FALSE),E429+F428)</f>
        <v>3.1188044206056578</v>
      </c>
      <c r="G429" s="3050"/>
      <c r="H429" s="3046" t="str">
        <f>IF(D429="operation",VLOOKUP(G429,'Generic Vertical Port Tasks'!$C$6:$D$558,2,FALSE),"N/A")</f>
        <v>N/A</v>
      </c>
      <c r="I429" s="3049"/>
      <c r="J429" s="3049"/>
      <c r="K429" s="3049"/>
      <c r="L429" s="3047" t="str">
        <f>IFERROR(INDEX('Upper Hot Cell Logistics'!$I$35:$O$41,MATCH($J429,'Upper Hot Cell Logistics'!$H$35:$H$41,0),MATCH($K429,'Upper Hot Cell Logistics'!$H$35:$H$41,0)),"N/A")</f>
        <v>N/A</v>
      </c>
      <c r="M429" s="3047" t="str">
        <f>IFERROR(VLOOKUP($I429,'Upper Hot Cell Logistics'!$H$4:$I$9,2,FALSE),"N/A")</f>
        <v>N/A</v>
      </c>
      <c r="N429" s="3059" t="str">
        <f t="shared" si="17"/>
        <v>N/A</v>
      </c>
      <c r="O429" s="3051" t="s">
        <v>1200</v>
      </c>
      <c r="P429" s="3046">
        <f>IF($D429="Logistics",VLOOKUP($O429,'Upper Hot Cell Logistics'!$C$4:$D$44,2,FALSE),"N/A")</f>
        <v>0.58000000000000007</v>
      </c>
    </row>
    <row r="430" spans="1:16" x14ac:dyDescent="0.4">
      <c r="A430" s="3128"/>
      <c r="B430" s="4056"/>
      <c r="C430" s="3049" t="s">
        <v>1170</v>
      </c>
      <c r="D430" s="3049" t="s">
        <v>778</v>
      </c>
      <c r="E430" s="3047">
        <f t="shared" si="16"/>
        <v>2.7777777777777776E-2</v>
      </c>
      <c r="F430" s="3047">
        <f>IF($D430="Trigger",VLOOKUP($C430,'Upper Hot Cell Welding failures'!$E$366:$I$395,5,FALSE),E430+F429)</f>
        <v>3.1465821983834354</v>
      </c>
      <c r="G430" s="3050"/>
      <c r="H430" s="3046" t="str">
        <f>IF(D430="operation",VLOOKUP(G430,'Generic Vertical Port Tasks'!$C$6:$D$558,2,FALSE),"N/A")</f>
        <v>N/A</v>
      </c>
      <c r="I430" s="3049" t="s">
        <v>798</v>
      </c>
      <c r="J430" s="3049" t="s">
        <v>831</v>
      </c>
      <c r="K430" s="3049" t="s">
        <v>914</v>
      </c>
      <c r="L430" s="3047">
        <f>IFERROR(INDEX('Upper Hot Cell Logistics'!$I$35:$O$41,MATCH($J430,'Upper Hot Cell Logistics'!$H$35:$H$41,0),MATCH($K430,'Upper Hot Cell Logistics'!$H$35:$H$41,0)),"N/A")</f>
        <v>20</v>
      </c>
      <c r="M430" s="3047">
        <f>IFERROR(VLOOKUP($I430,'Upper Hot Cell Logistics'!$H$4:$I$9,2,FALSE),"N/A")</f>
        <v>0.2</v>
      </c>
      <c r="N430" s="3059">
        <f t="shared" si="17"/>
        <v>2.7777777777777776E-2</v>
      </c>
      <c r="O430" s="3051"/>
      <c r="P430" s="3046" t="str">
        <f>IF($D430="Logistics",VLOOKUP($O430,'Upper Hot Cell Logistics'!$C$4:$D$44,2,FALSE),"N/A")</f>
        <v>N/A</v>
      </c>
    </row>
    <row r="431" spans="1:16" x14ac:dyDescent="0.4">
      <c r="A431" s="3128"/>
      <c r="B431" s="4056"/>
      <c r="C431" s="3052" t="s">
        <v>983</v>
      </c>
      <c r="D431" s="3049" t="s">
        <v>3</v>
      </c>
      <c r="E431" s="3047">
        <f t="shared" si="16"/>
        <v>0.68</v>
      </c>
      <c r="F431" s="3047">
        <f>IF($D431="Trigger",VLOOKUP($C431,'Upper Hot Cell Welding failures'!$E$366:$I$395,5,FALSE),E431+F430)</f>
        <v>3.8265821983834356</v>
      </c>
      <c r="G431" s="3050"/>
      <c r="H431" s="3046" t="str">
        <f>IF(D431="operation",VLOOKUP(G431,'Generic Vertical Port Tasks'!$C$6:$D$558,2,FALSE),"N/A")</f>
        <v>N/A</v>
      </c>
      <c r="I431" s="3049"/>
      <c r="J431" s="3049"/>
      <c r="K431" s="3049"/>
      <c r="L431" s="3047" t="str">
        <f>IFERROR(INDEX('Upper Hot Cell Logistics'!$I$35:$O$41,MATCH($J431,'Upper Hot Cell Logistics'!$H$35:$H$41,0),MATCH($K431,'Upper Hot Cell Logistics'!$H$35:$H$41,0)),"N/A")</f>
        <v>N/A</v>
      </c>
      <c r="M431" s="3047" t="str">
        <f>IFERROR(VLOOKUP($I431,'Upper Hot Cell Logistics'!$H$4:$I$9,2,FALSE),"N/A")</f>
        <v>N/A</v>
      </c>
      <c r="N431" s="3059" t="str">
        <f t="shared" si="17"/>
        <v>N/A</v>
      </c>
      <c r="O431" s="3051" t="s">
        <v>1190</v>
      </c>
      <c r="P431" s="3046">
        <f>IF($D431="Logistics",VLOOKUP($O431,'Upper Hot Cell Logistics'!$C$4:$D$44,2,FALSE),"N/A")</f>
        <v>0.68</v>
      </c>
    </row>
    <row r="432" spans="1:16" x14ac:dyDescent="0.4">
      <c r="A432" s="3128"/>
      <c r="B432" s="4056"/>
      <c r="C432" s="3052" t="s">
        <v>1171</v>
      </c>
      <c r="D432" s="3049" t="s">
        <v>778</v>
      </c>
      <c r="E432" s="3047">
        <f t="shared" si="16"/>
        <v>2.7777777777777776E-2</v>
      </c>
      <c r="F432" s="3047">
        <f>IF($D432="Trigger",VLOOKUP($C432,'Upper Hot Cell Welding failures'!$E$366:$I$395,5,FALSE),E432+F431)</f>
        <v>3.8543599761612133</v>
      </c>
      <c r="G432" s="3050"/>
      <c r="H432" s="3046" t="str">
        <f>IF(D432="operation",VLOOKUP(G432,'Generic Vertical Port Tasks'!$C$6:$D$558,2,FALSE),"N/A")</f>
        <v>N/A</v>
      </c>
      <c r="I432" s="3049" t="s">
        <v>798</v>
      </c>
      <c r="J432" s="3049" t="s">
        <v>914</v>
      </c>
      <c r="K432" s="3049" t="s">
        <v>799</v>
      </c>
      <c r="L432" s="3047">
        <f>IFERROR(INDEX('Upper Hot Cell Logistics'!$I$35:$O$41,MATCH($J432,'Upper Hot Cell Logistics'!$H$35:$H$41,0),MATCH($K432,'Upper Hot Cell Logistics'!$H$35:$H$41,0)),"N/A")</f>
        <v>20</v>
      </c>
      <c r="M432" s="3047">
        <f>IFERROR(VLOOKUP($I432,'Upper Hot Cell Logistics'!$H$4:$I$9,2,FALSE),"N/A")</f>
        <v>0.2</v>
      </c>
      <c r="N432" s="3059">
        <f t="shared" si="17"/>
        <v>2.7777777777777776E-2</v>
      </c>
      <c r="O432" s="3051"/>
      <c r="P432" s="3046" t="str">
        <f>IF($D432="Logistics",VLOOKUP($O432,'Upper Hot Cell Logistics'!$C$4:$D$44,2,FALSE),"N/A")</f>
        <v>N/A</v>
      </c>
    </row>
    <row r="433" spans="1:16" x14ac:dyDescent="0.4">
      <c r="A433" s="3128"/>
      <c r="B433" s="4056"/>
      <c r="C433" s="3052" t="s">
        <v>956</v>
      </c>
      <c r="D433" s="3049" t="s">
        <v>3</v>
      </c>
      <c r="E433" s="3047">
        <f t="shared" si="16"/>
        <v>0.58000000000000007</v>
      </c>
      <c r="F433" s="3047">
        <f>IF($D433="Trigger",VLOOKUP($C433,'Upper Hot Cell Welding failures'!$E$366:$I$395,5,FALSE),E433+F432)</f>
        <v>4.4343599761612129</v>
      </c>
      <c r="G433" s="3050"/>
      <c r="H433" s="3046" t="str">
        <f>IF(D433="operation",VLOOKUP(G433,'Generic Vertical Port Tasks'!$C$6:$D$558,2,FALSE),"N/A")</f>
        <v>N/A</v>
      </c>
      <c r="I433" s="3049"/>
      <c r="J433" s="3049"/>
      <c r="K433" s="3049"/>
      <c r="L433" s="3047" t="str">
        <f>IFERROR(INDEX('Upper Hot Cell Logistics'!$I$35:$O$41,MATCH($J433,'Upper Hot Cell Logistics'!$H$35:$H$41,0),MATCH($K433,'Upper Hot Cell Logistics'!$H$35:$H$41,0)),"N/A")</f>
        <v>N/A</v>
      </c>
      <c r="M433" s="3047" t="str">
        <f>IFERROR(VLOOKUP($I433,'Upper Hot Cell Logistics'!$H$4:$I$9,2,FALSE),"N/A")</f>
        <v>N/A</v>
      </c>
      <c r="N433" s="3059" t="str">
        <f t="shared" si="17"/>
        <v>N/A</v>
      </c>
      <c r="O433" s="3051" t="s">
        <v>796</v>
      </c>
      <c r="P433" s="3046">
        <f>IF($D433="Logistics",VLOOKUP($O433,'Upper Hot Cell Logistics'!$C$4:$D$44,2,FALSE),"N/A")</f>
        <v>0.58000000000000007</v>
      </c>
    </row>
    <row r="434" spans="1:16" x14ac:dyDescent="0.4">
      <c r="A434" s="3128"/>
      <c r="B434" s="4056"/>
      <c r="C434" s="3052" t="s">
        <v>2676</v>
      </c>
      <c r="D434" s="3049" t="s">
        <v>778</v>
      </c>
      <c r="E434" s="3047">
        <f t="shared" si="16"/>
        <v>6.9444444444444448E-2</v>
      </c>
      <c r="F434" s="3047">
        <f>IF($D434="Trigger",VLOOKUP($C434,'Upper Hot Cell Welding failures'!$E$366:$I$395,5,FALSE),E434+F433)</f>
        <v>4.5038044206056576</v>
      </c>
      <c r="G434" s="3050"/>
      <c r="H434" s="3046" t="str">
        <f>IF(D434="operation",VLOOKUP(G434,'Generic Vertical Port Tasks'!$C$6:$D$558,2,FALSE),"N/A")</f>
        <v>N/A</v>
      </c>
      <c r="I434" s="3049" t="s">
        <v>798</v>
      </c>
      <c r="J434" s="3049" t="s">
        <v>799</v>
      </c>
      <c r="K434" s="3049" t="s">
        <v>452</v>
      </c>
      <c r="L434" s="3047">
        <f>IFERROR(INDEX('Upper Hot Cell Logistics'!$I$35:$O$41,MATCH($J434,'Upper Hot Cell Logistics'!$H$35:$H$41,0),MATCH($K434,'Upper Hot Cell Logistics'!$H$35:$H$41,0)),"N/A")</f>
        <v>50</v>
      </c>
      <c r="M434" s="3047">
        <f>IFERROR(VLOOKUP($I434,'Upper Hot Cell Logistics'!$H$4:$I$9,2,FALSE),"N/A")</f>
        <v>0.2</v>
      </c>
      <c r="N434" s="3059">
        <f t="shared" si="17"/>
        <v>6.9444444444444448E-2</v>
      </c>
      <c r="O434" s="3051"/>
      <c r="P434" s="3046" t="str">
        <f>IF($D434="Logistics",VLOOKUP($O434,'Upper Hot Cell Logistics'!$C$4:$D$44,2,FALSE),"N/A")</f>
        <v>N/A</v>
      </c>
    </row>
    <row r="435" spans="1:16" ht="26.15" thickBot="1" x14ac:dyDescent="0.45">
      <c r="A435" s="3128"/>
      <c r="B435" s="4057"/>
      <c r="C435" s="3053" t="str">
        <f>B427</f>
        <v>RIB Pipe Module Stored; Pipe Module interface hardware Stored; Blanket Transporter Collected</v>
      </c>
      <c r="D435" s="3053" t="s">
        <v>11</v>
      </c>
      <c r="E435" s="3054">
        <f t="shared" si="16"/>
        <v>0</v>
      </c>
      <c r="F435" s="3054">
        <f>IF($D435="Trigger",VLOOKUP($C435,'Upper Hot Cell Welding failures'!$E$366:$I$395,5,FALSE),E435+F434)</f>
        <v>4.5038044206056576</v>
      </c>
      <c r="G435" s="3056"/>
      <c r="H435" s="3055" t="str">
        <f>IF(D435="operation",VLOOKUP(G435,'Generic Vertical Port Tasks'!$C$6:$D$558,2,FALSE),"N/A")</f>
        <v>N/A</v>
      </c>
      <c r="I435" s="3053"/>
      <c r="J435" s="3053"/>
      <c r="K435" s="3053"/>
      <c r="L435" s="3054" t="str">
        <f>IFERROR(INDEX('Upper Hot Cell Logistics'!$I$35:$O$41,MATCH($J435,'Upper Hot Cell Logistics'!$H$35:$H$41,0),MATCH($K435,'Upper Hot Cell Logistics'!$H$35:$H$41,0)),"N/A")</f>
        <v>N/A</v>
      </c>
      <c r="M435" s="3054" t="str">
        <f>IFERROR(VLOOKUP($I435,'Upper Hot Cell Logistics'!$H$4:$I$9,2,FALSE),"N/A")</f>
        <v>N/A</v>
      </c>
      <c r="N435" s="3060" t="str">
        <f t="shared" si="17"/>
        <v>N/A</v>
      </c>
      <c r="O435" s="3057"/>
      <c r="P435" s="3055" t="str">
        <f>IF($D435="Logistics",VLOOKUP($O435,'Upper Hot Cell Logistics'!$C$4:$D$44,2,FALSE),"N/A")</f>
        <v>N/A</v>
      </c>
    </row>
    <row r="436" spans="1:16" x14ac:dyDescent="0.4">
      <c r="A436" s="3128"/>
      <c r="B436" s="4054" t="s">
        <v>959</v>
      </c>
      <c r="C436" s="3042" t="str">
        <f>'Upper Hot Cell Welding failures'!E371</f>
        <v>Extract COB Blanket Segment</v>
      </c>
      <c r="D436" s="3042" t="s">
        <v>907</v>
      </c>
      <c r="E436" s="3043">
        <f t="shared" si="16"/>
        <v>0</v>
      </c>
      <c r="F436" s="3043">
        <f>IF($D436="Trigger",VLOOKUP($C436,'Upper Hot Cell Welding failures'!$E$366:$I$395,5,FALSE),E436+F435)</f>
        <v>8.927693309494547</v>
      </c>
      <c r="G436" s="3045"/>
      <c r="H436" s="3044" t="str">
        <f>IF(D436="operation",VLOOKUP(G436,'Generic Vertical Port Tasks'!$C$6:$D$558,2,FALSE),"N/A")</f>
        <v>N/A</v>
      </c>
      <c r="I436" s="3042"/>
      <c r="J436" s="3042"/>
      <c r="K436" s="3042"/>
      <c r="L436" s="3043" t="str">
        <f>IFERROR(INDEX('Upper Hot Cell Logistics'!$I$35:$O$41,MATCH($J436,'Upper Hot Cell Logistics'!$H$35:$H$41,0),MATCH($K436,'Upper Hot Cell Logistics'!$H$35:$H$41,0)),"N/A")</f>
        <v>N/A</v>
      </c>
      <c r="M436" s="3043" t="str">
        <f>IFERROR(VLOOKUP($I436,'Upper Hot Cell Logistics'!$H$4:$I$9,2,FALSE),"N/A")</f>
        <v>N/A</v>
      </c>
      <c r="N436" s="3061" t="str">
        <f t="shared" si="17"/>
        <v>N/A</v>
      </c>
      <c r="O436" s="3048"/>
      <c r="P436" s="3044" t="str">
        <f>IF($D436="Logistics",VLOOKUP($O436,'Upper Hot Cell Logistics'!$C$4:$D$44,2,FALSE),"N/A")</f>
        <v>N/A</v>
      </c>
    </row>
    <row r="437" spans="1:16" x14ac:dyDescent="0.4">
      <c r="A437" s="3128"/>
      <c r="B437" s="4055"/>
      <c r="C437" s="3049" t="s">
        <v>930</v>
      </c>
      <c r="D437" s="3049" t="s">
        <v>778</v>
      </c>
      <c r="E437" s="3047">
        <f t="shared" si="16"/>
        <v>0.69444444444444442</v>
      </c>
      <c r="F437" s="3047">
        <f>IF($D437="Trigger",VLOOKUP($C437,'Upper Hot Cell Welding failures'!$E$366:$I$395,5,FALSE),E437+F436)</f>
        <v>9.6221377539389916</v>
      </c>
      <c r="G437" s="3050"/>
      <c r="H437" s="3046" t="str">
        <f>IF(D437="operation",VLOOKUP(G437,'Generic Vertical Port Tasks'!$C$6:$D$558,2,FALSE),"N/A")</f>
        <v>N/A</v>
      </c>
      <c r="I437" s="3049" t="s">
        <v>857</v>
      </c>
      <c r="J437" s="3049" t="s">
        <v>452</v>
      </c>
      <c r="K437" s="3049" t="s">
        <v>831</v>
      </c>
      <c r="L437" s="3047">
        <f>IFERROR(INDEX('Upper Hot Cell Logistics'!$I$35:$O$41,MATCH($J437,'Upper Hot Cell Logistics'!$H$35:$H$41,0),MATCH($K437,'Upper Hot Cell Logistics'!$H$35:$H$41,0)),"N/A")</f>
        <v>50</v>
      </c>
      <c r="M437" s="3047">
        <f>IFERROR(VLOOKUP($I437,'Upper Hot Cell Logistics'!$H$4:$I$9,2,FALSE),"N/A")</f>
        <v>0.02</v>
      </c>
      <c r="N437" s="3059">
        <f t="shared" si="17"/>
        <v>0.69444444444444442</v>
      </c>
      <c r="O437" s="3051"/>
      <c r="P437" s="3046" t="str">
        <f>IF($D437="Logistics",VLOOKUP($O437,'Upper Hot Cell Logistics'!$C$4:$D$44,2,FALSE),"N/A")</f>
        <v>N/A</v>
      </c>
    </row>
    <row r="438" spans="1:16" x14ac:dyDescent="0.4">
      <c r="A438" s="3128"/>
      <c r="B438" s="4055"/>
      <c r="C438" s="3049" t="s">
        <v>960</v>
      </c>
      <c r="D438" s="3049" t="s">
        <v>3</v>
      </c>
      <c r="E438" s="3047">
        <f t="shared" si="16"/>
        <v>0.58000000000000007</v>
      </c>
      <c r="F438" s="3047">
        <f>IF($D438="Trigger",VLOOKUP($C438,'Upper Hot Cell Welding failures'!$E$366:$I$395,5,FALSE),E438+F437)</f>
        <v>10.202137753938992</v>
      </c>
      <c r="G438" s="3050"/>
      <c r="H438" s="3046" t="str">
        <f>IF(D438="operation",VLOOKUP(G438,'Generic Vertical Port Tasks'!$C$6:$D$558,2,FALSE),"N/A")</f>
        <v>N/A</v>
      </c>
      <c r="I438" s="3049"/>
      <c r="J438" s="3049"/>
      <c r="K438" s="3049"/>
      <c r="L438" s="3047" t="str">
        <f>IFERROR(INDEX('Upper Hot Cell Logistics'!$I$35:$O$41,MATCH($J438,'Upper Hot Cell Logistics'!$H$35:$H$41,0),MATCH($K438,'Upper Hot Cell Logistics'!$H$35:$H$41,0)),"N/A")</f>
        <v>N/A</v>
      </c>
      <c r="M438" s="3047" t="str">
        <f>IFERROR(VLOOKUP($I438,'Upper Hot Cell Logistics'!$H$4:$I$9,2,FALSE),"N/A")</f>
        <v>N/A</v>
      </c>
      <c r="N438" s="3059" t="str">
        <f t="shared" si="17"/>
        <v>N/A</v>
      </c>
      <c r="O438" s="3051" t="s">
        <v>904</v>
      </c>
      <c r="P438" s="3046">
        <f>IF($D438="Logistics",VLOOKUP($O438,'Upper Hot Cell Logistics'!$C$4:$D$44,2,FALSE),"N/A")</f>
        <v>0.58000000000000007</v>
      </c>
    </row>
    <row r="439" spans="1:16" ht="13.3" thickBot="1" x14ac:dyDescent="0.45">
      <c r="A439" s="3128"/>
      <c r="B439" s="4057"/>
      <c r="C439" s="3053" t="str">
        <f>B436</f>
        <v>COB Blanket Segment Stored</v>
      </c>
      <c r="D439" s="3053" t="s">
        <v>11</v>
      </c>
      <c r="E439" s="3054">
        <f t="shared" si="16"/>
        <v>0</v>
      </c>
      <c r="F439" s="3054">
        <f>IF($D439="Trigger",VLOOKUP($C439,'Upper Hot Cell Welding failures'!$E$366:$I$395,5,FALSE),E439+F438)</f>
        <v>10.202137753938992</v>
      </c>
      <c r="G439" s="3056"/>
      <c r="H439" s="3055" t="str">
        <f>IF(D439="operation",VLOOKUP(G439,'Generic Vertical Port Tasks'!$C$6:$D$558,2,FALSE),"N/A")</f>
        <v>N/A</v>
      </c>
      <c r="I439" s="3053"/>
      <c r="J439" s="3053"/>
      <c r="K439" s="3053"/>
      <c r="L439" s="3054" t="str">
        <f>IFERROR(INDEX('Upper Hot Cell Logistics'!$I$35:$O$41,MATCH($J439,'Upper Hot Cell Logistics'!$H$35:$H$41,0),MATCH($K439,'Upper Hot Cell Logistics'!$H$35:$H$41,0)),"N/A")</f>
        <v>N/A</v>
      </c>
      <c r="M439" s="3054" t="str">
        <f>IFERROR(VLOOKUP($I439,'Upper Hot Cell Logistics'!$H$4:$I$9,2,FALSE),"N/A")</f>
        <v>N/A</v>
      </c>
      <c r="N439" s="3060" t="str">
        <f t="shared" si="17"/>
        <v>N/A</v>
      </c>
      <c r="O439" s="3057"/>
      <c r="P439" s="3055" t="str">
        <f>IF($D439="Logistics",VLOOKUP($O439,'Upper Hot Cell Logistics'!$C$4:$D$44,2,FALSE),"N/A")</f>
        <v>N/A</v>
      </c>
    </row>
    <row r="440" spans="1:16" x14ac:dyDescent="0.4">
      <c r="A440" s="3128"/>
      <c r="B440" s="4054" t="s">
        <v>961</v>
      </c>
      <c r="C440" s="3042" t="str">
        <f>'Upper Hot Cell Welding failures'!E373</f>
        <v>Extract LOB Blanket Segment</v>
      </c>
      <c r="D440" s="3042" t="s">
        <v>907</v>
      </c>
      <c r="E440" s="3043">
        <f t="shared" si="16"/>
        <v>0</v>
      </c>
      <c r="F440" s="3043">
        <f>IF($D440="Trigger",VLOOKUP($C440,'Upper Hot Cell Welding failures'!$E$366:$I$395,5,FALSE),E440+F439)</f>
        <v>14.737137753938992</v>
      </c>
      <c r="G440" s="3045"/>
      <c r="H440" s="3044" t="str">
        <f>IF(D440="operation",VLOOKUP(G440,'Generic Vertical Port Tasks'!$C$6:$D$558,2,FALSE),"N/A")</f>
        <v>N/A</v>
      </c>
      <c r="I440" s="3042"/>
      <c r="J440" s="3042"/>
      <c r="K440" s="3042"/>
      <c r="L440" s="3043" t="str">
        <f>IFERROR(INDEX('Upper Hot Cell Logistics'!$I$35:$O$41,MATCH($J440,'Upper Hot Cell Logistics'!$H$35:$H$41,0),MATCH($K440,'Upper Hot Cell Logistics'!$H$35:$H$41,0)),"N/A")</f>
        <v>N/A</v>
      </c>
      <c r="M440" s="3043" t="str">
        <f>IFERROR(VLOOKUP($I440,'Upper Hot Cell Logistics'!$H$4:$I$9,2,FALSE),"N/A")</f>
        <v>N/A</v>
      </c>
      <c r="N440" s="3061" t="str">
        <f t="shared" si="17"/>
        <v>N/A</v>
      </c>
      <c r="O440" s="3048"/>
      <c r="P440" s="3044" t="str">
        <f>IF($D440="Logistics",VLOOKUP($O440,'Upper Hot Cell Logistics'!$C$4:$D$44,2,FALSE),"N/A")</f>
        <v>N/A</v>
      </c>
    </row>
    <row r="441" spans="1:16" x14ac:dyDescent="0.4">
      <c r="A441" s="3128"/>
      <c r="B441" s="4055"/>
      <c r="C441" s="3049" t="s">
        <v>926</v>
      </c>
      <c r="D441" s="3049" t="s">
        <v>778</v>
      </c>
      <c r="E441" s="3047">
        <f t="shared" si="16"/>
        <v>0.69444444444444442</v>
      </c>
      <c r="F441" s="3047">
        <f>IF($D441="Trigger",VLOOKUP($C441,'Upper Hot Cell Welding failures'!$E$366:$I$395,5,FALSE),E441+F440)</f>
        <v>15.431582198383436</v>
      </c>
      <c r="G441" s="3050"/>
      <c r="H441" s="3046" t="str">
        <f>IF(D441="operation",VLOOKUP(G441,'Generic Vertical Port Tasks'!$C$6:$D$558,2,FALSE),"N/A")</f>
        <v>N/A</v>
      </c>
      <c r="I441" s="3049" t="s">
        <v>857</v>
      </c>
      <c r="J441" s="3049" t="s">
        <v>452</v>
      </c>
      <c r="K441" s="3049" t="s">
        <v>831</v>
      </c>
      <c r="L441" s="3047">
        <f>IFERROR(INDEX('Upper Hot Cell Logistics'!$I$35:$O$41,MATCH($J441,'Upper Hot Cell Logistics'!$H$35:$H$41,0),MATCH($K441,'Upper Hot Cell Logistics'!$H$35:$H$41,0)),"N/A")</f>
        <v>50</v>
      </c>
      <c r="M441" s="3047">
        <f>IFERROR(VLOOKUP($I441,'Upper Hot Cell Logistics'!$H$4:$I$9,2,FALSE),"N/A")</f>
        <v>0.02</v>
      </c>
      <c r="N441" s="3059">
        <f t="shared" si="17"/>
        <v>0.69444444444444442</v>
      </c>
      <c r="O441" s="3051"/>
      <c r="P441" s="3046" t="str">
        <f>IF($D441="Logistics",VLOOKUP($O441,'Upper Hot Cell Logistics'!$C$4:$D$44,2,FALSE),"N/A")</f>
        <v>N/A</v>
      </c>
    </row>
    <row r="442" spans="1:16" x14ac:dyDescent="0.4">
      <c r="A442" s="3128"/>
      <c r="B442" s="4055"/>
      <c r="C442" s="3049" t="s">
        <v>960</v>
      </c>
      <c r="D442" s="3049" t="s">
        <v>3</v>
      </c>
      <c r="E442" s="3047">
        <f t="shared" si="16"/>
        <v>0.58000000000000007</v>
      </c>
      <c r="F442" s="3047">
        <f>IF($D442="Trigger",VLOOKUP($C442,'Upper Hot Cell Welding failures'!$E$366:$I$395,5,FALSE),E442+F441)</f>
        <v>16.011582198383437</v>
      </c>
      <c r="G442" s="3050"/>
      <c r="H442" s="3046" t="str">
        <f>IF(D442="operation",VLOOKUP(G442,'Generic Vertical Port Tasks'!$C$6:$D$558,2,FALSE),"N/A")</f>
        <v>N/A</v>
      </c>
      <c r="I442" s="3049"/>
      <c r="J442" s="3049"/>
      <c r="K442" s="3049"/>
      <c r="L442" s="3047" t="str">
        <f>IFERROR(INDEX('Upper Hot Cell Logistics'!$I$35:$O$41,MATCH($J442,'Upper Hot Cell Logistics'!$H$35:$H$41,0),MATCH($K442,'Upper Hot Cell Logistics'!$H$35:$H$41,0)),"N/A")</f>
        <v>N/A</v>
      </c>
      <c r="M442" s="3047" t="str">
        <f>IFERROR(VLOOKUP($I442,'Upper Hot Cell Logistics'!$H$4:$I$9,2,FALSE),"N/A")</f>
        <v>N/A</v>
      </c>
      <c r="N442" s="3059" t="str">
        <f t="shared" si="17"/>
        <v>N/A</v>
      </c>
      <c r="O442" s="3051" t="s">
        <v>904</v>
      </c>
      <c r="P442" s="3046">
        <f>IF($D442="Logistics",VLOOKUP($O442,'Upper Hot Cell Logistics'!$C$4:$D$44,2,FALSE),"N/A")</f>
        <v>0.58000000000000007</v>
      </c>
    </row>
    <row r="443" spans="1:16" ht="13.3" thickBot="1" x14ac:dyDescent="0.45">
      <c r="A443" s="3128"/>
      <c r="B443" s="4057"/>
      <c r="C443" s="3053" t="str">
        <f>B440</f>
        <v>LOB Blanket Segment Stored</v>
      </c>
      <c r="D443" s="3053" t="s">
        <v>11</v>
      </c>
      <c r="E443" s="3054">
        <f t="shared" si="16"/>
        <v>0</v>
      </c>
      <c r="F443" s="3054">
        <f>IF($D443="Trigger",VLOOKUP($C443,'Upper Hot Cell Welding failures'!$E$366:$I$395,5,FALSE),E443+F442)</f>
        <v>16.011582198383437</v>
      </c>
      <c r="G443" s="3056"/>
      <c r="H443" s="3055" t="str">
        <f>IF(D443="operation",VLOOKUP(G443,'Generic Vertical Port Tasks'!$C$6:$D$558,2,FALSE),"N/A")</f>
        <v>N/A</v>
      </c>
      <c r="I443" s="3053"/>
      <c r="J443" s="3053"/>
      <c r="K443" s="3053"/>
      <c r="L443" s="3054" t="str">
        <f>IFERROR(INDEX('Upper Hot Cell Logistics'!$I$35:$O$41,MATCH($J443,'Upper Hot Cell Logistics'!$H$35:$H$41,0),MATCH($K443,'Upper Hot Cell Logistics'!$H$35:$H$41,0)),"N/A")</f>
        <v>N/A</v>
      </c>
      <c r="M443" s="3054" t="str">
        <f>IFERROR(VLOOKUP($I443,'Upper Hot Cell Logistics'!$H$4:$I$9,2,FALSE),"N/A")</f>
        <v>N/A</v>
      </c>
      <c r="N443" s="3060" t="str">
        <f t="shared" si="17"/>
        <v>N/A</v>
      </c>
      <c r="O443" s="3057"/>
      <c r="P443" s="3055" t="str">
        <f>IF($D443="Logistics",VLOOKUP($O443,'Upper Hot Cell Logistics'!$C$4:$D$44,2,FALSE),"N/A")</f>
        <v>N/A</v>
      </c>
    </row>
    <row r="444" spans="1:16" x14ac:dyDescent="0.4">
      <c r="A444" s="3128"/>
      <c r="B444" s="4054" t="s">
        <v>962</v>
      </c>
      <c r="C444" s="3042" t="str">
        <f>'Upper Hot Cell Welding failures'!E375</f>
        <v>Extract ROB Blanket Segment</v>
      </c>
      <c r="D444" s="3042" t="s">
        <v>907</v>
      </c>
      <c r="E444" s="3043">
        <f t="shared" si="16"/>
        <v>0</v>
      </c>
      <c r="F444" s="3043">
        <f>IF($D444="Trigger",VLOOKUP($C444,'Upper Hot Cell Welding failures'!$E$366:$I$395,5,FALSE),E444+F443)</f>
        <v>20.546582198383437</v>
      </c>
      <c r="G444" s="3045"/>
      <c r="H444" s="3044" t="str">
        <f>IF(D444="operation",VLOOKUP(G444,'Generic Vertical Port Tasks'!$C$6:$D$558,2,FALSE),"N/A")</f>
        <v>N/A</v>
      </c>
      <c r="I444" s="3042"/>
      <c r="J444" s="3042"/>
      <c r="K444" s="3042"/>
      <c r="L444" s="3043" t="str">
        <f>IFERROR(INDEX('Upper Hot Cell Logistics'!$I$35:$O$41,MATCH($J444,'Upper Hot Cell Logistics'!$H$35:$H$41,0),MATCH($K444,'Upper Hot Cell Logistics'!$H$35:$H$41,0)),"N/A")</f>
        <v>N/A</v>
      </c>
      <c r="M444" s="3043" t="str">
        <f>IFERROR(VLOOKUP($I444,'Upper Hot Cell Logistics'!$H$4:$I$9,2,FALSE),"N/A")</f>
        <v>N/A</v>
      </c>
      <c r="N444" s="3061" t="str">
        <f t="shared" si="17"/>
        <v>N/A</v>
      </c>
      <c r="O444" s="3048"/>
      <c r="P444" s="3044" t="str">
        <f>IF($D444="Logistics",VLOOKUP($O444,'Upper Hot Cell Logistics'!$C$4:$D$44,2,FALSE),"N/A")</f>
        <v>N/A</v>
      </c>
    </row>
    <row r="445" spans="1:16" x14ac:dyDescent="0.4">
      <c r="A445" s="3128"/>
      <c r="B445" s="4055"/>
      <c r="C445" s="3049" t="s">
        <v>930</v>
      </c>
      <c r="D445" s="3049" t="s">
        <v>778</v>
      </c>
      <c r="E445" s="3047">
        <f t="shared" si="16"/>
        <v>0.69444444444444442</v>
      </c>
      <c r="F445" s="3047">
        <f>IF($D445="Trigger",VLOOKUP($C445,'Upper Hot Cell Welding failures'!$E$366:$I$395,5,FALSE),E445+F444)</f>
        <v>21.24102664282788</v>
      </c>
      <c r="G445" s="3050"/>
      <c r="H445" s="3046" t="str">
        <f>IF(D445="operation",VLOOKUP(G445,'Generic Vertical Port Tasks'!$C$6:$D$558,2,FALSE),"N/A")</f>
        <v>N/A</v>
      </c>
      <c r="I445" s="3049" t="s">
        <v>857</v>
      </c>
      <c r="J445" s="3049" t="s">
        <v>452</v>
      </c>
      <c r="K445" s="3049" t="s">
        <v>831</v>
      </c>
      <c r="L445" s="3047">
        <f>IFERROR(INDEX('Upper Hot Cell Logistics'!$I$35:$O$41,MATCH($J445,'Upper Hot Cell Logistics'!$H$35:$H$41,0),MATCH($K445,'Upper Hot Cell Logistics'!$H$35:$H$41,0)),"N/A")</f>
        <v>50</v>
      </c>
      <c r="M445" s="3047">
        <f>IFERROR(VLOOKUP($I445,'Upper Hot Cell Logistics'!$H$4:$I$9,2,FALSE),"N/A")</f>
        <v>0.02</v>
      </c>
      <c r="N445" s="3059">
        <f t="shared" si="17"/>
        <v>0.69444444444444442</v>
      </c>
      <c r="O445" s="3051"/>
      <c r="P445" s="3046" t="str">
        <f>IF($D445="Logistics",VLOOKUP($O445,'Upper Hot Cell Logistics'!$C$4:$D$44,2,FALSE),"N/A")</f>
        <v>N/A</v>
      </c>
    </row>
    <row r="446" spans="1:16" x14ac:dyDescent="0.4">
      <c r="A446" s="3128"/>
      <c r="B446" s="4055"/>
      <c r="C446" s="3049" t="s">
        <v>960</v>
      </c>
      <c r="D446" s="3049" t="s">
        <v>3</v>
      </c>
      <c r="E446" s="3047">
        <f t="shared" si="16"/>
        <v>0.58000000000000007</v>
      </c>
      <c r="F446" s="3047">
        <f>IF($D446="Trigger",VLOOKUP($C446,'Upper Hot Cell Welding failures'!$E$366:$I$395,5,FALSE),E446+F445)</f>
        <v>21.821026642827881</v>
      </c>
      <c r="G446" s="3050"/>
      <c r="H446" s="3046" t="str">
        <f>IF(D446="operation",VLOOKUP(G446,'Generic Vertical Port Tasks'!$C$6:$D$558,2,FALSE),"N/A")</f>
        <v>N/A</v>
      </c>
      <c r="I446" s="3049"/>
      <c r="J446" s="3049"/>
      <c r="K446" s="3049"/>
      <c r="L446" s="3047" t="str">
        <f>IFERROR(INDEX('Upper Hot Cell Logistics'!$I$35:$O$41,MATCH($J446,'Upper Hot Cell Logistics'!$H$35:$H$41,0),MATCH($K446,'Upper Hot Cell Logistics'!$H$35:$H$41,0)),"N/A")</f>
        <v>N/A</v>
      </c>
      <c r="M446" s="3047" t="str">
        <f>IFERROR(VLOOKUP($I446,'Upper Hot Cell Logistics'!$H$4:$I$9,2,FALSE),"N/A")</f>
        <v>N/A</v>
      </c>
      <c r="N446" s="3059" t="str">
        <f t="shared" si="17"/>
        <v>N/A</v>
      </c>
      <c r="O446" s="3051" t="s">
        <v>904</v>
      </c>
      <c r="P446" s="3046">
        <f>IF($D446="Logistics",VLOOKUP($O446,'Upper Hot Cell Logistics'!$C$4:$D$44,2,FALSE),"N/A")</f>
        <v>0.58000000000000007</v>
      </c>
    </row>
    <row r="447" spans="1:16" ht="13.3" thickBot="1" x14ac:dyDescent="0.45">
      <c r="A447" s="3128"/>
      <c r="B447" s="4057"/>
      <c r="C447" s="3053" t="str">
        <f>B444</f>
        <v>ROB Blanket Segment Stored</v>
      </c>
      <c r="D447" s="3053" t="s">
        <v>11</v>
      </c>
      <c r="E447" s="3054">
        <f t="shared" si="16"/>
        <v>0</v>
      </c>
      <c r="F447" s="3054">
        <f>IF($D447="Trigger",VLOOKUP($C447,'Upper Hot Cell Welding failures'!$E$366:$I$395,5,FALSE),E447+F446)</f>
        <v>21.821026642827881</v>
      </c>
      <c r="G447" s="3056"/>
      <c r="H447" s="3055" t="str">
        <f>IF(D447="operation",VLOOKUP(G447,'Generic Vertical Port Tasks'!$C$6:$D$558,2,FALSE),"N/A")</f>
        <v>N/A</v>
      </c>
      <c r="I447" s="3053"/>
      <c r="J447" s="3053"/>
      <c r="K447" s="3053"/>
      <c r="L447" s="3054" t="str">
        <f>IFERROR(INDEX('Upper Hot Cell Logistics'!$I$35:$O$41,MATCH($J447,'Upper Hot Cell Logistics'!$H$35:$H$41,0),MATCH($K447,'Upper Hot Cell Logistics'!$H$35:$H$41,0)),"N/A")</f>
        <v>N/A</v>
      </c>
      <c r="M447" s="3054" t="str">
        <f>IFERROR(VLOOKUP($I447,'Upper Hot Cell Logistics'!$H$4:$I$9,2,FALSE),"N/A")</f>
        <v>N/A</v>
      </c>
      <c r="N447" s="3060" t="str">
        <f t="shared" si="17"/>
        <v>N/A</v>
      </c>
      <c r="O447" s="3057"/>
      <c r="P447" s="3055" t="str">
        <f>IF($D447="Logistics",VLOOKUP($O447,'Upper Hot Cell Logistics'!$C$4:$D$44,2,FALSE),"N/A")</f>
        <v>N/A</v>
      </c>
    </row>
    <row r="448" spans="1:16" x14ac:dyDescent="0.4">
      <c r="A448" s="3128"/>
      <c r="B448" s="4054" t="s">
        <v>1081</v>
      </c>
      <c r="C448" s="3042" t="str">
        <f>'Upper Hot Cell Welding failures'!E377</f>
        <v>Extract LIB Blanket Segment</v>
      </c>
      <c r="D448" s="3042" t="s">
        <v>907</v>
      </c>
      <c r="E448" s="3043">
        <f t="shared" si="16"/>
        <v>0</v>
      </c>
      <c r="F448" s="3043">
        <f>IF($D448="Trigger",VLOOKUP($C448,'Upper Hot Cell Welding failures'!$E$366:$I$395,5,FALSE),E448+F447)</f>
        <v>26.356026642827878</v>
      </c>
      <c r="G448" s="3045"/>
      <c r="H448" s="3044" t="str">
        <f>IF(D448="operation",VLOOKUP(G448,'Generic Vertical Port Tasks'!$C$6:$D$558,2,FALSE),"N/A")</f>
        <v>N/A</v>
      </c>
      <c r="I448" s="3042"/>
      <c r="J448" s="3042"/>
      <c r="K448" s="3042"/>
      <c r="L448" s="3043" t="str">
        <f>IFERROR(INDEX('Upper Hot Cell Logistics'!$I$35:$O$41,MATCH($J448,'Upper Hot Cell Logistics'!$H$35:$H$41,0),MATCH($K448,'Upper Hot Cell Logistics'!$H$35:$H$41,0)),"N/A")</f>
        <v>N/A</v>
      </c>
      <c r="M448" s="3043" t="str">
        <f>IFERROR(VLOOKUP($I448,'Upper Hot Cell Logistics'!$H$4:$I$9,2,FALSE),"N/A")</f>
        <v>N/A</v>
      </c>
      <c r="N448" s="3061" t="str">
        <f t="shared" si="17"/>
        <v>N/A</v>
      </c>
      <c r="O448" s="3048"/>
      <c r="P448" s="3044" t="str">
        <f>IF($D448="Logistics",VLOOKUP($O448,'Upper Hot Cell Logistics'!$C$4:$D$44,2,FALSE),"N/A")</f>
        <v>N/A</v>
      </c>
    </row>
    <row r="449" spans="1:16" x14ac:dyDescent="0.4">
      <c r="A449" s="3128"/>
      <c r="B449" s="4055"/>
      <c r="C449" s="3049" t="s">
        <v>930</v>
      </c>
      <c r="D449" s="3049" t="s">
        <v>778</v>
      </c>
      <c r="E449" s="3047">
        <f t="shared" si="16"/>
        <v>0.69444444444444442</v>
      </c>
      <c r="F449" s="3047">
        <f>IF($D449="Trigger",VLOOKUP($C449,'Upper Hot Cell Welding failures'!$E$366:$I$395,5,FALSE),E449+F448)</f>
        <v>27.050471087272321</v>
      </c>
      <c r="G449" s="3050"/>
      <c r="H449" s="3046" t="str">
        <f>IF(D449="operation",VLOOKUP(G449,'Generic Vertical Port Tasks'!$C$6:$D$558,2,FALSE),"N/A")</f>
        <v>N/A</v>
      </c>
      <c r="I449" s="3049" t="s">
        <v>857</v>
      </c>
      <c r="J449" s="3049" t="s">
        <v>452</v>
      </c>
      <c r="K449" s="3049" t="s">
        <v>831</v>
      </c>
      <c r="L449" s="3047">
        <f>IFERROR(INDEX('Upper Hot Cell Logistics'!$I$35:$O$41,MATCH($J449,'Upper Hot Cell Logistics'!$H$35:$H$41,0),MATCH($K449,'Upper Hot Cell Logistics'!$H$35:$H$41,0)),"N/A")</f>
        <v>50</v>
      </c>
      <c r="M449" s="3047">
        <f>IFERROR(VLOOKUP($I449,'Upper Hot Cell Logistics'!$H$4:$I$9,2,FALSE),"N/A")</f>
        <v>0.02</v>
      </c>
      <c r="N449" s="3059">
        <f t="shared" si="17"/>
        <v>0.69444444444444442</v>
      </c>
      <c r="O449" s="3051"/>
      <c r="P449" s="3046" t="str">
        <f>IF($D449="Logistics",VLOOKUP($O449,'Upper Hot Cell Logistics'!$C$4:$D$44,2,FALSE),"N/A")</f>
        <v>N/A</v>
      </c>
    </row>
    <row r="450" spans="1:16" x14ac:dyDescent="0.4">
      <c r="A450" s="3128"/>
      <c r="B450" s="4055"/>
      <c r="C450" s="3049" t="s">
        <v>960</v>
      </c>
      <c r="D450" s="3049" t="s">
        <v>3</v>
      </c>
      <c r="E450" s="3047">
        <f t="shared" si="16"/>
        <v>0.58000000000000007</v>
      </c>
      <c r="F450" s="3047">
        <f>IF($D450="Trigger",VLOOKUP($C450,'Upper Hot Cell Welding failures'!$E$366:$I$395,5,FALSE),E450+F449)</f>
        <v>27.630471087272319</v>
      </c>
      <c r="G450" s="3050"/>
      <c r="H450" s="3046" t="str">
        <f>IF(D450="operation",VLOOKUP(G450,'Generic Vertical Port Tasks'!$C$6:$D$558,2,FALSE),"N/A")</f>
        <v>N/A</v>
      </c>
      <c r="I450" s="3049"/>
      <c r="J450" s="3049"/>
      <c r="K450" s="3049"/>
      <c r="L450" s="3047" t="str">
        <f>IFERROR(INDEX('Upper Hot Cell Logistics'!$I$35:$O$41,MATCH($J450,'Upper Hot Cell Logistics'!$H$35:$H$41,0),MATCH($K450,'Upper Hot Cell Logistics'!$H$35:$H$41,0)),"N/A")</f>
        <v>N/A</v>
      </c>
      <c r="M450" s="3047" t="str">
        <f>IFERROR(VLOOKUP($I450,'Upper Hot Cell Logistics'!$H$4:$I$9,2,FALSE),"N/A")</f>
        <v>N/A</v>
      </c>
      <c r="N450" s="3059" t="str">
        <f t="shared" si="17"/>
        <v>N/A</v>
      </c>
      <c r="O450" s="3051" t="s">
        <v>904</v>
      </c>
      <c r="P450" s="3046">
        <f>IF($D450="Logistics",VLOOKUP($O450,'Upper Hot Cell Logistics'!$C$4:$D$44,2,FALSE),"N/A")</f>
        <v>0.58000000000000007</v>
      </c>
    </row>
    <row r="451" spans="1:16" ht="26.15" thickBot="1" x14ac:dyDescent="0.45">
      <c r="A451" s="3128"/>
      <c r="B451" s="4057"/>
      <c r="C451" s="3053" t="str">
        <f>B448</f>
        <v>LIB Blanket Segment Stored; Replacement RIB Blanket Segment collected</v>
      </c>
      <c r="D451" s="3053" t="s">
        <v>11</v>
      </c>
      <c r="E451" s="3054">
        <f t="shared" si="16"/>
        <v>0</v>
      </c>
      <c r="F451" s="3054">
        <f>IF($D451="Trigger",VLOOKUP($C451,'Upper Hot Cell Welding failures'!$E$366:$I$395,5,FALSE),E451+F450)</f>
        <v>27.630471087272319</v>
      </c>
      <c r="G451" s="3056"/>
      <c r="H451" s="3055" t="str">
        <f>IF(D451="operation",VLOOKUP(G451,'Generic Vertical Port Tasks'!$C$6:$D$558,2,FALSE),"N/A")</f>
        <v>N/A</v>
      </c>
      <c r="I451" s="3053"/>
      <c r="J451" s="3053"/>
      <c r="K451" s="3053"/>
      <c r="L451" s="3054" t="str">
        <f>IFERROR(INDEX('Upper Hot Cell Logistics'!$I$35:$O$41,MATCH($J451,'Upper Hot Cell Logistics'!$H$35:$H$41,0),MATCH($K451,'Upper Hot Cell Logistics'!$H$35:$H$41,0)),"N/A")</f>
        <v>N/A</v>
      </c>
      <c r="M451" s="3054" t="str">
        <f>IFERROR(VLOOKUP($I451,'Upper Hot Cell Logistics'!$H$4:$I$9,2,FALSE),"N/A")</f>
        <v>N/A</v>
      </c>
      <c r="N451" s="3060" t="str">
        <f t="shared" si="17"/>
        <v>N/A</v>
      </c>
      <c r="O451" s="3057"/>
      <c r="P451" s="3055" t="str">
        <f>IF($D451="Logistics",VLOOKUP($O451,'Upper Hot Cell Logistics'!$C$4:$D$44,2,FALSE),"N/A")</f>
        <v>N/A</v>
      </c>
    </row>
    <row r="452" spans="1:16" x14ac:dyDescent="0.4">
      <c r="A452" s="3128"/>
      <c r="B452" s="4054" t="s">
        <v>1082</v>
      </c>
      <c r="C452" s="3042" t="str">
        <f>'Upper Hot Cell Welding failures'!E379</f>
        <v>Extract RIB Blanket Segment</v>
      </c>
      <c r="D452" s="3042" t="s">
        <v>907</v>
      </c>
      <c r="E452" s="3043">
        <f t="shared" si="16"/>
        <v>0</v>
      </c>
      <c r="F452" s="3043">
        <f>IF($D452="Trigger",VLOOKUP($C452,'Upper Hot Cell Welding failures'!$E$366:$I$395,5,FALSE),E452+F451)</f>
        <v>32.165471087272323</v>
      </c>
      <c r="G452" s="3045"/>
      <c r="H452" s="3044" t="str">
        <f>IF(D452="operation",VLOOKUP(G452,'Generic Vertical Port Tasks'!$C$6:$D$558,2,FALSE),"N/A")</f>
        <v>N/A</v>
      </c>
      <c r="I452" s="3042"/>
      <c r="J452" s="3042"/>
      <c r="K452" s="3042"/>
      <c r="L452" s="3043" t="str">
        <f>IFERROR(INDEX('Upper Hot Cell Logistics'!$I$35:$O$41,MATCH($J452,'Upper Hot Cell Logistics'!$H$35:$H$41,0),MATCH($K452,'Upper Hot Cell Logistics'!$H$35:$H$41,0)),"N/A")</f>
        <v>N/A</v>
      </c>
      <c r="M452" s="3043" t="str">
        <f>IFERROR(VLOOKUP($I452,'Upper Hot Cell Logistics'!$H$4:$I$9,2,FALSE),"N/A")</f>
        <v>N/A</v>
      </c>
      <c r="N452" s="3061" t="str">
        <f t="shared" si="17"/>
        <v>N/A</v>
      </c>
      <c r="O452" s="3048"/>
      <c r="P452" s="3044" t="str">
        <f>IF($D452="Logistics",VLOOKUP($O452,'Upper Hot Cell Logistics'!$C$4:$D$44,2,FALSE),"N/A")</f>
        <v>N/A</v>
      </c>
    </row>
    <row r="453" spans="1:16" x14ac:dyDescent="0.4">
      <c r="A453" s="3128"/>
      <c r="B453" s="4055"/>
      <c r="C453" s="3049" t="s">
        <v>930</v>
      </c>
      <c r="D453" s="3049" t="s">
        <v>778</v>
      </c>
      <c r="E453" s="3047">
        <f t="shared" si="16"/>
        <v>0.69444444444444442</v>
      </c>
      <c r="F453" s="3047">
        <f>IF($D453="Trigger",VLOOKUP($C453,'Upper Hot Cell Welding failures'!$E$366:$I$395,5,FALSE),E453+F452)</f>
        <v>32.859915531716766</v>
      </c>
      <c r="G453" s="3050"/>
      <c r="H453" s="3046" t="str">
        <f>IF(D453="operation",VLOOKUP(G453,'Generic Vertical Port Tasks'!$C$6:$D$558,2,FALSE),"N/A")</f>
        <v>N/A</v>
      </c>
      <c r="I453" s="3049" t="s">
        <v>857</v>
      </c>
      <c r="J453" s="3049" t="s">
        <v>452</v>
      </c>
      <c r="K453" s="3049" t="s">
        <v>831</v>
      </c>
      <c r="L453" s="3047">
        <f>IFERROR(INDEX('Upper Hot Cell Logistics'!$I$35:$O$41,MATCH($J453,'Upper Hot Cell Logistics'!$H$35:$H$41,0),MATCH($K453,'Upper Hot Cell Logistics'!$H$35:$H$41,0)),"N/A")</f>
        <v>50</v>
      </c>
      <c r="M453" s="3047">
        <f>IFERROR(VLOOKUP($I453,'Upper Hot Cell Logistics'!$H$4:$I$9,2,FALSE),"N/A")</f>
        <v>0.02</v>
      </c>
      <c r="N453" s="3059">
        <f t="shared" si="17"/>
        <v>0.69444444444444442</v>
      </c>
      <c r="O453" s="3051"/>
      <c r="P453" s="3046" t="str">
        <f>IF($D453="Logistics",VLOOKUP($O453,'Upper Hot Cell Logistics'!$C$4:$D$44,2,FALSE),"N/A")</f>
        <v>N/A</v>
      </c>
    </row>
    <row r="454" spans="1:16" x14ac:dyDescent="0.4">
      <c r="A454" s="3128"/>
      <c r="B454" s="4055"/>
      <c r="C454" s="3049" t="s">
        <v>960</v>
      </c>
      <c r="D454" s="3049" t="s">
        <v>3</v>
      </c>
      <c r="E454" s="3047">
        <f t="shared" si="16"/>
        <v>0.58000000000000007</v>
      </c>
      <c r="F454" s="3047">
        <f>IF($D454="Trigger",VLOOKUP($C454,'Upper Hot Cell Welding failures'!$E$366:$I$395,5,FALSE),E454+F453)</f>
        <v>33.439915531716764</v>
      </c>
      <c r="G454" s="3050"/>
      <c r="H454" s="3046" t="str">
        <f>IF(D454="operation",VLOOKUP(G454,'Generic Vertical Port Tasks'!$C$6:$D$558,2,FALSE),"N/A")</f>
        <v>N/A</v>
      </c>
      <c r="I454" s="3049"/>
      <c r="J454" s="3049"/>
      <c r="K454" s="3049"/>
      <c r="L454" s="3047" t="str">
        <f>IFERROR(INDEX('Upper Hot Cell Logistics'!$I$35:$O$41,MATCH($J454,'Upper Hot Cell Logistics'!$H$35:$H$41,0),MATCH($K454,'Upper Hot Cell Logistics'!$H$35:$H$41,0)),"N/A")</f>
        <v>N/A</v>
      </c>
      <c r="M454" s="3047" t="str">
        <f>IFERROR(VLOOKUP($I454,'Upper Hot Cell Logistics'!$H$4:$I$9,2,FALSE),"N/A")</f>
        <v>N/A</v>
      </c>
      <c r="N454" s="3059" t="str">
        <f t="shared" si="17"/>
        <v>N/A</v>
      </c>
      <c r="O454" s="3051" t="s">
        <v>904</v>
      </c>
      <c r="P454" s="3046">
        <f>IF($D454="Logistics",VLOOKUP($O454,'Upper Hot Cell Logistics'!$C$4:$D$44,2,FALSE),"N/A")</f>
        <v>0.58000000000000007</v>
      </c>
    </row>
    <row r="455" spans="1:16" x14ac:dyDescent="0.4">
      <c r="A455" s="3128"/>
      <c r="B455" s="4056"/>
      <c r="C455" s="3052" t="s">
        <v>1173</v>
      </c>
      <c r="D455" s="3052" t="s">
        <v>778</v>
      </c>
      <c r="E455" s="3047">
        <f t="shared" si="16"/>
        <v>1.3888888888888888E-2</v>
      </c>
      <c r="F455" s="3047">
        <f>IF($D455="Trigger",VLOOKUP($C455,'Upper Hot Cell Welding failures'!$E$366:$I$395,5,FALSE),E455+F454)</f>
        <v>33.45380442060565</v>
      </c>
      <c r="G455" s="3050"/>
      <c r="H455" s="3046" t="str">
        <f>IF(D455="operation",VLOOKUP(G455,'Generic Vertical Port Tasks'!$C$6:$D$558,2,FALSE),"N/A")</f>
        <v>N/A</v>
      </c>
      <c r="I455" s="3049" t="s">
        <v>798</v>
      </c>
      <c r="J455" s="3049" t="s">
        <v>831</v>
      </c>
      <c r="K455" s="3049" t="s">
        <v>858</v>
      </c>
      <c r="L455" s="3047">
        <f>IFERROR(INDEX('Upper Hot Cell Logistics'!$I$35:$O$41,MATCH($J455,'Upper Hot Cell Logistics'!$H$35:$H$41,0),MATCH($K455,'Upper Hot Cell Logistics'!$H$35:$H$41,0)),"N/A")</f>
        <v>10</v>
      </c>
      <c r="M455" s="3047">
        <f>IFERROR(VLOOKUP($I455,'Upper Hot Cell Logistics'!$H$4:$I$9,2,FALSE),"N/A")</f>
        <v>0.2</v>
      </c>
      <c r="N455" s="3059">
        <f t="shared" si="17"/>
        <v>1.3888888888888888E-2</v>
      </c>
      <c r="O455" s="3051"/>
      <c r="P455" s="3046" t="str">
        <f>IF($D455="Logistics",VLOOKUP($O455,'Upper Hot Cell Logistics'!$C$4:$D$44,2,FALSE),"N/A")</f>
        <v>N/A</v>
      </c>
    </row>
    <row r="456" spans="1:16" x14ac:dyDescent="0.4">
      <c r="A456" s="3128"/>
      <c r="B456" s="4056"/>
      <c r="C456" s="3052" t="s">
        <v>1174</v>
      </c>
      <c r="D456" s="3052" t="s">
        <v>3</v>
      </c>
      <c r="E456" s="3047">
        <f t="shared" si="16"/>
        <v>0.78</v>
      </c>
      <c r="F456" s="3047">
        <f>IF($D456="Trigger",VLOOKUP($C456,'Upper Hot Cell Welding failures'!$E$366:$I$395,5,FALSE),E456+F455)</f>
        <v>34.233804420605651</v>
      </c>
      <c r="G456" s="3050"/>
      <c r="H456" s="3046" t="str">
        <f>IF(D456="operation",VLOOKUP(G456,'Generic Vertical Port Tasks'!$C$6:$D$558,2,FALSE),"N/A")</f>
        <v>N/A</v>
      </c>
      <c r="I456" s="3049"/>
      <c r="J456" s="3049"/>
      <c r="K456" s="3049"/>
      <c r="L456" s="3047" t="str">
        <f>IFERROR(INDEX('Upper Hot Cell Logistics'!$I$35:$O$41,MATCH($J456,'Upper Hot Cell Logistics'!$H$35:$H$41,0),MATCH($K456,'Upper Hot Cell Logistics'!$H$35:$H$41,0)),"N/A")</f>
        <v>N/A</v>
      </c>
      <c r="M456" s="3047" t="str">
        <f>IFERROR(VLOOKUP($I456,'Upper Hot Cell Logistics'!$H$4:$I$9,2,FALSE),"N/A")</f>
        <v>N/A</v>
      </c>
      <c r="N456" s="3059" t="str">
        <f t="shared" si="17"/>
        <v>N/A</v>
      </c>
      <c r="O456" s="3051" t="s">
        <v>1175</v>
      </c>
      <c r="P456" s="3046">
        <f>IF($D456="Logistics",VLOOKUP($O456,'Upper Hot Cell Logistics'!$C$4:$D$44,2,FALSE),"N/A")</f>
        <v>0.78</v>
      </c>
    </row>
    <row r="457" spans="1:16" ht="26.15" thickBot="1" x14ac:dyDescent="0.45">
      <c r="A457" s="3128"/>
      <c r="B457" s="4056"/>
      <c r="C457" s="3052" t="str">
        <f>B452</f>
        <v>RIB Blanket Segment Stored; Replacement LIB Blanket Segment collected</v>
      </c>
      <c r="D457" s="3052" t="s">
        <v>11</v>
      </c>
      <c r="E457" s="3062">
        <f t="shared" si="16"/>
        <v>0</v>
      </c>
      <c r="F457" s="3062">
        <f>IF($D457="Trigger",VLOOKUP($C457,'Upper Hot Cell Welding failures'!$E$366:$I$395,5,FALSE),E457+F456)</f>
        <v>34.233804420605651</v>
      </c>
      <c r="G457" s="3063"/>
      <c r="H457" s="3064" t="str">
        <f>IF(D457="operation",VLOOKUP(G457,'Generic Vertical Port Tasks'!$C$6:$D$558,2,FALSE),"N/A")</f>
        <v>N/A</v>
      </c>
      <c r="I457" s="3052"/>
      <c r="J457" s="3052"/>
      <c r="K457" s="3052"/>
      <c r="L457" s="3062" t="str">
        <f>IFERROR(INDEX('Upper Hot Cell Logistics'!$I$35:$O$41,MATCH($J457,'Upper Hot Cell Logistics'!$H$35:$H$41,0),MATCH($K457,'Upper Hot Cell Logistics'!$H$35:$H$41,0)),"N/A")</f>
        <v>N/A</v>
      </c>
      <c r="M457" s="3062" t="str">
        <f>IFERROR(VLOOKUP($I457,'Upper Hot Cell Logistics'!$H$4:$I$9,2,FALSE),"N/A")</f>
        <v>N/A</v>
      </c>
      <c r="N457" s="3065" t="str">
        <f t="shared" si="17"/>
        <v>N/A</v>
      </c>
      <c r="O457" s="3066"/>
      <c r="P457" s="3064" t="str">
        <f>IF($D457="Logistics",VLOOKUP($O457,'Upper Hot Cell Logistics'!$C$4:$D$44,2,FALSE),"N/A")</f>
        <v>N/A</v>
      </c>
    </row>
    <row r="458" spans="1:16" x14ac:dyDescent="0.4">
      <c r="A458" s="3128"/>
      <c r="B458" s="4054" t="s">
        <v>863</v>
      </c>
      <c r="C458" s="3042" t="str">
        <f>'Upper Hot Cell Welding failures'!E381</f>
        <v>Install RIB Blanket Segment</v>
      </c>
      <c r="D458" s="3042" t="s">
        <v>907</v>
      </c>
      <c r="E458" s="3043">
        <f t="shared" si="16"/>
        <v>0</v>
      </c>
      <c r="F458" s="3044">
        <f>IF($D458="Trigger",VLOOKUP($C458,'Upper Hot Cell Welding failures'!$E$366:$I$395,5,FALSE),E458+F457)</f>
        <v>36.564915531716764</v>
      </c>
      <c r="G458" s="3045"/>
      <c r="H458" s="3044" t="str">
        <f>IF(D458="operation",VLOOKUP(G458,'Generic Vertical Port Tasks'!$C$6:$D$558,2,FALSE),"N/A")</f>
        <v>N/A</v>
      </c>
      <c r="I458" s="3042"/>
      <c r="J458" s="3042"/>
      <c r="K458" s="3042"/>
      <c r="L458" s="3043" t="str">
        <f>IFERROR(INDEX('Upper Hot Cell Logistics'!$I$35:$O$41,MATCH($J458,'Upper Hot Cell Logistics'!$H$35:$H$41,0),MATCH($K458,'Upper Hot Cell Logistics'!$H$35:$H$41,0)),"N/A")</f>
        <v>N/A</v>
      </c>
      <c r="M458" s="3043" t="str">
        <f>IFERROR(VLOOKUP($I458,'Upper Hot Cell Logistics'!$H$4:$I$9,2,FALSE),"N/A")</f>
        <v>N/A</v>
      </c>
      <c r="N458" s="3061" t="str">
        <f t="shared" si="17"/>
        <v>N/A</v>
      </c>
      <c r="O458" s="3048"/>
      <c r="P458" s="3044" t="str">
        <f>IF($D458="Logistics",VLOOKUP($O458,'Upper Hot Cell Logistics'!$C$4:$D$44,2,FALSE),"N/A")</f>
        <v>N/A</v>
      </c>
    </row>
    <row r="459" spans="1:16" x14ac:dyDescent="0.4">
      <c r="A459" s="3128"/>
      <c r="B459" s="4055"/>
      <c r="C459" s="3049" t="s">
        <v>926</v>
      </c>
      <c r="D459" s="3049" t="s">
        <v>778</v>
      </c>
      <c r="E459" s="3047">
        <f t="shared" si="16"/>
        <v>0.69444444444444442</v>
      </c>
      <c r="F459" s="3046">
        <f>IF($D459="Trigger",VLOOKUP($C459,'Upper Hot Cell Welding failures'!$E$366:$I$395,5,FALSE),E459+F458)</f>
        <v>37.259359976161207</v>
      </c>
      <c r="G459" s="3050"/>
      <c r="H459" s="3046" t="str">
        <f>IF(D459="operation",VLOOKUP(G459,'Generic Vertical Port Tasks'!$C$6:$D$558,2,FALSE),"N/A")</f>
        <v>N/A</v>
      </c>
      <c r="I459" s="3049" t="s">
        <v>857</v>
      </c>
      <c r="J459" s="3049" t="s">
        <v>452</v>
      </c>
      <c r="K459" s="3049" t="s">
        <v>858</v>
      </c>
      <c r="L459" s="3047">
        <f>IFERROR(INDEX('Upper Hot Cell Logistics'!$I$35:$O$41,MATCH($J459,'Upper Hot Cell Logistics'!$H$35:$H$41,0),MATCH($K459,'Upper Hot Cell Logistics'!$H$35:$H$41,0)),"N/A")</f>
        <v>50</v>
      </c>
      <c r="M459" s="3047">
        <f>IFERROR(VLOOKUP($I459,'Upper Hot Cell Logistics'!$H$4:$I$9,2,FALSE),"N/A")</f>
        <v>0.02</v>
      </c>
      <c r="N459" s="3059">
        <f t="shared" si="17"/>
        <v>0.69444444444444442</v>
      </c>
      <c r="O459" s="3051"/>
      <c r="P459" s="3046" t="str">
        <f>IF($D459="Logistics",VLOOKUP($O459,'Upper Hot Cell Logistics'!$C$4:$D$44,2,FALSE),"N/A")</f>
        <v>N/A</v>
      </c>
    </row>
    <row r="460" spans="1:16" x14ac:dyDescent="0.4">
      <c r="A460" s="3128"/>
      <c r="B460" s="4055"/>
      <c r="C460" s="3049" t="s">
        <v>970</v>
      </c>
      <c r="D460" s="3049" t="s">
        <v>3</v>
      </c>
      <c r="E460" s="3047">
        <f t="shared" si="16"/>
        <v>0.58000000000000007</v>
      </c>
      <c r="F460" s="3046">
        <f>IF($D460="Trigger",VLOOKUP($C460,'Upper Hot Cell Welding failures'!$E$366:$I$395,5,FALSE),E460+F459)</f>
        <v>37.839359976161205</v>
      </c>
      <c r="G460" s="3050"/>
      <c r="H460" s="3046" t="str">
        <f>IF(D460="operation",VLOOKUP(G460,'Generic Vertical Port Tasks'!$C$6:$D$558,2,FALSE),"N/A")</f>
        <v>N/A</v>
      </c>
      <c r="I460" s="3049"/>
      <c r="J460" s="3049"/>
      <c r="K460" s="3049"/>
      <c r="L460" s="3047" t="str">
        <f>IFERROR(INDEX('Upper Hot Cell Logistics'!$I$35:$O$41,MATCH($J460,'Upper Hot Cell Logistics'!$H$35:$H$41,0),MATCH($K460,'Upper Hot Cell Logistics'!$H$35:$H$41,0)),"N/A")</f>
        <v>N/A</v>
      </c>
      <c r="M460" s="3047" t="str">
        <f>IFERROR(VLOOKUP($I460,'Upper Hot Cell Logistics'!$H$4:$I$9,2,FALSE),"N/A")</f>
        <v>N/A</v>
      </c>
      <c r="N460" s="3059" t="str">
        <f t="shared" si="17"/>
        <v>N/A</v>
      </c>
      <c r="O460" s="3051" t="s">
        <v>904</v>
      </c>
      <c r="P460" s="3046">
        <f>IF($D460="Logistics",VLOOKUP($O460,'Upper Hot Cell Logistics'!$C$4:$D$44,2,FALSE),"N/A")</f>
        <v>0.58000000000000007</v>
      </c>
    </row>
    <row r="461" spans="1:16" ht="13.3" thickBot="1" x14ac:dyDescent="0.45">
      <c r="A461" s="3128"/>
      <c r="B461" s="4057"/>
      <c r="C461" s="3053" t="str">
        <f>B458</f>
        <v>ROB Blanket Segment Exported</v>
      </c>
      <c r="D461" s="3053" t="s">
        <v>11</v>
      </c>
      <c r="E461" s="3054">
        <f t="shared" si="16"/>
        <v>0</v>
      </c>
      <c r="F461" s="3055">
        <f>IF($D461="Trigger",VLOOKUP($C461,'Upper Hot Cell Welding failures'!$E$366:$I$395,5,FALSE),E461+F460)</f>
        <v>37.839359976161205</v>
      </c>
      <c r="G461" s="3056"/>
      <c r="H461" s="3055" t="str">
        <f>IF(D461="operation",VLOOKUP(G461,'Generic Vertical Port Tasks'!$C$6:$D$558,2,FALSE),"N/A")</f>
        <v>N/A</v>
      </c>
      <c r="I461" s="3053"/>
      <c r="J461" s="3053"/>
      <c r="K461" s="3053"/>
      <c r="L461" s="3054" t="str">
        <f>IFERROR(INDEX('Upper Hot Cell Logistics'!$I$35:$O$41,MATCH($J461,'Upper Hot Cell Logistics'!$H$35:$H$41,0),MATCH($K461,'Upper Hot Cell Logistics'!$H$35:$H$41,0)),"N/A")</f>
        <v>N/A</v>
      </c>
      <c r="M461" s="3054" t="str">
        <f>IFERROR(VLOOKUP($I461,'Upper Hot Cell Logistics'!$H$4:$I$9,2,FALSE),"N/A")</f>
        <v>N/A</v>
      </c>
      <c r="N461" s="3060" t="str">
        <f t="shared" si="17"/>
        <v>N/A</v>
      </c>
      <c r="O461" s="3057"/>
      <c r="P461" s="3055" t="str">
        <f>IF($D461="Logistics",VLOOKUP($O461,'Upper Hot Cell Logistics'!$C$4:$D$44,2,FALSE),"N/A")</f>
        <v>N/A</v>
      </c>
    </row>
    <row r="462" spans="1:16" x14ac:dyDescent="0.4">
      <c r="A462" s="3128"/>
      <c r="B462" s="4054" t="s">
        <v>865</v>
      </c>
      <c r="C462" s="3042" t="str">
        <f>'Upper Hot Cell Welding failures'!E383</f>
        <v>Install LIB Blanket Segment</v>
      </c>
      <c r="D462" s="3042" t="s">
        <v>907</v>
      </c>
      <c r="E462" s="3043">
        <f t="shared" si="16"/>
        <v>0</v>
      </c>
      <c r="F462" s="3044">
        <f>IF($D462="Trigger",VLOOKUP($C462,'Upper Hot Cell Welding failures'!$E$366:$I$395,5,FALSE),E462+F461)</f>
        <v>40.964359976161205</v>
      </c>
      <c r="G462" s="3045"/>
      <c r="H462" s="3044" t="str">
        <f>IF(D462="operation",VLOOKUP(G462,'Generic Vertical Port Tasks'!$C$6:$D$558,2,FALSE),"N/A")</f>
        <v>N/A</v>
      </c>
      <c r="I462" s="3042"/>
      <c r="J462" s="3042"/>
      <c r="K462" s="3042"/>
      <c r="L462" s="3043" t="str">
        <f>IFERROR(INDEX('Upper Hot Cell Logistics'!$I$35:$O$41,MATCH($J462,'Upper Hot Cell Logistics'!$H$35:$H$41,0),MATCH($K462,'Upper Hot Cell Logistics'!$H$35:$H$41,0)),"N/A")</f>
        <v>N/A</v>
      </c>
      <c r="M462" s="3043" t="str">
        <f>IFERROR(VLOOKUP($I462,'Upper Hot Cell Logistics'!$H$4:$I$9,2,FALSE),"N/A")</f>
        <v>N/A</v>
      </c>
      <c r="N462" s="3061" t="str">
        <f t="shared" si="17"/>
        <v>N/A</v>
      </c>
      <c r="O462" s="3048"/>
      <c r="P462" s="3044" t="str">
        <f>IF($D462="Logistics",VLOOKUP($O462,'Upper Hot Cell Logistics'!$C$4:$D$44,2,FALSE),"N/A")</f>
        <v>N/A</v>
      </c>
    </row>
    <row r="463" spans="1:16" x14ac:dyDescent="0.4">
      <c r="A463" s="3128"/>
      <c r="B463" s="4055"/>
      <c r="C463" s="3049" t="s">
        <v>930</v>
      </c>
      <c r="D463" s="3049" t="s">
        <v>778</v>
      </c>
      <c r="E463" s="3047">
        <f t="shared" si="16"/>
        <v>0.69444444444444442</v>
      </c>
      <c r="F463" s="3046">
        <f>IF($D463="Trigger",VLOOKUP($C463,'Upper Hot Cell Welding failures'!$E$366:$I$395,5,FALSE),E463+F462)</f>
        <v>41.658804420605648</v>
      </c>
      <c r="G463" s="3050"/>
      <c r="H463" s="3046" t="str">
        <f>IF(D463="operation",VLOOKUP(G463,'Generic Vertical Port Tasks'!$C$6:$D$558,2,FALSE),"N/A")</f>
        <v>N/A</v>
      </c>
      <c r="I463" s="3049" t="s">
        <v>857</v>
      </c>
      <c r="J463" s="3049" t="s">
        <v>452</v>
      </c>
      <c r="K463" s="3049" t="s">
        <v>858</v>
      </c>
      <c r="L463" s="3047">
        <f>IFERROR(INDEX('Upper Hot Cell Logistics'!$I$35:$O$41,MATCH($J463,'Upper Hot Cell Logistics'!$H$35:$H$41,0),MATCH($K463,'Upper Hot Cell Logistics'!$H$35:$H$41,0)),"N/A")</f>
        <v>50</v>
      </c>
      <c r="M463" s="3047">
        <f>IFERROR(VLOOKUP($I463,'Upper Hot Cell Logistics'!$H$4:$I$9,2,FALSE),"N/A")</f>
        <v>0.02</v>
      </c>
      <c r="N463" s="3059">
        <f t="shared" si="17"/>
        <v>0.69444444444444442</v>
      </c>
      <c r="O463" s="3051"/>
      <c r="P463" s="3046" t="str">
        <f>IF($D463="Logistics",VLOOKUP($O463,'Upper Hot Cell Logistics'!$C$4:$D$44,2,FALSE),"N/A")</f>
        <v>N/A</v>
      </c>
    </row>
    <row r="464" spans="1:16" x14ac:dyDescent="0.4">
      <c r="A464" s="3128"/>
      <c r="B464" s="4055"/>
      <c r="C464" s="3049" t="s">
        <v>970</v>
      </c>
      <c r="D464" s="3049" t="s">
        <v>3</v>
      </c>
      <c r="E464" s="3047">
        <f t="shared" si="16"/>
        <v>0.78</v>
      </c>
      <c r="F464" s="3046">
        <f>IF($D464="Trigger",VLOOKUP($C464,'Upper Hot Cell Welding failures'!$E$366:$I$395,5,FALSE),E464+F463)</f>
        <v>42.438804420605649</v>
      </c>
      <c r="G464" s="3050"/>
      <c r="H464" s="3046" t="str">
        <f>IF(D464="operation",VLOOKUP(G464,'Generic Vertical Port Tasks'!$C$6:$D$558,2,FALSE),"N/A")</f>
        <v>N/A</v>
      </c>
      <c r="I464" s="3049"/>
      <c r="J464" s="3049"/>
      <c r="K464" s="3049"/>
      <c r="L464" s="3047" t="str">
        <f>IFERROR(INDEX('Upper Hot Cell Logistics'!$I$35:$O$41,MATCH($J464,'Upper Hot Cell Logistics'!$H$35:$H$41,0),MATCH($K464,'Upper Hot Cell Logistics'!$H$35:$H$41,0)),"N/A")</f>
        <v>N/A</v>
      </c>
      <c r="M464" s="3047" t="str">
        <f>IFERROR(VLOOKUP($I464,'Upper Hot Cell Logistics'!$H$4:$I$9,2,FALSE),"N/A")</f>
        <v>N/A</v>
      </c>
      <c r="N464" s="3059" t="str">
        <f t="shared" si="17"/>
        <v>N/A</v>
      </c>
      <c r="O464" s="3051" t="s">
        <v>1175</v>
      </c>
      <c r="P464" s="3046">
        <f>IF($D464="Logistics",VLOOKUP($O464,'Upper Hot Cell Logistics'!$C$4:$D$44,2,FALSE),"N/A")</f>
        <v>0.78</v>
      </c>
    </row>
    <row r="465" spans="1:16" ht="13.3" thickBot="1" x14ac:dyDescent="0.45">
      <c r="A465" s="3128"/>
      <c r="B465" s="4057"/>
      <c r="C465" s="3053" t="str">
        <f>B462</f>
        <v>LOB Blanket Segment Exported</v>
      </c>
      <c r="D465" s="3053" t="s">
        <v>11</v>
      </c>
      <c r="E465" s="3054">
        <f t="shared" si="16"/>
        <v>0</v>
      </c>
      <c r="F465" s="3055">
        <f>IF($D465="Trigger",VLOOKUP($C465,'Upper Hot Cell Welding failures'!$E$366:$I$395,5,FALSE),E465+F464)</f>
        <v>42.438804420605649</v>
      </c>
      <c r="G465" s="3056"/>
      <c r="H465" s="3055" t="str">
        <f>IF(D465="operation",VLOOKUP(G465,'Generic Vertical Port Tasks'!$C$6:$D$558,2,FALSE),"N/A")</f>
        <v>N/A</v>
      </c>
      <c r="I465" s="3053"/>
      <c r="J465" s="3053"/>
      <c r="K465" s="3053"/>
      <c r="L465" s="3054" t="str">
        <f>IFERROR(INDEX('Upper Hot Cell Logistics'!$I$35:$O$41,MATCH($J465,'Upper Hot Cell Logistics'!$H$35:$H$41,0),MATCH($K465,'Upper Hot Cell Logistics'!$H$35:$H$41,0)),"N/A")</f>
        <v>N/A</v>
      </c>
      <c r="M465" s="3054" t="str">
        <f>IFERROR(VLOOKUP($I465,'Upper Hot Cell Logistics'!$H$4:$I$9,2,FALSE),"N/A")</f>
        <v>N/A</v>
      </c>
      <c r="N465" s="3060" t="str">
        <f t="shared" si="17"/>
        <v>N/A</v>
      </c>
      <c r="O465" s="3057"/>
      <c r="P465" s="3055" t="str">
        <f>IF($D465="Logistics",VLOOKUP($O465,'Upper Hot Cell Logistics'!$C$4:$D$44,2,FALSE),"N/A")</f>
        <v>N/A</v>
      </c>
    </row>
    <row r="466" spans="1:16" x14ac:dyDescent="0.4">
      <c r="A466" s="3128"/>
      <c r="B466" s="4054" t="s">
        <v>867</v>
      </c>
      <c r="C466" s="3042" t="str">
        <f>'Upper Hot Cell Welding failures'!E385</f>
        <v>Install ROB Blanket Segment</v>
      </c>
      <c r="D466" s="3042" t="s">
        <v>907</v>
      </c>
      <c r="E466" s="3043">
        <f t="shared" si="16"/>
        <v>0</v>
      </c>
      <c r="F466" s="3044">
        <f>IF($D466="Trigger",VLOOKUP($C466,'Upper Hot Cell Welding failures'!$E$366:$I$395,5,FALSE),E466+F465)</f>
        <v>45.363804420605646</v>
      </c>
      <c r="G466" s="3045"/>
      <c r="H466" s="3044" t="str">
        <f>IF(D466="operation",VLOOKUP(G466,'Generic Vertical Port Tasks'!$C$6:$D$558,2,FALSE),"N/A")</f>
        <v>N/A</v>
      </c>
      <c r="I466" s="3042"/>
      <c r="J466" s="3042"/>
      <c r="K466" s="3042"/>
      <c r="L466" s="3043" t="str">
        <f>IFERROR(INDEX('Upper Hot Cell Logistics'!$I$35:$O$41,MATCH($J466,'Upper Hot Cell Logistics'!$H$35:$H$41,0),MATCH($K466,'Upper Hot Cell Logistics'!$H$35:$H$41,0)),"N/A")</f>
        <v>N/A</v>
      </c>
      <c r="M466" s="3043" t="str">
        <f>IFERROR(VLOOKUP($I466,'Upper Hot Cell Logistics'!$H$4:$I$9,2,FALSE),"N/A")</f>
        <v>N/A</v>
      </c>
      <c r="N466" s="3061" t="str">
        <f t="shared" si="17"/>
        <v>N/A</v>
      </c>
      <c r="O466" s="3048"/>
      <c r="P466" s="3044" t="str">
        <f>IF($D466="Logistics",VLOOKUP($O466,'Upper Hot Cell Logistics'!$C$4:$D$44,2,FALSE),"N/A")</f>
        <v>N/A</v>
      </c>
    </row>
    <row r="467" spans="1:16" x14ac:dyDescent="0.4">
      <c r="A467" s="3128"/>
      <c r="B467" s="4055"/>
      <c r="C467" s="3049" t="s">
        <v>926</v>
      </c>
      <c r="D467" s="3049" t="s">
        <v>778</v>
      </c>
      <c r="E467" s="3047">
        <f t="shared" si="16"/>
        <v>0.69444444444444442</v>
      </c>
      <c r="F467" s="3046">
        <f>IF($D467="Trigger",VLOOKUP($C467,'Upper Hot Cell Welding failures'!$E$366:$I$395,5,FALSE),E467+F466)</f>
        <v>46.058248865050089</v>
      </c>
      <c r="G467" s="3050"/>
      <c r="H467" s="3046" t="str">
        <f>IF(D467="operation",VLOOKUP(G467,'Generic Vertical Port Tasks'!$C$6:$D$558,2,FALSE),"N/A")</f>
        <v>N/A</v>
      </c>
      <c r="I467" s="3049" t="s">
        <v>857</v>
      </c>
      <c r="J467" s="3049" t="s">
        <v>452</v>
      </c>
      <c r="K467" s="3049" t="s">
        <v>858</v>
      </c>
      <c r="L467" s="3047">
        <f>IFERROR(INDEX('Upper Hot Cell Logistics'!$I$35:$O$41,MATCH($J467,'Upper Hot Cell Logistics'!$H$35:$H$41,0),MATCH($K467,'Upper Hot Cell Logistics'!$H$35:$H$41,0)),"N/A")</f>
        <v>50</v>
      </c>
      <c r="M467" s="3047">
        <f>IFERROR(VLOOKUP($I467,'Upper Hot Cell Logistics'!$H$4:$I$9,2,FALSE),"N/A")</f>
        <v>0.02</v>
      </c>
      <c r="N467" s="3059">
        <f t="shared" si="17"/>
        <v>0.69444444444444442</v>
      </c>
      <c r="O467" s="3051"/>
      <c r="P467" s="3046" t="str">
        <f>IF($D467="Logistics",VLOOKUP($O467,'Upper Hot Cell Logistics'!$C$4:$D$44,2,FALSE),"N/A")</f>
        <v>N/A</v>
      </c>
    </row>
    <row r="468" spans="1:16" x14ac:dyDescent="0.4">
      <c r="A468" s="3128"/>
      <c r="B468" s="4055"/>
      <c r="C468" s="3049" t="s">
        <v>970</v>
      </c>
      <c r="D468" s="3049" t="s">
        <v>3</v>
      </c>
      <c r="E468" s="3047">
        <f t="shared" si="16"/>
        <v>0.58000000000000007</v>
      </c>
      <c r="F468" s="3046">
        <f>IF($D468="Trigger",VLOOKUP($C468,'Upper Hot Cell Welding failures'!$E$366:$I$395,5,FALSE),E468+F467)</f>
        <v>46.638248865050087</v>
      </c>
      <c r="G468" s="3050"/>
      <c r="H468" s="3046" t="str">
        <f>IF(D468="operation",VLOOKUP(G468,'Generic Vertical Port Tasks'!$C$6:$D$558,2,FALSE),"N/A")</f>
        <v>N/A</v>
      </c>
      <c r="I468" s="3049"/>
      <c r="J468" s="3049"/>
      <c r="K468" s="3049"/>
      <c r="L468" s="3047" t="str">
        <f>IFERROR(INDEX('Upper Hot Cell Logistics'!$I$35:$O$41,MATCH($J468,'Upper Hot Cell Logistics'!$H$35:$H$41,0),MATCH($K468,'Upper Hot Cell Logistics'!$H$35:$H$41,0)),"N/A")</f>
        <v>N/A</v>
      </c>
      <c r="M468" s="3047" t="str">
        <f>IFERROR(VLOOKUP($I468,'Upper Hot Cell Logistics'!$H$4:$I$9,2,FALSE),"N/A")</f>
        <v>N/A</v>
      </c>
      <c r="N468" s="3059" t="str">
        <f t="shared" si="17"/>
        <v>N/A</v>
      </c>
      <c r="O468" s="3051" t="s">
        <v>904</v>
      </c>
      <c r="P468" s="3046">
        <f>IF($D468="Logistics",VLOOKUP($O468,'Upper Hot Cell Logistics'!$C$4:$D$44,2,FALSE),"N/A")</f>
        <v>0.58000000000000007</v>
      </c>
    </row>
    <row r="469" spans="1:16" ht="13.3" thickBot="1" x14ac:dyDescent="0.45">
      <c r="A469" s="3128"/>
      <c r="B469" s="4057"/>
      <c r="C469" s="3053" t="str">
        <f>B466</f>
        <v>COB Blanket Segment Exported</v>
      </c>
      <c r="D469" s="3053" t="s">
        <v>11</v>
      </c>
      <c r="E469" s="3054">
        <f t="shared" si="16"/>
        <v>0</v>
      </c>
      <c r="F469" s="3055">
        <f>IF($D469="Trigger",VLOOKUP($C469,'Upper Hot Cell Welding failures'!$E$366:$I$395,5,FALSE),E469+F468)</f>
        <v>46.638248865050087</v>
      </c>
      <c r="G469" s="3056"/>
      <c r="H469" s="3055" t="str">
        <f>IF(D469="operation",VLOOKUP(G469,'Generic Vertical Port Tasks'!$C$6:$D$558,2,FALSE),"N/A")</f>
        <v>N/A</v>
      </c>
      <c r="I469" s="3053"/>
      <c r="J469" s="3053"/>
      <c r="K469" s="3053"/>
      <c r="L469" s="3054" t="str">
        <f>IFERROR(INDEX('Upper Hot Cell Logistics'!$I$35:$O$41,MATCH($J469,'Upper Hot Cell Logistics'!$H$35:$H$41,0),MATCH($K469,'Upper Hot Cell Logistics'!$H$35:$H$41,0)),"N/A")</f>
        <v>N/A</v>
      </c>
      <c r="M469" s="3054" t="str">
        <f>IFERROR(VLOOKUP($I469,'Upper Hot Cell Logistics'!$H$4:$I$9,2,FALSE),"N/A")</f>
        <v>N/A</v>
      </c>
      <c r="N469" s="3060" t="str">
        <f t="shared" si="17"/>
        <v>N/A</v>
      </c>
      <c r="O469" s="3057"/>
      <c r="P469" s="3055" t="str">
        <f>IF($D469="Logistics",VLOOKUP($O469,'Upper Hot Cell Logistics'!$C$4:$D$44,2,FALSE),"N/A")</f>
        <v>N/A</v>
      </c>
    </row>
    <row r="470" spans="1:16" x14ac:dyDescent="0.4">
      <c r="A470" s="3128"/>
      <c r="B470" s="4061" t="s">
        <v>1084</v>
      </c>
      <c r="C470" s="3042" t="str">
        <f>'Upper Hot Cell Welding failures'!E387</f>
        <v>Install LOB Blanket Segment</v>
      </c>
      <c r="D470" s="3042" t="s">
        <v>907</v>
      </c>
      <c r="E470" s="3043">
        <f t="shared" si="16"/>
        <v>0</v>
      </c>
      <c r="F470" s="3044">
        <f>IF($D470="Trigger",VLOOKUP($C470,'Upper Hot Cell Welding failures'!$E$366:$I$395,5,FALSE),E470+F469)</f>
        <v>51.173248865050091</v>
      </c>
      <c r="G470" s="3045"/>
      <c r="H470" s="3044" t="str">
        <f>IF(D470="operation",VLOOKUP(G470,'Generic Vertical Port Tasks'!$C$6:$D$558,2,FALSE),"N/A")</f>
        <v>N/A</v>
      </c>
      <c r="I470" s="3042"/>
      <c r="J470" s="3042"/>
      <c r="K470" s="3042"/>
      <c r="L470" s="3043" t="str">
        <f>IFERROR(INDEX('Upper Hot Cell Logistics'!$I$35:$O$41,MATCH($J470,'Upper Hot Cell Logistics'!$H$35:$H$41,0),MATCH($K470,'Upper Hot Cell Logistics'!$H$35:$H$41,0)),"N/A")</f>
        <v>N/A</v>
      </c>
      <c r="M470" s="3043" t="str">
        <f>IFERROR(VLOOKUP($I470,'Upper Hot Cell Logistics'!$H$4:$I$9,2,FALSE),"N/A")</f>
        <v>N/A</v>
      </c>
      <c r="N470" s="3061" t="str">
        <f t="shared" si="17"/>
        <v>N/A</v>
      </c>
      <c r="O470" s="3048"/>
      <c r="P470" s="3044" t="str">
        <f>IF($D470="Logistics",VLOOKUP($O470,'Upper Hot Cell Logistics'!$C$4:$D$44,2,FALSE),"N/A")</f>
        <v>N/A</v>
      </c>
    </row>
    <row r="471" spans="1:16" x14ac:dyDescent="0.4">
      <c r="A471" s="3128"/>
      <c r="B471" s="4062"/>
      <c r="C471" s="3049" t="s">
        <v>921</v>
      </c>
      <c r="D471" s="3049" t="s">
        <v>778</v>
      </c>
      <c r="E471" s="3047">
        <f t="shared" si="16"/>
        <v>0.69444444444444442</v>
      </c>
      <c r="F471" s="3046">
        <f>IF($D471="Trigger",VLOOKUP($C471,'Upper Hot Cell Welding failures'!$E$366:$I$395,5,FALSE),E471+F470)</f>
        <v>51.867693309494534</v>
      </c>
      <c r="G471" s="3050"/>
      <c r="H471" s="3046" t="str">
        <f>IF(D471="operation",VLOOKUP(G471,'Generic Vertical Port Tasks'!$C$6:$D$558,2,FALSE),"N/A")</f>
        <v>N/A</v>
      </c>
      <c r="I471" s="3049" t="s">
        <v>857</v>
      </c>
      <c r="J471" s="3049" t="s">
        <v>452</v>
      </c>
      <c r="K471" s="3049" t="s">
        <v>914</v>
      </c>
      <c r="L471" s="3047">
        <f>IFERROR(INDEX('Upper Hot Cell Logistics'!$I$35:$O$41,MATCH($J471,'Upper Hot Cell Logistics'!$H$35:$H$41,0),MATCH($K471,'Upper Hot Cell Logistics'!$H$35:$H$41,0)),"N/A")</f>
        <v>50</v>
      </c>
      <c r="M471" s="3047">
        <f>IFERROR(VLOOKUP($I471,'Upper Hot Cell Logistics'!$H$4:$I$9,2,FALSE),"N/A")</f>
        <v>0.02</v>
      </c>
      <c r="N471" s="3059">
        <f t="shared" si="17"/>
        <v>0.69444444444444442</v>
      </c>
      <c r="O471" s="3051"/>
      <c r="P471" s="3046" t="str">
        <f>IF($D471="Logistics",VLOOKUP($O471,'Upper Hot Cell Logistics'!$C$4:$D$44,2,FALSE),"N/A")</f>
        <v>N/A</v>
      </c>
    </row>
    <row r="472" spans="1:16" x14ac:dyDescent="0.4">
      <c r="A472" s="3128"/>
      <c r="B472" s="4062"/>
      <c r="C472" s="3049" t="s">
        <v>973</v>
      </c>
      <c r="D472" s="3049" t="s">
        <v>3</v>
      </c>
      <c r="E472" s="3047">
        <f t="shared" si="16"/>
        <v>0.68</v>
      </c>
      <c r="F472" s="3046">
        <f>IF($D472="Trigger",VLOOKUP($C472,'Upper Hot Cell Welding failures'!$E$366:$I$395,5,FALSE),E472+F471)</f>
        <v>52.547693309494534</v>
      </c>
      <c r="G472" s="3050"/>
      <c r="H472" s="3046" t="str">
        <f>IF(D472="operation",VLOOKUP(G472,'Generic Vertical Port Tasks'!$C$6:$D$558,2,FALSE),"N/A")</f>
        <v>N/A</v>
      </c>
      <c r="I472" s="3049"/>
      <c r="J472" s="3049"/>
      <c r="K472" s="3049"/>
      <c r="L472" s="3047" t="str">
        <f>IFERROR(INDEX('Upper Hot Cell Logistics'!$I$35:$O$41,MATCH($J472,'Upper Hot Cell Logistics'!$H$35:$H$41,0),MATCH($K472,'Upper Hot Cell Logistics'!$H$35:$H$41,0)),"N/A")</f>
        <v>N/A</v>
      </c>
      <c r="M472" s="3047" t="str">
        <f>IFERROR(VLOOKUP($I472,'Upper Hot Cell Logistics'!$H$4:$I$9,2,FALSE),"N/A")</f>
        <v>N/A</v>
      </c>
      <c r="N472" s="3059" t="str">
        <f t="shared" si="17"/>
        <v>N/A</v>
      </c>
      <c r="O472" s="3051" t="s">
        <v>1190</v>
      </c>
      <c r="P472" s="3046">
        <f>IF($D472="Logistics",VLOOKUP($O472,'Upper Hot Cell Logistics'!$C$4:$D$44,2,FALSE),"N/A")</f>
        <v>0.68</v>
      </c>
    </row>
    <row r="473" spans="1:16" x14ac:dyDescent="0.4">
      <c r="A473" s="3128"/>
      <c r="B473" s="4062"/>
      <c r="C473" s="3049" t="s">
        <v>968</v>
      </c>
      <c r="D473" s="3049" t="s">
        <v>778</v>
      </c>
      <c r="E473" s="3047">
        <f t="shared" si="16"/>
        <v>1.3888888888888888E-2</v>
      </c>
      <c r="F473" s="3046">
        <f>IF($D473="Trigger",VLOOKUP($C473,'Upper Hot Cell Welding failures'!$E$366:$I$395,5,FALSE),E473+F472)</f>
        <v>52.561582198383419</v>
      </c>
      <c r="G473" s="3050"/>
      <c r="H473" s="3046" t="str">
        <f>IF(D473="operation",VLOOKUP(G473,'Generic Vertical Port Tasks'!$C$6:$D$558,2,FALSE),"N/A")</f>
        <v>N/A</v>
      </c>
      <c r="I473" s="3049" t="s">
        <v>798</v>
      </c>
      <c r="J473" s="3049" t="s">
        <v>831</v>
      </c>
      <c r="K473" s="3049" t="s">
        <v>858</v>
      </c>
      <c r="L473" s="3047">
        <f>IFERROR(INDEX('Upper Hot Cell Logistics'!$I$35:$O$41,MATCH($J473,'Upper Hot Cell Logistics'!$H$35:$H$41,0),MATCH($K473,'Upper Hot Cell Logistics'!$H$35:$H$41,0)),"N/A")</f>
        <v>10</v>
      </c>
      <c r="M473" s="3047">
        <f>IFERROR(VLOOKUP($I473,'Upper Hot Cell Logistics'!$H$4:$I$9,2,FALSE),"N/A")</f>
        <v>0.2</v>
      </c>
      <c r="N473" s="3059">
        <f t="shared" si="17"/>
        <v>1.3888888888888888E-2</v>
      </c>
      <c r="O473" s="3051"/>
      <c r="P473" s="3046" t="str">
        <f>IF($D473="Logistics",VLOOKUP($O473,'Upper Hot Cell Logistics'!$C$4:$D$44,2,FALSE),"N/A")</f>
        <v>N/A</v>
      </c>
    </row>
    <row r="474" spans="1:16" x14ac:dyDescent="0.4">
      <c r="A474" s="3128"/>
      <c r="B474" s="4062"/>
      <c r="C474" s="3049" t="s">
        <v>974</v>
      </c>
      <c r="D474" s="3049" t="s">
        <v>3</v>
      </c>
      <c r="E474" s="3047">
        <f t="shared" si="16"/>
        <v>0.58000000000000007</v>
      </c>
      <c r="F474" s="3046">
        <f>IF($D474="Trigger",VLOOKUP($C474,'Upper Hot Cell Welding failures'!$E$366:$I$395,5,FALSE),E474+F473)</f>
        <v>53.141582198383418</v>
      </c>
      <c r="G474" s="3050"/>
      <c r="H474" s="3046" t="str">
        <f>IF(D474="operation",VLOOKUP(G474,'Generic Vertical Port Tasks'!$C$6:$D$558,2,FALSE),"N/A")</f>
        <v>N/A</v>
      </c>
      <c r="I474" s="3049"/>
      <c r="J474" s="3049"/>
      <c r="K474" s="3049"/>
      <c r="L474" s="3047" t="str">
        <f>IFERROR(INDEX('Upper Hot Cell Logistics'!$I$35:$O$41,MATCH($J474,'Upper Hot Cell Logistics'!$H$35:$H$41,0),MATCH($K474,'Upper Hot Cell Logistics'!$H$35:$H$41,0)),"N/A")</f>
        <v>N/A</v>
      </c>
      <c r="M474" s="3047" t="str">
        <f>IFERROR(VLOOKUP($I474,'Upper Hot Cell Logistics'!$H$4:$I$9,2,FALSE),"N/A")</f>
        <v>N/A</v>
      </c>
      <c r="N474" s="3059" t="str">
        <f t="shared" si="17"/>
        <v>N/A</v>
      </c>
      <c r="O474" s="3051" t="s">
        <v>796</v>
      </c>
      <c r="P474" s="3046">
        <f>IF($D474="Logistics",VLOOKUP($O474,'Upper Hot Cell Logistics'!$C$4:$D$44,2,FALSE),"N/A")</f>
        <v>0.58000000000000007</v>
      </c>
    </row>
    <row r="475" spans="1:16" x14ac:dyDescent="0.4">
      <c r="A475" s="3128"/>
      <c r="B475" s="4062"/>
      <c r="C475" s="3049" t="s">
        <v>968</v>
      </c>
      <c r="D475" s="3049" t="s">
        <v>778</v>
      </c>
      <c r="E475" s="3047">
        <f t="shared" si="16"/>
        <v>2.7777777777777776E-2</v>
      </c>
      <c r="F475" s="3046">
        <f>IF($D475="Trigger",VLOOKUP($C475,'Upper Hot Cell Welding failures'!$E$366:$I$395,5,FALSE),E475+F474)</f>
        <v>53.169359976161196</v>
      </c>
      <c r="G475" s="3050"/>
      <c r="H475" s="3046" t="str">
        <f>IF(D475="operation",VLOOKUP(G475,'Generic Vertical Port Tasks'!$C$6:$D$558,2,FALSE),"N/A")</f>
        <v>N/A</v>
      </c>
      <c r="I475" s="3049" t="s">
        <v>798</v>
      </c>
      <c r="J475" s="3049" t="s">
        <v>799</v>
      </c>
      <c r="K475" s="3049" t="s">
        <v>858</v>
      </c>
      <c r="L475" s="3047">
        <f>IFERROR(INDEX('Upper Hot Cell Logistics'!$I$35:$O$41,MATCH($J475,'Upper Hot Cell Logistics'!$H$35:$H$41,0),MATCH($K475,'Upper Hot Cell Logistics'!$H$35:$H$41,0)),"N/A")</f>
        <v>20</v>
      </c>
      <c r="M475" s="3047">
        <f>IFERROR(VLOOKUP($I475,'Upper Hot Cell Logistics'!$H$4:$I$9,2,FALSE),"N/A")</f>
        <v>0.2</v>
      </c>
      <c r="N475" s="3059">
        <f t="shared" si="17"/>
        <v>2.7777777777777776E-2</v>
      </c>
      <c r="O475" s="3051"/>
      <c r="P475" s="3046" t="str">
        <f>IF($D475="Logistics",VLOOKUP($O475,'Upper Hot Cell Logistics'!$C$4:$D$44,2,FALSE),"N/A")</f>
        <v>N/A</v>
      </c>
    </row>
    <row r="476" spans="1:16" x14ac:dyDescent="0.4">
      <c r="A476" s="3128"/>
      <c r="B476" s="4062"/>
      <c r="C476" s="3049" t="s">
        <v>1197</v>
      </c>
      <c r="D476" s="3049" t="s">
        <v>3</v>
      </c>
      <c r="E476" s="3047">
        <f t="shared" si="16"/>
        <v>0.78</v>
      </c>
      <c r="F476" s="3046">
        <f>IF($D476="Trigger",VLOOKUP($C476,'Upper Hot Cell Welding failures'!$E$366:$I$395,5,FALSE),E476+F475)</f>
        <v>53.949359976161197</v>
      </c>
      <c r="G476" s="3050"/>
      <c r="H476" s="3046" t="str">
        <f>IF(D476="operation",VLOOKUP(G476,'Generic Vertical Port Tasks'!$C$6:$D$558,2,FALSE),"N/A")</f>
        <v>N/A</v>
      </c>
      <c r="I476" s="3049"/>
      <c r="J476" s="3049"/>
      <c r="K476" s="3049"/>
      <c r="L476" s="3047" t="str">
        <f>IFERROR(INDEX('Upper Hot Cell Logistics'!$I$35:$O$41,MATCH($J476,'Upper Hot Cell Logistics'!$H$35:$H$41,0),MATCH($K476,'Upper Hot Cell Logistics'!$H$35:$H$41,0)),"N/A")</f>
        <v>N/A</v>
      </c>
      <c r="M476" s="3047" t="str">
        <f>IFERROR(VLOOKUP($I476,'Upper Hot Cell Logistics'!$H$4:$I$9,2,FALSE),"N/A")</f>
        <v>N/A</v>
      </c>
      <c r="N476" s="3059" t="str">
        <f t="shared" si="17"/>
        <v>N/A</v>
      </c>
      <c r="O476" s="3051" t="s">
        <v>1175</v>
      </c>
      <c r="P476" s="3046">
        <f>IF($D476="Logistics",VLOOKUP($O476,'Upper Hot Cell Logistics'!$C$4:$D$44,2,FALSE),"N/A")</f>
        <v>0.78</v>
      </c>
    </row>
    <row r="477" spans="1:16" ht="26.15" thickBot="1" x14ac:dyDescent="0.45">
      <c r="A477" s="3128"/>
      <c r="B477" s="4063"/>
      <c r="C477" s="3053" t="str">
        <f>B470</f>
        <v>Blanket Transporter stored &amp; Pipe Module interface hardware Collected &amp; RIB Pipe Module Exported</v>
      </c>
      <c r="D477" s="3053" t="s">
        <v>11</v>
      </c>
      <c r="E477" s="3054">
        <f t="shared" si="16"/>
        <v>0</v>
      </c>
      <c r="F477" s="3055">
        <f>IF($D477="Trigger",VLOOKUP($C477,'Upper Hot Cell Welding failures'!$E$366:$I$395,5,FALSE),E477+F476)</f>
        <v>53.949359976161197</v>
      </c>
      <c r="G477" s="3056"/>
      <c r="H477" s="3055" t="str">
        <f>IF(D477="operation",VLOOKUP(G477,'Generic Vertical Port Tasks'!$C$6:$D$558,2,FALSE),"N/A")</f>
        <v>N/A</v>
      </c>
      <c r="I477" s="3053"/>
      <c r="J477" s="3053"/>
      <c r="K477" s="3053"/>
      <c r="L477" s="3054" t="str">
        <f>IFERROR(INDEX('Upper Hot Cell Logistics'!$I$35:$O$41,MATCH($J477,'Upper Hot Cell Logistics'!$H$35:$H$41,0),MATCH($K477,'Upper Hot Cell Logistics'!$H$35:$H$41,0)),"N/A")</f>
        <v>N/A</v>
      </c>
      <c r="M477" s="3054" t="str">
        <f>IFERROR(VLOOKUP($I477,'Upper Hot Cell Logistics'!$H$4:$I$9,2,FALSE),"N/A")</f>
        <v>N/A</v>
      </c>
      <c r="N477" s="3060" t="str">
        <f t="shared" si="17"/>
        <v>N/A</v>
      </c>
      <c r="O477" s="3057"/>
      <c r="P477" s="3055" t="str">
        <f>IF($D477="Logistics",VLOOKUP($O477,'Upper Hot Cell Logistics'!$C$4:$D$44,2,FALSE),"N/A")</f>
        <v>N/A</v>
      </c>
    </row>
    <row r="478" spans="1:16" x14ac:dyDescent="0.4">
      <c r="A478" s="3128"/>
      <c r="B478" s="4054" t="s">
        <v>871</v>
      </c>
      <c r="C478" s="3042" t="str">
        <f>'Upper Hot Cell Welding failures'!E389</f>
        <v>Install COB Blanket Segment</v>
      </c>
      <c r="D478" s="3042" t="s">
        <v>907</v>
      </c>
      <c r="E478" s="3043">
        <f t="shared" si="16"/>
        <v>0</v>
      </c>
      <c r="F478" s="3044">
        <f>IF($D478="Trigger",VLOOKUP($C478,'Upper Hot Cell Welding failures'!$E$366:$I$395,5,FALSE),E478+F477)</f>
        <v>56.982693309494536</v>
      </c>
      <c r="G478" s="3045"/>
      <c r="H478" s="3044" t="str">
        <f>IF(D478="operation",VLOOKUP(G478,'Generic Vertical Port Tasks'!$C$6:$D$558,2,FALSE),"N/A")</f>
        <v>N/A</v>
      </c>
      <c r="I478" s="3042"/>
      <c r="J478" s="3042"/>
      <c r="K478" s="3042"/>
      <c r="L478" s="3043" t="str">
        <f>IFERROR(INDEX('Upper Hot Cell Logistics'!$I$35:$O$41,MATCH($J478,'Upper Hot Cell Logistics'!$H$35:$H$41,0),MATCH($K478,'Upper Hot Cell Logistics'!$H$35:$H$41,0)),"N/A")</f>
        <v>N/A</v>
      </c>
      <c r="M478" s="3043" t="str">
        <f>IFERROR(VLOOKUP($I478,'Upper Hot Cell Logistics'!$H$4:$I$9,2,FALSE),"N/A")</f>
        <v>N/A</v>
      </c>
      <c r="N478" s="3061" t="str">
        <f t="shared" si="17"/>
        <v>N/A</v>
      </c>
      <c r="O478" s="3048"/>
      <c r="P478" s="3044" t="str">
        <f>IF($D478="Logistics",VLOOKUP($O478,'Upper Hot Cell Logistics'!$C$4:$D$44,2,FALSE),"N/A")</f>
        <v>N/A</v>
      </c>
    </row>
    <row r="479" spans="1:16" x14ac:dyDescent="0.4">
      <c r="A479" s="3128"/>
      <c r="B479" s="4055"/>
      <c r="C479" s="3049" t="s">
        <v>913</v>
      </c>
      <c r="D479" s="3049" t="s">
        <v>778</v>
      </c>
      <c r="E479" s="3047">
        <f t="shared" si="16"/>
        <v>0.69444444444444442</v>
      </c>
      <c r="F479" s="3046">
        <f>IF($D479="Trigger",VLOOKUP($C479,'Upper Hot Cell Welding failures'!$E$366:$I$395,5,FALSE),E479+F478)</f>
        <v>57.677137753938979</v>
      </c>
      <c r="G479" s="3050"/>
      <c r="H479" s="3046" t="str">
        <f>IF(D479="operation",VLOOKUP(G479,'Generic Vertical Port Tasks'!$C$6:$D$558,2,FALSE),"N/A")</f>
        <v>N/A</v>
      </c>
      <c r="I479" s="3049" t="s">
        <v>857</v>
      </c>
      <c r="J479" s="3049" t="s">
        <v>452</v>
      </c>
      <c r="K479" s="3049" t="s">
        <v>914</v>
      </c>
      <c r="L479" s="3047">
        <f>IFERROR(INDEX('Upper Hot Cell Logistics'!$I$35:$O$41,MATCH($J479,'Upper Hot Cell Logistics'!$H$35:$H$41,0),MATCH($K479,'Upper Hot Cell Logistics'!$H$35:$H$41,0)),"N/A")</f>
        <v>50</v>
      </c>
      <c r="M479" s="3047">
        <f>IFERROR(VLOOKUP($I479,'Upper Hot Cell Logistics'!$H$4:$I$9,2,FALSE),"N/A")</f>
        <v>0.02</v>
      </c>
      <c r="N479" s="3059">
        <f t="shared" si="17"/>
        <v>0.69444444444444442</v>
      </c>
      <c r="O479" s="3051"/>
      <c r="P479" s="3046" t="str">
        <f>IF($D479="Logistics",VLOOKUP($O479,'Upper Hot Cell Logistics'!$C$4:$D$44,2,FALSE),"N/A")</f>
        <v>N/A</v>
      </c>
    </row>
    <row r="480" spans="1:16" x14ac:dyDescent="0.4">
      <c r="A480" s="3128"/>
      <c r="B480" s="4055"/>
      <c r="C480" s="3049" t="s">
        <v>973</v>
      </c>
      <c r="D480" s="3049" t="s">
        <v>3</v>
      </c>
      <c r="E480" s="3047">
        <f t="shared" si="16"/>
        <v>0.68</v>
      </c>
      <c r="F480" s="3046">
        <f>IF($D480="Trigger",VLOOKUP($C480,'Upper Hot Cell Welding failures'!$E$366:$I$395,5,FALSE),E480+F479)</f>
        <v>58.357137753938979</v>
      </c>
      <c r="G480" s="3050"/>
      <c r="H480" s="3046" t="str">
        <f>IF(D480="operation",VLOOKUP(G480,'Generic Vertical Port Tasks'!$C$6:$D$558,2,FALSE),"N/A")</f>
        <v>N/A</v>
      </c>
      <c r="I480" s="3049"/>
      <c r="J480" s="3049"/>
      <c r="K480" s="3049"/>
      <c r="L480" s="3047" t="str">
        <f>IFERROR(INDEX('Upper Hot Cell Logistics'!$I$35:$O$41,MATCH($J480,'Upper Hot Cell Logistics'!$H$35:$H$41,0),MATCH($K480,'Upper Hot Cell Logistics'!$H$35:$H$41,0)),"N/A")</f>
        <v>N/A</v>
      </c>
      <c r="M480" s="3047" t="str">
        <f>IFERROR(VLOOKUP($I480,'Upper Hot Cell Logistics'!$H$4:$I$9,2,FALSE),"N/A")</f>
        <v>N/A</v>
      </c>
      <c r="N480" s="3059" t="str">
        <f t="shared" si="17"/>
        <v>N/A</v>
      </c>
      <c r="O480" s="3051" t="s">
        <v>1190</v>
      </c>
      <c r="P480" s="3046">
        <f>IF($D480="Logistics",VLOOKUP($O480,'Upper Hot Cell Logistics'!$C$4:$D$44,2,FALSE),"N/A")</f>
        <v>0.68</v>
      </c>
    </row>
    <row r="481" spans="1:16" x14ac:dyDescent="0.4">
      <c r="A481" s="3128"/>
      <c r="B481" s="4055"/>
      <c r="C481" s="3049" t="s">
        <v>976</v>
      </c>
      <c r="D481" s="3049" t="s">
        <v>778</v>
      </c>
      <c r="E481" s="3047">
        <f t="shared" si="16"/>
        <v>1.3888888888888888E-2</v>
      </c>
      <c r="F481" s="3046">
        <f>IF($D481="Trigger",VLOOKUP($C481,'Upper Hot Cell Welding failures'!$E$366:$I$395,5,FALSE),E481+F480)</f>
        <v>58.371026642827864</v>
      </c>
      <c r="G481" s="3050"/>
      <c r="H481" s="3046" t="str">
        <f>IF(D481="operation",VLOOKUP(G481,'Generic Vertical Port Tasks'!$C$6:$D$558,2,FALSE),"N/A")</f>
        <v>N/A</v>
      </c>
      <c r="I481" s="3049" t="s">
        <v>798</v>
      </c>
      <c r="J481" s="3049" t="s">
        <v>831</v>
      </c>
      <c r="K481" s="3049" t="s">
        <v>858</v>
      </c>
      <c r="L481" s="3047">
        <f>IFERROR(INDEX('Upper Hot Cell Logistics'!$I$35:$O$41,MATCH($J481,'Upper Hot Cell Logistics'!$H$35:$H$41,0),MATCH($K481,'Upper Hot Cell Logistics'!$H$35:$H$41,0)),"N/A")</f>
        <v>10</v>
      </c>
      <c r="M481" s="3047">
        <f>IFERROR(VLOOKUP($I481,'Upper Hot Cell Logistics'!$H$4:$I$9,2,FALSE),"N/A")</f>
        <v>0.2</v>
      </c>
      <c r="N481" s="3059">
        <f t="shared" si="17"/>
        <v>1.3888888888888888E-2</v>
      </c>
      <c r="O481" s="3051"/>
      <c r="P481" s="3046" t="str">
        <f>IF($D481="Logistics",VLOOKUP($O481,'Upper Hot Cell Logistics'!$C$4:$D$44,2,FALSE),"N/A")</f>
        <v>N/A</v>
      </c>
    </row>
    <row r="482" spans="1:16" x14ac:dyDescent="0.4">
      <c r="A482" s="3128"/>
      <c r="B482" s="4055"/>
      <c r="C482" s="3049" t="s">
        <v>933</v>
      </c>
      <c r="D482" s="3049" t="s">
        <v>3</v>
      </c>
      <c r="E482" s="3047">
        <f t="shared" si="16"/>
        <v>1.08</v>
      </c>
      <c r="F482" s="3046">
        <f>IF($D482="Trigger",VLOOKUP($C482,'Upper Hot Cell Welding failures'!$E$366:$I$395,5,FALSE),E482+F481)</f>
        <v>59.451026642827863</v>
      </c>
      <c r="G482" s="3050"/>
      <c r="H482" s="3046" t="str">
        <f>IF(D482="operation",VLOOKUP(G482,'Generic Vertical Port Tasks'!$C$6:$D$558,2,FALSE),"N/A")</f>
        <v>N/A</v>
      </c>
      <c r="I482" s="3049"/>
      <c r="J482" s="3049"/>
      <c r="K482" s="3049"/>
      <c r="L482" s="3047" t="str">
        <f>IFERROR(INDEX('Upper Hot Cell Logistics'!$I$35:$O$41,MATCH($J482,'Upper Hot Cell Logistics'!$H$35:$H$41,0),MATCH($K482,'Upper Hot Cell Logistics'!$H$35:$H$41,0)),"N/A")</f>
        <v>N/A</v>
      </c>
      <c r="M482" s="3047" t="str">
        <f>IFERROR(VLOOKUP($I482,'Upper Hot Cell Logistics'!$H$4:$I$9,2,FALSE),"N/A")</f>
        <v>N/A</v>
      </c>
      <c r="N482" s="3059" t="str">
        <f t="shared" si="17"/>
        <v>N/A</v>
      </c>
      <c r="O482" s="3051" t="s">
        <v>1179</v>
      </c>
      <c r="P482" s="3046">
        <f>IF($D482="Logistics",VLOOKUP($O482,'Upper Hot Cell Logistics'!$C$4:$D$44,2,FALSE),"N/A")</f>
        <v>1.08</v>
      </c>
    </row>
    <row r="483" spans="1:16" ht="13.3" thickBot="1" x14ac:dyDescent="0.45">
      <c r="A483" s="3128"/>
      <c r="B483" s="4057"/>
      <c r="C483" s="3053" t="str">
        <f>B478</f>
        <v>Blanket Transporter stored &amp; Service Joint System Collected</v>
      </c>
      <c r="D483" s="3053" t="s">
        <v>11</v>
      </c>
      <c r="E483" s="3054">
        <f t="shared" si="16"/>
        <v>0</v>
      </c>
      <c r="F483" s="3046">
        <f>IF($D483="Trigger",VLOOKUP($C483,'Upper Hot Cell Welding failures'!$E$366:$I$395,5,FALSE),E483+F482)</f>
        <v>59.451026642827863</v>
      </c>
      <c r="G483" s="3056"/>
      <c r="H483" s="3055" t="str">
        <f>IF(D483="operation",VLOOKUP(G483,'Generic Vertical Port Tasks'!$C$6:$D$558,2,FALSE),"N/A")</f>
        <v>N/A</v>
      </c>
      <c r="I483" s="3053"/>
      <c r="J483" s="3053"/>
      <c r="K483" s="3053"/>
      <c r="L483" s="3054" t="str">
        <f>IFERROR(INDEX('Upper Hot Cell Logistics'!$I$35:$O$41,MATCH($J483,'Upper Hot Cell Logistics'!$H$35:$H$41,0),MATCH($K483,'Upper Hot Cell Logistics'!$H$35:$H$41,0)),"N/A")</f>
        <v>N/A</v>
      </c>
      <c r="M483" s="3054" t="str">
        <f>IFERROR(VLOOKUP($I483,'Upper Hot Cell Logistics'!$H$4:$I$9,2,FALSE),"N/A")</f>
        <v>N/A</v>
      </c>
      <c r="N483" s="3060" t="str">
        <f t="shared" si="17"/>
        <v>N/A</v>
      </c>
      <c r="O483" s="3057"/>
      <c r="P483" s="3055" t="str">
        <f>IF($D483="Logistics",VLOOKUP($O483,'Upper Hot Cell Logistics'!$C$4:$D$44,2,FALSE),"N/A")</f>
        <v>N/A</v>
      </c>
    </row>
    <row r="484" spans="1:16" ht="12.75" customHeight="1" x14ac:dyDescent="0.4">
      <c r="A484" s="3128"/>
      <c r="B484" s="4061" t="s">
        <v>1201</v>
      </c>
      <c r="C484" s="3042" t="s">
        <v>1181</v>
      </c>
      <c r="D484" s="3042" t="s">
        <v>907</v>
      </c>
      <c r="E484" s="3043">
        <f t="shared" si="16"/>
        <v>0</v>
      </c>
      <c r="F484" s="3044" t="e">
        <f>IF($D484="Trigger",VLOOKUP("*"&amp;$C484&amp;"*",#REF!,4,FALSE),E484+F480)</f>
        <v>#REF!</v>
      </c>
      <c r="G484" s="3045"/>
      <c r="H484" s="3067" t="str">
        <f>IF(D484="operation",VLOOKUP(G484,'Upper Hot Cell Welding failures'!E485:I562,5,FALSE), "N/A")</f>
        <v>N/A</v>
      </c>
      <c r="I484" s="3042"/>
      <c r="J484" s="3042"/>
      <c r="K484" s="3042"/>
      <c r="L484" s="3043" t="str">
        <f>IFERROR(INDEX(#REF!,MATCH($J484,#REF!,0),MATCH($K484,#REF!,0)),"N/A")</f>
        <v>N/A</v>
      </c>
      <c r="M484" s="3043" t="str">
        <f>IFERROR(VLOOKUP($I484,#REF!,2,FALSE),"N/A")</f>
        <v>N/A</v>
      </c>
      <c r="N484" s="3043" t="str">
        <f>IF(D484="Movement",IFERROR((L484/M484)/(60*60),"Error"),"N/A")</f>
        <v>N/A</v>
      </c>
      <c r="O484" s="3048"/>
      <c r="P484" s="3044" t="str">
        <f>IF($D484="Logistics",VLOOKUP($O484,#REF!,2,FALSE),"N/A")</f>
        <v>N/A</v>
      </c>
    </row>
    <row r="485" spans="1:16" ht="12.75" customHeight="1" x14ac:dyDescent="0.4">
      <c r="A485" s="3128"/>
      <c r="B485" s="4062"/>
      <c r="C485" s="3049" t="s">
        <v>1182</v>
      </c>
      <c r="D485" s="3049" t="s">
        <v>251</v>
      </c>
      <c r="E485" s="3047" t="e">
        <f>MAX($P485,$N485,$H485)</f>
        <v>#REF!</v>
      </c>
      <c r="F485" s="3046" t="e">
        <f>IF($D485="Trigger",VLOOKUP("*"&amp;$C485&amp;"*",#REF!,4,FALSE),E485+F484)</f>
        <v>#REF!</v>
      </c>
      <c r="G485" s="3050" t="s">
        <v>1202</v>
      </c>
      <c r="H485" s="3046" t="e">
        <f>IF(D485="operation",VLOOKUP(G485,#REF!,4,FALSE), "N/A")</f>
        <v>#REF!</v>
      </c>
      <c r="I485" s="3049"/>
      <c r="J485" s="3049"/>
      <c r="K485" s="3049"/>
      <c r="L485" s="3047" t="str">
        <f>IFERROR(INDEX(#REF!,MATCH($J485,#REF!,0),MATCH($K485,#REF!,0)),"N/A")</f>
        <v>N/A</v>
      </c>
      <c r="M485" s="3047" t="str">
        <f>IFERROR(VLOOKUP($I485,#REF!,2,FALSE),"N/A")</f>
        <v>N/A</v>
      </c>
      <c r="N485" s="3047" t="str">
        <f>IF(D485="Movement",IFERROR((L485/M485)/(60*60),"Error"),"N/A")</f>
        <v>N/A</v>
      </c>
      <c r="O485" s="3051"/>
      <c r="P485" s="3046" t="str">
        <f>IF($D485="Logistics",VLOOKUP($O485,#REF!,2,FALSE),"N/A")</f>
        <v>N/A</v>
      </c>
    </row>
    <row r="486" spans="1:16" ht="13.5" customHeight="1" thickBot="1" x14ac:dyDescent="0.45">
      <c r="A486" s="3128"/>
      <c r="B486" s="4063"/>
      <c r="C486" s="3053" t="str">
        <f>B484</f>
        <v>RIB Inner Port Pipe Module installed</v>
      </c>
      <c r="D486" s="3053" t="s">
        <v>11</v>
      </c>
      <c r="E486" s="3054">
        <f>MAX($P486,$N486,$H486)</f>
        <v>0</v>
      </c>
      <c r="F486" s="3055" t="e">
        <f>IF($D486="Trigger",VLOOKUP("*"&amp;$C486&amp;"*",#REF!,4,FALSE),E486+F485)</f>
        <v>#REF!</v>
      </c>
      <c r="G486" s="3056"/>
      <c r="H486" s="3055" t="str">
        <f>IF(D486="operation",VLOOKUP(G486,#REF!,5,FALSE), "N/A")</f>
        <v>N/A</v>
      </c>
      <c r="I486" s="3053"/>
      <c r="J486" s="3053"/>
      <c r="K486" s="3053"/>
      <c r="L486" s="3054" t="str">
        <f>IFERROR(INDEX(#REF!,MATCH($J486,#REF!,0),MATCH($K486,#REF!,0)),"N/A")</f>
        <v>N/A</v>
      </c>
      <c r="M486" s="3054" t="str">
        <f>IFERROR(VLOOKUP($I486,#REF!,2,FALSE),"N/A")</f>
        <v>N/A</v>
      </c>
      <c r="N486" s="3054" t="str">
        <f>IF(D486="Movement",IFERROR((L486/M486)/(60*60),"Error"),"N/A")</f>
        <v>N/A</v>
      </c>
      <c r="O486" s="3057"/>
      <c r="P486" s="3055" t="str">
        <f>IF($D486="Logistics",VLOOKUP($O486,#REF!,2,FALSE),"N/A")</f>
        <v>N/A</v>
      </c>
    </row>
    <row r="487" spans="1:16" ht="12.75" customHeight="1" x14ac:dyDescent="0.4">
      <c r="A487" s="3128"/>
      <c r="B487" s="4061" t="s">
        <v>1087</v>
      </c>
      <c r="C487" s="3042" t="s">
        <v>1181</v>
      </c>
      <c r="D487" s="3042" t="s">
        <v>907</v>
      </c>
      <c r="E487" s="3043">
        <f>MAX($P487,$N487,$H487)</f>
        <v>0</v>
      </c>
      <c r="F487" s="3044" t="e">
        <f>IF($D487="Trigger",VLOOKUP("*"&amp;$C487&amp;"*",#REF!,4,FALSE),E487+F483)</f>
        <v>#REF!</v>
      </c>
      <c r="G487" s="3045"/>
      <c r="H487" s="3067" t="str">
        <f>IF(D487="operation",VLOOKUP(G487,'Upper Hot Cell Welding failures'!E488:I565,5,FALSE), "N/A")</f>
        <v>N/A</v>
      </c>
      <c r="I487" s="3042"/>
      <c r="J487" s="3042"/>
      <c r="K487" s="3042"/>
      <c r="L487" s="3043" t="str">
        <f>IFERROR(INDEX(#REF!,MATCH($J487,#REF!,0),MATCH($K487,#REF!,0)),"N/A")</f>
        <v>N/A</v>
      </c>
      <c r="M487" s="3043" t="str">
        <f>IFERROR(VLOOKUP($I487,#REF!,2,FALSE),"N/A")</f>
        <v>N/A</v>
      </c>
      <c r="N487" s="3043" t="str">
        <f t="shared" si="17"/>
        <v>N/A</v>
      </c>
      <c r="O487" s="3048"/>
      <c r="P487" s="3044" t="str">
        <f>IF($D487="Logistics",VLOOKUP($O487,#REF!,2,FALSE),"N/A")</f>
        <v>N/A</v>
      </c>
    </row>
    <row r="488" spans="1:16" ht="12.75" customHeight="1" x14ac:dyDescent="0.4">
      <c r="A488" s="3128"/>
      <c r="B488" s="4062"/>
      <c r="C488" s="3049" t="s">
        <v>1182</v>
      </c>
      <c r="D488" s="3049" t="s">
        <v>251</v>
      </c>
      <c r="E488" s="3047" t="e">
        <f>MAX($P488,$N488,$H488)</f>
        <v>#REF!</v>
      </c>
      <c r="F488" s="3046" t="e">
        <f>IF($D488="Trigger",VLOOKUP("*"&amp;$C488&amp;"*",#REF!,4,FALSE),E488+F484)</f>
        <v>#REF!</v>
      </c>
      <c r="G488" s="3050" t="s">
        <v>1183</v>
      </c>
      <c r="H488" s="3046" t="e">
        <f>IF(D488="operation",VLOOKUP(G488,#REF!,4,FALSE), "N/A")</f>
        <v>#REF!</v>
      </c>
      <c r="I488" s="3049"/>
      <c r="J488" s="3049"/>
      <c r="K488" s="3049"/>
      <c r="L488" s="3047" t="str">
        <f>IFERROR(INDEX(#REF!,MATCH($J488,#REF!,0),MATCH($K488,#REF!,0)),"N/A")</f>
        <v>N/A</v>
      </c>
      <c r="M488" s="3047" t="str">
        <f>IFERROR(VLOOKUP($I488,#REF!,2,FALSE),"N/A")</f>
        <v>N/A</v>
      </c>
      <c r="N488" s="3047" t="str">
        <f>IF(D488="Movement",IFERROR((L488/M488)/(60*60),"Error"),"N/A")</f>
        <v>N/A</v>
      </c>
      <c r="O488" s="3051"/>
      <c r="P488" s="3046" t="str">
        <f>IF($D488="Logistics",VLOOKUP($O488,#REF!,2,FALSE),"N/A")</f>
        <v>N/A</v>
      </c>
    </row>
    <row r="489" spans="1:16" ht="13.5" customHeight="1" thickBot="1" x14ac:dyDescent="0.45">
      <c r="A489" s="3128"/>
      <c r="B489" s="4063"/>
      <c r="C489" s="3053" t="str">
        <f>B487</f>
        <v>RIB Lower Port Pipe Module installed</v>
      </c>
      <c r="D489" s="3053" t="s">
        <v>11</v>
      </c>
      <c r="E489" s="3054">
        <f>MAX($P489,$N489,$H489)</f>
        <v>0</v>
      </c>
      <c r="F489" s="3055" t="e">
        <f>IF($D489="Trigger",VLOOKUP("*"&amp;$C489&amp;"*",#REF!,4,FALSE),E489+F485)</f>
        <v>#REF!</v>
      </c>
      <c r="G489" s="3056"/>
      <c r="H489" s="3055" t="str">
        <f>IF(D489="operation",VLOOKUP(G489,#REF!,5,FALSE), "N/A")</f>
        <v>N/A</v>
      </c>
      <c r="I489" s="3053"/>
      <c r="J489" s="3053"/>
      <c r="K489" s="3053"/>
      <c r="L489" s="3054" t="str">
        <f>IFERROR(INDEX(#REF!,MATCH($J489,#REF!,0),MATCH($K489,#REF!,0)),"N/A")</f>
        <v>N/A</v>
      </c>
      <c r="M489" s="3054" t="str">
        <f>IFERROR(VLOOKUP($I489,#REF!,2,FALSE),"N/A")</f>
        <v>N/A</v>
      </c>
      <c r="N489" s="3054" t="str">
        <f>IF(D489="Movement",IFERROR((L489/M489)/(60*60),"Error"),"N/A")</f>
        <v>N/A</v>
      </c>
      <c r="O489" s="3057"/>
      <c r="P489" s="3055" t="str">
        <f>IF($D489="Logistics",VLOOKUP($O489,#REF!,2,FALSE),"N/A")</f>
        <v>N/A</v>
      </c>
    </row>
    <row r="490" spans="1:16" ht="13.3" thickBot="1" x14ac:dyDescent="0.45">
      <c r="A490" s="3129"/>
      <c r="B490" s="3130"/>
      <c r="C490" s="3131"/>
      <c r="D490" s="3131"/>
      <c r="E490" s="3131"/>
      <c r="F490" s="3131"/>
      <c r="G490" s="3131"/>
      <c r="H490" s="3132"/>
      <c r="I490" s="3131"/>
      <c r="J490" s="3131"/>
      <c r="K490" s="3131"/>
      <c r="L490" s="3133"/>
      <c r="M490" s="3133"/>
      <c r="N490" s="3133"/>
      <c r="O490" s="3131"/>
      <c r="P490" s="3134"/>
    </row>
  </sheetData>
  <autoFilter ref="B3:P4"/>
  <customSheetViews>
    <customSheetView guid="{9C0AA20B-B2A2-4A2C-B279-4A5988F4E71A}" showAutoFilter="1" hiddenRows="1" state="hidden">
      <selection activeCell="H129" sqref="H129"/>
      <pageMargins left="0.7" right="0.7" top="0.75" bottom="0.75" header="0.3" footer="0.3"/>
      <autoFilter ref="B3:P3"/>
    </customSheetView>
  </customSheetViews>
  <mergeCells count="101">
    <mergeCell ref="B484:B486"/>
    <mergeCell ref="B487:B489"/>
    <mergeCell ref="B452:B457"/>
    <mergeCell ref="B458:B461"/>
    <mergeCell ref="B462:B465"/>
    <mergeCell ref="B466:B469"/>
    <mergeCell ref="B470:B477"/>
    <mergeCell ref="B478:B483"/>
    <mergeCell ref="B448:B451"/>
    <mergeCell ref="B440:B443"/>
    <mergeCell ref="B444:B447"/>
    <mergeCell ref="B386:B389"/>
    <mergeCell ref="B330:B333"/>
    <mergeCell ref="B334:B336"/>
    <mergeCell ref="B340:B344"/>
    <mergeCell ref="B345:B350"/>
    <mergeCell ref="B351:B359"/>
    <mergeCell ref="B360:B363"/>
    <mergeCell ref="B364:B367"/>
    <mergeCell ref="B368:B371"/>
    <mergeCell ref="B372:B375"/>
    <mergeCell ref="B376:B381"/>
    <mergeCell ref="B382:B385"/>
    <mergeCell ref="B390:B393"/>
    <mergeCell ref="B394:B401"/>
    <mergeCell ref="B402:B407"/>
    <mergeCell ref="B408:B411"/>
    <mergeCell ref="B412:B414"/>
    <mergeCell ref="B415:B417"/>
    <mergeCell ref="B421:B426"/>
    <mergeCell ref="B427:B435"/>
    <mergeCell ref="B436:B439"/>
    <mergeCell ref="B326:B329"/>
    <mergeCell ref="B274:B277"/>
    <mergeCell ref="B278:B281"/>
    <mergeCell ref="B282:B285"/>
    <mergeCell ref="B286:B289"/>
    <mergeCell ref="B290:B295"/>
    <mergeCell ref="B296:B299"/>
    <mergeCell ref="B300:B303"/>
    <mergeCell ref="B304:B307"/>
    <mergeCell ref="B308:B315"/>
    <mergeCell ref="B316:B321"/>
    <mergeCell ref="B322:B325"/>
    <mergeCell ref="B265:B273"/>
    <mergeCell ref="B197:B200"/>
    <mergeCell ref="B201:B208"/>
    <mergeCell ref="B209:B214"/>
    <mergeCell ref="B215:B218"/>
    <mergeCell ref="B219:B222"/>
    <mergeCell ref="B223:B226"/>
    <mergeCell ref="B236:B238"/>
    <mergeCell ref="B242:B248"/>
    <mergeCell ref="B249:B253"/>
    <mergeCell ref="B254:B258"/>
    <mergeCell ref="B259:B264"/>
    <mergeCell ref="B233:B235"/>
    <mergeCell ref="B230:B232"/>
    <mergeCell ref="B227:B229"/>
    <mergeCell ref="B193:B196"/>
    <mergeCell ref="B137:B141"/>
    <mergeCell ref="B142:B146"/>
    <mergeCell ref="B147:B151"/>
    <mergeCell ref="B152:B157"/>
    <mergeCell ref="B158:B166"/>
    <mergeCell ref="B167:B170"/>
    <mergeCell ref="B171:B174"/>
    <mergeCell ref="B175:B178"/>
    <mergeCell ref="B179:B182"/>
    <mergeCell ref="B183:B188"/>
    <mergeCell ref="B189:B192"/>
    <mergeCell ref="B130:B136"/>
    <mergeCell ref="B82:B89"/>
    <mergeCell ref="B90:B95"/>
    <mergeCell ref="B96:B99"/>
    <mergeCell ref="B100:B103"/>
    <mergeCell ref="B104:B107"/>
    <mergeCell ref="B108:B111"/>
    <mergeCell ref="B112:B114"/>
    <mergeCell ref="B115:B117"/>
    <mergeCell ref="B118:B120"/>
    <mergeCell ref="B121:B123"/>
    <mergeCell ref="B124:B126"/>
    <mergeCell ref="B18:B22"/>
    <mergeCell ref="G2:H2"/>
    <mergeCell ref="I2:N2"/>
    <mergeCell ref="O2:P2"/>
    <mergeCell ref="B6:B12"/>
    <mergeCell ref="B13:B17"/>
    <mergeCell ref="B78:B81"/>
    <mergeCell ref="B23:B27"/>
    <mergeCell ref="B28:B32"/>
    <mergeCell ref="B33:B38"/>
    <mergeCell ref="B39:B47"/>
    <mergeCell ref="B48:B51"/>
    <mergeCell ref="B52:B55"/>
    <mergeCell ref="B56:B59"/>
    <mergeCell ref="B60:B63"/>
    <mergeCell ref="B64:B69"/>
    <mergeCell ref="B70:B73"/>
    <mergeCell ref="B74:B77"/>
  </mergeCells>
  <conditionalFormatting sqref="D1:D1048576">
    <cfRule type="cellIs" dxfId="3" priority="1" operator="equal">
      <formula>"Total"</formula>
    </cfRule>
    <cfRule type="cellIs" dxfId="2" priority="95" stopIfTrue="1" operator="equal">
      <formula>"Operation"</formula>
    </cfRule>
  </conditionalFormatting>
  <conditionalFormatting sqref="A4:XFD490">
    <cfRule type="cellIs" dxfId="1" priority="94" stopIfTrue="1" operator="equal">
      <formula>"N/A"</formula>
    </cfRule>
  </conditionalFormatting>
  <conditionalFormatting sqref="C1:D1048576">
    <cfRule type="cellIs" dxfId="0" priority="93" stopIfTrue="1" operator="equal">
      <formula>"Trigger"</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34998626667073579"/>
  </sheetPr>
  <dimension ref="B2:J79"/>
  <sheetViews>
    <sheetView topLeftCell="A24" workbookViewId="0"/>
  </sheetViews>
  <sheetFormatPr defaultRowHeight="14.6" x14ac:dyDescent="0.4"/>
  <cols>
    <col min="1" max="1" width="3.53515625" customWidth="1"/>
    <col min="2" max="2" width="24.84375" style="29" bestFit="1" customWidth="1"/>
    <col min="3" max="3" width="11.3046875" bestFit="1" customWidth="1"/>
    <col min="4" max="4" width="22.3046875" bestFit="1" customWidth="1"/>
    <col min="5" max="5" width="21.84375" bestFit="1" customWidth="1"/>
    <col min="6" max="6" width="14.3828125" bestFit="1" customWidth="1"/>
    <col min="7" max="7" width="20.84375" bestFit="1" customWidth="1"/>
    <col min="8" max="8" width="18.84375" bestFit="1" customWidth="1"/>
    <col min="9" max="9" width="34.53515625" bestFit="1" customWidth="1"/>
    <col min="10" max="10" width="31.84375" bestFit="1" customWidth="1"/>
  </cols>
  <sheetData>
    <row r="2" spans="2:10" x14ac:dyDescent="0.4">
      <c r="B2" s="4064" t="s">
        <v>241</v>
      </c>
      <c r="C2" s="4064"/>
      <c r="D2" s="4064"/>
      <c r="E2" s="4064"/>
      <c r="F2" s="4064"/>
      <c r="G2" s="4064"/>
      <c r="H2" s="4064"/>
      <c r="I2" s="4064"/>
    </row>
    <row r="3" spans="2:10" ht="15" thickBot="1" x14ac:dyDescent="0.45">
      <c r="B3" s="4065"/>
      <c r="C3" s="4065"/>
      <c r="D3" s="4065"/>
      <c r="E3" s="4065"/>
      <c r="F3" s="4065"/>
      <c r="G3" s="4065"/>
      <c r="H3" s="4065"/>
      <c r="I3" s="4065"/>
    </row>
    <row r="4" spans="2:10" ht="16.3" thickBot="1" x14ac:dyDescent="0.45">
      <c r="B4" s="43" t="s">
        <v>2</v>
      </c>
      <c r="C4" s="44" t="s">
        <v>34</v>
      </c>
      <c r="D4" s="45" t="s">
        <v>224</v>
      </c>
      <c r="E4" s="45" t="s">
        <v>225</v>
      </c>
      <c r="F4" s="45" t="s">
        <v>226</v>
      </c>
      <c r="G4" s="45" t="s">
        <v>227</v>
      </c>
      <c r="H4" s="45" t="s">
        <v>228</v>
      </c>
      <c r="I4" s="46" t="s">
        <v>229</v>
      </c>
      <c r="J4" s="78" t="s">
        <v>246</v>
      </c>
    </row>
    <row r="5" spans="2:10" x14ac:dyDescent="0.4">
      <c r="B5" s="3975" t="s">
        <v>230</v>
      </c>
      <c r="C5" s="20" t="s">
        <v>235</v>
      </c>
      <c r="D5" s="47">
        <v>1300</v>
      </c>
      <c r="E5" s="48">
        <v>1310</v>
      </c>
      <c r="F5" s="48">
        <v>1420</v>
      </c>
      <c r="G5" s="48">
        <v>1410</v>
      </c>
      <c r="H5" s="48">
        <v>1270</v>
      </c>
      <c r="I5" s="49">
        <v>1410</v>
      </c>
      <c r="J5" s="49">
        <f>SUM(E5:I5)/COUNT(E5:I5)</f>
        <v>1364</v>
      </c>
    </row>
    <row r="6" spans="2:10" x14ac:dyDescent="0.4">
      <c r="B6" s="3976"/>
      <c r="C6" s="50" t="s">
        <v>236</v>
      </c>
      <c r="D6" s="51">
        <v>6.3200000000000001E-3</v>
      </c>
      <c r="E6" s="52">
        <v>6.2899999999999996E-3</v>
      </c>
      <c r="F6" s="52">
        <v>6.9300000000000004E-3</v>
      </c>
      <c r="G6" s="52">
        <v>6.8300000000000001E-3</v>
      </c>
      <c r="H6" s="52">
        <v>6.1000000000000004E-3</v>
      </c>
      <c r="I6" s="53">
        <v>6.7999999999999996E-3</v>
      </c>
      <c r="J6" s="53">
        <f t="shared" ref="J6:J32" si="0">SUM(E6:I6)/COUNT(E6:I6)</f>
        <v>6.5900000000000004E-3</v>
      </c>
    </row>
    <row r="7" spans="2:10" x14ac:dyDescent="0.4">
      <c r="B7" s="3976"/>
      <c r="C7" s="50" t="s">
        <v>237</v>
      </c>
      <c r="D7" s="51">
        <v>4.5300000000000002E-3</v>
      </c>
      <c r="E7" s="52">
        <v>4.5100000000000001E-3</v>
      </c>
      <c r="F7" s="52">
        <v>4.9300000000000004E-3</v>
      </c>
      <c r="G7" s="52">
        <v>4.8700000000000002E-3</v>
      </c>
      <c r="H7" s="52">
        <v>4.3699999999999998E-3</v>
      </c>
      <c r="I7" s="53">
        <v>4.8500000000000001E-3</v>
      </c>
      <c r="J7" s="53">
        <f t="shared" si="0"/>
        <v>4.7060000000000001E-3</v>
      </c>
    </row>
    <row r="8" spans="2:10" x14ac:dyDescent="0.4">
      <c r="B8" s="3976"/>
      <c r="C8" s="50" t="s">
        <v>238</v>
      </c>
      <c r="D8" s="51">
        <v>3.14E-3</v>
      </c>
      <c r="E8" s="52">
        <v>3.13E-3</v>
      </c>
      <c r="F8" s="52">
        <v>3.46E-3</v>
      </c>
      <c r="G8" s="52">
        <v>3.4099999999999998E-3</v>
      </c>
      <c r="H8" s="52">
        <v>3.0300000000000001E-3</v>
      </c>
      <c r="I8" s="53">
        <v>3.3899999999999998E-3</v>
      </c>
      <c r="J8" s="53">
        <f t="shared" si="0"/>
        <v>3.284E-3</v>
      </c>
    </row>
    <row r="9" spans="2:10" x14ac:dyDescent="0.4">
      <c r="B9" s="3976"/>
      <c r="C9" s="50" t="s">
        <v>239</v>
      </c>
      <c r="D9" s="54">
        <v>27.06</v>
      </c>
      <c r="E9" s="55">
        <v>27.187999999999999</v>
      </c>
      <c r="F9" s="55">
        <v>30.82</v>
      </c>
      <c r="G9" s="55">
        <v>30.428999999999998</v>
      </c>
      <c r="H9" s="55">
        <v>26.315000000000001</v>
      </c>
      <c r="I9" s="56">
        <v>30.225999999999999</v>
      </c>
      <c r="J9" s="56">
        <f t="shared" si="0"/>
        <v>28.995600000000003</v>
      </c>
    </row>
    <row r="10" spans="2:10" x14ac:dyDescent="0.4">
      <c r="B10" s="3976"/>
      <c r="C10" s="50" t="s">
        <v>233</v>
      </c>
      <c r="D10" s="54">
        <v>16.681999999999999</v>
      </c>
      <c r="E10" s="55">
        <v>16.741</v>
      </c>
      <c r="F10" s="55">
        <v>18.911999999999999</v>
      </c>
      <c r="G10" s="55">
        <v>18.686</v>
      </c>
      <c r="H10" s="55">
        <v>16.209</v>
      </c>
      <c r="I10" s="56">
        <v>18.550999999999998</v>
      </c>
      <c r="J10" s="56">
        <f t="shared" si="0"/>
        <v>17.819800000000001</v>
      </c>
    </row>
    <row r="11" spans="2:10" ht="15" thickBot="1" x14ac:dyDescent="0.45">
      <c r="B11" s="3977"/>
      <c r="C11" s="57" t="s">
        <v>240</v>
      </c>
      <c r="D11" s="58">
        <v>20.050999999999998</v>
      </c>
      <c r="E11" s="59">
        <v>20.099</v>
      </c>
      <c r="F11" s="59">
        <v>22.411999999999999</v>
      </c>
      <c r="G11" s="59">
        <v>22.145</v>
      </c>
      <c r="H11" s="59">
        <v>19.466000000000001</v>
      </c>
      <c r="I11" s="60">
        <v>22.027000000000001</v>
      </c>
      <c r="J11" s="60">
        <f t="shared" si="0"/>
        <v>21.229799999999997</v>
      </c>
    </row>
    <row r="12" spans="2:10" x14ac:dyDescent="0.4">
      <c r="B12" s="3976" t="s">
        <v>231</v>
      </c>
      <c r="C12" s="61" t="s">
        <v>235</v>
      </c>
      <c r="D12" s="62">
        <v>1180</v>
      </c>
      <c r="E12" s="63">
        <v>1190</v>
      </c>
      <c r="F12" s="63">
        <v>1280</v>
      </c>
      <c r="G12" s="63">
        <v>1270</v>
      </c>
      <c r="H12" s="63">
        <v>1150</v>
      </c>
      <c r="I12" s="64">
        <v>1270</v>
      </c>
      <c r="J12" s="49">
        <f t="shared" si="0"/>
        <v>1232</v>
      </c>
    </row>
    <row r="13" spans="2:10" x14ac:dyDescent="0.4">
      <c r="B13" s="3976"/>
      <c r="C13" s="50" t="s">
        <v>236</v>
      </c>
      <c r="D13" s="51">
        <v>5.9300000000000004E-3</v>
      </c>
      <c r="E13" s="52">
        <v>5.8999999999999999E-3</v>
      </c>
      <c r="F13" s="52">
        <v>6.4700000000000001E-3</v>
      </c>
      <c r="G13" s="52">
        <v>6.3800000000000003E-3</v>
      </c>
      <c r="H13" s="52">
        <v>5.7200000000000003E-3</v>
      </c>
      <c r="I13" s="53">
        <v>6.3600000000000002E-3</v>
      </c>
      <c r="J13" s="53">
        <f t="shared" si="0"/>
        <v>6.1659999999999996E-3</v>
      </c>
    </row>
    <row r="14" spans="2:10" x14ac:dyDescent="0.4">
      <c r="B14" s="3976"/>
      <c r="C14" s="50" t="s">
        <v>237</v>
      </c>
      <c r="D14" s="51">
        <v>4.2700000000000004E-3</v>
      </c>
      <c r="E14" s="52">
        <v>4.2599999999999999E-3</v>
      </c>
      <c r="F14" s="52">
        <v>4.64E-3</v>
      </c>
      <c r="G14" s="52">
        <v>4.5799999999999999E-3</v>
      </c>
      <c r="H14" s="52">
        <v>4.13E-3</v>
      </c>
      <c r="I14" s="53">
        <v>4.5599999999999998E-3</v>
      </c>
      <c r="J14" s="53">
        <f t="shared" si="0"/>
        <v>4.4340000000000004E-3</v>
      </c>
    </row>
    <row r="15" spans="2:10" x14ac:dyDescent="0.4">
      <c r="B15" s="3976"/>
      <c r="C15" s="50" t="s">
        <v>238</v>
      </c>
      <c r="D15" s="51">
        <v>2.98E-3</v>
      </c>
      <c r="E15" s="52">
        <v>2.97E-3</v>
      </c>
      <c r="F15" s="52">
        <v>3.2599999999999999E-3</v>
      </c>
      <c r="G15" s="52">
        <v>3.2200000000000002E-3</v>
      </c>
      <c r="H15" s="52">
        <v>2.8800000000000002E-3</v>
      </c>
      <c r="I15" s="53">
        <v>3.2000000000000002E-3</v>
      </c>
      <c r="J15" s="53">
        <f t="shared" si="0"/>
        <v>3.1060000000000003E-3</v>
      </c>
    </row>
    <row r="16" spans="2:10" x14ac:dyDescent="0.4">
      <c r="B16" s="3976"/>
      <c r="C16" s="50" t="s">
        <v>239</v>
      </c>
      <c r="D16" s="54">
        <v>23.632999999999999</v>
      </c>
      <c r="E16" s="55">
        <v>23.74</v>
      </c>
      <c r="F16" s="55">
        <v>26.847999999999999</v>
      </c>
      <c r="G16" s="55">
        <v>26.509</v>
      </c>
      <c r="H16" s="55">
        <v>22.98</v>
      </c>
      <c r="I16" s="56">
        <v>26.338000000000001</v>
      </c>
      <c r="J16" s="56">
        <f t="shared" si="0"/>
        <v>25.282999999999998</v>
      </c>
    </row>
    <row r="17" spans="2:10" x14ac:dyDescent="0.4">
      <c r="B17" s="3976"/>
      <c r="C17" s="50" t="s">
        <v>233</v>
      </c>
      <c r="D17" s="54">
        <v>14.657999999999999</v>
      </c>
      <c r="E17" s="55">
        <v>14.707000000000001</v>
      </c>
      <c r="F17" s="55">
        <v>16.556999999999999</v>
      </c>
      <c r="G17" s="55">
        <v>16.36</v>
      </c>
      <c r="H17" s="55">
        <v>14.24</v>
      </c>
      <c r="I17" s="56">
        <v>16.245999999999999</v>
      </c>
      <c r="J17" s="56">
        <f t="shared" si="0"/>
        <v>15.622</v>
      </c>
    </row>
    <row r="18" spans="2:10" ht="15" thickBot="1" x14ac:dyDescent="0.45">
      <c r="B18" s="3976"/>
      <c r="C18" s="50" t="s">
        <v>240</v>
      </c>
      <c r="D18" s="54">
        <v>17.731999999999999</v>
      </c>
      <c r="E18" s="55">
        <v>17.774000000000001</v>
      </c>
      <c r="F18" s="55">
        <v>19.736999999999998</v>
      </c>
      <c r="G18" s="55">
        <v>19.504999999999999</v>
      </c>
      <c r="H18" s="55">
        <v>17.215</v>
      </c>
      <c r="I18" s="56">
        <v>19.405999999999999</v>
      </c>
      <c r="J18" s="60">
        <f t="shared" si="0"/>
        <v>18.727399999999999</v>
      </c>
    </row>
    <row r="19" spans="2:10" x14ac:dyDescent="0.4">
      <c r="B19" s="3975" t="s">
        <v>232</v>
      </c>
      <c r="C19" s="20" t="s">
        <v>235</v>
      </c>
      <c r="D19" s="47">
        <v>807</v>
      </c>
      <c r="E19" s="48">
        <v>811</v>
      </c>
      <c r="F19" s="48">
        <v>869</v>
      </c>
      <c r="G19" s="48">
        <v>864</v>
      </c>
      <c r="H19" s="48">
        <v>785</v>
      </c>
      <c r="I19" s="49">
        <v>864</v>
      </c>
      <c r="J19" s="49">
        <f t="shared" si="0"/>
        <v>838.6</v>
      </c>
    </row>
    <row r="20" spans="2:10" x14ac:dyDescent="0.4">
      <c r="B20" s="3976"/>
      <c r="C20" s="50" t="s">
        <v>236</v>
      </c>
      <c r="D20" s="51">
        <v>4.9399999999999999E-3</v>
      </c>
      <c r="E20" s="52">
        <v>4.9199999999999999E-3</v>
      </c>
      <c r="F20" s="52">
        <v>5.3400000000000001E-3</v>
      </c>
      <c r="G20" s="52">
        <v>5.2700000000000004E-3</v>
      </c>
      <c r="H20" s="52">
        <v>4.7699999999999999E-3</v>
      </c>
      <c r="I20" s="53">
        <v>5.2500000000000003E-3</v>
      </c>
      <c r="J20" s="53">
        <f t="shared" si="0"/>
        <v>5.11E-3</v>
      </c>
    </row>
    <row r="21" spans="2:10" x14ac:dyDescent="0.4">
      <c r="B21" s="3976"/>
      <c r="C21" s="50" t="s">
        <v>237</v>
      </c>
      <c r="D21" s="51">
        <v>3.6099999999999999E-3</v>
      </c>
      <c r="E21" s="52">
        <v>3.5999999999999999E-3</v>
      </c>
      <c r="F21" s="52">
        <v>3.8800000000000002E-3</v>
      </c>
      <c r="G21" s="52">
        <v>3.8300000000000001E-3</v>
      </c>
      <c r="H21" s="52">
        <v>3.49E-3</v>
      </c>
      <c r="I21" s="53">
        <v>3.82E-3</v>
      </c>
      <c r="J21" s="53">
        <f t="shared" si="0"/>
        <v>3.7240000000000003E-3</v>
      </c>
    </row>
    <row r="22" spans="2:10" x14ac:dyDescent="0.4">
      <c r="B22" s="3976"/>
      <c r="C22" s="50" t="s">
        <v>238</v>
      </c>
      <c r="D22" s="51">
        <v>2.5600000000000002E-3</v>
      </c>
      <c r="E22" s="52">
        <v>2.5500000000000002E-3</v>
      </c>
      <c r="F22" s="52">
        <v>2.7699999999999999E-3</v>
      </c>
      <c r="G22" s="52">
        <v>2.7299999999999998E-3</v>
      </c>
      <c r="H22" s="52">
        <v>2.47E-3</v>
      </c>
      <c r="I22" s="53">
        <v>2.7200000000000002E-3</v>
      </c>
      <c r="J22" s="53">
        <f t="shared" si="0"/>
        <v>2.6480000000000002E-3</v>
      </c>
    </row>
    <row r="23" spans="2:10" x14ac:dyDescent="0.4">
      <c r="B23" s="3976"/>
      <c r="C23" s="50" t="s">
        <v>239</v>
      </c>
      <c r="D23" s="54">
        <v>14.084</v>
      </c>
      <c r="E23" s="55">
        <v>14.122999999999999</v>
      </c>
      <c r="F23" s="55">
        <v>15.811</v>
      </c>
      <c r="G23" s="55">
        <v>15.613</v>
      </c>
      <c r="H23" s="55">
        <v>13.675000000000001</v>
      </c>
      <c r="I23" s="56">
        <v>15.525</v>
      </c>
      <c r="J23" s="56">
        <f t="shared" si="0"/>
        <v>14.949400000000001</v>
      </c>
    </row>
    <row r="24" spans="2:10" x14ac:dyDescent="0.4">
      <c r="B24" s="3976"/>
      <c r="C24" s="50" t="s">
        <v>233</v>
      </c>
      <c r="D24" s="54">
        <v>9.0289999999999999</v>
      </c>
      <c r="E24" s="55">
        <v>9.0449999999999999</v>
      </c>
      <c r="F24" s="55">
        <v>10.037000000000001</v>
      </c>
      <c r="G24" s="55">
        <v>9.92</v>
      </c>
      <c r="H24" s="55">
        <v>8.7609999999999992</v>
      </c>
      <c r="I24" s="56">
        <v>9.8620000000000001</v>
      </c>
      <c r="J24" s="56">
        <f t="shared" si="0"/>
        <v>9.5250000000000021</v>
      </c>
    </row>
    <row r="25" spans="2:10" ht="15" thickBot="1" x14ac:dyDescent="0.45">
      <c r="B25" s="3977"/>
      <c r="C25" s="57" t="s">
        <v>240</v>
      </c>
      <c r="D25" s="58">
        <v>11.465</v>
      </c>
      <c r="E25" s="59">
        <v>11.499000000000001</v>
      </c>
      <c r="F25" s="59">
        <v>12.606</v>
      </c>
      <c r="G25" s="59">
        <v>12.465</v>
      </c>
      <c r="H25" s="59">
        <v>11.135999999999999</v>
      </c>
      <c r="I25" s="60">
        <v>12.401999999999999</v>
      </c>
      <c r="J25" s="60">
        <f t="shared" si="0"/>
        <v>12.021600000000001</v>
      </c>
    </row>
    <row r="26" spans="2:10" x14ac:dyDescent="0.4">
      <c r="B26" s="3976" t="s">
        <v>33</v>
      </c>
      <c r="C26" s="61" t="s">
        <v>235</v>
      </c>
      <c r="D26" s="62">
        <v>505</v>
      </c>
      <c r="E26" s="63">
        <v>507</v>
      </c>
      <c r="F26" s="63">
        <v>538</v>
      </c>
      <c r="G26" s="63">
        <v>535</v>
      </c>
      <c r="H26" s="63">
        <v>490</v>
      </c>
      <c r="I26" s="64">
        <v>535</v>
      </c>
      <c r="J26" s="49">
        <f t="shared" si="0"/>
        <v>521</v>
      </c>
    </row>
    <row r="27" spans="2:10" x14ac:dyDescent="0.4">
      <c r="B27" s="3976"/>
      <c r="C27" s="50" t="s">
        <v>236</v>
      </c>
      <c r="D27" s="51">
        <v>4.2700000000000004E-3</v>
      </c>
      <c r="E27" s="52">
        <v>4.2500000000000003E-3</v>
      </c>
      <c r="F27" s="52">
        <v>4.5799999999999999E-3</v>
      </c>
      <c r="G27" s="52">
        <v>4.5199999999999997E-3</v>
      </c>
      <c r="H27" s="52">
        <v>4.1200000000000004E-3</v>
      </c>
      <c r="I27" s="53">
        <v>4.5100000000000001E-3</v>
      </c>
      <c r="J27" s="53">
        <f t="shared" si="0"/>
        <v>4.3959999999999997E-3</v>
      </c>
    </row>
    <row r="28" spans="2:10" x14ac:dyDescent="0.4">
      <c r="B28" s="3976"/>
      <c r="C28" s="50" t="s">
        <v>237</v>
      </c>
      <c r="D28" s="51">
        <v>3.14E-3</v>
      </c>
      <c r="E28" s="52">
        <v>3.13E-3</v>
      </c>
      <c r="F28" s="52">
        <v>3.3500000000000001E-3</v>
      </c>
      <c r="G28" s="52">
        <v>3.31E-3</v>
      </c>
      <c r="H28" s="52">
        <v>3.0300000000000001E-3</v>
      </c>
      <c r="I28" s="53">
        <v>3.3E-3</v>
      </c>
      <c r="J28" s="53">
        <f t="shared" si="0"/>
        <v>3.2239999999999999E-3</v>
      </c>
    </row>
    <row r="29" spans="2:10" x14ac:dyDescent="0.4">
      <c r="B29" s="3976"/>
      <c r="C29" s="50" t="s">
        <v>238</v>
      </c>
      <c r="D29" s="51">
        <v>2.2499999999999998E-3</v>
      </c>
      <c r="E29" s="52">
        <v>2.2399999999999998E-3</v>
      </c>
      <c r="F29" s="52">
        <v>2.4199999999999998E-3</v>
      </c>
      <c r="G29" s="52">
        <v>2.3900000000000002E-3</v>
      </c>
      <c r="H29" s="52">
        <v>2.1800000000000001E-3</v>
      </c>
      <c r="I29" s="53">
        <v>2.3800000000000002E-3</v>
      </c>
      <c r="J29" s="53">
        <f t="shared" si="0"/>
        <v>2.3219999999999998E-3</v>
      </c>
    </row>
    <row r="30" spans="2:10" x14ac:dyDescent="0.4">
      <c r="B30" s="3976"/>
      <c r="C30" s="50" t="s">
        <v>239</v>
      </c>
      <c r="D30" s="54">
        <v>8.4760000000000009</v>
      </c>
      <c r="E30" s="55">
        <v>8.4879999999999995</v>
      </c>
      <c r="F30" s="55">
        <v>9.3529999999999998</v>
      </c>
      <c r="G30" s="55">
        <v>9.2379999999999995</v>
      </c>
      <c r="H30" s="55">
        <v>8.2210000000000001</v>
      </c>
      <c r="I30" s="56">
        <v>9.1950000000000003</v>
      </c>
      <c r="J30" s="56">
        <f t="shared" si="0"/>
        <v>8.8989999999999991</v>
      </c>
    </row>
    <row r="31" spans="2:10" x14ac:dyDescent="0.4">
      <c r="B31" s="3976"/>
      <c r="C31" s="50" t="s">
        <v>233</v>
      </c>
      <c r="D31" s="54">
        <v>5.7229999999999999</v>
      </c>
      <c r="E31" s="55">
        <v>5.7149999999999999</v>
      </c>
      <c r="F31" s="55">
        <v>6.2190000000000003</v>
      </c>
      <c r="G31" s="55">
        <v>6.1449999999999996</v>
      </c>
      <c r="H31" s="55">
        <v>5.5389999999999997</v>
      </c>
      <c r="I31" s="56">
        <v>6.1219999999999999</v>
      </c>
      <c r="J31" s="56">
        <f t="shared" si="0"/>
        <v>5.9480000000000004</v>
      </c>
    </row>
    <row r="32" spans="2:10" ht="15" thickBot="1" x14ac:dyDescent="0.45">
      <c r="B32" s="3977"/>
      <c r="C32" s="57" t="s">
        <v>240</v>
      </c>
      <c r="D32" s="58">
        <v>7.7240000000000002</v>
      </c>
      <c r="E32" s="59">
        <v>7.7389999999999999</v>
      </c>
      <c r="F32" s="59">
        <v>8.3339999999999996</v>
      </c>
      <c r="G32" s="59">
        <v>8.2430000000000003</v>
      </c>
      <c r="H32" s="59">
        <v>7.4960000000000004</v>
      </c>
      <c r="I32" s="60">
        <v>8.2070000000000007</v>
      </c>
      <c r="J32" s="60">
        <f t="shared" si="0"/>
        <v>8.0038000000000018</v>
      </c>
    </row>
    <row r="34" spans="2:10" s="7" customFormat="1" x14ac:dyDescent="0.4">
      <c r="B34" s="4064" t="s">
        <v>242</v>
      </c>
      <c r="C34" s="4064"/>
      <c r="D34" s="4064"/>
      <c r="E34" s="4064"/>
      <c r="F34" s="4064"/>
      <c r="G34" s="4064"/>
      <c r="H34" s="4064"/>
      <c r="I34" s="4064"/>
      <c r="J34" s="19"/>
    </row>
    <row r="35" spans="2:10" s="7" customFormat="1" ht="15" thickBot="1" x14ac:dyDescent="0.45">
      <c r="B35" s="4065"/>
      <c r="C35" s="4065"/>
      <c r="D35" s="4065"/>
      <c r="E35" s="4065"/>
      <c r="F35" s="4065"/>
      <c r="G35" s="4065"/>
      <c r="H35" s="4065"/>
      <c r="I35" s="4065"/>
      <c r="J35" s="40"/>
    </row>
    <row r="36" spans="2:10" s="7" customFormat="1" ht="16.3" thickBot="1" x14ac:dyDescent="0.5">
      <c r="B36" s="72" t="s">
        <v>234</v>
      </c>
      <c r="C36" s="70" t="s">
        <v>34</v>
      </c>
      <c r="D36" s="70" t="s">
        <v>224</v>
      </c>
      <c r="E36" s="70" t="s">
        <v>225</v>
      </c>
      <c r="F36" s="70" t="s">
        <v>226</v>
      </c>
      <c r="G36" s="70" t="s">
        <v>227</v>
      </c>
      <c r="H36" s="70" t="s">
        <v>228</v>
      </c>
      <c r="I36" s="71" t="s">
        <v>229</v>
      </c>
      <c r="J36" s="78" t="s">
        <v>246</v>
      </c>
    </row>
    <row r="37" spans="2:10" s="7" customFormat="1" x14ac:dyDescent="0.4">
      <c r="B37" s="4069" t="s">
        <v>231</v>
      </c>
      <c r="C37" s="50" t="s">
        <v>235</v>
      </c>
      <c r="D37" s="52">
        <v>1100</v>
      </c>
      <c r="E37" s="52">
        <v>1110</v>
      </c>
      <c r="F37" s="52">
        <v>1200</v>
      </c>
      <c r="G37" s="52">
        <v>1190</v>
      </c>
      <c r="H37" s="52">
        <v>1070</v>
      </c>
      <c r="I37" s="53">
        <v>1190</v>
      </c>
      <c r="J37" s="49">
        <f>SUM(E37:I37)/COUNT(E37:I37)</f>
        <v>1152</v>
      </c>
    </row>
    <row r="38" spans="2:10" s="7" customFormat="1" x14ac:dyDescent="0.4">
      <c r="B38" s="3979"/>
      <c r="C38" s="50" t="s">
        <v>236</v>
      </c>
      <c r="D38" s="52">
        <v>5.9300000000000004E-3</v>
      </c>
      <c r="E38" s="52">
        <v>5.8999999999999999E-3</v>
      </c>
      <c r="F38" s="52">
        <v>6.4700000000000001E-3</v>
      </c>
      <c r="G38" s="52">
        <v>6.3800000000000003E-3</v>
      </c>
      <c r="H38" s="52">
        <v>5.7200000000000003E-3</v>
      </c>
      <c r="I38" s="53">
        <v>6.3600000000000002E-3</v>
      </c>
      <c r="J38" s="53">
        <f t="shared" ref="J38:J57" si="1">SUM(E38:I38)/COUNT(E38:I38)</f>
        <v>6.1659999999999996E-3</v>
      </c>
    </row>
    <row r="39" spans="2:10" s="7" customFormat="1" x14ac:dyDescent="0.4">
      <c r="B39" s="3979"/>
      <c r="C39" s="50" t="s">
        <v>237</v>
      </c>
      <c r="D39" s="52">
        <v>4.2700000000000004E-3</v>
      </c>
      <c r="E39" s="52">
        <v>4.2599999999999999E-3</v>
      </c>
      <c r="F39" s="52">
        <v>4.64E-3</v>
      </c>
      <c r="G39" s="52">
        <v>4.5799999999999999E-3</v>
      </c>
      <c r="H39" s="52">
        <v>4.13E-3</v>
      </c>
      <c r="I39" s="53">
        <v>4.5599999999999998E-3</v>
      </c>
      <c r="J39" s="53">
        <f t="shared" si="1"/>
        <v>4.4340000000000004E-3</v>
      </c>
    </row>
    <row r="40" spans="2:10" s="7" customFormat="1" x14ac:dyDescent="0.4">
      <c r="B40" s="3979"/>
      <c r="C40" s="50" t="s">
        <v>238</v>
      </c>
      <c r="D40" s="52">
        <v>2.98E-3</v>
      </c>
      <c r="E40" s="52">
        <v>2.97E-3</v>
      </c>
      <c r="F40" s="52">
        <v>3.2599999999999999E-3</v>
      </c>
      <c r="G40" s="52">
        <v>3.2200000000000002E-3</v>
      </c>
      <c r="H40" s="52">
        <v>2.8800000000000002E-3</v>
      </c>
      <c r="I40" s="53">
        <v>3.2000000000000002E-3</v>
      </c>
      <c r="J40" s="53">
        <f t="shared" si="1"/>
        <v>3.1060000000000003E-3</v>
      </c>
    </row>
    <row r="41" spans="2:10" s="7" customFormat="1" x14ac:dyDescent="0.4">
      <c r="B41" s="3979"/>
      <c r="C41" s="50" t="s">
        <v>239</v>
      </c>
      <c r="D41" s="52">
        <v>168</v>
      </c>
      <c r="E41" s="52">
        <v>170</v>
      </c>
      <c r="F41" s="52">
        <v>195</v>
      </c>
      <c r="G41" s="52">
        <v>193</v>
      </c>
      <c r="H41" s="52">
        <v>164</v>
      </c>
      <c r="I41" s="53">
        <v>191</v>
      </c>
      <c r="J41" s="53">
        <f t="shared" si="1"/>
        <v>182.6</v>
      </c>
    </row>
    <row r="42" spans="2:10" s="7" customFormat="1" x14ac:dyDescent="0.4">
      <c r="B42" s="3979"/>
      <c r="C42" s="50" t="s">
        <v>233</v>
      </c>
      <c r="D42" s="52">
        <v>166</v>
      </c>
      <c r="E42" s="52">
        <v>166</v>
      </c>
      <c r="F42" s="52">
        <v>183</v>
      </c>
      <c r="G42" s="52">
        <v>182</v>
      </c>
      <c r="H42" s="52">
        <v>161</v>
      </c>
      <c r="I42" s="53">
        <v>181</v>
      </c>
      <c r="J42" s="53">
        <f t="shared" si="1"/>
        <v>174.6</v>
      </c>
    </row>
    <row r="43" spans="2:10" s="7" customFormat="1" ht="15" thickBot="1" x14ac:dyDescent="0.45">
      <c r="B43" s="4070"/>
      <c r="C43" s="75" t="s">
        <v>240</v>
      </c>
      <c r="D43" s="65">
        <v>121</v>
      </c>
      <c r="E43" s="65">
        <v>121</v>
      </c>
      <c r="F43" s="65">
        <v>136</v>
      </c>
      <c r="G43" s="65">
        <v>134</v>
      </c>
      <c r="H43" s="65">
        <v>117</v>
      </c>
      <c r="I43" s="73">
        <v>134</v>
      </c>
      <c r="J43" s="73">
        <f t="shared" si="1"/>
        <v>128.4</v>
      </c>
    </row>
    <row r="44" spans="2:10" s="7" customFormat="1" ht="15" thickTop="1" x14ac:dyDescent="0.4">
      <c r="B44" s="4071" t="s">
        <v>232</v>
      </c>
      <c r="C44" s="76" t="s">
        <v>235</v>
      </c>
      <c r="D44" s="66">
        <v>760</v>
      </c>
      <c r="E44" s="66">
        <v>764</v>
      </c>
      <c r="F44" s="66">
        <v>822</v>
      </c>
      <c r="G44" s="66">
        <v>817</v>
      </c>
      <c r="H44" s="66">
        <v>740</v>
      </c>
      <c r="I44" s="74">
        <v>817</v>
      </c>
      <c r="J44" s="53">
        <f t="shared" si="1"/>
        <v>792</v>
      </c>
    </row>
    <row r="45" spans="2:10" s="7" customFormat="1" x14ac:dyDescent="0.4">
      <c r="B45" s="3979"/>
      <c r="C45" s="50" t="s">
        <v>236</v>
      </c>
      <c r="D45" s="52">
        <v>4.9399999999999999E-3</v>
      </c>
      <c r="E45" s="52">
        <v>4.9199999999999999E-3</v>
      </c>
      <c r="F45" s="52">
        <v>5.3400000000000001E-3</v>
      </c>
      <c r="G45" s="52">
        <v>5.2700000000000004E-3</v>
      </c>
      <c r="H45" s="52">
        <v>4.7699999999999999E-3</v>
      </c>
      <c r="I45" s="53">
        <v>5.2500000000000003E-3</v>
      </c>
      <c r="J45" s="53">
        <f t="shared" si="1"/>
        <v>5.11E-3</v>
      </c>
    </row>
    <row r="46" spans="2:10" s="7" customFormat="1" x14ac:dyDescent="0.4">
      <c r="B46" s="3979"/>
      <c r="C46" s="50" t="s">
        <v>237</v>
      </c>
      <c r="D46" s="52">
        <v>3.6099999999999999E-3</v>
      </c>
      <c r="E46" s="52">
        <v>3.5999999999999999E-3</v>
      </c>
      <c r="F46" s="52">
        <v>3.8800000000000002E-3</v>
      </c>
      <c r="G46" s="52">
        <v>3.8300000000000001E-3</v>
      </c>
      <c r="H46" s="52">
        <v>3.49E-3</v>
      </c>
      <c r="I46" s="53">
        <v>3.82E-3</v>
      </c>
      <c r="J46" s="53">
        <f t="shared" si="1"/>
        <v>3.7240000000000003E-3</v>
      </c>
    </row>
    <row r="47" spans="2:10" s="7" customFormat="1" x14ac:dyDescent="0.4">
      <c r="B47" s="3979"/>
      <c r="C47" s="50" t="s">
        <v>238</v>
      </c>
      <c r="D47" s="52">
        <v>2.5600000000000002E-3</v>
      </c>
      <c r="E47" s="52">
        <v>2.5500000000000002E-3</v>
      </c>
      <c r="F47" s="52">
        <v>2.7699999999999999E-3</v>
      </c>
      <c r="G47" s="52">
        <v>2.7299999999999998E-3</v>
      </c>
      <c r="H47" s="52">
        <v>2.47E-3</v>
      </c>
      <c r="I47" s="53">
        <v>2.7200000000000002E-3</v>
      </c>
      <c r="J47" s="53">
        <f t="shared" si="1"/>
        <v>2.6480000000000002E-3</v>
      </c>
    </row>
    <row r="48" spans="2:10" s="7" customFormat="1" x14ac:dyDescent="0.4">
      <c r="B48" s="3979"/>
      <c r="C48" s="50" t="s">
        <v>239</v>
      </c>
      <c r="D48" s="52">
        <v>114</v>
      </c>
      <c r="E48" s="52">
        <v>116</v>
      </c>
      <c r="F48" s="52">
        <v>132</v>
      </c>
      <c r="G48" s="52">
        <v>131</v>
      </c>
      <c r="H48" s="52">
        <v>112</v>
      </c>
      <c r="I48" s="53">
        <v>129</v>
      </c>
      <c r="J48" s="53">
        <f t="shared" si="1"/>
        <v>124</v>
      </c>
    </row>
    <row r="49" spans="2:10" s="7" customFormat="1" x14ac:dyDescent="0.4">
      <c r="B49" s="3979"/>
      <c r="C49" s="50" t="s">
        <v>233</v>
      </c>
      <c r="D49" s="52">
        <v>113</v>
      </c>
      <c r="E49" s="52">
        <v>112</v>
      </c>
      <c r="F49" s="52">
        <v>124</v>
      </c>
      <c r="G49" s="52">
        <v>122</v>
      </c>
      <c r="H49" s="52">
        <v>109</v>
      </c>
      <c r="I49" s="53">
        <v>122</v>
      </c>
      <c r="J49" s="53">
        <f t="shared" si="1"/>
        <v>117.8</v>
      </c>
    </row>
    <row r="50" spans="2:10" s="7" customFormat="1" ht="15" thickBot="1" x14ac:dyDescent="0.45">
      <c r="B50" s="4070"/>
      <c r="C50" s="75" t="s">
        <v>240</v>
      </c>
      <c r="D50" s="65">
        <v>83.2</v>
      </c>
      <c r="E50" s="65">
        <v>83.1</v>
      </c>
      <c r="F50" s="65">
        <v>92.9</v>
      </c>
      <c r="G50" s="65">
        <v>91.8</v>
      </c>
      <c r="H50" s="65">
        <v>80.400000000000006</v>
      </c>
      <c r="I50" s="73">
        <v>91.4</v>
      </c>
      <c r="J50" s="73">
        <f t="shared" si="1"/>
        <v>87.92</v>
      </c>
    </row>
    <row r="51" spans="2:10" s="7" customFormat="1" ht="15" thickTop="1" x14ac:dyDescent="0.4">
      <c r="B51" s="4071" t="s">
        <v>33</v>
      </c>
      <c r="C51" s="76" t="s">
        <v>235</v>
      </c>
      <c r="D51" s="66">
        <v>479</v>
      </c>
      <c r="E51" s="66">
        <v>481</v>
      </c>
      <c r="F51" s="66">
        <v>513</v>
      </c>
      <c r="G51" s="66">
        <v>510</v>
      </c>
      <c r="H51" s="66">
        <v>465</v>
      </c>
      <c r="I51" s="74">
        <v>510</v>
      </c>
      <c r="J51" s="53">
        <f t="shared" si="1"/>
        <v>495.8</v>
      </c>
    </row>
    <row r="52" spans="2:10" s="7" customFormat="1" x14ac:dyDescent="0.4">
      <c r="B52" s="3979"/>
      <c r="C52" s="50" t="s">
        <v>236</v>
      </c>
      <c r="D52" s="52">
        <v>4.2700000000000004E-3</v>
      </c>
      <c r="E52" s="52">
        <v>4.2500000000000003E-3</v>
      </c>
      <c r="F52" s="52">
        <v>4.5799999999999999E-3</v>
      </c>
      <c r="G52" s="52">
        <v>4.5199999999999997E-3</v>
      </c>
      <c r="H52" s="52">
        <v>4.1200000000000004E-3</v>
      </c>
      <c r="I52" s="53">
        <v>4.5100000000000001E-3</v>
      </c>
      <c r="J52" s="53">
        <f t="shared" si="1"/>
        <v>4.3959999999999997E-3</v>
      </c>
    </row>
    <row r="53" spans="2:10" s="7" customFormat="1" x14ac:dyDescent="0.4">
      <c r="B53" s="3979"/>
      <c r="C53" s="50" t="s">
        <v>237</v>
      </c>
      <c r="D53" s="52">
        <v>3.14E-3</v>
      </c>
      <c r="E53" s="52">
        <v>3.13E-3</v>
      </c>
      <c r="F53" s="52">
        <v>3.3500000000000001E-3</v>
      </c>
      <c r="G53" s="52">
        <v>3.31E-3</v>
      </c>
      <c r="H53" s="52">
        <v>3.0300000000000001E-3</v>
      </c>
      <c r="I53" s="53">
        <v>3.3E-3</v>
      </c>
      <c r="J53" s="53">
        <f t="shared" si="1"/>
        <v>3.2239999999999999E-3</v>
      </c>
    </row>
    <row r="54" spans="2:10" s="7" customFormat="1" x14ac:dyDescent="0.4">
      <c r="B54" s="3979"/>
      <c r="C54" s="50" t="s">
        <v>238</v>
      </c>
      <c r="D54" s="52">
        <v>2.2499999999999998E-3</v>
      </c>
      <c r="E54" s="52">
        <v>2.2399999999999998E-3</v>
      </c>
      <c r="F54" s="52">
        <v>2.4199999999999998E-3</v>
      </c>
      <c r="G54" s="52">
        <v>2.3900000000000002E-3</v>
      </c>
      <c r="H54" s="52">
        <v>2.1800000000000001E-3</v>
      </c>
      <c r="I54" s="53">
        <v>2.3800000000000002E-3</v>
      </c>
      <c r="J54" s="53">
        <f t="shared" si="1"/>
        <v>2.3219999999999998E-3</v>
      </c>
    </row>
    <row r="55" spans="2:10" s="7" customFormat="1" x14ac:dyDescent="0.4">
      <c r="B55" s="3979"/>
      <c r="C55" s="50" t="s">
        <v>239</v>
      </c>
      <c r="D55" s="52">
        <v>72.2</v>
      </c>
      <c r="E55" s="52">
        <v>72.900000000000006</v>
      </c>
      <c r="F55" s="52">
        <v>82.8</v>
      </c>
      <c r="G55" s="52">
        <v>81.900000000000006</v>
      </c>
      <c r="H55" s="52">
        <v>70.400000000000006</v>
      </c>
      <c r="I55" s="53">
        <v>81.3</v>
      </c>
      <c r="J55" s="53">
        <f t="shared" si="1"/>
        <v>77.86</v>
      </c>
    </row>
    <row r="56" spans="2:10" s="7" customFormat="1" x14ac:dyDescent="0.4">
      <c r="B56" s="3979"/>
      <c r="C56" s="50" t="s">
        <v>233</v>
      </c>
      <c r="D56" s="52">
        <v>71</v>
      </c>
      <c r="E56" s="52">
        <v>70.7</v>
      </c>
      <c r="F56" s="52">
        <v>77.5</v>
      </c>
      <c r="G56" s="52">
        <v>76.7</v>
      </c>
      <c r="H56" s="52">
        <v>68.5</v>
      </c>
      <c r="I56" s="53">
        <v>76.400000000000006</v>
      </c>
      <c r="J56" s="53">
        <f t="shared" si="1"/>
        <v>73.959999999999994</v>
      </c>
    </row>
    <row r="57" spans="2:10" ht="15" thickBot="1" x14ac:dyDescent="0.45">
      <c r="B57" s="3980"/>
      <c r="C57" s="50" t="s">
        <v>240</v>
      </c>
      <c r="D57" s="67">
        <v>54.2</v>
      </c>
      <c r="E57" s="67">
        <v>54</v>
      </c>
      <c r="F57" s="67">
        <v>60</v>
      </c>
      <c r="G57" s="67">
        <v>59.3</v>
      </c>
      <c r="H57" s="67">
        <v>52.3</v>
      </c>
      <c r="I57" s="68">
        <v>59</v>
      </c>
      <c r="J57" s="53">
        <f t="shared" si="1"/>
        <v>56.92</v>
      </c>
    </row>
    <row r="59" spans="2:10" x14ac:dyDescent="0.4">
      <c r="B59" s="4064" t="s">
        <v>244</v>
      </c>
      <c r="C59" s="4064"/>
      <c r="D59" s="4064"/>
      <c r="E59" s="4064"/>
      <c r="F59" s="4064"/>
      <c r="G59" s="4064"/>
      <c r="H59" s="4064"/>
      <c r="I59" s="4064"/>
    </row>
    <row r="60" spans="2:10" ht="15" thickBot="1" x14ac:dyDescent="0.45">
      <c r="B60" s="4068"/>
      <c r="C60" s="4068"/>
      <c r="D60" s="4068"/>
      <c r="E60" s="4068"/>
      <c r="F60" s="4068"/>
      <c r="G60" s="4068"/>
      <c r="H60" s="4068"/>
      <c r="I60" s="4068"/>
    </row>
    <row r="61" spans="2:10" ht="16.3" thickBot="1" x14ac:dyDescent="0.5">
      <c r="B61" s="77" t="s">
        <v>243</v>
      </c>
      <c r="C61" s="69"/>
      <c r="D61" s="70" t="s">
        <v>224</v>
      </c>
      <c r="E61" s="70" t="s">
        <v>225</v>
      </c>
      <c r="F61" s="70" t="s">
        <v>226</v>
      </c>
      <c r="G61" s="70" t="s">
        <v>227</v>
      </c>
      <c r="H61" s="70" t="s">
        <v>228</v>
      </c>
      <c r="I61" s="71" t="s">
        <v>229</v>
      </c>
      <c r="J61" s="78" t="s">
        <v>246</v>
      </c>
    </row>
    <row r="62" spans="2:10" x14ac:dyDescent="0.4">
      <c r="B62" s="4066" t="s">
        <v>230</v>
      </c>
      <c r="C62" s="61" t="s">
        <v>235</v>
      </c>
      <c r="D62" s="63">
        <v>1300</v>
      </c>
      <c r="E62" s="63">
        <v>1310</v>
      </c>
      <c r="F62" s="63">
        <v>1420</v>
      </c>
      <c r="G62" s="63">
        <v>1410</v>
      </c>
      <c r="H62" s="63">
        <v>1270</v>
      </c>
      <c r="I62" s="64">
        <v>1410</v>
      </c>
      <c r="J62" s="49">
        <f>SUM(E62:I62)/COUNT(E62:I62)</f>
        <v>1364</v>
      </c>
    </row>
    <row r="63" spans="2:10" x14ac:dyDescent="0.4">
      <c r="B63" s="4066"/>
      <c r="C63" s="50" t="s">
        <v>236</v>
      </c>
      <c r="D63" s="52">
        <v>15.2</v>
      </c>
      <c r="E63" s="52">
        <v>15.3</v>
      </c>
      <c r="F63" s="52">
        <v>16.8</v>
      </c>
      <c r="G63" s="52">
        <v>16.600000000000001</v>
      </c>
      <c r="H63" s="52">
        <v>14.8</v>
      </c>
      <c r="I63" s="53">
        <v>16.600000000000001</v>
      </c>
      <c r="J63" s="53">
        <f t="shared" ref="J63:J68" si="2">SUM(E63:I63)/COUNT(E63:I63)</f>
        <v>16.02</v>
      </c>
    </row>
    <row r="64" spans="2:10" x14ac:dyDescent="0.4">
      <c r="B64" s="4066"/>
      <c r="C64" s="50" t="s">
        <v>237</v>
      </c>
      <c r="D64" s="52">
        <v>15.2</v>
      </c>
      <c r="E64" s="52">
        <v>15.3</v>
      </c>
      <c r="F64" s="52">
        <v>16.8</v>
      </c>
      <c r="G64" s="52">
        <v>16.600000000000001</v>
      </c>
      <c r="H64" s="52">
        <v>14.8</v>
      </c>
      <c r="I64" s="53">
        <v>16.600000000000001</v>
      </c>
      <c r="J64" s="53">
        <f t="shared" si="2"/>
        <v>16.02</v>
      </c>
    </row>
    <row r="65" spans="2:10" x14ac:dyDescent="0.4">
      <c r="B65" s="4066"/>
      <c r="C65" s="50" t="s">
        <v>238</v>
      </c>
      <c r="D65" s="52">
        <v>20.2</v>
      </c>
      <c r="E65" s="52">
        <v>20.399999999999999</v>
      </c>
      <c r="F65" s="52">
        <v>22.1</v>
      </c>
      <c r="G65" s="52">
        <v>21.9</v>
      </c>
      <c r="H65" s="52">
        <v>19.7</v>
      </c>
      <c r="I65" s="53">
        <v>21.8</v>
      </c>
      <c r="J65" s="53">
        <f t="shared" si="2"/>
        <v>21.18</v>
      </c>
    </row>
    <row r="66" spans="2:10" x14ac:dyDescent="0.4">
      <c r="B66" s="4066"/>
      <c r="C66" s="50" t="s">
        <v>239</v>
      </c>
      <c r="D66" s="52">
        <v>27.1</v>
      </c>
      <c r="E66" s="52">
        <v>27.2</v>
      </c>
      <c r="F66" s="52">
        <v>30.8</v>
      </c>
      <c r="G66" s="52">
        <v>30.4</v>
      </c>
      <c r="H66" s="52">
        <v>26.3</v>
      </c>
      <c r="I66" s="53">
        <v>30.2</v>
      </c>
      <c r="J66" s="53">
        <f t="shared" si="2"/>
        <v>28.98</v>
      </c>
    </row>
    <row r="67" spans="2:10" x14ac:dyDescent="0.4">
      <c r="B67" s="4066"/>
      <c r="C67" s="50" t="s">
        <v>233</v>
      </c>
      <c r="D67" s="52">
        <v>16.7</v>
      </c>
      <c r="E67" s="52">
        <v>16.7</v>
      </c>
      <c r="F67" s="52">
        <v>18.899999999999999</v>
      </c>
      <c r="G67" s="52">
        <v>18.7</v>
      </c>
      <c r="H67" s="52">
        <v>16.2</v>
      </c>
      <c r="I67" s="53">
        <v>18.600000000000001</v>
      </c>
      <c r="J67" s="53">
        <f t="shared" si="2"/>
        <v>17.82</v>
      </c>
    </row>
    <row r="68" spans="2:10" ht="15" thickBot="1" x14ac:dyDescent="0.45">
      <c r="B68" s="4067"/>
      <c r="C68" s="57" t="s">
        <v>240</v>
      </c>
      <c r="D68" s="67">
        <v>20.100000000000001</v>
      </c>
      <c r="E68" s="67">
        <v>20.100000000000001</v>
      </c>
      <c r="F68" s="67">
        <v>22.4</v>
      </c>
      <c r="G68" s="67">
        <v>22.2</v>
      </c>
      <c r="H68" s="67">
        <v>19.5</v>
      </c>
      <c r="I68" s="68">
        <v>22</v>
      </c>
      <c r="J68" s="53">
        <f t="shared" si="2"/>
        <v>21.240000000000002</v>
      </c>
    </row>
    <row r="70" spans="2:10" x14ac:dyDescent="0.4">
      <c r="B70" s="4064" t="s">
        <v>245</v>
      </c>
      <c r="C70" s="4064"/>
      <c r="D70" s="4064"/>
      <c r="E70" s="4064"/>
      <c r="F70" s="4064"/>
      <c r="G70" s="4064"/>
      <c r="H70" s="4064"/>
      <c r="I70" s="4064"/>
    </row>
    <row r="71" spans="2:10" ht="15" thickBot="1" x14ac:dyDescent="0.45">
      <c r="B71" s="4068"/>
      <c r="C71" s="4068"/>
      <c r="D71" s="4068"/>
      <c r="E71" s="4068"/>
      <c r="F71" s="4068"/>
      <c r="G71" s="4068"/>
      <c r="H71" s="4068"/>
      <c r="I71" s="4068"/>
    </row>
    <row r="72" spans="2:10" ht="16.3" thickBot="1" x14ac:dyDescent="0.45">
      <c r="B72" s="43" t="s">
        <v>243</v>
      </c>
      <c r="C72" s="41"/>
      <c r="D72" s="33" t="s">
        <v>224</v>
      </c>
      <c r="E72" s="33" t="s">
        <v>225</v>
      </c>
      <c r="F72" s="33" t="s">
        <v>226</v>
      </c>
      <c r="G72" s="33" t="s">
        <v>227</v>
      </c>
      <c r="H72" s="33" t="s">
        <v>228</v>
      </c>
      <c r="I72" s="42" t="s">
        <v>229</v>
      </c>
      <c r="J72" s="78" t="s">
        <v>246</v>
      </c>
    </row>
    <row r="73" spans="2:10" x14ac:dyDescent="0.4">
      <c r="B73" s="4066" t="s">
        <v>230</v>
      </c>
      <c r="C73" s="35" t="s">
        <v>235</v>
      </c>
      <c r="D73" s="34">
        <v>1080</v>
      </c>
      <c r="E73" s="34">
        <v>1090</v>
      </c>
      <c r="F73" s="34">
        <v>1170</v>
      </c>
      <c r="G73" s="34">
        <v>1160</v>
      </c>
      <c r="H73" s="34">
        <v>1050</v>
      </c>
      <c r="I73" s="37">
        <v>1160</v>
      </c>
      <c r="J73" s="49">
        <f>SUM(E73:I73)/COUNT(E73:I73)</f>
        <v>1126</v>
      </c>
    </row>
    <row r="74" spans="2:10" x14ac:dyDescent="0.4">
      <c r="B74" s="4066"/>
      <c r="C74" s="35" t="s">
        <v>236</v>
      </c>
      <c r="D74" s="34">
        <v>15.8</v>
      </c>
      <c r="E74" s="34">
        <v>15.8</v>
      </c>
      <c r="F74" s="34">
        <v>18.399999999999999</v>
      </c>
      <c r="G74" s="34">
        <v>18.100000000000001</v>
      </c>
      <c r="H74" s="34">
        <v>15.3</v>
      </c>
      <c r="I74" s="37">
        <v>18</v>
      </c>
      <c r="J74" s="53">
        <f t="shared" ref="J74:J79" si="3">SUM(E74:I74)/COUNT(E74:I74)</f>
        <v>17.12</v>
      </c>
    </row>
    <row r="75" spans="2:10" x14ac:dyDescent="0.4">
      <c r="B75" s="4066"/>
      <c r="C75" s="35" t="s">
        <v>237</v>
      </c>
      <c r="D75" s="34">
        <v>66.900000000000006</v>
      </c>
      <c r="E75" s="34">
        <v>67.099999999999994</v>
      </c>
      <c r="F75" s="34">
        <v>75</v>
      </c>
      <c r="G75" s="34">
        <v>74.400000000000006</v>
      </c>
      <c r="H75" s="34">
        <v>65</v>
      </c>
      <c r="I75" s="37">
        <v>74</v>
      </c>
      <c r="J75" s="53">
        <f t="shared" si="3"/>
        <v>71.099999999999994</v>
      </c>
    </row>
    <row r="76" spans="2:10" x14ac:dyDescent="0.4">
      <c r="B76" s="4066"/>
      <c r="C76" s="35" t="s">
        <v>238</v>
      </c>
      <c r="D76" s="34">
        <v>85</v>
      </c>
      <c r="E76" s="34">
        <v>85.8</v>
      </c>
      <c r="F76" s="34">
        <v>96.7</v>
      </c>
      <c r="G76" s="34">
        <v>95.8</v>
      </c>
      <c r="H76" s="34">
        <v>83</v>
      </c>
      <c r="I76" s="37">
        <v>95.2</v>
      </c>
      <c r="J76" s="53">
        <f t="shared" si="3"/>
        <v>91.3</v>
      </c>
    </row>
    <row r="77" spans="2:10" x14ac:dyDescent="0.4">
      <c r="B77" s="4066"/>
      <c r="C77" s="35" t="s">
        <v>239</v>
      </c>
      <c r="D77" s="34">
        <v>27.3</v>
      </c>
      <c r="E77" s="34">
        <v>27.4</v>
      </c>
      <c r="F77" s="34">
        <v>31.1</v>
      </c>
      <c r="G77" s="34">
        <v>30.7</v>
      </c>
      <c r="H77" s="34">
        <v>26.6</v>
      </c>
      <c r="I77" s="37">
        <v>30.5</v>
      </c>
      <c r="J77" s="53">
        <f t="shared" si="3"/>
        <v>29.26</v>
      </c>
    </row>
    <row r="78" spans="2:10" x14ac:dyDescent="0.4">
      <c r="B78" s="4066"/>
      <c r="C78" s="35" t="s">
        <v>233</v>
      </c>
      <c r="D78" s="34">
        <v>17.7</v>
      </c>
      <c r="E78" s="34">
        <v>17.7</v>
      </c>
      <c r="F78" s="34">
        <v>20.399999999999999</v>
      </c>
      <c r="G78" s="34">
        <v>20.100000000000001</v>
      </c>
      <c r="H78" s="34">
        <v>17.2</v>
      </c>
      <c r="I78" s="37">
        <v>20</v>
      </c>
      <c r="J78" s="53">
        <f t="shared" si="3"/>
        <v>19.079999999999998</v>
      </c>
    </row>
    <row r="79" spans="2:10" ht="15" thickBot="1" x14ac:dyDescent="0.45">
      <c r="B79" s="4067"/>
      <c r="C79" s="36" t="s">
        <v>240</v>
      </c>
      <c r="D79" s="38">
        <v>45.3</v>
      </c>
      <c r="E79" s="38">
        <v>45.4</v>
      </c>
      <c r="F79" s="38">
        <v>50.6</v>
      </c>
      <c r="G79" s="38">
        <v>50.1</v>
      </c>
      <c r="H79" s="38">
        <v>43.9</v>
      </c>
      <c r="I79" s="39">
        <v>49.8</v>
      </c>
      <c r="J79" s="53">
        <f t="shared" si="3"/>
        <v>47.96</v>
      </c>
    </row>
  </sheetData>
  <customSheetViews>
    <customSheetView guid="{9C0AA20B-B2A2-4A2C-B279-4A5988F4E71A}" state="hidden">
      <pageMargins left="0.7" right="0.7" top="0.75" bottom="0.75" header="0.3" footer="0.3"/>
    </customSheetView>
  </customSheetViews>
  <mergeCells count="13">
    <mergeCell ref="B2:I3"/>
    <mergeCell ref="B34:I35"/>
    <mergeCell ref="B62:B68"/>
    <mergeCell ref="B59:I60"/>
    <mergeCell ref="B73:B79"/>
    <mergeCell ref="B70:I71"/>
    <mergeCell ref="B37:B43"/>
    <mergeCell ref="B44:B50"/>
    <mergeCell ref="B51:B57"/>
    <mergeCell ref="B12:B18"/>
    <mergeCell ref="B19:B25"/>
    <mergeCell ref="B26:B32"/>
    <mergeCell ref="B5:B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35</vt:i4>
      </vt:variant>
      <vt:variant>
        <vt:lpstr>Charts</vt:lpstr>
      </vt:variant>
      <vt:variant>
        <vt:i4>1</vt:i4>
      </vt:variant>
      <vt:variant>
        <vt:lpstr>Named Ranges</vt:lpstr>
      </vt:variant>
      <vt:variant>
        <vt:i4>247</vt:i4>
      </vt:variant>
    </vt:vector>
  </HeadingPairs>
  <TitlesOfParts>
    <vt:vector size="283" baseType="lpstr">
      <vt:lpstr>Cover Sheet</vt:lpstr>
      <vt:lpstr>Reactor Design Inputs</vt:lpstr>
      <vt:lpstr>BLUEPRINT_output</vt:lpstr>
      <vt:lpstr>Generic Vertical Port Tasks</vt:lpstr>
      <vt:lpstr>Generic Divertor Port Tasks</vt:lpstr>
      <vt:lpstr>Plant Availibility Calculator</vt:lpstr>
      <vt:lpstr>Lower Cask Summary</vt:lpstr>
      <vt:lpstr>Lower Cask Critical Path</vt:lpstr>
      <vt:lpstr>Lower Cask Dependencies</vt:lpstr>
      <vt:lpstr>Lower Cask Movement &amp; Logistics</vt:lpstr>
      <vt:lpstr>Lower Cask Recovery Scenarios</vt:lpstr>
      <vt:lpstr>Lower Cask Weld Failures</vt:lpstr>
      <vt:lpstr>LowerCask Recovery Dependencies</vt:lpstr>
      <vt:lpstr>Lower Hot Cell Summary</vt:lpstr>
      <vt:lpstr>Lower Hot Cell Critical Path</vt:lpstr>
      <vt:lpstr>Lower Hot Cell Logistics</vt:lpstr>
      <vt:lpstr>Lower Hot Cell Hardware Failure</vt:lpstr>
      <vt:lpstr>Lower Hot Cell Weld Failure</vt:lpstr>
      <vt:lpstr>Lower HotCell RecoveryLogistics</vt:lpstr>
      <vt:lpstr>Lower Hot Cell Dependencies</vt:lpstr>
      <vt:lpstr>Upper Cask Summary</vt:lpstr>
      <vt:lpstr>Upper Cask Critical Path</vt:lpstr>
      <vt:lpstr>Upper Cask Dependencies</vt:lpstr>
      <vt:lpstr>Upper Cask Movement &amp; Logistics</vt:lpstr>
      <vt:lpstr>Upper Cask Welding failures</vt:lpstr>
      <vt:lpstr>Upper Cask Recovery Scenarios</vt:lpstr>
      <vt:lpstr>Upper Cask Recovery Logistics</vt:lpstr>
      <vt:lpstr>Upper Hot Cell Summary</vt:lpstr>
      <vt:lpstr>Upper Hot Cell Critical Path</vt:lpstr>
      <vt:lpstr>Upper Hot Cell Dependencies</vt:lpstr>
      <vt:lpstr>Upper Hot Cell Logistics</vt:lpstr>
      <vt:lpstr>Upper Hot Cell Welding failures</vt:lpstr>
      <vt:lpstr>Upper HotCell HardwareRecovery</vt:lpstr>
      <vt:lpstr>Upper HotCell RecoveryLogisitcs</vt:lpstr>
      <vt:lpstr>Radiation Dose Rates</vt:lpstr>
      <vt:lpstr>Duration of maint. intervals</vt:lpstr>
      <vt:lpstr>'Plant Availibility Calculator'!_Ref493863299</vt:lpstr>
      <vt:lpstr>Auto_Operations_Productivity_Factor</vt:lpstr>
      <vt:lpstr>Av._cask_displacement</vt:lpstr>
      <vt:lpstr>blanket_cask_days_2</vt:lpstr>
      <vt:lpstr>blanket_cask_days_3</vt:lpstr>
      <vt:lpstr>blanket_cask_days_4</vt:lpstr>
      <vt:lpstr>blanket_cask_days_6</vt:lpstr>
      <vt:lpstr>blanket_cask_days_series</vt:lpstr>
      <vt:lpstr>Blanket_coolant_circumference</vt:lpstr>
      <vt:lpstr>Blanket_coolant_diameter</vt:lpstr>
      <vt:lpstr>Blanket_coolant_thickness</vt:lpstr>
      <vt:lpstr>Blanket_Cooling_Cut_Time</vt:lpstr>
      <vt:lpstr>Blanket_Cooling_Cutting_Passes</vt:lpstr>
      <vt:lpstr>Blanket_Cooling_Weld_Passes</vt:lpstr>
      <vt:lpstr>Blanket_Cooling_Weld_Time</vt:lpstr>
      <vt:lpstr>Blanket_drain_circumference</vt:lpstr>
      <vt:lpstr>Blanket_Drain_Cut_Time</vt:lpstr>
      <vt:lpstr>Blanket_Drain_Cutting_Passes</vt:lpstr>
      <vt:lpstr>Blanket_Drain_diameter</vt:lpstr>
      <vt:lpstr>Blanket_drain_Thickness</vt:lpstr>
      <vt:lpstr>Blanket_Drain_Weld_Passes</vt:lpstr>
      <vt:lpstr>Blanket_Drain_Weld_Time</vt:lpstr>
      <vt:lpstr>blanket_hc_days_2</vt:lpstr>
      <vt:lpstr>blanket_hc_days_3</vt:lpstr>
      <vt:lpstr>blanket_hc_days_4</vt:lpstr>
      <vt:lpstr>blanket_hc_days_6</vt:lpstr>
      <vt:lpstr>blanket_hc_days_series</vt:lpstr>
      <vt:lpstr>blanket_kinamatic_duration</vt:lpstr>
      <vt:lpstr>blanket_lift_duration</vt:lpstr>
      <vt:lpstr>Blanket_LiPb_circumference</vt:lpstr>
      <vt:lpstr>Blanket_LiPb_Cut_Time</vt:lpstr>
      <vt:lpstr>Blanket_LiPb_Cutting_Passes</vt:lpstr>
      <vt:lpstr>Blanket_LiPb_diameter</vt:lpstr>
      <vt:lpstr>Blanket_LiPb_thickness</vt:lpstr>
      <vt:lpstr>Blanket_LiPb_Weld_Passes</vt:lpstr>
      <vt:lpstr>Blanket_LiPb_Weld_Time</vt:lpstr>
      <vt:lpstr>Blankets_per_segmt</vt:lpstr>
      <vt:lpstr>BT_drive_failure</vt:lpstr>
      <vt:lpstr>BT_fine_positioning_failure</vt:lpstr>
      <vt:lpstr>campaign_duration</vt:lpstr>
      <vt:lpstr>campaign_fpy</vt:lpstr>
      <vt:lpstr>Cask_CCD_Seal_failure</vt:lpstr>
      <vt:lpstr>Cask_Controller_Failure</vt:lpstr>
      <vt:lpstr>Cask_move_spd</vt:lpstr>
      <vt:lpstr>Cask_move_time</vt:lpstr>
      <vt:lpstr>cassette_deployment_system_failure</vt:lpstr>
      <vt:lpstr>cassette_handling_location_sensor</vt:lpstr>
      <vt:lpstr>cassette_handling_mechanical_fixation_failure</vt:lpstr>
      <vt:lpstr>Cassettes_per_segmt</vt:lpstr>
      <vt:lpstr>Check_time</vt:lpstr>
      <vt:lpstr>connect_divertor_piepwork</vt:lpstr>
      <vt:lpstr>connect_inner_pipwork</vt:lpstr>
      <vt:lpstr>connect_lower_blanket_pipework</vt:lpstr>
      <vt:lpstr>Connect_vertical_pipework</vt:lpstr>
      <vt:lpstr>crane_recovery_spd</vt:lpstr>
      <vt:lpstr>cutting_depth</vt:lpstr>
      <vt:lpstr>cutting_speed</vt:lpstr>
      <vt:lpstr>DEMO_cy_lifetime</vt:lpstr>
      <vt:lpstr>DEMO_fpy_Lifetime</vt:lpstr>
      <vt:lpstr>DEMO_Major_Radius</vt:lpstr>
      <vt:lpstr>DEMO_Minor_Radius</vt:lpstr>
      <vt:lpstr>demo_pumpdown</vt:lpstr>
      <vt:lpstr>Design_Inputs</vt:lpstr>
      <vt:lpstr>disconnect_divertor_pipework</vt:lpstr>
      <vt:lpstr>disconnect_inner_Pipework</vt:lpstr>
      <vt:lpstr>disconnect_lower_blanket_pipework</vt:lpstr>
      <vt:lpstr>disconnect_vertical_pipework</vt:lpstr>
      <vt:lpstr>divertor_blanket_cooling_pipes</vt:lpstr>
      <vt:lpstr>divertor_blanket_drain_pipes</vt:lpstr>
      <vt:lpstr>divertor_blanket_LiPb_pipes</vt:lpstr>
      <vt:lpstr>Divertor_campaigns</vt:lpstr>
      <vt:lpstr>divertor_cassette_lifetime</vt:lpstr>
      <vt:lpstr>divertor_coolant_circumference</vt:lpstr>
      <vt:lpstr>Divertor_Coolant_Cut_Time</vt:lpstr>
      <vt:lpstr>Divertor_Coolant_diameter</vt:lpstr>
      <vt:lpstr>divertor_coolant_thickness</vt:lpstr>
      <vt:lpstr>Divertor_Coolant_Weld_Time</vt:lpstr>
      <vt:lpstr>Divertor_Cooling_Cutting_Passes</vt:lpstr>
      <vt:lpstr>divertor_drain_circumference</vt:lpstr>
      <vt:lpstr>Divertor_Drain_Cut_Time</vt:lpstr>
      <vt:lpstr>Divertor_Drain_Cutting_Passes</vt:lpstr>
      <vt:lpstr>Divertor_Drain_diameter</vt:lpstr>
      <vt:lpstr>divertor_drain_thickness</vt:lpstr>
      <vt:lpstr>Divertor_Drain_Weld_Passes</vt:lpstr>
      <vt:lpstr>Divertor_Drain_Weld_Time</vt:lpstr>
      <vt:lpstr>Divertor_LiPb_circumference</vt:lpstr>
      <vt:lpstr>Divertor_LiPb_Cut_Time</vt:lpstr>
      <vt:lpstr>Divertor_LiPb_Cutting_Passes</vt:lpstr>
      <vt:lpstr>Divertor_LiPb_diameter</vt:lpstr>
      <vt:lpstr>Divertor_LiPb_thickness</vt:lpstr>
      <vt:lpstr>Divertor_LiPb_Weld_Passes</vt:lpstr>
      <vt:lpstr>Divertor_LiPb_Weld_Time</vt:lpstr>
      <vt:lpstr>divertor_module_cooling_pipes</vt:lpstr>
      <vt:lpstr>divertor_module_drain_pipes</vt:lpstr>
      <vt:lpstr>divertor_module_LiPb_pipes</vt:lpstr>
      <vt:lpstr>Divertor_Port_Length</vt:lpstr>
      <vt:lpstr>Divertor_port_pipes_per_blanket</vt:lpstr>
      <vt:lpstr>divertor_port_strategy</vt:lpstr>
      <vt:lpstr>dwell_period</vt:lpstr>
      <vt:lpstr>dwell_time</vt:lpstr>
      <vt:lpstr>ECH_cooling_connection_time</vt:lpstr>
      <vt:lpstr>ECH_cooling_disconnection_time</vt:lpstr>
      <vt:lpstr>ECH_cooling_pipes</vt:lpstr>
      <vt:lpstr>ECH_fixation_bolts</vt:lpstr>
      <vt:lpstr>ECH_fixation_deployment</vt:lpstr>
      <vt:lpstr>ECH_fixation_disconnection_ops</vt:lpstr>
      <vt:lpstr>ECH_fixation_recovery</vt:lpstr>
      <vt:lpstr>ECH_fixation_systems</vt:lpstr>
      <vt:lpstr>ECH_fixation_tightening_ops</vt:lpstr>
      <vt:lpstr>ECH_fixations_connection_time</vt:lpstr>
      <vt:lpstr>ECH_fixations_disconnection_time</vt:lpstr>
      <vt:lpstr>ECH_pretensioning_duration</vt:lpstr>
      <vt:lpstr>empty_cask_transporter_spd</vt:lpstr>
      <vt:lpstr>empty_hardware_transporter_spd</vt:lpstr>
      <vt:lpstr>Fine_location_time</vt:lpstr>
      <vt:lpstr>fpy_to_cy</vt:lpstr>
      <vt:lpstr>Full_Div_cask_days_2</vt:lpstr>
      <vt:lpstr>Full_Div_cask_days_3</vt:lpstr>
      <vt:lpstr>Full_Div_cask_days_4</vt:lpstr>
      <vt:lpstr>Full_Div_cask_days_6</vt:lpstr>
      <vt:lpstr>Full_Div_cask_days_series</vt:lpstr>
      <vt:lpstr>Full_Div_hc_days_2</vt:lpstr>
      <vt:lpstr>Full_Div_hc_days_3</vt:lpstr>
      <vt:lpstr>Full_Div_hc_days_4</vt:lpstr>
      <vt:lpstr>Full_Div_hc_days_6</vt:lpstr>
      <vt:lpstr>Full_Div_hc_days_series</vt:lpstr>
      <vt:lpstr>Full_Div_hc_days_single</vt:lpstr>
      <vt:lpstr>Hardware_transport_failure</vt:lpstr>
      <vt:lpstr>He_Leak_test</vt:lpstr>
      <vt:lpstr>IB_blankets_per_segmt</vt:lpstr>
      <vt:lpstr>interim_maintenace_period</vt:lpstr>
      <vt:lpstr>IPD_recovery_speed</vt:lpstr>
      <vt:lpstr>IVM_arm_spd</vt:lpstr>
      <vt:lpstr>IVM_Failure_Rate</vt:lpstr>
      <vt:lpstr>Lift_check</vt:lpstr>
      <vt:lpstr>loaded_cask_transporter_spd</vt:lpstr>
      <vt:lpstr>loaded_crane_spd</vt:lpstr>
      <vt:lpstr>loaded_hardware_transporter_spd</vt:lpstr>
      <vt:lpstr>loaded_IPD_speed</vt:lpstr>
      <vt:lpstr>loaded_VDS_speed</vt:lpstr>
      <vt:lpstr>long_campaign_duration</vt:lpstr>
      <vt:lpstr>maintenance_sequence</vt:lpstr>
      <vt:lpstr>Manual_Operations_Productivity_Factor</vt:lpstr>
      <vt:lpstr>mfm_actuator_failure</vt:lpstr>
      <vt:lpstr>MFM_deployment_spd</vt:lpstr>
      <vt:lpstr>MFM_fine_mvmt_spd</vt:lpstr>
      <vt:lpstr>mfm_fine_positioning_failure</vt:lpstr>
      <vt:lpstr>MFM_recovery_spd</vt:lpstr>
      <vt:lpstr>minor_maintenance_duration</vt:lpstr>
      <vt:lpstr>minor_maintenance_intervals</vt:lpstr>
      <vt:lpstr>NDT_Testing_time</vt:lpstr>
      <vt:lpstr>OB_blankets_per_segmt</vt:lpstr>
      <vt:lpstr>Only_Div_cask_days_2</vt:lpstr>
      <vt:lpstr>Only_Div_cask_days_3</vt:lpstr>
      <vt:lpstr>Only_Div_cask_days_4</vt:lpstr>
      <vt:lpstr>Only_Div_cask_days_6</vt:lpstr>
      <vt:lpstr>Only_Div_cask_days_series</vt:lpstr>
      <vt:lpstr>Only_Div_cask_days_single</vt:lpstr>
      <vt:lpstr>Only_Div_hc_days_2</vt:lpstr>
      <vt:lpstr>Only_Div_hc_days_3</vt:lpstr>
      <vt:lpstr>Only_Div_hc_days_4</vt:lpstr>
      <vt:lpstr>Only_Div_hc_days_6</vt:lpstr>
      <vt:lpstr>Only_Div_hc_days_series</vt:lpstr>
      <vt:lpstr>Only_Div_hc_days_single</vt:lpstr>
      <vt:lpstr>overhead_crane_failure</vt:lpstr>
      <vt:lpstr>Overhead_gantry_failure</vt:lpstr>
      <vt:lpstr>Overhead_hoist_failure</vt:lpstr>
      <vt:lpstr>Part_movement_spd</vt:lpstr>
      <vt:lpstr>Part_rotational_spd</vt:lpstr>
      <vt:lpstr>PCP_fixation_bolts</vt:lpstr>
      <vt:lpstr>PCP_fixation_deployment</vt:lpstr>
      <vt:lpstr>PCP_fixation_disconnection_ops</vt:lpstr>
      <vt:lpstr>PCP_fixation_recovery</vt:lpstr>
      <vt:lpstr>PCP_fixation_tightening_ops</vt:lpstr>
      <vt:lpstr>PCP_fixations_connection_time</vt:lpstr>
      <vt:lpstr>PCP_fixations_disconnection_time</vt:lpstr>
      <vt:lpstr>PCP_fixations_RM_systems</vt:lpstr>
      <vt:lpstr>PCP_pretensioning_duration</vt:lpstr>
      <vt:lpstr>Pipe_Cooldown_time</vt:lpstr>
      <vt:lpstr>pipes_per_cassette</vt:lpstr>
      <vt:lpstr>Plug_fixation_bolts</vt:lpstr>
      <vt:lpstr>Plug_fixation_deployment</vt:lpstr>
      <vt:lpstr>Plug_fixation_disconnection_ops</vt:lpstr>
      <vt:lpstr>Plug_fixation_recovery</vt:lpstr>
      <vt:lpstr>Plug_fixation_tightening_ops</vt:lpstr>
      <vt:lpstr>Plug_fixations_connection_time</vt:lpstr>
      <vt:lpstr>Plug_fixations_disconnection_time</vt:lpstr>
      <vt:lpstr>Plug_flange_bolts</vt:lpstr>
      <vt:lpstr>Plug_pretensioning_duration</vt:lpstr>
      <vt:lpstr>Plug_RM_systems</vt:lpstr>
      <vt:lpstr>power_cycle_duration</vt:lpstr>
      <vt:lpstr>power_generation_period</vt:lpstr>
      <vt:lpstr>Pulse_per_day</vt:lpstr>
      <vt:lpstr>pulse_time</vt:lpstr>
      <vt:lpstr>Pulses_per_campaign</vt:lpstr>
      <vt:lpstr>pumping_pipe_connection_time</vt:lpstr>
      <vt:lpstr>pumping_pipe_disconnection_time</vt:lpstr>
      <vt:lpstr>pumping_pipework_connections</vt:lpstr>
      <vt:lpstr>pumping_power_connection</vt:lpstr>
      <vt:lpstr>pumping_power_connections</vt:lpstr>
      <vt:lpstr>pumping_power_disconnection</vt:lpstr>
      <vt:lpstr>PWHT_time</vt:lpstr>
      <vt:lpstr>RM_cooldown_period</vt:lpstr>
      <vt:lpstr>RM_task_type</vt:lpstr>
      <vt:lpstr>second_blanket_campaigns</vt:lpstr>
      <vt:lpstr>second_blanket_lifetime</vt:lpstr>
      <vt:lpstr>sequence_duration</vt:lpstr>
      <vt:lpstr>SJS_deployment_spd</vt:lpstr>
      <vt:lpstr>SJS_inserting_welding_gas</vt:lpstr>
      <vt:lpstr>SJS_pipe_clamp</vt:lpstr>
      <vt:lpstr>SJS_recovery_spd</vt:lpstr>
      <vt:lpstr>SJS_tension_pipe</vt:lpstr>
      <vt:lpstr>SJS_Tool_Change</vt:lpstr>
      <vt:lpstr>SJS_unclamp_pipe</vt:lpstr>
      <vt:lpstr>SJS_visual_check</vt:lpstr>
      <vt:lpstr>SJS_volumetric_testing</vt:lpstr>
      <vt:lpstr>SJS_welder_failure</vt:lpstr>
      <vt:lpstr>starter_blanket_campaigns</vt:lpstr>
      <vt:lpstr>starter_blanket_lifetime</vt:lpstr>
      <vt:lpstr>Tokamak_Segmts</vt:lpstr>
      <vt:lpstr>Tool_Failure_Rate</vt:lpstr>
      <vt:lpstr>Tool_movement_spd</vt:lpstr>
      <vt:lpstr>Tool_rotation_spd</vt:lpstr>
      <vt:lpstr>total_blanket_lift_time</vt:lpstr>
      <vt:lpstr>total_BT_failure</vt:lpstr>
      <vt:lpstr>Total_Cask_Failure_Rate</vt:lpstr>
      <vt:lpstr>Total_Cassette_Handling_Failure</vt:lpstr>
      <vt:lpstr>total_mfm_failure</vt:lpstr>
      <vt:lpstr>two_shift_productivity_ratio</vt:lpstr>
      <vt:lpstr>unloaded_cask_transporter_spd</vt:lpstr>
      <vt:lpstr>unloaded_crane_spd</vt:lpstr>
      <vt:lpstr>unloaded_hardware_transporter_spd</vt:lpstr>
      <vt:lpstr>unloaded_IPD_speed</vt:lpstr>
      <vt:lpstr>unloaded_VDS_speed</vt:lpstr>
      <vt:lpstr>vacuum_transport_connection_time</vt:lpstr>
      <vt:lpstr>vacuum_transport_release_time</vt:lpstr>
      <vt:lpstr>vertical_blanket_cooling_pipes</vt:lpstr>
      <vt:lpstr>vertical_blanket_drain_pipes</vt:lpstr>
      <vt:lpstr>vertical_blanket_LiPb_pipes</vt:lpstr>
      <vt:lpstr>Vertical_Port_Length</vt:lpstr>
      <vt:lpstr>Vertical_port_pipes_per_blanket</vt:lpstr>
      <vt:lpstr>Vertical_port_strategy</vt:lpstr>
      <vt:lpstr>VMC_Failure_Rate</vt:lpstr>
      <vt:lpstr>warmup_campaigns</vt:lpstr>
      <vt:lpstr>weld_depth</vt:lpstr>
      <vt:lpstr>Weld_Failure_Rate</vt:lpstr>
      <vt:lpstr>welding_speed</vt:lpstr>
    </vt:vector>
  </TitlesOfParts>
  <Company>Culham Centre for Fusion Energy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Davies</dc:creator>
  <cp:lastModifiedBy>matti</cp:lastModifiedBy>
  <cp:lastPrinted>2017-09-21T17:17:35Z</cp:lastPrinted>
  <dcterms:created xsi:type="dcterms:W3CDTF">2016-04-18T12:54:55Z</dcterms:created>
  <dcterms:modified xsi:type="dcterms:W3CDTF">2018-02-16T12:33:06Z</dcterms:modified>
</cp:coreProperties>
</file>